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C:\Users\ABMA\Desktop\"/>
    </mc:Choice>
  </mc:AlternateContent>
  <xr:revisionPtr revIDLastSave="0" documentId="13_ncr:1_{FCE45AC9-67E4-4060-B0FE-6FE4A2C94D85}" xr6:coauthVersionLast="47" xr6:coauthVersionMax="47" xr10:uidLastSave="{00000000-0000-0000-0000-000000000000}"/>
  <bookViews>
    <workbookView xWindow="3630" yWindow="615" windowWidth="23925" windowHeight="13725" firstSheet="20" activeTab="29" xr2:uid="{750F3115-FEEB-46F0-A2C9-9997A08D1304}"/>
  </bookViews>
  <sheets>
    <sheet name="GESTION DES JOUEURS" sheetId="38" r:id="rId1"/>
    <sheet name="PA" sheetId="32" r:id="rId2"/>
    <sheet name="T PA" sheetId="34" r:id="rId3"/>
    <sheet name="PB" sheetId="39" r:id="rId4"/>
    <sheet name="T PB" sheetId="40" r:id="rId5"/>
    <sheet name="PC" sheetId="41" r:id="rId6"/>
    <sheet name="T PC" sheetId="42" r:id="rId7"/>
    <sheet name="PD" sheetId="43" r:id="rId8"/>
    <sheet name="T PD" sheetId="44" r:id="rId9"/>
    <sheet name="PE" sheetId="45" r:id="rId10"/>
    <sheet name="T PE" sheetId="46" r:id="rId11"/>
    <sheet name="PF" sheetId="47" r:id="rId12"/>
    <sheet name="T PF" sheetId="48" r:id="rId13"/>
    <sheet name="PG" sheetId="49" r:id="rId14"/>
    <sheet name="T PG" sheetId="50" r:id="rId15"/>
    <sheet name="PH" sheetId="51" r:id="rId16"/>
    <sheet name="T PH" sheetId="52" r:id="rId17"/>
    <sheet name="PI" sheetId="53" r:id="rId18"/>
    <sheet name="T PI" sheetId="54" r:id="rId19"/>
    <sheet name="PJ" sheetId="55" r:id="rId20"/>
    <sheet name="T PJ" sheetId="56" r:id="rId21"/>
    <sheet name="PK" sheetId="57" r:id="rId22"/>
    <sheet name="T PK" sheetId="58" r:id="rId23"/>
    <sheet name="PL" sheetId="59" r:id="rId24"/>
    <sheet name="T PL" sheetId="60" r:id="rId25"/>
    <sheet name="Phase finale" sheetId="65" r:id="rId26"/>
    <sheet name="T Phase finale" sheetId="61" r:id="rId27"/>
    <sheet name="Consolante" sheetId="66" r:id="rId28"/>
    <sheet name="T Consolante" sheetId="67" r:id="rId29"/>
    <sheet name="RESULTATS" sheetId="68" r:id="rId30"/>
    <sheet name="LOGOS CLUBS" sheetId="29" state="hidden" r:id="rId31"/>
    <sheet name="DATA TDJ" sheetId="27" state="hidden" r:id="rId32"/>
    <sheet name="CLUBS IDF" sheetId="22" state="hidden" r:id="rId33"/>
    <sheet name="LICENCES 2025" sheetId="20" state="hidden" r:id="rId34"/>
    <sheet name="Distances" sheetId="30" state="hidden" r:id="rId35"/>
    <sheet name="LIBRE CAT" sheetId="35" state="hidden" r:id="rId36"/>
    <sheet name="CADRE CAT" sheetId="36" state="hidden" r:id="rId37"/>
    <sheet name="BANDE CAT" sheetId="37" state="hidden" r:id="rId38"/>
    <sheet name="3 BANDES CAT" sheetId="33" state="hidden" r:id="rId39"/>
    <sheet name="Répartition des poules" sheetId="6" state="hidden" r:id="rId40"/>
  </sheets>
  <definedNames>
    <definedName name="Nb_joueursPA">PA!$AO$4</definedName>
    <definedName name="NB_poules">'GESTION DES JOUEURS'!$T$8</definedName>
    <definedName name="PouleATerminée">PA!$BU$5</definedName>
    <definedName name="PouleBTerminée">PB!$BU$5</definedName>
    <definedName name="PouleCterminée">PC!$BU$5</definedName>
    <definedName name="PouleDterminée">PD!$BU$5</definedName>
    <definedName name="PouleETerminée">PE!$BU$5</definedName>
    <definedName name="PouleFTerminée">PF!$BU$5</definedName>
    <definedName name="PouleGTerminée">PG!$BU$5</definedName>
    <definedName name="PouleHTerminée">PH!$BU$5</definedName>
    <definedName name="PouleITerminée">PI!$BU$5</definedName>
    <definedName name="PouleJTerminée">PJ!$BU$5</definedName>
    <definedName name="PouleKTerminée">PK!$BU$5</definedName>
    <definedName name="PouleLTerminée">PL!$BU$5</definedName>
    <definedName name="Tableaulisteconsolante" localSheetId="29">Tableau19[]</definedName>
    <definedName name="Tableaulisteconsolante">Tableau19[]</definedName>
    <definedName name="Tableaulistedesjoueurs" localSheetId="29">Tableau19[]</definedName>
    <definedName name="Tableaulistedesjoueurs">Tableau19[]</definedName>
    <definedName name="_xlnm.Print_Area" localSheetId="29">RESULTATS!$A$1:$AI$20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7" i="65" l="1"/>
  <c r="S37" i="65"/>
  <c r="B29" i="66"/>
  <c r="B36" i="65"/>
  <c r="CL8" i="68"/>
  <c r="AK34" i="65"/>
  <c r="AH34" i="65"/>
  <c r="AK33" i="65"/>
  <c r="AH33" i="65"/>
  <c r="AK32" i="65"/>
  <c r="AH32" i="65"/>
  <c r="AK31" i="65"/>
  <c r="AH31" i="65"/>
  <c r="AK30" i="65"/>
  <c r="AH30" i="65"/>
  <c r="AK29" i="65"/>
  <c r="AH29" i="65"/>
  <c r="AK28" i="65"/>
  <c r="AH28" i="65"/>
  <c r="AK27" i="65"/>
  <c r="AH27" i="65"/>
  <c r="AK26" i="65"/>
  <c r="AH26" i="65"/>
  <c r="AK25" i="65"/>
  <c r="AH25" i="65"/>
  <c r="AK24" i="65"/>
  <c r="AH24" i="65"/>
  <c r="AK23" i="65"/>
  <c r="AH23" i="65"/>
  <c r="AK22" i="65"/>
  <c r="AH22" i="65"/>
  <c r="AK21" i="65"/>
  <c r="AH21" i="65"/>
  <c r="AK20" i="65"/>
  <c r="AH20" i="65"/>
  <c r="AK19" i="65"/>
  <c r="AH19" i="65"/>
  <c r="AK18" i="65"/>
  <c r="AH18" i="65"/>
  <c r="AK17" i="65"/>
  <c r="AH17" i="65"/>
  <c r="AK16" i="65"/>
  <c r="AH16" i="65"/>
  <c r="AK15" i="65"/>
  <c r="AH15" i="65"/>
  <c r="AK14" i="65"/>
  <c r="AH14" i="65"/>
  <c r="AK13" i="65"/>
  <c r="AH13" i="65"/>
  <c r="AK12" i="65"/>
  <c r="AH12" i="65"/>
  <c r="AK11" i="65"/>
  <c r="AH11" i="65"/>
  <c r="AK10" i="65"/>
  <c r="AH10" i="65"/>
  <c r="AK9" i="65"/>
  <c r="AH9" i="65"/>
  <c r="AK8" i="65"/>
  <c r="AH8" i="65"/>
  <c r="AK7" i="65"/>
  <c r="AH7" i="65"/>
  <c r="AK6" i="65"/>
  <c r="AH6" i="65"/>
  <c r="AK5" i="65"/>
  <c r="AH5" i="65"/>
  <c r="AK28" i="66"/>
  <c r="AK29" i="66"/>
  <c r="AK30" i="66"/>
  <c r="AK31" i="66"/>
  <c r="AK32" i="66"/>
  <c r="AK33" i="66"/>
  <c r="AK34" i="66"/>
  <c r="AK27" i="66"/>
  <c r="AK20" i="66"/>
  <c r="AK21" i="66"/>
  <c r="AK22" i="66"/>
  <c r="AK23" i="66"/>
  <c r="AK24" i="66"/>
  <c r="AK25" i="66"/>
  <c r="AK26" i="66"/>
  <c r="AK19" i="66"/>
  <c r="AK16" i="66"/>
  <c r="AK17" i="66"/>
  <c r="AK18" i="66"/>
  <c r="AK15" i="66"/>
  <c r="AK12" i="66"/>
  <c r="AK13" i="66"/>
  <c r="AK14" i="66"/>
  <c r="AK11" i="66"/>
  <c r="AK10" i="66"/>
  <c r="AK9" i="66"/>
  <c r="AK8" i="66"/>
  <c r="AK7" i="66"/>
  <c r="AK6" i="66"/>
  <c r="AK5" i="66"/>
  <c r="AH28" i="66"/>
  <c r="AH29" i="66"/>
  <c r="AH30" i="66"/>
  <c r="AH31" i="66"/>
  <c r="AH32" i="66"/>
  <c r="AH33" i="66"/>
  <c r="AH34" i="66"/>
  <c r="AH27" i="66"/>
  <c r="AH20" i="66"/>
  <c r="AH21" i="66"/>
  <c r="AH22" i="66"/>
  <c r="AH23" i="66"/>
  <c r="AH24" i="66"/>
  <c r="AH25" i="66"/>
  <c r="AH26" i="66"/>
  <c r="AH19" i="66"/>
  <c r="AH16" i="66"/>
  <c r="AH17" i="66"/>
  <c r="AH18" i="66"/>
  <c r="AH15" i="66"/>
  <c r="AH12" i="66"/>
  <c r="AH13" i="66"/>
  <c r="AH14" i="66"/>
  <c r="AH11" i="66"/>
  <c r="AH10" i="66"/>
  <c r="AH9" i="66"/>
  <c r="AH8" i="66"/>
  <c r="AH7" i="66"/>
  <c r="AH6" i="66"/>
  <c r="AH5" i="66"/>
  <c r="I40" i="67"/>
  <c r="I38" i="67"/>
  <c r="Y37" i="67"/>
  <c r="I36" i="67"/>
  <c r="I34" i="67"/>
  <c r="AI33" i="67"/>
  <c r="I32" i="67"/>
  <c r="I30" i="67"/>
  <c r="Y29" i="67"/>
  <c r="I28" i="67"/>
  <c r="I26" i="67"/>
  <c r="I24" i="67"/>
  <c r="I22" i="67"/>
  <c r="Y21" i="67"/>
  <c r="I20" i="67"/>
  <c r="I18" i="67"/>
  <c r="AI17" i="67"/>
  <c r="I16" i="67"/>
  <c r="I14" i="67"/>
  <c r="Y13" i="67"/>
  <c r="I12" i="67"/>
  <c r="I10" i="67"/>
  <c r="BU27" i="66"/>
  <c r="BV27" i="66"/>
  <c r="BW27" i="66"/>
  <c r="BX27" i="66"/>
  <c r="BY27" i="66"/>
  <c r="BZ27" i="66"/>
  <c r="CA27" i="66"/>
  <c r="CB27" i="66"/>
  <c r="CC27" i="66"/>
  <c r="CD27" i="66"/>
  <c r="CE27" i="66"/>
  <c r="CF27" i="66"/>
  <c r="CG27" i="66"/>
  <c r="CH27" i="66"/>
  <c r="CI27" i="66"/>
  <c r="CJ27" i="66"/>
  <c r="CK27" i="66"/>
  <c r="CL27" i="66"/>
  <c r="BU28" i="66"/>
  <c r="BV28" i="66"/>
  <c r="BW28" i="66"/>
  <c r="BX28" i="66"/>
  <c r="BY28" i="66"/>
  <c r="BZ28" i="66"/>
  <c r="CA28" i="66"/>
  <c r="CB28" i="66"/>
  <c r="CC28" i="66"/>
  <c r="CD28" i="66"/>
  <c r="CE28" i="66"/>
  <c r="CF28" i="66"/>
  <c r="CG28" i="66"/>
  <c r="CH28" i="66"/>
  <c r="CI28" i="66"/>
  <c r="CJ28" i="66"/>
  <c r="CK28" i="66"/>
  <c r="CL28" i="66"/>
  <c r="CM28" i="66"/>
  <c r="CN28" i="66"/>
  <c r="BU29" i="66"/>
  <c r="BV29" i="66"/>
  <c r="BW29" i="66"/>
  <c r="BX29" i="66"/>
  <c r="BY29" i="66"/>
  <c r="BZ29" i="66"/>
  <c r="CA29" i="66"/>
  <c r="CB29" i="66"/>
  <c r="CC29" i="66"/>
  <c r="CD29" i="66"/>
  <c r="CE29" i="66"/>
  <c r="CF29" i="66"/>
  <c r="CG29" i="66"/>
  <c r="CH29" i="66"/>
  <c r="CI29" i="66"/>
  <c r="CJ29" i="66"/>
  <c r="CK29" i="66"/>
  <c r="CL29" i="66"/>
  <c r="CM29" i="66"/>
  <c r="CN29" i="66"/>
  <c r="BU30" i="66"/>
  <c r="BV30" i="66"/>
  <c r="BW30" i="66"/>
  <c r="BX30" i="66"/>
  <c r="BY30" i="66"/>
  <c r="BZ30" i="66"/>
  <c r="CA30" i="66"/>
  <c r="CB30" i="66"/>
  <c r="CC30" i="66"/>
  <c r="CD30" i="66"/>
  <c r="CE30" i="66"/>
  <c r="CF30" i="66"/>
  <c r="CG30" i="66"/>
  <c r="CH30" i="66"/>
  <c r="CI30" i="66"/>
  <c r="CJ30" i="66"/>
  <c r="CK30" i="66"/>
  <c r="CL30" i="66"/>
  <c r="CM30" i="66"/>
  <c r="CN30" i="66"/>
  <c r="BU31" i="66"/>
  <c r="BV31" i="66"/>
  <c r="BW31" i="66"/>
  <c r="BX31" i="66"/>
  <c r="BY31" i="66"/>
  <c r="BZ31" i="66"/>
  <c r="CA31" i="66"/>
  <c r="CB31" i="66"/>
  <c r="CC31" i="66"/>
  <c r="CD31" i="66"/>
  <c r="CE31" i="66"/>
  <c r="CF31" i="66"/>
  <c r="CG31" i="66"/>
  <c r="CH31" i="66"/>
  <c r="CI31" i="66"/>
  <c r="CJ31" i="66"/>
  <c r="CK31" i="66"/>
  <c r="CL31" i="66"/>
  <c r="CM31" i="66"/>
  <c r="CN31" i="66"/>
  <c r="BU32" i="66"/>
  <c r="BV32" i="66"/>
  <c r="BW32" i="66"/>
  <c r="BX32" i="66"/>
  <c r="BY32" i="66"/>
  <c r="BZ32" i="66"/>
  <c r="CA32" i="66"/>
  <c r="CB32" i="66"/>
  <c r="CC32" i="66"/>
  <c r="CD32" i="66"/>
  <c r="CE32" i="66"/>
  <c r="CF32" i="66"/>
  <c r="CG32" i="66"/>
  <c r="CH32" i="66"/>
  <c r="CI32" i="66"/>
  <c r="CJ32" i="66"/>
  <c r="CK32" i="66"/>
  <c r="CL32" i="66"/>
  <c r="CM32" i="66"/>
  <c r="CN32" i="66"/>
  <c r="BU33" i="66"/>
  <c r="BV33" i="66"/>
  <c r="BW33" i="66"/>
  <c r="BX33" i="66"/>
  <c r="BY33" i="66"/>
  <c r="BZ33" i="66"/>
  <c r="CA33" i="66"/>
  <c r="CB33" i="66"/>
  <c r="CC33" i="66"/>
  <c r="CD33" i="66"/>
  <c r="CE33" i="66"/>
  <c r="CF33" i="66"/>
  <c r="CG33" i="66"/>
  <c r="CH33" i="66"/>
  <c r="CI33" i="66"/>
  <c r="CJ33" i="66"/>
  <c r="CK33" i="66"/>
  <c r="CL33" i="66"/>
  <c r="CM33" i="66"/>
  <c r="CN33" i="66"/>
  <c r="Y37" i="61"/>
  <c r="Y29" i="61"/>
  <c r="Y21" i="61"/>
  <c r="Y13" i="61"/>
  <c r="I38" i="61"/>
  <c r="I28" i="61"/>
  <c r="I22" i="61"/>
  <c r="I20" i="61"/>
  <c r="I30" i="61"/>
  <c r="I34" i="61"/>
  <c r="I16" i="61"/>
  <c r="I14" i="61"/>
  <c r="I36" i="61"/>
  <c r="I32" i="61"/>
  <c r="I18" i="61"/>
  <c r="I24" i="61"/>
  <c r="I26" i="61"/>
  <c r="I40" i="61"/>
  <c r="I12" i="61"/>
  <c r="I10" i="61"/>
  <c r="Y5" i="43"/>
  <c r="Y5" i="45"/>
  <c r="Y5" i="47"/>
  <c r="Y5" i="49"/>
  <c r="Y5" i="51"/>
  <c r="Y5" i="53"/>
  <c r="Y5" i="55"/>
  <c r="Y5" i="57"/>
  <c r="Y5" i="59"/>
  <c r="Y5" i="41"/>
  <c r="Y5" i="32"/>
  <c r="Y5" i="39"/>
  <c r="AG93" i="30" l="1"/>
  <c r="AG94" i="30"/>
  <c r="AG95" i="30"/>
  <c r="AG96" i="30"/>
  <c r="AG97" i="30"/>
  <c r="AG98" i="30"/>
  <c r="AG99" i="30"/>
  <c r="AG100" i="30"/>
  <c r="BS6" i="65"/>
  <c r="BR6" i="65"/>
  <c r="S36" i="41"/>
  <c r="R36" i="41"/>
  <c r="S36" i="43"/>
  <c r="R36" i="43"/>
  <c r="S36" i="45"/>
  <c r="R36" i="45"/>
  <c r="S36" i="47"/>
  <c r="R36" i="47"/>
  <c r="S36" i="49"/>
  <c r="R36" i="49"/>
  <c r="S36" i="51"/>
  <c r="R36" i="51"/>
  <c r="S36" i="53"/>
  <c r="R36" i="53"/>
  <c r="S36" i="55"/>
  <c r="R36" i="55"/>
  <c r="S36" i="57"/>
  <c r="R36" i="57"/>
  <c r="S36" i="59"/>
  <c r="R36" i="59"/>
  <c r="S36" i="39"/>
  <c r="R36" i="39"/>
  <c r="X5" i="41"/>
  <c r="W5" i="41"/>
  <c r="X5" i="43"/>
  <c r="W5" i="43"/>
  <c r="X5" i="45"/>
  <c r="W5" i="45"/>
  <c r="X5" i="47"/>
  <c r="W5" i="47"/>
  <c r="X5" i="49"/>
  <c r="W5" i="49"/>
  <c r="X5" i="51"/>
  <c r="W5" i="51"/>
  <c r="X5" i="53"/>
  <c r="W5" i="53"/>
  <c r="X5" i="55"/>
  <c r="W5" i="55"/>
  <c r="X5" i="57"/>
  <c r="W5" i="57"/>
  <c r="X5" i="59"/>
  <c r="W5" i="59"/>
  <c r="X5" i="39"/>
  <c r="W5" i="39"/>
  <c r="CK35" i="41"/>
  <c r="CK34" i="41"/>
  <c r="CK33" i="41"/>
  <c r="CK32" i="41"/>
  <c r="CK31" i="41"/>
  <c r="CK30" i="41"/>
  <c r="CK29" i="41"/>
  <c r="CK28" i="41"/>
  <c r="CK27" i="41"/>
  <c r="CK26" i="41"/>
  <c r="CK25" i="41"/>
  <c r="CK24" i="41"/>
  <c r="CK23" i="41"/>
  <c r="CK22" i="41"/>
  <c r="CK21" i="41"/>
  <c r="CK20" i="41"/>
  <c r="CK19" i="41"/>
  <c r="CK18" i="41"/>
  <c r="CK17" i="41"/>
  <c r="CK16" i="41"/>
  <c r="CK15" i="41"/>
  <c r="CK14" i="41"/>
  <c r="CK13" i="41"/>
  <c r="CK12" i="41"/>
  <c r="CK11" i="41"/>
  <c r="CK10" i="41"/>
  <c r="CK9" i="41"/>
  <c r="CK8" i="41"/>
  <c r="CK7" i="41"/>
  <c r="CK6" i="41"/>
  <c r="CK35" i="43"/>
  <c r="CK34" i="43"/>
  <c r="CK33" i="43"/>
  <c r="CK32" i="43"/>
  <c r="CK31" i="43"/>
  <c r="CK30" i="43"/>
  <c r="CK29" i="43"/>
  <c r="CK28" i="43"/>
  <c r="CK27" i="43"/>
  <c r="CK26" i="43"/>
  <c r="CK25" i="43"/>
  <c r="CK24" i="43"/>
  <c r="CK23" i="43"/>
  <c r="CK22" i="43"/>
  <c r="CK21" i="43"/>
  <c r="CK20" i="43"/>
  <c r="CK19" i="43"/>
  <c r="CK18" i="43"/>
  <c r="CK17" i="43"/>
  <c r="CK16" i="43"/>
  <c r="CK15" i="43"/>
  <c r="CK14" i="43"/>
  <c r="CK13" i="43"/>
  <c r="CK12" i="43"/>
  <c r="CK11" i="43"/>
  <c r="CK10" i="43"/>
  <c r="CK9" i="43"/>
  <c r="CK8" i="43"/>
  <c r="CK7" i="43"/>
  <c r="CK6" i="43"/>
  <c r="CK35" i="45"/>
  <c r="CK34" i="45"/>
  <c r="CK33" i="45"/>
  <c r="CK32" i="45"/>
  <c r="CK31" i="45"/>
  <c r="CK30" i="45"/>
  <c r="CK29" i="45"/>
  <c r="CK28" i="45"/>
  <c r="CK27" i="45"/>
  <c r="CK26" i="45"/>
  <c r="CK25" i="45"/>
  <c r="CK24" i="45"/>
  <c r="CK23" i="45"/>
  <c r="CK22" i="45"/>
  <c r="CK21" i="45"/>
  <c r="CK20" i="45"/>
  <c r="CK19" i="45"/>
  <c r="CK18" i="45"/>
  <c r="CK17" i="45"/>
  <c r="CK16" i="45"/>
  <c r="CK15" i="45"/>
  <c r="CK14" i="45"/>
  <c r="CK13" i="45"/>
  <c r="CK12" i="45"/>
  <c r="CK11" i="45"/>
  <c r="CK10" i="45"/>
  <c r="CK9" i="45"/>
  <c r="CK8" i="45"/>
  <c r="CK7" i="45"/>
  <c r="CK6" i="45"/>
  <c r="CK35" i="47"/>
  <c r="CK34" i="47"/>
  <c r="CK33" i="47"/>
  <c r="CK32" i="47"/>
  <c r="CK31" i="47"/>
  <c r="CK30" i="47"/>
  <c r="CK29" i="47"/>
  <c r="CK28" i="47"/>
  <c r="CK27" i="47"/>
  <c r="CK26" i="47"/>
  <c r="CK25" i="47"/>
  <c r="CK24" i="47"/>
  <c r="CK23" i="47"/>
  <c r="CK22" i="47"/>
  <c r="CK21" i="47"/>
  <c r="CK20" i="47"/>
  <c r="CK19" i="47"/>
  <c r="CK18" i="47"/>
  <c r="CK17" i="47"/>
  <c r="CK16" i="47"/>
  <c r="CK15" i="47"/>
  <c r="CK14" i="47"/>
  <c r="CK13" i="47"/>
  <c r="CK12" i="47"/>
  <c r="CK11" i="47"/>
  <c r="CK10" i="47"/>
  <c r="CK9" i="47"/>
  <c r="CK8" i="47"/>
  <c r="CK7" i="47"/>
  <c r="CK6" i="47"/>
  <c r="CK35" i="49"/>
  <c r="CK34" i="49"/>
  <c r="CK33" i="49"/>
  <c r="CK32" i="49"/>
  <c r="CK31" i="49"/>
  <c r="CK30" i="49"/>
  <c r="CK29" i="49"/>
  <c r="CK28" i="49"/>
  <c r="CK27" i="49"/>
  <c r="CK26" i="49"/>
  <c r="CK25" i="49"/>
  <c r="CK24" i="49"/>
  <c r="CK23" i="49"/>
  <c r="CK22" i="49"/>
  <c r="CK21" i="49"/>
  <c r="CK20" i="49"/>
  <c r="CK19" i="49"/>
  <c r="CK18" i="49"/>
  <c r="CK17" i="49"/>
  <c r="CK16" i="49"/>
  <c r="CK15" i="49"/>
  <c r="CK14" i="49"/>
  <c r="CK13" i="49"/>
  <c r="CK12" i="49"/>
  <c r="CK11" i="49"/>
  <c r="CK10" i="49"/>
  <c r="CK9" i="49"/>
  <c r="CK8" i="49"/>
  <c r="CK7" i="49"/>
  <c r="CK6" i="49"/>
  <c r="CK35" i="51"/>
  <c r="CK34" i="51"/>
  <c r="CK33" i="51"/>
  <c r="CK32" i="51"/>
  <c r="CK31" i="51"/>
  <c r="CK30" i="51"/>
  <c r="CK29" i="51"/>
  <c r="CK28" i="51"/>
  <c r="CK27" i="51"/>
  <c r="CK26" i="51"/>
  <c r="CK25" i="51"/>
  <c r="CK24" i="51"/>
  <c r="CK23" i="51"/>
  <c r="CK22" i="51"/>
  <c r="CK21" i="51"/>
  <c r="CK20" i="51"/>
  <c r="CK19" i="51"/>
  <c r="CK18" i="51"/>
  <c r="CK17" i="51"/>
  <c r="CK16" i="51"/>
  <c r="CK15" i="51"/>
  <c r="CK14" i="51"/>
  <c r="CK13" i="51"/>
  <c r="CK12" i="51"/>
  <c r="CK11" i="51"/>
  <c r="CK10" i="51"/>
  <c r="CK9" i="51"/>
  <c r="CK8" i="51"/>
  <c r="CK7" i="51"/>
  <c r="CK6" i="51"/>
  <c r="CK35" i="53"/>
  <c r="CK34" i="53"/>
  <c r="CK33" i="53"/>
  <c r="CK32" i="53"/>
  <c r="CK31" i="53"/>
  <c r="CK30" i="53"/>
  <c r="CK29" i="53"/>
  <c r="CK28" i="53"/>
  <c r="CK27" i="53"/>
  <c r="CK26" i="53"/>
  <c r="CK25" i="53"/>
  <c r="CK24" i="53"/>
  <c r="CK23" i="53"/>
  <c r="CK22" i="53"/>
  <c r="CK21" i="53"/>
  <c r="CK20" i="53"/>
  <c r="CK19" i="53"/>
  <c r="CK18" i="53"/>
  <c r="CK17" i="53"/>
  <c r="CK16" i="53"/>
  <c r="CK15" i="53"/>
  <c r="CK14" i="53"/>
  <c r="CK13" i="53"/>
  <c r="CK12" i="53"/>
  <c r="CK11" i="53"/>
  <c r="CK10" i="53"/>
  <c r="CK9" i="53"/>
  <c r="CK8" i="53"/>
  <c r="CK7" i="53"/>
  <c r="CK6" i="53"/>
  <c r="CK35" i="55"/>
  <c r="CK34" i="55"/>
  <c r="CK33" i="55"/>
  <c r="CK32" i="55"/>
  <c r="CK31" i="55"/>
  <c r="CK30" i="55"/>
  <c r="CK29" i="55"/>
  <c r="CK28" i="55"/>
  <c r="CK27" i="55"/>
  <c r="CK26" i="55"/>
  <c r="CK25" i="55"/>
  <c r="CK24" i="55"/>
  <c r="CK23" i="55"/>
  <c r="CK22" i="55"/>
  <c r="CK21" i="55"/>
  <c r="CK20" i="55"/>
  <c r="CK19" i="55"/>
  <c r="CK18" i="55"/>
  <c r="CK17" i="55"/>
  <c r="CK16" i="55"/>
  <c r="CK15" i="55"/>
  <c r="CK14" i="55"/>
  <c r="CK13" i="55"/>
  <c r="CK12" i="55"/>
  <c r="CK11" i="55"/>
  <c r="CK10" i="55"/>
  <c r="CK9" i="55"/>
  <c r="CK8" i="55"/>
  <c r="CK7" i="55"/>
  <c r="CK6" i="55"/>
  <c r="CK35" i="57"/>
  <c r="CK34" i="57"/>
  <c r="CK33" i="57"/>
  <c r="CK32" i="57"/>
  <c r="CK31" i="57"/>
  <c r="CK30" i="57"/>
  <c r="CK29" i="57"/>
  <c r="CK28" i="57"/>
  <c r="CK27" i="57"/>
  <c r="CK26" i="57"/>
  <c r="CK25" i="57"/>
  <c r="CK24" i="57"/>
  <c r="CK23" i="57"/>
  <c r="CK22" i="57"/>
  <c r="CK21" i="57"/>
  <c r="CK20" i="57"/>
  <c r="CK19" i="57"/>
  <c r="CK18" i="57"/>
  <c r="CK17" i="57"/>
  <c r="CK16" i="57"/>
  <c r="CK15" i="57"/>
  <c r="CK14" i="57"/>
  <c r="CK13" i="57"/>
  <c r="CK12" i="57"/>
  <c r="CK11" i="57"/>
  <c r="CK10" i="57"/>
  <c r="CK9" i="57"/>
  <c r="CK8" i="57"/>
  <c r="CK7" i="57"/>
  <c r="CK6" i="57"/>
  <c r="CK35" i="59"/>
  <c r="CK34" i="59"/>
  <c r="CK33" i="59"/>
  <c r="CK32" i="59"/>
  <c r="CK31" i="59"/>
  <c r="CK30" i="59"/>
  <c r="CK29" i="59"/>
  <c r="CK28" i="59"/>
  <c r="CK27" i="59"/>
  <c r="CK26" i="59"/>
  <c r="CK25" i="59"/>
  <c r="CK24" i="59"/>
  <c r="CK23" i="59"/>
  <c r="CK22" i="59"/>
  <c r="CK21" i="59"/>
  <c r="CK20" i="59"/>
  <c r="CK19" i="59"/>
  <c r="CK18" i="59"/>
  <c r="CK17" i="59"/>
  <c r="CK16" i="59"/>
  <c r="CK15" i="59"/>
  <c r="CK14" i="59"/>
  <c r="CK13" i="59"/>
  <c r="CK12" i="59"/>
  <c r="CK11" i="59"/>
  <c r="CK10" i="59"/>
  <c r="CK9" i="59"/>
  <c r="CK8" i="59"/>
  <c r="CK7" i="59"/>
  <c r="CK6" i="59"/>
  <c r="CK35" i="39"/>
  <c r="CK34" i="39"/>
  <c r="CK33" i="39"/>
  <c r="CK32" i="39"/>
  <c r="CK31" i="39"/>
  <c r="CK30" i="39"/>
  <c r="CK29" i="39"/>
  <c r="CK28" i="39"/>
  <c r="CK27" i="39"/>
  <c r="CK26" i="39"/>
  <c r="CK25" i="39"/>
  <c r="CK24" i="39"/>
  <c r="CK23" i="39"/>
  <c r="CK22" i="39"/>
  <c r="CK21" i="39"/>
  <c r="CK20" i="39"/>
  <c r="CK19" i="39"/>
  <c r="CK18" i="39"/>
  <c r="CK17" i="39"/>
  <c r="CK16" i="39"/>
  <c r="CK15" i="39"/>
  <c r="CK14" i="39"/>
  <c r="CK13" i="39"/>
  <c r="CK12" i="39"/>
  <c r="CK11" i="39"/>
  <c r="CK10" i="39"/>
  <c r="CK9" i="39"/>
  <c r="CK8" i="39"/>
  <c r="CK7" i="39"/>
  <c r="CK6" i="39"/>
  <c r="X5" i="32"/>
  <c r="W5" i="32"/>
  <c r="CK7" i="32"/>
  <c r="CK8" i="32"/>
  <c r="CK9" i="32"/>
  <c r="CK10" i="32"/>
  <c r="CK11" i="32"/>
  <c r="CK12" i="32"/>
  <c r="CK13" i="32"/>
  <c r="CK14" i="32"/>
  <c r="CK15" i="32"/>
  <c r="CK16" i="32"/>
  <c r="CK17" i="32"/>
  <c r="CK18" i="32"/>
  <c r="CK19" i="32"/>
  <c r="CK20" i="32"/>
  <c r="CK21" i="32"/>
  <c r="CK22" i="32"/>
  <c r="CK23" i="32"/>
  <c r="CK24" i="32"/>
  <c r="CK25" i="32"/>
  <c r="CK26" i="32"/>
  <c r="CK27" i="32"/>
  <c r="CK28" i="32"/>
  <c r="CK29" i="32"/>
  <c r="CK30" i="32"/>
  <c r="CK31" i="32"/>
  <c r="CK32" i="32"/>
  <c r="CK33" i="32"/>
  <c r="CK34" i="32"/>
  <c r="CK35" i="32"/>
  <c r="CK6" i="32"/>
  <c r="S36" i="32"/>
  <c r="R36" i="32"/>
  <c r="LL66" i="30"/>
  <c r="LM66" i="30" s="1"/>
  <c r="LN66" i="30" s="1"/>
  <c r="LO66" i="30" s="1"/>
  <c r="LP66" i="30" s="1"/>
  <c r="LQ66" i="30" s="1"/>
  <c r="LR66" i="30" s="1"/>
  <c r="LS66" i="30" s="1"/>
  <c r="LT66" i="30" s="1"/>
  <c r="LU66" i="30" s="1"/>
  <c r="LV66" i="30" s="1"/>
  <c r="LW66" i="30" s="1"/>
  <c r="LX66" i="30" s="1"/>
  <c r="LY66" i="30" s="1"/>
  <c r="LZ66" i="30" s="1"/>
  <c r="MA66" i="30" s="1"/>
  <c r="MB66" i="30" s="1"/>
  <c r="MC66" i="30" s="1"/>
  <c r="MD66" i="30" s="1"/>
  <c r="ME66" i="30" s="1"/>
  <c r="MF66" i="30" s="1"/>
  <c r="MG66" i="30" s="1"/>
  <c r="MH66" i="30" s="1"/>
  <c r="MI66" i="30" s="1"/>
  <c r="MJ66" i="30" s="1"/>
  <c r="MK66" i="30" s="1"/>
  <c r="ML66" i="30" s="1"/>
  <c r="MM66" i="30" s="1"/>
  <c r="MN66" i="30" s="1"/>
  <c r="MO66" i="30" s="1"/>
  <c r="MP66" i="30" s="1"/>
  <c r="MQ66" i="30" s="1"/>
  <c r="MR66" i="30" s="1"/>
  <c r="MS66" i="30" s="1"/>
  <c r="MT66" i="30" s="1"/>
  <c r="MU66" i="30" s="1"/>
  <c r="MV66" i="30" s="1"/>
  <c r="MW66" i="30" s="1"/>
  <c r="MX66" i="30" s="1"/>
  <c r="MY66" i="30" s="1"/>
  <c r="MZ66" i="30" s="1"/>
  <c r="NA66" i="30" s="1"/>
  <c r="NB66" i="30" s="1"/>
  <c r="NC66" i="30" s="1"/>
  <c r="ND66" i="30" s="1"/>
  <c r="NE66" i="30" s="1"/>
  <c r="NF66" i="30" s="1"/>
  <c r="NG66" i="30" s="1"/>
  <c r="NH66" i="30" s="1"/>
  <c r="NI66" i="30" s="1"/>
  <c r="NJ66" i="30" s="1"/>
  <c r="NK66" i="30" s="1"/>
  <c r="NL66" i="30" s="1"/>
  <c r="NM66" i="30" s="1"/>
  <c r="NN66" i="30" s="1"/>
  <c r="NO66" i="30" s="1"/>
  <c r="NP66" i="30" s="1"/>
  <c r="NQ66" i="30" s="1"/>
  <c r="NR66" i="30" s="1"/>
  <c r="NS66" i="30" s="1"/>
  <c r="NT66" i="30" s="1"/>
  <c r="NU66" i="30" s="1"/>
  <c r="NV66" i="30" s="1"/>
  <c r="NW66" i="30" s="1"/>
  <c r="NX66" i="30" s="1"/>
  <c r="NY66" i="30" s="1"/>
  <c r="NZ66" i="30" s="1"/>
  <c r="OA66" i="30" s="1"/>
  <c r="OB66" i="30" s="1"/>
  <c r="OC66" i="30" s="1"/>
  <c r="OD66" i="30" s="1"/>
  <c r="OE66" i="30" s="1"/>
  <c r="OF66" i="30" s="1"/>
  <c r="OG66" i="30" s="1"/>
  <c r="OH66" i="30" s="1"/>
  <c r="OI66" i="30" s="1"/>
  <c r="OJ66" i="30" s="1"/>
  <c r="OK66" i="30" s="1"/>
  <c r="OL66" i="30" s="1"/>
  <c r="OM66" i="30" s="1"/>
  <c r="ON66" i="30" s="1"/>
  <c r="OO66" i="30" s="1"/>
  <c r="OP66" i="30" s="1"/>
  <c r="OQ66" i="30" s="1"/>
  <c r="OR66" i="30" s="1"/>
  <c r="OS66" i="30" s="1"/>
  <c r="OT66" i="30" s="1"/>
  <c r="OU66" i="30" s="1"/>
  <c r="OV66" i="30" s="1"/>
  <c r="OW66" i="30" s="1"/>
  <c r="OX66" i="30" s="1"/>
  <c r="OY66" i="30" s="1"/>
  <c r="OZ66" i="30" s="1"/>
  <c r="PA66" i="30" s="1"/>
  <c r="PB66" i="30" s="1"/>
  <c r="PC66" i="30" s="1"/>
  <c r="PD66" i="30" s="1"/>
  <c r="PE66" i="30" s="1"/>
  <c r="PF66" i="30" s="1"/>
  <c r="PG66" i="30" s="1"/>
  <c r="W66" i="30"/>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CT66" i="30" s="1"/>
  <c r="CU66" i="30" s="1"/>
  <c r="CV66" i="30" s="1"/>
  <c r="CW66" i="30" s="1"/>
  <c r="CX66" i="30" s="1"/>
  <c r="CY66" i="30" s="1"/>
  <c r="CZ66" i="30" s="1"/>
  <c r="DA66" i="30" s="1"/>
  <c r="DB66" i="30" s="1"/>
  <c r="DC66" i="30" s="1"/>
  <c r="DD66" i="30" s="1"/>
  <c r="DE66" i="30" s="1"/>
  <c r="DF66" i="30" s="1"/>
  <c r="DG66" i="30" s="1"/>
  <c r="DH66" i="30" s="1"/>
  <c r="DI66" i="30" s="1"/>
  <c r="DJ66" i="30" s="1"/>
  <c r="DK66" i="30" s="1"/>
  <c r="DL66" i="30" s="1"/>
  <c r="DM66" i="30" s="1"/>
  <c r="DN66" i="30" s="1"/>
  <c r="DO66" i="30" s="1"/>
  <c r="DP66" i="30" s="1"/>
  <c r="DQ66" i="30" s="1"/>
  <c r="DR66" i="30" s="1"/>
  <c r="DS66" i="30" s="1"/>
  <c r="DT66" i="30" s="1"/>
  <c r="DU66" i="30" s="1"/>
  <c r="DV66" i="30" s="1"/>
  <c r="DW66" i="30" s="1"/>
  <c r="DX66" i="30" s="1"/>
  <c r="DY66" i="30" s="1"/>
  <c r="DZ66" i="30" s="1"/>
  <c r="EA66" i="30" s="1"/>
  <c r="EB66" i="30" s="1"/>
  <c r="EC66" i="30" s="1"/>
  <c r="ED66" i="30" s="1"/>
  <c r="EE66" i="30" s="1"/>
  <c r="EF66" i="30" s="1"/>
  <c r="EG66" i="30" s="1"/>
  <c r="EH66" i="30" s="1"/>
  <c r="EI66" i="30" s="1"/>
  <c r="EJ66" i="30" s="1"/>
  <c r="EK66" i="30" s="1"/>
  <c r="EL66" i="30" s="1"/>
  <c r="EM66" i="30" s="1"/>
  <c r="EN66" i="30" s="1"/>
  <c r="EO66" i="30" s="1"/>
  <c r="EP66" i="30" s="1"/>
  <c r="EQ66" i="30" s="1"/>
  <c r="ER66" i="30" s="1"/>
  <c r="ES66" i="30" s="1"/>
  <c r="ET66" i="30" s="1"/>
  <c r="EU66" i="30" s="1"/>
  <c r="EV66" i="30" s="1"/>
  <c r="EW66" i="30" s="1"/>
  <c r="EX66" i="30" s="1"/>
  <c r="EY66" i="30" s="1"/>
  <c r="EZ66" i="30" s="1"/>
  <c r="FA66" i="30" s="1"/>
  <c r="FB66" i="30" s="1"/>
  <c r="FC66" i="30" s="1"/>
  <c r="FD66" i="30" s="1"/>
  <c r="FE66" i="30" s="1"/>
  <c r="FF66" i="30" s="1"/>
  <c r="FG66" i="30" s="1"/>
  <c r="FH66" i="30" s="1"/>
  <c r="FI66" i="30" s="1"/>
  <c r="FJ66" i="30" s="1"/>
  <c r="FK66" i="30" s="1"/>
  <c r="FL66" i="30" s="1"/>
  <c r="FM66" i="30" s="1"/>
  <c r="FN66" i="30" s="1"/>
  <c r="FO66" i="30" s="1"/>
  <c r="FP66" i="30" s="1"/>
  <c r="FQ66" i="30" s="1"/>
  <c r="FR66" i="30" s="1"/>
  <c r="FS66" i="30" s="1"/>
  <c r="FT66" i="30" s="1"/>
  <c r="FU66" i="30" s="1"/>
  <c r="FV66" i="30" s="1"/>
  <c r="FW66" i="30" s="1"/>
  <c r="FX66" i="30" s="1"/>
  <c r="FY66" i="30" s="1"/>
  <c r="FZ66" i="30" s="1"/>
  <c r="GA66" i="30" s="1"/>
  <c r="GB66" i="30" s="1"/>
  <c r="GC66" i="30" s="1"/>
  <c r="GD66" i="30" s="1"/>
  <c r="GE66" i="30" s="1"/>
  <c r="GF66" i="30" s="1"/>
  <c r="GG66" i="30" s="1"/>
  <c r="GH66" i="30" s="1"/>
  <c r="GI66" i="30" s="1"/>
  <c r="GJ66" i="30" s="1"/>
  <c r="GK66" i="30" s="1"/>
  <c r="GL66" i="30" s="1"/>
  <c r="GM66" i="30" s="1"/>
  <c r="GN66" i="30" s="1"/>
  <c r="GO66" i="30" s="1"/>
  <c r="GP66" i="30" s="1"/>
  <c r="GQ66" i="30" s="1"/>
  <c r="GR66" i="30" s="1"/>
  <c r="GS66" i="30" s="1"/>
  <c r="GT66" i="30" s="1"/>
  <c r="GU66" i="30" s="1"/>
  <c r="GV66" i="30" s="1"/>
  <c r="GW66" i="30" s="1"/>
  <c r="GX66" i="30" s="1"/>
  <c r="GY66" i="30" s="1"/>
  <c r="GZ66" i="30" s="1"/>
  <c r="HA66" i="30" s="1"/>
  <c r="HB66" i="30" s="1"/>
  <c r="HC66" i="30" s="1"/>
  <c r="HD66" i="30" s="1"/>
  <c r="HE66" i="30" s="1"/>
  <c r="HF66" i="30" s="1"/>
  <c r="HG66" i="30" s="1"/>
  <c r="HH66" i="30" s="1"/>
  <c r="HI66" i="30" s="1"/>
  <c r="HJ66" i="30" s="1"/>
  <c r="HK66" i="30" s="1"/>
  <c r="HL66" i="30" s="1"/>
  <c r="HM66" i="30" s="1"/>
  <c r="HN66" i="30" s="1"/>
  <c r="HO66" i="30" s="1"/>
  <c r="HP66" i="30" s="1"/>
  <c r="HQ66" i="30" s="1"/>
  <c r="HR66" i="30" s="1"/>
  <c r="HS66" i="30" s="1"/>
  <c r="HT66" i="30" s="1"/>
  <c r="HU66" i="30" s="1"/>
  <c r="HV66" i="30" s="1"/>
  <c r="HW66" i="30" s="1"/>
  <c r="HX66" i="30" s="1"/>
  <c r="HY66" i="30" s="1"/>
  <c r="HZ66" i="30" s="1"/>
  <c r="IA66" i="30" s="1"/>
  <c r="IB66" i="30" s="1"/>
  <c r="IC66" i="30" s="1"/>
  <c r="ID66" i="30" s="1"/>
  <c r="IE66" i="30" s="1"/>
  <c r="IF66" i="30" s="1"/>
  <c r="IG66" i="30" s="1"/>
  <c r="IH66" i="30" s="1"/>
  <c r="II66" i="30" s="1"/>
  <c r="IJ66" i="30" s="1"/>
  <c r="IK66" i="30" s="1"/>
  <c r="IL66" i="30" s="1"/>
  <c r="IM66" i="30" s="1"/>
  <c r="IN66" i="30" s="1"/>
  <c r="IO66" i="30" s="1"/>
  <c r="IP66" i="30" s="1"/>
  <c r="IQ66" i="30" s="1"/>
  <c r="IR66" i="30" s="1"/>
  <c r="IS66" i="30" s="1"/>
  <c r="IT66" i="30" s="1"/>
  <c r="IU66" i="30" s="1"/>
  <c r="IV66" i="30" s="1"/>
  <c r="IW66" i="30" s="1"/>
  <c r="IX66" i="30" s="1"/>
  <c r="IY66" i="30" s="1"/>
  <c r="IZ66" i="30" s="1"/>
  <c r="JA66" i="30" s="1"/>
  <c r="JB66" i="30" s="1"/>
  <c r="JC66" i="30" s="1"/>
  <c r="JD66" i="30" s="1"/>
  <c r="JE66" i="30" s="1"/>
  <c r="JF66" i="30" s="1"/>
  <c r="JG66" i="30" s="1"/>
  <c r="JH66" i="30" s="1"/>
  <c r="JI66" i="30" s="1"/>
  <c r="JJ66" i="30" s="1"/>
  <c r="JK66" i="30" s="1"/>
  <c r="JL66" i="30" s="1"/>
  <c r="JM66" i="30" s="1"/>
  <c r="JN66" i="30" s="1"/>
  <c r="JO66" i="30" s="1"/>
  <c r="JP66" i="30" s="1"/>
  <c r="JQ66" i="30" s="1"/>
  <c r="JR66" i="30" s="1"/>
  <c r="JS66" i="30" s="1"/>
  <c r="JT66" i="30" s="1"/>
  <c r="JU66" i="30" s="1"/>
  <c r="JV66" i="30" s="1"/>
  <c r="JW66" i="30" s="1"/>
  <c r="JX66" i="30" s="1"/>
  <c r="JY66" i="30" s="1"/>
  <c r="JZ66" i="30" s="1"/>
  <c r="KA66" i="30" s="1"/>
  <c r="KB66" i="30" s="1"/>
  <c r="KC66" i="30" s="1"/>
  <c r="KD66" i="30" s="1"/>
  <c r="KE66" i="30" s="1"/>
  <c r="KF66" i="30" s="1"/>
  <c r="KG66" i="30" s="1"/>
  <c r="KH66" i="30" s="1"/>
  <c r="KI66" i="30" s="1"/>
  <c r="KJ66" i="30" s="1"/>
  <c r="KK66" i="30" s="1"/>
  <c r="KL66" i="30" s="1"/>
  <c r="KM66" i="30" s="1"/>
  <c r="KN66" i="30" s="1"/>
  <c r="KO66" i="30" s="1"/>
  <c r="KP66" i="30" s="1"/>
  <c r="KQ66" i="30" s="1"/>
  <c r="KR66" i="30" s="1"/>
  <c r="KS66" i="30" s="1"/>
  <c r="KT66" i="30" s="1"/>
  <c r="KU66" i="30" s="1"/>
  <c r="KV66" i="30" s="1"/>
  <c r="KW66" i="30" s="1"/>
  <c r="KX66" i="30" s="1"/>
  <c r="KY66" i="30" s="1"/>
  <c r="KZ66" i="30" s="1"/>
  <c r="LA66" i="30" s="1"/>
  <c r="LB66" i="30" s="1"/>
  <c r="LC66" i="30" s="1"/>
  <c r="LD66" i="30" s="1"/>
  <c r="LE66" i="30" s="1"/>
  <c r="LF66" i="30" s="1"/>
  <c r="LG66" i="30" s="1"/>
  <c r="LH66" i="30" s="1"/>
  <c r="LI66" i="30" s="1"/>
  <c r="LJ66" i="30" s="1"/>
  <c r="D66" i="30"/>
  <c r="C66" i="30"/>
  <c r="LL65" i="30"/>
  <c r="LM65" i="30" s="1"/>
  <c r="LN65" i="30" s="1"/>
  <c r="LO65" i="30" s="1"/>
  <c r="LP65" i="30" s="1"/>
  <c r="LQ65" i="30" s="1"/>
  <c r="LR65" i="30" s="1"/>
  <c r="LS65" i="30" s="1"/>
  <c r="LT65" i="30" s="1"/>
  <c r="LU65" i="30" s="1"/>
  <c r="LV65" i="30" s="1"/>
  <c r="LW65" i="30" s="1"/>
  <c r="LX65" i="30" s="1"/>
  <c r="LY65" i="30" s="1"/>
  <c r="LZ65" i="30" s="1"/>
  <c r="MA65" i="30" s="1"/>
  <c r="MB65" i="30" s="1"/>
  <c r="MC65" i="30" s="1"/>
  <c r="MD65" i="30" s="1"/>
  <c r="ME65" i="30" s="1"/>
  <c r="MF65" i="30" s="1"/>
  <c r="MG65" i="30" s="1"/>
  <c r="MH65" i="30" s="1"/>
  <c r="MI65" i="30" s="1"/>
  <c r="MJ65" i="30" s="1"/>
  <c r="MK65" i="30" s="1"/>
  <c r="ML65" i="30" s="1"/>
  <c r="MM65" i="30" s="1"/>
  <c r="MN65" i="30" s="1"/>
  <c r="MO65" i="30" s="1"/>
  <c r="MP65" i="30" s="1"/>
  <c r="MQ65" i="30" s="1"/>
  <c r="MR65" i="30" s="1"/>
  <c r="MS65" i="30" s="1"/>
  <c r="MT65" i="30" s="1"/>
  <c r="MU65" i="30" s="1"/>
  <c r="MV65" i="30" s="1"/>
  <c r="MW65" i="30" s="1"/>
  <c r="MX65" i="30" s="1"/>
  <c r="MY65" i="30" s="1"/>
  <c r="MZ65" i="30" s="1"/>
  <c r="NA65" i="30" s="1"/>
  <c r="NB65" i="30" s="1"/>
  <c r="NC65" i="30" s="1"/>
  <c r="ND65" i="30" s="1"/>
  <c r="NE65" i="30" s="1"/>
  <c r="NF65" i="30" s="1"/>
  <c r="NG65" i="30" s="1"/>
  <c r="NH65" i="30" s="1"/>
  <c r="NI65" i="30" s="1"/>
  <c r="NJ65" i="30" s="1"/>
  <c r="NK65" i="30" s="1"/>
  <c r="NL65" i="30" s="1"/>
  <c r="NM65" i="30" s="1"/>
  <c r="NN65" i="30" s="1"/>
  <c r="NO65" i="30" s="1"/>
  <c r="NP65" i="30" s="1"/>
  <c r="NQ65" i="30" s="1"/>
  <c r="NR65" i="30" s="1"/>
  <c r="NS65" i="30" s="1"/>
  <c r="NT65" i="30" s="1"/>
  <c r="NU65" i="30" s="1"/>
  <c r="NV65" i="30" s="1"/>
  <c r="NW65" i="30" s="1"/>
  <c r="NX65" i="30" s="1"/>
  <c r="NY65" i="30" s="1"/>
  <c r="NZ65" i="30" s="1"/>
  <c r="OA65" i="30" s="1"/>
  <c r="OB65" i="30" s="1"/>
  <c r="OC65" i="30" s="1"/>
  <c r="OD65" i="30" s="1"/>
  <c r="OE65" i="30" s="1"/>
  <c r="OF65" i="30" s="1"/>
  <c r="OG65" i="30" s="1"/>
  <c r="OH65" i="30" s="1"/>
  <c r="OI65" i="30" s="1"/>
  <c r="OJ65" i="30" s="1"/>
  <c r="OK65" i="30" s="1"/>
  <c r="OL65" i="30" s="1"/>
  <c r="OM65" i="30" s="1"/>
  <c r="ON65" i="30" s="1"/>
  <c r="OO65" i="30" s="1"/>
  <c r="OP65" i="30" s="1"/>
  <c r="OQ65" i="30" s="1"/>
  <c r="OR65" i="30" s="1"/>
  <c r="OS65" i="30" s="1"/>
  <c r="OT65" i="30" s="1"/>
  <c r="OU65" i="30" s="1"/>
  <c r="OV65" i="30" s="1"/>
  <c r="OW65" i="30" s="1"/>
  <c r="OX65" i="30" s="1"/>
  <c r="OY65" i="30" s="1"/>
  <c r="OZ65" i="30" s="1"/>
  <c r="PA65" i="30" s="1"/>
  <c r="PB65" i="30" s="1"/>
  <c r="PC65" i="30" s="1"/>
  <c r="PD65" i="30" s="1"/>
  <c r="PE65" i="30" s="1"/>
  <c r="PF65" i="30" s="1"/>
  <c r="PG65" i="30" s="1"/>
  <c r="W65" i="30"/>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CT65" i="30" s="1"/>
  <c r="CU65" i="30" s="1"/>
  <c r="CV65" i="30" s="1"/>
  <c r="CW65" i="30" s="1"/>
  <c r="CX65" i="30" s="1"/>
  <c r="CY65" i="30" s="1"/>
  <c r="CZ65" i="30" s="1"/>
  <c r="DA65" i="30" s="1"/>
  <c r="DB65" i="30" s="1"/>
  <c r="DC65" i="30" s="1"/>
  <c r="DD65" i="30" s="1"/>
  <c r="DE65" i="30" s="1"/>
  <c r="DF65" i="30" s="1"/>
  <c r="DG65" i="30" s="1"/>
  <c r="DH65" i="30" s="1"/>
  <c r="DI65" i="30" s="1"/>
  <c r="DJ65" i="30" s="1"/>
  <c r="DK65" i="30" s="1"/>
  <c r="DL65" i="30" s="1"/>
  <c r="DM65" i="30" s="1"/>
  <c r="DN65" i="30" s="1"/>
  <c r="DO65" i="30" s="1"/>
  <c r="DP65" i="30" s="1"/>
  <c r="DQ65" i="30" s="1"/>
  <c r="DR65" i="30" s="1"/>
  <c r="DS65" i="30" s="1"/>
  <c r="DT65" i="30" s="1"/>
  <c r="DU65" i="30" s="1"/>
  <c r="DV65" i="30" s="1"/>
  <c r="DW65" i="30" s="1"/>
  <c r="DX65" i="30" s="1"/>
  <c r="DY65" i="30" s="1"/>
  <c r="DZ65" i="30" s="1"/>
  <c r="EA65" i="30" s="1"/>
  <c r="EB65" i="30" s="1"/>
  <c r="EC65" i="30" s="1"/>
  <c r="ED65" i="30" s="1"/>
  <c r="EE65" i="30" s="1"/>
  <c r="EF65" i="30" s="1"/>
  <c r="EG65" i="30" s="1"/>
  <c r="EH65" i="30" s="1"/>
  <c r="EI65" i="30" s="1"/>
  <c r="EJ65" i="30" s="1"/>
  <c r="EK65" i="30" s="1"/>
  <c r="EL65" i="30" s="1"/>
  <c r="EM65" i="30" s="1"/>
  <c r="EN65" i="30" s="1"/>
  <c r="EO65" i="30" s="1"/>
  <c r="EP65" i="30" s="1"/>
  <c r="EQ65" i="30" s="1"/>
  <c r="ER65" i="30" s="1"/>
  <c r="ES65" i="30" s="1"/>
  <c r="ET65" i="30" s="1"/>
  <c r="EU65" i="30" s="1"/>
  <c r="EV65" i="30" s="1"/>
  <c r="EW65" i="30" s="1"/>
  <c r="EX65" i="30" s="1"/>
  <c r="EY65" i="30" s="1"/>
  <c r="EZ65" i="30" s="1"/>
  <c r="FA65" i="30" s="1"/>
  <c r="FB65" i="30" s="1"/>
  <c r="FC65" i="30" s="1"/>
  <c r="FD65" i="30" s="1"/>
  <c r="FE65" i="30" s="1"/>
  <c r="FF65" i="30" s="1"/>
  <c r="FG65" i="30" s="1"/>
  <c r="FH65" i="30" s="1"/>
  <c r="FI65" i="30" s="1"/>
  <c r="FJ65" i="30" s="1"/>
  <c r="FK65" i="30" s="1"/>
  <c r="FL65" i="30" s="1"/>
  <c r="FM65" i="30" s="1"/>
  <c r="FN65" i="30" s="1"/>
  <c r="FO65" i="30" s="1"/>
  <c r="FP65" i="30" s="1"/>
  <c r="FQ65" i="30" s="1"/>
  <c r="FR65" i="30" s="1"/>
  <c r="FS65" i="30" s="1"/>
  <c r="FT65" i="30" s="1"/>
  <c r="FU65" i="30" s="1"/>
  <c r="FV65" i="30" s="1"/>
  <c r="FW65" i="30" s="1"/>
  <c r="FX65" i="30" s="1"/>
  <c r="FY65" i="30" s="1"/>
  <c r="FZ65" i="30" s="1"/>
  <c r="GA65" i="30" s="1"/>
  <c r="GB65" i="30" s="1"/>
  <c r="GC65" i="30" s="1"/>
  <c r="GD65" i="30" s="1"/>
  <c r="GE65" i="30" s="1"/>
  <c r="GF65" i="30" s="1"/>
  <c r="GG65" i="30" s="1"/>
  <c r="GH65" i="30" s="1"/>
  <c r="GI65" i="30" s="1"/>
  <c r="GJ65" i="30" s="1"/>
  <c r="GK65" i="30" s="1"/>
  <c r="GL65" i="30" s="1"/>
  <c r="GM65" i="30" s="1"/>
  <c r="GN65" i="30" s="1"/>
  <c r="GO65" i="30" s="1"/>
  <c r="GP65" i="30" s="1"/>
  <c r="GQ65" i="30" s="1"/>
  <c r="GR65" i="30" s="1"/>
  <c r="GS65" i="30" s="1"/>
  <c r="GT65" i="30" s="1"/>
  <c r="GU65" i="30" s="1"/>
  <c r="GV65" i="30" s="1"/>
  <c r="GW65" i="30" s="1"/>
  <c r="GX65" i="30" s="1"/>
  <c r="GY65" i="30" s="1"/>
  <c r="GZ65" i="30" s="1"/>
  <c r="HA65" i="30" s="1"/>
  <c r="HB65" i="30" s="1"/>
  <c r="HC65" i="30" s="1"/>
  <c r="HD65" i="30" s="1"/>
  <c r="HE65" i="30" s="1"/>
  <c r="HF65" i="30" s="1"/>
  <c r="HG65" i="30" s="1"/>
  <c r="HH65" i="30" s="1"/>
  <c r="HI65" i="30" s="1"/>
  <c r="HJ65" i="30" s="1"/>
  <c r="HK65" i="30" s="1"/>
  <c r="HL65" i="30" s="1"/>
  <c r="HM65" i="30" s="1"/>
  <c r="HN65" i="30" s="1"/>
  <c r="HO65" i="30" s="1"/>
  <c r="HP65" i="30" s="1"/>
  <c r="HQ65" i="30" s="1"/>
  <c r="HR65" i="30" s="1"/>
  <c r="HS65" i="30" s="1"/>
  <c r="HT65" i="30" s="1"/>
  <c r="HU65" i="30" s="1"/>
  <c r="HV65" i="30" s="1"/>
  <c r="HW65" i="30" s="1"/>
  <c r="HX65" i="30" s="1"/>
  <c r="HY65" i="30" s="1"/>
  <c r="HZ65" i="30" s="1"/>
  <c r="IA65" i="30" s="1"/>
  <c r="IB65" i="30" s="1"/>
  <c r="IC65" i="30" s="1"/>
  <c r="ID65" i="30" s="1"/>
  <c r="IE65" i="30" s="1"/>
  <c r="IF65" i="30" s="1"/>
  <c r="IG65" i="30" s="1"/>
  <c r="IH65" i="30" s="1"/>
  <c r="II65" i="30" s="1"/>
  <c r="IJ65" i="30" s="1"/>
  <c r="IK65" i="30" s="1"/>
  <c r="IL65" i="30" s="1"/>
  <c r="IM65" i="30" s="1"/>
  <c r="IN65" i="30" s="1"/>
  <c r="IO65" i="30" s="1"/>
  <c r="IP65" i="30" s="1"/>
  <c r="IQ65" i="30" s="1"/>
  <c r="IR65" i="30" s="1"/>
  <c r="IS65" i="30" s="1"/>
  <c r="IT65" i="30" s="1"/>
  <c r="IU65" i="30" s="1"/>
  <c r="IV65" i="30" s="1"/>
  <c r="IW65" i="30" s="1"/>
  <c r="IX65" i="30" s="1"/>
  <c r="IY65" i="30" s="1"/>
  <c r="IZ65" i="30" s="1"/>
  <c r="JA65" i="30" s="1"/>
  <c r="JB65" i="30" s="1"/>
  <c r="JC65" i="30" s="1"/>
  <c r="JD65" i="30" s="1"/>
  <c r="JE65" i="30" s="1"/>
  <c r="JF65" i="30" s="1"/>
  <c r="JG65" i="30" s="1"/>
  <c r="JH65" i="30" s="1"/>
  <c r="JI65" i="30" s="1"/>
  <c r="JJ65" i="30" s="1"/>
  <c r="JK65" i="30" s="1"/>
  <c r="JL65" i="30" s="1"/>
  <c r="JM65" i="30" s="1"/>
  <c r="JN65" i="30" s="1"/>
  <c r="JO65" i="30" s="1"/>
  <c r="JP65" i="30" s="1"/>
  <c r="JQ65" i="30" s="1"/>
  <c r="JR65" i="30" s="1"/>
  <c r="JS65" i="30" s="1"/>
  <c r="JT65" i="30" s="1"/>
  <c r="JU65" i="30" s="1"/>
  <c r="JV65" i="30" s="1"/>
  <c r="JW65" i="30" s="1"/>
  <c r="JX65" i="30" s="1"/>
  <c r="JY65" i="30" s="1"/>
  <c r="JZ65" i="30" s="1"/>
  <c r="KA65" i="30" s="1"/>
  <c r="KB65" i="30" s="1"/>
  <c r="KC65" i="30" s="1"/>
  <c r="KD65" i="30" s="1"/>
  <c r="KE65" i="30" s="1"/>
  <c r="KF65" i="30" s="1"/>
  <c r="KG65" i="30" s="1"/>
  <c r="KH65" i="30" s="1"/>
  <c r="KI65" i="30" s="1"/>
  <c r="KJ65" i="30" s="1"/>
  <c r="KK65" i="30" s="1"/>
  <c r="KL65" i="30" s="1"/>
  <c r="KM65" i="30" s="1"/>
  <c r="KN65" i="30" s="1"/>
  <c r="KO65" i="30" s="1"/>
  <c r="KP65" i="30" s="1"/>
  <c r="KQ65" i="30" s="1"/>
  <c r="KR65" i="30" s="1"/>
  <c r="KS65" i="30" s="1"/>
  <c r="KT65" i="30" s="1"/>
  <c r="KU65" i="30" s="1"/>
  <c r="KV65" i="30" s="1"/>
  <c r="KW65" i="30" s="1"/>
  <c r="KX65" i="30" s="1"/>
  <c r="KY65" i="30" s="1"/>
  <c r="KZ65" i="30" s="1"/>
  <c r="LA65" i="30" s="1"/>
  <c r="LB65" i="30" s="1"/>
  <c r="LC65" i="30" s="1"/>
  <c r="LD65" i="30" s="1"/>
  <c r="LE65" i="30" s="1"/>
  <c r="LF65" i="30" s="1"/>
  <c r="LG65" i="30" s="1"/>
  <c r="LH65" i="30" s="1"/>
  <c r="LI65" i="30" s="1"/>
  <c r="LJ65" i="30" s="1"/>
  <c r="D65" i="30"/>
  <c r="C65" i="30"/>
  <c r="LL64" i="30"/>
  <c r="LM64" i="30" s="1"/>
  <c r="LN64" i="30" s="1"/>
  <c r="LO64" i="30" s="1"/>
  <c r="LP64" i="30" s="1"/>
  <c r="LQ64" i="30" s="1"/>
  <c r="LR64" i="30" s="1"/>
  <c r="LS64" i="30" s="1"/>
  <c r="LT64" i="30" s="1"/>
  <c r="LU64" i="30" s="1"/>
  <c r="LV64" i="30" s="1"/>
  <c r="LW64" i="30" s="1"/>
  <c r="LX64" i="30" s="1"/>
  <c r="LY64" i="30" s="1"/>
  <c r="LZ64" i="30" s="1"/>
  <c r="MA64" i="30" s="1"/>
  <c r="MB64" i="30" s="1"/>
  <c r="MC64" i="30" s="1"/>
  <c r="MD64" i="30" s="1"/>
  <c r="ME64" i="30" s="1"/>
  <c r="MF64" i="30" s="1"/>
  <c r="MG64" i="30" s="1"/>
  <c r="MH64" i="30" s="1"/>
  <c r="MI64" i="30" s="1"/>
  <c r="MJ64" i="30" s="1"/>
  <c r="MK64" i="30" s="1"/>
  <c r="ML64" i="30" s="1"/>
  <c r="MM64" i="30" s="1"/>
  <c r="MN64" i="30" s="1"/>
  <c r="MO64" i="30" s="1"/>
  <c r="MP64" i="30" s="1"/>
  <c r="MQ64" i="30" s="1"/>
  <c r="MR64" i="30" s="1"/>
  <c r="MS64" i="30" s="1"/>
  <c r="MT64" i="30" s="1"/>
  <c r="MU64" i="30" s="1"/>
  <c r="MV64" i="30" s="1"/>
  <c r="MW64" i="30" s="1"/>
  <c r="MX64" i="30" s="1"/>
  <c r="MY64" i="30" s="1"/>
  <c r="MZ64" i="30" s="1"/>
  <c r="NA64" i="30" s="1"/>
  <c r="NB64" i="30" s="1"/>
  <c r="NC64" i="30" s="1"/>
  <c r="ND64" i="30" s="1"/>
  <c r="NE64" i="30" s="1"/>
  <c r="NF64" i="30" s="1"/>
  <c r="NG64" i="30" s="1"/>
  <c r="NH64" i="30" s="1"/>
  <c r="NI64" i="30" s="1"/>
  <c r="NJ64" i="30" s="1"/>
  <c r="NK64" i="30" s="1"/>
  <c r="NL64" i="30" s="1"/>
  <c r="NM64" i="30" s="1"/>
  <c r="NN64" i="30" s="1"/>
  <c r="NO64" i="30" s="1"/>
  <c r="NP64" i="30" s="1"/>
  <c r="NQ64" i="30" s="1"/>
  <c r="NR64" i="30" s="1"/>
  <c r="NS64" i="30" s="1"/>
  <c r="NT64" i="30" s="1"/>
  <c r="NU64" i="30" s="1"/>
  <c r="NV64" i="30" s="1"/>
  <c r="NW64" i="30" s="1"/>
  <c r="NX64" i="30" s="1"/>
  <c r="NY64" i="30" s="1"/>
  <c r="NZ64" i="30" s="1"/>
  <c r="OA64" i="30" s="1"/>
  <c r="OB64" i="30" s="1"/>
  <c r="OC64" i="30" s="1"/>
  <c r="OD64" i="30" s="1"/>
  <c r="OE64" i="30" s="1"/>
  <c r="OF64" i="30" s="1"/>
  <c r="OG64" i="30" s="1"/>
  <c r="OH64" i="30" s="1"/>
  <c r="OI64" i="30" s="1"/>
  <c r="OJ64" i="30" s="1"/>
  <c r="OK64" i="30" s="1"/>
  <c r="OL64" i="30" s="1"/>
  <c r="OM64" i="30" s="1"/>
  <c r="ON64" i="30" s="1"/>
  <c r="OO64" i="30" s="1"/>
  <c r="OP64" i="30" s="1"/>
  <c r="OQ64" i="30" s="1"/>
  <c r="OR64" i="30" s="1"/>
  <c r="OS64" i="30" s="1"/>
  <c r="OT64" i="30" s="1"/>
  <c r="OU64" i="30" s="1"/>
  <c r="OV64" i="30" s="1"/>
  <c r="OW64" i="30" s="1"/>
  <c r="OX64" i="30" s="1"/>
  <c r="OY64" i="30" s="1"/>
  <c r="OZ64" i="30" s="1"/>
  <c r="PA64" i="30" s="1"/>
  <c r="PB64" i="30" s="1"/>
  <c r="PC64" i="30" s="1"/>
  <c r="PD64" i="30" s="1"/>
  <c r="PE64" i="30" s="1"/>
  <c r="PF64" i="30" s="1"/>
  <c r="PG64" i="30" s="1"/>
  <c r="W64" i="30"/>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CT64" i="30" s="1"/>
  <c r="CU64" i="30" s="1"/>
  <c r="CV64" i="30" s="1"/>
  <c r="CW64" i="30" s="1"/>
  <c r="CX64" i="30" s="1"/>
  <c r="CY64" i="30" s="1"/>
  <c r="CZ64" i="30" s="1"/>
  <c r="DA64" i="30" s="1"/>
  <c r="DB64" i="30" s="1"/>
  <c r="DC64" i="30" s="1"/>
  <c r="DD64" i="30" s="1"/>
  <c r="DE64" i="30" s="1"/>
  <c r="DF64" i="30" s="1"/>
  <c r="DG64" i="30" s="1"/>
  <c r="DH64" i="30" s="1"/>
  <c r="DI64" i="30" s="1"/>
  <c r="DJ64" i="30" s="1"/>
  <c r="DK64" i="30" s="1"/>
  <c r="DL64" i="30" s="1"/>
  <c r="DM64" i="30" s="1"/>
  <c r="DN64" i="30" s="1"/>
  <c r="DO64" i="30" s="1"/>
  <c r="DP64" i="30" s="1"/>
  <c r="DQ64" i="30" s="1"/>
  <c r="DR64" i="30" s="1"/>
  <c r="DS64" i="30" s="1"/>
  <c r="DT64" i="30" s="1"/>
  <c r="DU64" i="30" s="1"/>
  <c r="DV64" i="30" s="1"/>
  <c r="DW64" i="30" s="1"/>
  <c r="DX64" i="30" s="1"/>
  <c r="DY64" i="30" s="1"/>
  <c r="DZ64" i="30" s="1"/>
  <c r="EA64" i="30" s="1"/>
  <c r="EB64" i="30" s="1"/>
  <c r="EC64" i="30" s="1"/>
  <c r="ED64" i="30" s="1"/>
  <c r="EE64" i="30" s="1"/>
  <c r="EF64" i="30" s="1"/>
  <c r="EG64" i="30" s="1"/>
  <c r="EH64" i="30" s="1"/>
  <c r="EI64" i="30" s="1"/>
  <c r="EJ64" i="30" s="1"/>
  <c r="EK64" i="30" s="1"/>
  <c r="EL64" i="30" s="1"/>
  <c r="EM64" i="30" s="1"/>
  <c r="EN64" i="30" s="1"/>
  <c r="EO64" i="30" s="1"/>
  <c r="EP64" i="30" s="1"/>
  <c r="EQ64" i="30" s="1"/>
  <c r="ER64" i="30" s="1"/>
  <c r="ES64" i="30" s="1"/>
  <c r="ET64" i="30" s="1"/>
  <c r="EU64" i="30" s="1"/>
  <c r="EV64" i="30" s="1"/>
  <c r="EW64" i="30" s="1"/>
  <c r="EX64" i="30" s="1"/>
  <c r="EY64" i="30" s="1"/>
  <c r="EZ64" i="30" s="1"/>
  <c r="FA64" i="30" s="1"/>
  <c r="FB64" i="30" s="1"/>
  <c r="FC64" i="30" s="1"/>
  <c r="FD64" i="30" s="1"/>
  <c r="FE64" i="30" s="1"/>
  <c r="FF64" i="30" s="1"/>
  <c r="FG64" i="30" s="1"/>
  <c r="FH64" i="30" s="1"/>
  <c r="FI64" i="30" s="1"/>
  <c r="FJ64" i="30" s="1"/>
  <c r="FK64" i="30" s="1"/>
  <c r="FL64" i="30" s="1"/>
  <c r="FM64" i="30" s="1"/>
  <c r="FN64" i="30" s="1"/>
  <c r="FO64" i="30" s="1"/>
  <c r="FP64" i="30" s="1"/>
  <c r="FQ64" i="30" s="1"/>
  <c r="FR64" i="30" s="1"/>
  <c r="FS64" i="30" s="1"/>
  <c r="FT64" i="30" s="1"/>
  <c r="FU64" i="30" s="1"/>
  <c r="FV64" i="30" s="1"/>
  <c r="FW64" i="30" s="1"/>
  <c r="FX64" i="30" s="1"/>
  <c r="FY64" i="30" s="1"/>
  <c r="FZ64" i="30" s="1"/>
  <c r="GA64" i="30" s="1"/>
  <c r="GB64" i="30" s="1"/>
  <c r="GC64" i="30" s="1"/>
  <c r="GD64" i="30" s="1"/>
  <c r="GE64" i="30" s="1"/>
  <c r="GF64" i="30" s="1"/>
  <c r="GG64" i="30" s="1"/>
  <c r="GH64" i="30" s="1"/>
  <c r="GI64" i="30" s="1"/>
  <c r="GJ64" i="30" s="1"/>
  <c r="GK64" i="30" s="1"/>
  <c r="GL64" i="30" s="1"/>
  <c r="GM64" i="30" s="1"/>
  <c r="GN64" i="30" s="1"/>
  <c r="GO64" i="30" s="1"/>
  <c r="GP64" i="30" s="1"/>
  <c r="GQ64" i="30" s="1"/>
  <c r="GR64" i="30" s="1"/>
  <c r="GS64" i="30" s="1"/>
  <c r="GT64" i="30" s="1"/>
  <c r="GU64" i="30" s="1"/>
  <c r="GV64" i="30" s="1"/>
  <c r="GW64" i="30" s="1"/>
  <c r="GX64" i="30" s="1"/>
  <c r="GY64" i="30" s="1"/>
  <c r="GZ64" i="30" s="1"/>
  <c r="HA64" i="30" s="1"/>
  <c r="HB64" i="30" s="1"/>
  <c r="HC64" i="30" s="1"/>
  <c r="HD64" i="30" s="1"/>
  <c r="HE64" i="30" s="1"/>
  <c r="HF64" i="30" s="1"/>
  <c r="HG64" i="30" s="1"/>
  <c r="HH64" i="30" s="1"/>
  <c r="HI64" i="30" s="1"/>
  <c r="HJ64" i="30" s="1"/>
  <c r="HK64" i="30" s="1"/>
  <c r="HL64" i="30" s="1"/>
  <c r="HM64" i="30" s="1"/>
  <c r="HN64" i="30" s="1"/>
  <c r="HO64" i="30" s="1"/>
  <c r="HP64" i="30" s="1"/>
  <c r="HQ64" i="30" s="1"/>
  <c r="HR64" i="30" s="1"/>
  <c r="HS64" i="30" s="1"/>
  <c r="HT64" i="30" s="1"/>
  <c r="HU64" i="30" s="1"/>
  <c r="HV64" i="30" s="1"/>
  <c r="HW64" i="30" s="1"/>
  <c r="HX64" i="30" s="1"/>
  <c r="HY64" i="30" s="1"/>
  <c r="HZ64" i="30" s="1"/>
  <c r="IA64" i="30" s="1"/>
  <c r="IB64" i="30" s="1"/>
  <c r="IC64" i="30" s="1"/>
  <c r="ID64" i="30" s="1"/>
  <c r="IE64" i="30" s="1"/>
  <c r="IF64" i="30" s="1"/>
  <c r="IG64" i="30" s="1"/>
  <c r="IH64" i="30" s="1"/>
  <c r="II64" i="30" s="1"/>
  <c r="IJ64" i="30" s="1"/>
  <c r="IK64" i="30" s="1"/>
  <c r="IL64" i="30" s="1"/>
  <c r="IM64" i="30" s="1"/>
  <c r="IN64" i="30" s="1"/>
  <c r="IO64" i="30" s="1"/>
  <c r="IP64" i="30" s="1"/>
  <c r="IQ64" i="30" s="1"/>
  <c r="IR64" i="30" s="1"/>
  <c r="IS64" i="30" s="1"/>
  <c r="IT64" i="30" s="1"/>
  <c r="IU64" i="30" s="1"/>
  <c r="IV64" i="30" s="1"/>
  <c r="IW64" i="30" s="1"/>
  <c r="IX64" i="30" s="1"/>
  <c r="IY64" i="30" s="1"/>
  <c r="IZ64" i="30" s="1"/>
  <c r="JA64" i="30" s="1"/>
  <c r="JB64" i="30" s="1"/>
  <c r="JC64" i="30" s="1"/>
  <c r="JD64" i="30" s="1"/>
  <c r="JE64" i="30" s="1"/>
  <c r="JF64" i="30" s="1"/>
  <c r="JG64" i="30" s="1"/>
  <c r="JH64" i="30" s="1"/>
  <c r="JI64" i="30" s="1"/>
  <c r="JJ64" i="30" s="1"/>
  <c r="JK64" i="30" s="1"/>
  <c r="JL64" i="30" s="1"/>
  <c r="JM64" i="30" s="1"/>
  <c r="JN64" i="30" s="1"/>
  <c r="JO64" i="30" s="1"/>
  <c r="JP64" i="30" s="1"/>
  <c r="JQ64" i="30" s="1"/>
  <c r="JR64" i="30" s="1"/>
  <c r="JS64" i="30" s="1"/>
  <c r="JT64" i="30" s="1"/>
  <c r="JU64" i="30" s="1"/>
  <c r="JV64" i="30" s="1"/>
  <c r="JW64" i="30" s="1"/>
  <c r="JX64" i="30" s="1"/>
  <c r="JY64" i="30" s="1"/>
  <c r="JZ64" i="30" s="1"/>
  <c r="KA64" i="30" s="1"/>
  <c r="KB64" i="30" s="1"/>
  <c r="KC64" i="30" s="1"/>
  <c r="KD64" i="30" s="1"/>
  <c r="KE64" i="30" s="1"/>
  <c r="KF64" i="30" s="1"/>
  <c r="KG64" i="30" s="1"/>
  <c r="KH64" i="30" s="1"/>
  <c r="KI64" i="30" s="1"/>
  <c r="KJ64" i="30" s="1"/>
  <c r="KK64" i="30" s="1"/>
  <c r="KL64" i="30" s="1"/>
  <c r="KM64" i="30" s="1"/>
  <c r="KN64" i="30" s="1"/>
  <c r="KO64" i="30" s="1"/>
  <c r="KP64" i="30" s="1"/>
  <c r="KQ64" i="30" s="1"/>
  <c r="KR64" i="30" s="1"/>
  <c r="KS64" i="30" s="1"/>
  <c r="KT64" i="30" s="1"/>
  <c r="KU64" i="30" s="1"/>
  <c r="KV64" i="30" s="1"/>
  <c r="KW64" i="30" s="1"/>
  <c r="KX64" i="30" s="1"/>
  <c r="KY64" i="30" s="1"/>
  <c r="KZ64" i="30" s="1"/>
  <c r="LA64" i="30" s="1"/>
  <c r="LB64" i="30" s="1"/>
  <c r="LC64" i="30" s="1"/>
  <c r="LD64" i="30" s="1"/>
  <c r="LE64" i="30" s="1"/>
  <c r="LF64" i="30" s="1"/>
  <c r="LG64" i="30" s="1"/>
  <c r="LH64" i="30" s="1"/>
  <c r="LI64" i="30" s="1"/>
  <c r="LJ64" i="30" s="1"/>
  <c r="D64" i="30"/>
  <c r="C64" i="30"/>
  <c r="LL63" i="30"/>
  <c r="LM63" i="30" s="1"/>
  <c r="LN63" i="30" s="1"/>
  <c r="LO63" i="30" s="1"/>
  <c r="LP63" i="30" s="1"/>
  <c r="LQ63" i="30" s="1"/>
  <c r="LR63" i="30" s="1"/>
  <c r="LS63" i="30" s="1"/>
  <c r="LT63" i="30" s="1"/>
  <c r="LU63" i="30" s="1"/>
  <c r="LV63" i="30" s="1"/>
  <c r="LW63" i="30" s="1"/>
  <c r="LX63" i="30" s="1"/>
  <c r="LY63" i="30" s="1"/>
  <c r="LZ63" i="30" s="1"/>
  <c r="MA63" i="30" s="1"/>
  <c r="MB63" i="30" s="1"/>
  <c r="MC63" i="30" s="1"/>
  <c r="MD63" i="30" s="1"/>
  <c r="ME63" i="30" s="1"/>
  <c r="MF63" i="30" s="1"/>
  <c r="MG63" i="30" s="1"/>
  <c r="MH63" i="30" s="1"/>
  <c r="MI63" i="30" s="1"/>
  <c r="MJ63" i="30" s="1"/>
  <c r="MK63" i="30" s="1"/>
  <c r="ML63" i="30" s="1"/>
  <c r="MM63" i="30" s="1"/>
  <c r="MN63" i="30" s="1"/>
  <c r="MO63" i="30" s="1"/>
  <c r="MP63" i="30" s="1"/>
  <c r="MQ63" i="30" s="1"/>
  <c r="MR63" i="30" s="1"/>
  <c r="MS63" i="30" s="1"/>
  <c r="MT63" i="30" s="1"/>
  <c r="MU63" i="30" s="1"/>
  <c r="MV63" i="30" s="1"/>
  <c r="MW63" i="30" s="1"/>
  <c r="MX63" i="30" s="1"/>
  <c r="MY63" i="30" s="1"/>
  <c r="MZ63" i="30" s="1"/>
  <c r="NA63" i="30" s="1"/>
  <c r="NB63" i="30" s="1"/>
  <c r="NC63" i="30" s="1"/>
  <c r="ND63" i="30" s="1"/>
  <c r="NE63" i="30" s="1"/>
  <c r="NF63" i="30" s="1"/>
  <c r="NG63" i="30" s="1"/>
  <c r="NH63" i="30" s="1"/>
  <c r="NI63" i="30" s="1"/>
  <c r="NJ63" i="30" s="1"/>
  <c r="NK63" i="30" s="1"/>
  <c r="NL63" i="30" s="1"/>
  <c r="NM63" i="30" s="1"/>
  <c r="NN63" i="30" s="1"/>
  <c r="NO63" i="30" s="1"/>
  <c r="NP63" i="30" s="1"/>
  <c r="NQ63" i="30" s="1"/>
  <c r="NR63" i="30" s="1"/>
  <c r="NS63" i="30" s="1"/>
  <c r="NT63" i="30" s="1"/>
  <c r="NU63" i="30" s="1"/>
  <c r="NV63" i="30" s="1"/>
  <c r="NW63" i="30" s="1"/>
  <c r="NX63" i="30" s="1"/>
  <c r="NY63" i="30" s="1"/>
  <c r="NZ63" i="30" s="1"/>
  <c r="OA63" i="30" s="1"/>
  <c r="OB63" i="30" s="1"/>
  <c r="OC63" i="30" s="1"/>
  <c r="OD63" i="30" s="1"/>
  <c r="OE63" i="30" s="1"/>
  <c r="OF63" i="30" s="1"/>
  <c r="OG63" i="30" s="1"/>
  <c r="OH63" i="30" s="1"/>
  <c r="OI63" i="30" s="1"/>
  <c r="OJ63" i="30" s="1"/>
  <c r="OK63" i="30" s="1"/>
  <c r="OL63" i="30" s="1"/>
  <c r="OM63" i="30" s="1"/>
  <c r="ON63" i="30" s="1"/>
  <c r="OO63" i="30" s="1"/>
  <c r="OP63" i="30" s="1"/>
  <c r="OQ63" i="30" s="1"/>
  <c r="OR63" i="30" s="1"/>
  <c r="OS63" i="30" s="1"/>
  <c r="OT63" i="30" s="1"/>
  <c r="OU63" i="30" s="1"/>
  <c r="OV63" i="30" s="1"/>
  <c r="OW63" i="30" s="1"/>
  <c r="OX63" i="30" s="1"/>
  <c r="OY63" i="30" s="1"/>
  <c r="OZ63" i="30" s="1"/>
  <c r="PA63" i="30" s="1"/>
  <c r="PB63" i="30" s="1"/>
  <c r="PC63" i="30" s="1"/>
  <c r="PD63" i="30" s="1"/>
  <c r="PE63" i="30" s="1"/>
  <c r="PF63" i="30" s="1"/>
  <c r="PG63" i="30" s="1"/>
  <c r="W63" i="30"/>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CT63" i="30" s="1"/>
  <c r="CU63" i="30" s="1"/>
  <c r="CV63" i="30" s="1"/>
  <c r="CW63" i="30" s="1"/>
  <c r="CX63" i="30" s="1"/>
  <c r="CY63" i="30" s="1"/>
  <c r="CZ63" i="30" s="1"/>
  <c r="DA63" i="30" s="1"/>
  <c r="DB63" i="30" s="1"/>
  <c r="DC63" i="30" s="1"/>
  <c r="DD63" i="30" s="1"/>
  <c r="DE63" i="30" s="1"/>
  <c r="DF63" i="30" s="1"/>
  <c r="DG63" i="30" s="1"/>
  <c r="DH63" i="30" s="1"/>
  <c r="DI63" i="30" s="1"/>
  <c r="DJ63" i="30" s="1"/>
  <c r="DK63" i="30" s="1"/>
  <c r="DL63" i="30" s="1"/>
  <c r="DM63" i="30" s="1"/>
  <c r="DN63" i="30" s="1"/>
  <c r="DO63" i="30" s="1"/>
  <c r="DP63" i="30" s="1"/>
  <c r="DQ63" i="30" s="1"/>
  <c r="DR63" i="30" s="1"/>
  <c r="DS63" i="30" s="1"/>
  <c r="DT63" i="30" s="1"/>
  <c r="DU63" i="30" s="1"/>
  <c r="DV63" i="30" s="1"/>
  <c r="DW63" i="30" s="1"/>
  <c r="DX63" i="30" s="1"/>
  <c r="DY63" i="30" s="1"/>
  <c r="DZ63" i="30" s="1"/>
  <c r="EA63" i="30" s="1"/>
  <c r="EB63" i="30" s="1"/>
  <c r="EC63" i="30" s="1"/>
  <c r="ED63" i="30" s="1"/>
  <c r="EE63" i="30" s="1"/>
  <c r="EF63" i="30" s="1"/>
  <c r="EG63" i="30" s="1"/>
  <c r="EH63" i="30" s="1"/>
  <c r="EI63" i="30" s="1"/>
  <c r="EJ63" i="30" s="1"/>
  <c r="EK63" i="30" s="1"/>
  <c r="EL63" i="30" s="1"/>
  <c r="EM63" i="30" s="1"/>
  <c r="EN63" i="30" s="1"/>
  <c r="EO63" i="30" s="1"/>
  <c r="EP63" i="30" s="1"/>
  <c r="EQ63" i="30" s="1"/>
  <c r="ER63" i="30" s="1"/>
  <c r="ES63" i="30" s="1"/>
  <c r="ET63" i="30" s="1"/>
  <c r="EU63" i="30" s="1"/>
  <c r="EV63" i="30" s="1"/>
  <c r="EW63" i="30" s="1"/>
  <c r="EX63" i="30" s="1"/>
  <c r="EY63" i="30" s="1"/>
  <c r="EZ63" i="30" s="1"/>
  <c r="FA63" i="30" s="1"/>
  <c r="FB63" i="30" s="1"/>
  <c r="FC63" i="30" s="1"/>
  <c r="FD63" i="30" s="1"/>
  <c r="FE63" i="30" s="1"/>
  <c r="FF63" i="30" s="1"/>
  <c r="FG63" i="30" s="1"/>
  <c r="FH63" i="30" s="1"/>
  <c r="FI63" i="30" s="1"/>
  <c r="FJ63" i="30" s="1"/>
  <c r="FK63" i="30" s="1"/>
  <c r="FL63" i="30" s="1"/>
  <c r="FM63" i="30" s="1"/>
  <c r="FN63" i="30" s="1"/>
  <c r="FO63" i="30" s="1"/>
  <c r="FP63" i="30" s="1"/>
  <c r="FQ63" i="30" s="1"/>
  <c r="FR63" i="30" s="1"/>
  <c r="FS63" i="30" s="1"/>
  <c r="FT63" i="30" s="1"/>
  <c r="FU63" i="30" s="1"/>
  <c r="FV63" i="30" s="1"/>
  <c r="FW63" i="30" s="1"/>
  <c r="FX63" i="30" s="1"/>
  <c r="FY63" i="30" s="1"/>
  <c r="FZ63" i="30" s="1"/>
  <c r="GA63" i="30" s="1"/>
  <c r="GB63" i="30" s="1"/>
  <c r="GC63" i="30" s="1"/>
  <c r="GD63" i="30" s="1"/>
  <c r="GE63" i="30" s="1"/>
  <c r="GF63" i="30" s="1"/>
  <c r="GG63" i="30" s="1"/>
  <c r="GH63" i="30" s="1"/>
  <c r="GI63" i="30" s="1"/>
  <c r="GJ63" i="30" s="1"/>
  <c r="GK63" i="30" s="1"/>
  <c r="GL63" i="30" s="1"/>
  <c r="GM63" i="30" s="1"/>
  <c r="GN63" i="30" s="1"/>
  <c r="GO63" i="30" s="1"/>
  <c r="GP63" i="30" s="1"/>
  <c r="GQ63" i="30" s="1"/>
  <c r="GR63" i="30" s="1"/>
  <c r="GS63" i="30" s="1"/>
  <c r="GT63" i="30" s="1"/>
  <c r="GU63" i="30" s="1"/>
  <c r="GV63" i="30" s="1"/>
  <c r="GW63" i="30" s="1"/>
  <c r="GX63" i="30" s="1"/>
  <c r="GY63" i="30" s="1"/>
  <c r="GZ63" i="30" s="1"/>
  <c r="HA63" i="30" s="1"/>
  <c r="HB63" i="30" s="1"/>
  <c r="HC63" i="30" s="1"/>
  <c r="HD63" i="30" s="1"/>
  <c r="HE63" i="30" s="1"/>
  <c r="HF63" i="30" s="1"/>
  <c r="HG63" i="30" s="1"/>
  <c r="HH63" i="30" s="1"/>
  <c r="HI63" i="30" s="1"/>
  <c r="HJ63" i="30" s="1"/>
  <c r="HK63" i="30" s="1"/>
  <c r="HL63" i="30" s="1"/>
  <c r="HM63" i="30" s="1"/>
  <c r="HN63" i="30" s="1"/>
  <c r="HO63" i="30" s="1"/>
  <c r="HP63" i="30" s="1"/>
  <c r="HQ63" i="30" s="1"/>
  <c r="HR63" i="30" s="1"/>
  <c r="HS63" i="30" s="1"/>
  <c r="HT63" i="30" s="1"/>
  <c r="HU63" i="30" s="1"/>
  <c r="HV63" i="30" s="1"/>
  <c r="HW63" i="30" s="1"/>
  <c r="HX63" i="30" s="1"/>
  <c r="HY63" i="30" s="1"/>
  <c r="HZ63" i="30" s="1"/>
  <c r="IA63" i="30" s="1"/>
  <c r="IB63" i="30" s="1"/>
  <c r="IC63" i="30" s="1"/>
  <c r="ID63" i="30" s="1"/>
  <c r="IE63" i="30" s="1"/>
  <c r="IF63" i="30" s="1"/>
  <c r="IG63" i="30" s="1"/>
  <c r="IH63" i="30" s="1"/>
  <c r="II63" i="30" s="1"/>
  <c r="IJ63" i="30" s="1"/>
  <c r="IK63" i="30" s="1"/>
  <c r="IL63" i="30" s="1"/>
  <c r="IM63" i="30" s="1"/>
  <c r="IN63" i="30" s="1"/>
  <c r="IO63" i="30" s="1"/>
  <c r="IP63" i="30" s="1"/>
  <c r="IQ63" i="30" s="1"/>
  <c r="IR63" i="30" s="1"/>
  <c r="IS63" i="30" s="1"/>
  <c r="IT63" i="30" s="1"/>
  <c r="IU63" i="30" s="1"/>
  <c r="IV63" i="30" s="1"/>
  <c r="IW63" i="30" s="1"/>
  <c r="IX63" i="30" s="1"/>
  <c r="IY63" i="30" s="1"/>
  <c r="IZ63" i="30" s="1"/>
  <c r="JA63" i="30" s="1"/>
  <c r="JB63" i="30" s="1"/>
  <c r="JC63" i="30" s="1"/>
  <c r="JD63" i="30" s="1"/>
  <c r="JE63" i="30" s="1"/>
  <c r="JF63" i="30" s="1"/>
  <c r="JG63" i="30" s="1"/>
  <c r="JH63" i="30" s="1"/>
  <c r="JI63" i="30" s="1"/>
  <c r="JJ63" i="30" s="1"/>
  <c r="JK63" i="30" s="1"/>
  <c r="JL63" i="30" s="1"/>
  <c r="JM63" i="30" s="1"/>
  <c r="JN63" i="30" s="1"/>
  <c r="JO63" i="30" s="1"/>
  <c r="JP63" i="30" s="1"/>
  <c r="JQ63" i="30" s="1"/>
  <c r="JR63" i="30" s="1"/>
  <c r="JS63" i="30" s="1"/>
  <c r="JT63" i="30" s="1"/>
  <c r="JU63" i="30" s="1"/>
  <c r="JV63" i="30" s="1"/>
  <c r="JW63" i="30" s="1"/>
  <c r="JX63" i="30" s="1"/>
  <c r="JY63" i="30" s="1"/>
  <c r="JZ63" i="30" s="1"/>
  <c r="KA63" i="30" s="1"/>
  <c r="KB63" i="30" s="1"/>
  <c r="KC63" i="30" s="1"/>
  <c r="KD63" i="30" s="1"/>
  <c r="KE63" i="30" s="1"/>
  <c r="KF63" i="30" s="1"/>
  <c r="KG63" i="30" s="1"/>
  <c r="KH63" i="30" s="1"/>
  <c r="KI63" i="30" s="1"/>
  <c r="KJ63" i="30" s="1"/>
  <c r="KK63" i="30" s="1"/>
  <c r="KL63" i="30" s="1"/>
  <c r="KM63" i="30" s="1"/>
  <c r="KN63" i="30" s="1"/>
  <c r="KO63" i="30" s="1"/>
  <c r="KP63" i="30" s="1"/>
  <c r="KQ63" i="30" s="1"/>
  <c r="KR63" i="30" s="1"/>
  <c r="KS63" i="30" s="1"/>
  <c r="KT63" i="30" s="1"/>
  <c r="KU63" i="30" s="1"/>
  <c r="KV63" i="30" s="1"/>
  <c r="KW63" i="30" s="1"/>
  <c r="KX63" i="30" s="1"/>
  <c r="KY63" i="30" s="1"/>
  <c r="KZ63" i="30" s="1"/>
  <c r="LA63" i="30" s="1"/>
  <c r="LB63" i="30" s="1"/>
  <c r="LC63" i="30" s="1"/>
  <c r="LD63" i="30" s="1"/>
  <c r="LE63" i="30" s="1"/>
  <c r="LF63" i="30" s="1"/>
  <c r="LG63" i="30" s="1"/>
  <c r="LH63" i="30" s="1"/>
  <c r="LI63" i="30" s="1"/>
  <c r="LJ63" i="30" s="1"/>
  <c r="D63" i="30"/>
  <c r="C63" i="30"/>
  <c r="LL62" i="30"/>
  <c r="LM62" i="30" s="1"/>
  <c r="LN62" i="30" s="1"/>
  <c r="LO62" i="30" s="1"/>
  <c r="LP62" i="30" s="1"/>
  <c r="LQ62" i="30" s="1"/>
  <c r="LR62" i="30" s="1"/>
  <c r="LS62" i="30" s="1"/>
  <c r="LT62" i="30" s="1"/>
  <c r="LU62" i="30" s="1"/>
  <c r="LV62" i="30" s="1"/>
  <c r="LW62" i="30" s="1"/>
  <c r="LX62" i="30" s="1"/>
  <c r="LY62" i="30" s="1"/>
  <c r="LZ62" i="30" s="1"/>
  <c r="MA62" i="30" s="1"/>
  <c r="MB62" i="30" s="1"/>
  <c r="MC62" i="30" s="1"/>
  <c r="MD62" i="30" s="1"/>
  <c r="ME62" i="30" s="1"/>
  <c r="MF62" i="30" s="1"/>
  <c r="MG62" i="30" s="1"/>
  <c r="MH62" i="30" s="1"/>
  <c r="MI62" i="30" s="1"/>
  <c r="MJ62" i="30" s="1"/>
  <c r="MK62" i="30" s="1"/>
  <c r="ML62" i="30" s="1"/>
  <c r="MM62" i="30" s="1"/>
  <c r="MN62" i="30" s="1"/>
  <c r="MO62" i="30" s="1"/>
  <c r="MP62" i="30" s="1"/>
  <c r="MQ62" i="30" s="1"/>
  <c r="MR62" i="30" s="1"/>
  <c r="MS62" i="30" s="1"/>
  <c r="MT62" i="30" s="1"/>
  <c r="MU62" i="30" s="1"/>
  <c r="MV62" i="30" s="1"/>
  <c r="MW62" i="30" s="1"/>
  <c r="MX62" i="30" s="1"/>
  <c r="MY62" i="30" s="1"/>
  <c r="MZ62" i="30" s="1"/>
  <c r="NA62" i="30" s="1"/>
  <c r="NB62" i="30" s="1"/>
  <c r="NC62" i="30" s="1"/>
  <c r="ND62" i="30" s="1"/>
  <c r="NE62" i="30" s="1"/>
  <c r="NF62" i="30" s="1"/>
  <c r="NG62" i="30" s="1"/>
  <c r="NH62" i="30" s="1"/>
  <c r="NI62" i="30" s="1"/>
  <c r="NJ62" i="30" s="1"/>
  <c r="NK62" i="30" s="1"/>
  <c r="NL62" i="30" s="1"/>
  <c r="NM62" i="30" s="1"/>
  <c r="NN62" i="30" s="1"/>
  <c r="NO62" i="30" s="1"/>
  <c r="NP62" i="30" s="1"/>
  <c r="NQ62" i="30" s="1"/>
  <c r="NR62" i="30" s="1"/>
  <c r="NS62" i="30" s="1"/>
  <c r="NT62" i="30" s="1"/>
  <c r="NU62" i="30" s="1"/>
  <c r="NV62" i="30" s="1"/>
  <c r="NW62" i="30" s="1"/>
  <c r="NX62" i="30" s="1"/>
  <c r="NY62" i="30" s="1"/>
  <c r="NZ62" i="30" s="1"/>
  <c r="OA62" i="30" s="1"/>
  <c r="OB62" i="30" s="1"/>
  <c r="OC62" i="30" s="1"/>
  <c r="OD62" i="30" s="1"/>
  <c r="OE62" i="30" s="1"/>
  <c r="OF62" i="30" s="1"/>
  <c r="OG62" i="30" s="1"/>
  <c r="OH62" i="30" s="1"/>
  <c r="OI62" i="30" s="1"/>
  <c r="OJ62" i="30" s="1"/>
  <c r="OK62" i="30" s="1"/>
  <c r="OL62" i="30" s="1"/>
  <c r="OM62" i="30" s="1"/>
  <c r="ON62" i="30" s="1"/>
  <c r="OO62" i="30" s="1"/>
  <c r="OP62" i="30" s="1"/>
  <c r="OQ62" i="30" s="1"/>
  <c r="OR62" i="30" s="1"/>
  <c r="OS62" i="30" s="1"/>
  <c r="OT62" i="30" s="1"/>
  <c r="OU62" i="30" s="1"/>
  <c r="OV62" i="30" s="1"/>
  <c r="OW62" i="30" s="1"/>
  <c r="OX62" i="30" s="1"/>
  <c r="OY62" i="30" s="1"/>
  <c r="OZ62" i="30" s="1"/>
  <c r="PA62" i="30" s="1"/>
  <c r="PB62" i="30" s="1"/>
  <c r="PC62" i="30" s="1"/>
  <c r="PD62" i="30" s="1"/>
  <c r="PE62" i="30" s="1"/>
  <c r="PF62" i="30" s="1"/>
  <c r="PG62" i="30" s="1"/>
  <c r="W62" i="30"/>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CT62" i="30" s="1"/>
  <c r="CU62" i="30" s="1"/>
  <c r="CV62" i="30" s="1"/>
  <c r="CW62" i="30" s="1"/>
  <c r="CX62" i="30" s="1"/>
  <c r="CY62" i="30" s="1"/>
  <c r="CZ62" i="30" s="1"/>
  <c r="DA62" i="30" s="1"/>
  <c r="DB62" i="30" s="1"/>
  <c r="DC62" i="30" s="1"/>
  <c r="DD62" i="30" s="1"/>
  <c r="DE62" i="30" s="1"/>
  <c r="DF62" i="30" s="1"/>
  <c r="DG62" i="30" s="1"/>
  <c r="DH62" i="30" s="1"/>
  <c r="DI62" i="30" s="1"/>
  <c r="DJ62" i="30" s="1"/>
  <c r="DK62" i="30" s="1"/>
  <c r="DL62" i="30" s="1"/>
  <c r="DM62" i="30" s="1"/>
  <c r="DN62" i="30" s="1"/>
  <c r="DO62" i="30" s="1"/>
  <c r="DP62" i="30" s="1"/>
  <c r="DQ62" i="30" s="1"/>
  <c r="DR62" i="30" s="1"/>
  <c r="DS62" i="30" s="1"/>
  <c r="DT62" i="30" s="1"/>
  <c r="DU62" i="30" s="1"/>
  <c r="DV62" i="30" s="1"/>
  <c r="DW62" i="30" s="1"/>
  <c r="DX62" i="30" s="1"/>
  <c r="DY62" i="30" s="1"/>
  <c r="DZ62" i="30" s="1"/>
  <c r="EA62" i="30" s="1"/>
  <c r="EB62" i="30" s="1"/>
  <c r="EC62" i="30" s="1"/>
  <c r="ED62" i="30" s="1"/>
  <c r="EE62" i="30" s="1"/>
  <c r="EF62" i="30" s="1"/>
  <c r="EG62" i="30" s="1"/>
  <c r="EH62" i="30" s="1"/>
  <c r="EI62" i="30" s="1"/>
  <c r="EJ62" i="30" s="1"/>
  <c r="EK62" i="30" s="1"/>
  <c r="EL62" i="30" s="1"/>
  <c r="EM62" i="30" s="1"/>
  <c r="EN62" i="30" s="1"/>
  <c r="EO62" i="30" s="1"/>
  <c r="EP62" i="30" s="1"/>
  <c r="EQ62" i="30" s="1"/>
  <c r="ER62" i="30" s="1"/>
  <c r="ES62" i="30" s="1"/>
  <c r="ET62" i="30" s="1"/>
  <c r="EU62" i="30" s="1"/>
  <c r="EV62" i="30" s="1"/>
  <c r="EW62" i="30" s="1"/>
  <c r="EX62" i="30" s="1"/>
  <c r="EY62" i="30" s="1"/>
  <c r="EZ62" i="30" s="1"/>
  <c r="FA62" i="30" s="1"/>
  <c r="FB62" i="30" s="1"/>
  <c r="FC62" i="30" s="1"/>
  <c r="FD62" i="30" s="1"/>
  <c r="FE62" i="30" s="1"/>
  <c r="FF62" i="30" s="1"/>
  <c r="FG62" i="30" s="1"/>
  <c r="FH62" i="30" s="1"/>
  <c r="FI62" i="30" s="1"/>
  <c r="FJ62" i="30" s="1"/>
  <c r="FK62" i="30" s="1"/>
  <c r="FL62" i="30" s="1"/>
  <c r="FM62" i="30" s="1"/>
  <c r="FN62" i="30" s="1"/>
  <c r="FO62" i="30" s="1"/>
  <c r="FP62" i="30" s="1"/>
  <c r="FQ62" i="30" s="1"/>
  <c r="FR62" i="30" s="1"/>
  <c r="FS62" i="30" s="1"/>
  <c r="FT62" i="30" s="1"/>
  <c r="FU62" i="30" s="1"/>
  <c r="FV62" i="30" s="1"/>
  <c r="FW62" i="30" s="1"/>
  <c r="FX62" i="30" s="1"/>
  <c r="FY62" i="30" s="1"/>
  <c r="FZ62" i="30" s="1"/>
  <c r="GA62" i="30" s="1"/>
  <c r="GB62" i="30" s="1"/>
  <c r="GC62" i="30" s="1"/>
  <c r="GD62" i="30" s="1"/>
  <c r="GE62" i="30" s="1"/>
  <c r="GF62" i="30" s="1"/>
  <c r="GG62" i="30" s="1"/>
  <c r="GH62" i="30" s="1"/>
  <c r="GI62" i="30" s="1"/>
  <c r="GJ62" i="30" s="1"/>
  <c r="GK62" i="30" s="1"/>
  <c r="GL62" i="30" s="1"/>
  <c r="GM62" i="30" s="1"/>
  <c r="GN62" i="30" s="1"/>
  <c r="GO62" i="30" s="1"/>
  <c r="GP62" i="30" s="1"/>
  <c r="GQ62" i="30" s="1"/>
  <c r="GR62" i="30" s="1"/>
  <c r="GS62" i="30" s="1"/>
  <c r="GT62" i="30" s="1"/>
  <c r="GU62" i="30" s="1"/>
  <c r="GV62" i="30" s="1"/>
  <c r="GW62" i="30" s="1"/>
  <c r="GX62" i="30" s="1"/>
  <c r="GY62" i="30" s="1"/>
  <c r="GZ62" i="30" s="1"/>
  <c r="HA62" i="30" s="1"/>
  <c r="HB62" i="30" s="1"/>
  <c r="HC62" i="30" s="1"/>
  <c r="HD62" i="30" s="1"/>
  <c r="HE62" i="30" s="1"/>
  <c r="HF62" i="30" s="1"/>
  <c r="HG62" i="30" s="1"/>
  <c r="HH62" i="30" s="1"/>
  <c r="HI62" i="30" s="1"/>
  <c r="HJ62" i="30" s="1"/>
  <c r="HK62" i="30" s="1"/>
  <c r="HL62" i="30" s="1"/>
  <c r="HM62" i="30" s="1"/>
  <c r="HN62" i="30" s="1"/>
  <c r="HO62" i="30" s="1"/>
  <c r="HP62" i="30" s="1"/>
  <c r="HQ62" i="30" s="1"/>
  <c r="HR62" i="30" s="1"/>
  <c r="HS62" i="30" s="1"/>
  <c r="HT62" i="30" s="1"/>
  <c r="HU62" i="30" s="1"/>
  <c r="HV62" i="30" s="1"/>
  <c r="HW62" i="30" s="1"/>
  <c r="HX62" i="30" s="1"/>
  <c r="HY62" i="30" s="1"/>
  <c r="HZ62" i="30" s="1"/>
  <c r="IA62" i="30" s="1"/>
  <c r="IB62" i="30" s="1"/>
  <c r="IC62" i="30" s="1"/>
  <c r="ID62" i="30" s="1"/>
  <c r="IE62" i="30" s="1"/>
  <c r="IF62" i="30" s="1"/>
  <c r="IG62" i="30" s="1"/>
  <c r="IH62" i="30" s="1"/>
  <c r="II62" i="30" s="1"/>
  <c r="IJ62" i="30" s="1"/>
  <c r="IK62" i="30" s="1"/>
  <c r="IL62" i="30" s="1"/>
  <c r="IM62" i="30" s="1"/>
  <c r="IN62" i="30" s="1"/>
  <c r="IO62" i="30" s="1"/>
  <c r="IP62" i="30" s="1"/>
  <c r="IQ62" i="30" s="1"/>
  <c r="IR62" i="30" s="1"/>
  <c r="IS62" i="30" s="1"/>
  <c r="IT62" i="30" s="1"/>
  <c r="IU62" i="30" s="1"/>
  <c r="IV62" i="30" s="1"/>
  <c r="IW62" i="30" s="1"/>
  <c r="IX62" i="30" s="1"/>
  <c r="IY62" i="30" s="1"/>
  <c r="IZ62" i="30" s="1"/>
  <c r="JA62" i="30" s="1"/>
  <c r="JB62" i="30" s="1"/>
  <c r="JC62" i="30" s="1"/>
  <c r="JD62" i="30" s="1"/>
  <c r="JE62" i="30" s="1"/>
  <c r="JF62" i="30" s="1"/>
  <c r="JG62" i="30" s="1"/>
  <c r="JH62" i="30" s="1"/>
  <c r="JI62" i="30" s="1"/>
  <c r="JJ62" i="30" s="1"/>
  <c r="JK62" i="30" s="1"/>
  <c r="JL62" i="30" s="1"/>
  <c r="JM62" i="30" s="1"/>
  <c r="JN62" i="30" s="1"/>
  <c r="JO62" i="30" s="1"/>
  <c r="JP62" i="30" s="1"/>
  <c r="JQ62" i="30" s="1"/>
  <c r="JR62" i="30" s="1"/>
  <c r="JS62" i="30" s="1"/>
  <c r="JT62" i="30" s="1"/>
  <c r="JU62" i="30" s="1"/>
  <c r="JV62" i="30" s="1"/>
  <c r="JW62" i="30" s="1"/>
  <c r="JX62" i="30" s="1"/>
  <c r="JY62" i="30" s="1"/>
  <c r="JZ62" i="30" s="1"/>
  <c r="KA62" i="30" s="1"/>
  <c r="KB62" i="30" s="1"/>
  <c r="KC62" i="30" s="1"/>
  <c r="KD62" i="30" s="1"/>
  <c r="KE62" i="30" s="1"/>
  <c r="KF62" i="30" s="1"/>
  <c r="KG62" i="30" s="1"/>
  <c r="KH62" i="30" s="1"/>
  <c r="KI62" i="30" s="1"/>
  <c r="KJ62" i="30" s="1"/>
  <c r="KK62" i="30" s="1"/>
  <c r="KL62" i="30" s="1"/>
  <c r="KM62" i="30" s="1"/>
  <c r="KN62" i="30" s="1"/>
  <c r="KO62" i="30" s="1"/>
  <c r="KP62" i="30" s="1"/>
  <c r="KQ62" i="30" s="1"/>
  <c r="KR62" i="30" s="1"/>
  <c r="KS62" i="30" s="1"/>
  <c r="KT62" i="30" s="1"/>
  <c r="KU62" i="30" s="1"/>
  <c r="KV62" i="30" s="1"/>
  <c r="KW62" i="30" s="1"/>
  <c r="KX62" i="30" s="1"/>
  <c r="KY62" i="30" s="1"/>
  <c r="KZ62" i="30" s="1"/>
  <c r="LA62" i="30" s="1"/>
  <c r="LB62" i="30" s="1"/>
  <c r="LC62" i="30" s="1"/>
  <c r="LD62" i="30" s="1"/>
  <c r="LE62" i="30" s="1"/>
  <c r="LF62" i="30" s="1"/>
  <c r="LG62" i="30" s="1"/>
  <c r="LH62" i="30" s="1"/>
  <c r="LI62" i="30" s="1"/>
  <c r="LJ62" i="30" s="1"/>
  <c r="D62" i="30"/>
  <c r="C62" i="30"/>
  <c r="LL61" i="30"/>
  <c r="LM61" i="30" s="1"/>
  <c r="LN61" i="30" s="1"/>
  <c r="LO61" i="30" s="1"/>
  <c r="LP61" i="30" s="1"/>
  <c r="LQ61" i="30" s="1"/>
  <c r="LR61" i="30" s="1"/>
  <c r="LS61" i="30" s="1"/>
  <c r="LT61" i="30" s="1"/>
  <c r="LU61" i="30" s="1"/>
  <c r="LV61" i="30" s="1"/>
  <c r="LW61" i="30" s="1"/>
  <c r="LX61" i="30" s="1"/>
  <c r="LY61" i="30" s="1"/>
  <c r="LZ61" i="30" s="1"/>
  <c r="MA61" i="30" s="1"/>
  <c r="MB61" i="30" s="1"/>
  <c r="MC61" i="30" s="1"/>
  <c r="MD61" i="30" s="1"/>
  <c r="ME61" i="30" s="1"/>
  <c r="MF61" i="30" s="1"/>
  <c r="MG61" i="30" s="1"/>
  <c r="MH61" i="30" s="1"/>
  <c r="MI61" i="30" s="1"/>
  <c r="MJ61" i="30" s="1"/>
  <c r="MK61" i="30" s="1"/>
  <c r="ML61" i="30" s="1"/>
  <c r="MM61" i="30" s="1"/>
  <c r="MN61" i="30" s="1"/>
  <c r="MO61" i="30" s="1"/>
  <c r="MP61" i="30" s="1"/>
  <c r="MQ61" i="30" s="1"/>
  <c r="MR61" i="30" s="1"/>
  <c r="MS61" i="30" s="1"/>
  <c r="MT61" i="30" s="1"/>
  <c r="MU61" i="30" s="1"/>
  <c r="MV61" i="30" s="1"/>
  <c r="MW61" i="30" s="1"/>
  <c r="MX61" i="30" s="1"/>
  <c r="MY61" i="30" s="1"/>
  <c r="MZ61" i="30" s="1"/>
  <c r="NA61" i="30" s="1"/>
  <c r="NB61" i="30" s="1"/>
  <c r="NC61" i="30" s="1"/>
  <c r="ND61" i="30" s="1"/>
  <c r="NE61" i="30" s="1"/>
  <c r="NF61" i="30" s="1"/>
  <c r="NG61" i="30" s="1"/>
  <c r="NH61" i="30" s="1"/>
  <c r="NI61" i="30" s="1"/>
  <c r="NJ61" i="30" s="1"/>
  <c r="NK61" i="30" s="1"/>
  <c r="NL61" i="30" s="1"/>
  <c r="NM61" i="30" s="1"/>
  <c r="NN61" i="30" s="1"/>
  <c r="NO61" i="30" s="1"/>
  <c r="NP61" i="30" s="1"/>
  <c r="NQ61" i="30" s="1"/>
  <c r="NR61" i="30" s="1"/>
  <c r="NS61" i="30" s="1"/>
  <c r="NT61" i="30" s="1"/>
  <c r="NU61" i="30" s="1"/>
  <c r="NV61" i="30" s="1"/>
  <c r="NW61" i="30" s="1"/>
  <c r="NX61" i="30" s="1"/>
  <c r="NY61" i="30" s="1"/>
  <c r="NZ61" i="30" s="1"/>
  <c r="OA61" i="30" s="1"/>
  <c r="OB61" i="30" s="1"/>
  <c r="OC61" i="30" s="1"/>
  <c r="OD61" i="30" s="1"/>
  <c r="OE61" i="30" s="1"/>
  <c r="OF61" i="30" s="1"/>
  <c r="OG61" i="30" s="1"/>
  <c r="OH61" i="30" s="1"/>
  <c r="OI61" i="30" s="1"/>
  <c r="OJ61" i="30" s="1"/>
  <c r="OK61" i="30" s="1"/>
  <c r="OL61" i="30" s="1"/>
  <c r="OM61" i="30" s="1"/>
  <c r="ON61" i="30" s="1"/>
  <c r="OO61" i="30" s="1"/>
  <c r="OP61" i="30" s="1"/>
  <c r="OQ61" i="30" s="1"/>
  <c r="OR61" i="30" s="1"/>
  <c r="OS61" i="30" s="1"/>
  <c r="OT61" i="30" s="1"/>
  <c r="OU61" i="30" s="1"/>
  <c r="OV61" i="30" s="1"/>
  <c r="OW61" i="30" s="1"/>
  <c r="OX61" i="30" s="1"/>
  <c r="OY61" i="30" s="1"/>
  <c r="OZ61" i="30" s="1"/>
  <c r="PA61" i="30" s="1"/>
  <c r="PB61" i="30" s="1"/>
  <c r="PC61" i="30" s="1"/>
  <c r="PD61" i="30" s="1"/>
  <c r="PE61" i="30" s="1"/>
  <c r="PF61" i="30" s="1"/>
  <c r="PG61" i="30" s="1"/>
  <c r="W61" i="30"/>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CT61" i="30" s="1"/>
  <c r="CU61" i="30" s="1"/>
  <c r="CV61" i="30" s="1"/>
  <c r="CW61" i="30" s="1"/>
  <c r="CX61" i="30" s="1"/>
  <c r="CY61" i="30" s="1"/>
  <c r="CZ61" i="30" s="1"/>
  <c r="DA61" i="30" s="1"/>
  <c r="DB61" i="30" s="1"/>
  <c r="DC61" i="30" s="1"/>
  <c r="DD61" i="30" s="1"/>
  <c r="DE61" i="30" s="1"/>
  <c r="DF61" i="30" s="1"/>
  <c r="DG61" i="30" s="1"/>
  <c r="DH61" i="30" s="1"/>
  <c r="DI61" i="30" s="1"/>
  <c r="DJ61" i="30" s="1"/>
  <c r="DK61" i="30" s="1"/>
  <c r="DL61" i="30" s="1"/>
  <c r="DM61" i="30" s="1"/>
  <c r="DN61" i="30" s="1"/>
  <c r="DO61" i="30" s="1"/>
  <c r="DP61" i="30" s="1"/>
  <c r="DQ61" i="30" s="1"/>
  <c r="DR61" i="30" s="1"/>
  <c r="DS61" i="30" s="1"/>
  <c r="DT61" i="30" s="1"/>
  <c r="DU61" i="30" s="1"/>
  <c r="DV61" i="30" s="1"/>
  <c r="DW61" i="30" s="1"/>
  <c r="DX61" i="30" s="1"/>
  <c r="DY61" i="30" s="1"/>
  <c r="DZ61" i="30" s="1"/>
  <c r="EA61" i="30" s="1"/>
  <c r="EB61" i="30" s="1"/>
  <c r="EC61" i="30" s="1"/>
  <c r="ED61" i="30" s="1"/>
  <c r="EE61" i="30" s="1"/>
  <c r="EF61" i="30" s="1"/>
  <c r="EG61" i="30" s="1"/>
  <c r="EH61" i="30" s="1"/>
  <c r="EI61" i="30" s="1"/>
  <c r="EJ61" i="30" s="1"/>
  <c r="EK61" i="30" s="1"/>
  <c r="EL61" i="30" s="1"/>
  <c r="EM61" i="30" s="1"/>
  <c r="EN61" i="30" s="1"/>
  <c r="EO61" i="30" s="1"/>
  <c r="EP61" i="30" s="1"/>
  <c r="EQ61" i="30" s="1"/>
  <c r="ER61" i="30" s="1"/>
  <c r="ES61" i="30" s="1"/>
  <c r="ET61" i="30" s="1"/>
  <c r="EU61" i="30" s="1"/>
  <c r="EV61" i="30" s="1"/>
  <c r="EW61" i="30" s="1"/>
  <c r="EX61" i="30" s="1"/>
  <c r="EY61" i="30" s="1"/>
  <c r="EZ61" i="30" s="1"/>
  <c r="FA61" i="30" s="1"/>
  <c r="FB61" i="30" s="1"/>
  <c r="FC61" i="30" s="1"/>
  <c r="FD61" i="30" s="1"/>
  <c r="FE61" i="30" s="1"/>
  <c r="FF61" i="30" s="1"/>
  <c r="FG61" i="30" s="1"/>
  <c r="FH61" i="30" s="1"/>
  <c r="FI61" i="30" s="1"/>
  <c r="FJ61" i="30" s="1"/>
  <c r="FK61" i="30" s="1"/>
  <c r="FL61" i="30" s="1"/>
  <c r="FM61" i="30" s="1"/>
  <c r="FN61" i="30" s="1"/>
  <c r="FO61" i="30" s="1"/>
  <c r="FP61" i="30" s="1"/>
  <c r="FQ61" i="30" s="1"/>
  <c r="FR61" i="30" s="1"/>
  <c r="FS61" i="30" s="1"/>
  <c r="FT61" i="30" s="1"/>
  <c r="FU61" i="30" s="1"/>
  <c r="FV61" i="30" s="1"/>
  <c r="FW61" i="30" s="1"/>
  <c r="FX61" i="30" s="1"/>
  <c r="FY61" i="30" s="1"/>
  <c r="FZ61" i="30" s="1"/>
  <c r="GA61" i="30" s="1"/>
  <c r="GB61" i="30" s="1"/>
  <c r="GC61" i="30" s="1"/>
  <c r="GD61" i="30" s="1"/>
  <c r="GE61" i="30" s="1"/>
  <c r="GF61" i="30" s="1"/>
  <c r="GG61" i="30" s="1"/>
  <c r="GH61" i="30" s="1"/>
  <c r="GI61" i="30" s="1"/>
  <c r="GJ61" i="30" s="1"/>
  <c r="GK61" i="30" s="1"/>
  <c r="GL61" i="30" s="1"/>
  <c r="GM61" i="30" s="1"/>
  <c r="GN61" i="30" s="1"/>
  <c r="GO61" i="30" s="1"/>
  <c r="GP61" i="30" s="1"/>
  <c r="GQ61" i="30" s="1"/>
  <c r="GR61" i="30" s="1"/>
  <c r="GS61" i="30" s="1"/>
  <c r="GT61" i="30" s="1"/>
  <c r="GU61" i="30" s="1"/>
  <c r="GV61" i="30" s="1"/>
  <c r="GW61" i="30" s="1"/>
  <c r="GX61" i="30" s="1"/>
  <c r="GY61" i="30" s="1"/>
  <c r="GZ61" i="30" s="1"/>
  <c r="HA61" i="30" s="1"/>
  <c r="HB61" i="30" s="1"/>
  <c r="HC61" i="30" s="1"/>
  <c r="HD61" i="30" s="1"/>
  <c r="HE61" i="30" s="1"/>
  <c r="HF61" i="30" s="1"/>
  <c r="HG61" i="30" s="1"/>
  <c r="HH61" i="30" s="1"/>
  <c r="HI61" i="30" s="1"/>
  <c r="HJ61" i="30" s="1"/>
  <c r="HK61" i="30" s="1"/>
  <c r="HL61" i="30" s="1"/>
  <c r="HM61" i="30" s="1"/>
  <c r="HN61" i="30" s="1"/>
  <c r="HO61" i="30" s="1"/>
  <c r="HP61" i="30" s="1"/>
  <c r="HQ61" i="30" s="1"/>
  <c r="HR61" i="30" s="1"/>
  <c r="HS61" i="30" s="1"/>
  <c r="HT61" i="30" s="1"/>
  <c r="HU61" i="30" s="1"/>
  <c r="HV61" i="30" s="1"/>
  <c r="HW61" i="30" s="1"/>
  <c r="HX61" i="30" s="1"/>
  <c r="HY61" i="30" s="1"/>
  <c r="HZ61" i="30" s="1"/>
  <c r="IA61" i="30" s="1"/>
  <c r="IB61" i="30" s="1"/>
  <c r="IC61" i="30" s="1"/>
  <c r="ID61" i="30" s="1"/>
  <c r="IE61" i="30" s="1"/>
  <c r="IF61" i="30" s="1"/>
  <c r="IG61" i="30" s="1"/>
  <c r="IH61" i="30" s="1"/>
  <c r="II61" i="30" s="1"/>
  <c r="IJ61" i="30" s="1"/>
  <c r="IK61" i="30" s="1"/>
  <c r="IL61" i="30" s="1"/>
  <c r="IM61" i="30" s="1"/>
  <c r="IN61" i="30" s="1"/>
  <c r="IO61" i="30" s="1"/>
  <c r="IP61" i="30" s="1"/>
  <c r="IQ61" i="30" s="1"/>
  <c r="IR61" i="30" s="1"/>
  <c r="IS61" i="30" s="1"/>
  <c r="IT61" i="30" s="1"/>
  <c r="IU61" i="30" s="1"/>
  <c r="IV61" i="30" s="1"/>
  <c r="IW61" i="30" s="1"/>
  <c r="IX61" i="30" s="1"/>
  <c r="IY61" i="30" s="1"/>
  <c r="IZ61" i="30" s="1"/>
  <c r="JA61" i="30" s="1"/>
  <c r="JB61" i="30" s="1"/>
  <c r="JC61" i="30" s="1"/>
  <c r="JD61" i="30" s="1"/>
  <c r="JE61" i="30" s="1"/>
  <c r="JF61" i="30" s="1"/>
  <c r="JG61" i="30" s="1"/>
  <c r="JH61" i="30" s="1"/>
  <c r="JI61" i="30" s="1"/>
  <c r="JJ61" i="30" s="1"/>
  <c r="JK61" i="30" s="1"/>
  <c r="JL61" i="30" s="1"/>
  <c r="JM61" i="30" s="1"/>
  <c r="JN61" i="30" s="1"/>
  <c r="JO61" i="30" s="1"/>
  <c r="JP61" i="30" s="1"/>
  <c r="JQ61" i="30" s="1"/>
  <c r="JR61" i="30" s="1"/>
  <c r="JS61" i="30" s="1"/>
  <c r="JT61" i="30" s="1"/>
  <c r="JU61" i="30" s="1"/>
  <c r="JV61" i="30" s="1"/>
  <c r="JW61" i="30" s="1"/>
  <c r="JX61" i="30" s="1"/>
  <c r="JY61" i="30" s="1"/>
  <c r="JZ61" i="30" s="1"/>
  <c r="KA61" i="30" s="1"/>
  <c r="KB61" i="30" s="1"/>
  <c r="KC61" i="30" s="1"/>
  <c r="KD61" i="30" s="1"/>
  <c r="KE61" i="30" s="1"/>
  <c r="KF61" i="30" s="1"/>
  <c r="KG61" i="30" s="1"/>
  <c r="KH61" i="30" s="1"/>
  <c r="KI61" i="30" s="1"/>
  <c r="KJ61" i="30" s="1"/>
  <c r="KK61" i="30" s="1"/>
  <c r="KL61" i="30" s="1"/>
  <c r="KM61" i="30" s="1"/>
  <c r="KN61" i="30" s="1"/>
  <c r="KO61" i="30" s="1"/>
  <c r="KP61" i="30" s="1"/>
  <c r="KQ61" i="30" s="1"/>
  <c r="KR61" i="30" s="1"/>
  <c r="KS61" i="30" s="1"/>
  <c r="KT61" i="30" s="1"/>
  <c r="KU61" i="30" s="1"/>
  <c r="KV61" i="30" s="1"/>
  <c r="KW61" i="30" s="1"/>
  <c r="KX61" i="30" s="1"/>
  <c r="KY61" i="30" s="1"/>
  <c r="KZ61" i="30" s="1"/>
  <c r="LA61" i="30" s="1"/>
  <c r="LB61" i="30" s="1"/>
  <c r="LC61" i="30" s="1"/>
  <c r="LD61" i="30" s="1"/>
  <c r="LE61" i="30" s="1"/>
  <c r="LF61" i="30" s="1"/>
  <c r="LG61" i="30" s="1"/>
  <c r="LH61" i="30" s="1"/>
  <c r="LI61" i="30" s="1"/>
  <c r="LJ61" i="30" s="1"/>
  <c r="D61" i="30"/>
  <c r="C61" i="30"/>
  <c r="LL60" i="30"/>
  <c r="LM60" i="30" s="1"/>
  <c r="LN60" i="30" s="1"/>
  <c r="LO60" i="30" s="1"/>
  <c r="LP60" i="30" s="1"/>
  <c r="LQ60" i="30" s="1"/>
  <c r="LR60" i="30" s="1"/>
  <c r="LS60" i="30" s="1"/>
  <c r="LT60" i="30" s="1"/>
  <c r="LU60" i="30" s="1"/>
  <c r="LV60" i="30" s="1"/>
  <c r="LW60" i="30" s="1"/>
  <c r="LX60" i="30" s="1"/>
  <c r="LY60" i="30" s="1"/>
  <c r="LZ60" i="30" s="1"/>
  <c r="MA60" i="30" s="1"/>
  <c r="MB60" i="30" s="1"/>
  <c r="MC60" i="30" s="1"/>
  <c r="MD60" i="30" s="1"/>
  <c r="ME60" i="30" s="1"/>
  <c r="MF60" i="30" s="1"/>
  <c r="MG60" i="30" s="1"/>
  <c r="MH60" i="30" s="1"/>
  <c r="MI60" i="30" s="1"/>
  <c r="MJ60" i="30" s="1"/>
  <c r="MK60" i="30" s="1"/>
  <c r="ML60" i="30" s="1"/>
  <c r="MM60" i="30" s="1"/>
  <c r="MN60" i="30" s="1"/>
  <c r="MO60" i="30" s="1"/>
  <c r="MP60" i="30" s="1"/>
  <c r="MQ60" i="30" s="1"/>
  <c r="MR60" i="30" s="1"/>
  <c r="MS60" i="30" s="1"/>
  <c r="MT60" i="30" s="1"/>
  <c r="MU60" i="30" s="1"/>
  <c r="MV60" i="30" s="1"/>
  <c r="MW60" i="30" s="1"/>
  <c r="MX60" i="30" s="1"/>
  <c r="MY60" i="30" s="1"/>
  <c r="MZ60" i="30" s="1"/>
  <c r="NA60" i="30" s="1"/>
  <c r="NB60" i="30" s="1"/>
  <c r="NC60" i="30" s="1"/>
  <c r="ND60" i="30" s="1"/>
  <c r="NE60" i="30" s="1"/>
  <c r="NF60" i="30" s="1"/>
  <c r="NG60" i="30" s="1"/>
  <c r="NH60" i="30" s="1"/>
  <c r="NI60" i="30" s="1"/>
  <c r="NJ60" i="30" s="1"/>
  <c r="NK60" i="30" s="1"/>
  <c r="NL60" i="30" s="1"/>
  <c r="NM60" i="30" s="1"/>
  <c r="NN60" i="30" s="1"/>
  <c r="NO60" i="30" s="1"/>
  <c r="NP60" i="30" s="1"/>
  <c r="NQ60" i="30" s="1"/>
  <c r="NR60" i="30" s="1"/>
  <c r="NS60" i="30" s="1"/>
  <c r="NT60" i="30" s="1"/>
  <c r="NU60" i="30" s="1"/>
  <c r="NV60" i="30" s="1"/>
  <c r="NW60" i="30" s="1"/>
  <c r="NX60" i="30" s="1"/>
  <c r="NY60" i="30" s="1"/>
  <c r="NZ60" i="30" s="1"/>
  <c r="OA60" i="30" s="1"/>
  <c r="OB60" i="30" s="1"/>
  <c r="OC60" i="30" s="1"/>
  <c r="OD60" i="30" s="1"/>
  <c r="OE60" i="30" s="1"/>
  <c r="OF60" i="30" s="1"/>
  <c r="OG60" i="30" s="1"/>
  <c r="OH60" i="30" s="1"/>
  <c r="OI60" i="30" s="1"/>
  <c r="OJ60" i="30" s="1"/>
  <c r="OK60" i="30" s="1"/>
  <c r="OL60" i="30" s="1"/>
  <c r="OM60" i="30" s="1"/>
  <c r="ON60" i="30" s="1"/>
  <c r="OO60" i="30" s="1"/>
  <c r="OP60" i="30" s="1"/>
  <c r="OQ60" i="30" s="1"/>
  <c r="OR60" i="30" s="1"/>
  <c r="OS60" i="30" s="1"/>
  <c r="OT60" i="30" s="1"/>
  <c r="OU60" i="30" s="1"/>
  <c r="OV60" i="30" s="1"/>
  <c r="OW60" i="30" s="1"/>
  <c r="OX60" i="30" s="1"/>
  <c r="OY60" i="30" s="1"/>
  <c r="OZ60" i="30" s="1"/>
  <c r="PA60" i="30" s="1"/>
  <c r="PB60" i="30" s="1"/>
  <c r="PC60" i="30" s="1"/>
  <c r="PD60" i="30" s="1"/>
  <c r="PE60" i="30" s="1"/>
  <c r="PF60" i="30" s="1"/>
  <c r="PG60" i="30" s="1"/>
  <c r="W60" i="30"/>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CT60" i="30" s="1"/>
  <c r="CU60" i="30" s="1"/>
  <c r="CV60" i="30" s="1"/>
  <c r="CW60" i="30" s="1"/>
  <c r="CX60" i="30" s="1"/>
  <c r="CY60" i="30" s="1"/>
  <c r="CZ60" i="30" s="1"/>
  <c r="DA60" i="30" s="1"/>
  <c r="DB60" i="30" s="1"/>
  <c r="DC60" i="30" s="1"/>
  <c r="DD60" i="30" s="1"/>
  <c r="DE60" i="30" s="1"/>
  <c r="DF60" i="30" s="1"/>
  <c r="DG60" i="30" s="1"/>
  <c r="DH60" i="30" s="1"/>
  <c r="DI60" i="30" s="1"/>
  <c r="DJ60" i="30" s="1"/>
  <c r="DK60" i="30" s="1"/>
  <c r="DL60" i="30" s="1"/>
  <c r="DM60" i="30" s="1"/>
  <c r="DN60" i="30" s="1"/>
  <c r="DO60" i="30" s="1"/>
  <c r="DP60" i="30" s="1"/>
  <c r="DQ60" i="30" s="1"/>
  <c r="DR60" i="30" s="1"/>
  <c r="DS60" i="30" s="1"/>
  <c r="DT60" i="30" s="1"/>
  <c r="DU60" i="30" s="1"/>
  <c r="DV60" i="30" s="1"/>
  <c r="DW60" i="30" s="1"/>
  <c r="DX60" i="30" s="1"/>
  <c r="DY60" i="30" s="1"/>
  <c r="DZ60" i="30" s="1"/>
  <c r="EA60" i="30" s="1"/>
  <c r="EB60" i="30" s="1"/>
  <c r="EC60" i="30" s="1"/>
  <c r="ED60" i="30" s="1"/>
  <c r="EE60" i="30" s="1"/>
  <c r="EF60" i="30" s="1"/>
  <c r="EG60" i="30" s="1"/>
  <c r="EH60" i="30" s="1"/>
  <c r="EI60" i="30" s="1"/>
  <c r="EJ60" i="30" s="1"/>
  <c r="EK60" i="30" s="1"/>
  <c r="EL60" i="30" s="1"/>
  <c r="EM60" i="30" s="1"/>
  <c r="EN60" i="30" s="1"/>
  <c r="EO60" i="30" s="1"/>
  <c r="EP60" i="30" s="1"/>
  <c r="EQ60" i="30" s="1"/>
  <c r="ER60" i="30" s="1"/>
  <c r="ES60" i="30" s="1"/>
  <c r="ET60" i="30" s="1"/>
  <c r="EU60" i="30" s="1"/>
  <c r="EV60" i="30" s="1"/>
  <c r="EW60" i="30" s="1"/>
  <c r="EX60" i="30" s="1"/>
  <c r="EY60" i="30" s="1"/>
  <c r="EZ60" i="30" s="1"/>
  <c r="FA60" i="30" s="1"/>
  <c r="FB60" i="30" s="1"/>
  <c r="FC60" i="30" s="1"/>
  <c r="FD60" i="30" s="1"/>
  <c r="FE60" i="30" s="1"/>
  <c r="FF60" i="30" s="1"/>
  <c r="FG60" i="30" s="1"/>
  <c r="FH60" i="30" s="1"/>
  <c r="FI60" i="30" s="1"/>
  <c r="FJ60" i="30" s="1"/>
  <c r="FK60" i="30" s="1"/>
  <c r="FL60" i="30" s="1"/>
  <c r="FM60" i="30" s="1"/>
  <c r="FN60" i="30" s="1"/>
  <c r="FO60" i="30" s="1"/>
  <c r="FP60" i="30" s="1"/>
  <c r="FQ60" i="30" s="1"/>
  <c r="FR60" i="30" s="1"/>
  <c r="FS60" i="30" s="1"/>
  <c r="FT60" i="30" s="1"/>
  <c r="FU60" i="30" s="1"/>
  <c r="FV60" i="30" s="1"/>
  <c r="FW60" i="30" s="1"/>
  <c r="FX60" i="30" s="1"/>
  <c r="FY60" i="30" s="1"/>
  <c r="FZ60" i="30" s="1"/>
  <c r="GA60" i="30" s="1"/>
  <c r="GB60" i="30" s="1"/>
  <c r="GC60" i="30" s="1"/>
  <c r="GD60" i="30" s="1"/>
  <c r="GE60" i="30" s="1"/>
  <c r="GF60" i="30" s="1"/>
  <c r="GG60" i="30" s="1"/>
  <c r="GH60" i="30" s="1"/>
  <c r="GI60" i="30" s="1"/>
  <c r="GJ60" i="30" s="1"/>
  <c r="GK60" i="30" s="1"/>
  <c r="GL60" i="30" s="1"/>
  <c r="GM60" i="30" s="1"/>
  <c r="GN60" i="30" s="1"/>
  <c r="GO60" i="30" s="1"/>
  <c r="GP60" i="30" s="1"/>
  <c r="GQ60" i="30" s="1"/>
  <c r="GR60" i="30" s="1"/>
  <c r="GS60" i="30" s="1"/>
  <c r="GT60" i="30" s="1"/>
  <c r="GU60" i="30" s="1"/>
  <c r="GV60" i="30" s="1"/>
  <c r="GW60" i="30" s="1"/>
  <c r="GX60" i="30" s="1"/>
  <c r="GY60" i="30" s="1"/>
  <c r="GZ60" i="30" s="1"/>
  <c r="HA60" i="30" s="1"/>
  <c r="HB60" i="30" s="1"/>
  <c r="HC60" i="30" s="1"/>
  <c r="HD60" i="30" s="1"/>
  <c r="HE60" i="30" s="1"/>
  <c r="HF60" i="30" s="1"/>
  <c r="HG60" i="30" s="1"/>
  <c r="HH60" i="30" s="1"/>
  <c r="HI60" i="30" s="1"/>
  <c r="HJ60" i="30" s="1"/>
  <c r="HK60" i="30" s="1"/>
  <c r="HL60" i="30" s="1"/>
  <c r="HM60" i="30" s="1"/>
  <c r="HN60" i="30" s="1"/>
  <c r="HO60" i="30" s="1"/>
  <c r="HP60" i="30" s="1"/>
  <c r="HQ60" i="30" s="1"/>
  <c r="HR60" i="30" s="1"/>
  <c r="HS60" i="30" s="1"/>
  <c r="HT60" i="30" s="1"/>
  <c r="HU60" i="30" s="1"/>
  <c r="HV60" i="30" s="1"/>
  <c r="HW60" i="30" s="1"/>
  <c r="HX60" i="30" s="1"/>
  <c r="HY60" i="30" s="1"/>
  <c r="HZ60" i="30" s="1"/>
  <c r="IA60" i="30" s="1"/>
  <c r="IB60" i="30" s="1"/>
  <c r="IC60" i="30" s="1"/>
  <c r="ID60" i="30" s="1"/>
  <c r="IE60" i="30" s="1"/>
  <c r="IF60" i="30" s="1"/>
  <c r="IG60" i="30" s="1"/>
  <c r="IH60" i="30" s="1"/>
  <c r="II60" i="30" s="1"/>
  <c r="IJ60" i="30" s="1"/>
  <c r="IK60" i="30" s="1"/>
  <c r="IL60" i="30" s="1"/>
  <c r="IM60" i="30" s="1"/>
  <c r="IN60" i="30" s="1"/>
  <c r="IO60" i="30" s="1"/>
  <c r="IP60" i="30" s="1"/>
  <c r="IQ60" i="30" s="1"/>
  <c r="IR60" i="30" s="1"/>
  <c r="IS60" i="30" s="1"/>
  <c r="IT60" i="30" s="1"/>
  <c r="IU60" i="30" s="1"/>
  <c r="IV60" i="30" s="1"/>
  <c r="IW60" i="30" s="1"/>
  <c r="IX60" i="30" s="1"/>
  <c r="IY60" i="30" s="1"/>
  <c r="IZ60" i="30" s="1"/>
  <c r="JA60" i="30" s="1"/>
  <c r="JB60" i="30" s="1"/>
  <c r="JC60" i="30" s="1"/>
  <c r="JD60" i="30" s="1"/>
  <c r="JE60" i="30" s="1"/>
  <c r="JF60" i="30" s="1"/>
  <c r="JG60" i="30" s="1"/>
  <c r="JH60" i="30" s="1"/>
  <c r="JI60" i="30" s="1"/>
  <c r="JJ60" i="30" s="1"/>
  <c r="JK60" i="30" s="1"/>
  <c r="JL60" i="30" s="1"/>
  <c r="JM60" i="30" s="1"/>
  <c r="JN60" i="30" s="1"/>
  <c r="JO60" i="30" s="1"/>
  <c r="JP60" i="30" s="1"/>
  <c r="JQ60" i="30" s="1"/>
  <c r="JR60" i="30" s="1"/>
  <c r="JS60" i="30" s="1"/>
  <c r="JT60" i="30" s="1"/>
  <c r="JU60" i="30" s="1"/>
  <c r="JV60" i="30" s="1"/>
  <c r="JW60" i="30" s="1"/>
  <c r="JX60" i="30" s="1"/>
  <c r="JY60" i="30" s="1"/>
  <c r="JZ60" i="30" s="1"/>
  <c r="KA60" i="30" s="1"/>
  <c r="KB60" i="30" s="1"/>
  <c r="KC60" i="30" s="1"/>
  <c r="KD60" i="30" s="1"/>
  <c r="KE60" i="30" s="1"/>
  <c r="KF60" i="30" s="1"/>
  <c r="KG60" i="30" s="1"/>
  <c r="KH60" i="30" s="1"/>
  <c r="KI60" i="30" s="1"/>
  <c r="KJ60" i="30" s="1"/>
  <c r="KK60" i="30" s="1"/>
  <c r="KL60" i="30" s="1"/>
  <c r="KM60" i="30" s="1"/>
  <c r="KN60" i="30" s="1"/>
  <c r="KO60" i="30" s="1"/>
  <c r="KP60" i="30" s="1"/>
  <c r="KQ60" i="30" s="1"/>
  <c r="KR60" i="30" s="1"/>
  <c r="KS60" i="30" s="1"/>
  <c r="KT60" i="30" s="1"/>
  <c r="KU60" i="30" s="1"/>
  <c r="KV60" i="30" s="1"/>
  <c r="KW60" i="30" s="1"/>
  <c r="KX60" i="30" s="1"/>
  <c r="KY60" i="30" s="1"/>
  <c r="KZ60" i="30" s="1"/>
  <c r="LA60" i="30" s="1"/>
  <c r="LB60" i="30" s="1"/>
  <c r="LC60" i="30" s="1"/>
  <c r="LD60" i="30" s="1"/>
  <c r="LE60" i="30" s="1"/>
  <c r="LF60" i="30" s="1"/>
  <c r="LG60" i="30" s="1"/>
  <c r="LH60" i="30" s="1"/>
  <c r="LI60" i="30" s="1"/>
  <c r="LJ60" i="30" s="1"/>
  <c r="D60" i="30"/>
  <c r="C60" i="30"/>
  <c r="A81" i="30"/>
  <c r="A79" i="30"/>
  <c r="A11" i="38"/>
  <c r="CL9" i="68"/>
  <c r="CL10" i="68"/>
  <c r="CL11" i="68"/>
  <c r="CL12" i="68"/>
  <c r="CL13" i="68"/>
  <c r="CL14" i="68"/>
  <c r="CL15" i="68"/>
  <c r="CL16" i="68"/>
  <c r="CL17" i="68"/>
  <c r="CL18" i="68"/>
  <c r="CL19" i="68"/>
  <c r="CL20" i="68"/>
  <c r="CL21" i="68"/>
  <c r="CL22" i="68"/>
  <c r="CL23" i="68"/>
  <c r="CL24" i="68"/>
  <c r="CL25" i="68"/>
  <c r="CL26" i="68"/>
  <c r="CL27" i="68"/>
  <c r="CL28" i="68"/>
  <c r="CL29" i="68"/>
  <c r="CL30" i="68"/>
  <c r="CL31" i="68"/>
  <c r="CL32" i="68"/>
  <c r="CL33" i="68"/>
  <c r="CL34" i="68"/>
  <c r="CL35" i="68"/>
  <c r="CL36" i="68"/>
  <c r="CL37" i="68"/>
  <c r="CL38" i="68"/>
  <c r="CL39" i="68"/>
  <c r="CL40" i="68"/>
  <c r="CL41" i="68"/>
  <c r="CL42" i="68"/>
  <c r="CL43" i="68"/>
  <c r="EF39" i="65"/>
  <c r="EF38" i="65"/>
  <c r="EF37" i="65"/>
  <c r="EF36" i="65"/>
  <c r="EF35" i="65"/>
  <c r="EF34" i="65"/>
  <c r="EF33" i="65"/>
  <c r="EF32" i="65"/>
  <c r="EE32" i="65"/>
  <c r="EA32" i="65"/>
  <c r="DZ32" i="65"/>
  <c r="EE39" i="65"/>
  <c r="EA39" i="65"/>
  <c r="DZ39" i="65"/>
  <c r="EE38" i="65"/>
  <c r="EA38" i="65"/>
  <c r="DZ38" i="65"/>
  <c r="EE37" i="65"/>
  <c r="EA37" i="65"/>
  <c r="DZ37" i="65"/>
  <c r="EE36" i="65"/>
  <c r="EA36" i="65"/>
  <c r="DZ36" i="65"/>
  <c r="EE35" i="65"/>
  <c r="EA35" i="65"/>
  <c r="DZ35" i="65"/>
  <c r="EE34" i="65"/>
  <c r="EA34" i="65"/>
  <c r="DZ34" i="65"/>
  <c r="BB8" i="65"/>
  <c r="BB9" i="65"/>
  <c r="BB10" i="65"/>
  <c r="BB11" i="65"/>
  <c r="BB12" i="65"/>
  <c r="BB13" i="65"/>
  <c r="BB14" i="65"/>
  <c r="BB15" i="65"/>
  <c r="BB16" i="65"/>
  <c r="BB17" i="65"/>
  <c r="BB18" i="65"/>
  <c r="BB19" i="65"/>
  <c r="BB20" i="65"/>
  <c r="BB21" i="65"/>
  <c r="BB22" i="65"/>
  <c r="BB23" i="65"/>
  <c r="BB24" i="65"/>
  <c r="BB25" i="65"/>
  <c r="BB26" i="65"/>
  <c r="BB27" i="65"/>
  <c r="BB28" i="65"/>
  <c r="BB29" i="65"/>
  <c r="BB30" i="65"/>
  <c r="BB31" i="65"/>
  <c r="BB32" i="65"/>
  <c r="BB33" i="65"/>
  <c r="BB34" i="65"/>
  <c r="BB35" i="65"/>
  <c r="BB36" i="65"/>
  <c r="BB37" i="65"/>
  <c r="BB38" i="65"/>
  <c r="BB39" i="65"/>
  <c r="BB40" i="65"/>
  <c r="BB41" i="65"/>
  <c r="BB42" i="65"/>
  <c r="BB7" i="65"/>
  <c r="AR9" i="67"/>
  <c r="AR9" i="61"/>
  <c r="AK9" i="68"/>
  <c r="AW6" i="68"/>
  <c r="AZ6" i="68"/>
  <c r="BB6" i="68"/>
  <c r="BC6" i="68"/>
  <c r="BE6" i="68"/>
  <c r="BF6" i="68"/>
  <c r="BG6" i="68"/>
  <c r="AW7" i="68"/>
  <c r="AZ7" i="68"/>
  <c r="BB7" i="68"/>
  <c r="BC7" i="68"/>
  <c r="BE7" i="68"/>
  <c r="BF7" i="68"/>
  <c r="BG7" i="68"/>
  <c r="AW8" i="68"/>
  <c r="AZ8" i="68"/>
  <c r="BB8" i="68"/>
  <c r="BC8" i="68"/>
  <c r="BE8" i="68"/>
  <c r="BF8" i="68"/>
  <c r="BG8" i="68"/>
  <c r="AW9" i="68"/>
  <c r="AZ9" i="68"/>
  <c r="BB9" i="68"/>
  <c r="BC9" i="68"/>
  <c r="BE9" i="68"/>
  <c r="BF9" i="68"/>
  <c r="BG9" i="68"/>
  <c r="AW10" i="68"/>
  <c r="AZ10" i="68"/>
  <c r="BB10" i="68"/>
  <c r="BC10" i="68"/>
  <c r="BE10" i="68"/>
  <c r="BF10" i="68"/>
  <c r="BG10" i="68"/>
  <c r="AW11" i="68"/>
  <c r="AZ11" i="68"/>
  <c r="BB11" i="68"/>
  <c r="BC11" i="68"/>
  <c r="BE11" i="68"/>
  <c r="BF11" i="68"/>
  <c r="BG11" i="68"/>
  <c r="AW12" i="68"/>
  <c r="AZ12" i="68"/>
  <c r="BB12" i="68"/>
  <c r="BC12" i="68"/>
  <c r="BE12" i="68"/>
  <c r="BF12" i="68"/>
  <c r="BG12" i="68"/>
  <c r="AZ5" i="68"/>
  <c r="BB5" i="68"/>
  <c r="BC5" i="68"/>
  <c r="BE5" i="68"/>
  <c r="BF5" i="68"/>
  <c r="BG5" i="68"/>
  <c r="AW5" i="68"/>
  <c r="A12" i="38" l="1"/>
  <c r="EG39" i="65"/>
  <c r="EG36" i="65"/>
  <c r="EG34" i="65"/>
  <c r="EG32" i="65"/>
  <c r="EG35" i="65"/>
  <c r="EG38" i="65"/>
  <c r="EG37" i="65"/>
  <c r="DI30" i="66"/>
  <c r="DF30" i="66"/>
  <c r="DE30" i="66"/>
  <c r="DI29" i="66"/>
  <c r="DF29" i="66"/>
  <c r="DE29" i="66"/>
  <c r="DI28" i="66"/>
  <c r="DF28" i="66"/>
  <c r="DE28" i="66"/>
  <c r="DI27" i="66"/>
  <c r="DF27" i="66"/>
  <c r="DE27" i="66"/>
  <c r="DI26" i="66"/>
  <c r="DF26" i="66"/>
  <c r="DE26" i="66"/>
  <c r="DI25" i="66"/>
  <c r="DF25" i="66"/>
  <c r="DE25" i="66"/>
  <c r="DI24" i="66"/>
  <c r="DF24" i="66"/>
  <c r="DE24" i="66"/>
  <c r="DJ23" i="66"/>
  <c r="DI23" i="66"/>
  <c r="DF23" i="66"/>
  <c r="DE23" i="66"/>
  <c r="C23" i="66"/>
  <c r="A23" i="66"/>
  <c r="C22" i="66"/>
  <c r="A22" i="66"/>
  <c r="C21" i="66"/>
  <c r="A21" i="66"/>
  <c r="C20" i="66"/>
  <c r="A20" i="66"/>
  <c r="C19" i="66"/>
  <c r="A19" i="66"/>
  <c r="C18" i="66"/>
  <c r="A18" i="66"/>
  <c r="C17" i="66"/>
  <c r="A17" i="66"/>
  <c r="C16" i="66"/>
  <c r="A16" i="66"/>
  <c r="A15" i="66"/>
  <c r="A14" i="66"/>
  <c r="A13" i="66"/>
  <c r="A12" i="66"/>
  <c r="A11" i="66"/>
  <c r="A10" i="66"/>
  <c r="AA9" i="66"/>
  <c r="A9" i="66"/>
  <c r="B6" i="66"/>
  <c r="U5" i="66"/>
  <c r="M5" i="66"/>
  <c r="F4" i="66"/>
  <c r="B5" i="66" s="1"/>
  <c r="AI17" i="61"/>
  <c r="AI33" i="61"/>
  <c r="AK50" i="61"/>
  <c r="AK44" i="61"/>
  <c r="W50" i="61"/>
  <c r="W44" i="61"/>
  <c r="I50" i="61"/>
  <c r="I44" i="61"/>
  <c r="C11" i="38"/>
  <c r="D11" i="38"/>
  <c r="E11" i="38"/>
  <c r="C12" i="38"/>
  <c r="D12" i="38"/>
  <c r="E12" i="38"/>
  <c r="C13" i="38"/>
  <c r="D13" i="38"/>
  <c r="E13" i="38"/>
  <c r="C14" i="38"/>
  <c r="D14" i="38"/>
  <c r="E14" i="38"/>
  <c r="C15" i="38"/>
  <c r="D15" i="38"/>
  <c r="E15" i="38"/>
  <c r="C16" i="38"/>
  <c r="D16" i="38"/>
  <c r="E16" i="38"/>
  <c r="C17" i="38"/>
  <c r="D17" i="38"/>
  <c r="E17" i="38"/>
  <c r="C18" i="38"/>
  <c r="D18" i="38"/>
  <c r="E18" i="38"/>
  <c r="C19" i="38"/>
  <c r="D19" i="38"/>
  <c r="E19" i="38"/>
  <c r="C20" i="38"/>
  <c r="D20" i="38"/>
  <c r="E20" i="38"/>
  <c r="C21" i="38"/>
  <c r="D21" i="38"/>
  <c r="E21" i="38"/>
  <c r="C22" i="38"/>
  <c r="D22" i="38"/>
  <c r="E22" i="38"/>
  <c r="C23" i="38"/>
  <c r="D23" i="38"/>
  <c r="E23" i="38"/>
  <c r="C24" i="38"/>
  <c r="D24" i="38"/>
  <c r="E24" i="38"/>
  <c r="C25" i="38"/>
  <c r="D25" i="38"/>
  <c r="E25" i="38"/>
  <c r="DZ33" i="65"/>
  <c r="EA33" i="65"/>
  <c r="EG33" i="65" s="1"/>
  <c r="EE33" i="65"/>
  <c r="A33" i="65"/>
  <c r="A34" i="65"/>
  <c r="A32" i="65"/>
  <c r="A16" i="65"/>
  <c r="A17" i="65"/>
  <c r="A18" i="65"/>
  <c r="A19" i="65"/>
  <c r="A20" i="65"/>
  <c r="A21" i="65"/>
  <c r="A22" i="65"/>
  <c r="A23" i="65"/>
  <c r="A9" i="65"/>
  <c r="B47" i="65" s="1"/>
  <c r="B48" i="65" s="1"/>
  <c r="B49" i="65" s="1"/>
  <c r="B50" i="65" s="1"/>
  <c r="B51" i="65" s="1"/>
  <c r="B52" i="65" s="1"/>
  <c r="B53" i="65" s="1"/>
  <c r="A10" i="65"/>
  <c r="A11" i="65"/>
  <c r="A12" i="65"/>
  <c r="A13" i="65"/>
  <c r="A14" i="65"/>
  <c r="A15" i="65"/>
  <c r="B14" i="41"/>
  <c r="B14" i="43"/>
  <c r="B14" i="45"/>
  <c r="B14" i="47"/>
  <c r="B14" i="49"/>
  <c r="B14" i="51"/>
  <c r="B14" i="53"/>
  <c r="B14" i="55"/>
  <c r="B14" i="57"/>
  <c r="B14" i="59"/>
  <c r="B14" i="39"/>
  <c r="B14" i="32"/>
  <c r="A88" i="30"/>
  <c r="A85" i="30"/>
  <c r="LL3" i="30"/>
  <c r="LM3" i="30" s="1"/>
  <c r="LN3" i="30" s="1"/>
  <c r="LO3" i="30" s="1"/>
  <c r="LP3" i="30" s="1"/>
  <c r="LQ3" i="30" s="1"/>
  <c r="LR3" i="30" s="1"/>
  <c r="LS3" i="30" s="1"/>
  <c r="LT3" i="30" s="1"/>
  <c r="LU3" i="30" s="1"/>
  <c r="LV3" i="30" s="1"/>
  <c r="LW3" i="30" s="1"/>
  <c r="LX3" i="30" s="1"/>
  <c r="LY3" i="30" s="1"/>
  <c r="LZ3" i="30" s="1"/>
  <c r="MA3" i="30" s="1"/>
  <c r="MB3" i="30" s="1"/>
  <c r="MC3" i="30" s="1"/>
  <c r="MD3" i="30" s="1"/>
  <c r="ME3" i="30" s="1"/>
  <c r="MF3" i="30" s="1"/>
  <c r="MG3" i="30" s="1"/>
  <c r="MH3" i="30" s="1"/>
  <c r="MI3" i="30" s="1"/>
  <c r="MJ3" i="30" s="1"/>
  <c r="MK3" i="30" s="1"/>
  <c r="ML3" i="30" s="1"/>
  <c r="MM3" i="30" s="1"/>
  <c r="MN3" i="30" s="1"/>
  <c r="MO3" i="30" s="1"/>
  <c r="MP3" i="30" s="1"/>
  <c r="MQ3" i="30" s="1"/>
  <c r="MR3" i="30" s="1"/>
  <c r="MS3" i="30" s="1"/>
  <c r="MT3" i="30" s="1"/>
  <c r="MU3" i="30" s="1"/>
  <c r="MV3" i="30" s="1"/>
  <c r="MW3" i="30" s="1"/>
  <c r="MX3" i="30" s="1"/>
  <c r="MY3" i="30" s="1"/>
  <c r="MZ3" i="30" s="1"/>
  <c r="NA3" i="30" s="1"/>
  <c r="NB3" i="30" s="1"/>
  <c r="NC3" i="30" s="1"/>
  <c r="ND3" i="30" s="1"/>
  <c r="NE3" i="30" s="1"/>
  <c r="NF3" i="30" s="1"/>
  <c r="NG3" i="30" s="1"/>
  <c r="NH3" i="30" s="1"/>
  <c r="NI3" i="30" s="1"/>
  <c r="NJ3" i="30" s="1"/>
  <c r="NK3" i="30" s="1"/>
  <c r="NL3" i="30" s="1"/>
  <c r="NM3" i="30" s="1"/>
  <c r="NN3" i="30" s="1"/>
  <c r="NO3" i="30" s="1"/>
  <c r="NP3" i="30" s="1"/>
  <c r="NQ3" i="30" s="1"/>
  <c r="NR3" i="30" s="1"/>
  <c r="NS3" i="30" s="1"/>
  <c r="NT3" i="30" s="1"/>
  <c r="NU3" i="30" s="1"/>
  <c r="NV3" i="30" s="1"/>
  <c r="NW3" i="30" s="1"/>
  <c r="NX3" i="30" s="1"/>
  <c r="NY3" i="30" s="1"/>
  <c r="NZ3" i="30" s="1"/>
  <c r="OA3" i="30" s="1"/>
  <c r="OB3" i="30" s="1"/>
  <c r="OC3" i="30" s="1"/>
  <c r="OD3" i="30" s="1"/>
  <c r="OE3" i="30" s="1"/>
  <c r="OF3" i="30" s="1"/>
  <c r="OG3" i="30" s="1"/>
  <c r="OH3" i="30" s="1"/>
  <c r="OI3" i="30" s="1"/>
  <c r="OJ3" i="30" s="1"/>
  <c r="OK3" i="30" s="1"/>
  <c r="OL3" i="30" s="1"/>
  <c r="OM3" i="30" s="1"/>
  <c r="ON3" i="30" s="1"/>
  <c r="OO3" i="30" s="1"/>
  <c r="OP3" i="30" s="1"/>
  <c r="OQ3" i="30" s="1"/>
  <c r="OR3" i="30" s="1"/>
  <c r="OS3" i="30" s="1"/>
  <c r="OT3" i="30" s="1"/>
  <c r="OU3" i="30" s="1"/>
  <c r="OV3" i="30" s="1"/>
  <c r="OW3" i="30" s="1"/>
  <c r="OX3" i="30" s="1"/>
  <c r="OY3" i="30" s="1"/>
  <c r="OZ3" i="30" s="1"/>
  <c r="PA3" i="30" s="1"/>
  <c r="PB3" i="30" s="1"/>
  <c r="PC3" i="30" s="1"/>
  <c r="PD3" i="30" s="1"/>
  <c r="PE3" i="30" s="1"/>
  <c r="PF3" i="30" s="1"/>
  <c r="PG3" i="30" s="1"/>
  <c r="LL4" i="30"/>
  <c r="LM4" i="30" s="1"/>
  <c r="LN4" i="30" s="1"/>
  <c r="LO4" i="30" s="1"/>
  <c r="LP4" i="30" s="1"/>
  <c r="LQ4" i="30" s="1"/>
  <c r="LR4" i="30" s="1"/>
  <c r="LS4" i="30" s="1"/>
  <c r="LT4" i="30" s="1"/>
  <c r="LU4" i="30" s="1"/>
  <c r="LV4" i="30" s="1"/>
  <c r="LW4" i="30" s="1"/>
  <c r="LX4" i="30" s="1"/>
  <c r="LY4" i="30" s="1"/>
  <c r="LZ4" i="30" s="1"/>
  <c r="MA4" i="30" s="1"/>
  <c r="MB4" i="30" s="1"/>
  <c r="MC4" i="30" s="1"/>
  <c r="MD4" i="30" s="1"/>
  <c r="ME4" i="30" s="1"/>
  <c r="MF4" i="30" s="1"/>
  <c r="MG4" i="30" s="1"/>
  <c r="MH4" i="30" s="1"/>
  <c r="MI4" i="30" s="1"/>
  <c r="MJ4" i="30" s="1"/>
  <c r="MK4" i="30" s="1"/>
  <c r="ML4" i="30" s="1"/>
  <c r="MM4" i="30" s="1"/>
  <c r="MN4" i="30" s="1"/>
  <c r="MO4" i="30" s="1"/>
  <c r="MP4" i="30" s="1"/>
  <c r="MQ4" i="30" s="1"/>
  <c r="MR4" i="30" s="1"/>
  <c r="MS4" i="30" s="1"/>
  <c r="MT4" i="30" s="1"/>
  <c r="MU4" i="30" s="1"/>
  <c r="MV4" i="30" s="1"/>
  <c r="MW4" i="30" s="1"/>
  <c r="MX4" i="30" s="1"/>
  <c r="MY4" i="30" s="1"/>
  <c r="MZ4" i="30" s="1"/>
  <c r="NA4" i="30" s="1"/>
  <c r="NB4" i="30" s="1"/>
  <c r="NC4" i="30" s="1"/>
  <c r="ND4" i="30" s="1"/>
  <c r="NE4" i="30" s="1"/>
  <c r="NF4" i="30" s="1"/>
  <c r="NG4" i="30" s="1"/>
  <c r="NH4" i="30" s="1"/>
  <c r="NI4" i="30" s="1"/>
  <c r="NJ4" i="30" s="1"/>
  <c r="NK4" i="30" s="1"/>
  <c r="NL4" i="30" s="1"/>
  <c r="NM4" i="30" s="1"/>
  <c r="NN4" i="30" s="1"/>
  <c r="NO4" i="30" s="1"/>
  <c r="NP4" i="30" s="1"/>
  <c r="NQ4" i="30" s="1"/>
  <c r="NR4" i="30" s="1"/>
  <c r="NS4" i="30" s="1"/>
  <c r="NT4" i="30" s="1"/>
  <c r="NU4" i="30" s="1"/>
  <c r="NV4" i="30" s="1"/>
  <c r="NW4" i="30" s="1"/>
  <c r="NX4" i="30" s="1"/>
  <c r="NY4" i="30" s="1"/>
  <c r="NZ4" i="30" s="1"/>
  <c r="OA4" i="30" s="1"/>
  <c r="OB4" i="30" s="1"/>
  <c r="OC4" i="30" s="1"/>
  <c r="OD4" i="30" s="1"/>
  <c r="OE4" i="30" s="1"/>
  <c r="OF4" i="30" s="1"/>
  <c r="OG4" i="30" s="1"/>
  <c r="OH4" i="30" s="1"/>
  <c r="OI4" i="30" s="1"/>
  <c r="OJ4" i="30" s="1"/>
  <c r="OK4" i="30" s="1"/>
  <c r="OL4" i="30" s="1"/>
  <c r="OM4" i="30" s="1"/>
  <c r="ON4" i="30" s="1"/>
  <c r="OO4" i="30" s="1"/>
  <c r="OP4" i="30" s="1"/>
  <c r="OQ4" i="30" s="1"/>
  <c r="OR4" i="30" s="1"/>
  <c r="OS4" i="30" s="1"/>
  <c r="OT4" i="30" s="1"/>
  <c r="OU4" i="30" s="1"/>
  <c r="OV4" i="30" s="1"/>
  <c r="OW4" i="30" s="1"/>
  <c r="OX4" i="30" s="1"/>
  <c r="OY4" i="30" s="1"/>
  <c r="OZ4" i="30" s="1"/>
  <c r="PA4" i="30" s="1"/>
  <c r="PB4" i="30" s="1"/>
  <c r="PC4" i="30" s="1"/>
  <c r="PD4" i="30" s="1"/>
  <c r="PE4" i="30" s="1"/>
  <c r="PF4" i="30" s="1"/>
  <c r="PG4" i="30" s="1"/>
  <c r="LL5" i="30"/>
  <c r="LM5" i="30" s="1"/>
  <c r="LN5" i="30" s="1"/>
  <c r="LO5" i="30" s="1"/>
  <c r="LP5" i="30" s="1"/>
  <c r="LQ5" i="30" s="1"/>
  <c r="LR5" i="30" s="1"/>
  <c r="LS5" i="30" s="1"/>
  <c r="LT5" i="30" s="1"/>
  <c r="LU5" i="30" s="1"/>
  <c r="LV5" i="30" s="1"/>
  <c r="LW5" i="30" s="1"/>
  <c r="LX5" i="30" s="1"/>
  <c r="LY5" i="30" s="1"/>
  <c r="LZ5" i="30" s="1"/>
  <c r="MA5" i="30" s="1"/>
  <c r="MB5" i="30" s="1"/>
  <c r="MC5" i="30" s="1"/>
  <c r="MD5" i="30" s="1"/>
  <c r="ME5" i="30" s="1"/>
  <c r="MF5" i="30" s="1"/>
  <c r="MG5" i="30" s="1"/>
  <c r="MH5" i="30" s="1"/>
  <c r="MI5" i="30" s="1"/>
  <c r="MJ5" i="30" s="1"/>
  <c r="MK5" i="30" s="1"/>
  <c r="ML5" i="30" s="1"/>
  <c r="MM5" i="30" s="1"/>
  <c r="MN5" i="30" s="1"/>
  <c r="MO5" i="30" s="1"/>
  <c r="MP5" i="30" s="1"/>
  <c r="MQ5" i="30" s="1"/>
  <c r="MR5" i="30" s="1"/>
  <c r="MS5" i="30" s="1"/>
  <c r="MT5" i="30" s="1"/>
  <c r="MU5" i="30" s="1"/>
  <c r="MV5" i="30" s="1"/>
  <c r="MW5" i="30" s="1"/>
  <c r="MX5" i="30" s="1"/>
  <c r="MY5" i="30" s="1"/>
  <c r="MZ5" i="30" s="1"/>
  <c r="NA5" i="30" s="1"/>
  <c r="NB5" i="30" s="1"/>
  <c r="NC5" i="30" s="1"/>
  <c r="ND5" i="30" s="1"/>
  <c r="NE5" i="30" s="1"/>
  <c r="NF5" i="30" s="1"/>
  <c r="NG5" i="30" s="1"/>
  <c r="NH5" i="30" s="1"/>
  <c r="NI5" i="30" s="1"/>
  <c r="NJ5" i="30" s="1"/>
  <c r="NK5" i="30" s="1"/>
  <c r="NL5" i="30" s="1"/>
  <c r="NM5" i="30" s="1"/>
  <c r="NN5" i="30" s="1"/>
  <c r="NO5" i="30" s="1"/>
  <c r="NP5" i="30" s="1"/>
  <c r="NQ5" i="30" s="1"/>
  <c r="NR5" i="30" s="1"/>
  <c r="NS5" i="30" s="1"/>
  <c r="NT5" i="30" s="1"/>
  <c r="NU5" i="30" s="1"/>
  <c r="NV5" i="30" s="1"/>
  <c r="NW5" i="30" s="1"/>
  <c r="NX5" i="30" s="1"/>
  <c r="NY5" i="30" s="1"/>
  <c r="NZ5" i="30" s="1"/>
  <c r="OA5" i="30" s="1"/>
  <c r="OB5" i="30" s="1"/>
  <c r="OC5" i="30" s="1"/>
  <c r="OD5" i="30" s="1"/>
  <c r="OE5" i="30" s="1"/>
  <c r="OF5" i="30" s="1"/>
  <c r="OG5" i="30" s="1"/>
  <c r="OH5" i="30" s="1"/>
  <c r="OI5" i="30" s="1"/>
  <c r="OJ5" i="30" s="1"/>
  <c r="OK5" i="30" s="1"/>
  <c r="OL5" i="30" s="1"/>
  <c r="OM5" i="30" s="1"/>
  <c r="ON5" i="30" s="1"/>
  <c r="OO5" i="30" s="1"/>
  <c r="OP5" i="30" s="1"/>
  <c r="OQ5" i="30" s="1"/>
  <c r="OR5" i="30" s="1"/>
  <c r="OS5" i="30" s="1"/>
  <c r="OT5" i="30" s="1"/>
  <c r="OU5" i="30" s="1"/>
  <c r="OV5" i="30" s="1"/>
  <c r="OW5" i="30" s="1"/>
  <c r="OX5" i="30" s="1"/>
  <c r="OY5" i="30" s="1"/>
  <c r="OZ5" i="30" s="1"/>
  <c r="PA5" i="30" s="1"/>
  <c r="PB5" i="30" s="1"/>
  <c r="PC5" i="30" s="1"/>
  <c r="PD5" i="30" s="1"/>
  <c r="PE5" i="30" s="1"/>
  <c r="PF5" i="30" s="1"/>
  <c r="PG5" i="30" s="1"/>
  <c r="LL6" i="30"/>
  <c r="LM6" i="30" s="1"/>
  <c r="LN6" i="30" s="1"/>
  <c r="LO6" i="30" s="1"/>
  <c r="LP6" i="30" s="1"/>
  <c r="LQ6" i="30" s="1"/>
  <c r="LR6" i="30" s="1"/>
  <c r="LS6" i="30" s="1"/>
  <c r="LT6" i="30" s="1"/>
  <c r="LU6" i="30" s="1"/>
  <c r="LV6" i="30" s="1"/>
  <c r="LW6" i="30" s="1"/>
  <c r="LX6" i="30" s="1"/>
  <c r="LY6" i="30" s="1"/>
  <c r="LZ6" i="30" s="1"/>
  <c r="MA6" i="30" s="1"/>
  <c r="MB6" i="30" s="1"/>
  <c r="MC6" i="30" s="1"/>
  <c r="MD6" i="30" s="1"/>
  <c r="ME6" i="30" s="1"/>
  <c r="MF6" i="30" s="1"/>
  <c r="MG6" i="30" s="1"/>
  <c r="MH6" i="30" s="1"/>
  <c r="MI6" i="30" s="1"/>
  <c r="MJ6" i="30" s="1"/>
  <c r="MK6" i="30" s="1"/>
  <c r="ML6" i="30" s="1"/>
  <c r="MM6" i="30" s="1"/>
  <c r="MN6" i="30" s="1"/>
  <c r="MO6" i="30" s="1"/>
  <c r="MP6" i="30" s="1"/>
  <c r="MQ6" i="30" s="1"/>
  <c r="MR6" i="30" s="1"/>
  <c r="MS6" i="30" s="1"/>
  <c r="MT6" i="30" s="1"/>
  <c r="MU6" i="30" s="1"/>
  <c r="MV6" i="30" s="1"/>
  <c r="MW6" i="30" s="1"/>
  <c r="MX6" i="30" s="1"/>
  <c r="MY6" i="30" s="1"/>
  <c r="MZ6" i="30" s="1"/>
  <c r="NA6" i="30" s="1"/>
  <c r="NB6" i="30" s="1"/>
  <c r="NC6" i="30" s="1"/>
  <c r="ND6" i="30" s="1"/>
  <c r="NE6" i="30" s="1"/>
  <c r="NF6" i="30" s="1"/>
  <c r="NG6" i="30" s="1"/>
  <c r="NH6" i="30" s="1"/>
  <c r="NI6" i="30" s="1"/>
  <c r="NJ6" i="30" s="1"/>
  <c r="NK6" i="30" s="1"/>
  <c r="NL6" i="30" s="1"/>
  <c r="NM6" i="30" s="1"/>
  <c r="NN6" i="30" s="1"/>
  <c r="NO6" i="30" s="1"/>
  <c r="NP6" i="30" s="1"/>
  <c r="NQ6" i="30" s="1"/>
  <c r="NR6" i="30" s="1"/>
  <c r="NS6" i="30" s="1"/>
  <c r="NT6" i="30" s="1"/>
  <c r="NU6" i="30" s="1"/>
  <c r="NV6" i="30" s="1"/>
  <c r="NW6" i="30" s="1"/>
  <c r="NX6" i="30" s="1"/>
  <c r="NY6" i="30" s="1"/>
  <c r="NZ6" i="30" s="1"/>
  <c r="OA6" i="30" s="1"/>
  <c r="OB6" i="30" s="1"/>
  <c r="OC6" i="30" s="1"/>
  <c r="OD6" i="30" s="1"/>
  <c r="OE6" i="30" s="1"/>
  <c r="OF6" i="30" s="1"/>
  <c r="OG6" i="30" s="1"/>
  <c r="OH6" i="30" s="1"/>
  <c r="OI6" i="30" s="1"/>
  <c r="OJ6" i="30" s="1"/>
  <c r="OK6" i="30" s="1"/>
  <c r="OL6" i="30" s="1"/>
  <c r="OM6" i="30" s="1"/>
  <c r="ON6" i="30" s="1"/>
  <c r="OO6" i="30" s="1"/>
  <c r="OP6" i="30" s="1"/>
  <c r="OQ6" i="30" s="1"/>
  <c r="OR6" i="30" s="1"/>
  <c r="OS6" i="30" s="1"/>
  <c r="OT6" i="30" s="1"/>
  <c r="OU6" i="30" s="1"/>
  <c r="OV6" i="30" s="1"/>
  <c r="OW6" i="30" s="1"/>
  <c r="OX6" i="30" s="1"/>
  <c r="OY6" i="30" s="1"/>
  <c r="OZ6" i="30" s="1"/>
  <c r="PA6" i="30" s="1"/>
  <c r="PB6" i="30" s="1"/>
  <c r="PC6" i="30" s="1"/>
  <c r="PD6" i="30" s="1"/>
  <c r="PE6" i="30" s="1"/>
  <c r="PF6" i="30" s="1"/>
  <c r="PG6" i="30" s="1"/>
  <c r="LL7" i="30"/>
  <c r="LM7" i="30" s="1"/>
  <c r="LN7" i="30" s="1"/>
  <c r="LO7" i="30" s="1"/>
  <c r="LP7" i="30" s="1"/>
  <c r="LQ7" i="30" s="1"/>
  <c r="LR7" i="30" s="1"/>
  <c r="LS7" i="30" s="1"/>
  <c r="LT7" i="30" s="1"/>
  <c r="LU7" i="30" s="1"/>
  <c r="LV7" i="30" s="1"/>
  <c r="LW7" i="30" s="1"/>
  <c r="LX7" i="30" s="1"/>
  <c r="LY7" i="30" s="1"/>
  <c r="LZ7" i="30" s="1"/>
  <c r="MA7" i="30" s="1"/>
  <c r="MB7" i="30" s="1"/>
  <c r="MC7" i="30" s="1"/>
  <c r="MD7" i="30" s="1"/>
  <c r="ME7" i="30" s="1"/>
  <c r="MF7" i="30" s="1"/>
  <c r="MG7" i="30" s="1"/>
  <c r="MH7" i="30" s="1"/>
  <c r="MI7" i="30" s="1"/>
  <c r="MJ7" i="30" s="1"/>
  <c r="MK7" i="30" s="1"/>
  <c r="ML7" i="30" s="1"/>
  <c r="MM7" i="30" s="1"/>
  <c r="MN7" i="30" s="1"/>
  <c r="MO7" i="30" s="1"/>
  <c r="MP7" i="30" s="1"/>
  <c r="MQ7" i="30" s="1"/>
  <c r="MR7" i="30" s="1"/>
  <c r="MS7" i="30" s="1"/>
  <c r="MT7" i="30" s="1"/>
  <c r="MU7" i="30" s="1"/>
  <c r="MV7" i="30" s="1"/>
  <c r="MW7" i="30" s="1"/>
  <c r="MX7" i="30" s="1"/>
  <c r="MY7" i="30" s="1"/>
  <c r="MZ7" i="30" s="1"/>
  <c r="NA7" i="30" s="1"/>
  <c r="NB7" i="30" s="1"/>
  <c r="NC7" i="30" s="1"/>
  <c r="ND7" i="30" s="1"/>
  <c r="NE7" i="30" s="1"/>
  <c r="NF7" i="30" s="1"/>
  <c r="NG7" i="30" s="1"/>
  <c r="NH7" i="30" s="1"/>
  <c r="NI7" i="30" s="1"/>
  <c r="NJ7" i="30" s="1"/>
  <c r="NK7" i="30" s="1"/>
  <c r="NL7" i="30" s="1"/>
  <c r="NM7" i="30" s="1"/>
  <c r="NN7" i="30" s="1"/>
  <c r="NO7" i="30" s="1"/>
  <c r="NP7" i="30" s="1"/>
  <c r="NQ7" i="30" s="1"/>
  <c r="NR7" i="30" s="1"/>
  <c r="NS7" i="30" s="1"/>
  <c r="NT7" i="30" s="1"/>
  <c r="NU7" i="30" s="1"/>
  <c r="NV7" i="30" s="1"/>
  <c r="NW7" i="30" s="1"/>
  <c r="NX7" i="30" s="1"/>
  <c r="NY7" i="30" s="1"/>
  <c r="NZ7" i="30" s="1"/>
  <c r="OA7" i="30" s="1"/>
  <c r="OB7" i="30" s="1"/>
  <c r="OC7" i="30" s="1"/>
  <c r="OD7" i="30" s="1"/>
  <c r="OE7" i="30" s="1"/>
  <c r="OF7" i="30" s="1"/>
  <c r="OG7" i="30" s="1"/>
  <c r="OH7" i="30" s="1"/>
  <c r="OI7" i="30" s="1"/>
  <c r="OJ7" i="30" s="1"/>
  <c r="OK7" i="30" s="1"/>
  <c r="OL7" i="30" s="1"/>
  <c r="OM7" i="30" s="1"/>
  <c r="ON7" i="30" s="1"/>
  <c r="OO7" i="30" s="1"/>
  <c r="OP7" i="30" s="1"/>
  <c r="OQ7" i="30" s="1"/>
  <c r="OR7" i="30" s="1"/>
  <c r="OS7" i="30" s="1"/>
  <c r="OT7" i="30" s="1"/>
  <c r="OU7" i="30" s="1"/>
  <c r="OV7" i="30" s="1"/>
  <c r="OW7" i="30" s="1"/>
  <c r="OX7" i="30" s="1"/>
  <c r="OY7" i="30" s="1"/>
  <c r="OZ7" i="30" s="1"/>
  <c r="PA7" i="30" s="1"/>
  <c r="PB7" i="30" s="1"/>
  <c r="PC7" i="30" s="1"/>
  <c r="PD7" i="30" s="1"/>
  <c r="PE7" i="30" s="1"/>
  <c r="PF7" i="30" s="1"/>
  <c r="PG7" i="30" s="1"/>
  <c r="LL8" i="30"/>
  <c r="LM8" i="30" s="1"/>
  <c r="LN8" i="30" s="1"/>
  <c r="LO8" i="30" s="1"/>
  <c r="LP8" i="30" s="1"/>
  <c r="LQ8" i="30" s="1"/>
  <c r="LR8" i="30" s="1"/>
  <c r="LS8" i="30" s="1"/>
  <c r="LT8" i="30" s="1"/>
  <c r="LU8" i="30" s="1"/>
  <c r="LV8" i="30" s="1"/>
  <c r="LW8" i="30" s="1"/>
  <c r="LX8" i="30" s="1"/>
  <c r="LY8" i="30" s="1"/>
  <c r="LZ8" i="30" s="1"/>
  <c r="MA8" i="30" s="1"/>
  <c r="MB8" i="30" s="1"/>
  <c r="MC8" i="30" s="1"/>
  <c r="MD8" i="30" s="1"/>
  <c r="ME8" i="30" s="1"/>
  <c r="MF8" i="30" s="1"/>
  <c r="MG8" i="30" s="1"/>
  <c r="MH8" i="30" s="1"/>
  <c r="MI8" i="30" s="1"/>
  <c r="MJ8" i="30" s="1"/>
  <c r="MK8" i="30" s="1"/>
  <c r="ML8" i="30" s="1"/>
  <c r="MM8" i="30" s="1"/>
  <c r="MN8" i="30" s="1"/>
  <c r="MO8" i="30" s="1"/>
  <c r="MP8" i="30" s="1"/>
  <c r="MQ8" i="30" s="1"/>
  <c r="MR8" i="30" s="1"/>
  <c r="MS8" i="30" s="1"/>
  <c r="MT8" i="30" s="1"/>
  <c r="MU8" i="30" s="1"/>
  <c r="MV8" i="30" s="1"/>
  <c r="MW8" i="30" s="1"/>
  <c r="MX8" i="30" s="1"/>
  <c r="MY8" i="30" s="1"/>
  <c r="MZ8" i="30" s="1"/>
  <c r="NA8" i="30" s="1"/>
  <c r="NB8" i="30" s="1"/>
  <c r="NC8" i="30" s="1"/>
  <c r="ND8" i="30" s="1"/>
  <c r="NE8" i="30" s="1"/>
  <c r="NF8" i="30" s="1"/>
  <c r="NG8" i="30" s="1"/>
  <c r="NH8" i="30" s="1"/>
  <c r="NI8" i="30" s="1"/>
  <c r="NJ8" i="30" s="1"/>
  <c r="NK8" i="30" s="1"/>
  <c r="NL8" i="30" s="1"/>
  <c r="NM8" i="30" s="1"/>
  <c r="NN8" i="30" s="1"/>
  <c r="NO8" i="30" s="1"/>
  <c r="NP8" i="30" s="1"/>
  <c r="NQ8" i="30" s="1"/>
  <c r="NR8" i="30" s="1"/>
  <c r="NS8" i="30" s="1"/>
  <c r="NT8" i="30" s="1"/>
  <c r="NU8" i="30" s="1"/>
  <c r="NV8" i="30" s="1"/>
  <c r="NW8" i="30" s="1"/>
  <c r="NX8" i="30" s="1"/>
  <c r="NY8" i="30" s="1"/>
  <c r="NZ8" i="30" s="1"/>
  <c r="OA8" i="30" s="1"/>
  <c r="OB8" i="30" s="1"/>
  <c r="OC8" i="30" s="1"/>
  <c r="OD8" i="30" s="1"/>
  <c r="OE8" i="30" s="1"/>
  <c r="OF8" i="30" s="1"/>
  <c r="OG8" i="30" s="1"/>
  <c r="OH8" i="30" s="1"/>
  <c r="OI8" i="30" s="1"/>
  <c r="OJ8" i="30" s="1"/>
  <c r="OK8" i="30" s="1"/>
  <c r="OL8" i="30" s="1"/>
  <c r="OM8" i="30" s="1"/>
  <c r="ON8" i="30" s="1"/>
  <c r="OO8" i="30" s="1"/>
  <c r="OP8" i="30" s="1"/>
  <c r="OQ8" i="30" s="1"/>
  <c r="OR8" i="30" s="1"/>
  <c r="OS8" i="30" s="1"/>
  <c r="OT8" i="30" s="1"/>
  <c r="OU8" i="30" s="1"/>
  <c r="OV8" i="30" s="1"/>
  <c r="OW8" i="30" s="1"/>
  <c r="OX8" i="30" s="1"/>
  <c r="OY8" i="30" s="1"/>
  <c r="OZ8" i="30" s="1"/>
  <c r="PA8" i="30" s="1"/>
  <c r="PB8" i="30" s="1"/>
  <c r="PC8" i="30" s="1"/>
  <c r="PD8" i="30" s="1"/>
  <c r="PE8" i="30" s="1"/>
  <c r="PF8" i="30" s="1"/>
  <c r="PG8" i="30" s="1"/>
  <c r="LL9" i="30"/>
  <c r="LM9" i="30" s="1"/>
  <c r="LN9" i="30" s="1"/>
  <c r="LO9" i="30" s="1"/>
  <c r="LP9" i="30" s="1"/>
  <c r="LQ9" i="30" s="1"/>
  <c r="LR9" i="30" s="1"/>
  <c r="LS9" i="30" s="1"/>
  <c r="LT9" i="30" s="1"/>
  <c r="LU9" i="30" s="1"/>
  <c r="LV9" i="30" s="1"/>
  <c r="LW9" i="30" s="1"/>
  <c r="LX9" i="30" s="1"/>
  <c r="LY9" i="30" s="1"/>
  <c r="LZ9" i="30" s="1"/>
  <c r="MA9" i="30" s="1"/>
  <c r="MB9" i="30" s="1"/>
  <c r="MC9" i="30" s="1"/>
  <c r="MD9" i="30" s="1"/>
  <c r="ME9" i="30" s="1"/>
  <c r="MF9" i="30" s="1"/>
  <c r="MG9" i="30" s="1"/>
  <c r="MH9" i="30" s="1"/>
  <c r="MI9" i="30" s="1"/>
  <c r="MJ9" i="30" s="1"/>
  <c r="MK9" i="30" s="1"/>
  <c r="ML9" i="30" s="1"/>
  <c r="MM9" i="30" s="1"/>
  <c r="MN9" i="30" s="1"/>
  <c r="MO9" i="30" s="1"/>
  <c r="MP9" i="30" s="1"/>
  <c r="MQ9" i="30" s="1"/>
  <c r="MR9" i="30" s="1"/>
  <c r="MS9" i="30" s="1"/>
  <c r="MT9" i="30" s="1"/>
  <c r="MU9" i="30" s="1"/>
  <c r="MV9" i="30" s="1"/>
  <c r="MW9" i="30" s="1"/>
  <c r="MX9" i="30" s="1"/>
  <c r="MY9" i="30" s="1"/>
  <c r="MZ9" i="30" s="1"/>
  <c r="NA9" i="30" s="1"/>
  <c r="NB9" i="30" s="1"/>
  <c r="NC9" i="30" s="1"/>
  <c r="ND9" i="30" s="1"/>
  <c r="NE9" i="30" s="1"/>
  <c r="NF9" i="30" s="1"/>
  <c r="NG9" i="30" s="1"/>
  <c r="NH9" i="30" s="1"/>
  <c r="NI9" i="30" s="1"/>
  <c r="NJ9" i="30" s="1"/>
  <c r="NK9" i="30" s="1"/>
  <c r="NL9" i="30" s="1"/>
  <c r="NM9" i="30" s="1"/>
  <c r="NN9" i="30" s="1"/>
  <c r="NO9" i="30" s="1"/>
  <c r="NP9" i="30" s="1"/>
  <c r="NQ9" i="30" s="1"/>
  <c r="NR9" i="30" s="1"/>
  <c r="NS9" i="30" s="1"/>
  <c r="NT9" i="30" s="1"/>
  <c r="NU9" i="30" s="1"/>
  <c r="NV9" i="30" s="1"/>
  <c r="NW9" i="30" s="1"/>
  <c r="NX9" i="30" s="1"/>
  <c r="NY9" i="30" s="1"/>
  <c r="NZ9" i="30" s="1"/>
  <c r="OA9" i="30" s="1"/>
  <c r="OB9" i="30" s="1"/>
  <c r="OC9" i="30" s="1"/>
  <c r="OD9" i="30" s="1"/>
  <c r="OE9" i="30" s="1"/>
  <c r="OF9" i="30" s="1"/>
  <c r="OG9" i="30" s="1"/>
  <c r="OH9" i="30" s="1"/>
  <c r="OI9" i="30" s="1"/>
  <c r="OJ9" i="30" s="1"/>
  <c r="OK9" i="30" s="1"/>
  <c r="OL9" i="30" s="1"/>
  <c r="OM9" i="30" s="1"/>
  <c r="ON9" i="30" s="1"/>
  <c r="OO9" i="30" s="1"/>
  <c r="OP9" i="30" s="1"/>
  <c r="OQ9" i="30" s="1"/>
  <c r="OR9" i="30" s="1"/>
  <c r="OS9" i="30" s="1"/>
  <c r="OT9" i="30" s="1"/>
  <c r="OU9" i="30" s="1"/>
  <c r="OV9" i="30" s="1"/>
  <c r="OW9" i="30" s="1"/>
  <c r="OX9" i="30" s="1"/>
  <c r="OY9" i="30" s="1"/>
  <c r="OZ9" i="30" s="1"/>
  <c r="PA9" i="30" s="1"/>
  <c r="PB9" i="30" s="1"/>
  <c r="PC9" i="30" s="1"/>
  <c r="PD9" i="30" s="1"/>
  <c r="PE9" i="30" s="1"/>
  <c r="PF9" i="30" s="1"/>
  <c r="PG9" i="30" s="1"/>
  <c r="LL10" i="30"/>
  <c r="LM10" i="30" s="1"/>
  <c r="LN10" i="30" s="1"/>
  <c r="LO10" i="30" s="1"/>
  <c r="LP10" i="30" s="1"/>
  <c r="LQ10" i="30" s="1"/>
  <c r="LR10" i="30" s="1"/>
  <c r="LS10" i="30" s="1"/>
  <c r="LT10" i="30" s="1"/>
  <c r="LU10" i="30" s="1"/>
  <c r="LV10" i="30" s="1"/>
  <c r="LW10" i="30" s="1"/>
  <c r="LX10" i="30" s="1"/>
  <c r="LY10" i="30" s="1"/>
  <c r="LZ10" i="30" s="1"/>
  <c r="MA10" i="30" s="1"/>
  <c r="MB10" i="30" s="1"/>
  <c r="MC10" i="30" s="1"/>
  <c r="MD10" i="30" s="1"/>
  <c r="ME10" i="30" s="1"/>
  <c r="MF10" i="30" s="1"/>
  <c r="MG10" i="30" s="1"/>
  <c r="MH10" i="30" s="1"/>
  <c r="MI10" i="30" s="1"/>
  <c r="MJ10" i="30" s="1"/>
  <c r="MK10" i="30" s="1"/>
  <c r="ML10" i="30" s="1"/>
  <c r="MM10" i="30" s="1"/>
  <c r="MN10" i="30" s="1"/>
  <c r="MO10" i="30" s="1"/>
  <c r="MP10" i="30" s="1"/>
  <c r="MQ10" i="30" s="1"/>
  <c r="MR10" i="30" s="1"/>
  <c r="MS10" i="30" s="1"/>
  <c r="MT10" i="30" s="1"/>
  <c r="MU10" i="30" s="1"/>
  <c r="MV10" i="30" s="1"/>
  <c r="MW10" i="30" s="1"/>
  <c r="MX10" i="30" s="1"/>
  <c r="MY10" i="30" s="1"/>
  <c r="MZ10" i="30" s="1"/>
  <c r="NA10" i="30" s="1"/>
  <c r="NB10" i="30" s="1"/>
  <c r="NC10" i="30" s="1"/>
  <c r="ND10" i="30" s="1"/>
  <c r="NE10" i="30" s="1"/>
  <c r="NF10" i="30" s="1"/>
  <c r="NG10" i="30" s="1"/>
  <c r="NH10" i="30" s="1"/>
  <c r="NI10" i="30" s="1"/>
  <c r="NJ10" i="30" s="1"/>
  <c r="NK10" i="30" s="1"/>
  <c r="NL10" i="30" s="1"/>
  <c r="NM10" i="30" s="1"/>
  <c r="NN10" i="30" s="1"/>
  <c r="NO10" i="30" s="1"/>
  <c r="NP10" i="30" s="1"/>
  <c r="NQ10" i="30" s="1"/>
  <c r="NR10" i="30" s="1"/>
  <c r="NS10" i="30" s="1"/>
  <c r="NT10" i="30" s="1"/>
  <c r="NU10" i="30" s="1"/>
  <c r="NV10" i="30" s="1"/>
  <c r="NW10" i="30" s="1"/>
  <c r="NX10" i="30" s="1"/>
  <c r="NY10" i="30" s="1"/>
  <c r="NZ10" i="30" s="1"/>
  <c r="OA10" i="30" s="1"/>
  <c r="OB10" i="30" s="1"/>
  <c r="OC10" i="30" s="1"/>
  <c r="OD10" i="30" s="1"/>
  <c r="OE10" i="30" s="1"/>
  <c r="OF10" i="30" s="1"/>
  <c r="OG10" i="30" s="1"/>
  <c r="OH10" i="30" s="1"/>
  <c r="OI10" i="30" s="1"/>
  <c r="OJ10" i="30" s="1"/>
  <c r="OK10" i="30" s="1"/>
  <c r="OL10" i="30" s="1"/>
  <c r="OM10" i="30" s="1"/>
  <c r="ON10" i="30" s="1"/>
  <c r="OO10" i="30" s="1"/>
  <c r="OP10" i="30" s="1"/>
  <c r="OQ10" i="30" s="1"/>
  <c r="OR10" i="30" s="1"/>
  <c r="OS10" i="30" s="1"/>
  <c r="OT10" i="30" s="1"/>
  <c r="OU10" i="30" s="1"/>
  <c r="OV10" i="30" s="1"/>
  <c r="OW10" i="30" s="1"/>
  <c r="OX10" i="30" s="1"/>
  <c r="OY10" i="30" s="1"/>
  <c r="OZ10" i="30" s="1"/>
  <c r="PA10" i="30" s="1"/>
  <c r="PB10" i="30" s="1"/>
  <c r="PC10" i="30" s="1"/>
  <c r="PD10" i="30" s="1"/>
  <c r="PE10" i="30" s="1"/>
  <c r="PF10" i="30" s="1"/>
  <c r="PG10" i="30" s="1"/>
  <c r="LL11" i="30"/>
  <c r="LM11" i="30" s="1"/>
  <c r="LN11" i="30" s="1"/>
  <c r="LO11" i="30" s="1"/>
  <c r="LP11" i="30" s="1"/>
  <c r="LQ11" i="30" s="1"/>
  <c r="LR11" i="30" s="1"/>
  <c r="LS11" i="30" s="1"/>
  <c r="LT11" i="30" s="1"/>
  <c r="LU11" i="30" s="1"/>
  <c r="LV11" i="30" s="1"/>
  <c r="LW11" i="30" s="1"/>
  <c r="LX11" i="30" s="1"/>
  <c r="LY11" i="30" s="1"/>
  <c r="LZ11" i="30" s="1"/>
  <c r="MA11" i="30" s="1"/>
  <c r="MB11" i="30" s="1"/>
  <c r="MC11" i="30" s="1"/>
  <c r="MD11" i="30" s="1"/>
  <c r="ME11" i="30" s="1"/>
  <c r="MF11" i="30" s="1"/>
  <c r="MG11" i="30" s="1"/>
  <c r="MH11" i="30" s="1"/>
  <c r="MI11" i="30" s="1"/>
  <c r="MJ11" i="30" s="1"/>
  <c r="MK11" i="30" s="1"/>
  <c r="ML11" i="30" s="1"/>
  <c r="MM11" i="30" s="1"/>
  <c r="MN11" i="30" s="1"/>
  <c r="MO11" i="30" s="1"/>
  <c r="MP11" i="30" s="1"/>
  <c r="MQ11" i="30" s="1"/>
  <c r="MR11" i="30" s="1"/>
  <c r="MS11" i="30" s="1"/>
  <c r="MT11" i="30" s="1"/>
  <c r="MU11" i="30" s="1"/>
  <c r="MV11" i="30" s="1"/>
  <c r="MW11" i="30" s="1"/>
  <c r="MX11" i="30" s="1"/>
  <c r="MY11" i="30" s="1"/>
  <c r="MZ11" i="30" s="1"/>
  <c r="NA11" i="30" s="1"/>
  <c r="NB11" i="30" s="1"/>
  <c r="NC11" i="30" s="1"/>
  <c r="ND11" i="30" s="1"/>
  <c r="NE11" i="30" s="1"/>
  <c r="NF11" i="30" s="1"/>
  <c r="NG11" i="30" s="1"/>
  <c r="NH11" i="30" s="1"/>
  <c r="NI11" i="30" s="1"/>
  <c r="NJ11" i="30" s="1"/>
  <c r="NK11" i="30" s="1"/>
  <c r="NL11" i="30" s="1"/>
  <c r="NM11" i="30" s="1"/>
  <c r="NN11" i="30" s="1"/>
  <c r="NO11" i="30" s="1"/>
  <c r="NP11" i="30" s="1"/>
  <c r="NQ11" i="30" s="1"/>
  <c r="NR11" i="30" s="1"/>
  <c r="NS11" i="30" s="1"/>
  <c r="NT11" i="30" s="1"/>
  <c r="NU11" i="30" s="1"/>
  <c r="NV11" i="30" s="1"/>
  <c r="NW11" i="30" s="1"/>
  <c r="NX11" i="30" s="1"/>
  <c r="NY11" i="30" s="1"/>
  <c r="NZ11" i="30" s="1"/>
  <c r="OA11" i="30" s="1"/>
  <c r="OB11" i="30" s="1"/>
  <c r="OC11" i="30" s="1"/>
  <c r="OD11" i="30" s="1"/>
  <c r="OE11" i="30" s="1"/>
  <c r="OF11" i="30" s="1"/>
  <c r="OG11" i="30" s="1"/>
  <c r="OH11" i="30" s="1"/>
  <c r="OI11" i="30" s="1"/>
  <c r="OJ11" i="30" s="1"/>
  <c r="OK11" i="30" s="1"/>
  <c r="OL11" i="30" s="1"/>
  <c r="OM11" i="30" s="1"/>
  <c r="ON11" i="30" s="1"/>
  <c r="OO11" i="30" s="1"/>
  <c r="OP11" i="30" s="1"/>
  <c r="OQ11" i="30" s="1"/>
  <c r="OR11" i="30" s="1"/>
  <c r="OS11" i="30" s="1"/>
  <c r="OT11" i="30" s="1"/>
  <c r="OU11" i="30" s="1"/>
  <c r="OV11" i="30" s="1"/>
  <c r="OW11" i="30" s="1"/>
  <c r="OX11" i="30" s="1"/>
  <c r="OY11" i="30" s="1"/>
  <c r="OZ11" i="30" s="1"/>
  <c r="PA11" i="30" s="1"/>
  <c r="PB11" i="30" s="1"/>
  <c r="PC11" i="30" s="1"/>
  <c r="PD11" i="30" s="1"/>
  <c r="PE11" i="30" s="1"/>
  <c r="PF11" i="30" s="1"/>
  <c r="PG11" i="30" s="1"/>
  <c r="LL12" i="30"/>
  <c r="LM12" i="30" s="1"/>
  <c r="LN12" i="30" s="1"/>
  <c r="LO12" i="30" s="1"/>
  <c r="LP12" i="30" s="1"/>
  <c r="LQ12" i="30" s="1"/>
  <c r="LR12" i="30" s="1"/>
  <c r="LS12" i="30" s="1"/>
  <c r="LT12" i="30" s="1"/>
  <c r="LU12" i="30" s="1"/>
  <c r="LV12" i="30" s="1"/>
  <c r="LW12" i="30" s="1"/>
  <c r="LX12" i="30" s="1"/>
  <c r="LY12" i="30" s="1"/>
  <c r="LZ12" i="30" s="1"/>
  <c r="MA12" i="30" s="1"/>
  <c r="MB12" i="30" s="1"/>
  <c r="MC12" i="30" s="1"/>
  <c r="MD12" i="30" s="1"/>
  <c r="ME12" i="30" s="1"/>
  <c r="MF12" i="30" s="1"/>
  <c r="MG12" i="30" s="1"/>
  <c r="MH12" i="30" s="1"/>
  <c r="MI12" i="30" s="1"/>
  <c r="MJ12" i="30" s="1"/>
  <c r="MK12" i="30" s="1"/>
  <c r="ML12" i="30" s="1"/>
  <c r="MM12" i="30" s="1"/>
  <c r="MN12" i="30" s="1"/>
  <c r="MO12" i="30" s="1"/>
  <c r="MP12" i="30" s="1"/>
  <c r="MQ12" i="30" s="1"/>
  <c r="MR12" i="30" s="1"/>
  <c r="MS12" i="30" s="1"/>
  <c r="MT12" i="30" s="1"/>
  <c r="MU12" i="30" s="1"/>
  <c r="MV12" i="30" s="1"/>
  <c r="MW12" i="30" s="1"/>
  <c r="MX12" i="30" s="1"/>
  <c r="MY12" i="30" s="1"/>
  <c r="MZ12" i="30" s="1"/>
  <c r="NA12" i="30" s="1"/>
  <c r="NB12" i="30" s="1"/>
  <c r="NC12" i="30" s="1"/>
  <c r="ND12" i="30" s="1"/>
  <c r="NE12" i="30" s="1"/>
  <c r="NF12" i="30" s="1"/>
  <c r="NG12" i="30" s="1"/>
  <c r="NH12" i="30" s="1"/>
  <c r="NI12" i="30" s="1"/>
  <c r="NJ12" i="30" s="1"/>
  <c r="NK12" i="30" s="1"/>
  <c r="NL12" i="30" s="1"/>
  <c r="NM12" i="30" s="1"/>
  <c r="NN12" i="30" s="1"/>
  <c r="NO12" i="30" s="1"/>
  <c r="NP12" i="30" s="1"/>
  <c r="NQ12" i="30" s="1"/>
  <c r="NR12" i="30" s="1"/>
  <c r="NS12" i="30" s="1"/>
  <c r="NT12" i="30" s="1"/>
  <c r="NU12" i="30" s="1"/>
  <c r="NV12" i="30" s="1"/>
  <c r="NW12" i="30" s="1"/>
  <c r="NX12" i="30" s="1"/>
  <c r="NY12" i="30" s="1"/>
  <c r="NZ12" i="30" s="1"/>
  <c r="OA12" i="30" s="1"/>
  <c r="OB12" i="30" s="1"/>
  <c r="OC12" i="30" s="1"/>
  <c r="OD12" i="30" s="1"/>
  <c r="OE12" i="30" s="1"/>
  <c r="OF12" i="30" s="1"/>
  <c r="OG12" i="30" s="1"/>
  <c r="OH12" i="30" s="1"/>
  <c r="OI12" i="30" s="1"/>
  <c r="OJ12" i="30" s="1"/>
  <c r="OK12" i="30" s="1"/>
  <c r="OL12" i="30" s="1"/>
  <c r="OM12" i="30" s="1"/>
  <c r="ON12" i="30" s="1"/>
  <c r="OO12" i="30" s="1"/>
  <c r="OP12" i="30" s="1"/>
  <c r="OQ12" i="30" s="1"/>
  <c r="OR12" i="30" s="1"/>
  <c r="OS12" i="30" s="1"/>
  <c r="OT12" i="30" s="1"/>
  <c r="OU12" i="30" s="1"/>
  <c r="OV12" i="30" s="1"/>
  <c r="OW12" i="30" s="1"/>
  <c r="OX12" i="30" s="1"/>
  <c r="OY12" i="30" s="1"/>
  <c r="OZ12" i="30" s="1"/>
  <c r="PA12" i="30" s="1"/>
  <c r="PB12" i="30" s="1"/>
  <c r="PC12" i="30" s="1"/>
  <c r="PD12" i="30" s="1"/>
  <c r="PE12" i="30" s="1"/>
  <c r="PF12" i="30" s="1"/>
  <c r="PG12" i="30" s="1"/>
  <c r="LL13" i="30"/>
  <c r="LM13" i="30" s="1"/>
  <c r="LN13" i="30" s="1"/>
  <c r="LO13" i="30" s="1"/>
  <c r="LP13" i="30" s="1"/>
  <c r="LQ13" i="30" s="1"/>
  <c r="LR13" i="30" s="1"/>
  <c r="LS13" i="30" s="1"/>
  <c r="LT13" i="30" s="1"/>
  <c r="LU13" i="30" s="1"/>
  <c r="LV13" i="30" s="1"/>
  <c r="LW13" i="30" s="1"/>
  <c r="LX13" i="30" s="1"/>
  <c r="LY13" i="30" s="1"/>
  <c r="LZ13" i="30" s="1"/>
  <c r="MA13" i="30" s="1"/>
  <c r="MB13" i="30" s="1"/>
  <c r="MC13" i="30" s="1"/>
  <c r="MD13" i="30" s="1"/>
  <c r="ME13" i="30" s="1"/>
  <c r="MF13" i="30" s="1"/>
  <c r="MG13" i="30" s="1"/>
  <c r="MH13" i="30" s="1"/>
  <c r="MI13" i="30" s="1"/>
  <c r="MJ13" i="30" s="1"/>
  <c r="MK13" i="30" s="1"/>
  <c r="ML13" i="30" s="1"/>
  <c r="MM13" i="30" s="1"/>
  <c r="MN13" i="30" s="1"/>
  <c r="MO13" i="30" s="1"/>
  <c r="MP13" i="30" s="1"/>
  <c r="MQ13" i="30" s="1"/>
  <c r="MR13" i="30" s="1"/>
  <c r="MS13" i="30" s="1"/>
  <c r="MT13" i="30" s="1"/>
  <c r="MU13" i="30" s="1"/>
  <c r="MV13" i="30" s="1"/>
  <c r="MW13" i="30" s="1"/>
  <c r="MX13" i="30" s="1"/>
  <c r="MY13" i="30" s="1"/>
  <c r="MZ13" i="30" s="1"/>
  <c r="NA13" i="30" s="1"/>
  <c r="NB13" i="30" s="1"/>
  <c r="NC13" i="30" s="1"/>
  <c r="ND13" i="30" s="1"/>
  <c r="NE13" i="30" s="1"/>
  <c r="NF13" i="30" s="1"/>
  <c r="NG13" i="30" s="1"/>
  <c r="NH13" i="30" s="1"/>
  <c r="NI13" i="30" s="1"/>
  <c r="NJ13" i="30" s="1"/>
  <c r="NK13" i="30" s="1"/>
  <c r="NL13" i="30" s="1"/>
  <c r="NM13" i="30" s="1"/>
  <c r="NN13" i="30" s="1"/>
  <c r="NO13" i="30" s="1"/>
  <c r="NP13" i="30" s="1"/>
  <c r="NQ13" i="30" s="1"/>
  <c r="NR13" i="30" s="1"/>
  <c r="NS13" i="30" s="1"/>
  <c r="NT13" i="30" s="1"/>
  <c r="NU13" i="30" s="1"/>
  <c r="NV13" i="30" s="1"/>
  <c r="NW13" i="30" s="1"/>
  <c r="NX13" i="30" s="1"/>
  <c r="NY13" i="30" s="1"/>
  <c r="NZ13" i="30" s="1"/>
  <c r="OA13" i="30" s="1"/>
  <c r="OB13" i="30" s="1"/>
  <c r="OC13" i="30" s="1"/>
  <c r="OD13" i="30" s="1"/>
  <c r="OE13" i="30" s="1"/>
  <c r="OF13" i="30" s="1"/>
  <c r="OG13" i="30" s="1"/>
  <c r="OH13" i="30" s="1"/>
  <c r="OI13" i="30" s="1"/>
  <c r="OJ13" i="30" s="1"/>
  <c r="OK13" i="30" s="1"/>
  <c r="OL13" i="30" s="1"/>
  <c r="OM13" i="30" s="1"/>
  <c r="ON13" i="30" s="1"/>
  <c r="OO13" i="30" s="1"/>
  <c r="OP13" i="30" s="1"/>
  <c r="OQ13" i="30" s="1"/>
  <c r="OR13" i="30" s="1"/>
  <c r="OS13" i="30" s="1"/>
  <c r="OT13" i="30" s="1"/>
  <c r="OU13" i="30" s="1"/>
  <c r="OV13" i="30" s="1"/>
  <c r="OW13" i="30" s="1"/>
  <c r="OX13" i="30" s="1"/>
  <c r="OY13" i="30" s="1"/>
  <c r="OZ13" i="30" s="1"/>
  <c r="PA13" i="30" s="1"/>
  <c r="PB13" i="30" s="1"/>
  <c r="PC13" i="30" s="1"/>
  <c r="PD13" i="30" s="1"/>
  <c r="PE13" i="30" s="1"/>
  <c r="PF13" i="30" s="1"/>
  <c r="PG13" i="30" s="1"/>
  <c r="LL14" i="30"/>
  <c r="LM14" i="30" s="1"/>
  <c r="LN14" i="30" s="1"/>
  <c r="LO14" i="30" s="1"/>
  <c r="LP14" i="30" s="1"/>
  <c r="LQ14" i="30" s="1"/>
  <c r="LR14" i="30" s="1"/>
  <c r="LS14" i="30" s="1"/>
  <c r="LT14" i="30" s="1"/>
  <c r="LU14" i="30" s="1"/>
  <c r="LV14" i="30" s="1"/>
  <c r="LW14" i="30" s="1"/>
  <c r="LX14" i="30" s="1"/>
  <c r="LY14" i="30" s="1"/>
  <c r="LZ14" i="30" s="1"/>
  <c r="MA14" i="30" s="1"/>
  <c r="MB14" i="30" s="1"/>
  <c r="MC14" i="30" s="1"/>
  <c r="MD14" i="30" s="1"/>
  <c r="ME14" i="30" s="1"/>
  <c r="MF14" i="30" s="1"/>
  <c r="MG14" i="30" s="1"/>
  <c r="MH14" i="30" s="1"/>
  <c r="MI14" i="30" s="1"/>
  <c r="MJ14" i="30" s="1"/>
  <c r="MK14" i="30" s="1"/>
  <c r="ML14" i="30" s="1"/>
  <c r="MM14" i="30" s="1"/>
  <c r="MN14" i="30" s="1"/>
  <c r="MO14" i="30" s="1"/>
  <c r="MP14" i="30" s="1"/>
  <c r="MQ14" i="30" s="1"/>
  <c r="MR14" i="30" s="1"/>
  <c r="MS14" i="30" s="1"/>
  <c r="MT14" i="30" s="1"/>
  <c r="MU14" i="30" s="1"/>
  <c r="MV14" i="30" s="1"/>
  <c r="MW14" i="30" s="1"/>
  <c r="MX14" i="30" s="1"/>
  <c r="MY14" i="30" s="1"/>
  <c r="MZ14" i="30" s="1"/>
  <c r="NA14" i="30" s="1"/>
  <c r="NB14" i="30" s="1"/>
  <c r="NC14" i="30" s="1"/>
  <c r="ND14" i="30" s="1"/>
  <c r="NE14" i="30" s="1"/>
  <c r="NF14" i="30" s="1"/>
  <c r="NG14" i="30" s="1"/>
  <c r="NH14" i="30" s="1"/>
  <c r="NI14" i="30" s="1"/>
  <c r="NJ14" i="30" s="1"/>
  <c r="NK14" i="30" s="1"/>
  <c r="NL14" i="30" s="1"/>
  <c r="NM14" i="30" s="1"/>
  <c r="NN14" i="30" s="1"/>
  <c r="NO14" i="30" s="1"/>
  <c r="NP14" i="30" s="1"/>
  <c r="NQ14" i="30" s="1"/>
  <c r="NR14" i="30" s="1"/>
  <c r="NS14" i="30" s="1"/>
  <c r="NT14" i="30" s="1"/>
  <c r="NU14" i="30" s="1"/>
  <c r="NV14" i="30" s="1"/>
  <c r="NW14" i="30" s="1"/>
  <c r="NX14" i="30" s="1"/>
  <c r="NY14" i="30" s="1"/>
  <c r="NZ14" i="30" s="1"/>
  <c r="OA14" i="30" s="1"/>
  <c r="OB14" i="30" s="1"/>
  <c r="OC14" i="30" s="1"/>
  <c r="OD14" i="30" s="1"/>
  <c r="OE14" i="30" s="1"/>
  <c r="OF14" i="30" s="1"/>
  <c r="OG14" i="30" s="1"/>
  <c r="OH14" i="30" s="1"/>
  <c r="OI14" i="30" s="1"/>
  <c r="OJ14" i="30" s="1"/>
  <c r="OK14" i="30" s="1"/>
  <c r="OL14" i="30" s="1"/>
  <c r="OM14" i="30" s="1"/>
  <c r="ON14" i="30" s="1"/>
  <c r="OO14" i="30" s="1"/>
  <c r="OP14" i="30" s="1"/>
  <c r="OQ14" i="30" s="1"/>
  <c r="OR14" i="30" s="1"/>
  <c r="OS14" i="30" s="1"/>
  <c r="OT14" i="30" s="1"/>
  <c r="OU14" i="30" s="1"/>
  <c r="OV14" i="30" s="1"/>
  <c r="OW14" i="30" s="1"/>
  <c r="OX14" i="30" s="1"/>
  <c r="OY14" i="30" s="1"/>
  <c r="OZ14" i="30" s="1"/>
  <c r="PA14" i="30" s="1"/>
  <c r="PB14" i="30" s="1"/>
  <c r="PC14" i="30" s="1"/>
  <c r="PD14" i="30" s="1"/>
  <c r="PE14" i="30" s="1"/>
  <c r="PF14" i="30" s="1"/>
  <c r="PG14" i="30" s="1"/>
  <c r="LL15" i="30"/>
  <c r="LM15" i="30" s="1"/>
  <c r="LN15" i="30" s="1"/>
  <c r="LO15" i="30" s="1"/>
  <c r="LP15" i="30" s="1"/>
  <c r="LQ15" i="30" s="1"/>
  <c r="LR15" i="30" s="1"/>
  <c r="LS15" i="30" s="1"/>
  <c r="LT15" i="30" s="1"/>
  <c r="LU15" i="30" s="1"/>
  <c r="LV15" i="30" s="1"/>
  <c r="LW15" i="30" s="1"/>
  <c r="LX15" i="30" s="1"/>
  <c r="LY15" i="30" s="1"/>
  <c r="LZ15" i="30" s="1"/>
  <c r="MA15" i="30" s="1"/>
  <c r="MB15" i="30" s="1"/>
  <c r="MC15" i="30" s="1"/>
  <c r="MD15" i="30" s="1"/>
  <c r="ME15" i="30" s="1"/>
  <c r="MF15" i="30" s="1"/>
  <c r="MG15" i="30" s="1"/>
  <c r="MH15" i="30" s="1"/>
  <c r="MI15" i="30" s="1"/>
  <c r="MJ15" i="30" s="1"/>
  <c r="MK15" i="30" s="1"/>
  <c r="ML15" i="30" s="1"/>
  <c r="MM15" i="30" s="1"/>
  <c r="MN15" i="30" s="1"/>
  <c r="MO15" i="30" s="1"/>
  <c r="MP15" i="30" s="1"/>
  <c r="MQ15" i="30" s="1"/>
  <c r="MR15" i="30" s="1"/>
  <c r="MS15" i="30" s="1"/>
  <c r="MT15" i="30" s="1"/>
  <c r="MU15" i="30" s="1"/>
  <c r="MV15" i="30" s="1"/>
  <c r="MW15" i="30" s="1"/>
  <c r="MX15" i="30" s="1"/>
  <c r="MY15" i="30" s="1"/>
  <c r="MZ15" i="30" s="1"/>
  <c r="NA15" i="30" s="1"/>
  <c r="NB15" i="30" s="1"/>
  <c r="NC15" i="30" s="1"/>
  <c r="ND15" i="30" s="1"/>
  <c r="NE15" i="30" s="1"/>
  <c r="NF15" i="30" s="1"/>
  <c r="NG15" i="30" s="1"/>
  <c r="NH15" i="30" s="1"/>
  <c r="NI15" i="30" s="1"/>
  <c r="NJ15" i="30" s="1"/>
  <c r="NK15" i="30" s="1"/>
  <c r="NL15" i="30" s="1"/>
  <c r="NM15" i="30" s="1"/>
  <c r="NN15" i="30" s="1"/>
  <c r="NO15" i="30" s="1"/>
  <c r="NP15" i="30" s="1"/>
  <c r="NQ15" i="30" s="1"/>
  <c r="NR15" i="30" s="1"/>
  <c r="NS15" i="30" s="1"/>
  <c r="NT15" i="30" s="1"/>
  <c r="NU15" i="30" s="1"/>
  <c r="NV15" i="30" s="1"/>
  <c r="NW15" i="30" s="1"/>
  <c r="NX15" i="30" s="1"/>
  <c r="NY15" i="30" s="1"/>
  <c r="NZ15" i="30" s="1"/>
  <c r="OA15" i="30" s="1"/>
  <c r="OB15" i="30" s="1"/>
  <c r="OC15" i="30" s="1"/>
  <c r="OD15" i="30" s="1"/>
  <c r="OE15" i="30" s="1"/>
  <c r="OF15" i="30" s="1"/>
  <c r="OG15" i="30" s="1"/>
  <c r="OH15" i="30" s="1"/>
  <c r="OI15" i="30" s="1"/>
  <c r="OJ15" i="30" s="1"/>
  <c r="OK15" i="30" s="1"/>
  <c r="OL15" i="30" s="1"/>
  <c r="OM15" i="30" s="1"/>
  <c r="ON15" i="30" s="1"/>
  <c r="OO15" i="30" s="1"/>
  <c r="OP15" i="30" s="1"/>
  <c r="OQ15" i="30" s="1"/>
  <c r="OR15" i="30" s="1"/>
  <c r="OS15" i="30" s="1"/>
  <c r="OT15" i="30" s="1"/>
  <c r="OU15" i="30" s="1"/>
  <c r="OV15" i="30" s="1"/>
  <c r="OW15" i="30" s="1"/>
  <c r="OX15" i="30" s="1"/>
  <c r="OY15" i="30" s="1"/>
  <c r="OZ15" i="30" s="1"/>
  <c r="PA15" i="30" s="1"/>
  <c r="PB15" i="30" s="1"/>
  <c r="PC15" i="30" s="1"/>
  <c r="PD15" i="30" s="1"/>
  <c r="PE15" i="30" s="1"/>
  <c r="PF15" i="30" s="1"/>
  <c r="PG15" i="30" s="1"/>
  <c r="LL16" i="30"/>
  <c r="LM16" i="30" s="1"/>
  <c r="LN16" i="30" s="1"/>
  <c r="LO16" i="30" s="1"/>
  <c r="LP16" i="30" s="1"/>
  <c r="LQ16" i="30" s="1"/>
  <c r="LR16" i="30" s="1"/>
  <c r="LS16" i="30" s="1"/>
  <c r="LT16" i="30" s="1"/>
  <c r="LU16" i="30" s="1"/>
  <c r="LV16" i="30" s="1"/>
  <c r="LW16" i="30" s="1"/>
  <c r="LX16" i="30" s="1"/>
  <c r="LY16" i="30" s="1"/>
  <c r="LZ16" i="30" s="1"/>
  <c r="MA16" i="30" s="1"/>
  <c r="MB16" i="30" s="1"/>
  <c r="MC16" i="30" s="1"/>
  <c r="MD16" i="30" s="1"/>
  <c r="ME16" i="30" s="1"/>
  <c r="MF16" i="30" s="1"/>
  <c r="MG16" i="30" s="1"/>
  <c r="MH16" i="30" s="1"/>
  <c r="MI16" i="30" s="1"/>
  <c r="MJ16" i="30" s="1"/>
  <c r="MK16" i="30" s="1"/>
  <c r="ML16" i="30" s="1"/>
  <c r="MM16" i="30" s="1"/>
  <c r="MN16" i="30" s="1"/>
  <c r="MO16" i="30" s="1"/>
  <c r="MP16" i="30" s="1"/>
  <c r="MQ16" i="30" s="1"/>
  <c r="MR16" i="30" s="1"/>
  <c r="MS16" i="30" s="1"/>
  <c r="MT16" i="30" s="1"/>
  <c r="MU16" i="30" s="1"/>
  <c r="MV16" i="30" s="1"/>
  <c r="MW16" i="30" s="1"/>
  <c r="MX16" i="30" s="1"/>
  <c r="MY16" i="30" s="1"/>
  <c r="MZ16" i="30" s="1"/>
  <c r="NA16" i="30" s="1"/>
  <c r="NB16" i="30" s="1"/>
  <c r="NC16" i="30" s="1"/>
  <c r="ND16" i="30" s="1"/>
  <c r="NE16" i="30" s="1"/>
  <c r="NF16" i="30" s="1"/>
  <c r="NG16" i="30" s="1"/>
  <c r="NH16" i="30" s="1"/>
  <c r="NI16" i="30" s="1"/>
  <c r="NJ16" i="30" s="1"/>
  <c r="NK16" i="30" s="1"/>
  <c r="NL16" i="30" s="1"/>
  <c r="NM16" i="30" s="1"/>
  <c r="NN16" i="30" s="1"/>
  <c r="NO16" i="30" s="1"/>
  <c r="NP16" i="30" s="1"/>
  <c r="NQ16" i="30" s="1"/>
  <c r="NR16" i="30" s="1"/>
  <c r="NS16" i="30" s="1"/>
  <c r="NT16" i="30" s="1"/>
  <c r="NU16" i="30" s="1"/>
  <c r="NV16" i="30" s="1"/>
  <c r="NW16" i="30" s="1"/>
  <c r="NX16" i="30" s="1"/>
  <c r="NY16" i="30" s="1"/>
  <c r="NZ16" i="30" s="1"/>
  <c r="OA16" i="30" s="1"/>
  <c r="OB16" i="30" s="1"/>
  <c r="OC16" i="30" s="1"/>
  <c r="OD16" i="30" s="1"/>
  <c r="OE16" i="30" s="1"/>
  <c r="OF16" i="30" s="1"/>
  <c r="OG16" i="30" s="1"/>
  <c r="OH16" i="30" s="1"/>
  <c r="OI16" i="30" s="1"/>
  <c r="OJ16" i="30" s="1"/>
  <c r="OK16" i="30" s="1"/>
  <c r="OL16" i="30" s="1"/>
  <c r="OM16" i="30" s="1"/>
  <c r="ON16" i="30" s="1"/>
  <c r="OO16" i="30" s="1"/>
  <c r="OP16" i="30" s="1"/>
  <c r="OQ16" i="30" s="1"/>
  <c r="OR16" i="30" s="1"/>
  <c r="OS16" i="30" s="1"/>
  <c r="OT16" i="30" s="1"/>
  <c r="OU16" i="30" s="1"/>
  <c r="OV16" i="30" s="1"/>
  <c r="OW16" i="30" s="1"/>
  <c r="OX16" i="30" s="1"/>
  <c r="OY16" i="30" s="1"/>
  <c r="OZ16" i="30" s="1"/>
  <c r="PA16" i="30" s="1"/>
  <c r="PB16" i="30" s="1"/>
  <c r="PC16" i="30" s="1"/>
  <c r="PD16" i="30" s="1"/>
  <c r="PE16" i="30" s="1"/>
  <c r="PF16" i="30" s="1"/>
  <c r="PG16" i="30" s="1"/>
  <c r="LL17" i="30"/>
  <c r="LM17" i="30" s="1"/>
  <c r="LN17" i="30" s="1"/>
  <c r="LO17" i="30" s="1"/>
  <c r="LP17" i="30" s="1"/>
  <c r="LQ17" i="30" s="1"/>
  <c r="LR17" i="30" s="1"/>
  <c r="LS17" i="30" s="1"/>
  <c r="LT17" i="30" s="1"/>
  <c r="LU17" i="30" s="1"/>
  <c r="LV17" i="30" s="1"/>
  <c r="LW17" i="30" s="1"/>
  <c r="LX17" i="30" s="1"/>
  <c r="LY17" i="30" s="1"/>
  <c r="LZ17" i="30" s="1"/>
  <c r="MA17" i="30" s="1"/>
  <c r="MB17" i="30" s="1"/>
  <c r="MC17" i="30" s="1"/>
  <c r="MD17" i="30" s="1"/>
  <c r="ME17" i="30" s="1"/>
  <c r="MF17" i="30" s="1"/>
  <c r="MG17" i="30" s="1"/>
  <c r="MH17" i="30" s="1"/>
  <c r="MI17" i="30" s="1"/>
  <c r="MJ17" i="30" s="1"/>
  <c r="MK17" i="30" s="1"/>
  <c r="ML17" i="30" s="1"/>
  <c r="MM17" i="30" s="1"/>
  <c r="MN17" i="30" s="1"/>
  <c r="MO17" i="30" s="1"/>
  <c r="MP17" i="30" s="1"/>
  <c r="MQ17" i="30" s="1"/>
  <c r="MR17" i="30" s="1"/>
  <c r="MS17" i="30" s="1"/>
  <c r="MT17" i="30" s="1"/>
  <c r="MU17" i="30" s="1"/>
  <c r="MV17" i="30" s="1"/>
  <c r="MW17" i="30" s="1"/>
  <c r="MX17" i="30" s="1"/>
  <c r="MY17" i="30" s="1"/>
  <c r="MZ17" i="30" s="1"/>
  <c r="NA17" i="30" s="1"/>
  <c r="NB17" i="30" s="1"/>
  <c r="NC17" i="30" s="1"/>
  <c r="ND17" i="30" s="1"/>
  <c r="NE17" i="30" s="1"/>
  <c r="NF17" i="30" s="1"/>
  <c r="NG17" i="30" s="1"/>
  <c r="NH17" i="30" s="1"/>
  <c r="NI17" i="30" s="1"/>
  <c r="NJ17" i="30" s="1"/>
  <c r="NK17" i="30" s="1"/>
  <c r="NL17" i="30" s="1"/>
  <c r="NM17" i="30" s="1"/>
  <c r="NN17" i="30" s="1"/>
  <c r="NO17" i="30" s="1"/>
  <c r="NP17" i="30" s="1"/>
  <c r="NQ17" i="30" s="1"/>
  <c r="NR17" i="30" s="1"/>
  <c r="NS17" i="30" s="1"/>
  <c r="NT17" i="30" s="1"/>
  <c r="NU17" i="30" s="1"/>
  <c r="NV17" i="30" s="1"/>
  <c r="NW17" i="30" s="1"/>
  <c r="NX17" i="30" s="1"/>
  <c r="NY17" i="30" s="1"/>
  <c r="NZ17" i="30" s="1"/>
  <c r="OA17" i="30" s="1"/>
  <c r="OB17" i="30" s="1"/>
  <c r="OC17" i="30" s="1"/>
  <c r="OD17" i="30" s="1"/>
  <c r="OE17" i="30" s="1"/>
  <c r="OF17" i="30" s="1"/>
  <c r="OG17" i="30" s="1"/>
  <c r="OH17" i="30" s="1"/>
  <c r="OI17" i="30" s="1"/>
  <c r="OJ17" i="30" s="1"/>
  <c r="OK17" i="30" s="1"/>
  <c r="OL17" i="30" s="1"/>
  <c r="OM17" i="30" s="1"/>
  <c r="ON17" i="30" s="1"/>
  <c r="OO17" i="30" s="1"/>
  <c r="OP17" i="30" s="1"/>
  <c r="OQ17" i="30" s="1"/>
  <c r="OR17" i="30" s="1"/>
  <c r="OS17" i="30" s="1"/>
  <c r="OT17" i="30" s="1"/>
  <c r="OU17" i="30" s="1"/>
  <c r="OV17" i="30" s="1"/>
  <c r="OW17" i="30" s="1"/>
  <c r="OX17" i="30" s="1"/>
  <c r="OY17" i="30" s="1"/>
  <c r="OZ17" i="30" s="1"/>
  <c r="PA17" i="30" s="1"/>
  <c r="PB17" i="30" s="1"/>
  <c r="PC17" i="30" s="1"/>
  <c r="PD17" i="30" s="1"/>
  <c r="PE17" i="30" s="1"/>
  <c r="PF17" i="30" s="1"/>
  <c r="PG17" i="30" s="1"/>
  <c r="LL18" i="30"/>
  <c r="LM18" i="30" s="1"/>
  <c r="LN18" i="30" s="1"/>
  <c r="LO18" i="30" s="1"/>
  <c r="LP18" i="30" s="1"/>
  <c r="LQ18" i="30" s="1"/>
  <c r="LR18" i="30" s="1"/>
  <c r="LS18" i="30" s="1"/>
  <c r="LT18" i="30" s="1"/>
  <c r="LU18" i="30" s="1"/>
  <c r="LV18" i="30" s="1"/>
  <c r="LW18" i="30" s="1"/>
  <c r="LX18" i="30" s="1"/>
  <c r="LY18" i="30" s="1"/>
  <c r="LZ18" i="30" s="1"/>
  <c r="MA18" i="30" s="1"/>
  <c r="MB18" i="30" s="1"/>
  <c r="MC18" i="30" s="1"/>
  <c r="MD18" i="30" s="1"/>
  <c r="ME18" i="30" s="1"/>
  <c r="MF18" i="30" s="1"/>
  <c r="MG18" i="30" s="1"/>
  <c r="MH18" i="30" s="1"/>
  <c r="MI18" i="30" s="1"/>
  <c r="MJ18" i="30" s="1"/>
  <c r="MK18" i="30" s="1"/>
  <c r="ML18" i="30" s="1"/>
  <c r="MM18" i="30" s="1"/>
  <c r="MN18" i="30" s="1"/>
  <c r="MO18" i="30" s="1"/>
  <c r="MP18" i="30" s="1"/>
  <c r="MQ18" i="30" s="1"/>
  <c r="MR18" i="30" s="1"/>
  <c r="MS18" i="30" s="1"/>
  <c r="MT18" i="30" s="1"/>
  <c r="MU18" i="30" s="1"/>
  <c r="MV18" i="30" s="1"/>
  <c r="MW18" i="30" s="1"/>
  <c r="MX18" i="30" s="1"/>
  <c r="MY18" i="30" s="1"/>
  <c r="MZ18" i="30" s="1"/>
  <c r="NA18" i="30" s="1"/>
  <c r="NB18" i="30" s="1"/>
  <c r="NC18" i="30" s="1"/>
  <c r="ND18" i="30" s="1"/>
  <c r="NE18" i="30" s="1"/>
  <c r="NF18" i="30" s="1"/>
  <c r="NG18" i="30" s="1"/>
  <c r="NH18" i="30" s="1"/>
  <c r="NI18" i="30" s="1"/>
  <c r="NJ18" i="30" s="1"/>
  <c r="NK18" i="30" s="1"/>
  <c r="NL18" i="30" s="1"/>
  <c r="NM18" i="30" s="1"/>
  <c r="NN18" i="30" s="1"/>
  <c r="NO18" i="30" s="1"/>
  <c r="NP18" i="30" s="1"/>
  <c r="NQ18" i="30" s="1"/>
  <c r="NR18" i="30" s="1"/>
  <c r="NS18" i="30" s="1"/>
  <c r="NT18" i="30" s="1"/>
  <c r="NU18" i="30" s="1"/>
  <c r="NV18" i="30" s="1"/>
  <c r="NW18" i="30" s="1"/>
  <c r="NX18" i="30" s="1"/>
  <c r="NY18" i="30" s="1"/>
  <c r="NZ18" i="30" s="1"/>
  <c r="OA18" i="30" s="1"/>
  <c r="OB18" i="30" s="1"/>
  <c r="OC18" i="30" s="1"/>
  <c r="OD18" i="30" s="1"/>
  <c r="OE18" i="30" s="1"/>
  <c r="OF18" i="30" s="1"/>
  <c r="OG18" i="30" s="1"/>
  <c r="OH18" i="30" s="1"/>
  <c r="OI18" i="30" s="1"/>
  <c r="OJ18" i="30" s="1"/>
  <c r="OK18" i="30" s="1"/>
  <c r="OL18" i="30" s="1"/>
  <c r="OM18" i="30" s="1"/>
  <c r="ON18" i="30" s="1"/>
  <c r="OO18" i="30" s="1"/>
  <c r="OP18" i="30" s="1"/>
  <c r="OQ18" i="30" s="1"/>
  <c r="OR18" i="30" s="1"/>
  <c r="OS18" i="30" s="1"/>
  <c r="OT18" i="30" s="1"/>
  <c r="OU18" i="30" s="1"/>
  <c r="OV18" i="30" s="1"/>
  <c r="OW18" i="30" s="1"/>
  <c r="OX18" i="30" s="1"/>
  <c r="OY18" i="30" s="1"/>
  <c r="OZ18" i="30" s="1"/>
  <c r="PA18" i="30" s="1"/>
  <c r="PB18" i="30" s="1"/>
  <c r="PC18" i="30" s="1"/>
  <c r="PD18" i="30" s="1"/>
  <c r="PE18" i="30" s="1"/>
  <c r="PF18" i="30" s="1"/>
  <c r="PG18" i="30" s="1"/>
  <c r="LL19" i="30"/>
  <c r="LM19" i="30" s="1"/>
  <c r="LN19" i="30" s="1"/>
  <c r="LO19" i="30" s="1"/>
  <c r="LP19" i="30" s="1"/>
  <c r="LQ19" i="30" s="1"/>
  <c r="LR19" i="30" s="1"/>
  <c r="LS19" i="30" s="1"/>
  <c r="LT19" i="30" s="1"/>
  <c r="LU19" i="30" s="1"/>
  <c r="LV19" i="30" s="1"/>
  <c r="LW19" i="30" s="1"/>
  <c r="LX19" i="30" s="1"/>
  <c r="LY19" i="30" s="1"/>
  <c r="LZ19" i="30" s="1"/>
  <c r="MA19" i="30" s="1"/>
  <c r="MB19" i="30" s="1"/>
  <c r="MC19" i="30" s="1"/>
  <c r="MD19" i="30" s="1"/>
  <c r="ME19" i="30" s="1"/>
  <c r="MF19" i="30" s="1"/>
  <c r="MG19" i="30" s="1"/>
  <c r="MH19" i="30" s="1"/>
  <c r="MI19" i="30" s="1"/>
  <c r="MJ19" i="30" s="1"/>
  <c r="MK19" i="30" s="1"/>
  <c r="ML19" i="30" s="1"/>
  <c r="MM19" i="30" s="1"/>
  <c r="MN19" i="30" s="1"/>
  <c r="MO19" i="30" s="1"/>
  <c r="MP19" i="30" s="1"/>
  <c r="MQ19" i="30" s="1"/>
  <c r="MR19" i="30" s="1"/>
  <c r="MS19" i="30" s="1"/>
  <c r="MT19" i="30" s="1"/>
  <c r="MU19" i="30" s="1"/>
  <c r="MV19" i="30" s="1"/>
  <c r="MW19" i="30" s="1"/>
  <c r="MX19" i="30" s="1"/>
  <c r="MY19" i="30" s="1"/>
  <c r="MZ19" i="30" s="1"/>
  <c r="NA19" i="30" s="1"/>
  <c r="NB19" i="30" s="1"/>
  <c r="NC19" i="30" s="1"/>
  <c r="ND19" i="30" s="1"/>
  <c r="NE19" i="30" s="1"/>
  <c r="NF19" i="30" s="1"/>
  <c r="NG19" i="30" s="1"/>
  <c r="NH19" i="30" s="1"/>
  <c r="NI19" i="30" s="1"/>
  <c r="NJ19" i="30" s="1"/>
  <c r="NK19" i="30" s="1"/>
  <c r="NL19" i="30" s="1"/>
  <c r="NM19" i="30" s="1"/>
  <c r="NN19" i="30" s="1"/>
  <c r="NO19" i="30" s="1"/>
  <c r="NP19" i="30" s="1"/>
  <c r="NQ19" i="30" s="1"/>
  <c r="NR19" i="30" s="1"/>
  <c r="NS19" i="30" s="1"/>
  <c r="NT19" i="30" s="1"/>
  <c r="NU19" i="30" s="1"/>
  <c r="NV19" i="30" s="1"/>
  <c r="NW19" i="30" s="1"/>
  <c r="NX19" i="30" s="1"/>
  <c r="NY19" i="30" s="1"/>
  <c r="NZ19" i="30" s="1"/>
  <c r="OA19" i="30" s="1"/>
  <c r="OB19" i="30" s="1"/>
  <c r="OC19" i="30" s="1"/>
  <c r="OD19" i="30" s="1"/>
  <c r="OE19" i="30" s="1"/>
  <c r="OF19" i="30" s="1"/>
  <c r="OG19" i="30" s="1"/>
  <c r="OH19" i="30" s="1"/>
  <c r="OI19" i="30" s="1"/>
  <c r="OJ19" i="30" s="1"/>
  <c r="OK19" i="30" s="1"/>
  <c r="OL19" i="30" s="1"/>
  <c r="OM19" i="30" s="1"/>
  <c r="ON19" i="30" s="1"/>
  <c r="OO19" i="30" s="1"/>
  <c r="OP19" i="30" s="1"/>
  <c r="OQ19" i="30" s="1"/>
  <c r="OR19" i="30" s="1"/>
  <c r="OS19" i="30" s="1"/>
  <c r="OT19" i="30" s="1"/>
  <c r="OU19" i="30" s="1"/>
  <c r="OV19" i="30" s="1"/>
  <c r="OW19" i="30" s="1"/>
  <c r="OX19" i="30" s="1"/>
  <c r="OY19" i="30" s="1"/>
  <c r="OZ19" i="30" s="1"/>
  <c r="PA19" i="30" s="1"/>
  <c r="PB19" i="30" s="1"/>
  <c r="PC19" i="30" s="1"/>
  <c r="PD19" i="30" s="1"/>
  <c r="PE19" i="30" s="1"/>
  <c r="PF19" i="30" s="1"/>
  <c r="PG19" i="30" s="1"/>
  <c r="LL20" i="30"/>
  <c r="LM20" i="30" s="1"/>
  <c r="LN20" i="30" s="1"/>
  <c r="LO20" i="30" s="1"/>
  <c r="LP20" i="30" s="1"/>
  <c r="LQ20" i="30" s="1"/>
  <c r="LR20" i="30" s="1"/>
  <c r="LS20" i="30" s="1"/>
  <c r="LT20" i="30" s="1"/>
  <c r="LU20" i="30" s="1"/>
  <c r="LV20" i="30" s="1"/>
  <c r="LW20" i="30" s="1"/>
  <c r="LX20" i="30" s="1"/>
  <c r="LY20" i="30" s="1"/>
  <c r="LZ20" i="30" s="1"/>
  <c r="MA20" i="30" s="1"/>
  <c r="MB20" i="30" s="1"/>
  <c r="MC20" i="30" s="1"/>
  <c r="MD20" i="30" s="1"/>
  <c r="ME20" i="30" s="1"/>
  <c r="MF20" i="30" s="1"/>
  <c r="MG20" i="30" s="1"/>
  <c r="MH20" i="30" s="1"/>
  <c r="MI20" i="30" s="1"/>
  <c r="MJ20" i="30" s="1"/>
  <c r="MK20" i="30" s="1"/>
  <c r="ML20" i="30" s="1"/>
  <c r="MM20" i="30" s="1"/>
  <c r="MN20" i="30" s="1"/>
  <c r="MO20" i="30" s="1"/>
  <c r="MP20" i="30" s="1"/>
  <c r="MQ20" i="30" s="1"/>
  <c r="MR20" i="30" s="1"/>
  <c r="MS20" i="30" s="1"/>
  <c r="MT20" i="30" s="1"/>
  <c r="MU20" i="30" s="1"/>
  <c r="MV20" i="30" s="1"/>
  <c r="MW20" i="30" s="1"/>
  <c r="MX20" i="30" s="1"/>
  <c r="MY20" i="30" s="1"/>
  <c r="MZ20" i="30" s="1"/>
  <c r="NA20" i="30" s="1"/>
  <c r="NB20" i="30" s="1"/>
  <c r="NC20" i="30" s="1"/>
  <c r="ND20" i="30" s="1"/>
  <c r="NE20" i="30" s="1"/>
  <c r="NF20" i="30" s="1"/>
  <c r="NG20" i="30" s="1"/>
  <c r="NH20" i="30" s="1"/>
  <c r="NI20" i="30" s="1"/>
  <c r="NJ20" i="30" s="1"/>
  <c r="NK20" i="30" s="1"/>
  <c r="NL20" i="30" s="1"/>
  <c r="NM20" i="30" s="1"/>
  <c r="NN20" i="30" s="1"/>
  <c r="NO20" i="30" s="1"/>
  <c r="NP20" i="30" s="1"/>
  <c r="NQ20" i="30" s="1"/>
  <c r="NR20" i="30" s="1"/>
  <c r="NS20" i="30" s="1"/>
  <c r="NT20" i="30" s="1"/>
  <c r="NU20" i="30" s="1"/>
  <c r="NV20" i="30" s="1"/>
  <c r="NW20" i="30" s="1"/>
  <c r="NX20" i="30" s="1"/>
  <c r="NY20" i="30" s="1"/>
  <c r="NZ20" i="30" s="1"/>
  <c r="OA20" i="30" s="1"/>
  <c r="OB20" i="30" s="1"/>
  <c r="OC20" i="30" s="1"/>
  <c r="OD20" i="30" s="1"/>
  <c r="OE20" i="30" s="1"/>
  <c r="OF20" i="30" s="1"/>
  <c r="OG20" i="30" s="1"/>
  <c r="OH20" i="30" s="1"/>
  <c r="OI20" i="30" s="1"/>
  <c r="OJ20" i="30" s="1"/>
  <c r="OK20" i="30" s="1"/>
  <c r="OL20" i="30" s="1"/>
  <c r="OM20" i="30" s="1"/>
  <c r="ON20" i="30" s="1"/>
  <c r="OO20" i="30" s="1"/>
  <c r="OP20" i="30" s="1"/>
  <c r="OQ20" i="30" s="1"/>
  <c r="OR20" i="30" s="1"/>
  <c r="OS20" i="30" s="1"/>
  <c r="OT20" i="30" s="1"/>
  <c r="OU20" i="30" s="1"/>
  <c r="OV20" i="30" s="1"/>
  <c r="OW20" i="30" s="1"/>
  <c r="OX20" i="30" s="1"/>
  <c r="OY20" i="30" s="1"/>
  <c r="OZ20" i="30" s="1"/>
  <c r="PA20" i="30" s="1"/>
  <c r="PB20" i="30" s="1"/>
  <c r="PC20" i="30" s="1"/>
  <c r="PD20" i="30" s="1"/>
  <c r="PE20" i="30" s="1"/>
  <c r="PF20" i="30" s="1"/>
  <c r="PG20" i="30" s="1"/>
  <c r="LL21" i="30"/>
  <c r="LM21" i="30" s="1"/>
  <c r="LN21" i="30" s="1"/>
  <c r="LO21" i="30" s="1"/>
  <c r="LP21" i="30" s="1"/>
  <c r="LQ21" i="30" s="1"/>
  <c r="LR21" i="30" s="1"/>
  <c r="LS21" i="30" s="1"/>
  <c r="LT21" i="30" s="1"/>
  <c r="LU21" i="30" s="1"/>
  <c r="LV21" i="30" s="1"/>
  <c r="LW21" i="30" s="1"/>
  <c r="LX21" i="30" s="1"/>
  <c r="LY21" i="30" s="1"/>
  <c r="LZ21" i="30" s="1"/>
  <c r="MA21" i="30" s="1"/>
  <c r="MB21" i="30" s="1"/>
  <c r="MC21" i="30" s="1"/>
  <c r="MD21" i="30" s="1"/>
  <c r="ME21" i="30" s="1"/>
  <c r="MF21" i="30" s="1"/>
  <c r="MG21" i="30" s="1"/>
  <c r="MH21" i="30" s="1"/>
  <c r="MI21" i="30" s="1"/>
  <c r="MJ21" i="30" s="1"/>
  <c r="MK21" i="30" s="1"/>
  <c r="ML21" i="30" s="1"/>
  <c r="MM21" i="30" s="1"/>
  <c r="MN21" i="30" s="1"/>
  <c r="MO21" i="30" s="1"/>
  <c r="MP21" i="30" s="1"/>
  <c r="MQ21" i="30" s="1"/>
  <c r="MR21" i="30" s="1"/>
  <c r="MS21" i="30" s="1"/>
  <c r="MT21" i="30" s="1"/>
  <c r="MU21" i="30" s="1"/>
  <c r="MV21" i="30" s="1"/>
  <c r="MW21" i="30" s="1"/>
  <c r="MX21" i="30" s="1"/>
  <c r="MY21" i="30" s="1"/>
  <c r="MZ21" i="30" s="1"/>
  <c r="NA21" i="30" s="1"/>
  <c r="NB21" i="30" s="1"/>
  <c r="NC21" i="30" s="1"/>
  <c r="ND21" i="30" s="1"/>
  <c r="NE21" i="30" s="1"/>
  <c r="NF21" i="30" s="1"/>
  <c r="NG21" i="30" s="1"/>
  <c r="NH21" i="30" s="1"/>
  <c r="NI21" i="30" s="1"/>
  <c r="NJ21" i="30" s="1"/>
  <c r="NK21" i="30" s="1"/>
  <c r="NL21" i="30" s="1"/>
  <c r="NM21" i="30" s="1"/>
  <c r="NN21" i="30" s="1"/>
  <c r="NO21" i="30" s="1"/>
  <c r="NP21" i="30" s="1"/>
  <c r="NQ21" i="30" s="1"/>
  <c r="NR21" i="30" s="1"/>
  <c r="NS21" i="30" s="1"/>
  <c r="NT21" i="30" s="1"/>
  <c r="NU21" i="30" s="1"/>
  <c r="NV21" i="30" s="1"/>
  <c r="NW21" i="30" s="1"/>
  <c r="NX21" i="30" s="1"/>
  <c r="NY21" i="30" s="1"/>
  <c r="NZ21" i="30" s="1"/>
  <c r="OA21" i="30" s="1"/>
  <c r="OB21" i="30" s="1"/>
  <c r="OC21" i="30" s="1"/>
  <c r="OD21" i="30" s="1"/>
  <c r="OE21" i="30" s="1"/>
  <c r="OF21" i="30" s="1"/>
  <c r="OG21" i="30" s="1"/>
  <c r="OH21" i="30" s="1"/>
  <c r="OI21" i="30" s="1"/>
  <c r="OJ21" i="30" s="1"/>
  <c r="OK21" i="30" s="1"/>
  <c r="OL21" i="30" s="1"/>
  <c r="OM21" i="30" s="1"/>
  <c r="ON21" i="30" s="1"/>
  <c r="OO21" i="30" s="1"/>
  <c r="OP21" i="30" s="1"/>
  <c r="OQ21" i="30" s="1"/>
  <c r="OR21" i="30" s="1"/>
  <c r="OS21" i="30" s="1"/>
  <c r="OT21" i="30" s="1"/>
  <c r="OU21" i="30" s="1"/>
  <c r="OV21" i="30" s="1"/>
  <c r="OW21" i="30" s="1"/>
  <c r="OX21" i="30" s="1"/>
  <c r="OY21" i="30" s="1"/>
  <c r="OZ21" i="30" s="1"/>
  <c r="PA21" i="30" s="1"/>
  <c r="PB21" i="30" s="1"/>
  <c r="PC21" i="30" s="1"/>
  <c r="PD21" i="30" s="1"/>
  <c r="PE21" i="30" s="1"/>
  <c r="PF21" i="30" s="1"/>
  <c r="PG21" i="30" s="1"/>
  <c r="LL22" i="30"/>
  <c r="LM22" i="30" s="1"/>
  <c r="LN22" i="30" s="1"/>
  <c r="LO22" i="30" s="1"/>
  <c r="LP22" i="30" s="1"/>
  <c r="LQ22" i="30" s="1"/>
  <c r="LR22" i="30" s="1"/>
  <c r="LS22" i="30" s="1"/>
  <c r="LT22" i="30" s="1"/>
  <c r="LU22" i="30" s="1"/>
  <c r="LV22" i="30" s="1"/>
  <c r="LW22" i="30" s="1"/>
  <c r="LX22" i="30" s="1"/>
  <c r="LY22" i="30" s="1"/>
  <c r="LZ22" i="30" s="1"/>
  <c r="MA22" i="30" s="1"/>
  <c r="MB22" i="30" s="1"/>
  <c r="MC22" i="30" s="1"/>
  <c r="MD22" i="30" s="1"/>
  <c r="ME22" i="30" s="1"/>
  <c r="MF22" i="30" s="1"/>
  <c r="MG22" i="30" s="1"/>
  <c r="MH22" i="30" s="1"/>
  <c r="MI22" i="30" s="1"/>
  <c r="MJ22" i="30" s="1"/>
  <c r="MK22" i="30" s="1"/>
  <c r="ML22" i="30" s="1"/>
  <c r="MM22" i="30" s="1"/>
  <c r="MN22" i="30" s="1"/>
  <c r="MO22" i="30" s="1"/>
  <c r="MP22" i="30" s="1"/>
  <c r="MQ22" i="30" s="1"/>
  <c r="MR22" i="30" s="1"/>
  <c r="MS22" i="30" s="1"/>
  <c r="MT22" i="30" s="1"/>
  <c r="MU22" i="30" s="1"/>
  <c r="MV22" i="30" s="1"/>
  <c r="MW22" i="30" s="1"/>
  <c r="MX22" i="30" s="1"/>
  <c r="MY22" i="30" s="1"/>
  <c r="MZ22" i="30" s="1"/>
  <c r="NA22" i="30" s="1"/>
  <c r="NB22" i="30" s="1"/>
  <c r="NC22" i="30" s="1"/>
  <c r="ND22" i="30" s="1"/>
  <c r="NE22" i="30" s="1"/>
  <c r="NF22" i="30" s="1"/>
  <c r="NG22" i="30" s="1"/>
  <c r="NH22" i="30" s="1"/>
  <c r="NI22" i="30" s="1"/>
  <c r="NJ22" i="30" s="1"/>
  <c r="NK22" i="30" s="1"/>
  <c r="NL22" i="30" s="1"/>
  <c r="NM22" i="30" s="1"/>
  <c r="NN22" i="30" s="1"/>
  <c r="NO22" i="30" s="1"/>
  <c r="NP22" i="30" s="1"/>
  <c r="NQ22" i="30" s="1"/>
  <c r="NR22" i="30" s="1"/>
  <c r="NS22" i="30" s="1"/>
  <c r="NT22" i="30" s="1"/>
  <c r="NU22" i="30" s="1"/>
  <c r="NV22" i="30" s="1"/>
  <c r="NW22" i="30" s="1"/>
  <c r="NX22" i="30" s="1"/>
  <c r="NY22" i="30" s="1"/>
  <c r="NZ22" i="30" s="1"/>
  <c r="OA22" i="30" s="1"/>
  <c r="OB22" i="30" s="1"/>
  <c r="OC22" i="30" s="1"/>
  <c r="OD22" i="30" s="1"/>
  <c r="OE22" i="30" s="1"/>
  <c r="OF22" i="30" s="1"/>
  <c r="OG22" i="30" s="1"/>
  <c r="OH22" i="30" s="1"/>
  <c r="OI22" i="30" s="1"/>
  <c r="OJ22" i="30" s="1"/>
  <c r="OK22" i="30" s="1"/>
  <c r="OL22" i="30" s="1"/>
  <c r="OM22" i="30" s="1"/>
  <c r="ON22" i="30" s="1"/>
  <c r="OO22" i="30" s="1"/>
  <c r="OP22" i="30" s="1"/>
  <c r="OQ22" i="30" s="1"/>
  <c r="OR22" i="30" s="1"/>
  <c r="OS22" i="30" s="1"/>
  <c r="OT22" i="30" s="1"/>
  <c r="OU22" i="30" s="1"/>
  <c r="OV22" i="30" s="1"/>
  <c r="OW22" i="30" s="1"/>
  <c r="OX22" i="30" s="1"/>
  <c r="OY22" i="30" s="1"/>
  <c r="OZ22" i="30" s="1"/>
  <c r="PA22" i="30" s="1"/>
  <c r="PB22" i="30" s="1"/>
  <c r="PC22" i="30" s="1"/>
  <c r="PD22" i="30" s="1"/>
  <c r="PE22" i="30" s="1"/>
  <c r="PF22" i="30" s="1"/>
  <c r="PG22" i="30" s="1"/>
  <c r="LL23" i="30"/>
  <c r="LM23" i="30" s="1"/>
  <c r="LN23" i="30" s="1"/>
  <c r="LO23" i="30" s="1"/>
  <c r="LP23" i="30" s="1"/>
  <c r="LQ23" i="30" s="1"/>
  <c r="LR23" i="30" s="1"/>
  <c r="LS23" i="30" s="1"/>
  <c r="LT23" i="30" s="1"/>
  <c r="LU23" i="30" s="1"/>
  <c r="LV23" i="30" s="1"/>
  <c r="LW23" i="30" s="1"/>
  <c r="LX23" i="30" s="1"/>
  <c r="LY23" i="30" s="1"/>
  <c r="LZ23" i="30" s="1"/>
  <c r="MA23" i="30" s="1"/>
  <c r="MB23" i="30" s="1"/>
  <c r="MC23" i="30" s="1"/>
  <c r="MD23" i="30" s="1"/>
  <c r="ME23" i="30" s="1"/>
  <c r="MF23" i="30" s="1"/>
  <c r="MG23" i="30" s="1"/>
  <c r="MH23" i="30" s="1"/>
  <c r="MI23" i="30" s="1"/>
  <c r="MJ23" i="30" s="1"/>
  <c r="MK23" i="30" s="1"/>
  <c r="ML23" i="30" s="1"/>
  <c r="MM23" i="30" s="1"/>
  <c r="MN23" i="30" s="1"/>
  <c r="MO23" i="30" s="1"/>
  <c r="MP23" i="30" s="1"/>
  <c r="MQ23" i="30" s="1"/>
  <c r="MR23" i="30" s="1"/>
  <c r="MS23" i="30" s="1"/>
  <c r="MT23" i="30" s="1"/>
  <c r="MU23" i="30" s="1"/>
  <c r="MV23" i="30" s="1"/>
  <c r="MW23" i="30" s="1"/>
  <c r="MX23" i="30" s="1"/>
  <c r="MY23" i="30" s="1"/>
  <c r="MZ23" i="30" s="1"/>
  <c r="NA23" i="30" s="1"/>
  <c r="NB23" i="30" s="1"/>
  <c r="NC23" i="30" s="1"/>
  <c r="ND23" i="30" s="1"/>
  <c r="NE23" i="30" s="1"/>
  <c r="NF23" i="30" s="1"/>
  <c r="NG23" i="30" s="1"/>
  <c r="NH23" i="30" s="1"/>
  <c r="NI23" i="30" s="1"/>
  <c r="NJ23" i="30" s="1"/>
  <c r="NK23" i="30" s="1"/>
  <c r="NL23" i="30" s="1"/>
  <c r="NM23" i="30" s="1"/>
  <c r="NN23" i="30" s="1"/>
  <c r="NO23" i="30" s="1"/>
  <c r="NP23" i="30" s="1"/>
  <c r="NQ23" i="30" s="1"/>
  <c r="NR23" i="30" s="1"/>
  <c r="NS23" i="30" s="1"/>
  <c r="NT23" i="30" s="1"/>
  <c r="NU23" i="30" s="1"/>
  <c r="NV23" i="30" s="1"/>
  <c r="NW23" i="30" s="1"/>
  <c r="NX23" i="30" s="1"/>
  <c r="NY23" i="30" s="1"/>
  <c r="NZ23" i="30" s="1"/>
  <c r="OA23" i="30" s="1"/>
  <c r="OB23" i="30" s="1"/>
  <c r="OC23" i="30" s="1"/>
  <c r="OD23" i="30" s="1"/>
  <c r="OE23" i="30" s="1"/>
  <c r="OF23" i="30" s="1"/>
  <c r="OG23" i="30" s="1"/>
  <c r="OH23" i="30" s="1"/>
  <c r="OI23" i="30" s="1"/>
  <c r="OJ23" i="30" s="1"/>
  <c r="OK23" i="30" s="1"/>
  <c r="OL23" i="30" s="1"/>
  <c r="OM23" i="30" s="1"/>
  <c r="ON23" i="30" s="1"/>
  <c r="OO23" i="30" s="1"/>
  <c r="OP23" i="30" s="1"/>
  <c r="OQ23" i="30" s="1"/>
  <c r="OR23" i="30" s="1"/>
  <c r="OS23" i="30" s="1"/>
  <c r="OT23" i="30" s="1"/>
  <c r="OU23" i="30" s="1"/>
  <c r="OV23" i="30" s="1"/>
  <c r="OW23" i="30" s="1"/>
  <c r="OX23" i="30" s="1"/>
  <c r="OY23" i="30" s="1"/>
  <c r="OZ23" i="30" s="1"/>
  <c r="PA23" i="30" s="1"/>
  <c r="PB23" i="30" s="1"/>
  <c r="PC23" i="30" s="1"/>
  <c r="PD23" i="30" s="1"/>
  <c r="PE23" i="30" s="1"/>
  <c r="PF23" i="30" s="1"/>
  <c r="PG23" i="30" s="1"/>
  <c r="LL24" i="30"/>
  <c r="LM24" i="30" s="1"/>
  <c r="LN24" i="30" s="1"/>
  <c r="LO24" i="30" s="1"/>
  <c r="LP24" i="30" s="1"/>
  <c r="LQ24" i="30" s="1"/>
  <c r="LR24" i="30" s="1"/>
  <c r="LS24" i="30" s="1"/>
  <c r="LT24" i="30" s="1"/>
  <c r="LU24" i="30" s="1"/>
  <c r="LV24" i="30" s="1"/>
  <c r="LW24" i="30" s="1"/>
  <c r="LX24" i="30" s="1"/>
  <c r="LY24" i="30" s="1"/>
  <c r="LZ24" i="30" s="1"/>
  <c r="MA24" i="30" s="1"/>
  <c r="MB24" i="30" s="1"/>
  <c r="MC24" i="30" s="1"/>
  <c r="MD24" i="30" s="1"/>
  <c r="ME24" i="30" s="1"/>
  <c r="MF24" i="30" s="1"/>
  <c r="MG24" i="30" s="1"/>
  <c r="MH24" i="30" s="1"/>
  <c r="MI24" i="30" s="1"/>
  <c r="MJ24" i="30" s="1"/>
  <c r="MK24" i="30" s="1"/>
  <c r="ML24" i="30" s="1"/>
  <c r="MM24" i="30" s="1"/>
  <c r="MN24" i="30" s="1"/>
  <c r="MO24" i="30" s="1"/>
  <c r="MP24" i="30" s="1"/>
  <c r="MQ24" i="30" s="1"/>
  <c r="MR24" i="30" s="1"/>
  <c r="MS24" i="30" s="1"/>
  <c r="MT24" i="30" s="1"/>
  <c r="MU24" i="30" s="1"/>
  <c r="MV24" i="30" s="1"/>
  <c r="MW24" i="30" s="1"/>
  <c r="MX24" i="30" s="1"/>
  <c r="MY24" i="30" s="1"/>
  <c r="MZ24" i="30" s="1"/>
  <c r="NA24" i="30" s="1"/>
  <c r="NB24" i="30" s="1"/>
  <c r="NC24" i="30" s="1"/>
  <c r="ND24" i="30" s="1"/>
  <c r="NE24" i="30" s="1"/>
  <c r="NF24" i="30" s="1"/>
  <c r="NG24" i="30" s="1"/>
  <c r="NH24" i="30" s="1"/>
  <c r="NI24" i="30" s="1"/>
  <c r="NJ24" i="30" s="1"/>
  <c r="NK24" i="30" s="1"/>
  <c r="NL24" i="30" s="1"/>
  <c r="NM24" i="30" s="1"/>
  <c r="NN24" i="30" s="1"/>
  <c r="NO24" i="30" s="1"/>
  <c r="NP24" i="30" s="1"/>
  <c r="NQ24" i="30" s="1"/>
  <c r="NR24" i="30" s="1"/>
  <c r="NS24" i="30" s="1"/>
  <c r="NT24" i="30" s="1"/>
  <c r="NU24" i="30" s="1"/>
  <c r="NV24" i="30" s="1"/>
  <c r="NW24" i="30" s="1"/>
  <c r="NX24" i="30" s="1"/>
  <c r="NY24" i="30" s="1"/>
  <c r="NZ24" i="30" s="1"/>
  <c r="OA24" i="30" s="1"/>
  <c r="OB24" i="30" s="1"/>
  <c r="OC24" i="30" s="1"/>
  <c r="OD24" i="30" s="1"/>
  <c r="OE24" i="30" s="1"/>
  <c r="OF24" i="30" s="1"/>
  <c r="OG24" i="30" s="1"/>
  <c r="OH24" i="30" s="1"/>
  <c r="OI24" i="30" s="1"/>
  <c r="OJ24" i="30" s="1"/>
  <c r="OK24" i="30" s="1"/>
  <c r="OL24" i="30" s="1"/>
  <c r="OM24" i="30" s="1"/>
  <c r="ON24" i="30" s="1"/>
  <c r="OO24" i="30" s="1"/>
  <c r="OP24" i="30" s="1"/>
  <c r="OQ24" i="30" s="1"/>
  <c r="OR24" i="30" s="1"/>
  <c r="OS24" i="30" s="1"/>
  <c r="OT24" i="30" s="1"/>
  <c r="OU24" i="30" s="1"/>
  <c r="OV24" i="30" s="1"/>
  <c r="OW24" i="30" s="1"/>
  <c r="OX24" i="30" s="1"/>
  <c r="OY24" i="30" s="1"/>
  <c r="OZ24" i="30" s="1"/>
  <c r="PA24" i="30" s="1"/>
  <c r="PB24" i="30" s="1"/>
  <c r="PC24" i="30" s="1"/>
  <c r="PD24" i="30" s="1"/>
  <c r="PE24" i="30" s="1"/>
  <c r="PF24" i="30" s="1"/>
  <c r="PG24" i="30" s="1"/>
  <c r="LL25" i="30"/>
  <c r="LM25" i="30" s="1"/>
  <c r="LN25" i="30" s="1"/>
  <c r="LO25" i="30" s="1"/>
  <c r="LP25" i="30" s="1"/>
  <c r="LQ25" i="30" s="1"/>
  <c r="LR25" i="30" s="1"/>
  <c r="LS25" i="30" s="1"/>
  <c r="LT25" i="30" s="1"/>
  <c r="LU25" i="30" s="1"/>
  <c r="LV25" i="30" s="1"/>
  <c r="LW25" i="30" s="1"/>
  <c r="LX25" i="30" s="1"/>
  <c r="LY25" i="30" s="1"/>
  <c r="LZ25" i="30" s="1"/>
  <c r="MA25" i="30" s="1"/>
  <c r="MB25" i="30" s="1"/>
  <c r="MC25" i="30" s="1"/>
  <c r="MD25" i="30" s="1"/>
  <c r="ME25" i="30" s="1"/>
  <c r="MF25" i="30" s="1"/>
  <c r="MG25" i="30" s="1"/>
  <c r="MH25" i="30" s="1"/>
  <c r="MI25" i="30" s="1"/>
  <c r="MJ25" i="30" s="1"/>
  <c r="MK25" i="30" s="1"/>
  <c r="ML25" i="30" s="1"/>
  <c r="MM25" i="30" s="1"/>
  <c r="MN25" i="30" s="1"/>
  <c r="MO25" i="30" s="1"/>
  <c r="MP25" i="30" s="1"/>
  <c r="MQ25" i="30" s="1"/>
  <c r="MR25" i="30" s="1"/>
  <c r="MS25" i="30" s="1"/>
  <c r="MT25" i="30" s="1"/>
  <c r="MU25" i="30" s="1"/>
  <c r="MV25" i="30" s="1"/>
  <c r="MW25" i="30" s="1"/>
  <c r="MX25" i="30" s="1"/>
  <c r="MY25" i="30" s="1"/>
  <c r="MZ25" i="30" s="1"/>
  <c r="NA25" i="30" s="1"/>
  <c r="NB25" i="30" s="1"/>
  <c r="NC25" i="30" s="1"/>
  <c r="ND25" i="30" s="1"/>
  <c r="NE25" i="30" s="1"/>
  <c r="NF25" i="30" s="1"/>
  <c r="NG25" i="30" s="1"/>
  <c r="NH25" i="30" s="1"/>
  <c r="NI25" i="30" s="1"/>
  <c r="NJ25" i="30" s="1"/>
  <c r="NK25" i="30" s="1"/>
  <c r="NL25" i="30" s="1"/>
  <c r="NM25" i="30" s="1"/>
  <c r="NN25" i="30" s="1"/>
  <c r="NO25" i="30" s="1"/>
  <c r="NP25" i="30" s="1"/>
  <c r="NQ25" i="30" s="1"/>
  <c r="NR25" i="30" s="1"/>
  <c r="NS25" i="30" s="1"/>
  <c r="NT25" i="30" s="1"/>
  <c r="NU25" i="30" s="1"/>
  <c r="NV25" i="30" s="1"/>
  <c r="NW25" i="30" s="1"/>
  <c r="NX25" i="30" s="1"/>
  <c r="NY25" i="30" s="1"/>
  <c r="NZ25" i="30" s="1"/>
  <c r="OA25" i="30" s="1"/>
  <c r="OB25" i="30" s="1"/>
  <c r="OC25" i="30" s="1"/>
  <c r="OD25" i="30" s="1"/>
  <c r="OE25" i="30" s="1"/>
  <c r="OF25" i="30" s="1"/>
  <c r="OG25" i="30" s="1"/>
  <c r="OH25" i="30" s="1"/>
  <c r="OI25" i="30" s="1"/>
  <c r="OJ25" i="30" s="1"/>
  <c r="OK25" i="30" s="1"/>
  <c r="OL25" i="30" s="1"/>
  <c r="OM25" i="30" s="1"/>
  <c r="ON25" i="30" s="1"/>
  <c r="OO25" i="30" s="1"/>
  <c r="OP25" i="30" s="1"/>
  <c r="OQ25" i="30" s="1"/>
  <c r="OR25" i="30" s="1"/>
  <c r="OS25" i="30" s="1"/>
  <c r="OT25" i="30" s="1"/>
  <c r="OU25" i="30" s="1"/>
  <c r="OV25" i="30" s="1"/>
  <c r="OW25" i="30" s="1"/>
  <c r="OX25" i="30" s="1"/>
  <c r="OY25" i="30" s="1"/>
  <c r="OZ25" i="30" s="1"/>
  <c r="PA25" i="30" s="1"/>
  <c r="PB25" i="30" s="1"/>
  <c r="PC25" i="30" s="1"/>
  <c r="PD25" i="30" s="1"/>
  <c r="PE25" i="30" s="1"/>
  <c r="PF25" i="30" s="1"/>
  <c r="PG25" i="30" s="1"/>
  <c r="LL26" i="30"/>
  <c r="LM26" i="30" s="1"/>
  <c r="LN26" i="30" s="1"/>
  <c r="LO26" i="30" s="1"/>
  <c r="LP26" i="30" s="1"/>
  <c r="LQ26" i="30" s="1"/>
  <c r="LR26" i="30" s="1"/>
  <c r="LS26" i="30" s="1"/>
  <c r="LT26" i="30" s="1"/>
  <c r="LU26" i="30" s="1"/>
  <c r="LV26" i="30" s="1"/>
  <c r="LW26" i="30" s="1"/>
  <c r="LX26" i="30" s="1"/>
  <c r="LY26" i="30" s="1"/>
  <c r="LZ26" i="30" s="1"/>
  <c r="MA26" i="30" s="1"/>
  <c r="MB26" i="30" s="1"/>
  <c r="MC26" i="30" s="1"/>
  <c r="MD26" i="30" s="1"/>
  <c r="ME26" i="30" s="1"/>
  <c r="MF26" i="30" s="1"/>
  <c r="MG26" i="30" s="1"/>
  <c r="MH26" i="30" s="1"/>
  <c r="MI26" i="30" s="1"/>
  <c r="MJ26" i="30" s="1"/>
  <c r="MK26" i="30" s="1"/>
  <c r="ML26" i="30" s="1"/>
  <c r="MM26" i="30" s="1"/>
  <c r="MN26" i="30" s="1"/>
  <c r="MO26" i="30" s="1"/>
  <c r="MP26" i="30" s="1"/>
  <c r="MQ26" i="30" s="1"/>
  <c r="MR26" i="30" s="1"/>
  <c r="MS26" i="30" s="1"/>
  <c r="MT26" i="30" s="1"/>
  <c r="MU26" i="30" s="1"/>
  <c r="MV26" i="30" s="1"/>
  <c r="MW26" i="30" s="1"/>
  <c r="MX26" i="30" s="1"/>
  <c r="MY26" i="30" s="1"/>
  <c r="MZ26" i="30" s="1"/>
  <c r="NA26" i="30" s="1"/>
  <c r="NB26" i="30" s="1"/>
  <c r="NC26" i="30" s="1"/>
  <c r="ND26" i="30" s="1"/>
  <c r="NE26" i="30" s="1"/>
  <c r="NF26" i="30" s="1"/>
  <c r="NG26" i="30" s="1"/>
  <c r="NH26" i="30" s="1"/>
  <c r="NI26" i="30" s="1"/>
  <c r="NJ26" i="30" s="1"/>
  <c r="NK26" i="30" s="1"/>
  <c r="NL26" i="30" s="1"/>
  <c r="NM26" i="30" s="1"/>
  <c r="NN26" i="30" s="1"/>
  <c r="NO26" i="30" s="1"/>
  <c r="NP26" i="30" s="1"/>
  <c r="NQ26" i="30" s="1"/>
  <c r="NR26" i="30" s="1"/>
  <c r="NS26" i="30" s="1"/>
  <c r="NT26" i="30" s="1"/>
  <c r="NU26" i="30" s="1"/>
  <c r="NV26" i="30" s="1"/>
  <c r="NW26" i="30" s="1"/>
  <c r="NX26" i="30" s="1"/>
  <c r="NY26" i="30" s="1"/>
  <c r="NZ26" i="30" s="1"/>
  <c r="OA26" i="30" s="1"/>
  <c r="OB26" i="30" s="1"/>
  <c r="OC26" i="30" s="1"/>
  <c r="OD26" i="30" s="1"/>
  <c r="OE26" i="30" s="1"/>
  <c r="OF26" i="30" s="1"/>
  <c r="OG26" i="30" s="1"/>
  <c r="OH26" i="30" s="1"/>
  <c r="OI26" i="30" s="1"/>
  <c r="OJ26" i="30" s="1"/>
  <c r="OK26" i="30" s="1"/>
  <c r="OL26" i="30" s="1"/>
  <c r="OM26" i="30" s="1"/>
  <c r="ON26" i="30" s="1"/>
  <c r="OO26" i="30" s="1"/>
  <c r="OP26" i="30" s="1"/>
  <c r="OQ26" i="30" s="1"/>
  <c r="OR26" i="30" s="1"/>
  <c r="OS26" i="30" s="1"/>
  <c r="OT26" i="30" s="1"/>
  <c r="OU26" i="30" s="1"/>
  <c r="OV26" i="30" s="1"/>
  <c r="OW26" i="30" s="1"/>
  <c r="OX26" i="30" s="1"/>
  <c r="OY26" i="30" s="1"/>
  <c r="OZ26" i="30" s="1"/>
  <c r="PA26" i="30" s="1"/>
  <c r="PB26" i="30" s="1"/>
  <c r="PC26" i="30" s="1"/>
  <c r="PD26" i="30" s="1"/>
  <c r="PE26" i="30" s="1"/>
  <c r="PF26" i="30" s="1"/>
  <c r="PG26" i="30" s="1"/>
  <c r="LL27" i="30"/>
  <c r="LM27" i="30" s="1"/>
  <c r="LN27" i="30" s="1"/>
  <c r="LO27" i="30" s="1"/>
  <c r="LP27" i="30" s="1"/>
  <c r="LQ27" i="30" s="1"/>
  <c r="LR27" i="30" s="1"/>
  <c r="LS27" i="30" s="1"/>
  <c r="LT27" i="30" s="1"/>
  <c r="LU27" i="30" s="1"/>
  <c r="LV27" i="30" s="1"/>
  <c r="LW27" i="30" s="1"/>
  <c r="LX27" i="30" s="1"/>
  <c r="LY27" i="30" s="1"/>
  <c r="LZ27" i="30" s="1"/>
  <c r="MA27" i="30" s="1"/>
  <c r="MB27" i="30" s="1"/>
  <c r="MC27" i="30" s="1"/>
  <c r="MD27" i="30" s="1"/>
  <c r="ME27" i="30" s="1"/>
  <c r="MF27" i="30" s="1"/>
  <c r="MG27" i="30" s="1"/>
  <c r="MH27" i="30" s="1"/>
  <c r="MI27" i="30" s="1"/>
  <c r="MJ27" i="30" s="1"/>
  <c r="MK27" i="30" s="1"/>
  <c r="ML27" i="30" s="1"/>
  <c r="MM27" i="30" s="1"/>
  <c r="MN27" i="30" s="1"/>
  <c r="MO27" i="30" s="1"/>
  <c r="MP27" i="30" s="1"/>
  <c r="MQ27" i="30" s="1"/>
  <c r="MR27" i="30" s="1"/>
  <c r="MS27" i="30" s="1"/>
  <c r="MT27" i="30" s="1"/>
  <c r="MU27" i="30" s="1"/>
  <c r="MV27" i="30" s="1"/>
  <c r="MW27" i="30" s="1"/>
  <c r="MX27" i="30" s="1"/>
  <c r="MY27" i="30" s="1"/>
  <c r="MZ27" i="30" s="1"/>
  <c r="NA27" i="30" s="1"/>
  <c r="NB27" i="30" s="1"/>
  <c r="NC27" i="30" s="1"/>
  <c r="ND27" i="30" s="1"/>
  <c r="NE27" i="30" s="1"/>
  <c r="NF27" i="30" s="1"/>
  <c r="NG27" i="30" s="1"/>
  <c r="NH27" i="30" s="1"/>
  <c r="NI27" i="30" s="1"/>
  <c r="NJ27" i="30" s="1"/>
  <c r="NK27" i="30" s="1"/>
  <c r="NL27" i="30" s="1"/>
  <c r="NM27" i="30" s="1"/>
  <c r="NN27" i="30" s="1"/>
  <c r="NO27" i="30" s="1"/>
  <c r="NP27" i="30" s="1"/>
  <c r="NQ27" i="30" s="1"/>
  <c r="NR27" i="30" s="1"/>
  <c r="NS27" i="30" s="1"/>
  <c r="NT27" i="30" s="1"/>
  <c r="NU27" i="30" s="1"/>
  <c r="NV27" i="30" s="1"/>
  <c r="NW27" i="30" s="1"/>
  <c r="NX27" i="30" s="1"/>
  <c r="NY27" i="30" s="1"/>
  <c r="NZ27" i="30" s="1"/>
  <c r="OA27" i="30" s="1"/>
  <c r="OB27" i="30" s="1"/>
  <c r="OC27" i="30" s="1"/>
  <c r="OD27" i="30" s="1"/>
  <c r="OE27" i="30" s="1"/>
  <c r="OF27" i="30" s="1"/>
  <c r="OG27" i="30" s="1"/>
  <c r="OH27" i="30" s="1"/>
  <c r="OI27" i="30" s="1"/>
  <c r="OJ27" i="30" s="1"/>
  <c r="OK27" i="30" s="1"/>
  <c r="OL27" i="30" s="1"/>
  <c r="OM27" i="30" s="1"/>
  <c r="ON27" i="30" s="1"/>
  <c r="OO27" i="30" s="1"/>
  <c r="OP27" i="30" s="1"/>
  <c r="OQ27" i="30" s="1"/>
  <c r="OR27" i="30" s="1"/>
  <c r="OS27" i="30" s="1"/>
  <c r="OT27" i="30" s="1"/>
  <c r="OU27" i="30" s="1"/>
  <c r="OV27" i="30" s="1"/>
  <c r="OW27" i="30" s="1"/>
  <c r="OX27" i="30" s="1"/>
  <c r="OY27" i="30" s="1"/>
  <c r="OZ27" i="30" s="1"/>
  <c r="PA27" i="30" s="1"/>
  <c r="PB27" i="30" s="1"/>
  <c r="PC27" i="30" s="1"/>
  <c r="PD27" i="30" s="1"/>
  <c r="PE27" i="30" s="1"/>
  <c r="PF27" i="30" s="1"/>
  <c r="PG27" i="30" s="1"/>
  <c r="LL28" i="30"/>
  <c r="LM28" i="30" s="1"/>
  <c r="LN28" i="30" s="1"/>
  <c r="LO28" i="30" s="1"/>
  <c r="LP28" i="30" s="1"/>
  <c r="LQ28" i="30" s="1"/>
  <c r="LR28" i="30" s="1"/>
  <c r="LS28" i="30" s="1"/>
  <c r="LT28" i="30" s="1"/>
  <c r="LU28" i="30" s="1"/>
  <c r="LV28" i="30" s="1"/>
  <c r="LW28" i="30" s="1"/>
  <c r="LX28" i="30" s="1"/>
  <c r="LY28" i="30" s="1"/>
  <c r="LZ28" i="30" s="1"/>
  <c r="MA28" i="30" s="1"/>
  <c r="MB28" i="30" s="1"/>
  <c r="MC28" i="30" s="1"/>
  <c r="MD28" i="30" s="1"/>
  <c r="ME28" i="30" s="1"/>
  <c r="MF28" i="30" s="1"/>
  <c r="MG28" i="30" s="1"/>
  <c r="MH28" i="30" s="1"/>
  <c r="MI28" i="30" s="1"/>
  <c r="MJ28" i="30" s="1"/>
  <c r="MK28" i="30" s="1"/>
  <c r="ML28" i="30" s="1"/>
  <c r="MM28" i="30" s="1"/>
  <c r="MN28" i="30" s="1"/>
  <c r="MO28" i="30" s="1"/>
  <c r="MP28" i="30" s="1"/>
  <c r="MQ28" i="30" s="1"/>
  <c r="MR28" i="30" s="1"/>
  <c r="MS28" i="30" s="1"/>
  <c r="MT28" i="30" s="1"/>
  <c r="MU28" i="30" s="1"/>
  <c r="MV28" i="30" s="1"/>
  <c r="MW28" i="30" s="1"/>
  <c r="MX28" i="30" s="1"/>
  <c r="MY28" i="30" s="1"/>
  <c r="MZ28" i="30" s="1"/>
  <c r="NA28" i="30" s="1"/>
  <c r="NB28" i="30" s="1"/>
  <c r="NC28" i="30" s="1"/>
  <c r="ND28" i="30" s="1"/>
  <c r="NE28" i="30" s="1"/>
  <c r="NF28" i="30" s="1"/>
  <c r="NG28" i="30" s="1"/>
  <c r="NH28" i="30" s="1"/>
  <c r="NI28" i="30" s="1"/>
  <c r="NJ28" i="30" s="1"/>
  <c r="NK28" i="30" s="1"/>
  <c r="NL28" i="30" s="1"/>
  <c r="NM28" i="30" s="1"/>
  <c r="NN28" i="30" s="1"/>
  <c r="NO28" i="30" s="1"/>
  <c r="NP28" i="30" s="1"/>
  <c r="NQ28" i="30" s="1"/>
  <c r="NR28" i="30" s="1"/>
  <c r="NS28" i="30" s="1"/>
  <c r="NT28" i="30" s="1"/>
  <c r="NU28" i="30" s="1"/>
  <c r="NV28" i="30" s="1"/>
  <c r="NW28" i="30" s="1"/>
  <c r="NX28" i="30" s="1"/>
  <c r="NY28" i="30" s="1"/>
  <c r="NZ28" i="30" s="1"/>
  <c r="OA28" i="30" s="1"/>
  <c r="OB28" i="30" s="1"/>
  <c r="OC28" i="30" s="1"/>
  <c r="OD28" i="30" s="1"/>
  <c r="OE28" i="30" s="1"/>
  <c r="OF28" i="30" s="1"/>
  <c r="OG28" i="30" s="1"/>
  <c r="OH28" i="30" s="1"/>
  <c r="OI28" i="30" s="1"/>
  <c r="OJ28" i="30" s="1"/>
  <c r="OK28" i="30" s="1"/>
  <c r="OL28" i="30" s="1"/>
  <c r="OM28" i="30" s="1"/>
  <c r="ON28" i="30" s="1"/>
  <c r="OO28" i="30" s="1"/>
  <c r="OP28" i="30" s="1"/>
  <c r="OQ28" i="30" s="1"/>
  <c r="OR28" i="30" s="1"/>
  <c r="OS28" i="30" s="1"/>
  <c r="OT28" i="30" s="1"/>
  <c r="OU28" i="30" s="1"/>
  <c r="OV28" i="30" s="1"/>
  <c r="OW28" i="30" s="1"/>
  <c r="OX28" i="30" s="1"/>
  <c r="OY28" i="30" s="1"/>
  <c r="OZ28" i="30" s="1"/>
  <c r="PA28" i="30" s="1"/>
  <c r="PB28" i="30" s="1"/>
  <c r="PC28" i="30" s="1"/>
  <c r="PD28" i="30" s="1"/>
  <c r="PE28" i="30" s="1"/>
  <c r="PF28" i="30" s="1"/>
  <c r="PG28" i="30" s="1"/>
  <c r="LL29" i="30"/>
  <c r="LM29" i="30" s="1"/>
  <c r="LN29" i="30" s="1"/>
  <c r="LO29" i="30" s="1"/>
  <c r="LP29" i="30" s="1"/>
  <c r="LQ29" i="30" s="1"/>
  <c r="LR29" i="30" s="1"/>
  <c r="LS29" i="30" s="1"/>
  <c r="LT29" i="30" s="1"/>
  <c r="LU29" i="30" s="1"/>
  <c r="LV29" i="30" s="1"/>
  <c r="LW29" i="30" s="1"/>
  <c r="LX29" i="30" s="1"/>
  <c r="LY29" i="30" s="1"/>
  <c r="LZ29" i="30" s="1"/>
  <c r="MA29" i="30" s="1"/>
  <c r="MB29" i="30" s="1"/>
  <c r="MC29" i="30" s="1"/>
  <c r="MD29" i="30" s="1"/>
  <c r="ME29" i="30" s="1"/>
  <c r="MF29" i="30" s="1"/>
  <c r="MG29" i="30" s="1"/>
  <c r="MH29" i="30" s="1"/>
  <c r="MI29" i="30" s="1"/>
  <c r="MJ29" i="30" s="1"/>
  <c r="MK29" i="30" s="1"/>
  <c r="ML29" i="30" s="1"/>
  <c r="MM29" i="30" s="1"/>
  <c r="MN29" i="30" s="1"/>
  <c r="MO29" i="30" s="1"/>
  <c r="MP29" i="30" s="1"/>
  <c r="MQ29" i="30" s="1"/>
  <c r="MR29" i="30" s="1"/>
  <c r="MS29" i="30" s="1"/>
  <c r="MT29" i="30" s="1"/>
  <c r="MU29" i="30" s="1"/>
  <c r="MV29" i="30" s="1"/>
  <c r="MW29" i="30" s="1"/>
  <c r="MX29" i="30" s="1"/>
  <c r="MY29" i="30" s="1"/>
  <c r="MZ29" i="30" s="1"/>
  <c r="NA29" i="30" s="1"/>
  <c r="NB29" i="30" s="1"/>
  <c r="NC29" i="30" s="1"/>
  <c r="ND29" i="30" s="1"/>
  <c r="NE29" i="30" s="1"/>
  <c r="NF29" i="30" s="1"/>
  <c r="NG29" i="30" s="1"/>
  <c r="NH29" i="30" s="1"/>
  <c r="NI29" i="30" s="1"/>
  <c r="NJ29" i="30" s="1"/>
  <c r="NK29" i="30" s="1"/>
  <c r="NL29" i="30" s="1"/>
  <c r="NM29" i="30" s="1"/>
  <c r="NN29" i="30" s="1"/>
  <c r="NO29" i="30" s="1"/>
  <c r="NP29" i="30" s="1"/>
  <c r="NQ29" i="30" s="1"/>
  <c r="NR29" i="30" s="1"/>
  <c r="NS29" i="30" s="1"/>
  <c r="NT29" i="30" s="1"/>
  <c r="NU29" i="30" s="1"/>
  <c r="NV29" i="30" s="1"/>
  <c r="NW29" i="30" s="1"/>
  <c r="NX29" i="30" s="1"/>
  <c r="NY29" i="30" s="1"/>
  <c r="NZ29" i="30" s="1"/>
  <c r="OA29" i="30" s="1"/>
  <c r="OB29" i="30" s="1"/>
  <c r="OC29" i="30" s="1"/>
  <c r="OD29" i="30" s="1"/>
  <c r="OE29" i="30" s="1"/>
  <c r="OF29" i="30" s="1"/>
  <c r="OG29" i="30" s="1"/>
  <c r="OH29" i="30" s="1"/>
  <c r="OI29" i="30" s="1"/>
  <c r="OJ29" i="30" s="1"/>
  <c r="OK29" i="30" s="1"/>
  <c r="OL29" i="30" s="1"/>
  <c r="OM29" i="30" s="1"/>
  <c r="ON29" i="30" s="1"/>
  <c r="OO29" i="30" s="1"/>
  <c r="OP29" i="30" s="1"/>
  <c r="OQ29" i="30" s="1"/>
  <c r="OR29" i="30" s="1"/>
  <c r="OS29" i="30" s="1"/>
  <c r="OT29" i="30" s="1"/>
  <c r="OU29" i="30" s="1"/>
  <c r="OV29" i="30" s="1"/>
  <c r="OW29" i="30" s="1"/>
  <c r="OX29" i="30" s="1"/>
  <c r="OY29" i="30" s="1"/>
  <c r="OZ29" i="30" s="1"/>
  <c r="PA29" i="30" s="1"/>
  <c r="PB29" i="30" s="1"/>
  <c r="PC29" i="30" s="1"/>
  <c r="PD29" i="30" s="1"/>
  <c r="PE29" i="30" s="1"/>
  <c r="PF29" i="30" s="1"/>
  <c r="PG29" i="30" s="1"/>
  <c r="LL30" i="30"/>
  <c r="LM30" i="30" s="1"/>
  <c r="LN30" i="30" s="1"/>
  <c r="LO30" i="30" s="1"/>
  <c r="LP30" i="30" s="1"/>
  <c r="LQ30" i="30" s="1"/>
  <c r="LR30" i="30" s="1"/>
  <c r="LS30" i="30" s="1"/>
  <c r="LT30" i="30" s="1"/>
  <c r="LU30" i="30" s="1"/>
  <c r="LV30" i="30" s="1"/>
  <c r="LW30" i="30" s="1"/>
  <c r="LX30" i="30" s="1"/>
  <c r="LY30" i="30" s="1"/>
  <c r="LZ30" i="30" s="1"/>
  <c r="MA30" i="30" s="1"/>
  <c r="MB30" i="30" s="1"/>
  <c r="MC30" i="30" s="1"/>
  <c r="MD30" i="30" s="1"/>
  <c r="ME30" i="30" s="1"/>
  <c r="MF30" i="30" s="1"/>
  <c r="MG30" i="30" s="1"/>
  <c r="MH30" i="30" s="1"/>
  <c r="MI30" i="30" s="1"/>
  <c r="MJ30" i="30" s="1"/>
  <c r="MK30" i="30" s="1"/>
  <c r="ML30" i="30" s="1"/>
  <c r="MM30" i="30" s="1"/>
  <c r="MN30" i="30" s="1"/>
  <c r="MO30" i="30" s="1"/>
  <c r="MP30" i="30" s="1"/>
  <c r="MQ30" i="30" s="1"/>
  <c r="MR30" i="30" s="1"/>
  <c r="MS30" i="30" s="1"/>
  <c r="MT30" i="30" s="1"/>
  <c r="MU30" i="30" s="1"/>
  <c r="MV30" i="30" s="1"/>
  <c r="MW30" i="30" s="1"/>
  <c r="MX30" i="30" s="1"/>
  <c r="MY30" i="30" s="1"/>
  <c r="MZ30" i="30" s="1"/>
  <c r="NA30" i="30" s="1"/>
  <c r="NB30" i="30" s="1"/>
  <c r="NC30" i="30" s="1"/>
  <c r="ND30" i="30" s="1"/>
  <c r="NE30" i="30" s="1"/>
  <c r="NF30" i="30" s="1"/>
  <c r="NG30" i="30" s="1"/>
  <c r="NH30" i="30" s="1"/>
  <c r="NI30" i="30" s="1"/>
  <c r="NJ30" i="30" s="1"/>
  <c r="NK30" i="30" s="1"/>
  <c r="NL30" i="30" s="1"/>
  <c r="NM30" i="30" s="1"/>
  <c r="NN30" i="30" s="1"/>
  <c r="NO30" i="30" s="1"/>
  <c r="NP30" i="30" s="1"/>
  <c r="NQ30" i="30" s="1"/>
  <c r="NR30" i="30" s="1"/>
  <c r="NS30" i="30" s="1"/>
  <c r="NT30" i="30" s="1"/>
  <c r="NU30" i="30" s="1"/>
  <c r="NV30" i="30" s="1"/>
  <c r="NW30" i="30" s="1"/>
  <c r="NX30" i="30" s="1"/>
  <c r="NY30" i="30" s="1"/>
  <c r="NZ30" i="30" s="1"/>
  <c r="OA30" i="30" s="1"/>
  <c r="OB30" i="30" s="1"/>
  <c r="OC30" i="30" s="1"/>
  <c r="OD30" i="30" s="1"/>
  <c r="OE30" i="30" s="1"/>
  <c r="OF30" i="30" s="1"/>
  <c r="OG30" i="30" s="1"/>
  <c r="OH30" i="30" s="1"/>
  <c r="OI30" i="30" s="1"/>
  <c r="OJ30" i="30" s="1"/>
  <c r="OK30" i="30" s="1"/>
  <c r="OL30" i="30" s="1"/>
  <c r="OM30" i="30" s="1"/>
  <c r="ON30" i="30" s="1"/>
  <c r="OO30" i="30" s="1"/>
  <c r="OP30" i="30" s="1"/>
  <c r="OQ30" i="30" s="1"/>
  <c r="OR30" i="30" s="1"/>
  <c r="OS30" i="30" s="1"/>
  <c r="OT30" i="30" s="1"/>
  <c r="OU30" i="30" s="1"/>
  <c r="OV30" i="30" s="1"/>
  <c r="OW30" i="30" s="1"/>
  <c r="OX30" i="30" s="1"/>
  <c r="OY30" i="30" s="1"/>
  <c r="OZ30" i="30" s="1"/>
  <c r="PA30" i="30" s="1"/>
  <c r="PB30" i="30" s="1"/>
  <c r="PC30" i="30" s="1"/>
  <c r="PD30" i="30" s="1"/>
  <c r="PE30" i="30" s="1"/>
  <c r="PF30" i="30" s="1"/>
  <c r="PG30" i="30" s="1"/>
  <c r="LL31" i="30"/>
  <c r="LM31" i="30" s="1"/>
  <c r="LN31" i="30" s="1"/>
  <c r="LO31" i="30" s="1"/>
  <c r="LP31" i="30" s="1"/>
  <c r="LQ31" i="30" s="1"/>
  <c r="LR31" i="30" s="1"/>
  <c r="LS31" i="30" s="1"/>
  <c r="LT31" i="30" s="1"/>
  <c r="LU31" i="30" s="1"/>
  <c r="LV31" i="30" s="1"/>
  <c r="LW31" i="30" s="1"/>
  <c r="LX31" i="30" s="1"/>
  <c r="LY31" i="30" s="1"/>
  <c r="LZ31" i="30" s="1"/>
  <c r="MA31" i="30" s="1"/>
  <c r="MB31" i="30" s="1"/>
  <c r="MC31" i="30" s="1"/>
  <c r="MD31" i="30" s="1"/>
  <c r="ME31" i="30" s="1"/>
  <c r="MF31" i="30" s="1"/>
  <c r="MG31" i="30" s="1"/>
  <c r="MH31" i="30" s="1"/>
  <c r="MI31" i="30" s="1"/>
  <c r="MJ31" i="30" s="1"/>
  <c r="MK31" i="30" s="1"/>
  <c r="ML31" i="30" s="1"/>
  <c r="MM31" i="30" s="1"/>
  <c r="MN31" i="30" s="1"/>
  <c r="MO31" i="30" s="1"/>
  <c r="MP31" i="30" s="1"/>
  <c r="MQ31" i="30" s="1"/>
  <c r="MR31" i="30" s="1"/>
  <c r="MS31" i="30" s="1"/>
  <c r="MT31" i="30" s="1"/>
  <c r="MU31" i="30" s="1"/>
  <c r="MV31" i="30" s="1"/>
  <c r="MW31" i="30" s="1"/>
  <c r="MX31" i="30" s="1"/>
  <c r="MY31" i="30" s="1"/>
  <c r="MZ31" i="30" s="1"/>
  <c r="NA31" i="30" s="1"/>
  <c r="NB31" i="30" s="1"/>
  <c r="NC31" i="30" s="1"/>
  <c r="ND31" i="30" s="1"/>
  <c r="NE31" i="30" s="1"/>
  <c r="NF31" i="30" s="1"/>
  <c r="NG31" i="30" s="1"/>
  <c r="NH31" i="30" s="1"/>
  <c r="NI31" i="30" s="1"/>
  <c r="NJ31" i="30" s="1"/>
  <c r="NK31" i="30" s="1"/>
  <c r="NL31" i="30" s="1"/>
  <c r="NM31" i="30" s="1"/>
  <c r="NN31" i="30" s="1"/>
  <c r="NO31" i="30" s="1"/>
  <c r="NP31" i="30" s="1"/>
  <c r="NQ31" i="30" s="1"/>
  <c r="NR31" i="30" s="1"/>
  <c r="NS31" i="30" s="1"/>
  <c r="NT31" i="30" s="1"/>
  <c r="NU31" i="30" s="1"/>
  <c r="NV31" i="30" s="1"/>
  <c r="NW31" i="30" s="1"/>
  <c r="NX31" i="30" s="1"/>
  <c r="NY31" i="30" s="1"/>
  <c r="NZ31" i="30" s="1"/>
  <c r="OA31" i="30" s="1"/>
  <c r="OB31" i="30" s="1"/>
  <c r="OC31" i="30" s="1"/>
  <c r="OD31" i="30" s="1"/>
  <c r="OE31" i="30" s="1"/>
  <c r="OF31" i="30" s="1"/>
  <c r="OG31" i="30" s="1"/>
  <c r="OH31" i="30" s="1"/>
  <c r="OI31" i="30" s="1"/>
  <c r="OJ31" i="30" s="1"/>
  <c r="OK31" i="30" s="1"/>
  <c r="OL31" i="30" s="1"/>
  <c r="OM31" i="30" s="1"/>
  <c r="ON31" i="30" s="1"/>
  <c r="OO31" i="30" s="1"/>
  <c r="OP31" i="30" s="1"/>
  <c r="OQ31" i="30" s="1"/>
  <c r="OR31" i="30" s="1"/>
  <c r="OS31" i="30" s="1"/>
  <c r="OT31" i="30" s="1"/>
  <c r="OU31" i="30" s="1"/>
  <c r="OV31" i="30" s="1"/>
  <c r="OW31" i="30" s="1"/>
  <c r="OX31" i="30" s="1"/>
  <c r="OY31" i="30" s="1"/>
  <c r="OZ31" i="30" s="1"/>
  <c r="PA31" i="30" s="1"/>
  <c r="PB31" i="30" s="1"/>
  <c r="PC31" i="30" s="1"/>
  <c r="PD31" i="30" s="1"/>
  <c r="PE31" i="30" s="1"/>
  <c r="PF31" i="30" s="1"/>
  <c r="PG31" i="30" s="1"/>
  <c r="LL32" i="30"/>
  <c r="LM32" i="30" s="1"/>
  <c r="LN32" i="30" s="1"/>
  <c r="LO32" i="30" s="1"/>
  <c r="LP32" i="30" s="1"/>
  <c r="LQ32" i="30" s="1"/>
  <c r="LR32" i="30" s="1"/>
  <c r="LS32" i="30" s="1"/>
  <c r="LT32" i="30" s="1"/>
  <c r="LU32" i="30" s="1"/>
  <c r="LV32" i="30" s="1"/>
  <c r="LW32" i="30" s="1"/>
  <c r="LX32" i="30" s="1"/>
  <c r="LY32" i="30" s="1"/>
  <c r="LZ32" i="30" s="1"/>
  <c r="MA32" i="30" s="1"/>
  <c r="MB32" i="30" s="1"/>
  <c r="MC32" i="30" s="1"/>
  <c r="MD32" i="30" s="1"/>
  <c r="ME32" i="30" s="1"/>
  <c r="MF32" i="30" s="1"/>
  <c r="MG32" i="30" s="1"/>
  <c r="MH32" i="30" s="1"/>
  <c r="MI32" i="30" s="1"/>
  <c r="MJ32" i="30" s="1"/>
  <c r="MK32" i="30" s="1"/>
  <c r="ML32" i="30" s="1"/>
  <c r="MM32" i="30" s="1"/>
  <c r="MN32" i="30" s="1"/>
  <c r="MO32" i="30" s="1"/>
  <c r="MP32" i="30" s="1"/>
  <c r="MQ32" i="30" s="1"/>
  <c r="MR32" i="30" s="1"/>
  <c r="MS32" i="30" s="1"/>
  <c r="MT32" i="30" s="1"/>
  <c r="MU32" i="30" s="1"/>
  <c r="MV32" i="30" s="1"/>
  <c r="MW32" i="30" s="1"/>
  <c r="MX32" i="30" s="1"/>
  <c r="MY32" i="30" s="1"/>
  <c r="MZ32" i="30" s="1"/>
  <c r="NA32" i="30" s="1"/>
  <c r="NB32" i="30" s="1"/>
  <c r="NC32" i="30" s="1"/>
  <c r="ND32" i="30" s="1"/>
  <c r="NE32" i="30" s="1"/>
  <c r="NF32" i="30" s="1"/>
  <c r="NG32" i="30" s="1"/>
  <c r="NH32" i="30" s="1"/>
  <c r="NI32" i="30" s="1"/>
  <c r="NJ32" i="30" s="1"/>
  <c r="NK32" i="30" s="1"/>
  <c r="NL32" i="30" s="1"/>
  <c r="NM32" i="30" s="1"/>
  <c r="NN32" i="30" s="1"/>
  <c r="NO32" i="30" s="1"/>
  <c r="NP32" i="30" s="1"/>
  <c r="NQ32" i="30" s="1"/>
  <c r="NR32" i="30" s="1"/>
  <c r="NS32" i="30" s="1"/>
  <c r="NT32" i="30" s="1"/>
  <c r="NU32" i="30" s="1"/>
  <c r="NV32" i="30" s="1"/>
  <c r="NW32" i="30" s="1"/>
  <c r="NX32" i="30" s="1"/>
  <c r="NY32" i="30" s="1"/>
  <c r="NZ32" i="30" s="1"/>
  <c r="OA32" i="30" s="1"/>
  <c r="OB32" i="30" s="1"/>
  <c r="OC32" i="30" s="1"/>
  <c r="OD32" i="30" s="1"/>
  <c r="OE32" i="30" s="1"/>
  <c r="OF32" i="30" s="1"/>
  <c r="OG32" i="30" s="1"/>
  <c r="OH32" i="30" s="1"/>
  <c r="OI32" i="30" s="1"/>
  <c r="OJ32" i="30" s="1"/>
  <c r="OK32" i="30" s="1"/>
  <c r="OL32" i="30" s="1"/>
  <c r="OM32" i="30" s="1"/>
  <c r="ON32" i="30" s="1"/>
  <c r="OO32" i="30" s="1"/>
  <c r="OP32" i="30" s="1"/>
  <c r="OQ32" i="30" s="1"/>
  <c r="OR32" i="30" s="1"/>
  <c r="OS32" i="30" s="1"/>
  <c r="OT32" i="30" s="1"/>
  <c r="OU32" i="30" s="1"/>
  <c r="OV32" i="30" s="1"/>
  <c r="OW32" i="30" s="1"/>
  <c r="OX32" i="30" s="1"/>
  <c r="OY32" i="30" s="1"/>
  <c r="OZ32" i="30" s="1"/>
  <c r="PA32" i="30" s="1"/>
  <c r="PB32" i="30" s="1"/>
  <c r="PC32" i="30" s="1"/>
  <c r="PD32" i="30" s="1"/>
  <c r="PE32" i="30" s="1"/>
  <c r="PF32" i="30" s="1"/>
  <c r="PG32" i="30" s="1"/>
  <c r="LL33" i="30"/>
  <c r="LM33" i="30" s="1"/>
  <c r="LN33" i="30" s="1"/>
  <c r="LO33" i="30" s="1"/>
  <c r="LP33" i="30" s="1"/>
  <c r="LQ33" i="30" s="1"/>
  <c r="LR33" i="30" s="1"/>
  <c r="LS33" i="30" s="1"/>
  <c r="LT33" i="30" s="1"/>
  <c r="LU33" i="30" s="1"/>
  <c r="LV33" i="30" s="1"/>
  <c r="LW33" i="30" s="1"/>
  <c r="LX33" i="30" s="1"/>
  <c r="LY33" i="30" s="1"/>
  <c r="LZ33" i="30" s="1"/>
  <c r="MA33" i="30" s="1"/>
  <c r="MB33" i="30" s="1"/>
  <c r="MC33" i="30" s="1"/>
  <c r="MD33" i="30" s="1"/>
  <c r="ME33" i="30" s="1"/>
  <c r="MF33" i="30" s="1"/>
  <c r="MG33" i="30" s="1"/>
  <c r="MH33" i="30" s="1"/>
  <c r="MI33" i="30" s="1"/>
  <c r="MJ33" i="30" s="1"/>
  <c r="MK33" i="30" s="1"/>
  <c r="ML33" i="30" s="1"/>
  <c r="MM33" i="30" s="1"/>
  <c r="MN33" i="30" s="1"/>
  <c r="MO33" i="30" s="1"/>
  <c r="MP33" i="30" s="1"/>
  <c r="MQ33" i="30" s="1"/>
  <c r="MR33" i="30" s="1"/>
  <c r="MS33" i="30" s="1"/>
  <c r="MT33" i="30" s="1"/>
  <c r="MU33" i="30" s="1"/>
  <c r="MV33" i="30" s="1"/>
  <c r="MW33" i="30" s="1"/>
  <c r="MX33" i="30" s="1"/>
  <c r="MY33" i="30" s="1"/>
  <c r="MZ33" i="30" s="1"/>
  <c r="NA33" i="30" s="1"/>
  <c r="NB33" i="30" s="1"/>
  <c r="NC33" i="30" s="1"/>
  <c r="ND33" i="30" s="1"/>
  <c r="NE33" i="30" s="1"/>
  <c r="NF33" i="30" s="1"/>
  <c r="NG33" i="30" s="1"/>
  <c r="NH33" i="30" s="1"/>
  <c r="NI33" i="30" s="1"/>
  <c r="NJ33" i="30" s="1"/>
  <c r="NK33" i="30" s="1"/>
  <c r="NL33" i="30" s="1"/>
  <c r="NM33" i="30" s="1"/>
  <c r="NN33" i="30" s="1"/>
  <c r="NO33" i="30" s="1"/>
  <c r="NP33" i="30" s="1"/>
  <c r="NQ33" i="30" s="1"/>
  <c r="NR33" i="30" s="1"/>
  <c r="NS33" i="30" s="1"/>
  <c r="NT33" i="30" s="1"/>
  <c r="NU33" i="30" s="1"/>
  <c r="NV33" i="30" s="1"/>
  <c r="NW33" i="30" s="1"/>
  <c r="NX33" i="30" s="1"/>
  <c r="NY33" i="30" s="1"/>
  <c r="NZ33" i="30" s="1"/>
  <c r="OA33" i="30" s="1"/>
  <c r="OB33" i="30" s="1"/>
  <c r="OC33" i="30" s="1"/>
  <c r="OD33" i="30" s="1"/>
  <c r="OE33" i="30" s="1"/>
  <c r="OF33" i="30" s="1"/>
  <c r="OG33" i="30" s="1"/>
  <c r="OH33" i="30" s="1"/>
  <c r="OI33" i="30" s="1"/>
  <c r="OJ33" i="30" s="1"/>
  <c r="OK33" i="30" s="1"/>
  <c r="OL33" i="30" s="1"/>
  <c r="OM33" i="30" s="1"/>
  <c r="ON33" i="30" s="1"/>
  <c r="OO33" i="30" s="1"/>
  <c r="OP33" i="30" s="1"/>
  <c r="OQ33" i="30" s="1"/>
  <c r="OR33" i="30" s="1"/>
  <c r="OS33" i="30" s="1"/>
  <c r="OT33" i="30" s="1"/>
  <c r="OU33" i="30" s="1"/>
  <c r="OV33" i="30" s="1"/>
  <c r="OW33" i="30" s="1"/>
  <c r="OX33" i="30" s="1"/>
  <c r="OY33" i="30" s="1"/>
  <c r="OZ33" i="30" s="1"/>
  <c r="PA33" i="30" s="1"/>
  <c r="PB33" i="30" s="1"/>
  <c r="PC33" i="30" s="1"/>
  <c r="PD33" i="30" s="1"/>
  <c r="PE33" i="30" s="1"/>
  <c r="PF33" i="30" s="1"/>
  <c r="PG33" i="30" s="1"/>
  <c r="LL34" i="30"/>
  <c r="LM34" i="30" s="1"/>
  <c r="LN34" i="30" s="1"/>
  <c r="LO34" i="30" s="1"/>
  <c r="LP34" i="30" s="1"/>
  <c r="LQ34" i="30" s="1"/>
  <c r="LR34" i="30" s="1"/>
  <c r="LS34" i="30" s="1"/>
  <c r="LT34" i="30" s="1"/>
  <c r="LU34" i="30" s="1"/>
  <c r="LV34" i="30" s="1"/>
  <c r="LW34" i="30" s="1"/>
  <c r="LX34" i="30" s="1"/>
  <c r="LY34" i="30" s="1"/>
  <c r="LZ34" i="30" s="1"/>
  <c r="MA34" i="30" s="1"/>
  <c r="MB34" i="30" s="1"/>
  <c r="MC34" i="30" s="1"/>
  <c r="MD34" i="30" s="1"/>
  <c r="ME34" i="30" s="1"/>
  <c r="MF34" i="30" s="1"/>
  <c r="MG34" i="30" s="1"/>
  <c r="MH34" i="30" s="1"/>
  <c r="MI34" i="30" s="1"/>
  <c r="MJ34" i="30" s="1"/>
  <c r="MK34" i="30" s="1"/>
  <c r="ML34" i="30" s="1"/>
  <c r="MM34" i="30" s="1"/>
  <c r="MN34" i="30" s="1"/>
  <c r="MO34" i="30" s="1"/>
  <c r="MP34" i="30" s="1"/>
  <c r="MQ34" i="30" s="1"/>
  <c r="MR34" i="30" s="1"/>
  <c r="MS34" i="30" s="1"/>
  <c r="MT34" i="30" s="1"/>
  <c r="MU34" i="30" s="1"/>
  <c r="MV34" i="30" s="1"/>
  <c r="MW34" i="30" s="1"/>
  <c r="MX34" i="30" s="1"/>
  <c r="MY34" i="30" s="1"/>
  <c r="MZ34" i="30" s="1"/>
  <c r="NA34" i="30" s="1"/>
  <c r="NB34" i="30" s="1"/>
  <c r="NC34" i="30" s="1"/>
  <c r="ND34" i="30" s="1"/>
  <c r="NE34" i="30" s="1"/>
  <c r="NF34" i="30" s="1"/>
  <c r="NG34" i="30" s="1"/>
  <c r="NH34" i="30" s="1"/>
  <c r="NI34" i="30" s="1"/>
  <c r="NJ34" i="30" s="1"/>
  <c r="NK34" i="30" s="1"/>
  <c r="NL34" i="30" s="1"/>
  <c r="NM34" i="30" s="1"/>
  <c r="NN34" i="30" s="1"/>
  <c r="NO34" i="30" s="1"/>
  <c r="NP34" i="30" s="1"/>
  <c r="NQ34" i="30" s="1"/>
  <c r="NR34" i="30" s="1"/>
  <c r="NS34" i="30" s="1"/>
  <c r="NT34" i="30" s="1"/>
  <c r="NU34" i="30" s="1"/>
  <c r="NV34" i="30" s="1"/>
  <c r="NW34" i="30" s="1"/>
  <c r="NX34" i="30" s="1"/>
  <c r="NY34" i="30" s="1"/>
  <c r="NZ34" i="30" s="1"/>
  <c r="OA34" i="30" s="1"/>
  <c r="OB34" i="30" s="1"/>
  <c r="OC34" i="30" s="1"/>
  <c r="OD34" i="30" s="1"/>
  <c r="OE34" i="30" s="1"/>
  <c r="OF34" i="30" s="1"/>
  <c r="OG34" i="30" s="1"/>
  <c r="OH34" i="30" s="1"/>
  <c r="OI34" i="30" s="1"/>
  <c r="OJ34" i="30" s="1"/>
  <c r="OK34" i="30" s="1"/>
  <c r="OL34" i="30" s="1"/>
  <c r="OM34" i="30" s="1"/>
  <c r="ON34" i="30" s="1"/>
  <c r="OO34" i="30" s="1"/>
  <c r="OP34" i="30" s="1"/>
  <c r="OQ34" i="30" s="1"/>
  <c r="OR34" i="30" s="1"/>
  <c r="OS34" i="30" s="1"/>
  <c r="OT34" i="30" s="1"/>
  <c r="OU34" i="30" s="1"/>
  <c r="OV34" i="30" s="1"/>
  <c r="OW34" i="30" s="1"/>
  <c r="OX34" i="30" s="1"/>
  <c r="OY34" i="30" s="1"/>
  <c r="OZ34" i="30" s="1"/>
  <c r="PA34" i="30" s="1"/>
  <c r="PB34" i="30" s="1"/>
  <c r="PC34" i="30" s="1"/>
  <c r="PD34" i="30" s="1"/>
  <c r="PE34" i="30" s="1"/>
  <c r="PF34" i="30" s="1"/>
  <c r="PG34" i="30" s="1"/>
  <c r="LL35" i="30"/>
  <c r="LM35" i="30" s="1"/>
  <c r="LN35" i="30" s="1"/>
  <c r="LO35" i="30" s="1"/>
  <c r="LP35" i="30" s="1"/>
  <c r="LQ35" i="30" s="1"/>
  <c r="LR35" i="30" s="1"/>
  <c r="LS35" i="30" s="1"/>
  <c r="LT35" i="30" s="1"/>
  <c r="LU35" i="30" s="1"/>
  <c r="LV35" i="30" s="1"/>
  <c r="LW35" i="30" s="1"/>
  <c r="LX35" i="30" s="1"/>
  <c r="LY35" i="30" s="1"/>
  <c r="LZ35" i="30" s="1"/>
  <c r="MA35" i="30" s="1"/>
  <c r="MB35" i="30" s="1"/>
  <c r="MC35" i="30" s="1"/>
  <c r="MD35" i="30" s="1"/>
  <c r="ME35" i="30" s="1"/>
  <c r="MF35" i="30" s="1"/>
  <c r="MG35" i="30" s="1"/>
  <c r="MH35" i="30" s="1"/>
  <c r="MI35" i="30" s="1"/>
  <c r="MJ35" i="30" s="1"/>
  <c r="MK35" i="30" s="1"/>
  <c r="ML35" i="30" s="1"/>
  <c r="MM35" i="30" s="1"/>
  <c r="MN35" i="30" s="1"/>
  <c r="MO35" i="30" s="1"/>
  <c r="MP35" i="30" s="1"/>
  <c r="MQ35" i="30" s="1"/>
  <c r="MR35" i="30" s="1"/>
  <c r="MS35" i="30" s="1"/>
  <c r="MT35" i="30" s="1"/>
  <c r="MU35" i="30" s="1"/>
  <c r="MV35" i="30" s="1"/>
  <c r="MW35" i="30" s="1"/>
  <c r="MX35" i="30" s="1"/>
  <c r="MY35" i="30" s="1"/>
  <c r="MZ35" i="30" s="1"/>
  <c r="NA35" i="30" s="1"/>
  <c r="NB35" i="30" s="1"/>
  <c r="NC35" i="30" s="1"/>
  <c r="ND35" i="30" s="1"/>
  <c r="NE35" i="30" s="1"/>
  <c r="NF35" i="30" s="1"/>
  <c r="NG35" i="30" s="1"/>
  <c r="NH35" i="30" s="1"/>
  <c r="NI35" i="30" s="1"/>
  <c r="NJ35" i="30" s="1"/>
  <c r="NK35" i="30" s="1"/>
  <c r="NL35" i="30" s="1"/>
  <c r="NM35" i="30" s="1"/>
  <c r="NN35" i="30" s="1"/>
  <c r="NO35" i="30" s="1"/>
  <c r="NP35" i="30" s="1"/>
  <c r="NQ35" i="30" s="1"/>
  <c r="NR35" i="30" s="1"/>
  <c r="NS35" i="30" s="1"/>
  <c r="NT35" i="30" s="1"/>
  <c r="NU35" i="30" s="1"/>
  <c r="NV35" i="30" s="1"/>
  <c r="NW35" i="30" s="1"/>
  <c r="NX35" i="30" s="1"/>
  <c r="NY35" i="30" s="1"/>
  <c r="NZ35" i="30" s="1"/>
  <c r="OA35" i="30" s="1"/>
  <c r="OB35" i="30" s="1"/>
  <c r="OC35" i="30" s="1"/>
  <c r="OD35" i="30" s="1"/>
  <c r="OE35" i="30" s="1"/>
  <c r="OF35" i="30" s="1"/>
  <c r="OG35" i="30" s="1"/>
  <c r="OH35" i="30" s="1"/>
  <c r="OI35" i="30" s="1"/>
  <c r="OJ35" i="30" s="1"/>
  <c r="OK35" i="30" s="1"/>
  <c r="OL35" i="30" s="1"/>
  <c r="OM35" i="30" s="1"/>
  <c r="ON35" i="30" s="1"/>
  <c r="OO35" i="30" s="1"/>
  <c r="OP35" i="30" s="1"/>
  <c r="OQ35" i="30" s="1"/>
  <c r="OR35" i="30" s="1"/>
  <c r="OS35" i="30" s="1"/>
  <c r="OT35" i="30" s="1"/>
  <c r="OU35" i="30" s="1"/>
  <c r="OV35" i="30" s="1"/>
  <c r="OW35" i="30" s="1"/>
  <c r="OX35" i="30" s="1"/>
  <c r="OY35" i="30" s="1"/>
  <c r="OZ35" i="30" s="1"/>
  <c r="PA35" i="30" s="1"/>
  <c r="PB35" i="30" s="1"/>
  <c r="PC35" i="30" s="1"/>
  <c r="PD35" i="30" s="1"/>
  <c r="PE35" i="30" s="1"/>
  <c r="PF35" i="30" s="1"/>
  <c r="PG35" i="30" s="1"/>
  <c r="LL36" i="30"/>
  <c r="LM36" i="30" s="1"/>
  <c r="LN36" i="30" s="1"/>
  <c r="LO36" i="30" s="1"/>
  <c r="LP36" i="30" s="1"/>
  <c r="LQ36" i="30" s="1"/>
  <c r="LR36" i="30" s="1"/>
  <c r="LS36" i="30" s="1"/>
  <c r="LT36" i="30" s="1"/>
  <c r="LU36" i="30" s="1"/>
  <c r="LV36" i="30" s="1"/>
  <c r="LW36" i="30" s="1"/>
  <c r="LX36" i="30" s="1"/>
  <c r="LY36" i="30" s="1"/>
  <c r="LZ36" i="30" s="1"/>
  <c r="MA36" i="30" s="1"/>
  <c r="MB36" i="30" s="1"/>
  <c r="MC36" i="30" s="1"/>
  <c r="MD36" i="30" s="1"/>
  <c r="ME36" i="30" s="1"/>
  <c r="MF36" i="30" s="1"/>
  <c r="MG36" i="30" s="1"/>
  <c r="MH36" i="30" s="1"/>
  <c r="MI36" i="30" s="1"/>
  <c r="MJ36" i="30" s="1"/>
  <c r="MK36" i="30" s="1"/>
  <c r="ML36" i="30" s="1"/>
  <c r="MM36" i="30" s="1"/>
  <c r="MN36" i="30" s="1"/>
  <c r="MO36" i="30" s="1"/>
  <c r="MP36" i="30" s="1"/>
  <c r="MQ36" i="30" s="1"/>
  <c r="MR36" i="30" s="1"/>
  <c r="MS36" i="30" s="1"/>
  <c r="MT36" i="30" s="1"/>
  <c r="MU36" i="30" s="1"/>
  <c r="MV36" i="30" s="1"/>
  <c r="MW36" i="30" s="1"/>
  <c r="MX36" i="30" s="1"/>
  <c r="MY36" i="30" s="1"/>
  <c r="MZ36" i="30" s="1"/>
  <c r="NA36" i="30" s="1"/>
  <c r="NB36" i="30" s="1"/>
  <c r="NC36" i="30" s="1"/>
  <c r="ND36" i="30" s="1"/>
  <c r="NE36" i="30" s="1"/>
  <c r="NF36" i="30" s="1"/>
  <c r="NG36" i="30" s="1"/>
  <c r="NH36" i="30" s="1"/>
  <c r="NI36" i="30" s="1"/>
  <c r="NJ36" i="30" s="1"/>
  <c r="NK36" i="30" s="1"/>
  <c r="NL36" i="30" s="1"/>
  <c r="NM36" i="30" s="1"/>
  <c r="NN36" i="30" s="1"/>
  <c r="NO36" i="30" s="1"/>
  <c r="NP36" i="30" s="1"/>
  <c r="NQ36" i="30" s="1"/>
  <c r="NR36" i="30" s="1"/>
  <c r="NS36" i="30" s="1"/>
  <c r="NT36" i="30" s="1"/>
  <c r="NU36" i="30" s="1"/>
  <c r="NV36" i="30" s="1"/>
  <c r="NW36" i="30" s="1"/>
  <c r="NX36" i="30" s="1"/>
  <c r="NY36" i="30" s="1"/>
  <c r="NZ36" i="30" s="1"/>
  <c r="OA36" i="30" s="1"/>
  <c r="OB36" i="30" s="1"/>
  <c r="OC36" i="30" s="1"/>
  <c r="OD36" i="30" s="1"/>
  <c r="OE36" i="30" s="1"/>
  <c r="OF36" i="30" s="1"/>
  <c r="OG36" i="30" s="1"/>
  <c r="OH36" i="30" s="1"/>
  <c r="OI36" i="30" s="1"/>
  <c r="OJ36" i="30" s="1"/>
  <c r="OK36" i="30" s="1"/>
  <c r="OL36" i="30" s="1"/>
  <c r="OM36" i="30" s="1"/>
  <c r="ON36" i="30" s="1"/>
  <c r="OO36" i="30" s="1"/>
  <c r="OP36" i="30" s="1"/>
  <c r="OQ36" i="30" s="1"/>
  <c r="OR36" i="30" s="1"/>
  <c r="OS36" i="30" s="1"/>
  <c r="OT36" i="30" s="1"/>
  <c r="OU36" i="30" s="1"/>
  <c r="OV36" i="30" s="1"/>
  <c r="OW36" i="30" s="1"/>
  <c r="OX36" i="30" s="1"/>
  <c r="OY36" i="30" s="1"/>
  <c r="OZ36" i="30" s="1"/>
  <c r="PA36" i="30" s="1"/>
  <c r="PB36" i="30" s="1"/>
  <c r="PC36" i="30" s="1"/>
  <c r="PD36" i="30" s="1"/>
  <c r="PE36" i="30" s="1"/>
  <c r="PF36" i="30" s="1"/>
  <c r="PG36" i="30" s="1"/>
  <c r="LL37" i="30"/>
  <c r="LM37" i="30" s="1"/>
  <c r="LN37" i="30" s="1"/>
  <c r="LO37" i="30" s="1"/>
  <c r="LP37" i="30" s="1"/>
  <c r="LQ37" i="30" s="1"/>
  <c r="LR37" i="30" s="1"/>
  <c r="LS37" i="30" s="1"/>
  <c r="LT37" i="30" s="1"/>
  <c r="LU37" i="30" s="1"/>
  <c r="LV37" i="30" s="1"/>
  <c r="LW37" i="30" s="1"/>
  <c r="LX37" i="30" s="1"/>
  <c r="LY37" i="30" s="1"/>
  <c r="LZ37" i="30" s="1"/>
  <c r="MA37" i="30" s="1"/>
  <c r="MB37" i="30" s="1"/>
  <c r="MC37" i="30" s="1"/>
  <c r="MD37" i="30" s="1"/>
  <c r="ME37" i="30" s="1"/>
  <c r="MF37" i="30" s="1"/>
  <c r="MG37" i="30" s="1"/>
  <c r="MH37" i="30" s="1"/>
  <c r="MI37" i="30" s="1"/>
  <c r="MJ37" i="30" s="1"/>
  <c r="MK37" i="30" s="1"/>
  <c r="ML37" i="30" s="1"/>
  <c r="MM37" i="30" s="1"/>
  <c r="MN37" i="30" s="1"/>
  <c r="MO37" i="30" s="1"/>
  <c r="MP37" i="30" s="1"/>
  <c r="MQ37" i="30" s="1"/>
  <c r="MR37" i="30" s="1"/>
  <c r="MS37" i="30" s="1"/>
  <c r="MT37" i="30" s="1"/>
  <c r="MU37" i="30" s="1"/>
  <c r="MV37" i="30" s="1"/>
  <c r="MW37" i="30" s="1"/>
  <c r="MX37" i="30" s="1"/>
  <c r="MY37" i="30" s="1"/>
  <c r="MZ37" i="30" s="1"/>
  <c r="NA37" i="30" s="1"/>
  <c r="NB37" i="30" s="1"/>
  <c r="NC37" i="30" s="1"/>
  <c r="ND37" i="30" s="1"/>
  <c r="NE37" i="30" s="1"/>
  <c r="NF37" i="30" s="1"/>
  <c r="NG37" i="30" s="1"/>
  <c r="NH37" i="30" s="1"/>
  <c r="NI37" i="30" s="1"/>
  <c r="NJ37" i="30" s="1"/>
  <c r="NK37" i="30" s="1"/>
  <c r="NL37" i="30" s="1"/>
  <c r="NM37" i="30" s="1"/>
  <c r="NN37" i="30" s="1"/>
  <c r="NO37" i="30" s="1"/>
  <c r="NP37" i="30" s="1"/>
  <c r="NQ37" i="30" s="1"/>
  <c r="NR37" i="30" s="1"/>
  <c r="NS37" i="30" s="1"/>
  <c r="NT37" i="30" s="1"/>
  <c r="NU37" i="30" s="1"/>
  <c r="NV37" i="30" s="1"/>
  <c r="NW37" i="30" s="1"/>
  <c r="NX37" i="30" s="1"/>
  <c r="NY37" i="30" s="1"/>
  <c r="NZ37" i="30" s="1"/>
  <c r="OA37" i="30" s="1"/>
  <c r="OB37" i="30" s="1"/>
  <c r="OC37" i="30" s="1"/>
  <c r="OD37" i="30" s="1"/>
  <c r="OE37" i="30" s="1"/>
  <c r="OF37" i="30" s="1"/>
  <c r="OG37" i="30" s="1"/>
  <c r="OH37" i="30" s="1"/>
  <c r="OI37" i="30" s="1"/>
  <c r="OJ37" i="30" s="1"/>
  <c r="OK37" i="30" s="1"/>
  <c r="OL37" i="30" s="1"/>
  <c r="OM37" i="30" s="1"/>
  <c r="ON37" i="30" s="1"/>
  <c r="OO37" i="30" s="1"/>
  <c r="OP37" i="30" s="1"/>
  <c r="OQ37" i="30" s="1"/>
  <c r="OR37" i="30" s="1"/>
  <c r="OS37" i="30" s="1"/>
  <c r="OT37" i="30" s="1"/>
  <c r="OU37" i="30" s="1"/>
  <c r="OV37" i="30" s="1"/>
  <c r="OW37" i="30" s="1"/>
  <c r="OX37" i="30" s="1"/>
  <c r="OY37" i="30" s="1"/>
  <c r="OZ37" i="30" s="1"/>
  <c r="PA37" i="30" s="1"/>
  <c r="PB37" i="30" s="1"/>
  <c r="PC37" i="30" s="1"/>
  <c r="PD37" i="30" s="1"/>
  <c r="PE37" i="30" s="1"/>
  <c r="PF37" i="30" s="1"/>
  <c r="PG37" i="30" s="1"/>
  <c r="LL38" i="30"/>
  <c r="LM38" i="30" s="1"/>
  <c r="LN38" i="30" s="1"/>
  <c r="LO38" i="30" s="1"/>
  <c r="LP38" i="30" s="1"/>
  <c r="LQ38" i="30" s="1"/>
  <c r="LR38" i="30" s="1"/>
  <c r="LS38" i="30" s="1"/>
  <c r="LT38" i="30" s="1"/>
  <c r="LU38" i="30" s="1"/>
  <c r="LV38" i="30" s="1"/>
  <c r="LW38" i="30" s="1"/>
  <c r="LX38" i="30" s="1"/>
  <c r="LY38" i="30" s="1"/>
  <c r="LZ38" i="30" s="1"/>
  <c r="MA38" i="30" s="1"/>
  <c r="MB38" i="30" s="1"/>
  <c r="MC38" i="30" s="1"/>
  <c r="MD38" i="30" s="1"/>
  <c r="ME38" i="30" s="1"/>
  <c r="MF38" i="30" s="1"/>
  <c r="MG38" i="30" s="1"/>
  <c r="MH38" i="30" s="1"/>
  <c r="MI38" i="30" s="1"/>
  <c r="MJ38" i="30" s="1"/>
  <c r="MK38" i="30" s="1"/>
  <c r="ML38" i="30" s="1"/>
  <c r="MM38" i="30" s="1"/>
  <c r="MN38" i="30" s="1"/>
  <c r="MO38" i="30" s="1"/>
  <c r="MP38" i="30" s="1"/>
  <c r="MQ38" i="30" s="1"/>
  <c r="MR38" i="30" s="1"/>
  <c r="MS38" i="30" s="1"/>
  <c r="MT38" i="30" s="1"/>
  <c r="MU38" i="30" s="1"/>
  <c r="MV38" i="30" s="1"/>
  <c r="MW38" i="30" s="1"/>
  <c r="MX38" i="30" s="1"/>
  <c r="MY38" i="30" s="1"/>
  <c r="MZ38" i="30" s="1"/>
  <c r="NA38" i="30" s="1"/>
  <c r="NB38" i="30" s="1"/>
  <c r="NC38" i="30" s="1"/>
  <c r="ND38" i="30" s="1"/>
  <c r="NE38" i="30" s="1"/>
  <c r="NF38" i="30" s="1"/>
  <c r="NG38" i="30" s="1"/>
  <c r="NH38" i="30" s="1"/>
  <c r="NI38" i="30" s="1"/>
  <c r="NJ38" i="30" s="1"/>
  <c r="NK38" i="30" s="1"/>
  <c r="NL38" i="30" s="1"/>
  <c r="NM38" i="30" s="1"/>
  <c r="NN38" i="30" s="1"/>
  <c r="NO38" i="30" s="1"/>
  <c r="NP38" i="30" s="1"/>
  <c r="NQ38" i="30" s="1"/>
  <c r="NR38" i="30" s="1"/>
  <c r="NS38" i="30" s="1"/>
  <c r="NT38" i="30" s="1"/>
  <c r="NU38" i="30" s="1"/>
  <c r="NV38" i="30" s="1"/>
  <c r="NW38" i="30" s="1"/>
  <c r="NX38" i="30" s="1"/>
  <c r="NY38" i="30" s="1"/>
  <c r="NZ38" i="30" s="1"/>
  <c r="OA38" i="30" s="1"/>
  <c r="OB38" i="30" s="1"/>
  <c r="OC38" i="30" s="1"/>
  <c r="OD38" i="30" s="1"/>
  <c r="OE38" i="30" s="1"/>
  <c r="OF38" i="30" s="1"/>
  <c r="OG38" i="30" s="1"/>
  <c r="OH38" i="30" s="1"/>
  <c r="OI38" i="30" s="1"/>
  <c r="OJ38" i="30" s="1"/>
  <c r="OK38" i="30" s="1"/>
  <c r="OL38" i="30" s="1"/>
  <c r="OM38" i="30" s="1"/>
  <c r="ON38" i="30" s="1"/>
  <c r="OO38" i="30" s="1"/>
  <c r="OP38" i="30" s="1"/>
  <c r="OQ38" i="30" s="1"/>
  <c r="OR38" i="30" s="1"/>
  <c r="OS38" i="30" s="1"/>
  <c r="OT38" i="30" s="1"/>
  <c r="OU38" i="30" s="1"/>
  <c r="OV38" i="30" s="1"/>
  <c r="OW38" i="30" s="1"/>
  <c r="OX38" i="30" s="1"/>
  <c r="OY38" i="30" s="1"/>
  <c r="OZ38" i="30" s="1"/>
  <c r="PA38" i="30" s="1"/>
  <c r="PB38" i="30" s="1"/>
  <c r="PC38" i="30" s="1"/>
  <c r="PD38" i="30" s="1"/>
  <c r="PE38" i="30" s="1"/>
  <c r="PF38" i="30" s="1"/>
  <c r="PG38" i="30" s="1"/>
  <c r="LL39" i="30"/>
  <c r="LM39" i="30" s="1"/>
  <c r="LN39" i="30" s="1"/>
  <c r="LO39" i="30" s="1"/>
  <c r="LP39" i="30" s="1"/>
  <c r="LQ39" i="30" s="1"/>
  <c r="LR39" i="30" s="1"/>
  <c r="LS39" i="30" s="1"/>
  <c r="LT39" i="30" s="1"/>
  <c r="LU39" i="30" s="1"/>
  <c r="LV39" i="30" s="1"/>
  <c r="LW39" i="30" s="1"/>
  <c r="LX39" i="30" s="1"/>
  <c r="LY39" i="30" s="1"/>
  <c r="LZ39" i="30" s="1"/>
  <c r="MA39" i="30" s="1"/>
  <c r="MB39" i="30" s="1"/>
  <c r="MC39" i="30" s="1"/>
  <c r="MD39" i="30" s="1"/>
  <c r="ME39" i="30" s="1"/>
  <c r="MF39" i="30" s="1"/>
  <c r="MG39" i="30" s="1"/>
  <c r="MH39" i="30" s="1"/>
  <c r="MI39" i="30" s="1"/>
  <c r="MJ39" i="30" s="1"/>
  <c r="MK39" i="30" s="1"/>
  <c r="ML39" i="30" s="1"/>
  <c r="MM39" i="30" s="1"/>
  <c r="MN39" i="30" s="1"/>
  <c r="MO39" i="30" s="1"/>
  <c r="MP39" i="30" s="1"/>
  <c r="MQ39" i="30" s="1"/>
  <c r="MR39" i="30" s="1"/>
  <c r="MS39" i="30" s="1"/>
  <c r="MT39" i="30" s="1"/>
  <c r="MU39" i="30" s="1"/>
  <c r="MV39" i="30" s="1"/>
  <c r="MW39" i="30" s="1"/>
  <c r="MX39" i="30" s="1"/>
  <c r="MY39" i="30" s="1"/>
  <c r="MZ39" i="30" s="1"/>
  <c r="NA39" i="30" s="1"/>
  <c r="NB39" i="30" s="1"/>
  <c r="NC39" i="30" s="1"/>
  <c r="ND39" i="30" s="1"/>
  <c r="NE39" i="30" s="1"/>
  <c r="NF39" i="30" s="1"/>
  <c r="NG39" i="30" s="1"/>
  <c r="NH39" i="30" s="1"/>
  <c r="NI39" i="30" s="1"/>
  <c r="NJ39" i="30" s="1"/>
  <c r="NK39" i="30" s="1"/>
  <c r="NL39" i="30" s="1"/>
  <c r="NM39" i="30" s="1"/>
  <c r="NN39" i="30" s="1"/>
  <c r="NO39" i="30" s="1"/>
  <c r="NP39" i="30" s="1"/>
  <c r="NQ39" i="30" s="1"/>
  <c r="NR39" i="30" s="1"/>
  <c r="NS39" i="30" s="1"/>
  <c r="NT39" i="30" s="1"/>
  <c r="NU39" i="30" s="1"/>
  <c r="NV39" i="30" s="1"/>
  <c r="NW39" i="30" s="1"/>
  <c r="NX39" i="30" s="1"/>
  <c r="NY39" i="30" s="1"/>
  <c r="NZ39" i="30" s="1"/>
  <c r="OA39" i="30" s="1"/>
  <c r="OB39" i="30" s="1"/>
  <c r="OC39" i="30" s="1"/>
  <c r="OD39" i="30" s="1"/>
  <c r="OE39" i="30" s="1"/>
  <c r="OF39" i="30" s="1"/>
  <c r="OG39" i="30" s="1"/>
  <c r="OH39" i="30" s="1"/>
  <c r="OI39" i="30" s="1"/>
  <c r="OJ39" i="30" s="1"/>
  <c r="OK39" i="30" s="1"/>
  <c r="OL39" i="30" s="1"/>
  <c r="OM39" i="30" s="1"/>
  <c r="ON39" i="30" s="1"/>
  <c r="OO39" i="30" s="1"/>
  <c r="OP39" i="30" s="1"/>
  <c r="OQ39" i="30" s="1"/>
  <c r="OR39" i="30" s="1"/>
  <c r="OS39" i="30" s="1"/>
  <c r="OT39" i="30" s="1"/>
  <c r="OU39" i="30" s="1"/>
  <c r="OV39" i="30" s="1"/>
  <c r="OW39" i="30" s="1"/>
  <c r="OX39" i="30" s="1"/>
  <c r="OY39" i="30" s="1"/>
  <c r="OZ39" i="30" s="1"/>
  <c r="PA39" i="30" s="1"/>
  <c r="PB39" i="30" s="1"/>
  <c r="PC39" i="30" s="1"/>
  <c r="PD39" i="30" s="1"/>
  <c r="PE39" i="30" s="1"/>
  <c r="PF39" i="30" s="1"/>
  <c r="PG39" i="30" s="1"/>
  <c r="LL40" i="30"/>
  <c r="LM40" i="30" s="1"/>
  <c r="LN40" i="30" s="1"/>
  <c r="LO40" i="30" s="1"/>
  <c r="LP40" i="30" s="1"/>
  <c r="LQ40" i="30" s="1"/>
  <c r="LR40" i="30" s="1"/>
  <c r="LS40" i="30" s="1"/>
  <c r="LT40" i="30" s="1"/>
  <c r="LU40" i="30" s="1"/>
  <c r="LV40" i="30" s="1"/>
  <c r="LW40" i="30" s="1"/>
  <c r="LX40" i="30" s="1"/>
  <c r="LY40" i="30" s="1"/>
  <c r="LZ40" i="30" s="1"/>
  <c r="MA40" i="30" s="1"/>
  <c r="MB40" i="30" s="1"/>
  <c r="MC40" i="30" s="1"/>
  <c r="MD40" i="30" s="1"/>
  <c r="ME40" i="30" s="1"/>
  <c r="MF40" i="30" s="1"/>
  <c r="MG40" i="30" s="1"/>
  <c r="MH40" i="30" s="1"/>
  <c r="MI40" i="30" s="1"/>
  <c r="MJ40" i="30" s="1"/>
  <c r="MK40" i="30" s="1"/>
  <c r="ML40" i="30" s="1"/>
  <c r="MM40" i="30" s="1"/>
  <c r="MN40" i="30" s="1"/>
  <c r="MO40" i="30" s="1"/>
  <c r="MP40" i="30" s="1"/>
  <c r="MQ40" i="30" s="1"/>
  <c r="MR40" i="30" s="1"/>
  <c r="MS40" i="30" s="1"/>
  <c r="MT40" i="30" s="1"/>
  <c r="MU40" i="30" s="1"/>
  <c r="MV40" i="30" s="1"/>
  <c r="MW40" i="30" s="1"/>
  <c r="MX40" i="30" s="1"/>
  <c r="MY40" i="30" s="1"/>
  <c r="MZ40" i="30" s="1"/>
  <c r="NA40" i="30" s="1"/>
  <c r="NB40" i="30" s="1"/>
  <c r="NC40" i="30" s="1"/>
  <c r="ND40" i="30" s="1"/>
  <c r="NE40" i="30" s="1"/>
  <c r="NF40" i="30" s="1"/>
  <c r="NG40" i="30" s="1"/>
  <c r="NH40" i="30" s="1"/>
  <c r="NI40" i="30" s="1"/>
  <c r="NJ40" i="30" s="1"/>
  <c r="NK40" i="30" s="1"/>
  <c r="NL40" i="30" s="1"/>
  <c r="NM40" i="30" s="1"/>
  <c r="NN40" i="30" s="1"/>
  <c r="NO40" i="30" s="1"/>
  <c r="NP40" i="30" s="1"/>
  <c r="NQ40" i="30" s="1"/>
  <c r="NR40" i="30" s="1"/>
  <c r="NS40" i="30" s="1"/>
  <c r="NT40" i="30" s="1"/>
  <c r="NU40" i="30" s="1"/>
  <c r="NV40" i="30" s="1"/>
  <c r="NW40" i="30" s="1"/>
  <c r="NX40" i="30" s="1"/>
  <c r="NY40" i="30" s="1"/>
  <c r="NZ40" i="30" s="1"/>
  <c r="OA40" i="30" s="1"/>
  <c r="OB40" i="30" s="1"/>
  <c r="OC40" i="30" s="1"/>
  <c r="OD40" i="30" s="1"/>
  <c r="OE40" i="30" s="1"/>
  <c r="OF40" i="30" s="1"/>
  <c r="OG40" i="30" s="1"/>
  <c r="OH40" i="30" s="1"/>
  <c r="OI40" i="30" s="1"/>
  <c r="OJ40" i="30" s="1"/>
  <c r="OK40" i="30" s="1"/>
  <c r="OL40" i="30" s="1"/>
  <c r="OM40" i="30" s="1"/>
  <c r="ON40" i="30" s="1"/>
  <c r="OO40" i="30" s="1"/>
  <c r="OP40" i="30" s="1"/>
  <c r="OQ40" i="30" s="1"/>
  <c r="OR40" i="30" s="1"/>
  <c r="OS40" i="30" s="1"/>
  <c r="OT40" i="30" s="1"/>
  <c r="OU40" i="30" s="1"/>
  <c r="OV40" i="30" s="1"/>
  <c r="OW40" i="30" s="1"/>
  <c r="OX40" i="30" s="1"/>
  <c r="OY40" i="30" s="1"/>
  <c r="OZ40" i="30" s="1"/>
  <c r="PA40" i="30" s="1"/>
  <c r="PB40" i="30" s="1"/>
  <c r="PC40" i="30" s="1"/>
  <c r="PD40" i="30" s="1"/>
  <c r="PE40" i="30" s="1"/>
  <c r="PF40" i="30" s="1"/>
  <c r="PG40" i="30" s="1"/>
  <c r="LL41" i="30"/>
  <c r="LM41" i="30" s="1"/>
  <c r="LN41" i="30" s="1"/>
  <c r="LO41" i="30" s="1"/>
  <c r="LP41" i="30" s="1"/>
  <c r="LQ41" i="30" s="1"/>
  <c r="LR41" i="30" s="1"/>
  <c r="LS41" i="30" s="1"/>
  <c r="LT41" i="30" s="1"/>
  <c r="LU41" i="30" s="1"/>
  <c r="LV41" i="30" s="1"/>
  <c r="LW41" i="30" s="1"/>
  <c r="LX41" i="30" s="1"/>
  <c r="LY41" i="30" s="1"/>
  <c r="LZ41" i="30" s="1"/>
  <c r="MA41" i="30" s="1"/>
  <c r="MB41" i="30" s="1"/>
  <c r="MC41" i="30" s="1"/>
  <c r="MD41" i="30" s="1"/>
  <c r="ME41" i="30" s="1"/>
  <c r="MF41" i="30" s="1"/>
  <c r="MG41" i="30" s="1"/>
  <c r="MH41" i="30" s="1"/>
  <c r="MI41" i="30" s="1"/>
  <c r="MJ41" i="30" s="1"/>
  <c r="MK41" i="30" s="1"/>
  <c r="ML41" i="30" s="1"/>
  <c r="MM41" i="30" s="1"/>
  <c r="MN41" i="30" s="1"/>
  <c r="MO41" i="30" s="1"/>
  <c r="MP41" i="30" s="1"/>
  <c r="MQ41" i="30" s="1"/>
  <c r="MR41" i="30" s="1"/>
  <c r="MS41" i="30" s="1"/>
  <c r="MT41" i="30" s="1"/>
  <c r="MU41" i="30" s="1"/>
  <c r="MV41" i="30" s="1"/>
  <c r="MW41" i="30" s="1"/>
  <c r="MX41" i="30" s="1"/>
  <c r="MY41" i="30" s="1"/>
  <c r="MZ41" i="30" s="1"/>
  <c r="NA41" i="30" s="1"/>
  <c r="NB41" i="30" s="1"/>
  <c r="NC41" i="30" s="1"/>
  <c r="ND41" i="30" s="1"/>
  <c r="NE41" i="30" s="1"/>
  <c r="NF41" i="30" s="1"/>
  <c r="NG41" i="30" s="1"/>
  <c r="NH41" i="30" s="1"/>
  <c r="NI41" i="30" s="1"/>
  <c r="NJ41" i="30" s="1"/>
  <c r="NK41" i="30" s="1"/>
  <c r="NL41" i="30" s="1"/>
  <c r="NM41" i="30" s="1"/>
  <c r="NN41" i="30" s="1"/>
  <c r="NO41" i="30" s="1"/>
  <c r="NP41" i="30" s="1"/>
  <c r="NQ41" i="30" s="1"/>
  <c r="NR41" i="30" s="1"/>
  <c r="NS41" i="30" s="1"/>
  <c r="NT41" i="30" s="1"/>
  <c r="NU41" i="30" s="1"/>
  <c r="NV41" i="30" s="1"/>
  <c r="NW41" i="30" s="1"/>
  <c r="NX41" i="30" s="1"/>
  <c r="NY41" i="30" s="1"/>
  <c r="NZ41" i="30" s="1"/>
  <c r="OA41" i="30" s="1"/>
  <c r="OB41" i="30" s="1"/>
  <c r="OC41" i="30" s="1"/>
  <c r="OD41" i="30" s="1"/>
  <c r="OE41" i="30" s="1"/>
  <c r="OF41" i="30" s="1"/>
  <c r="OG41" i="30" s="1"/>
  <c r="OH41" i="30" s="1"/>
  <c r="OI41" i="30" s="1"/>
  <c r="OJ41" i="30" s="1"/>
  <c r="OK41" i="30" s="1"/>
  <c r="OL41" i="30" s="1"/>
  <c r="OM41" i="30" s="1"/>
  <c r="ON41" i="30" s="1"/>
  <c r="OO41" i="30" s="1"/>
  <c r="OP41" i="30" s="1"/>
  <c r="OQ41" i="30" s="1"/>
  <c r="OR41" i="30" s="1"/>
  <c r="OS41" i="30" s="1"/>
  <c r="OT41" i="30" s="1"/>
  <c r="OU41" i="30" s="1"/>
  <c r="OV41" i="30" s="1"/>
  <c r="OW41" i="30" s="1"/>
  <c r="OX41" i="30" s="1"/>
  <c r="OY41" i="30" s="1"/>
  <c r="OZ41" i="30" s="1"/>
  <c r="PA41" i="30" s="1"/>
  <c r="PB41" i="30" s="1"/>
  <c r="PC41" i="30" s="1"/>
  <c r="PD41" i="30" s="1"/>
  <c r="PE41" i="30" s="1"/>
  <c r="PF41" i="30" s="1"/>
  <c r="PG41" i="30" s="1"/>
  <c r="LL42" i="30"/>
  <c r="LM42" i="30" s="1"/>
  <c r="LN42" i="30" s="1"/>
  <c r="LO42" i="30" s="1"/>
  <c r="LP42" i="30" s="1"/>
  <c r="LQ42" i="30" s="1"/>
  <c r="LR42" i="30" s="1"/>
  <c r="LS42" i="30" s="1"/>
  <c r="LT42" i="30" s="1"/>
  <c r="LU42" i="30" s="1"/>
  <c r="LV42" i="30" s="1"/>
  <c r="LW42" i="30" s="1"/>
  <c r="LX42" i="30" s="1"/>
  <c r="LY42" i="30" s="1"/>
  <c r="LZ42" i="30" s="1"/>
  <c r="MA42" i="30" s="1"/>
  <c r="MB42" i="30" s="1"/>
  <c r="MC42" i="30" s="1"/>
  <c r="MD42" i="30" s="1"/>
  <c r="ME42" i="30" s="1"/>
  <c r="MF42" i="30" s="1"/>
  <c r="MG42" i="30" s="1"/>
  <c r="MH42" i="30" s="1"/>
  <c r="MI42" i="30" s="1"/>
  <c r="MJ42" i="30" s="1"/>
  <c r="MK42" i="30" s="1"/>
  <c r="ML42" i="30" s="1"/>
  <c r="MM42" i="30" s="1"/>
  <c r="MN42" i="30" s="1"/>
  <c r="MO42" i="30" s="1"/>
  <c r="MP42" i="30" s="1"/>
  <c r="MQ42" i="30" s="1"/>
  <c r="MR42" i="30" s="1"/>
  <c r="MS42" i="30" s="1"/>
  <c r="MT42" i="30" s="1"/>
  <c r="MU42" i="30" s="1"/>
  <c r="MV42" i="30" s="1"/>
  <c r="MW42" i="30" s="1"/>
  <c r="MX42" i="30" s="1"/>
  <c r="MY42" i="30" s="1"/>
  <c r="MZ42" i="30" s="1"/>
  <c r="NA42" i="30" s="1"/>
  <c r="NB42" i="30" s="1"/>
  <c r="NC42" i="30" s="1"/>
  <c r="ND42" i="30" s="1"/>
  <c r="NE42" i="30" s="1"/>
  <c r="NF42" i="30" s="1"/>
  <c r="NG42" i="30" s="1"/>
  <c r="NH42" i="30" s="1"/>
  <c r="NI42" i="30" s="1"/>
  <c r="NJ42" i="30" s="1"/>
  <c r="NK42" i="30" s="1"/>
  <c r="NL42" i="30" s="1"/>
  <c r="NM42" i="30" s="1"/>
  <c r="NN42" i="30" s="1"/>
  <c r="NO42" i="30" s="1"/>
  <c r="NP42" i="30" s="1"/>
  <c r="NQ42" i="30" s="1"/>
  <c r="NR42" i="30" s="1"/>
  <c r="NS42" i="30" s="1"/>
  <c r="NT42" i="30" s="1"/>
  <c r="NU42" i="30" s="1"/>
  <c r="NV42" i="30" s="1"/>
  <c r="NW42" i="30" s="1"/>
  <c r="NX42" i="30" s="1"/>
  <c r="NY42" i="30" s="1"/>
  <c r="NZ42" i="30" s="1"/>
  <c r="OA42" i="30" s="1"/>
  <c r="OB42" i="30" s="1"/>
  <c r="OC42" i="30" s="1"/>
  <c r="OD42" i="30" s="1"/>
  <c r="OE42" i="30" s="1"/>
  <c r="OF42" i="30" s="1"/>
  <c r="OG42" i="30" s="1"/>
  <c r="OH42" i="30" s="1"/>
  <c r="OI42" i="30" s="1"/>
  <c r="OJ42" i="30" s="1"/>
  <c r="OK42" i="30" s="1"/>
  <c r="OL42" i="30" s="1"/>
  <c r="OM42" i="30" s="1"/>
  <c r="ON42" i="30" s="1"/>
  <c r="OO42" i="30" s="1"/>
  <c r="OP42" i="30" s="1"/>
  <c r="OQ42" i="30" s="1"/>
  <c r="OR42" i="30" s="1"/>
  <c r="OS42" i="30" s="1"/>
  <c r="OT42" i="30" s="1"/>
  <c r="OU42" i="30" s="1"/>
  <c r="OV42" i="30" s="1"/>
  <c r="OW42" i="30" s="1"/>
  <c r="OX42" i="30" s="1"/>
  <c r="OY42" i="30" s="1"/>
  <c r="OZ42" i="30" s="1"/>
  <c r="PA42" i="30" s="1"/>
  <c r="PB42" i="30" s="1"/>
  <c r="PC42" i="30" s="1"/>
  <c r="PD42" i="30" s="1"/>
  <c r="PE42" i="30" s="1"/>
  <c r="PF42" i="30" s="1"/>
  <c r="PG42" i="30" s="1"/>
  <c r="LL43" i="30"/>
  <c r="LM43" i="30" s="1"/>
  <c r="LN43" i="30" s="1"/>
  <c r="LO43" i="30" s="1"/>
  <c r="LP43" i="30" s="1"/>
  <c r="LQ43" i="30" s="1"/>
  <c r="LR43" i="30" s="1"/>
  <c r="LS43" i="30" s="1"/>
  <c r="LT43" i="30" s="1"/>
  <c r="LU43" i="30" s="1"/>
  <c r="LV43" i="30" s="1"/>
  <c r="LW43" i="30" s="1"/>
  <c r="LX43" i="30" s="1"/>
  <c r="LY43" i="30" s="1"/>
  <c r="LZ43" i="30" s="1"/>
  <c r="MA43" i="30" s="1"/>
  <c r="MB43" i="30" s="1"/>
  <c r="MC43" i="30" s="1"/>
  <c r="MD43" i="30" s="1"/>
  <c r="ME43" i="30" s="1"/>
  <c r="MF43" i="30" s="1"/>
  <c r="MG43" i="30" s="1"/>
  <c r="MH43" i="30" s="1"/>
  <c r="MI43" i="30" s="1"/>
  <c r="MJ43" i="30" s="1"/>
  <c r="MK43" i="30" s="1"/>
  <c r="ML43" i="30" s="1"/>
  <c r="MM43" i="30" s="1"/>
  <c r="MN43" i="30" s="1"/>
  <c r="MO43" i="30" s="1"/>
  <c r="MP43" i="30" s="1"/>
  <c r="MQ43" i="30" s="1"/>
  <c r="MR43" i="30" s="1"/>
  <c r="MS43" i="30" s="1"/>
  <c r="MT43" i="30" s="1"/>
  <c r="MU43" i="30" s="1"/>
  <c r="MV43" i="30" s="1"/>
  <c r="MW43" i="30" s="1"/>
  <c r="MX43" i="30" s="1"/>
  <c r="MY43" i="30" s="1"/>
  <c r="MZ43" i="30" s="1"/>
  <c r="NA43" i="30" s="1"/>
  <c r="NB43" i="30" s="1"/>
  <c r="NC43" i="30" s="1"/>
  <c r="ND43" i="30" s="1"/>
  <c r="NE43" i="30" s="1"/>
  <c r="NF43" i="30" s="1"/>
  <c r="NG43" i="30" s="1"/>
  <c r="NH43" i="30" s="1"/>
  <c r="NI43" i="30" s="1"/>
  <c r="NJ43" i="30" s="1"/>
  <c r="NK43" i="30" s="1"/>
  <c r="NL43" i="30" s="1"/>
  <c r="NM43" i="30" s="1"/>
  <c r="NN43" i="30" s="1"/>
  <c r="NO43" i="30" s="1"/>
  <c r="NP43" i="30" s="1"/>
  <c r="NQ43" i="30" s="1"/>
  <c r="NR43" i="30" s="1"/>
  <c r="NS43" i="30" s="1"/>
  <c r="NT43" i="30" s="1"/>
  <c r="NU43" i="30" s="1"/>
  <c r="NV43" i="30" s="1"/>
  <c r="NW43" i="30" s="1"/>
  <c r="NX43" i="30" s="1"/>
  <c r="NY43" i="30" s="1"/>
  <c r="NZ43" i="30" s="1"/>
  <c r="OA43" i="30" s="1"/>
  <c r="OB43" i="30" s="1"/>
  <c r="OC43" i="30" s="1"/>
  <c r="OD43" i="30" s="1"/>
  <c r="OE43" i="30" s="1"/>
  <c r="OF43" i="30" s="1"/>
  <c r="OG43" i="30" s="1"/>
  <c r="OH43" i="30" s="1"/>
  <c r="OI43" i="30" s="1"/>
  <c r="OJ43" i="30" s="1"/>
  <c r="OK43" i="30" s="1"/>
  <c r="OL43" i="30" s="1"/>
  <c r="OM43" i="30" s="1"/>
  <c r="ON43" i="30" s="1"/>
  <c r="OO43" i="30" s="1"/>
  <c r="OP43" i="30" s="1"/>
  <c r="OQ43" i="30" s="1"/>
  <c r="OR43" i="30" s="1"/>
  <c r="OS43" i="30" s="1"/>
  <c r="OT43" i="30" s="1"/>
  <c r="OU43" i="30" s="1"/>
  <c r="OV43" i="30" s="1"/>
  <c r="OW43" i="30" s="1"/>
  <c r="OX43" i="30" s="1"/>
  <c r="OY43" i="30" s="1"/>
  <c r="OZ43" i="30" s="1"/>
  <c r="PA43" i="30" s="1"/>
  <c r="PB43" i="30" s="1"/>
  <c r="PC43" i="30" s="1"/>
  <c r="PD43" i="30" s="1"/>
  <c r="PE43" i="30" s="1"/>
  <c r="PF43" i="30" s="1"/>
  <c r="PG43" i="30" s="1"/>
  <c r="LL44" i="30"/>
  <c r="LM44" i="30" s="1"/>
  <c r="LN44" i="30" s="1"/>
  <c r="LO44" i="30" s="1"/>
  <c r="LP44" i="30" s="1"/>
  <c r="LQ44" i="30" s="1"/>
  <c r="LR44" i="30" s="1"/>
  <c r="LS44" i="30" s="1"/>
  <c r="LT44" i="30" s="1"/>
  <c r="LU44" i="30" s="1"/>
  <c r="LV44" i="30" s="1"/>
  <c r="LW44" i="30" s="1"/>
  <c r="LX44" i="30" s="1"/>
  <c r="LY44" i="30" s="1"/>
  <c r="LZ44" i="30" s="1"/>
  <c r="MA44" i="30" s="1"/>
  <c r="MB44" i="30" s="1"/>
  <c r="MC44" i="30" s="1"/>
  <c r="MD44" i="30" s="1"/>
  <c r="ME44" i="30" s="1"/>
  <c r="MF44" i="30" s="1"/>
  <c r="MG44" i="30" s="1"/>
  <c r="MH44" i="30" s="1"/>
  <c r="MI44" i="30" s="1"/>
  <c r="MJ44" i="30" s="1"/>
  <c r="MK44" i="30" s="1"/>
  <c r="ML44" i="30" s="1"/>
  <c r="MM44" i="30" s="1"/>
  <c r="MN44" i="30" s="1"/>
  <c r="MO44" i="30" s="1"/>
  <c r="MP44" i="30" s="1"/>
  <c r="MQ44" i="30" s="1"/>
  <c r="MR44" i="30" s="1"/>
  <c r="MS44" i="30" s="1"/>
  <c r="MT44" i="30" s="1"/>
  <c r="MU44" i="30" s="1"/>
  <c r="MV44" i="30" s="1"/>
  <c r="MW44" i="30" s="1"/>
  <c r="MX44" i="30" s="1"/>
  <c r="MY44" i="30" s="1"/>
  <c r="MZ44" i="30" s="1"/>
  <c r="NA44" i="30" s="1"/>
  <c r="NB44" i="30" s="1"/>
  <c r="NC44" i="30" s="1"/>
  <c r="ND44" i="30" s="1"/>
  <c r="NE44" i="30" s="1"/>
  <c r="NF44" i="30" s="1"/>
  <c r="NG44" i="30" s="1"/>
  <c r="NH44" i="30" s="1"/>
  <c r="NI44" i="30" s="1"/>
  <c r="NJ44" i="30" s="1"/>
  <c r="NK44" i="30" s="1"/>
  <c r="NL44" i="30" s="1"/>
  <c r="NM44" i="30" s="1"/>
  <c r="NN44" i="30" s="1"/>
  <c r="NO44" i="30" s="1"/>
  <c r="NP44" i="30" s="1"/>
  <c r="NQ44" i="30" s="1"/>
  <c r="NR44" i="30" s="1"/>
  <c r="NS44" i="30" s="1"/>
  <c r="NT44" i="30" s="1"/>
  <c r="NU44" i="30" s="1"/>
  <c r="NV44" i="30" s="1"/>
  <c r="NW44" i="30" s="1"/>
  <c r="NX44" i="30" s="1"/>
  <c r="NY44" i="30" s="1"/>
  <c r="NZ44" i="30" s="1"/>
  <c r="OA44" i="30" s="1"/>
  <c r="OB44" i="30" s="1"/>
  <c r="OC44" i="30" s="1"/>
  <c r="OD44" i="30" s="1"/>
  <c r="OE44" i="30" s="1"/>
  <c r="OF44" i="30" s="1"/>
  <c r="OG44" i="30" s="1"/>
  <c r="OH44" i="30" s="1"/>
  <c r="OI44" i="30" s="1"/>
  <c r="OJ44" i="30" s="1"/>
  <c r="OK44" i="30" s="1"/>
  <c r="OL44" i="30" s="1"/>
  <c r="OM44" i="30" s="1"/>
  <c r="ON44" i="30" s="1"/>
  <c r="OO44" i="30" s="1"/>
  <c r="OP44" i="30" s="1"/>
  <c r="OQ44" i="30" s="1"/>
  <c r="OR44" i="30" s="1"/>
  <c r="OS44" i="30" s="1"/>
  <c r="OT44" i="30" s="1"/>
  <c r="OU44" i="30" s="1"/>
  <c r="OV44" i="30" s="1"/>
  <c r="OW44" i="30" s="1"/>
  <c r="OX44" i="30" s="1"/>
  <c r="OY44" i="30" s="1"/>
  <c r="OZ44" i="30" s="1"/>
  <c r="PA44" i="30" s="1"/>
  <c r="PB44" i="30" s="1"/>
  <c r="PC44" i="30" s="1"/>
  <c r="PD44" i="30" s="1"/>
  <c r="PE44" i="30" s="1"/>
  <c r="PF44" i="30" s="1"/>
  <c r="PG44" i="30" s="1"/>
  <c r="LL45" i="30"/>
  <c r="LM45" i="30" s="1"/>
  <c r="LN45" i="30" s="1"/>
  <c r="LO45" i="30" s="1"/>
  <c r="LP45" i="30" s="1"/>
  <c r="LQ45" i="30" s="1"/>
  <c r="LR45" i="30" s="1"/>
  <c r="LS45" i="30" s="1"/>
  <c r="LT45" i="30" s="1"/>
  <c r="LU45" i="30" s="1"/>
  <c r="LV45" i="30" s="1"/>
  <c r="LW45" i="30" s="1"/>
  <c r="LX45" i="30" s="1"/>
  <c r="LY45" i="30" s="1"/>
  <c r="LZ45" i="30" s="1"/>
  <c r="MA45" i="30" s="1"/>
  <c r="MB45" i="30" s="1"/>
  <c r="MC45" i="30" s="1"/>
  <c r="MD45" i="30" s="1"/>
  <c r="ME45" i="30" s="1"/>
  <c r="MF45" i="30" s="1"/>
  <c r="MG45" i="30" s="1"/>
  <c r="MH45" i="30" s="1"/>
  <c r="MI45" i="30" s="1"/>
  <c r="MJ45" i="30" s="1"/>
  <c r="MK45" i="30" s="1"/>
  <c r="ML45" i="30" s="1"/>
  <c r="MM45" i="30" s="1"/>
  <c r="MN45" i="30" s="1"/>
  <c r="MO45" i="30" s="1"/>
  <c r="MP45" i="30" s="1"/>
  <c r="MQ45" i="30" s="1"/>
  <c r="MR45" i="30" s="1"/>
  <c r="MS45" i="30" s="1"/>
  <c r="MT45" i="30" s="1"/>
  <c r="MU45" i="30" s="1"/>
  <c r="MV45" i="30" s="1"/>
  <c r="MW45" i="30" s="1"/>
  <c r="MX45" i="30" s="1"/>
  <c r="MY45" i="30" s="1"/>
  <c r="MZ45" i="30" s="1"/>
  <c r="NA45" i="30" s="1"/>
  <c r="NB45" i="30" s="1"/>
  <c r="NC45" i="30" s="1"/>
  <c r="ND45" i="30" s="1"/>
  <c r="NE45" i="30" s="1"/>
  <c r="NF45" i="30" s="1"/>
  <c r="NG45" i="30" s="1"/>
  <c r="NH45" i="30" s="1"/>
  <c r="NI45" i="30" s="1"/>
  <c r="NJ45" i="30" s="1"/>
  <c r="NK45" i="30" s="1"/>
  <c r="NL45" i="30" s="1"/>
  <c r="NM45" i="30" s="1"/>
  <c r="NN45" i="30" s="1"/>
  <c r="NO45" i="30" s="1"/>
  <c r="NP45" i="30" s="1"/>
  <c r="NQ45" i="30" s="1"/>
  <c r="NR45" i="30" s="1"/>
  <c r="NS45" i="30" s="1"/>
  <c r="NT45" i="30" s="1"/>
  <c r="NU45" i="30" s="1"/>
  <c r="NV45" i="30" s="1"/>
  <c r="NW45" i="30" s="1"/>
  <c r="NX45" i="30" s="1"/>
  <c r="NY45" i="30" s="1"/>
  <c r="NZ45" i="30" s="1"/>
  <c r="OA45" i="30" s="1"/>
  <c r="OB45" i="30" s="1"/>
  <c r="OC45" i="30" s="1"/>
  <c r="OD45" i="30" s="1"/>
  <c r="OE45" i="30" s="1"/>
  <c r="OF45" i="30" s="1"/>
  <c r="OG45" i="30" s="1"/>
  <c r="OH45" i="30" s="1"/>
  <c r="OI45" i="30" s="1"/>
  <c r="OJ45" i="30" s="1"/>
  <c r="OK45" i="30" s="1"/>
  <c r="OL45" i="30" s="1"/>
  <c r="OM45" i="30" s="1"/>
  <c r="ON45" i="30" s="1"/>
  <c r="OO45" i="30" s="1"/>
  <c r="OP45" i="30" s="1"/>
  <c r="OQ45" i="30" s="1"/>
  <c r="OR45" i="30" s="1"/>
  <c r="OS45" i="30" s="1"/>
  <c r="OT45" i="30" s="1"/>
  <c r="OU45" i="30" s="1"/>
  <c r="OV45" i="30" s="1"/>
  <c r="OW45" i="30" s="1"/>
  <c r="OX45" i="30" s="1"/>
  <c r="OY45" i="30" s="1"/>
  <c r="OZ45" i="30" s="1"/>
  <c r="PA45" i="30" s="1"/>
  <c r="PB45" i="30" s="1"/>
  <c r="PC45" i="30" s="1"/>
  <c r="PD45" i="30" s="1"/>
  <c r="PE45" i="30" s="1"/>
  <c r="PF45" i="30" s="1"/>
  <c r="PG45" i="30" s="1"/>
  <c r="LL46" i="30"/>
  <c r="LM46" i="30" s="1"/>
  <c r="LN46" i="30" s="1"/>
  <c r="LO46" i="30" s="1"/>
  <c r="LP46" i="30" s="1"/>
  <c r="LQ46" i="30" s="1"/>
  <c r="LR46" i="30" s="1"/>
  <c r="LS46" i="30" s="1"/>
  <c r="LT46" i="30" s="1"/>
  <c r="LU46" i="30" s="1"/>
  <c r="LV46" i="30" s="1"/>
  <c r="LW46" i="30" s="1"/>
  <c r="LX46" i="30" s="1"/>
  <c r="LY46" i="30" s="1"/>
  <c r="LZ46" i="30" s="1"/>
  <c r="MA46" i="30" s="1"/>
  <c r="MB46" i="30" s="1"/>
  <c r="MC46" i="30" s="1"/>
  <c r="MD46" i="30" s="1"/>
  <c r="ME46" i="30" s="1"/>
  <c r="MF46" i="30" s="1"/>
  <c r="MG46" i="30" s="1"/>
  <c r="MH46" i="30" s="1"/>
  <c r="MI46" i="30" s="1"/>
  <c r="MJ46" i="30" s="1"/>
  <c r="MK46" i="30" s="1"/>
  <c r="ML46" i="30" s="1"/>
  <c r="MM46" i="30" s="1"/>
  <c r="MN46" i="30" s="1"/>
  <c r="MO46" i="30" s="1"/>
  <c r="MP46" i="30" s="1"/>
  <c r="MQ46" i="30" s="1"/>
  <c r="MR46" i="30" s="1"/>
  <c r="MS46" i="30" s="1"/>
  <c r="MT46" i="30" s="1"/>
  <c r="MU46" i="30" s="1"/>
  <c r="MV46" i="30" s="1"/>
  <c r="MW46" i="30" s="1"/>
  <c r="MX46" i="30" s="1"/>
  <c r="MY46" i="30" s="1"/>
  <c r="MZ46" i="30" s="1"/>
  <c r="NA46" i="30" s="1"/>
  <c r="NB46" i="30" s="1"/>
  <c r="NC46" i="30" s="1"/>
  <c r="ND46" i="30" s="1"/>
  <c r="NE46" i="30" s="1"/>
  <c r="NF46" i="30" s="1"/>
  <c r="NG46" i="30" s="1"/>
  <c r="NH46" i="30" s="1"/>
  <c r="NI46" i="30" s="1"/>
  <c r="NJ46" i="30" s="1"/>
  <c r="NK46" i="30" s="1"/>
  <c r="NL46" i="30" s="1"/>
  <c r="NM46" i="30" s="1"/>
  <c r="NN46" i="30" s="1"/>
  <c r="NO46" i="30" s="1"/>
  <c r="NP46" i="30" s="1"/>
  <c r="NQ46" i="30" s="1"/>
  <c r="NR46" i="30" s="1"/>
  <c r="NS46" i="30" s="1"/>
  <c r="NT46" i="30" s="1"/>
  <c r="NU46" i="30" s="1"/>
  <c r="NV46" i="30" s="1"/>
  <c r="NW46" i="30" s="1"/>
  <c r="NX46" i="30" s="1"/>
  <c r="NY46" i="30" s="1"/>
  <c r="NZ46" i="30" s="1"/>
  <c r="OA46" i="30" s="1"/>
  <c r="OB46" i="30" s="1"/>
  <c r="OC46" i="30" s="1"/>
  <c r="OD46" i="30" s="1"/>
  <c r="OE46" i="30" s="1"/>
  <c r="OF46" i="30" s="1"/>
  <c r="OG46" i="30" s="1"/>
  <c r="OH46" i="30" s="1"/>
  <c r="OI46" i="30" s="1"/>
  <c r="OJ46" i="30" s="1"/>
  <c r="OK46" i="30" s="1"/>
  <c r="OL46" i="30" s="1"/>
  <c r="OM46" i="30" s="1"/>
  <c r="ON46" i="30" s="1"/>
  <c r="OO46" i="30" s="1"/>
  <c r="OP46" i="30" s="1"/>
  <c r="OQ46" i="30" s="1"/>
  <c r="OR46" i="30" s="1"/>
  <c r="OS46" i="30" s="1"/>
  <c r="OT46" i="30" s="1"/>
  <c r="OU46" i="30" s="1"/>
  <c r="OV46" i="30" s="1"/>
  <c r="OW46" i="30" s="1"/>
  <c r="OX46" i="30" s="1"/>
  <c r="OY46" i="30" s="1"/>
  <c r="OZ46" i="30" s="1"/>
  <c r="PA46" i="30" s="1"/>
  <c r="PB46" i="30" s="1"/>
  <c r="PC46" i="30" s="1"/>
  <c r="PD46" i="30" s="1"/>
  <c r="PE46" i="30" s="1"/>
  <c r="PF46" i="30" s="1"/>
  <c r="PG46" i="30" s="1"/>
  <c r="LL47" i="30"/>
  <c r="LM47" i="30" s="1"/>
  <c r="LN47" i="30" s="1"/>
  <c r="LO47" i="30" s="1"/>
  <c r="LP47" i="30" s="1"/>
  <c r="LQ47" i="30" s="1"/>
  <c r="LR47" i="30" s="1"/>
  <c r="LS47" i="30" s="1"/>
  <c r="LT47" i="30" s="1"/>
  <c r="LU47" i="30" s="1"/>
  <c r="LV47" i="30" s="1"/>
  <c r="LW47" i="30" s="1"/>
  <c r="LX47" i="30" s="1"/>
  <c r="LY47" i="30" s="1"/>
  <c r="LZ47" i="30" s="1"/>
  <c r="MA47" i="30" s="1"/>
  <c r="MB47" i="30" s="1"/>
  <c r="MC47" i="30" s="1"/>
  <c r="MD47" i="30" s="1"/>
  <c r="ME47" i="30" s="1"/>
  <c r="MF47" i="30" s="1"/>
  <c r="MG47" i="30" s="1"/>
  <c r="MH47" i="30" s="1"/>
  <c r="MI47" i="30" s="1"/>
  <c r="MJ47" i="30" s="1"/>
  <c r="MK47" i="30" s="1"/>
  <c r="ML47" i="30" s="1"/>
  <c r="MM47" i="30" s="1"/>
  <c r="MN47" i="30" s="1"/>
  <c r="MO47" i="30" s="1"/>
  <c r="MP47" i="30" s="1"/>
  <c r="MQ47" i="30" s="1"/>
  <c r="MR47" i="30" s="1"/>
  <c r="MS47" i="30" s="1"/>
  <c r="MT47" i="30" s="1"/>
  <c r="MU47" i="30" s="1"/>
  <c r="MV47" i="30" s="1"/>
  <c r="MW47" i="30" s="1"/>
  <c r="MX47" i="30" s="1"/>
  <c r="MY47" i="30" s="1"/>
  <c r="MZ47" i="30" s="1"/>
  <c r="NA47" i="30" s="1"/>
  <c r="NB47" i="30" s="1"/>
  <c r="NC47" i="30" s="1"/>
  <c r="ND47" i="30" s="1"/>
  <c r="NE47" i="30" s="1"/>
  <c r="NF47" i="30" s="1"/>
  <c r="NG47" i="30" s="1"/>
  <c r="NH47" i="30" s="1"/>
  <c r="NI47" i="30" s="1"/>
  <c r="NJ47" i="30" s="1"/>
  <c r="NK47" i="30" s="1"/>
  <c r="NL47" i="30" s="1"/>
  <c r="NM47" i="30" s="1"/>
  <c r="NN47" i="30" s="1"/>
  <c r="NO47" i="30" s="1"/>
  <c r="NP47" i="30" s="1"/>
  <c r="NQ47" i="30" s="1"/>
  <c r="NR47" i="30" s="1"/>
  <c r="NS47" i="30" s="1"/>
  <c r="NT47" i="30" s="1"/>
  <c r="NU47" i="30" s="1"/>
  <c r="NV47" i="30" s="1"/>
  <c r="NW47" i="30" s="1"/>
  <c r="NX47" i="30" s="1"/>
  <c r="NY47" i="30" s="1"/>
  <c r="NZ47" i="30" s="1"/>
  <c r="OA47" i="30" s="1"/>
  <c r="OB47" i="30" s="1"/>
  <c r="OC47" i="30" s="1"/>
  <c r="OD47" i="30" s="1"/>
  <c r="OE47" i="30" s="1"/>
  <c r="OF47" i="30" s="1"/>
  <c r="OG47" i="30" s="1"/>
  <c r="OH47" i="30" s="1"/>
  <c r="OI47" i="30" s="1"/>
  <c r="OJ47" i="30" s="1"/>
  <c r="OK47" i="30" s="1"/>
  <c r="OL47" i="30" s="1"/>
  <c r="OM47" i="30" s="1"/>
  <c r="ON47" i="30" s="1"/>
  <c r="OO47" i="30" s="1"/>
  <c r="OP47" i="30" s="1"/>
  <c r="OQ47" i="30" s="1"/>
  <c r="OR47" i="30" s="1"/>
  <c r="OS47" i="30" s="1"/>
  <c r="OT47" i="30" s="1"/>
  <c r="OU47" i="30" s="1"/>
  <c r="OV47" i="30" s="1"/>
  <c r="OW47" i="30" s="1"/>
  <c r="OX47" i="30" s="1"/>
  <c r="OY47" i="30" s="1"/>
  <c r="OZ47" i="30" s="1"/>
  <c r="PA47" i="30" s="1"/>
  <c r="PB47" i="30" s="1"/>
  <c r="PC47" i="30" s="1"/>
  <c r="PD47" i="30" s="1"/>
  <c r="PE47" i="30" s="1"/>
  <c r="PF47" i="30" s="1"/>
  <c r="PG47" i="30" s="1"/>
  <c r="LL48" i="30"/>
  <c r="LM48" i="30" s="1"/>
  <c r="LN48" i="30" s="1"/>
  <c r="LO48" i="30" s="1"/>
  <c r="LP48" i="30" s="1"/>
  <c r="LQ48" i="30" s="1"/>
  <c r="LR48" i="30" s="1"/>
  <c r="LS48" i="30" s="1"/>
  <c r="LT48" i="30" s="1"/>
  <c r="LU48" i="30" s="1"/>
  <c r="LV48" i="30" s="1"/>
  <c r="LW48" i="30" s="1"/>
  <c r="LX48" i="30" s="1"/>
  <c r="LY48" i="30" s="1"/>
  <c r="LZ48" i="30" s="1"/>
  <c r="MA48" i="30" s="1"/>
  <c r="MB48" i="30" s="1"/>
  <c r="MC48" i="30" s="1"/>
  <c r="MD48" i="30" s="1"/>
  <c r="ME48" i="30" s="1"/>
  <c r="MF48" i="30" s="1"/>
  <c r="MG48" i="30" s="1"/>
  <c r="MH48" i="30" s="1"/>
  <c r="MI48" i="30" s="1"/>
  <c r="MJ48" i="30" s="1"/>
  <c r="MK48" i="30" s="1"/>
  <c r="ML48" i="30" s="1"/>
  <c r="MM48" i="30" s="1"/>
  <c r="MN48" i="30" s="1"/>
  <c r="MO48" i="30" s="1"/>
  <c r="MP48" i="30" s="1"/>
  <c r="MQ48" i="30" s="1"/>
  <c r="MR48" i="30" s="1"/>
  <c r="MS48" i="30" s="1"/>
  <c r="MT48" i="30" s="1"/>
  <c r="MU48" i="30" s="1"/>
  <c r="MV48" i="30" s="1"/>
  <c r="MW48" i="30" s="1"/>
  <c r="MX48" i="30" s="1"/>
  <c r="MY48" i="30" s="1"/>
  <c r="MZ48" i="30" s="1"/>
  <c r="NA48" i="30" s="1"/>
  <c r="NB48" i="30" s="1"/>
  <c r="NC48" i="30" s="1"/>
  <c r="ND48" i="30" s="1"/>
  <c r="NE48" i="30" s="1"/>
  <c r="NF48" i="30" s="1"/>
  <c r="NG48" i="30" s="1"/>
  <c r="NH48" i="30" s="1"/>
  <c r="NI48" i="30" s="1"/>
  <c r="NJ48" i="30" s="1"/>
  <c r="NK48" i="30" s="1"/>
  <c r="NL48" i="30" s="1"/>
  <c r="NM48" i="30" s="1"/>
  <c r="NN48" i="30" s="1"/>
  <c r="NO48" i="30" s="1"/>
  <c r="NP48" i="30" s="1"/>
  <c r="NQ48" i="30" s="1"/>
  <c r="NR48" i="30" s="1"/>
  <c r="NS48" i="30" s="1"/>
  <c r="NT48" i="30" s="1"/>
  <c r="NU48" i="30" s="1"/>
  <c r="NV48" i="30" s="1"/>
  <c r="NW48" i="30" s="1"/>
  <c r="NX48" i="30" s="1"/>
  <c r="NY48" i="30" s="1"/>
  <c r="NZ48" i="30" s="1"/>
  <c r="OA48" i="30" s="1"/>
  <c r="OB48" i="30" s="1"/>
  <c r="OC48" i="30" s="1"/>
  <c r="OD48" i="30" s="1"/>
  <c r="OE48" i="30" s="1"/>
  <c r="OF48" i="30" s="1"/>
  <c r="OG48" i="30" s="1"/>
  <c r="OH48" i="30" s="1"/>
  <c r="OI48" i="30" s="1"/>
  <c r="OJ48" i="30" s="1"/>
  <c r="OK48" i="30" s="1"/>
  <c r="OL48" i="30" s="1"/>
  <c r="OM48" i="30" s="1"/>
  <c r="ON48" i="30" s="1"/>
  <c r="OO48" i="30" s="1"/>
  <c r="OP48" i="30" s="1"/>
  <c r="OQ48" i="30" s="1"/>
  <c r="OR48" i="30" s="1"/>
  <c r="OS48" i="30" s="1"/>
  <c r="OT48" i="30" s="1"/>
  <c r="OU48" i="30" s="1"/>
  <c r="OV48" i="30" s="1"/>
  <c r="OW48" i="30" s="1"/>
  <c r="OX48" i="30" s="1"/>
  <c r="OY48" i="30" s="1"/>
  <c r="OZ48" i="30" s="1"/>
  <c r="PA48" i="30" s="1"/>
  <c r="PB48" i="30" s="1"/>
  <c r="PC48" i="30" s="1"/>
  <c r="PD48" i="30" s="1"/>
  <c r="PE48" i="30" s="1"/>
  <c r="PF48" i="30" s="1"/>
  <c r="PG48" i="30" s="1"/>
  <c r="LL49" i="30"/>
  <c r="LM49" i="30" s="1"/>
  <c r="LN49" i="30" s="1"/>
  <c r="LO49" i="30" s="1"/>
  <c r="LP49" i="30" s="1"/>
  <c r="LQ49" i="30" s="1"/>
  <c r="LR49" i="30" s="1"/>
  <c r="LS49" i="30" s="1"/>
  <c r="LT49" i="30" s="1"/>
  <c r="LU49" i="30" s="1"/>
  <c r="LV49" i="30" s="1"/>
  <c r="LW49" i="30" s="1"/>
  <c r="LX49" i="30" s="1"/>
  <c r="LY49" i="30" s="1"/>
  <c r="LZ49" i="30" s="1"/>
  <c r="MA49" i="30" s="1"/>
  <c r="MB49" i="30" s="1"/>
  <c r="MC49" i="30" s="1"/>
  <c r="MD49" i="30" s="1"/>
  <c r="ME49" i="30" s="1"/>
  <c r="MF49" i="30" s="1"/>
  <c r="MG49" i="30" s="1"/>
  <c r="MH49" i="30" s="1"/>
  <c r="MI49" i="30" s="1"/>
  <c r="MJ49" i="30" s="1"/>
  <c r="MK49" i="30" s="1"/>
  <c r="ML49" i="30" s="1"/>
  <c r="MM49" i="30" s="1"/>
  <c r="MN49" i="30" s="1"/>
  <c r="MO49" i="30" s="1"/>
  <c r="MP49" i="30" s="1"/>
  <c r="MQ49" i="30" s="1"/>
  <c r="MR49" i="30" s="1"/>
  <c r="MS49" i="30" s="1"/>
  <c r="MT49" i="30" s="1"/>
  <c r="MU49" i="30" s="1"/>
  <c r="MV49" i="30" s="1"/>
  <c r="MW49" i="30" s="1"/>
  <c r="MX49" i="30" s="1"/>
  <c r="MY49" i="30" s="1"/>
  <c r="MZ49" i="30" s="1"/>
  <c r="NA49" i="30" s="1"/>
  <c r="NB49" i="30" s="1"/>
  <c r="NC49" i="30" s="1"/>
  <c r="ND49" i="30" s="1"/>
  <c r="NE49" i="30" s="1"/>
  <c r="NF49" i="30" s="1"/>
  <c r="NG49" i="30" s="1"/>
  <c r="NH49" i="30" s="1"/>
  <c r="NI49" i="30" s="1"/>
  <c r="NJ49" i="30" s="1"/>
  <c r="NK49" i="30" s="1"/>
  <c r="NL49" i="30" s="1"/>
  <c r="NM49" i="30" s="1"/>
  <c r="NN49" i="30" s="1"/>
  <c r="NO49" i="30" s="1"/>
  <c r="NP49" i="30" s="1"/>
  <c r="NQ49" i="30" s="1"/>
  <c r="NR49" i="30" s="1"/>
  <c r="NS49" i="30" s="1"/>
  <c r="NT49" i="30" s="1"/>
  <c r="NU49" i="30" s="1"/>
  <c r="NV49" i="30" s="1"/>
  <c r="NW49" i="30" s="1"/>
  <c r="NX49" i="30" s="1"/>
  <c r="NY49" i="30" s="1"/>
  <c r="NZ49" i="30" s="1"/>
  <c r="OA49" i="30" s="1"/>
  <c r="OB49" i="30" s="1"/>
  <c r="OC49" i="30" s="1"/>
  <c r="OD49" i="30" s="1"/>
  <c r="OE49" i="30" s="1"/>
  <c r="OF49" i="30" s="1"/>
  <c r="OG49" i="30" s="1"/>
  <c r="OH49" i="30" s="1"/>
  <c r="OI49" i="30" s="1"/>
  <c r="OJ49" i="30" s="1"/>
  <c r="OK49" i="30" s="1"/>
  <c r="OL49" i="30" s="1"/>
  <c r="OM49" i="30" s="1"/>
  <c r="ON49" i="30" s="1"/>
  <c r="OO49" i="30" s="1"/>
  <c r="OP49" i="30" s="1"/>
  <c r="OQ49" i="30" s="1"/>
  <c r="OR49" i="30" s="1"/>
  <c r="OS49" i="30" s="1"/>
  <c r="OT49" i="30" s="1"/>
  <c r="OU49" i="30" s="1"/>
  <c r="OV49" i="30" s="1"/>
  <c r="OW49" i="30" s="1"/>
  <c r="OX49" i="30" s="1"/>
  <c r="OY49" i="30" s="1"/>
  <c r="OZ49" i="30" s="1"/>
  <c r="PA49" i="30" s="1"/>
  <c r="PB49" i="30" s="1"/>
  <c r="PC49" i="30" s="1"/>
  <c r="PD49" i="30" s="1"/>
  <c r="PE49" i="30" s="1"/>
  <c r="PF49" i="30" s="1"/>
  <c r="PG49" i="30" s="1"/>
  <c r="LL50" i="30"/>
  <c r="LM50" i="30" s="1"/>
  <c r="LN50" i="30" s="1"/>
  <c r="LO50" i="30" s="1"/>
  <c r="LP50" i="30" s="1"/>
  <c r="LQ50" i="30" s="1"/>
  <c r="LR50" i="30" s="1"/>
  <c r="LS50" i="30" s="1"/>
  <c r="LT50" i="30" s="1"/>
  <c r="LU50" i="30" s="1"/>
  <c r="LV50" i="30" s="1"/>
  <c r="LW50" i="30" s="1"/>
  <c r="LX50" i="30" s="1"/>
  <c r="LY50" i="30" s="1"/>
  <c r="LZ50" i="30" s="1"/>
  <c r="MA50" i="30" s="1"/>
  <c r="MB50" i="30" s="1"/>
  <c r="MC50" i="30" s="1"/>
  <c r="MD50" i="30" s="1"/>
  <c r="ME50" i="30" s="1"/>
  <c r="MF50" i="30" s="1"/>
  <c r="MG50" i="30" s="1"/>
  <c r="MH50" i="30" s="1"/>
  <c r="MI50" i="30" s="1"/>
  <c r="MJ50" i="30" s="1"/>
  <c r="MK50" i="30" s="1"/>
  <c r="ML50" i="30" s="1"/>
  <c r="MM50" i="30" s="1"/>
  <c r="MN50" i="30" s="1"/>
  <c r="MO50" i="30" s="1"/>
  <c r="MP50" i="30" s="1"/>
  <c r="MQ50" i="30" s="1"/>
  <c r="MR50" i="30" s="1"/>
  <c r="MS50" i="30" s="1"/>
  <c r="MT50" i="30" s="1"/>
  <c r="MU50" i="30" s="1"/>
  <c r="MV50" i="30" s="1"/>
  <c r="MW50" i="30" s="1"/>
  <c r="MX50" i="30" s="1"/>
  <c r="MY50" i="30" s="1"/>
  <c r="MZ50" i="30" s="1"/>
  <c r="NA50" i="30" s="1"/>
  <c r="NB50" i="30" s="1"/>
  <c r="NC50" i="30" s="1"/>
  <c r="ND50" i="30" s="1"/>
  <c r="NE50" i="30" s="1"/>
  <c r="NF50" i="30" s="1"/>
  <c r="NG50" i="30" s="1"/>
  <c r="NH50" i="30" s="1"/>
  <c r="NI50" i="30" s="1"/>
  <c r="NJ50" i="30" s="1"/>
  <c r="NK50" i="30" s="1"/>
  <c r="NL50" i="30" s="1"/>
  <c r="NM50" i="30" s="1"/>
  <c r="NN50" i="30" s="1"/>
  <c r="NO50" i="30" s="1"/>
  <c r="NP50" i="30" s="1"/>
  <c r="NQ50" i="30" s="1"/>
  <c r="NR50" i="30" s="1"/>
  <c r="NS50" i="30" s="1"/>
  <c r="NT50" i="30" s="1"/>
  <c r="NU50" i="30" s="1"/>
  <c r="NV50" i="30" s="1"/>
  <c r="NW50" i="30" s="1"/>
  <c r="NX50" i="30" s="1"/>
  <c r="NY50" i="30" s="1"/>
  <c r="NZ50" i="30" s="1"/>
  <c r="OA50" i="30" s="1"/>
  <c r="OB50" i="30" s="1"/>
  <c r="OC50" i="30" s="1"/>
  <c r="OD50" i="30" s="1"/>
  <c r="OE50" i="30" s="1"/>
  <c r="OF50" i="30" s="1"/>
  <c r="OG50" i="30" s="1"/>
  <c r="OH50" i="30" s="1"/>
  <c r="OI50" i="30" s="1"/>
  <c r="OJ50" i="30" s="1"/>
  <c r="OK50" i="30" s="1"/>
  <c r="OL50" i="30" s="1"/>
  <c r="OM50" i="30" s="1"/>
  <c r="ON50" i="30" s="1"/>
  <c r="OO50" i="30" s="1"/>
  <c r="OP50" i="30" s="1"/>
  <c r="OQ50" i="30" s="1"/>
  <c r="OR50" i="30" s="1"/>
  <c r="OS50" i="30" s="1"/>
  <c r="OT50" i="30" s="1"/>
  <c r="OU50" i="30" s="1"/>
  <c r="OV50" i="30" s="1"/>
  <c r="OW50" i="30" s="1"/>
  <c r="OX50" i="30" s="1"/>
  <c r="OY50" i="30" s="1"/>
  <c r="OZ50" i="30" s="1"/>
  <c r="PA50" i="30" s="1"/>
  <c r="PB50" i="30" s="1"/>
  <c r="PC50" i="30" s="1"/>
  <c r="PD50" i="30" s="1"/>
  <c r="PE50" i="30" s="1"/>
  <c r="PF50" i="30" s="1"/>
  <c r="PG50" i="30" s="1"/>
  <c r="LL51" i="30"/>
  <c r="LM51" i="30" s="1"/>
  <c r="LN51" i="30" s="1"/>
  <c r="LO51" i="30" s="1"/>
  <c r="LP51" i="30" s="1"/>
  <c r="LQ51" i="30" s="1"/>
  <c r="LR51" i="30" s="1"/>
  <c r="LS51" i="30" s="1"/>
  <c r="LT51" i="30" s="1"/>
  <c r="LU51" i="30" s="1"/>
  <c r="LV51" i="30" s="1"/>
  <c r="LW51" i="30" s="1"/>
  <c r="LX51" i="30" s="1"/>
  <c r="LY51" i="30" s="1"/>
  <c r="LZ51" i="30" s="1"/>
  <c r="MA51" i="30" s="1"/>
  <c r="MB51" i="30" s="1"/>
  <c r="MC51" i="30" s="1"/>
  <c r="MD51" i="30" s="1"/>
  <c r="ME51" i="30" s="1"/>
  <c r="MF51" i="30" s="1"/>
  <c r="MG51" i="30" s="1"/>
  <c r="MH51" i="30" s="1"/>
  <c r="MI51" i="30" s="1"/>
  <c r="MJ51" i="30" s="1"/>
  <c r="MK51" i="30" s="1"/>
  <c r="ML51" i="30" s="1"/>
  <c r="MM51" i="30" s="1"/>
  <c r="MN51" i="30" s="1"/>
  <c r="MO51" i="30" s="1"/>
  <c r="MP51" i="30" s="1"/>
  <c r="MQ51" i="30" s="1"/>
  <c r="MR51" i="30" s="1"/>
  <c r="MS51" i="30" s="1"/>
  <c r="MT51" i="30" s="1"/>
  <c r="MU51" i="30" s="1"/>
  <c r="MV51" i="30" s="1"/>
  <c r="MW51" i="30" s="1"/>
  <c r="MX51" i="30" s="1"/>
  <c r="MY51" i="30" s="1"/>
  <c r="MZ51" i="30" s="1"/>
  <c r="NA51" i="30" s="1"/>
  <c r="NB51" i="30" s="1"/>
  <c r="NC51" i="30" s="1"/>
  <c r="ND51" i="30" s="1"/>
  <c r="NE51" i="30" s="1"/>
  <c r="NF51" i="30" s="1"/>
  <c r="NG51" i="30" s="1"/>
  <c r="NH51" i="30" s="1"/>
  <c r="NI51" i="30" s="1"/>
  <c r="NJ51" i="30" s="1"/>
  <c r="NK51" i="30" s="1"/>
  <c r="NL51" i="30" s="1"/>
  <c r="NM51" i="30" s="1"/>
  <c r="NN51" i="30" s="1"/>
  <c r="NO51" i="30" s="1"/>
  <c r="NP51" i="30" s="1"/>
  <c r="NQ51" i="30" s="1"/>
  <c r="NR51" i="30" s="1"/>
  <c r="NS51" i="30" s="1"/>
  <c r="NT51" i="30" s="1"/>
  <c r="NU51" i="30" s="1"/>
  <c r="NV51" i="30" s="1"/>
  <c r="NW51" i="30" s="1"/>
  <c r="NX51" i="30" s="1"/>
  <c r="NY51" i="30" s="1"/>
  <c r="NZ51" i="30" s="1"/>
  <c r="OA51" i="30" s="1"/>
  <c r="OB51" i="30" s="1"/>
  <c r="OC51" i="30" s="1"/>
  <c r="OD51" i="30" s="1"/>
  <c r="OE51" i="30" s="1"/>
  <c r="OF51" i="30" s="1"/>
  <c r="OG51" i="30" s="1"/>
  <c r="OH51" i="30" s="1"/>
  <c r="OI51" i="30" s="1"/>
  <c r="OJ51" i="30" s="1"/>
  <c r="OK51" i="30" s="1"/>
  <c r="OL51" i="30" s="1"/>
  <c r="OM51" i="30" s="1"/>
  <c r="ON51" i="30" s="1"/>
  <c r="OO51" i="30" s="1"/>
  <c r="OP51" i="30" s="1"/>
  <c r="OQ51" i="30" s="1"/>
  <c r="OR51" i="30" s="1"/>
  <c r="OS51" i="30" s="1"/>
  <c r="OT51" i="30" s="1"/>
  <c r="OU51" i="30" s="1"/>
  <c r="OV51" i="30" s="1"/>
  <c r="OW51" i="30" s="1"/>
  <c r="OX51" i="30" s="1"/>
  <c r="OY51" i="30" s="1"/>
  <c r="OZ51" i="30" s="1"/>
  <c r="PA51" i="30" s="1"/>
  <c r="PB51" i="30" s="1"/>
  <c r="PC51" i="30" s="1"/>
  <c r="PD51" i="30" s="1"/>
  <c r="PE51" i="30" s="1"/>
  <c r="PF51" i="30" s="1"/>
  <c r="PG51" i="30" s="1"/>
  <c r="LL52" i="30"/>
  <c r="LM52" i="30" s="1"/>
  <c r="LN52" i="30" s="1"/>
  <c r="LO52" i="30" s="1"/>
  <c r="LP52" i="30" s="1"/>
  <c r="LQ52" i="30" s="1"/>
  <c r="LR52" i="30" s="1"/>
  <c r="LS52" i="30" s="1"/>
  <c r="LT52" i="30" s="1"/>
  <c r="LU52" i="30" s="1"/>
  <c r="LV52" i="30" s="1"/>
  <c r="LW52" i="30" s="1"/>
  <c r="LX52" i="30" s="1"/>
  <c r="LY52" i="30" s="1"/>
  <c r="LZ52" i="30" s="1"/>
  <c r="MA52" i="30" s="1"/>
  <c r="MB52" i="30" s="1"/>
  <c r="MC52" i="30" s="1"/>
  <c r="MD52" i="30" s="1"/>
  <c r="ME52" i="30" s="1"/>
  <c r="MF52" i="30" s="1"/>
  <c r="MG52" i="30" s="1"/>
  <c r="MH52" i="30" s="1"/>
  <c r="MI52" i="30" s="1"/>
  <c r="MJ52" i="30" s="1"/>
  <c r="MK52" i="30" s="1"/>
  <c r="ML52" i="30" s="1"/>
  <c r="MM52" i="30" s="1"/>
  <c r="MN52" i="30" s="1"/>
  <c r="MO52" i="30" s="1"/>
  <c r="MP52" i="30" s="1"/>
  <c r="MQ52" i="30" s="1"/>
  <c r="MR52" i="30" s="1"/>
  <c r="MS52" i="30" s="1"/>
  <c r="MT52" i="30" s="1"/>
  <c r="MU52" i="30" s="1"/>
  <c r="MV52" i="30" s="1"/>
  <c r="MW52" i="30" s="1"/>
  <c r="MX52" i="30" s="1"/>
  <c r="MY52" i="30" s="1"/>
  <c r="MZ52" i="30" s="1"/>
  <c r="NA52" i="30" s="1"/>
  <c r="NB52" i="30" s="1"/>
  <c r="NC52" i="30" s="1"/>
  <c r="ND52" i="30" s="1"/>
  <c r="NE52" i="30" s="1"/>
  <c r="NF52" i="30" s="1"/>
  <c r="NG52" i="30" s="1"/>
  <c r="NH52" i="30" s="1"/>
  <c r="NI52" i="30" s="1"/>
  <c r="NJ52" i="30" s="1"/>
  <c r="NK52" i="30" s="1"/>
  <c r="NL52" i="30" s="1"/>
  <c r="NM52" i="30" s="1"/>
  <c r="NN52" i="30" s="1"/>
  <c r="NO52" i="30" s="1"/>
  <c r="NP52" i="30" s="1"/>
  <c r="NQ52" i="30" s="1"/>
  <c r="NR52" i="30" s="1"/>
  <c r="NS52" i="30" s="1"/>
  <c r="NT52" i="30" s="1"/>
  <c r="NU52" i="30" s="1"/>
  <c r="NV52" i="30" s="1"/>
  <c r="NW52" i="30" s="1"/>
  <c r="NX52" i="30" s="1"/>
  <c r="NY52" i="30" s="1"/>
  <c r="NZ52" i="30" s="1"/>
  <c r="OA52" i="30" s="1"/>
  <c r="OB52" i="30" s="1"/>
  <c r="OC52" i="30" s="1"/>
  <c r="OD52" i="30" s="1"/>
  <c r="OE52" i="30" s="1"/>
  <c r="OF52" i="30" s="1"/>
  <c r="OG52" i="30" s="1"/>
  <c r="OH52" i="30" s="1"/>
  <c r="OI52" i="30" s="1"/>
  <c r="OJ52" i="30" s="1"/>
  <c r="OK52" i="30" s="1"/>
  <c r="OL52" i="30" s="1"/>
  <c r="OM52" i="30" s="1"/>
  <c r="ON52" i="30" s="1"/>
  <c r="OO52" i="30" s="1"/>
  <c r="OP52" i="30" s="1"/>
  <c r="OQ52" i="30" s="1"/>
  <c r="OR52" i="30" s="1"/>
  <c r="OS52" i="30" s="1"/>
  <c r="OT52" i="30" s="1"/>
  <c r="OU52" i="30" s="1"/>
  <c r="OV52" i="30" s="1"/>
  <c r="OW52" i="30" s="1"/>
  <c r="OX52" i="30" s="1"/>
  <c r="OY52" i="30" s="1"/>
  <c r="OZ52" i="30" s="1"/>
  <c r="PA52" i="30" s="1"/>
  <c r="PB52" i="30" s="1"/>
  <c r="PC52" i="30" s="1"/>
  <c r="PD52" i="30" s="1"/>
  <c r="PE52" i="30" s="1"/>
  <c r="PF52" i="30" s="1"/>
  <c r="PG52" i="30" s="1"/>
  <c r="LL53" i="30"/>
  <c r="LM53" i="30" s="1"/>
  <c r="LN53" i="30" s="1"/>
  <c r="LO53" i="30" s="1"/>
  <c r="LP53" i="30" s="1"/>
  <c r="LQ53" i="30" s="1"/>
  <c r="LR53" i="30" s="1"/>
  <c r="LS53" i="30" s="1"/>
  <c r="LT53" i="30" s="1"/>
  <c r="LU53" i="30" s="1"/>
  <c r="LV53" i="30" s="1"/>
  <c r="LW53" i="30" s="1"/>
  <c r="LX53" i="30" s="1"/>
  <c r="LY53" i="30" s="1"/>
  <c r="LZ53" i="30" s="1"/>
  <c r="MA53" i="30" s="1"/>
  <c r="MB53" i="30" s="1"/>
  <c r="MC53" i="30" s="1"/>
  <c r="MD53" i="30" s="1"/>
  <c r="ME53" i="30" s="1"/>
  <c r="MF53" i="30" s="1"/>
  <c r="MG53" i="30" s="1"/>
  <c r="MH53" i="30" s="1"/>
  <c r="MI53" i="30" s="1"/>
  <c r="MJ53" i="30" s="1"/>
  <c r="MK53" i="30" s="1"/>
  <c r="ML53" i="30" s="1"/>
  <c r="MM53" i="30" s="1"/>
  <c r="MN53" i="30" s="1"/>
  <c r="MO53" i="30" s="1"/>
  <c r="MP53" i="30" s="1"/>
  <c r="MQ53" i="30" s="1"/>
  <c r="MR53" i="30" s="1"/>
  <c r="MS53" i="30" s="1"/>
  <c r="MT53" i="30" s="1"/>
  <c r="MU53" i="30" s="1"/>
  <c r="MV53" i="30" s="1"/>
  <c r="MW53" i="30" s="1"/>
  <c r="MX53" i="30" s="1"/>
  <c r="MY53" i="30" s="1"/>
  <c r="MZ53" i="30" s="1"/>
  <c r="NA53" i="30" s="1"/>
  <c r="NB53" i="30" s="1"/>
  <c r="NC53" i="30" s="1"/>
  <c r="ND53" i="30" s="1"/>
  <c r="NE53" i="30" s="1"/>
  <c r="NF53" i="30" s="1"/>
  <c r="NG53" i="30" s="1"/>
  <c r="NH53" i="30" s="1"/>
  <c r="NI53" i="30" s="1"/>
  <c r="NJ53" i="30" s="1"/>
  <c r="NK53" i="30" s="1"/>
  <c r="NL53" i="30" s="1"/>
  <c r="NM53" i="30" s="1"/>
  <c r="NN53" i="30" s="1"/>
  <c r="NO53" i="30" s="1"/>
  <c r="NP53" i="30" s="1"/>
  <c r="NQ53" i="30" s="1"/>
  <c r="NR53" i="30" s="1"/>
  <c r="NS53" i="30" s="1"/>
  <c r="NT53" i="30" s="1"/>
  <c r="NU53" i="30" s="1"/>
  <c r="NV53" i="30" s="1"/>
  <c r="NW53" i="30" s="1"/>
  <c r="NX53" i="30" s="1"/>
  <c r="NY53" i="30" s="1"/>
  <c r="NZ53" i="30" s="1"/>
  <c r="OA53" i="30" s="1"/>
  <c r="OB53" i="30" s="1"/>
  <c r="OC53" i="30" s="1"/>
  <c r="OD53" i="30" s="1"/>
  <c r="OE53" i="30" s="1"/>
  <c r="OF53" i="30" s="1"/>
  <c r="OG53" i="30" s="1"/>
  <c r="OH53" i="30" s="1"/>
  <c r="OI53" i="30" s="1"/>
  <c r="OJ53" i="30" s="1"/>
  <c r="OK53" i="30" s="1"/>
  <c r="OL53" i="30" s="1"/>
  <c r="OM53" i="30" s="1"/>
  <c r="ON53" i="30" s="1"/>
  <c r="OO53" i="30" s="1"/>
  <c r="OP53" i="30" s="1"/>
  <c r="OQ53" i="30" s="1"/>
  <c r="OR53" i="30" s="1"/>
  <c r="OS53" i="30" s="1"/>
  <c r="OT53" i="30" s="1"/>
  <c r="OU53" i="30" s="1"/>
  <c r="OV53" i="30" s="1"/>
  <c r="OW53" i="30" s="1"/>
  <c r="OX53" i="30" s="1"/>
  <c r="OY53" i="30" s="1"/>
  <c r="OZ53" i="30" s="1"/>
  <c r="PA53" i="30" s="1"/>
  <c r="PB53" i="30" s="1"/>
  <c r="PC53" i="30" s="1"/>
  <c r="PD53" i="30" s="1"/>
  <c r="PE53" i="30" s="1"/>
  <c r="PF53" i="30" s="1"/>
  <c r="PG53" i="30" s="1"/>
  <c r="LL54" i="30"/>
  <c r="LM54" i="30" s="1"/>
  <c r="LN54" i="30" s="1"/>
  <c r="LO54" i="30" s="1"/>
  <c r="LP54" i="30" s="1"/>
  <c r="LQ54" i="30" s="1"/>
  <c r="LR54" i="30" s="1"/>
  <c r="LS54" i="30" s="1"/>
  <c r="LT54" i="30" s="1"/>
  <c r="LU54" i="30" s="1"/>
  <c r="LV54" i="30" s="1"/>
  <c r="LW54" i="30" s="1"/>
  <c r="LX54" i="30" s="1"/>
  <c r="LY54" i="30" s="1"/>
  <c r="LZ54" i="30" s="1"/>
  <c r="MA54" i="30" s="1"/>
  <c r="MB54" i="30" s="1"/>
  <c r="MC54" i="30" s="1"/>
  <c r="MD54" i="30" s="1"/>
  <c r="ME54" i="30" s="1"/>
  <c r="MF54" i="30" s="1"/>
  <c r="MG54" i="30" s="1"/>
  <c r="MH54" i="30" s="1"/>
  <c r="MI54" i="30" s="1"/>
  <c r="MJ54" i="30" s="1"/>
  <c r="MK54" i="30" s="1"/>
  <c r="ML54" i="30" s="1"/>
  <c r="MM54" i="30" s="1"/>
  <c r="MN54" i="30" s="1"/>
  <c r="MO54" i="30" s="1"/>
  <c r="MP54" i="30" s="1"/>
  <c r="MQ54" i="30" s="1"/>
  <c r="MR54" i="30" s="1"/>
  <c r="MS54" i="30" s="1"/>
  <c r="MT54" i="30" s="1"/>
  <c r="MU54" i="30" s="1"/>
  <c r="MV54" i="30" s="1"/>
  <c r="MW54" i="30" s="1"/>
  <c r="MX54" i="30" s="1"/>
  <c r="MY54" i="30" s="1"/>
  <c r="MZ54" i="30" s="1"/>
  <c r="NA54" i="30" s="1"/>
  <c r="NB54" i="30" s="1"/>
  <c r="NC54" i="30" s="1"/>
  <c r="ND54" i="30" s="1"/>
  <c r="NE54" i="30" s="1"/>
  <c r="NF54" i="30" s="1"/>
  <c r="NG54" i="30" s="1"/>
  <c r="NH54" i="30" s="1"/>
  <c r="NI54" i="30" s="1"/>
  <c r="NJ54" i="30" s="1"/>
  <c r="NK54" i="30" s="1"/>
  <c r="NL54" i="30" s="1"/>
  <c r="NM54" i="30" s="1"/>
  <c r="NN54" i="30" s="1"/>
  <c r="NO54" i="30" s="1"/>
  <c r="NP54" i="30" s="1"/>
  <c r="NQ54" i="30" s="1"/>
  <c r="NR54" i="30" s="1"/>
  <c r="NS54" i="30" s="1"/>
  <c r="NT54" i="30" s="1"/>
  <c r="NU54" i="30" s="1"/>
  <c r="NV54" i="30" s="1"/>
  <c r="NW54" i="30" s="1"/>
  <c r="NX54" i="30" s="1"/>
  <c r="NY54" i="30" s="1"/>
  <c r="NZ54" i="30" s="1"/>
  <c r="OA54" i="30" s="1"/>
  <c r="OB54" i="30" s="1"/>
  <c r="OC54" i="30" s="1"/>
  <c r="OD54" i="30" s="1"/>
  <c r="OE54" i="30" s="1"/>
  <c r="OF54" i="30" s="1"/>
  <c r="OG54" i="30" s="1"/>
  <c r="OH54" i="30" s="1"/>
  <c r="OI54" i="30" s="1"/>
  <c r="OJ54" i="30" s="1"/>
  <c r="OK54" i="30" s="1"/>
  <c r="OL54" i="30" s="1"/>
  <c r="OM54" i="30" s="1"/>
  <c r="ON54" i="30" s="1"/>
  <c r="OO54" i="30" s="1"/>
  <c r="OP54" i="30" s="1"/>
  <c r="OQ54" i="30" s="1"/>
  <c r="OR54" i="30" s="1"/>
  <c r="OS54" i="30" s="1"/>
  <c r="OT54" i="30" s="1"/>
  <c r="OU54" i="30" s="1"/>
  <c r="OV54" i="30" s="1"/>
  <c r="OW54" i="30" s="1"/>
  <c r="OX54" i="30" s="1"/>
  <c r="OY54" i="30" s="1"/>
  <c r="OZ54" i="30" s="1"/>
  <c r="PA54" i="30" s="1"/>
  <c r="PB54" i="30" s="1"/>
  <c r="PC54" i="30" s="1"/>
  <c r="PD54" i="30" s="1"/>
  <c r="PE54" i="30" s="1"/>
  <c r="PF54" i="30" s="1"/>
  <c r="PG54" i="30" s="1"/>
  <c r="LL55" i="30"/>
  <c r="LM55" i="30" s="1"/>
  <c r="LN55" i="30" s="1"/>
  <c r="LO55" i="30" s="1"/>
  <c r="LP55" i="30" s="1"/>
  <c r="LQ55" i="30" s="1"/>
  <c r="LR55" i="30" s="1"/>
  <c r="LS55" i="30" s="1"/>
  <c r="LT55" i="30" s="1"/>
  <c r="LU55" i="30" s="1"/>
  <c r="LV55" i="30" s="1"/>
  <c r="LW55" i="30" s="1"/>
  <c r="LX55" i="30" s="1"/>
  <c r="LY55" i="30" s="1"/>
  <c r="LZ55" i="30" s="1"/>
  <c r="MA55" i="30" s="1"/>
  <c r="MB55" i="30" s="1"/>
  <c r="MC55" i="30" s="1"/>
  <c r="MD55" i="30" s="1"/>
  <c r="ME55" i="30" s="1"/>
  <c r="MF55" i="30" s="1"/>
  <c r="MG55" i="30" s="1"/>
  <c r="MH55" i="30" s="1"/>
  <c r="MI55" i="30" s="1"/>
  <c r="MJ55" i="30" s="1"/>
  <c r="MK55" i="30" s="1"/>
  <c r="ML55" i="30" s="1"/>
  <c r="MM55" i="30" s="1"/>
  <c r="MN55" i="30" s="1"/>
  <c r="MO55" i="30" s="1"/>
  <c r="MP55" i="30" s="1"/>
  <c r="MQ55" i="30" s="1"/>
  <c r="MR55" i="30" s="1"/>
  <c r="MS55" i="30" s="1"/>
  <c r="MT55" i="30" s="1"/>
  <c r="MU55" i="30" s="1"/>
  <c r="MV55" i="30" s="1"/>
  <c r="MW55" i="30" s="1"/>
  <c r="MX55" i="30" s="1"/>
  <c r="MY55" i="30" s="1"/>
  <c r="MZ55" i="30" s="1"/>
  <c r="NA55" i="30" s="1"/>
  <c r="NB55" i="30" s="1"/>
  <c r="NC55" i="30" s="1"/>
  <c r="ND55" i="30" s="1"/>
  <c r="NE55" i="30" s="1"/>
  <c r="NF55" i="30" s="1"/>
  <c r="NG55" i="30" s="1"/>
  <c r="NH55" i="30" s="1"/>
  <c r="NI55" i="30" s="1"/>
  <c r="NJ55" i="30" s="1"/>
  <c r="NK55" i="30" s="1"/>
  <c r="NL55" i="30" s="1"/>
  <c r="NM55" i="30" s="1"/>
  <c r="NN55" i="30" s="1"/>
  <c r="NO55" i="30" s="1"/>
  <c r="NP55" i="30" s="1"/>
  <c r="NQ55" i="30" s="1"/>
  <c r="NR55" i="30" s="1"/>
  <c r="NS55" i="30" s="1"/>
  <c r="NT55" i="30" s="1"/>
  <c r="NU55" i="30" s="1"/>
  <c r="NV55" i="30" s="1"/>
  <c r="NW55" i="30" s="1"/>
  <c r="NX55" i="30" s="1"/>
  <c r="NY55" i="30" s="1"/>
  <c r="NZ55" i="30" s="1"/>
  <c r="OA55" i="30" s="1"/>
  <c r="OB55" i="30" s="1"/>
  <c r="OC55" i="30" s="1"/>
  <c r="OD55" i="30" s="1"/>
  <c r="OE55" i="30" s="1"/>
  <c r="OF55" i="30" s="1"/>
  <c r="OG55" i="30" s="1"/>
  <c r="OH55" i="30" s="1"/>
  <c r="OI55" i="30" s="1"/>
  <c r="OJ55" i="30" s="1"/>
  <c r="OK55" i="30" s="1"/>
  <c r="OL55" i="30" s="1"/>
  <c r="OM55" i="30" s="1"/>
  <c r="ON55" i="30" s="1"/>
  <c r="OO55" i="30" s="1"/>
  <c r="OP55" i="30" s="1"/>
  <c r="OQ55" i="30" s="1"/>
  <c r="OR55" i="30" s="1"/>
  <c r="OS55" i="30" s="1"/>
  <c r="OT55" i="30" s="1"/>
  <c r="OU55" i="30" s="1"/>
  <c r="OV55" i="30" s="1"/>
  <c r="OW55" i="30" s="1"/>
  <c r="OX55" i="30" s="1"/>
  <c r="OY55" i="30" s="1"/>
  <c r="OZ55" i="30" s="1"/>
  <c r="PA55" i="30" s="1"/>
  <c r="PB55" i="30" s="1"/>
  <c r="PC55" i="30" s="1"/>
  <c r="PD55" i="30" s="1"/>
  <c r="PE55" i="30" s="1"/>
  <c r="PF55" i="30" s="1"/>
  <c r="PG55" i="30" s="1"/>
  <c r="LL56" i="30"/>
  <c r="LM56" i="30" s="1"/>
  <c r="LN56" i="30" s="1"/>
  <c r="LO56" i="30" s="1"/>
  <c r="LP56" i="30" s="1"/>
  <c r="LQ56" i="30" s="1"/>
  <c r="LR56" i="30" s="1"/>
  <c r="LS56" i="30" s="1"/>
  <c r="LT56" i="30" s="1"/>
  <c r="LU56" i="30" s="1"/>
  <c r="LV56" i="30" s="1"/>
  <c r="LW56" i="30" s="1"/>
  <c r="LX56" i="30" s="1"/>
  <c r="LY56" i="30" s="1"/>
  <c r="LZ56" i="30" s="1"/>
  <c r="MA56" i="30" s="1"/>
  <c r="MB56" i="30" s="1"/>
  <c r="MC56" i="30" s="1"/>
  <c r="MD56" i="30" s="1"/>
  <c r="ME56" i="30" s="1"/>
  <c r="MF56" i="30" s="1"/>
  <c r="MG56" i="30" s="1"/>
  <c r="MH56" i="30" s="1"/>
  <c r="MI56" i="30" s="1"/>
  <c r="MJ56" i="30" s="1"/>
  <c r="MK56" i="30" s="1"/>
  <c r="ML56" i="30" s="1"/>
  <c r="MM56" i="30" s="1"/>
  <c r="MN56" i="30" s="1"/>
  <c r="MO56" i="30" s="1"/>
  <c r="MP56" i="30" s="1"/>
  <c r="MQ56" i="30" s="1"/>
  <c r="MR56" i="30" s="1"/>
  <c r="MS56" i="30" s="1"/>
  <c r="MT56" i="30" s="1"/>
  <c r="MU56" i="30" s="1"/>
  <c r="MV56" i="30" s="1"/>
  <c r="MW56" i="30" s="1"/>
  <c r="MX56" i="30" s="1"/>
  <c r="MY56" i="30" s="1"/>
  <c r="MZ56" i="30" s="1"/>
  <c r="NA56" i="30" s="1"/>
  <c r="NB56" i="30" s="1"/>
  <c r="NC56" i="30" s="1"/>
  <c r="ND56" i="30" s="1"/>
  <c r="NE56" i="30" s="1"/>
  <c r="NF56" i="30" s="1"/>
  <c r="NG56" i="30" s="1"/>
  <c r="NH56" i="30" s="1"/>
  <c r="NI56" i="30" s="1"/>
  <c r="NJ56" i="30" s="1"/>
  <c r="NK56" i="30" s="1"/>
  <c r="NL56" i="30" s="1"/>
  <c r="NM56" i="30" s="1"/>
  <c r="NN56" i="30" s="1"/>
  <c r="NO56" i="30" s="1"/>
  <c r="NP56" i="30" s="1"/>
  <c r="NQ56" i="30" s="1"/>
  <c r="NR56" i="30" s="1"/>
  <c r="NS56" i="30" s="1"/>
  <c r="NT56" i="30" s="1"/>
  <c r="NU56" i="30" s="1"/>
  <c r="NV56" i="30" s="1"/>
  <c r="NW56" i="30" s="1"/>
  <c r="NX56" i="30" s="1"/>
  <c r="NY56" i="30" s="1"/>
  <c r="NZ56" i="30" s="1"/>
  <c r="OA56" i="30" s="1"/>
  <c r="OB56" i="30" s="1"/>
  <c r="OC56" i="30" s="1"/>
  <c r="OD56" i="30" s="1"/>
  <c r="OE56" i="30" s="1"/>
  <c r="OF56" i="30" s="1"/>
  <c r="OG56" i="30" s="1"/>
  <c r="OH56" i="30" s="1"/>
  <c r="OI56" i="30" s="1"/>
  <c r="OJ56" i="30" s="1"/>
  <c r="OK56" i="30" s="1"/>
  <c r="OL56" i="30" s="1"/>
  <c r="OM56" i="30" s="1"/>
  <c r="ON56" i="30" s="1"/>
  <c r="OO56" i="30" s="1"/>
  <c r="OP56" i="30" s="1"/>
  <c r="OQ56" i="30" s="1"/>
  <c r="OR56" i="30" s="1"/>
  <c r="OS56" i="30" s="1"/>
  <c r="OT56" i="30" s="1"/>
  <c r="OU56" i="30" s="1"/>
  <c r="OV56" i="30" s="1"/>
  <c r="OW56" i="30" s="1"/>
  <c r="OX56" i="30" s="1"/>
  <c r="OY56" i="30" s="1"/>
  <c r="OZ56" i="30" s="1"/>
  <c r="PA56" i="30" s="1"/>
  <c r="PB56" i="30" s="1"/>
  <c r="PC56" i="30" s="1"/>
  <c r="PD56" i="30" s="1"/>
  <c r="PE56" i="30" s="1"/>
  <c r="PF56" i="30" s="1"/>
  <c r="PG56" i="30" s="1"/>
  <c r="LL57" i="30"/>
  <c r="LM57" i="30" s="1"/>
  <c r="LN57" i="30" s="1"/>
  <c r="LO57" i="30" s="1"/>
  <c r="LP57" i="30" s="1"/>
  <c r="LQ57" i="30" s="1"/>
  <c r="LR57" i="30" s="1"/>
  <c r="LS57" i="30" s="1"/>
  <c r="LT57" i="30" s="1"/>
  <c r="LU57" i="30" s="1"/>
  <c r="LV57" i="30" s="1"/>
  <c r="LW57" i="30" s="1"/>
  <c r="LX57" i="30" s="1"/>
  <c r="LY57" i="30" s="1"/>
  <c r="LZ57" i="30" s="1"/>
  <c r="MA57" i="30" s="1"/>
  <c r="MB57" i="30" s="1"/>
  <c r="MC57" i="30" s="1"/>
  <c r="MD57" i="30" s="1"/>
  <c r="ME57" i="30" s="1"/>
  <c r="MF57" i="30" s="1"/>
  <c r="MG57" i="30" s="1"/>
  <c r="MH57" i="30" s="1"/>
  <c r="MI57" i="30" s="1"/>
  <c r="MJ57" i="30" s="1"/>
  <c r="MK57" i="30" s="1"/>
  <c r="ML57" i="30" s="1"/>
  <c r="MM57" i="30" s="1"/>
  <c r="MN57" i="30" s="1"/>
  <c r="MO57" i="30" s="1"/>
  <c r="MP57" i="30" s="1"/>
  <c r="MQ57" i="30" s="1"/>
  <c r="MR57" i="30" s="1"/>
  <c r="MS57" i="30" s="1"/>
  <c r="MT57" i="30" s="1"/>
  <c r="MU57" i="30" s="1"/>
  <c r="MV57" i="30" s="1"/>
  <c r="MW57" i="30" s="1"/>
  <c r="MX57" i="30" s="1"/>
  <c r="MY57" i="30" s="1"/>
  <c r="MZ57" i="30" s="1"/>
  <c r="NA57" i="30" s="1"/>
  <c r="NB57" i="30" s="1"/>
  <c r="NC57" i="30" s="1"/>
  <c r="ND57" i="30" s="1"/>
  <c r="NE57" i="30" s="1"/>
  <c r="NF57" i="30" s="1"/>
  <c r="NG57" i="30" s="1"/>
  <c r="NH57" i="30" s="1"/>
  <c r="NI57" i="30" s="1"/>
  <c r="NJ57" i="30" s="1"/>
  <c r="NK57" i="30" s="1"/>
  <c r="NL57" i="30" s="1"/>
  <c r="NM57" i="30" s="1"/>
  <c r="NN57" i="30" s="1"/>
  <c r="NO57" i="30" s="1"/>
  <c r="NP57" i="30" s="1"/>
  <c r="NQ57" i="30" s="1"/>
  <c r="NR57" i="30" s="1"/>
  <c r="NS57" i="30" s="1"/>
  <c r="NT57" i="30" s="1"/>
  <c r="NU57" i="30" s="1"/>
  <c r="NV57" i="30" s="1"/>
  <c r="NW57" i="30" s="1"/>
  <c r="NX57" i="30" s="1"/>
  <c r="NY57" i="30" s="1"/>
  <c r="NZ57" i="30" s="1"/>
  <c r="OA57" i="30" s="1"/>
  <c r="OB57" i="30" s="1"/>
  <c r="OC57" i="30" s="1"/>
  <c r="OD57" i="30" s="1"/>
  <c r="OE57" i="30" s="1"/>
  <c r="OF57" i="30" s="1"/>
  <c r="OG57" i="30" s="1"/>
  <c r="OH57" i="30" s="1"/>
  <c r="OI57" i="30" s="1"/>
  <c r="OJ57" i="30" s="1"/>
  <c r="OK57" i="30" s="1"/>
  <c r="OL57" i="30" s="1"/>
  <c r="OM57" i="30" s="1"/>
  <c r="ON57" i="30" s="1"/>
  <c r="OO57" i="30" s="1"/>
  <c r="OP57" i="30" s="1"/>
  <c r="OQ57" i="30" s="1"/>
  <c r="OR57" i="30" s="1"/>
  <c r="OS57" i="30" s="1"/>
  <c r="OT57" i="30" s="1"/>
  <c r="OU57" i="30" s="1"/>
  <c r="OV57" i="30" s="1"/>
  <c r="OW57" i="30" s="1"/>
  <c r="OX57" i="30" s="1"/>
  <c r="OY57" i="30" s="1"/>
  <c r="OZ57" i="30" s="1"/>
  <c r="PA57" i="30" s="1"/>
  <c r="PB57" i="30" s="1"/>
  <c r="PC57" i="30" s="1"/>
  <c r="PD57" i="30" s="1"/>
  <c r="PE57" i="30" s="1"/>
  <c r="PF57" i="30" s="1"/>
  <c r="PG57" i="30" s="1"/>
  <c r="LL58" i="30"/>
  <c r="LM58" i="30" s="1"/>
  <c r="LN58" i="30" s="1"/>
  <c r="LO58" i="30" s="1"/>
  <c r="LP58" i="30" s="1"/>
  <c r="LQ58" i="30" s="1"/>
  <c r="LR58" i="30" s="1"/>
  <c r="LS58" i="30" s="1"/>
  <c r="LT58" i="30" s="1"/>
  <c r="LU58" i="30" s="1"/>
  <c r="LV58" i="30" s="1"/>
  <c r="LW58" i="30" s="1"/>
  <c r="LX58" i="30" s="1"/>
  <c r="LY58" i="30" s="1"/>
  <c r="LZ58" i="30" s="1"/>
  <c r="MA58" i="30" s="1"/>
  <c r="MB58" i="30" s="1"/>
  <c r="MC58" i="30" s="1"/>
  <c r="MD58" i="30" s="1"/>
  <c r="ME58" i="30" s="1"/>
  <c r="MF58" i="30" s="1"/>
  <c r="MG58" i="30" s="1"/>
  <c r="MH58" i="30" s="1"/>
  <c r="MI58" i="30" s="1"/>
  <c r="MJ58" i="30" s="1"/>
  <c r="MK58" i="30" s="1"/>
  <c r="ML58" i="30" s="1"/>
  <c r="MM58" i="30" s="1"/>
  <c r="MN58" i="30" s="1"/>
  <c r="MO58" i="30" s="1"/>
  <c r="MP58" i="30" s="1"/>
  <c r="MQ58" i="30" s="1"/>
  <c r="MR58" i="30" s="1"/>
  <c r="MS58" i="30" s="1"/>
  <c r="MT58" i="30" s="1"/>
  <c r="MU58" i="30" s="1"/>
  <c r="MV58" i="30" s="1"/>
  <c r="MW58" i="30" s="1"/>
  <c r="MX58" i="30" s="1"/>
  <c r="MY58" i="30" s="1"/>
  <c r="MZ58" i="30" s="1"/>
  <c r="NA58" i="30" s="1"/>
  <c r="NB58" i="30" s="1"/>
  <c r="NC58" i="30" s="1"/>
  <c r="ND58" i="30" s="1"/>
  <c r="NE58" i="30" s="1"/>
  <c r="NF58" i="30" s="1"/>
  <c r="NG58" i="30" s="1"/>
  <c r="NH58" i="30" s="1"/>
  <c r="NI58" i="30" s="1"/>
  <c r="NJ58" i="30" s="1"/>
  <c r="NK58" i="30" s="1"/>
  <c r="NL58" i="30" s="1"/>
  <c r="NM58" i="30" s="1"/>
  <c r="NN58" i="30" s="1"/>
  <c r="NO58" i="30" s="1"/>
  <c r="NP58" i="30" s="1"/>
  <c r="NQ58" i="30" s="1"/>
  <c r="NR58" i="30" s="1"/>
  <c r="NS58" i="30" s="1"/>
  <c r="NT58" i="30" s="1"/>
  <c r="NU58" i="30" s="1"/>
  <c r="NV58" i="30" s="1"/>
  <c r="NW58" i="30" s="1"/>
  <c r="NX58" i="30" s="1"/>
  <c r="NY58" i="30" s="1"/>
  <c r="NZ58" i="30" s="1"/>
  <c r="OA58" i="30" s="1"/>
  <c r="OB58" i="30" s="1"/>
  <c r="OC58" i="30" s="1"/>
  <c r="OD58" i="30" s="1"/>
  <c r="OE58" i="30" s="1"/>
  <c r="OF58" i="30" s="1"/>
  <c r="OG58" i="30" s="1"/>
  <c r="OH58" i="30" s="1"/>
  <c r="OI58" i="30" s="1"/>
  <c r="OJ58" i="30" s="1"/>
  <c r="OK58" i="30" s="1"/>
  <c r="OL58" i="30" s="1"/>
  <c r="OM58" i="30" s="1"/>
  <c r="ON58" i="30" s="1"/>
  <c r="OO58" i="30" s="1"/>
  <c r="OP58" i="30" s="1"/>
  <c r="OQ58" i="30" s="1"/>
  <c r="OR58" i="30" s="1"/>
  <c r="OS58" i="30" s="1"/>
  <c r="OT58" i="30" s="1"/>
  <c r="OU58" i="30" s="1"/>
  <c r="OV58" i="30" s="1"/>
  <c r="OW58" i="30" s="1"/>
  <c r="OX58" i="30" s="1"/>
  <c r="OY58" i="30" s="1"/>
  <c r="OZ58" i="30" s="1"/>
  <c r="PA58" i="30" s="1"/>
  <c r="PB58" i="30" s="1"/>
  <c r="PC58" i="30" s="1"/>
  <c r="PD58" i="30" s="1"/>
  <c r="PE58" i="30" s="1"/>
  <c r="PF58" i="30" s="1"/>
  <c r="PG58" i="30" s="1"/>
  <c r="LL59" i="30"/>
  <c r="LM59" i="30" s="1"/>
  <c r="LN59" i="30" s="1"/>
  <c r="LO59" i="30" s="1"/>
  <c r="LP59" i="30" s="1"/>
  <c r="LQ59" i="30" s="1"/>
  <c r="LR59" i="30" s="1"/>
  <c r="LS59" i="30" s="1"/>
  <c r="LT59" i="30" s="1"/>
  <c r="LU59" i="30" s="1"/>
  <c r="LV59" i="30" s="1"/>
  <c r="LW59" i="30" s="1"/>
  <c r="LX59" i="30" s="1"/>
  <c r="LY59" i="30" s="1"/>
  <c r="LZ59" i="30" s="1"/>
  <c r="MA59" i="30" s="1"/>
  <c r="MB59" i="30" s="1"/>
  <c r="MC59" i="30" s="1"/>
  <c r="MD59" i="30" s="1"/>
  <c r="ME59" i="30" s="1"/>
  <c r="MF59" i="30" s="1"/>
  <c r="MG59" i="30" s="1"/>
  <c r="MH59" i="30" s="1"/>
  <c r="MI59" i="30" s="1"/>
  <c r="MJ59" i="30" s="1"/>
  <c r="MK59" i="30" s="1"/>
  <c r="ML59" i="30" s="1"/>
  <c r="MM59" i="30" s="1"/>
  <c r="MN59" i="30" s="1"/>
  <c r="MO59" i="30" s="1"/>
  <c r="MP59" i="30" s="1"/>
  <c r="MQ59" i="30" s="1"/>
  <c r="MR59" i="30" s="1"/>
  <c r="MS59" i="30" s="1"/>
  <c r="MT59" i="30" s="1"/>
  <c r="MU59" i="30" s="1"/>
  <c r="MV59" i="30" s="1"/>
  <c r="MW59" i="30" s="1"/>
  <c r="MX59" i="30" s="1"/>
  <c r="MY59" i="30" s="1"/>
  <c r="MZ59" i="30" s="1"/>
  <c r="NA59" i="30" s="1"/>
  <c r="NB59" i="30" s="1"/>
  <c r="NC59" i="30" s="1"/>
  <c r="ND59" i="30" s="1"/>
  <c r="NE59" i="30" s="1"/>
  <c r="NF59" i="30" s="1"/>
  <c r="NG59" i="30" s="1"/>
  <c r="NH59" i="30" s="1"/>
  <c r="NI59" i="30" s="1"/>
  <c r="NJ59" i="30" s="1"/>
  <c r="NK59" i="30" s="1"/>
  <c r="NL59" i="30" s="1"/>
  <c r="NM59" i="30" s="1"/>
  <c r="NN59" i="30" s="1"/>
  <c r="NO59" i="30" s="1"/>
  <c r="NP59" i="30" s="1"/>
  <c r="NQ59" i="30" s="1"/>
  <c r="NR59" i="30" s="1"/>
  <c r="NS59" i="30" s="1"/>
  <c r="NT59" i="30" s="1"/>
  <c r="NU59" i="30" s="1"/>
  <c r="NV59" i="30" s="1"/>
  <c r="NW59" i="30" s="1"/>
  <c r="NX59" i="30" s="1"/>
  <c r="NY59" i="30" s="1"/>
  <c r="NZ59" i="30" s="1"/>
  <c r="OA59" i="30" s="1"/>
  <c r="OB59" i="30" s="1"/>
  <c r="OC59" i="30" s="1"/>
  <c r="OD59" i="30" s="1"/>
  <c r="OE59" i="30" s="1"/>
  <c r="OF59" i="30" s="1"/>
  <c r="OG59" i="30" s="1"/>
  <c r="OH59" i="30" s="1"/>
  <c r="OI59" i="30" s="1"/>
  <c r="OJ59" i="30" s="1"/>
  <c r="OK59" i="30" s="1"/>
  <c r="OL59" i="30" s="1"/>
  <c r="OM59" i="30" s="1"/>
  <c r="ON59" i="30" s="1"/>
  <c r="OO59" i="30" s="1"/>
  <c r="OP59" i="30" s="1"/>
  <c r="OQ59" i="30" s="1"/>
  <c r="OR59" i="30" s="1"/>
  <c r="OS59" i="30" s="1"/>
  <c r="OT59" i="30" s="1"/>
  <c r="OU59" i="30" s="1"/>
  <c r="OV59" i="30" s="1"/>
  <c r="OW59" i="30" s="1"/>
  <c r="OX59" i="30" s="1"/>
  <c r="OY59" i="30" s="1"/>
  <c r="OZ59" i="30" s="1"/>
  <c r="PA59" i="30" s="1"/>
  <c r="PB59" i="30" s="1"/>
  <c r="PC59" i="30" s="1"/>
  <c r="PD59" i="30" s="1"/>
  <c r="PE59" i="30" s="1"/>
  <c r="PF59" i="30" s="1"/>
  <c r="PG59" i="30" s="1"/>
  <c r="LL67" i="30"/>
  <c r="LM67" i="30" s="1"/>
  <c r="LN67" i="30" s="1"/>
  <c r="LO67" i="30" s="1"/>
  <c r="LP67" i="30" s="1"/>
  <c r="LQ67" i="30" s="1"/>
  <c r="LR67" i="30" s="1"/>
  <c r="LS67" i="30" s="1"/>
  <c r="LT67" i="30" s="1"/>
  <c r="LU67" i="30" s="1"/>
  <c r="LV67" i="30" s="1"/>
  <c r="LW67" i="30" s="1"/>
  <c r="LX67" i="30" s="1"/>
  <c r="LY67" i="30" s="1"/>
  <c r="LZ67" i="30" s="1"/>
  <c r="MA67" i="30" s="1"/>
  <c r="MB67" i="30" s="1"/>
  <c r="MC67" i="30" s="1"/>
  <c r="MD67" i="30" s="1"/>
  <c r="ME67" i="30" s="1"/>
  <c r="MF67" i="30" s="1"/>
  <c r="MG67" i="30" s="1"/>
  <c r="MH67" i="30" s="1"/>
  <c r="MI67" i="30" s="1"/>
  <c r="MJ67" i="30" s="1"/>
  <c r="MK67" i="30" s="1"/>
  <c r="ML67" i="30" s="1"/>
  <c r="MM67" i="30" s="1"/>
  <c r="MN67" i="30" s="1"/>
  <c r="MO67" i="30" s="1"/>
  <c r="MP67" i="30" s="1"/>
  <c r="MQ67" i="30" s="1"/>
  <c r="MR67" i="30" s="1"/>
  <c r="MS67" i="30" s="1"/>
  <c r="MT67" i="30" s="1"/>
  <c r="MU67" i="30" s="1"/>
  <c r="MV67" i="30" s="1"/>
  <c r="MW67" i="30" s="1"/>
  <c r="MX67" i="30" s="1"/>
  <c r="MY67" i="30" s="1"/>
  <c r="MZ67" i="30" s="1"/>
  <c r="NA67" i="30" s="1"/>
  <c r="NB67" i="30" s="1"/>
  <c r="NC67" i="30" s="1"/>
  <c r="ND67" i="30" s="1"/>
  <c r="NE67" i="30" s="1"/>
  <c r="NF67" i="30" s="1"/>
  <c r="NG67" i="30" s="1"/>
  <c r="NH67" i="30" s="1"/>
  <c r="NI67" i="30" s="1"/>
  <c r="NJ67" i="30" s="1"/>
  <c r="NK67" i="30" s="1"/>
  <c r="NL67" i="30" s="1"/>
  <c r="NM67" i="30" s="1"/>
  <c r="NN67" i="30" s="1"/>
  <c r="NO67" i="30" s="1"/>
  <c r="NP67" i="30" s="1"/>
  <c r="NQ67" i="30" s="1"/>
  <c r="NR67" i="30" s="1"/>
  <c r="NS67" i="30" s="1"/>
  <c r="NT67" i="30" s="1"/>
  <c r="NU67" i="30" s="1"/>
  <c r="NV67" i="30" s="1"/>
  <c r="NW67" i="30" s="1"/>
  <c r="NX67" i="30" s="1"/>
  <c r="NY67" i="30" s="1"/>
  <c r="NZ67" i="30" s="1"/>
  <c r="OA67" i="30" s="1"/>
  <c r="OB67" i="30" s="1"/>
  <c r="OC67" i="30" s="1"/>
  <c r="OD67" i="30" s="1"/>
  <c r="OE67" i="30" s="1"/>
  <c r="OF67" i="30" s="1"/>
  <c r="OG67" i="30" s="1"/>
  <c r="OH67" i="30" s="1"/>
  <c r="OI67" i="30" s="1"/>
  <c r="OJ67" i="30" s="1"/>
  <c r="OK67" i="30" s="1"/>
  <c r="OL67" i="30" s="1"/>
  <c r="OM67" i="30" s="1"/>
  <c r="ON67" i="30" s="1"/>
  <c r="OO67" i="30" s="1"/>
  <c r="OP67" i="30" s="1"/>
  <c r="OQ67" i="30" s="1"/>
  <c r="OR67" i="30" s="1"/>
  <c r="OS67" i="30" s="1"/>
  <c r="OT67" i="30" s="1"/>
  <c r="OU67" i="30" s="1"/>
  <c r="OV67" i="30" s="1"/>
  <c r="OW67" i="30" s="1"/>
  <c r="OX67" i="30" s="1"/>
  <c r="OY67" i="30" s="1"/>
  <c r="OZ67" i="30" s="1"/>
  <c r="PA67" i="30" s="1"/>
  <c r="PB67" i="30" s="1"/>
  <c r="PC67" i="30" s="1"/>
  <c r="PD67" i="30" s="1"/>
  <c r="PE67" i="30" s="1"/>
  <c r="PF67" i="30" s="1"/>
  <c r="PG67" i="30" s="1"/>
  <c r="LL68" i="30"/>
  <c r="LM68" i="30" s="1"/>
  <c r="LN68" i="30" s="1"/>
  <c r="LO68" i="30" s="1"/>
  <c r="LP68" i="30" s="1"/>
  <c r="LQ68" i="30" s="1"/>
  <c r="LR68" i="30" s="1"/>
  <c r="LS68" i="30" s="1"/>
  <c r="LT68" i="30" s="1"/>
  <c r="LU68" i="30" s="1"/>
  <c r="LV68" i="30" s="1"/>
  <c r="LW68" i="30" s="1"/>
  <c r="LX68" i="30" s="1"/>
  <c r="LY68" i="30" s="1"/>
  <c r="LZ68" i="30" s="1"/>
  <c r="MA68" i="30" s="1"/>
  <c r="MB68" i="30" s="1"/>
  <c r="MC68" i="30" s="1"/>
  <c r="MD68" i="30" s="1"/>
  <c r="ME68" i="30" s="1"/>
  <c r="MF68" i="30" s="1"/>
  <c r="MG68" i="30" s="1"/>
  <c r="MH68" i="30" s="1"/>
  <c r="MI68" i="30" s="1"/>
  <c r="MJ68" i="30" s="1"/>
  <c r="MK68" i="30" s="1"/>
  <c r="ML68" i="30" s="1"/>
  <c r="MM68" i="30" s="1"/>
  <c r="MN68" i="30" s="1"/>
  <c r="MO68" i="30" s="1"/>
  <c r="MP68" i="30" s="1"/>
  <c r="MQ68" i="30" s="1"/>
  <c r="MR68" i="30" s="1"/>
  <c r="MS68" i="30" s="1"/>
  <c r="MT68" i="30" s="1"/>
  <c r="MU68" i="30" s="1"/>
  <c r="MV68" i="30" s="1"/>
  <c r="MW68" i="30" s="1"/>
  <c r="MX68" i="30" s="1"/>
  <c r="MY68" i="30" s="1"/>
  <c r="MZ68" i="30" s="1"/>
  <c r="NA68" i="30" s="1"/>
  <c r="NB68" i="30" s="1"/>
  <c r="NC68" i="30" s="1"/>
  <c r="ND68" i="30" s="1"/>
  <c r="NE68" i="30" s="1"/>
  <c r="NF68" i="30" s="1"/>
  <c r="NG68" i="30" s="1"/>
  <c r="NH68" i="30" s="1"/>
  <c r="NI68" i="30" s="1"/>
  <c r="NJ68" i="30" s="1"/>
  <c r="NK68" i="30" s="1"/>
  <c r="NL68" i="30" s="1"/>
  <c r="NM68" i="30" s="1"/>
  <c r="NN68" i="30" s="1"/>
  <c r="NO68" i="30" s="1"/>
  <c r="NP68" i="30" s="1"/>
  <c r="NQ68" i="30" s="1"/>
  <c r="NR68" i="30" s="1"/>
  <c r="NS68" i="30" s="1"/>
  <c r="NT68" i="30" s="1"/>
  <c r="NU68" i="30" s="1"/>
  <c r="NV68" i="30" s="1"/>
  <c r="NW68" i="30" s="1"/>
  <c r="NX68" i="30" s="1"/>
  <c r="NY68" i="30" s="1"/>
  <c r="NZ68" i="30" s="1"/>
  <c r="OA68" i="30" s="1"/>
  <c r="OB68" i="30" s="1"/>
  <c r="OC68" i="30" s="1"/>
  <c r="OD68" i="30" s="1"/>
  <c r="OE68" i="30" s="1"/>
  <c r="OF68" i="30" s="1"/>
  <c r="OG68" i="30" s="1"/>
  <c r="OH68" i="30" s="1"/>
  <c r="OI68" i="30" s="1"/>
  <c r="OJ68" i="30" s="1"/>
  <c r="OK68" i="30" s="1"/>
  <c r="OL68" i="30" s="1"/>
  <c r="OM68" i="30" s="1"/>
  <c r="ON68" i="30" s="1"/>
  <c r="OO68" i="30" s="1"/>
  <c r="OP68" i="30" s="1"/>
  <c r="OQ68" i="30" s="1"/>
  <c r="OR68" i="30" s="1"/>
  <c r="OS68" i="30" s="1"/>
  <c r="OT68" i="30" s="1"/>
  <c r="OU68" i="30" s="1"/>
  <c r="OV68" i="30" s="1"/>
  <c r="OW68" i="30" s="1"/>
  <c r="OX68" i="30" s="1"/>
  <c r="OY68" i="30" s="1"/>
  <c r="OZ68" i="30" s="1"/>
  <c r="PA68" i="30" s="1"/>
  <c r="PB68" i="30" s="1"/>
  <c r="PC68" i="30" s="1"/>
  <c r="PD68" i="30" s="1"/>
  <c r="PE68" i="30" s="1"/>
  <c r="PF68" i="30" s="1"/>
  <c r="PG68" i="30" s="1"/>
  <c r="LL69" i="30"/>
  <c r="LM69" i="30" s="1"/>
  <c r="LN69" i="30" s="1"/>
  <c r="LO69" i="30" s="1"/>
  <c r="LP69" i="30" s="1"/>
  <c r="LQ69" i="30" s="1"/>
  <c r="LR69" i="30" s="1"/>
  <c r="LS69" i="30" s="1"/>
  <c r="LT69" i="30" s="1"/>
  <c r="LU69" i="30" s="1"/>
  <c r="LV69" i="30" s="1"/>
  <c r="LW69" i="30" s="1"/>
  <c r="LX69" i="30" s="1"/>
  <c r="LY69" i="30" s="1"/>
  <c r="LZ69" i="30" s="1"/>
  <c r="MA69" i="30" s="1"/>
  <c r="MB69" i="30" s="1"/>
  <c r="MC69" i="30" s="1"/>
  <c r="MD69" i="30" s="1"/>
  <c r="ME69" i="30" s="1"/>
  <c r="MF69" i="30" s="1"/>
  <c r="MG69" i="30" s="1"/>
  <c r="MH69" i="30" s="1"/>
  <c r="MI69" i="30" s="1"/>
  <c r="MJ69" i="30" s="1"/>
  <c r="MK69" i="30" s="1"/>
  <c r="ML69" i="30" s="1"/>
  <c r="MM69" i="30" s="1"/>
  <c r="MN69" i="30" s="1"/>
  <c r="MO69" i="30" s="1"/>
  <c r="MP69" i="30" s="1"/>
  <c r="MQ69" i="30" s="1"/>
  <c r="MR69" i="30" s="1"/>
  <c r="MS69" i="30" s="1"/>
  <c r="MT69" i="30" s="1"/>
  <c r="MU69" i="30" s="1"/>
  <c r="MV69" i="30" s="1"/>
  <c r="MW69" i="30" s="1"/>
  <c r="MX69" i="30" s="1"/>
  <c r="MY69" i="30" s="1"/>
  <c r="MZ69" i="30" s="1"/>
  <c r="NA69" i="30" s="1"/>
  <c r="NB69" i="30" s="1"/>
  <c r="NC69" i="30" s="1"/>
  <c r="ND69" i="30" s="1"/>
  <c r="NE69" i="30" s="1"/>
  <c r="NF69" i="30" s="1"/>
  <c r="NG69" i="30" s="1"/>
  <c r="NH69" i="30" s="1"/>
  <c r="NI69" i="30" s="1"/>
  <c r="NJ69" i="30" s="1"/>
  <c r="NK69" i="30" s="1"/>
  <c r="NL69" i="30" s="1"/>
  <c r="NM69" i="30" s="1"/>
  <c r="NN69" i="30" s="1"/>
  <c r="NO69" i="30" s="1"/>
  <c r="NP69" i="30" s="1"/>
  <c r="NQ69" i="30" s="1"/>
  <c r="NR69" i="30" s="1"/>
  <c r="NS69" i="30" s="1"/>
  <c r="NT69" i="30" s="1"/>
  <c r="NU69" i="30" s="1"/>
  <c r="NV69" i="30" s="1"/>
  <c r="NW69" i="30" s="1"/>
  <c r="NX69" i="30" s="1"/>
  <c r="NY69" i="30" s="1"/>
  <c r="NZ69" i="30" s="1"/>
  <c r="OA69" i="30" s="1"/>
  <c r="OB69" i="30" s="1"/>
  <c r="OC69" i="30" s="1"/>
  <c r="OD69" i="30" s="1"/>
  <c r="OE69" i="30" s="1"/>
  <c r="OF69" i="30" s="1"/>
  <c r="OG69" i="30" s="1"/>
  <c r="OH69" i="30" s="1"/>
  <c r="OI69" i="30" s="1"/>
  <c r="OJ69" i="30" s="1"/>
  <c r="OK69" i="30" s="1"/>
  <c r="OL69" i="30" s="1"/>
  <c r="OM69" i="30" s="1"/>
  <c r="ON69" i="30" s="1"/>
  <c r="OO69" i="30" s="1"/>
  <c r="OP69" i="30" s="1"/>
  <c r="OQ69" i="30" s="1"/>
  <c r="OR69" i="30" s="1"/>
  <c r="OS69" i="30" s="1"/>
  <c r="OT69" i="30" s="1"/>
  <c r="OU69" i="30" s="1"/>
  <c r="OV69" i="30" s="1"/>
  <c r="OW69" i="30" s="1"/>
  <c r="OX69" i="30" s="1"/>
  <c r="OY69" i="30" s="1"/>
  <c r="OZ69" i="30" s="1"/>
  <c r="PA69" i="30" s="1"/>
  <c r="PB69" i="30" s="1"/>
  <c r="PC69" i="30" s="1"/>
  <c r="PD69" i="30" s="1"/>
  <c r="PE69" i="30" s="1"/>
  <c r="PF69" i="30" s="1"/>
  <c r="PG69" i="30" s="1"/>
  <c r="LL70" i="30"/>
  <c r="LM70" i="30" s="1"/>
  <c r="LN70" i="30" s="1"/>
  <c r="LO70" i="30" s="1"/>
  <c r="LP70" i="30" s="1"/>
  <c r="LQ70" i="30" s="1"/>
  <c r="LR70" i="30" s="1"/>
  <c r="LS70" i="30" s="1"/>
  <c r="LT70" i="30" s="1"/>
  <c r="LU70" i="30" s="1"/>
  <c r="LV70" i="30" s="1"/>
  <c r="LW70" i="30" s="1"/>
  <c r="LX70" i="30" s="1"/>
  <c r="LY70" i="30" s="1"/>
  <c r="LZ70" i="30" s="1"/>
  <c r="MA70" i="30" s="1"/>
  <c r="MB70" i="30" s="1"/>
  <c r="MC70" i="30" s="1"/>
  <c r="MD70" i="30" s="1"/>
  <c r="ME70" i="30" s="1"/>
  <c r="MF70" i="30" s="1"/>
  <c r="MG70" i="30" s="1"/>
  <c r="MH70" i="30" s="1"/>
  <c r="MI70" i="30" s="1"/>
  <c r="MJ70" i="30" s="1"/>
  <c r="MK70" i="30" s="1"/>
  <c r="ML70" i="30" s="1"/>
  <c r="MM70" i="30" s="1"/>
  <c r="MN70" i="30" s="1"/>
  <c r="MO70" i="30" s="1"/>
  <c r="MP70" i="30" s="1"/>
  <c r="MQ70" i="30" s="1"/>
  <c r="MR70" i="30" s="1"/>
  <c r="MS70" i="30" s="1"/>
  <c r="MT70" i="30" s="1"/>
  <c r="MU70" i="30" s="1"/>
  <c r="MV70" i="30" s="1"/>
  <c r="MW70" i="30" s="1"/>
  <c r="MX70" i="30" s="1"/>
  <c r="MY70" i="30" s="1"/>
  <c r="MZ70" i="30" s="1"/>
  <c r="NA70" i="30" s="1"/>
  <c r="NB70" i="30" s="1"/>
  <c r="NC70" i="30" s="1"/>
  <c r="ND70" i="30" s="1"/>
  <c r="NE70" i="30" s="1"/>
  <c r="NF70" i="30" s="1"/>
  <c r="NG70" i="30" s="1"/>
  <c r="NH70" i="30" s="1"/>
  <c r="NI70" i="30" s="1"/>
  <c r="NJ70" i="30" s="1"/>
  <c r="NK70" i="30" s="1"/>
  <c r="NL70" i="30" s="1"/>
  <c r="NM70" i="30" s="1"/>
  <c r="NN70" i="30" s="1"/>
  <c r="NO70" i="30" s="1"/>
  <c r="NP70" i="30" s="1"/>
  <c r="NQ70" i="30" s="1"/>
  <c r="NR70" i="30" s="1"/>
  <c r="NS70" i="30" s="1"/>
  <c r="NT70" i="30" s="1"/>
  <c r="NU70" i="30" s="1"/>
  <c r="NV70" i="30" s="1"/>
  <c r="NW70" i="30" s="1"/>
  <c r="NX70" i="30" s="1"/>
  <c r="NY70" i="30" s="1"/>
  <c r="NZ70" i="30" s="1"/>
  <c r="OA70" i="30" s="1"/>
  <c r="OB70" i="30" s="1"/>
  <c r="OC70" i="30" s="1"/>
  <c r="OD70" i="30" s="1"/>
  <c r="OE70" i="30" s="1"/>
  <c r="OF70" i="30" s="1"/>
  <c r="OG70" i="30" s="1"/>
  <c r="OH70" i="30" s="1"/>
  <c r="OI70" i="30" s="1"/>
  <c r="OJ70" i="30" s="1"/>
  <c r="OK70" i="30" s="1"/>
  <c r="OL70" i="30" s="1"/>
  <c r="OM70" i="30" s="1"/>
  <c r="ON70" i="30" s="1"/>
  <c r="OO70" i="30" s="1"/>
  <c r="OP70" i="30" s="1"/>
  <c r="OQ70" i="30" s="1"/>
  <c r="OR70" i="30" s="1"/>
  <c r="OS70" i="30" s="1"/>
  <c r="OT70" i="30" s="1"/>
  <c r="OU70" i="30" s="1"/>
  <c r="OV70" i="30" s="1"/>
  <c r="OW70" i="30" s="1"/>
  <c r="OX70" i="30" s="1"/>
  <c r="OY70" i="30" s="1"/>
  <c r="OZ70" i="30" s="1"/>
  <c r="PA70" i="30" s="1"/>
  <c r="PB70" i="30" s="1"/>
  <c r="PC70" i="30" s="1"/>
  <c r="PD70" i="30" s="1"/>
  <c r="PE70" i="30" s="1"/>
  <c r="PF70" i="30" s="1"/>
  <c r="PG70" i="30" s="1"/>
  <c r="LL71" i="30"/>
  <c r="LM71" i="30" s="1"/>
  <c r="LN71" i="30" s="1"/>
  <c r="LO71" i="30" s="1"/>
  <c r="LP71" i="30" s="1"/>
  <c r="LQ71" i="30" s="1"/>
  <c r="LR71" i="30" s="1"/>
  <c r="LS71" i="30" s="1"/>
  <c r="LT71" i="30" s="1"/>
  <c r="LU71" i="30" s="1"/>
  <c r="LV71" i="30" s="1"/>
  <c r="LW71" i="30" s="1"/>
  <c r="LX71" i="30" s="1"/>
  <c r="LY71" i="30" s="1"/>
  <c r="LZ71" i="30" s="1"/>
  <c r="MA71" i="30" s="1"/>
  <c r="MB71" i="30" s="1"/>
  <c r="MC71" i="30" s="1"/>
  <c r="MD71" i="30" s="1"/>
  <c r="ME71" i="30" s="1"/>
  <c r="MF71" i="30" s="1"/>
  <c r="MG71" i="30" s="1"/>
  <c r="MH71" i="30" s="1"/>
  <c r="MI71" i="30" s="1"/>
  <c r="MJ71" i="30" s="1"/>
  <c r="MK71" i="30" s="1"/>
  <c r="ML71" i="30" s="1"/>
  <c r="MM71" i="30" s="1"/>
  <c r="MN71" i="30" s="1"/>
  <c r="MO71" i="30" s="1"/>
  <c r="MP71" i="30" s="1"/>
  <c r="MQ71" i="30" s="1"/>
  <c r="MR71" i="30" s="1"/>
  <c r="MS71" i="30" s="1"/>
  <c r="MT71" i="30" s="1"/>
  <c r="MU71" i="30" s="1"/>
  <c r="MV71" i="30" s="1"/>
  <c r="MW71" i="30" s="1"/>
  <c r="MX71" i="30" s="1"/>
  <c r="MY71" i="30" s="1"/>
  <c r="MZ71" i="30" s="1"/>
  <c r="NA71" i="30" s="1"/>
  <c r="NB71" i="30" s="1"/>
  <c r="NC71" i="30" s="1"/>
  <c r="ND71" i="30" s="1"/>
  <c r="NE71" i="30" s="1"/>
  <c r="NF71" i="30" s="1"/>
  <c r="NG71" i="30" s="1"/>
  <c r="NH71" i="30" s="1"/>
  <c r="NI71" i="30" s="1"/>
  <c r="NJ71" i="30" s="1"/>
  <c r="NK71" i="30" s="1"/>
  <c r="NL71" i="30" s="1"/>
  <c r="NM71" i="30" s="1"/>
  <c r="NN71" i="30" s="1"/>
  <c r="NO71" i="30" s="1"/>
  <c r="NP71" i="30" s="1"/>
  <c r="NQ71" i="30" s="1"/>
  <c r="NR71" i="30" s="1"/>
  <c r="NS71" i="30" s="1"/>
  <c r="NT71" i="30" s="1"/>
  <c r="NU71" i="30" s="1"/>
  <c r="NV71" i="30" s="1"/>
  <c r="NW71" i="30" s="1"/>
  <c r="NX71" i="30" s="1"/>
  <c r="NY71" i="30" s="1"/>
  <c r="NZ71" i="30" s="1"/>
  <c r="OA71" i="30" s="1"/>
  <c r="OB71" i="30" s="1"/>
  <c r="OC71" i="30" s="1"/>
  <c r="OD71" i="30" s="1"/>
  <c r="OE71" i="30" s="1"/>
  <c r="OF71" i="30" s="1"/>
  <c r="OG71" i="30" s="1"/>
  <c r="OH71" i="30" s="1"/>
  <c r="OI71" i="30" s="1"/>
  <c r="OJ71" i="30" s="1"/>
  <c r="OK71" i="30" s="1"/>
  <c r="OL71" i="30" s="1"/>
  <c r="OM71" i="30" s="1"/>
  <c r="ON71" i="30" s="1"/>
  <c r="OO71" i="30" s="1"/>
  <c r="OP71" i="30" s="1"/>
  <c r="OQ71" i="30" s="1"/>
  <c r="OR71" i="30" s="1"/>
  <c r="OS71" i="30" s="1"/>
  <c r="OT71" i="30" s="1"/>
  <c r="OU71" i="30" s="1"/>
  <c r="OV71" i="30" s="1"/>
  <c r="OW71" i="30" s="1"/>
  <c r="OX71" i="30" s="1"/>
  <c r="OY71" i="30" s="1"/>
  <c r="OZ71" i="30" s="1"/>
  <c r="PA71" i="30" s="1"/>
  <c r="PB71" i="30" s="1"/>
  <c r="PC71" i="30" s="1"/>
  <c r="PD71" i="30" s="1"/>
  <c r="PE71" i="30" s="1"/>
  <c r="PF71" i="30" s="1"/>
  <c r="PG71" i="30" s="1"/>
  <c r="LL72" i="30"/>
  <c r="LM72" i="30" s="1"/>
  <c r="LN72" i="30" s="1"/>
  <c r="LO72" i="30" s="1"/>
  <c r="LP72" i="30" s="1"/>
  <c r="LQ72" i="30" s="1"/>
  <c r="LR72" i="30" s="1"/>
  <c r="LS72" i="30" s="1"/>
  <c r="LT72" i="30" s="1"/>
  <c r="LU72" i="30" s="1"/>
  <c r="LV72" i="30" s="1"/>
  <c r="LW72" i="30" s="1"/>
  <c r="LX72" i="30" s="1"/>
  <c r="LY72" i="30" s="1"/>
  <c r="LZ72" i="30" s="1"/>
  <c r="MA72" i="30" s="1"/>
  <c r="MB72" i="30" s="1"/>
  <c r="MC72" i="30" s="1"/>
  <c r="MD72" i="30" s="1"/>
  <c r="ME72" i="30" s="1"/>
  <c r="MF72" i="30" s="1"/>
  <c r="MG72" i="30" s="1"/>
  <c r="MH72" i="30" s="1"/>
  <c r="MI72" i="30" s="1"/>
  <c r="MJ72" i="30" s="1"/>
  <c r="MK72" i="30" s="1"/>
  <c r="ML72" i="30" s="1"/>
  <c r="MM72" i="30" s="1"/>
  <c r="MN72" i="30" s="1"/>
  <c r="MO72" i="30" s="1"/>
  <c r="MP72" i="30" s="1"/>
  <c r="MQ72" i="30" s="1"/>
  <c r="MR72" i="30" s="1"/>
  <c r="MS72" i="30" s="1"/>
  <c r="MT72" i="30" s="1"/>
  <c r="MU72" i="30" s="1"/>
  <c r="MV72" i="30" s="1"/>
  <c r="MW72" i="30" s="1"/>
  <c r="MX72" i="30" s="1"/>
  <c r="MY72" i="30" s="1"/>
  <c r="MZ72" i="30" s="1"/>
  <c r="NA72" i="30" s="1"/>
  <c r="NB72" i="30" s="1"/>
  <c r="NC72" i="30" s="1"/>
  <c r="ND72" i="30" s="1"/>
  <c r="NE72" i="30" s="1"/>
  <c r="NF72" i="30" s="1"/>
  <c r="NG72" i="30" s="1"/>
  <c r="NH72" i="30" s="1"/>
  <c r="NI72" i="30" s="1"/>
  <c r="NJ72" i="30" s="1"/>
  <c r="NK72" i="30" s="1"/>
  <c r="NL72" i="30" s="1"/>
  <c r="NM72" i="30" s="1"/>
  <c r="NN72" i="30" s="1"/>
  <c r="NO72" i="30" s="1"/>
  <c r="NP72" i="30" s="1"/>
  <c r="NQ72" i="30" s="1"/>
  <c r="NR72" i="30" s="1"/>
  <c r="NS72" i="30" s="1"/>
  <c r="NT72" i="30" s="1"/>
  <c r="NU72" i="30" s="1"/>
  <c r="NV72" i="30" s="1"/>
  <c r="NW72" i="30" s="1"/>
  <c r="NX72" i="30" s="1"/>
  <c r="NY72" i="30" s="1"/>
  <c r="NZ72" i="30" s="1"/>
  <c r="OA72" i="30" s="1"/>
  <c r="OB72" i="30" s="1"/>
  <c r="OC72" i="30" s="1"/>
  <c r="OD72" i="30" s="1"/>
  <c r="OE72" i="30" s="1"/>
  <c r="OF72" i="30" s="1"/>
  <c r="OG72" i="30" s="1"/>
  <c r="OH72" i="30" s="1"/>
  <c r="OI72" i="30" s="1"/>
  <c r="OJ72" i="30" s="1"/>
  <c r="OK72" i="30" s="1"/>
  <c r="OL72" i="30" s="1"/>
  <c r="OM72" i="30" s="1"/>
  <c r="ON72" i="30" s="1"/>
  <c r="OO72" i="30" s="1"/>
  <c r="OP72" i="30" s="1"/>
  <c r="OQ72" i="30" s="1"/>
  <c r="OR72" i="30" s="1"/>
  <c r="OS72" i="30" s="1"/>
  <c r="OT72" i="30" s="1"/>
  <c r="OU72" i="30" s="1"/>
  <c r="OV72" i="30" s="1"/>
  <c r="OW72" i="30" s="1"/>
  <c r="OX72" i="30" s="1"/>
  <c r="OY72" i="30" s="1"/>
  <c r="OZ72" i="30" s="1"/>
  <c r="PA72" i="30" s="1"/>
  <c r="PB72" i="30" s="1"/>
  <c r="PC72" i="30" s="1"/>
  <c r="PD72" i="30" s="1"/>
  <c r="PE72" i="30" s="1"/>
  <c r="PF72" i="30" s="1"/>
  <c r="PG72" i="30" s="1"/>
  <c r="LL2" i="30"/>
  <c r="LM2" i="30" s="1"/>
  <c r="LN2" i="30" s="1"/>
  <c r="LO2" i="30" s="1"/>
  <c r="LP2" i="30" s="1"/>
  <c r="LQ2" i="30" s="1"/>
  <c r="LR2" i="30" s="1"/>
  <c r="LS2" i="30" s="1"/>
  <c r="LT2" i="30" s="1"/>
  <c r="LU2" i="30" s="1"/>
  <c r="LV2" i="30" s="1"/>
  <c r="LW2" i="30" s="1"/>
  <c r="LX2" i="30" s="1"/>
  <c r="LY2" i="30" s="1"/>
  <c r="LZ2" i="30" s="1"/>
  <c r="MA2" i="30" s="1"/>
  <c r="MB2" i="30" s="1"/>
  <c r="MC2" i="30" s="1"/>
  <c r="MD2" i="30" s="1"/>
  <c r="ME2" i="30" s="1"/>
  <c r="MF2" i="30" s="1"/>
  <c r="MG2" i="30" s="1"/>
  <c r="MH2" i="30" s="1"/>
  <c r="MI2" i="30" s="1"/>
  <c r="MJ2" i="30" s="1"/>
  <c r="MK2" i="30" s="1"/>
  <c r="ML2" i="30" s="1"/>
  <c r="MM2" i="30" s="1"/>
  <c r="MN2" i="30" s="1"/>
  <c r="MO2" i="30" s="1"/>
  <c r="MP2" i="30" s="1"/>
  <c r="MQ2" i="30" s="1"/>
  <c r="MR2" i="30" s="1"/>
  <c r="MS2" i="30" s="1"/>
  <c r="MT2" i="30" s="1"/>
  <c r="MU2" i="30" s="1"/>
  <c r="MV2" i="30" s="1"/>
  <c r="MW2" i="30" s="1"/>
  <c r="MX2" i="30" s="1"/>
  <c r="MY2" i="30" s="1"/>
  <c r="MZ2" i="30" s="1"/>
  <c r="NA2" i="30" s="1"/>
  <c r="NB2" i="30" s="1"/>
  <c r="NC2" i="30" s="1"/>
  <c r="ND2" i="30" s="1"/>
  <c r="NE2" i="30" s="1"/>
  <c r="NF2" i="30" s="1"/>
  <c r="NG2" i="30" s="1"/>
  <c r="NH2" i="30" s="1"/>
  <c r="NI2" i="30" s="1"/>
  <c r="NJ2" i="30" s="1"/>
  <c r="NK2" i="30" s="1"/>
  <c r="NL2" i="30" s="1"/>
  <c r="NM2" i="30" s="1"/>
  <c r="NN2" i="30" s="1"/>
  <c r="NO2" i="30" s="1"/>
  <c r="NP2" i="30" s="1"/>
  <c r="NQ2" i="30" s="1"/>
  <c r="NR2" i="30" s="1"/>
  <c r="NS2" i="30" s="1"/>
  <c r="NT2" i="30" s="1"/>
  <c r="NU2" i="30" s="1"/>
  <c r="NV2" i="30" s="1"/>
  <c r="NW2" i="30" s="1"/>
  <c r="NX2" i="30" s="1"/>
  <c r="NY2" i="30" s="1"/>
  <c r="NZ2" i="30" s="1"/>
  <c r="OA2" i="30" s="1"/>
  <c r="OB2" i="30" s="1"/>
  <c r="OC2" i="30" s="1"/>
  <c r="OD2" i="30" s="1"/>
  <c r="OE2" i="30" s="1"/>
  <c r="OF2" i="30" s="1"/>
  <c r="OG2" i="30" s="1"/>
  <c r="OH2" i="30" s="1"/>
  <c r="OI2" i="30" s="1"/>
  <c r="OJ2" i="30" s="1"/>
  <c r="OK2" i="30" s="1"/>
  <c r="OL2" i="30" s="1"/>
  <c r="OM2" i="30" s="1"/>
  <c r="ON2" i="30" s="1"/>
  <c r="OO2" i="30" s="1"/>
  <c r="OP2" i="30" s="1"/>
  <c r="OQ2" i="30" s="1"/>
  <c r="OR2" i="30" s="1"/>
  <c r="OS2" i="30" s="1"/>
  <c r="OT2" i="30" s="1"/>
  <c r="OU2" i="30" s="1"/>
  <c r="OV2" i="30" s="1"/>
  <c r="OW2" i="30" s="1"/>
  <c r="OX2" i="30" s="1"/>
  <c r="OY2" i="30" s="1"/>
  <c r="OZ2" i="30" s="1"/>
  <c r="PA2" i="30" s="1"/>
  <c r="PB2" i="30" s="1"/>
  <c r="PC2" i="30" s="1"/>
  <c r="PD2" i="30" s="1"/>
  <c r="PE2" i="30" s="1"/>
  <c r="PF2" i="30" s="1"/>
  <c r="PG2" i="30" s="1"/>
  <c r="W4" i="30"/>
  <c r="X4" i="30" s="1"/>
  <c r="Y4" i="30" s="1"/>
  <c r="Z4" i="30" s="1"/>
  <c r="AA4" i="30" s="1"/>
  <c r="AB4" i="30" s="1"/>
  <c r="AC4" i="30" s="1"/>
  <c r="AD4" i="30" s="1"/>
  <c r="AE4" i="30" s="1"/>
  <c r="AF4" i="30" s="1"/>
  <c r="AG4" i="30" s="1"/>
  <c r="AH4" i="30" s="1"/>
  <c r="AI4" i="30" s="1"/>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BT4" i="30" s="1"/>
  <c r="BU4" i="30" s="1"/>
  <c r="BV4" i="30" s="1"/>
  <c r="BW4" i="30" s="1"/>
  <c r="BX4" i="30" s="1"/>
  <c r="BY4" i="30" s="1"/>
  <c r="BZ4" i="30" s="1"/>
  <c r="CA4" i="30" s="1"/>
  <c r="CB4" i="30" s="1"/>
  <c r="CC4" i="30" s="1"/>
  <c r="CD4" i="30" s="1"/>
  <c r="CE4" i="30" s="1"/>
  <c r="CF4" i="30" s="1"/>
  <c r="CG4" i="30" s="1"/>
  <c r="CH4" i="30" s="1"/>
  <c r="CI4" i="30" s="1"/>
  <c r="CJ4" i="30" s="1"/>
  <c r="CK4" i="30" s="1"/>
  <c r="CL4" i="30" s="1"/>
  <c r="CM4" i="30" s="1"/>
  <c r="CN4" i="30" s="1"/>
  <c r="CO4" i="30" s="1"/>
  <c r="CP4" i="30" s="1"/>
  <c r="CQ4" i="30" s="1"/>
  <c r="CR4" i="30" s="1"/>
  <c r="CS4" i="30" s="1"/>
  <c r="CT4" i="30" s="1"/>
  <c r="CU4" i="30" s="1"/>
  <c r="CV4" i="30" s="1"/>
  <c r="CW4" i="30" s="1"/>
  <c r="CX4" i="30" s="1"/>
  <c r="CY4" i="30" s="1"/>
  <c r="CZ4" i="30" s="1"/>
  <c r="DA4" i="30" s="1"/>
  <c r="DB4" i="30" s="1"/>
  <c r="DC4" i="30" s="1"/>
  <c r="DD4" i="30" s="1"/>
  <c r="DE4" i="30" s="1"/>
  <c r="DF4" i="30" s="1"/>
  <c r="DG4" i="30" s="1"/>
  <c r="DH4" i="30" s="1"/>
  <c r="DI4" i="30" s="1"/>
  <c r="DJ4" i="30" s="1"/>
  <c r="DK4" i="30" s="1"/>
  <c r="DL4" i="30" s="1"/>
  <c r="DM4" i="30" s="1"/>
  <c r="DN4" i="30" s="1"/>
  <c r="DO4" i="30" s="1"/>
  <c r="DP4" i="30" s="1"/>
  <c r="DQ4" i="30" s="1"/>
  <c r="DR4" i="30" s="1"/>
  <c r="DS4" i="30" s="1"/>
  <c r="DT4" i="30" s="1"/>
  <c r="DU4" i="30" s="1"/>
  <c r="DV4" i="30" s="1"/>
  <c r="DW4" i="30" s="1"/>
  <c r="DX4" i="30" s="1"/>
  <c r="DY4" i="30" s="1"/>
  <c r="DZ4" i="30" s="1"/>
  <c r="EA4" i="30" s="1"/>
  <c r="EB4" i="30" s="1"/>
  <c r="EC4" i="30" s="1"/>
  <c r="ED4" i="30" s="1"/>
  <c r="EE4" i="30" s="1"/>
  <c r="EF4" i="30" s="1"/>
  <c r="EG4" i="30" s="1"/>
  <c r="EH4" i="30" s="1"/>
  <c r="EI4" i="30" s="1"/>
  <c r="EJ4" i="30" s="1"/>
  <c r="EK4" i="30" s="1"/>
  <c r="EL4" i="30" s="1"/>
  <c r="EM4" i="30" s="1"/>
  <c r="EN4" i="30" s="1"/>
  <c r="EO4" i="30" s="1"/>
  <c r="EP4" i="30" s="1"/>
  <c r="EQ4" i="30" s="1"/>
  <c r="ER4" i="30" s="1"/>
  <c r="ES4" i="30" s="1"/>
  <c r="ET4" i="30" s="1"/>
  <c r="EU4" i="30" s="1"/>
  <c r="EV4" i="30" s="1"/>
  <c r="EW4" i="30" s="1"/>
  <c r="EX4" i="30" s="1"/>
  <c r="EY4" i="30" s="1"/>
  <c r="EZ4" i="30" s="1"/>
  <c r="FA4" i="30" s="1"/>
  <c r="FB4" i="30" s="1"/>
  <c r="FC4" i="30" s="1"/>
  <c r="FD4" i="30" s="1"/>
  <c r="FE4" i="30" s="1"/>
  <c r="FF4" i="30" s="1"/>
  <c r="FG4" i="30" s="1"/>
  <c r="FH4" i="30" s="1"/>
  <c r="FI4" i="30" s="1"/>
  <c r="FJ4" i="30" s="1"/>
  <c r="FK4" i="30" s="1"/>
  <c r="FL4" i="30" s="1"/>
  <c r="FM4" i="30" s="1"/>
  <c r="FN4" i="30" s="1"/>
  <c r="FO4" i="30" s="1"/>
  <c r="FP4" i="30" s="1"/>
  <c r="FQ4" i="30" s="1"/>
  <c r="FR4" i="30" s="1"/>
  <c r="FS4" i="30" s="1"/>
  <c r="FT4" i="30" s="1"/>
  <c r="FU4" i="30" s="1"/>
  <c r="FV4" i="30" s="1"/>
  <c r="FW4" i="30" s="1"/>
  <c r="FX4" i="30" s="1"/>
  <c r="FY4" i="30" s="1"/>
  <c r="FZ4" i="30" s="1"/>
  <c r="GA4" i="30" s="1"/>
  <c r="GB4" i="30" s="1"/>
  <c r="GC4" i="30" s="1"/>
  <c r="GD4" i="30" s="1"/>
  <c r="GE4" i="30" s="1"/>
  <c r="GF4" i="30" s="1"/>
  <c r="GG4" i="30" s="1"/>
  <c r="GH4" i="30" s="1"/>
  <c r="GI4" i="30" s="1"/>
  <c r="GJ4" i="30" s="1"/>
  <c r="GK4" i="30" s="1"/>
  <c r="GL4" i="30" s="1"/>
  <c r="GM4" i="30" s="1"/>
  <c r="GN4" i="30" s="1"/>
  <c r="GO4" i="30" s="1"/>
  <c r="GP4" i="30" s="1"/>
  <c r="GQ4" i="30" s="1"/>
  <c r="GR4" i="30" s="1"/>
  <c r="GS4" i="30" s="1"/>
  <c r="GT4" i="30" s="1"/>
  <c r="GU4" i="30" s="1"/>
  <c r="GV4" i="30" s="1"/>
  <c r="GW4" i="30" s="1"/>
  <c r="GX4" i="30" s="1"/>
  <c r="GY4" i="30" s="1"/>
  <c r="GZ4" i="30" s="1"/>
  <c r="HA4" i="30" s="1"/>
  <c r="HB4" i="30" s="1"/>
  <c r="HC4" i="30" s="1"/>
  <c r="HD4" i="30" s="1"/>
  <c r="HE4" i="30" s="1"/>
  <c r="HF4" i="30" s="1"/>
  <c r="HG4" i="30" s="1"/>
  <c r="HH4" i="30" s="1"/>
  <c r="HI4" i="30" s="1"/>
  <c r="HJ4" i="30" s="1"/>
  <c r="HK4" i="30" s="1"/>
  <c r="HL4" i="30" s="1"/>
  <c r="HM4" i="30" s="1"/>
  <c r="HN4" i="30" s="1"/>
  <c r="HO4" i="30" s="1"/>
  <c r="HP4" i="30" s="1"/>
  <c r="HQ4" i="30" s="1"/>
  <c r="HR4" i="30" s="1"/>
  <c r="HS4" i="30" s="1"/>
  <c r="HT4" i="30" s="1"/>
  <c r="HU4" i="30" s="1"/>
  <c r="HV4" i="30" s="1"/>
  <c r="HW4" i="30" s="1"/>
  <c r="HX4" i="30" s="1"/>
  <c r="HY4" i="30" s="1"/>
  <c r="HZ4" i="30" s="1"/>
  <c r="IA4" i="30" s="1"/>
  <c r="IB4" i="30" s="1"/>
  <c r="IC4" i="30" s="1"/>
  <c r="ID4" i="30" s="1"/>
  <c r="IE4" i="30" s="1"/>
  <c r="IF4" i="30" s="1"/>
  <c r="IG4" i="30" s="1"/>
  <c r="IH4" i="30" s="1"/>
  <c r="II4" i="30" s="1"/>
  <c r="IJ4" i="30" s="1"/>
  <c r="IK4" i="30" s="1"/>
  <c r="IL4" i="30" s="1"/>
  <c r="IM4" i="30" s="1"/>
  <c r="IN4" i="30" s="1"/>
  <c r="IO4" i="30" s="1"/>
  <c r="IP4" i="30" s="1"/>
  <c r="IQ4" i="30" s="1"/>
  <c r="IR4" i="30" s="1"/>
  <c r="IS4" i="30" s="1"/>
  <c r="IT4" i="30" s="1"/>
  <c r="IU4" i="30" s="1"/>
  <c r="IV4" i="30" s="1"/>
  <c r="IW4" i="30" s="1"/>
  <c r="IX4" i="30" s="1"/>
  <c r="IY4" i="30" s="1"/>
  <c r="IZ4" i="30" s="1"/>
  <c r="JA4" i="30" s="1"/>
  <c r="JB4" i="30" s="1"/>
  <c r="JC4" i="30" s="1"/>
  <c r="JD4" i="30" s="1"/>
  <c r="JE4" i="30" s="1"/>
  <c r="JF4" i="30" s="1"/>
  <c r="JG4" i="30" s="1"/>
  <c r="JH4" i="30" s="1"/>
  <c r="JI4" i="30" s="1"/>
  <c r="JJ4" i="30" s="1"/>
  <c r="JK4" i="30" s="1"/>
  <c r="JL4" i="30" s="1"/>
  <c r="JM4" i="30" s="1"/>
  <c r="JN4" i="30" s="1"/>
  <c r="JO4" i="30" s="1"/>
  <c r="JP4" i="30" s="1"/>
  <c r="JQ4" i="30" s="1"/>
  <c r="JR4" i="30" s="1"/>
  <c r="JS4" i="30" s="1"/>
  <c r="JT4" i="30" s="1"/>
  <c r="JU4" i="30" s="1"/>
  <c r="JV4" i="30" s="1"/>
  <c r="JW4" i="30" s="1"/>
  <c r="JX4" i="30" s="1"/>
  <c r="JY4" i="30" s="1"/>
  <c r="JZ4" i="30" s="1"/>
  <c r="KA4" i="30" s="1"/>
  <c r="KB4" i="30" s="1"/>
  <c r="KC4" i="30" s="1"/>
  <c r="KD4" i="30" s="1"/>
  <c r="KE4" i="30" s="1"/>
  <c r="KF4" i="30" s="1"/>
  <c r="KG4" i="30" s="1"/>
  <c r="KH4" i="30" s="1"/>
  <c r="KI4" i="30" s="1"/>
  <c r="KJ4" i="30" s="1"/>
  <c r="KK4" i="30" s="1"/>
  <c r="KL4" i="30" s="1"/>
  <c r="KM4" i="30" s="1"/>
  <c r="KN4" i="30" s="1"/>
  <c r="KO4" i="30" s="1"/>
  <c r="KP4" i="30" s="1"/>
  <c r="KQ4" i="30" s="1"/>
  <c r="KR4" i="30" s="1"/>
  <c r="KS4" i="30" s="1"/>
  <c r="KT4" i="30" s="1"/>
  <c r="KU4" i="30" s="1"/>
  <c r="KV4" i="30" s="1"/>
  <c r="KW4" i="30" s="1"/>
  <c r="KX4" i="30" s="1"/>
  <c r="KY4" i="30" s="1"/>
  <c r="KZ4" i="30" s="1"/>
  <c r="LA4" i="30" s="1"/>
  <c r="LB4" i="30" s="1"/>
  <c r="LC4" i="30" s="1"/>
  <c r="LD4" i="30" s="1"/>
  <c r="LE4" i="30" s="1"/>
  <c r="LF4" i="30" s="1"/>
  <c r="LG4" i="30" s="1"/>
  <c r="LH4" i="30" s="1"/>
  <c r="LI4" i="30" s="1"/>
  <c r="LJ4" i="30" s="1"/>
  <c r="W5" i="30"/>
  <c r="X5" i="30" s="1"/>
  <c r="Y5" i="30" s="1"/>
  <c r="Z5" i="30" s="1"/>
  <c r="AA5" i="30" s="1"/>
  <c r="AB5" i="30" s="1"/>
  <c r="AC5" i="30" s="1"/>
  <c r="AD5" i="30" s="1"/>
  <c r="AE5" i="30" s="1"/>
  <c r="AF5" i="30" s="1"/>
  <c r="AG5" i="30" s="1"/>
  <c r="AH5" i="30" s="1"/>
  <c r="AI5" i="30" s="1"/>
  <c r="AJ5" i="30" s="1"/>
  <c r="AK5" i="30" s="1"/>
  <c r="AL5" i="30" s="1"/>
  <c r="AM5" i="30" s="1"/>
  <c r="AN5" i="30" s="1"/>
  <c r="AO5" i="30" s="1"/>
  <c r="AP5" i="30" s="1"/>
  <c r="AQ5" i="30" s="1"/>
  <c r="AR5" i="30" s="1"/>
  <c r="AS5" i="30" s="1"/>
  <c r="AT5" i="30" s="1"/>
  <c r="AU5" i="30" s="1"/>
  <c r="AV5" i="30" s="1"/>
  <c r="AW5" i="30" s="1"/>
  <c r="AX5" i="30" s="1"/>
  <c r="AY5" i="30" s="1"/>
  <c r="AZ5" i="30" s="1"/>
  <c r="BA5" i="30" s="1"/>
  <c r="BB5" i="30" s="1"/>
  <c r="BC5" i="30" s="1"/>
  <c r="BD5" i="30" s="1"/>
  <c r="BE5" i="30" s="1"/>
  <c r="BF5" i="30" s="1"/>
  <c r="BG5" i="30" s="1"/>
  <c r="BH5" i="30" s="1"/>
  <c r="BI5" i="30" s="1"/>
  <c r="BJ5" i="30" s="1"/>
  <c r="BK5" i="30" s="1"/>
  <c r="BL5" i="30" s="1"/>
  <c r="BM5" i="30" s="1"/>
  <c r="BN5" i="30" s="1"/>
  <c r="BO5" i="30" s="1"/>
  <c r="BP5" i="30" s="1"/>
  <c r="BQ5" i="30" s="1"/>
  <c r="BR5" i="30" s="1"/>
  <c r="BS5" i="30" s="1"/>
  <c r="BT5" i="30" s="1"/>
  <c r="BU5" i="30" s="1"/>
  <c r="BV5" i="30" s="1"/>
  <c r="BW5" i="30" s="1"/>
  <c r="BX5" i="30" s="1"/>
  <c r="BY5" i="30" s="1"/>
  <c r="BZ5" i="30" s="1"/>
  <c r="CA5" i="30" s="1"/>
  <c r="CB5" i="30" s="1"/>
  <c r="CC5" i="30" s="1"/>
  <c r="CD5" i="30" s="1"/>
  <c r="CE5" i="30" s="1"/>
  <c r="CF5" i="30" s="1"/>
  <c r="CG5" i="30" s="1"/>
  <c r="CH5" i="30" s="1"/>
  <c r="CI5" i="30" s="1"/>
  <c r="CJ5" i="30" s="1"/>
  <c r="CK5" i="30" s="1"/>
  <c r="CL5" i="30" s="1"/>
  <c r="CM5" i="30" s="1"/>
  <c r="CN5" i="30" s="1"/>
  <c r="CO5" i="30" s="1"/>
  <c r="CP5" i="30" s="1"/>
  <c r="CQ5" i="30" s="1"/>
  <c r="CR5" i="30" s="1"/>
  <c r="CS5" i="30" s="1"/>
  <c r="CT5" i="30" s="1"/>
  <c r="CU5" i="30" s="1"/>
  <c r="CV5" i="30" s="1"/>
  <c r="CW5" i="30" s="1"/>
  <c r="CX5" i="30" s="1"/>
  <c r="CY5" i="30" s="1"/>
  <c r="CZ5" i="30" s="1"/>
  <c r="DA5" i="30" s="1"/>
  <c r="DB5" i="30" s="1"/>
  <c r="DC5" i="30" s="1"/>
  <c r="DD5" i="30" s="1"/>
  <c r="DE5" i="30" s="1"/>
  <c r="DF5" i="30" s="1"/>
  <c r="DG5" i="30" s="1"/>
  <c r="DH5" i="30" s="1"/>
  <c r="DI5" i="30" s="1"/>
  <c r="DJ5" i="30" s="1"/>
  <c r="DK5" i="30" s="1"/>
  <c r="DL5" i="30" s="1"/>
  <c r="DM5" i="30" s="1"/>
  <c r="DN5" i="30" s="1"/>
  <c r="DO5" i="30" s="1"/>
  <c r="DP5" i="30" s="1"/>
  <c r="DQ5" i="30" s="1"/>
  <c r="DR5" i="30" s="1"/>
  <c r="DS5" i="30" s="1"/>
  <c r="DT5" i="30" s="1"/>
  <c r="DU5" i="30" s="1"/>
  <c r="DV5" i="30" s="1"/>
  <c r="DW5" i="30" s="1"/>
  <c r="DX5" i="30" s="1"/>
  <c r="DY5" i="30" s="1"/>
  <c r="DZ5" i="30" s="1"/>
  <c r="EA5" i="30" s="1"/>
  <c r="EB5" i="30" s="1"/>
  <c r="EC5" i="30" s="1"/>
  <c r="ED5" i="30" s="1"/>
  <c r="EE5" i="30" s="1"/>
  <c r="EF5" i="30" s="1"/>
  <c r="EG5" i="30" s="1"/>
  <c r="EH5" i="30" s="1"/>
  <c r="EI5" i="30" s="1"/>
  <c r="EJ5" i="30" s="1"/>
  <c r="EK5" i="30" s="1"/>
  <c r="EL5" i="30" s="1"/>
  <c r="EM5" i="30" s="1"/>
  <c r="EN5" i="30" s="1"/>
  <c r="EO5" i="30" s="1"/>
  <c r="EP5" i="30" s="1"/>
  <c r="EQ5" i="30" s="1"/>
  <c r="ER5" i="30" s="1"/>
  <c r="ES5" i="30" s="1"/>
  <c r="ET5" i="30" s="1"/>
  <c r="EU5" i="30" s="1"/>
  <c r="EV5" i="30" s="1"/>
  <c r="EW5" i="30" s="1"/>
  <c r="EX5" i="30" s="1"/>
  <c r="EY5" i="30" s="1"/>
  <c r="EZ5" i="30" s="1"/>
  <c r="FA5" i="30" s="1"/>
  <c r="FB5" i="30" s="1"/>
  <c r="FC5" i="30" s="1"/>
  <c r="FD5" i="30" s="1"/>
  <c r="FE5" i="30" s="1"/>
  <c r="FF5" i="30" s="1"/>
  <c r="FG5" i="30" s="1"/>
  <c r="FH5" i="30" s="1"/>
  <c r="FI5" i="30" s="1"/>
  <c r="FJ5" i="30" s="1"/>
  <c r="FK5" i="30" s="1"/>
  <c r="FL5" i="30" s="1"/>
  <c r="FM5" i="30" s="1"/>
  <c r="FN5" i="30" s="1"/>
  <c r="FO5" i="30" s="1"/>
  <c r="FP5" i="30" s="1"/>
  <c r="FQ5" i="30" s="1"/>
  <c r="FR5" i="30" s="1"/>
  <c r="FS5" i="30" s="1"/>
  <c r="FT5" i="30" s="1"/>
  <c r="FU5" i="30" s="1"/>
  <c r="FV5" i="30" s="1"/>
  <c r="FW5" i="30" s="1"/>
  <c r="FX5" i="30" s="1"/>
  <c r="FY5" i="30" s="1"/>
  <c r="FZ5" i="30" s="1"/>
  <c r="GA5" i="30" s="1"/>
  <c r="GB5" i="30" s="1"/>
  <c r="GC5" i="30" s="1"/>
  <c r="GD5" i="30" s="1"/>
  <c r="GE5" i="30" s="1"/>
  <c r="GF5" i="30" s="1"/>
  <c r="GG5" i="30" s="1"/>
  <c r="GH5" i="30" s="1"/>
  <c r="GI5" i="30" s="1"/>
  <c r="GJ5" i="30" s="1"/>
  <c r="GK5" i="30" s="1"/>
  <c r="GL5" i="30" s="1"/>
  <c r="GM5" i="30" s="1"/>
  <c r="GN5" i="30" s="1"/>
  <c r="GO5" i="30" s="1"/>
  <c r="GP5" i="30" s="1"/>
  <c r="GQ5" i="30" s="1"/>
  <c r="GR5" i="30" s="1"/>
  <c r="GS5" i="30" s="1"/>
  <c r="GT5" i="30" s="1"/>
  <c r="GU5" i="30" s="1"/>
  <c r="GV5" i="30" s="1"/>
  <c r="GW5" i="30" s="1"/>
  <c r="GX5" i="30" s="1"/>
  <c r="GY5" i="30" s="1"/>
  <c r="GZ5" i="30" s="1"/>
  <c r="HA5" i="30" s="1"/>
  <c r="HB5" i="30" s="1"/>
  <c r="HC5" i="30" s="1"/>
  <c r="HD5" i="30" s="1"/>
  <c r="HE5" i="30" s="1"/>
  <c r="HF5" i="30" s="1"/>
  <c r="HG5" i="30" s="1"/>
  <c r="HH5" i="30" s="1"/>
  <c r="HI5" i="30" s="1"/>
  <c r="HJ5" i="30" s="1"/>
  <c r="HK5" i="30" s="1"/>
  <c r="HL5" i="30" s="1"/>
  <c r="HM5" i="30" s="1"/>
  <c r="HN5" i="30" s="1"/>
  <c r="HO5" i="30" s="1"/>
  <c r="HP5" i="30" s="1"/>
  <c r="HQ5" i="30" s="1"/>
  <c r="HR5" i="30" s="1"/>
  <c r="HS5" i="30" s="1"/>
  <c r="HT5" i="30" s="1"/>
  <c r="HU5" i="30" s="1"/>
  <c r="HV5" i="30" s="1"/>
  <c r="HW5" i="30" s="1"/>
  <c r="HX5" i="30" s="1"/>
  <c r="HY5" i="30" s="1"/>
  <c r="HZ5" i="30" s="1"/>
  <c r="IA5" i="30" s="1"/>
  <c r="IB5" i="30" s="1"/>
  <c r="IC5" i="30" s="1"/>
  <c r="ID5" i="30" s="1"/>
  <c r="IE5" i="30" s="1"/>
  <c r="IF5" i="30" s="1"/>
  <c r="IG5" i="30" s="1"/>
  <c r="IH5" i="30" s="1"/>
  <c r="II5" i="30" s="1"/>
  <c r="IJ5" i="30" s="1"/>
  <c r="IK5" i="30" s="1"/>
  <c r="IL5" i="30" s="1"/>
  <c r="IM5" i="30" s="1"/>
  <c r="IN5" i="30" s="1"/>
  <c r="IO5" i="30" s="1"/>
  <c r="IP5" i="30" s="1"/>
  <c r="IQ5" i="30" s="1"/>
  <c r="IR5" i="30" s="1"/>
  <c r="IS5" i="30" s="1"/>
  <c r="IT5" i="30" s="1"/>
  <c r="IU5" i="30" s="1"/>
  <c r="IV5" i="30" s="1"/>
  <c r="IW5" i="30" s="1"/>
  <c r="IX5" i="30" s="1"/>
  <c r="IY5" i="30" s="1"/>
  <c r="IZ5" i="30" s="1"/>
  <c r="JA5" i="30" s="1"/>
  <c r="JB5" i="30" s="1"/>
  <c r="JC5" i="30" s="1"/>
  <c r="JD5" i="30" s="1"/>
  <c r="JE5" i="30" s="1"/>
  <c r="JF5" i="30" s="1"/>
  <c r="JG5" i="30" s="1"/>
  <c r="JH5" i="30" s="1"/>
  <c r="JI5" i="30" s="1"/>
  <c r="JJ5" i="30" s="1"/>
  <c r="JK5" i="30" s="1"/>
  <c r="JL5" i="30" s="1"/>
  <c r="JM5" i="30" s="1"/>
  <c r="JN5" i="30" s="1"/>
  <c r="JO5" i="30" s="1"/>
  <c r="JP5" i="30" s="1"/>
  <c r="JQ5" i="30" s="1"/>
  <c r="JR5" i="30" s="1"/>
  <c r="JS5" i="30" s="1"/>
  <c r="JT5" i="30" s="1"/>
  <c r="JU5" i="30" s="1"/>
  <c r="JV5" i="30" s="1"/>
  <c r="JW5" i="30" s="1"/>
  <c r="JX5" i="30" s="1"/>
  <c r="JY5" i="30" s="1"/>
  <c r="JZ5" i="30" s="1"/>
  <c r="KA5" i="30" s="1"/>
  <c r="KB5" i="30" s="1"/>
  <c r="KC5" i="30" s="1"/>
  <c r="KD5" i="30" s="1"/>
  <c r="KE5" i="30" s="1"/>
  <c r="KF5" i="30" s="1"/>
  <c r="KG5" i="30" s="1"/>
  <c r="KH5" i="30" s="1"/>
  <c r="KI5" i="30" s="1"/>
  <c r="KJ5" i="30" s="1"/>
  <c r="KK5" i="30" s="1"/>
  <c r="KL5" i="30" s="1"/>
  <c r="KM5" i="30" s="1"/>
  <c r="KN5" i="30" s="1"/>
  <c r="KO5" i="30" s="1"/>
  <c r="KP5" i="30" s="1"/>
  <c r="KQ5" i="30" s="1"/>
  <c r="KR5" i="30" s="1"/>
  <c r="KS5" i="30" s="1"/>
  <c r="KT5" i="30" s="1"/>
  <c r="KU5" i="30" s="1"/>
  <c r="KV5" i="30" s="1"/>
  <c r="KW5" i="30" s="1"/>
  <c r="KX5" i="30" s="1"/>
  <c r="KY5" i="30" s="1"/>
  <c r="KZ5" i="30" s="1"/>
  <c r="LA5" i="30" s="1"/>
  <c r="LB5" i="30" s="1"/>
  <c r="LC5" i="30" s="1"/>
  <c r="LD5" i="30" s="1"/>
  <c r="LE5" i="30" s="1"/>
  <c r="LF5" i="30" s="1"/>
  <c r="LG5" i="30" s="1"/>
  <c r="LH5" i="30" s="1"/>
  <c r="LI5" i="30" s="1"/>
  <c r="LJ5" i="30" s="1"/>
  <c r="W6" i="30"/>
  <c r="X6" i="30" s="1"/>
  <c r="Y6" i="30" s="1"/>
  <c r="Z6" i="30" s="1"/>
  <c r="AA6" i="30" s="1"/>
  <c r="AB6" i="30" s="1"/>
  <c r="AC6" i="30" s="1"/>
  <c r="AD6" i="30" s="1"/>
  <c r="AE6" i="30" s="1"/>
  <c r="AF6" i="30" s="1"/>
  <c r="AG6" i="30" s="1"/>
  <c r="AH6" i="30" s="1"/>
  <c r="AI6" i="30" s="1"/>
  <c r="AJ6" i="30" s="1"/>
  <c r="AK6" i="30" s="1"/>
  <c r="AL6" i="30" s="1"/>
  <c r="AM6" i="30" s="1"/>
  <c r="AN6" i="30" s="1"/>
  <c r="AO6" i="30" s="1"/>
  <c r="AP6" i="30" s="1"/>
  <c r="AQ6" i="30" s="1"/>
  <c r="AR6" i="30" s="1"/>
  <c r="AS6" i="30" s="1"/>
  <c r="AT6" i="30" s="1"/>
  <c r="AU6" i="30" s="1"/>
  <c r="AV6" i="30" s="1"/>
  <c r="AW6" i="30" s="1"/>
  <c r="AX6" i="30" s="1"/>
  <c r="AY6" i="30" s="1"/>
  <c r="AZ6" i="30" s="1"/>
  <c r="BA6" i="30" s="1"/>
  <c r="BB6" i="30" s="1"/>
  <c r="BC6" i="30" s="1"/>
  <c r="BD6" i="30" s="1"/>
  <c r="BE6" i="30" s="1"/>
  <c r="BF6" i="30" s="1"/>
  <c r="BG6" i="30" s="1"/>
  <c r="BH6" i="30" s="1"/>
  <c r="BI6" i="30" s="1"/>
  <c r="BJ6" i="30" s="1"/>
  <c r="BK6" i="30" s="1"/>
  <c r="BL6" i="30" s="1"/>
  <c r="BM6" i="30" s="1"/>
  <c r="BN6" i="30" s="1"/>
  <c r="BO6" i="30" s="1"/>
  <c r="BP6" i="30" s="1"/>
  <c r="BQ6" i="30" s="1"/>
  <c r="BR6" i="30" s="1"/>
  <c r="BS6" i="30" s="1"/>
  <c r="BT6" i="30" s="1"/>
  <c r="BU6" i="30" s="1"/>
  <c r="BV6" i="30" s="1"/>
  <c r="BW6" i="30" s="1"/>
  <c r="BX6" i="30" s="1"/>
  <c r="BY6" i="30" s="1"/>
  <c r="BZ6" i="30" s="1"/>
  <c r="CA6" i="30" s="1"/>
  <c r="CB6" i="30" s="1"/>
  <c r="CC6" i="30" s="1"/>
  <c r="CD6" i="30" s="1"/>
  <c r="CE6" i="30" s="1"/>
  <c r="CF6" i="30" s="1"/>
  <c r="CG6" i="30" s="1"/>
  <c r="CH6" i="30" s="1"/>
  <c r="CI6" i="30" s="1"/>
  <c r="CJ6" i="30" s="1"/>
  <c r="CK6" i="30" s="1"/>
  <c r="CL6" i="30" s="1"/>
  <c r="CM6" i="30" s="1"/>
  <c r="CN6" i="30" s="1"/>
  <c r="CO6" i="30" s="1"/>
  <c r="CP6" i="30" s="1"/>
  <c r="CQ6" i="30" s="1"/>
  <c r="CR6" i="30" s="1"/>
  <c r="CS6" i="30" s="1"/>
  <c r="CT6" i="30" s="1"/>
  <c r="CU6" i="30" s="1"/>
  <c r="CV6" i="30" s="1"/>
  <c r="CW6" i="30" s="1"/>
  <c r="CX6" i="30" s="1"/>
  <c r="CY6" i="30" s="1"/>
  <c r="CZ6" i="30" s="1"/>
  <c r="DA6" i="30" s="1"/>
  <c r="DB6" i="30" s="1"/>
  <c r="DC6" i="30" s="1"/>
  <c r="DD6" i="30" s="1"/>
  <c r="DE6" i="30" s="1"/>
  <c r="DF6" i="30" s="1"/>
  <c r="DG6" i="30" s="1"/>
  <c r="DH6" i="30" s="1"/>
  <c r="DI6" i="30" s="1"/>
  <c r="DJ6" i="30" s="1"/>
  <c r="DK6" i="30" s="1"/>
  <c r="DL6" i="30" s="1"/>
  <c r="DM6" i="30" s="1"/>
  <c r="DN6" i="30" s="1"/>
  <c r="DO6" i="30" s="1"/>
  <c r="DP6" i="30" s="1"/>
  <c r="DQ6" i="30" s="1"/>
  <c r="DR6" i="30" s="1"/>
  <c r="DS6" i="30" s="1"/>
  <c r="DT6" i="30" s="1"/>
  <c r="DU6" i="30" s="1"/>
  <c r="DV6" i="30" s="1"/>
  <c r="DW6" i="30" s="1"/>
  <c r="DX6" i="30" s="1"/>
  <c r="DY6" i="30" s="1"/>
  <c r="DZ6" i="30" s="1"/>
  <c r="EA6" i="30" s="1"/>
  <c r="EB6" i="30" s="1"/>
  <c r="EC6" i="30" s="1"/>
  <c r="ED6" i="30" s="1"/>
  <c r="EE6" i="30" s="1"/>
  <c r="EF6" i="30" s="1"/>
  <c r="EG6" i="30" s="1"/>
  <c r="EH6" i="30" s="1"/>
  <c r="EI6" i="30" s="1"/>
  <c r="EJ6" i="30" s="1"/>
  <c r="EK6" i="30" s="1"/>
  <c r="EL6" i="30" s="1"/>
  <c r="EM6" i="30" s="1"/>
  <c r="EN6" i="30" s="1"/>
  <c r="EO6" i="30" s="1"/>
  <c r="EP6" i="30" s="1"/>
  <c r="EQ6" i="30" s="1"/>
  <c r="ER6" i="30" s="1"/>
  <c r="ES6" i="30" s="1"/>
  <c r="ET6" i="30" s="1"/>
  <c r="EU6" i="30" s="1"/>
  <c r="EV6" i="30" s="1"/>
  <c r="EW6" i="30" s="1"/>
  <c r="EX6" i="30" s="1"/>
  <c r="EY6" i="30" s="1"/>
  <c r="EZ6" i="30" s="1"/>
  <c r="FA6" i="30" s="1"/>
  <c r="FB6" i="30" s="1"/>
  <c r="FC6" i="30" s="1"/>
  <c r="FD6" i="30" s="1"/>
  <c r="FE6" i="30" s="1"/>
  <c r="FF6" i="30" s="1"/>
  <c r="FG6" i="30" s="1"/>
  <c r="FH6" i="30" s="1"/>
  <c r="FI6" i="30" s="1"/>
  <c r="FJ6" i="30" s="1"/>
  <c r="FK6" i="30" s="1"/>
  <c r="FL6" i="30" s="1"/>
  <c r="FM6" i="30" s="1"/>
  <c r="FN6" i="30" s="1"/>
  <c r="FO6" i="30" s="1"/>
  <c r="FP6" i="30" s="1"/>
  <c r="FQ6" i="30" s="1"/>
  <c r="FR6" i="30" s="1"/>
  <c r="FS6" i="30" s="1"/>
  <c r="FT6" i="30" s="1"/>
  <c r="FU6" i="30" s="1"/>
  <c r="FV6" i="30" s="1"/>
  <c r="FW6" i="30" s="1"/>
  <c r="FX6" i="30" s="1"/>
  <c r="FY6" i="30" s="1"/>
  <c r="FZ6" i="30" s="1"/>
  <c r="GA6" i="30" s="1"/>
  <c r="GB6" i="30" s="1"/>
  <c r="GC6" i="30" s="1"/>
  <c r="GD6" i="30" s="1"/>
  <c r="GE6" i="30" s="1"/>
  <c r="GF6" i="30" s="1"/>
  <c r="GG6" i="30" s="1"/>
  <c r="GH6" i="30" s="1"/>
  <c r="GI6" i="30" s="1"/>
  <c r="GJ6" i="30" s="1"/>
  <c r="GK6" i="30" s="1"/>
  <c r="GL6" i="30" s="1"/>
  <c r="GM6" i="30" s="1"/>
  <c r="GN6" i="30" s="1"/>
  <c r="GO6" i="30" s="1"/>
  <c r="GP6" i="30" s="1"/>
  <c r="GQ6" i="30" s="1"/>
  <c r="GR6" i="30" s="1"/>
  <c r="GS6" i="30" s="1"/>
  <c r="GT6" i="30" s="1"/>
  <c r="GU6" i="30" s="1"/>
  <c r="GV6" i="30" s="1"/>
  <c r="GW6" i="30" s="1"/>
  <c r="GX6" i="30" s="1"/>
  <c r="GY6" i="30" s="1"/>
  <c r="GZ6" i="30" s="1"/>
  <c r="HA6" i="30" s="1"/>
  <c r="HB6" i="30" s="1"/>
  <c r="HC6" i="30" s="1"/>
  <c r="HD6" i="30" s="1"/>
  <c r="HE6" i="30" s="1"/>
  <c r="HF6" i="30" s="1"/>
  <c r="HG6" i="30" s="1"/>
  <c r="HH6" i="30" s="1"/>
  <c r="HI6" i="30" s="1"/>
  <c r="HJ6" i="30" s="1"/>
  <c r="HK6" i="30" s="1"/>
  <c r="HL6" i="30" s="1"/>
  <c r="HM6" i="30" s="1"/>
  <c r="HN6" i="30" s="1"/>
  <c r="HO6" i="30" s="1"/>
  <c r="HP6" i="30" s="1"/>
  <c r="HQ6" i="30" s="1"/>
  <c r="HR6" i="30" s="1"/>
  <c r="HS6" i="30" s="1"/>
  <c r="HT6" i="30" s="1"/>
  <c r="HU6" i="30" s="1"/>
  <c r="HV6" i="30" s="1"/>
  <c r="HW6" i="30" s="1"/>
  <c r="HX6" i="30" s="1"/>
  <c r="HY6" i="30" s="1"/>
  <c r="HZ6" i="30" s="1"/>
  <c r="IA6" i="30" s="1"/>
  <c r="IB6" i="30" s="1"/>
  <c r="IC6" i="30" s="1"/>
  <c r="ID6" i="30" s="1"/>
  <c r="IE6" i="30" s="1"/>
  <c r="IF6" i="30" s="1"/>
  <c r="IG6" i="30" s="1"/>
  <c r="IH6" i="30" s="1"/>
  <c r="II6" i="30" s="1"/>
  <c r="IJ6" i="30" s="1"/>
  <c r="IK6" i="30" s="1"/>
  <c r="IL6" i="30" s="1"/>
  <c r="IM6" i="30" s="1"/>
  <c r="IN6" i="30" s="1"/>
  <c r="IO6" i="30" s="1"/>
  <c r="IP6" i="30" s="1"/>
  <c r="IQ6" i="30" s="1"/>
  <c r="IR6" i="30" s="1"/>
  <c r="IS6" i="30" s="1"/>
  <c r="IT6" i="30" s="1"/>
  <c r="IU6" i="30" s="1"/>
  <c r="IV6" i="30" s="1"/>
  <c r="IW6" i="30" s="1"/>
  <c r="IX6" i="30" s="1"/>
  <c r="IY6" i="30" s="1"/>
  <c r="IZ6" i="30" s="1"/>
  <c r="JA6" i="30" s="1"/>
  <c r="JB6" i="30" s="1"/>
  <c r="JC6" i="30" s="1"/>
  <c r="JD6" i="30" s="1"/>
  <c r="JE6" i="30" s="1"/>
  <c r="JF6" i="30" s="1"/>
  <c r="JG6" i="30" s="1"/>
  <c r="JH6" i="30" s="1"/>
  <c r="JI6" i="30" s="1"/>
  <c r="JJ6" i="30" s="1"/>
  <c r="JK6" i="30" s="1"/>
  <c r="JL6" i="30" s="1"/>
  <c r="JM6" i="30" s="1"/>
  <c r="JN6" i="30" s="1"/>
  <c r="JO6" i="30" s="1"/>
  <c r="JP6" i="30" s="1"/>
  <c r="JQ6" i="30" s="1"/>
  <c r="JR6" i="30" s="1"/>
  <c r="JS6" i="30" s="1"/>
  <c r="JT6" i="30" s="1"/>
  <c r="JU6" i="30" s="1"/>
  <c r="JV6" i="30" s="1"/>
  <c r="JW6" i="30" s="1"/>
  <c r="JX6" i="30" s="1"/>
  <c r="JY6" i="30" s="1"/>
  <c r="JZ6" i="30" s="1"/>
  <c r="KA6" i="30" s="1"/>
  <c r="KB6" i="30" s="1"/>
  <c r="KC6" i="30" s="1"/>
  <c r="KD6" i="30" s="1"/>
  <c r="KE6" i="30" s="1"/>
  <c r="KF6" i="30" s="1"/>
  <c r="KG6" i="30" s="1"/>
  <c r="KH6" i="30" s="1"/>
  <c r="KI6" i="30" s="1"/>
  <c r="KJ6" i="30" s="1"/>
  <c r="KK6" i="30" s="1"/>
  <c r="KL6" i="30" s="1"/>
  <c r="KM6" i="30" s="1"/>
  <c r="KN6" i="30" s="1"/>
  <c r="KO6" i="30" s="1"/>
  <c r="KP6" i="30" s="1"/>
  <c r="KQ6" i="30" s="1"/>
  <c r="KR6" i="30" s="1"/>
  <c r="KS6" i="30" s="1"/>
  <c r="KT6" i="30" s="1"/>
  <c r="KU6" i="30" s="1"/>
  <c r="KV6" i="30" s="1"/>
  <c r="KW6" i="30" s="1"/>
  <c r="KX6" i="30" s="1"/>
  <c r="KY6" i="30" s="1"/>
  <c r="KZ6" i="30" s="1"/>
  <c r="LA6" i="30" s="1"/>
  <c r="LB6" i="30" s="1"/>
  <c r="LC6" i="30" s="1"/>
  <c r="LD6" i="30" s="1"/>
  <c r="LE6" i="30" s="1"/>
  <c r="LF6" i="30" s="1"/>
  <c r="LG6" i="30" s="1"/>
  <c r="LH6" i="30" s="1"/>
  <c r="LI6" i="30" s="1"/>
  <c r="LJ6" i="30" s="1"/>
  <c r="W7" i="30"/>
  <c r="X7" i="30" s="1"/>
  <c r="Y7" i="30" s="1"/>
  <c r="Z7" i="30" s="1"/>
  <c r="AA7" i="30" s="1"/>
  <c r="AB7" i="30" s="1"/>
  <c r="AC7" i="30" s="1"/>
  <c r="AD7" i="30" s="1"/>
  <c r="AE7" i="30" s="1"/>
  <c r="AF7" i="30" s="1"/>
  <c r="AG7" i="30" s="1"/>
  <c r="AH7" i="30" s="1"/>
  <c r="AI7" i="30" s="1"/>
  <c r="AJ7" i="30" s="1"/>
  <c r="AK7" i="30" s="1"/>
  <c r="AL7" i="30" s="1"/>
  <c r="AM7" i="30" s="1"/>
  <c r="AN7" i="30" s="1"/>
  <c r="AO7" i="30" s="1"/>
  <c r="AP7" i="30" s="1"/>
  <c r="AQ7" i="30" s="1"/>
  <c r="AR7" i="30" s="1"/>
  <c r="AS7" i="30" s="1"/>
  <c r="AT7" i="30" s="1"/>
  <c r="AU7" i="30" s="1"/>
  <c r="AV7" i="30" s="1"/>
  <c r="AW7" i="30" s="1"/>
  <c r="AX7" i="30" s="1"/>
  <c r="AY7" i="30" s="1"/>
  <c r="AZ7" i="30" s="1"/>
  <c r="BA7" i="30" s="1"/>
  <c r="BB7" i="30" s="1"/>
  <c r="BC7" i="30" s="1"/>
  <c r="BD7" i="30" s="1"/>
  <c r="BE7" i="30" s="1"/>
  <c r="BF7" i="30" s="1"/>
  <c r="BG7" i="30" s="1"/>
  <c r="BH7" i="30" s="1"/>
  <c r="BI7" i="30" s="1"/>
  <c r="BJ7" i="30" s="1"/>
  <c r="BK7" i="30" s="1"/>
  <c r="BL7" i="30" s="1"/>
  <c r="BM7" i="30" s="1"/>
  <c r="BN7" i="30" s="1"/>
  <c r="BO7" i="30" s="1"/>
  <c r="BP7" i="30" s="1"/>
  <c r="BQ7" i="30" s="1"/>
  <c r="BR7" i="30" s="1"/>
  <c r="BS7" i="30" s="1"/>
  <c r="BT7" i="30" s="1"/>
  <c r="BU7" i="30" s="1"/>
  <c r="BV7" i="30" s="1"/>
  <c r="BW7" i="30" s="1"/>
  <c r="BX7" i="30" s="1"/>
  <c r="BY7" i="30" s="1"/>
  <c r="BZ7" i="30" s="1"/>
  <c r="CA7" i="30" s="1"/>
  <c r="CB7" i="30" s="1"/>
  <c r="CC7" i="30" s="1"/>
  <c r="CD7" i="30" s="1"/>
  <c r="CE7" i="30" s="1"/>
  <c r="CF7" i="30" s="1"/>
  <c r="CG7" i="30" s="1"/>
  <c r="CH7" i="30" s="1"/>
  <c r="CI7" i="30" s="1"/>
  <c r="CJ7" i="30" s="1"/>
  <c r="CK7" i="30" s="1"/>
  <c r="CL7" i="30" s="1"/>
  <c r="CM7" i="30" s="1"/>
  <c r="CN7" i="30" s="1"/>
  <c r="CO7" i="30" s="1"/>
  <c r="CP7" i="30" s="1"/>
  <c r="CQ7" i="30" s="1"/>
  <c r="CR7" i="30" s="1"/>
  <c r="CS7" i="30" s="1"/>
  <c r="CT7" i="30" s="1"/>
  <c r="CU7" i="30" s="1"/>
  <c r="CV7" i="30" s="1"/>
  <c r="CW7" i="30" s="1"/>
  <c r="CX7" i="30" s="1"/>
  <c r="CY7" i="30" s="1"/>
  <c r="CZ7" i="30" s="1"/>
  <c r="DA7" i="30" s="1"/>
  <c r="DB7" i="30" s="1"/>
  <c r="DC7" i="30" s="1"/>
  <c r="DD7" i="30" s="1"/>
  <c r="DE7" i="30" s="1"/>
  <c r="DF7" i="30" s="1"/>
  <c r="DG7" i="30" s="1"/>
  <c r="DH7" i="30" s="1"/>
  <c r="DI7" i="30" s="1"/>
  <c r="DJ7" i="30" s="1"/>
  <c r="DK7" i="30" s="1"/>
  <c r="DL7" i="30" s="1"/>
  <c r="DM7" i="30" s="1"/>
  <c r="DN7" i="30" s="1"/>
  <c r="DO7" i="30" s="1"/>
  <c r="DP7" i="30" s="1"/>
  <c r="DQ7" i="30" s="1"/>
  <c r="DR7" i="30" s="1"/>
  <c r="DS7" i="30" s="1"/>
  <c r="DT7" i="30" s="1"/>
  <c r="DU7" i="30" s="1"/>
  <c r="DV7" i="30" s="1"/>
  <c r="DW7" i="30" s="1"/>
  <c r="DX7" i="30" s="1"/>
  <c r="DY7" i="30" s="1"/>
  <c r="DZ7" i="30" s="1"/>
  <c r="EA7" i="30" s="1"/>
  <c r="EB7" i="30" s="1"/>
  <c r="EC7" i="30" s="1"/>
  <c r="ED7" i="30" s="1"/>
  <c r="EE7" i="30" s="1"/>
  <c r="EF7" i="30" s="1"/>
  <c r="EG7" i="30" s="1"/>
  <c r="EH7" i="30" s="1"/>
  <c r="EI7" i="30" s="1"/>
  <c r="EJ7" i="30" s="1"/>
  <c r="EK7" i="30" s="1"/>
  <c r="EL7" i="30" s="1"/>
  <c r="EM7" i="30" s="1"/>
  <c r="EN7" i="30" s="1"/>
  <c r="EO7" i="30" s="1"/>
  <c r="EP7" i="30" s="1"/>
  <c r="EQ7" i="30" s="1"/>
  <c r="ER7" i="30" s="1"/>
  <c r="ES7" i="30" s="1"/>
  <c r="ET7" i="30" s="1"/>
  <c r="EU7" i="30" s="1"/>
  <c r="EV7" i="30" s="1"/>
  <c r="EW7" i="30" s="1"/>
  <c r="EX7" i="30" s="1"/>
  <c r="EY7" i="30" s="1"/>
  <c r="EZ7" i="30" s="1"/>
  <c r="FA7" i="30" s="1"/>
  <c r="FB7" i="30" s="1"/>
  <c r="FC7" i="30" s="1"/>
  <c r="FD7" i="30" s="1"/>
  <c r="FE7" i="30" s="1"/>
  <c r="FF7" i="30" s="1"/>
  <c r="FG7" i="30" s="1"/>
  <c r="FH7" i="30" s="1"/>
  <c r="FI7" i="30" s="1"/>
  <c r="FJ7" i="30" s="1"/>
  <c r="FK7" i="30" s="1"/>
  <c r="FL7" i="30" s="1"/>
  <c r="FM7" i="30" s="1"/>
  <c r="FN7" i="30" s="1"/>
  <c r="FO7" i="30" s="1"/>
  <c r="FP7" i="30" s="1"/>
  <c r="FQ7" i="30" s="1"/>
  <c r="FR7" i="30" s="1"/>
  <c r="FS7" i="30" s="1"/>
  <c r="FT7" i="30" s="1"/>
  <c r="FU7" i="30" s="1"/>
  <c r="FV7" i="30" s="1"/>
  <c r="FW7" i="30" s="1"/>
  <c r="FX7" i="30" s="1"/>
  <c r="FY7" i="30" s="1"/>
  <c r="FZ7" i="30" s="1"/>
  <c r="GA7" i="30" s="1"/>
  <c r="GB7" i="30" s="1"/>
  <c r="GC7" i="30" s="1"/>
  <c r="GD7" i="30" s="1"/>
  <c r="GE7" i="30" s="1"/>
  <c r="GF7" i="30" s="1"/>
  <c r="GG7" i="30" s="1"/>
  <c r="GH7" i="30" s="1"/>
  <c r="GI7" i="30" s="1"/>
  <c r="GJ7" i="30" s="1"/>
  <c r="GK7" i="30" s="1"/>
  <c r="GL7" i="30" s="1"/>
  <c r="GM7" i="30" s="1"/>
  <c r="GN7" i="30" s="1"/>
  <c r="GO7" i="30" s="1"/>
  <c r="GP7" i="30" s="1"/>
  <c r="GQ7" i="30" s="1"/>
  <c r="GR7" i="30" s="1"/>
  <c r="GS7" i="30" s="1"/>
  <c r="GT7" i="30" s="1"/>
  <c r="GU7" i="30" s="1"/>
  <c r="GV7" i="30" s="1"/>
  <c r="GW7" i="30" s="1"/>
  <c r="GX7" i="30" s="1"/>
  <c r="GY7" i="30" s="1"/>
  <c r="GZ7" i="30" s="1"/>
  <c r="HA7" i="30" s="1"/>
  <c r="HB7" i="30" s="1"/>
  <c r="HC7" i="30" s="1"/>
  <c r="HD7" i="30" s="1"/>
  <c r="HE7" i="30" s="1"/>
  <c r="HF7" i="30" s="1"/>
  <c r="HG7" i="30" s="1"/>
  <c r="HH7" i="30" s="1"/>
  <c r="HI7" i="30" s="1"/>
  <c r="HJ7" i="30" s="1"/>
  <c r="HK7" i="30" s="1"/>
  <c r="HL7" i="30" s="1"/>
  <c r="HM7" i="30" s="1"/>
  <c r="HN7" i="30" s="1"/>
  <c r="HO7" i="30" s="1"/>
  <c r="HP7" i="30" s="1"/>
  <c r="HQ7" i="30" s="1"/>
  <c r="HR7" i="30" s="1"/>
  <c r="HS7" i="30" s="1"/>
  <c r="HT7" i="30" s="1"/>
  <c r="HU7" i="30" s="1"/>
  <c r="HV7" i="30" s="1"/>
  <c r="HW7" i="30" s="1"/>
  <c r="HX7" i="30" s="1"/>
  <c r="HY7" i="30" s="1"/>
  <c r="HZ7" i="30" s="1"/>
  <c r="IA7" i="30" s="1"/>
  <c r="IB7" i="30" s="1"/>
  <c r="IC7" i="30" s="1"/>
  <c r="ID7" i="30" s="1"/>
  <c r="IE7" i="30" s="1"/>
  <c r="IF7" i="30" s="1"/>
  <c r="IG7" i="30" s="1"/>
  <c r="IH7" i="30" s="1"/>
  <c r="II7" i="30" s="1"/>
  <c r="IJ7" i="30" s="1"/>
  <c r="IK7" i="30" s="1"/>
  <c r="IL7" i="30" s="1"/>
  <c r="IM7" i="30" s="1"/>
  <c r="IN7" i="30" s="1"/>
  <c r="IO7" i="30" s="1"/>
  <c r="IP7" i="30" s="1"/>
  <c r="IQ7" i="30" s="1"/>
  <c r="IR7" i="30" s="1"/>
  <c r="IS7" i="30" s="1"/>
  <c r="IT7" i="30" s="1"/>
  <c r="IU7" i="30" s="1"/>
  <c r="IV7" i="30" s="1"/>
  <c r="IW7" i="30" s="1"/>
  <c r="IX7" i="30" s="1"/>
  <c r="IY7" i="30" s="1"/>
  <c r="IZ7" i="30" s="1"/>
  <c r="JA7" i="30" s="1"/>
  <c r="JB7" i="30" s="1"/>
  <c r="JC7" i="30" s="1"/>
  <c r="JD7" i="30" s="1"/>
  <c r="JE7" i="30" s="1"/>
  <c r="JF7" i="30" s="1"/>
  <c r="JG7" i="30" s="1"/>
  <c r="JH7" i="30" s="1"/>
  <c r="JI7" i="30" s="1"/>
  <c r="JJ7" i="30" s="1"/>
  <c r="JK7" i="30" s="1"/>
  <c r="JL7" i="30" s="1"/>
  <c r="JM7" i="30" s="1"/>
  <c r="JN7" i="30" s="1"/>
  <c r="JO7" i="30" s="1"/>
  <c r="JP7" i="30" s="1"/>
  <c r="JQ7" i="30" s="1"/>
  <c r="JR7" i="30" s="1"/>
  <c r="JS7" i="30" s="1"/>
  <c r="JT7" i="30" s="1"/>
  <c r="JU7" i="30" s="1"/>
  <c r="JV7" i="30" s="1"/>
  <c r="JW7" i="30" s="1"/>
  <c r="JX7" i="30" s="1"/>
  <c r="JY7" i="30" s="1"/>
  <c r="JZ7" i="30" s="1"/>
  <c r="KA7" i="30" s="1"/>
  <c r="KB7" i="30" s="1"/>
  <c r="KC7" i="30" s="1"/>
  <c r="KD7" i="30" s="1"/>
  <c r="KE7" i="30" s="1"/>
  <c r="KF7" i="30" s="1"/>
  <c r="KG7" i="30" s="1"/>
  <c r="KH7" i="30" s="1"/>
  <c r="KI7" i="30" s="1"/>
  <c r="KJ7" i="30" s="1"/>
  <c r="KK7" i="30" s="1"/>
  <c r="KL7" i="30" s="1"/>
  <c r="KM7" i="30" s="1"/>
  <c r="KN7" i="30" s="1"/>
  <c r="KO7" i="30" s="1"/>
  <c r="KP7" i="30" s="1"/>
  <c r="KQ7" i="30" s="1"/>
  <c r="KR7" i="30" s="1"/>
  <c r="KS7" i="30" s="1"/>
  <c r="KT7" i="30" s="1"/>
  <c r="KU7" i="30" s="1"/>
  <c r="KV7" i="30" s="1"/>
  <c r="KW7" i="30" s="1"/>
  <c r="KX7" i="30" s="1"/>
  <c r="KY7" i="30" s="1"/>
  <c r="KZ7" i="30" s="1"/>
  <c r="LA7" i="30" s="1"/>
  <c r="LB7" i="30" s="1"/>
  <c r="LC7" i="30" s="1"/>
  <c r="LD7" i="30" s="1"/>
  <c r="LE7" i="30" s="1"/>
  <c r="LF7" i="30" s="1"/>
  <c r="LG7" i="30" s="1"/>
  <c r="LH7" i="30" s="1"/>
  <c r="LI7" i="30" s="1"/>
  <c r="LJ7" i="30" s="1"/>
  <c r="W8" i="30"/>
  <c r="X8" i="30" s="1"/>
  <c r="Y8" i="30" s="1"/>
  <c r="Z8" i="30" s="1"/>
  <c r="AA8" i="30" s="1"/>
  <c r="AB8" i="30" s="1"/>
  <c r="AC8" i="30" s="1"/>
  <c r="AD8" i="30" s="1"/>
  <c r="AE8" i="30" s="1"/>
  <c r="AF8" i="30" s="1"/>
  <c r="AG8" i="30" s="1"/>
  <c r="AH8" i="30" s="1"/>
  <c r="AI8" i="30" s="1"/>
  <c r="AJ8" i="30" s="1"/>
  <c r="AK8" i="30" s="1"/>
  <c r="AL8" i="30" s="1"/>
  <c r="AM8" i="30" s="1"/>
  <c r="AN8" i="30" s="1"/>
  <c r="AO8" i="30" s="1"/>
  <c r="AP8" i="30" s="1"/>
  <c r="AQ8" i="30" s="1"/>
  <c r="AR8" i="30" s="1"/>
  <c r="AS8" i="30" s="1"/>
  <c r="AT8" i="30" s="1"/>
  <c r="AU8" i="30" s="1"/>
  <c r="AV8" i="30" s="1"/>
  <c r="AW8" i="30" s="1"/>
  <c r="AX8" i="30" s="1"/>
  <c r="AY8" i="30" s="1"/>
  <c r="AZ8" i="30" s="1"/>
  <c r="BA8" i="30" s="1"/>
  <c r="BB8" i="30" s="1"/>
  <c r="BC8" i="30" s="1"/>
  <c r="BD8" i="30" s="1"/>
  <c r="BE8" i="30" s="1"/>
  <c r="BF8" i="30" s="1"/>
  <c r="BG8" i="30" s="1"/>
  <c r="BH8" i="30" s="1"/>
  <c r="BI8" i="30" s="1"/>
  <c r="BJ8" i="30" s="1"/>
  <c r="BK8" i="30" s="1"/>
  <c r="BL8" i="30" s="1"/>
  <c r="BM8" i="30" s="1"/>
  <c r="BN8" i="30" s="1"/>
  <c r="BO8" i="30" s="1"/>
  <c r="BP8" i="30" s="1"/>
  <c r="BQ8" i="30" s="1"/>
  <c r="BR8" i="30" s="1"/>
  <c r="BS8" i="30" s="1"/>
  <c r="BT8" i="30" s="1"/>
  <c r="BU8" i="30" s="1"/>
  <c r="BV8" i="30" s="1"/>
  <c r="BW8" i="30" s="1"/>
  <c r="BX8" i="30" s="1"/>
  <c r="BY8" i="30" s="1"/>
  <c r="BZ8" i="30" s="1"/>
  <c r="CA8" i="30" s="1"/>
  <c r="CB8" i="30" s="1"/>
  <c r="CC8" i="30" s="1"/>
  <c r="CD8" i="30" s="1"/>
  <c r="CE8" i="30" s="1"/>
  <c r="CF8" i="30" s="1"/>
  <c r="CG8" i="30" s="1"/>
  <c r="CH8" i="30" s="1"/>
  <c r="CI8" i="30" s="1"/>
  <c r="CJ8" i="30" s="1"/>
  <c r="CK8" i="30" s="1"/>
  <c r="CL8" i="30" s="1"/>
  <c r="CM8" i="30" s="1"/>
  <c r="CN8" i="30" s="1"/>
  <c r="CO8" i="30" s="1"/>
  <c r="CP8" i="30" s="1"/>
  <c r="CQ8" i="30" s="1"/>
  <c r="CR8" i="30" s="1"/>
  <c r="CS8" i="30" s="1"/>
  <c r="CT8" i="30" s="1"/>
  <c r="CU8" i="30" s="1"/>
  <c r="CV8" i="30" s="1"/>
  <c r="CW8" i="30" s="1"/>
  <c r="CX8" i="30" s="1"/>
  <c r="CY8" i="30" s="1"/>
  <c r="CZ8" i="30" s="1"/>
  <c r="DA8" i="30" s="1"/>
  <c r="DB8" i="30" s="1"/>
  <c r="DC8" i="30" s="1"/>
  <c r="DD8" i="30" s="1"/>
  <c r="DE8" i="30" s="1"/>
  <c r="DF8" i="30" s="1"/>
  <c r="DG8" i="30" s="1"/>
  <c r="DH8" i="30" s="1"/>
  <c r="DI8" i="30" s="1"/>
  <c r="DJ8" i="30" s="1"/>
  <c r="DK8" i="30" s="1"/>
  <c r="DL8" i="30" s="1"/>
  <c r="DM8" i="30" s="1"/>
  <c r="DN8" i="30" s="1"/>
  <c r="DO8" i="30" s="1"/>
  <c r="DP8" i="30" s="1"/>
  <c r="DQ8" i="30" s="1"/>
  <c r="DR8" i="30" s="1"/>
  <c r="DS8" i="30" s="1"/>
  <c r="DT8" i="30" s="1"/>
  <c r="DU8" i="30" s="1"/>
  <c r="DV8" i="30" s="1"/>
  <c r="DW8" i="30" s="1"/>
  <c r="DX8" i="30" s="1"/>
  <c r="DY8" i="30" s="1"/>
  <c r="DZ8" i="30" s="1"/>
  <c r="EA8" i="30" s="1"/>
  <c r="EB8" i="30" s="1"/>
  <c r="EC8" i="30" s="1"/>
  <c r="ED8" i="30" s="1"/>
  <c r="EE8" i="30" s="1"/>
  <c r="EF8" i="30" s="1"/>
  <c r="EG8" i="30" s="1"/>
  <c r="EH8" i="30" s="1"/>
  <c r="EI8" i="30" s="1"/>
  <c r="EJ8" i="30" s="1"/>
  <c r="EK8" i="30" s="1"/>
  <c r="EL8" i="30" s="1"/>
  <c r="EM8" i="30" s="1"/>
  <c r="EN8" i="30" s="1"/>
  <c r="EO8" i="30" s="1"/>
  <c r="EP8" i="30" s="1"/>
  <c r="EQ8" i="30" s="1"/>
  <c r="ER8" i="30" s="1"/>
  <c r="ES8" i="30" s="1"/>
  <c r="ET8" i="30" s="1"/>
  <c r="EU8" i="30" s="1"/>
  <c r="EV8" i="30" s="1"/>
  <c r="EW8" i="30" s="1"/>
  <c r="EX8" i="30" s="1"/>
  <c r="EY8" i="30" s="1"/>
  <c r="EZ8" i="30" s="1"/>
  <c r="FA8" i="30" s="1"/>
  <c r="FB8" i="30" s="1"/>
  <c r="FC8" i="30" s="1"/>
  <c r="FD8" i="30" s="1"/>
  <c r="FE8" i="30" s="1"/>
  <c r="FF8" i="30" s="1"/>
  <c r="FG8" i="30" s="1"/>
  <c r="FH8" i="30" s="1"/>
  <c r="FI8" i="30" s="1"/>
  <c r="FJ8" i="30" s="1"/>
  <c r="FK8" i="30" s="1"/>
  <c r="FL8" i="30" s="1"/>
  <c r="FM8" i="30" s="1"/>
  <c r="FN8" i="30" s="1"/>
  <c r="FO8" i="30" s="1"/>
  <c r="FP8" i="30" s="1"/>
  <c r="FQ8" i="30" s="1"/>
  <c r="FR8" i="30" s="1"/>
  <c r="FS8" i="30" s="1"/>
  <c r="FT8" i="30" s="1"/>
  <c r="FU8" i="30" s="1"/>
  <c r="FV8" i="30" s="1"/>
  <c r="FW8" i="30" s="1"/>
  <c r="FX8" i="30" s="1"/>
  <c r="FY8" i="30" s="1"/>
  <c r="FZ8" i="30" s="1"/>
  <c r="GA8" i="30" s="1"/>
  <c r="GB8" i="30" s="1"/>
  <c r="GC8" i="30" s="1"/>
  <c r="GD8" i="30" s="1"/>
  <c r="GE8" i="30" s="1"/>
  <c r="GF8" i="30" s="1"/>
  <c r="GG8" i="30" s="1"/>
  <c r="GH8" i="30" s="1"/>
  <c r="GI8" i="30" s="1"/>
  <c r="GJ8" i="30" s="1"/>
  <c r="GK8" i="30" s="1"/>
  <c r="GL8" i="30" s="1"/>
  <c r="GM8" i="30" s="1"/>
  <c r="GN8" i="30" s="1"/>
  <c r="GO8" i="30" s="1"/>
  <c r="GP8" i="30" s="1"/>
  <c r="GQ8" i="30" s="1"/>
  <c r="GR8" i="30" s="1"/>
  <c r="GS8" i="30" s="1"/>
  <c r="GT8" i="30" s="1"/>
  <c r="GU8" i="30" s="1"/>
  <c r="GV8" i="30" s="1"/>
  <c r="GW8" i="30" s="1"/>
  <c r="GX8" i="30" s="1"/>
  <c r="GY8" i="30" s="1"/>
  <c r="GZ8" i="30" s="1"/>
  <c r="HA8" i="30" s="1"/>
  <c r="HB8" i="30" s="1"/>
  <c r="HC8" i="30" s="1"/>
  <c r="HD8" i="30" s="1"/>
  <c r="HE8" i="30" s="1"/>
  <c r="HF8" i="30" s="1"/>
  <c r="HG8" i="30" s="1"/>
  <c r="HH8" i="30" s="1"/>
  <c r="HI8" i="30" s="1"/>
  <c r="HJ8" i="30" s="1"/>
  <c r="HK8" i="30" s="1"/>
  <c r="HL8" i="30" s="1"/>
  <c r="HM8" i="30" s="1"/>
  <c r="HN8" i="30" s="1"/>
  <c r="HO8" i="30" s="1"/>
  <c r="HP8" i="30" s="1"/>
  <c r="HQ8" i="30" s="1"/>
  <c r="HR8" i="30" s="1"/>
  <c r="HS8" i="30" s="1"/>
  <c r="HT8" i="30" s="1"/>
  <c r="HU8" i="30" s="1"/>
  <c r="HV8" i="30" s="1"/>
  <c r="HW8" i="30" s="1"/>
  <c r="HX8" i="30" s="1"/>
  <c r="HY8" i="30" s="1"/>
  <c r="HZ8" i="30" s="1"/>
  <c r="IA8" i="30" s="1"/>
  <c r="IB8" i="30" s="1"/>
  <c r="IC8" i="30" s="1"/>
  <c r="ID8" i="30" s="1"/>
  <c r="IE8" i="30" s="1"/>
  <c r="IF8" i="30" s="1"/>
  <c r="IG8" i="30" s="1"/>
  <c r="IH8" i="30" s="1"/>
  <c r="II8" i="30" s="1"/>
  <c r="IJ8" i="30" s="1"/>
  <c r="IK8" i="30" s="1"/>
  <c r="IL8" i="30" s="1"/>
  <c r="IM8" i="30" s="1"/>
  <c r="IN8" i="30" s="1"/>
  <c r="IO8" i="30" s="1"/>
  <c r="IP8" i="30" s="1"/>
  <c r="IQ8" i="30" s="1"/>
  <c r="IR8" i="30" s="1"/>
  <c r="IS8" i="30" s="1"/>
  <c r="IT8" i="30" s="1"/>
  <c r="IU8" i="30" s="1"/>
  <c r="IV8" i="30" s="1"/>
  <c r="IW8" i="30" s="1"/>
  <c r="IX8" i="30" s="1"/>
  <c r="IY8" i="30" s="1"/>
  <c r="IZ8" i="30" s="1"/>
  <c r="JA8" i="30" s="1"/>
  <c r="JB8" i="30" s="1"/>
  <c r="JC8" i="30" s="1"/>
  <c r="JD8" i="30" s="1"/>
  <c r="JE8" i="30" s="1"/>
  <c r="JF8" i="30" s="1"/>
  <c r="JG8" i="30" s="1"/>
  <c r="JH8" i="30" s="1"/>
  <c r="JI8" i="30" s="1"/>
  <c r="JJ8" i="30" s="1"/>
  <c r="JK8" i="30" s="1"/>
  <c r="JL8" i="30" s="1"/>
  <c r="JM8" i="30" s="1"/>
  <c r="JN8" i="30" s="1"/>
  <c r="JO8" i="30" s="1"/>
  <c r="JP8" i="30" s="1"/>
  <c r="JQ8" i="30" s="1"/>
  <c r="JR8" i="30" s="1"/>
  <c r="JS8" i="30" s="1"/>
  <c r="JT8" i="30" s="1"/>
  <c r="JU8" i="30" s="1"/>
  <c r="JV8" i="30" s="1"/>
  <c r="JW8" i="30" s="1"/>
  <c r="JX8" i="30" s="1"/>
  <c r="JY8" i="30" s="1"/>
  <c r="JZ8" i="30" s="1"/>
  <c r="KA8" i="30" s="1"/>
  <c r="KB8" i="30" s="1"/>
  <c r="KC8" i="30" s="1"/>
  <c r="KD8" i="30" s="1"/>
  <c r="KE8" i="30" s="1"/>
  <c r="KF8" i="30" s="1"/>
  <c r="KG8" i="30" s="1"/>
  <c r="KH8" i="30" s="1"/>
  <c r="KI8" i="30" s="1"/>
  <c r="KJ8" i="30" s="1"/>
  <c r="KK8" i="30" s="1"/>
  <c r="KL8" i="30" s="1"/>
  <c r="KM8" i="30" s="1"/>
  <c r="KN8" i="30" s="1"/>
  <c r="KO8" i="30" s="1"/>
  <c r="KP8" i="30" s="1"/>
  <c r="KQ8" i="30" s="1"/>
  <c r="KR8" i="30" s="1"/>
  <c r="KS8" i="30" s="1"/>
  <c r="KT8" i="30" s="1"/>
  <c r="KU8" i="30" s="1"/>
  <c r="KV8" i="30" s="1"/>
  <c r="KW8" i="30" s="1"/>
  <c r="KX8" i="30" s="1"/>
  <c r="KY8" i="30" s="1"/>
  <c r="KZ8" i="30" s="1"/>
  <c r="LA8" i="30" s="1"/>
  <c r="LB8" i="30" s="1"/>
  <c r="LC8" i="30" s="1"/>
  <c r="LD8" i="30" s="1"/>
  <c r="LE8" i="30" s="1"/>
  <c r="LF8" i="30" s="1"/>
  <c r="LG8" i="30" s="1"/>
  <c r="LH8" i="30" s="1"/>
  <c r="LI8" i="30" s="1"/>
  <c r="LJ8" i="30" s="1"/>
  <c r="W9" i="30"/>
  <c r="X9" i="30" s="1"/>
  <c r="Y9" i="30" s="1"/>
  <c r="Z9" i="30" s="1"/>
  <c r="AA9" i="30" s="1"/>
  <c r="AB9" i="30" s="1"/>
  <c r="AC9" i="30" s="1"/>
  <c r="AD9" i="30" s="1"/>
  <c r="AE9" i="30" s="1"/>
  <c r="AF9" i="30" s="1"/>
  <c r="AG9" i="30" s="1"/>
  <c r="AH9" i="30" s="1"/>
  <c r="AI9" i="30" s="1"/>
  <c r="AJ9" i="30" s="1"/>
  <c r="AK9" i="30" s="1"/>
  <c r="AL9" i="30" s="1"/>
  <c r="AM9" i="30" s="1"/>
  <c r="AN9" i="30" s="1"/>
  <c r="AO9" i="30" s="1"/>
  <c r="AP9" i="30" s="1"/>
  <c r="AQ9" i="30" s="1"/>
  <c r="AR9" i="30" s="1"/>
  <c r="AS9" i="30" s="1"/>
  <c r="AT9" i="30" s="1"/>
  <c r="AU9" i="30" s="1"/>
  <c r="AV9" i="30" s="1"/>
  <c r="AW9" i="30" s="1"/>
  <c r="AX9" i="30" s="1"/>
  <c r="AY9" i="30" s="1"/>
  <c r="AZ9" i="30" s="1"/>
  <c r="BA9" i="30" s="1"/>
  <c r="BB9" i="30" s="1"/>
  <c r="BC9" i="30" s="1"/>
  <c r="BD9" i="30" s="1"/>
  <c r="BE9" i="30" s="1"/>
  <c r="BF9" i="30" s="1"/>
  <c r="BG9" i="30" s="1"/>
  <c r="BH9" i="30" s="1"/>
  <c r="BI9" i="30" s="1"/>
  <c r="BJ9" i="30" s="1"/>
  <c r="BK9" i="30" s="1"/>
  <c r="BL9" i="30" s="1"/>
  <c r="BM9" i="30" s="1"/>
  <c r="BN9" i="30" s="1"/>
  <c r="BO9" i="30" s="1"/>
  <c r="BP9" i="30" s="1"/>
  <c r="BQ9" i="30" s="1"/>
  <c r="BR9" i="30" s="1"/>
  <c r="BS9" i="30" s="1"/>
  <c r="BT9" i="30" s="1"/>
  <c r="BU9" i="30" s="1"/>
  <c r="BV9" i="30" s="1"/>
  <c r="BW9" i="30" s="1"/>
  <c r="BX9" i="30" s="1"/>
  <c r="BY9" i="30" s="1"/>
  <c r="BZ9" i="30" s="1"/>
  <c r="CA9" i="30" s="1"/>
  <c r="CB9" i="30" s="1"/>
  <c r="CC9" i="30" s="1"/>
  <c r="CD9" i="30" s="1"/>
  <c r="CE9" i="30" s="1"/>
  <c r="CF9" i="30" s="1"/>
  <c r="CG9" i="30" s="1"/>
  <c r="CH9" i="30" s="1"/>
  <c r="CI9" i="30" s="1"/>
  <c r="CJ9" i="30" s="1"/>
  <c r="CK9" i="30" s="1"/>
  <c r="CL9" i="30" s="1"/>
  <c r="CM9" i="30" s="1"/>
  <c r="CN9" i="30" s="1"/>
  <c r="CO9" i="30" s="1"/>
  <c r="CP9" i="30" s="1"/>
  <c r="CQ9" i="30" s="1"/>
  <c r="CR9" i="30" s="1"/>
  <c r="CS9" i="30" s="1"/>
  <c r="CT9" i="30" s="1"/>
  <c r="CU9" i="30" s="1"/>
  <c r="CV9" i="30" s="1"/>
  <c r="CW9" i="30" s="1"/>
  <c r="CX9" i="30" s="1"/>
  <c r="CY9" i="30" s="1"/>
  <c r="CZ9" i="30" s="1"/>
  <c r="DA9" i="30" s="1"/>
  <c r="DB9" i="30" s="1"/>
  <c r="DC9" i="30" s="1"/>
  <c r="DD9" i="30" s="1"/>
  <c r="DE9" i="30" s="1"/>
  <c r="DF9" i="30" s="1"/>
  <c r="DG9" i="30" s="1"/>
  <c r="DH9" i="30" s="1"/>
  <c r="DI9" i="30" s="1"/>
  <c r="DJ9" i="30" s="1"/>
  <c r="DK9" i="30" s="1"/>
  <c r="DL9" i="30" s="1"/>
  <c r="DM9" i="30" s="1"/>
  <c r="DN9" i="30" s="1"/>
  <c r="DO9" i="30" s="1"/>
  <c r="DP9" i="30" s="1"/>
  <c r="DQ9" i="30" s="1"/>
  <c r="DR9" i="30" s="1"/>
  <c r="DS9" i="30" s="1"/>
  <c r="DT9" i="30" s="1"/>
  <c r="DU9" i="30" s="1"/>
  <c r="DV9" i="30" s="1"/>
  <c r="DW9" i="30" s="1"/>
  <c r="DX9" i="30" s="1"/>
  <c r="DY9" i="30" s="1"/>
  <c r="DZ9" i="30" s="1"/>
  <c r="EA9" i="30" s="1"/>
  <c r="EB9" i="30" s="1"/>
  <c r="EC9" i="30" s="1"/>
  <c r="ED9" i="30" s="1"/>
  <c r="EE9" i="30" s="1"/>
  <c r="EF9" i="30" s="1"/>
  <c r="EG9" i="30" s="1"/>
  <c r="EH9" i="30" s="1"/>
  <c r="EI9" i="30" s="1"/>
  <c r="EJ9" i="30" s="1"/>
  <c r="EK9" i="30" s="1"/>
  <c r="EL9" i="30" s="1"/>
  <c r="EM9" i="30" s="1"/>
  <c r="EN9" i="30" s="1"/>
  <c r="EO9" i="30" s="1"/>
  <c r="EP9" i="30" s="1"/>
  <c r="EQ9" i="30" s="1"/>
  <c r="ER9" i="30" s="1"/>
  <c r="ES9" i="30" s="1"/>
  <c r="ET9" i="30" s="1"/>
  <c r="EU9" i="30" s="1"/>
  <c r="EV9" i="30" s="1"/>
  <c r="EW9" i="30" s="1"/>
  <c r="EX9" i="30" s="1"/>
  <c r="EY9" i="30" s="1"/>
  <c r="EZ9" i="30" s="1"/>
  <c r="FA9" i="30" s="1"/>
  <c r="FB9" i="30" s="1"/>
  <c r="FC9" i="30" s="1"/>
  <c r="FD9" i="30" s="1"/>
  <c r="FE9" i="30" s="1"/>
  <c r="FF9" i="30" s="1"/>
  <c r="FG9" i="30" s="1"/>
  <c r="FH9" i="30" s="1"/>
  <c r="FI9" i="30" s="1"/>
  <c r="FJ9" i="30" s="1"/>
  <c r="FK9" i="30" s="1"/>
  <c r="FL9" i="30" s="1"/>
  <c r="FM9" i="30" s="1"/>
  <c r="FN9" i="30" s="1"/>
  <c r="FO9" i="30" s="1"/>
  <c r="FP9" i="30" s="1"/>
  <c r="FQ9" i="30" s="1"/>
  <c r="FR9" i="30" s="1"/>
  <c r="FS9" i="30" s="1"/>
  <c r="FT9" i="30" s="1"/>
  <c r="FU9" i="30" s="1"/>
  <c r="FV9" i="30" s="1"/>
  <c r="FW9" i="30" s="1"/>
  <c r="FX9" i="30" s="1"/>
  <c r="FY9" i="30" s="1"/>
  <c r="FZ9" i="30" s="1"/>
  <c r="GA9" i="30" s="1"/>
  <c r="GB9" i="30" s="1"/>
  <c r="GC9" i="30" s="1"/>
  <c r="GD9" i="30" s="1"/>
  <c r="GE9" i="30" s="1"/>
  <c r="GF9" i="30" s="1"/>
  <c r="GG9" i="30" s="1"/>
  <c r="GH9" i="30" s="1"/>
  <c r="GI9" i="30" s="1"/>
  <c r="GJ9" i="30" s="1"/>
  <c r="GK9" i="30" s="1"/>
  <c r="GL9" i="30" s="1"/>
  <c r="GM9" i="30" s="1"/>
  <c r="GN9" i="30" s="1"/>
  <c r="GO9" i="30" s="1"/>
  <c r="GP9" i="30" s="1"/>
  <c r="GQ9" i="30" s="1"/>
  <c r="GR9" i="30" s="1"/>
  <c r="GS9" i="30" s="1"/>
  <c r="GT9" i="30" s="1"/>
  <c r="GU9" i="30" s="1"/>
  <c r="GV9" i="30" s="1"/>
  <c r="GW9" i="30" s="1"/>
  <c r="GX9" i="30" s="1"/>
  <c r="GY9" i="30" s="1"/>
  <c r="GZ9" i="30" s="1"/>
  <c r="HA9" i="30" s="1"/>
  <c r="HB9" i="30" s="1"/>
  <c r="HC9" i="30" s="1"/>
  <c r="HD9" i="30" s="1"/>
  <c r="HE9" i="30" s="1"/>
  <c r="HF9" i="30" s="1"/>
  <c r="HG9" i="30" s="1"/>
  <c r="HH9" i="30" s="1"/>
  <c r="HI9" i="30" s="1"/>
  <c r="HJ9" i="30" s="1"/>
  <c r="HK9" i="30" s="1"/>
  <c r="HL9" i="30" s="1"/>
  <c r="HM9" i="30" s="1"/>
  <c r="HN9" i="30" s="1"/>
  <c r="HO9" i="30" s="1"/>
  <c r="HP9" i="30" s="1"/>
  <c r="HQ9" i="30" s="1"/>
  <c r="HR9" i="30" s="1"/>
  <c r="HS9" i="30" s="1"/>
  <c r="HT9" i="30" s="1"/>
  <c r="HU9" i="30" s="1"/>
  <c r="HV9" i="30" s="1"/>
  <c r="HW9" i="30" s="1"/>
  <c r="HX9" i="30" s="1"/>
  <c r="HY9" i="30" s="1"/>
  <c r="HZ9" i="30" s="1"/>
  <c r="IA9" i="30" s="1"/>
  <c r="IB9" i="30" s="1"/>
  <c r="IC9" i="30" s="1"/>
  <c r="ID9" i="30" s="1"/>
  <c r="IE9" i="30" s="1"/>
  <c r="IF9" i="30" s="1"/>
  <c r="IG9" i="30" s="1"/>
  <c r="IH9" i="30" s="1"/>
  <c r="II9" i="30" s="1"/>
  <c r="IJ9" i="30" s="1"/>
  <c r="IK9" i="30" s="1"/>
  <c r="IL9" i="30" s="1"/>
  <c r="IM9" i="30" s="1"/>
  <c r="IN9" i="30" s="1"/>
  <c r="IO9" i="30" s="1"/>
  <c r="IP9" i="30" s="1"/>
  <c r="IQ9" i="30" s="1"/>
  <c r="IR9" i="30" s="1"/>
  <c r="IS9" i="30" s="1"/>
  <c r="IT9" i="30" s="1"/>
  <c r="IU9" i="30" s="1"/>
  <c r="IV9" i="30" s="1"/>
  <c r="IW9" i="30" s="1"/>
  <c r="IX9" i="30" s="1"/>
  <c r="IY9" i="30" s="1"/>
  <c r="IZ9" i="30" s="1"/>
  <c r="JA9" i="30" s="1"/>
  <c r="JB9" i="30" s="1"/>
  <c r="JC9" i="30" s="1"/>
  <c r="JD9" i="30" s="1"/>
  <c r="JE9" i="30" s="1"/>
  <c r="JF9" i="30" s="1"/>
  <c r="JG9" i="30" s="1"/>
  <c r="JH9" i="30" s="1"/>
  <c r="JI9" i="30" s="1"/>
  <c r="JJ9" i="30" s="1"/>
  <c r="JK9" i="30" s="1"/>
  <c r="JL9" i="30" s="1"/>
  <c r="JM9" i="30" s="1"/>
  <c r="JN9" i="30" s="1"/>
  <c r="JO9" i="30" s="1"/>
  <c r="JP9" i="30" s="1"/>
  <c r="JQ9" i="30" s="1"/>
  <c r="JR9" i="30" s="1"/>
  <c r="JS9" i="30" s="1"/>
  <c r="JT9" i="30" s="1"/>
  <c r="JU9" i="30" s="1"/>
  <c r="JV9" i="30" s="1"/>
  <c r="JW9" i="30" s="1"/>
  <c r="JX9" i="30" s="1"/>
  <c r="JY9" i="30" s="1"/>
  <c r="JZ9" i="30" s="1"/>
  <c r="KA9" i="30" s="1"/>
  <c r="KB9" i="30" s="1"/>
  <c r="KC9" i="30" s="1"/>
  <c r="KD9" i="30" s="1"/>
  <c r="KE9" i="30" s="1"/>
  <c r="KF9" i="30" s="1"/>
  <c r="KG9" i="30" s="1"/>
  <c r="KH9" i="30" s="1"/>
  <c r="KI9" i="30" s="1"/>
  <c r="KJ9" i="30" s="1"/>
  <c r="KK9" i="30" s="1"/>
  <c r="KL9" i="30" s="1"/>
  <c r="KM9" i="30" s="1"/>
  <c r="KN9" i="30" s="1"/>
  <c r="KO9" i="30" s="1"/>
  <c r="KP9" i="30" s="1"/>
  <c r="KQ9" i="30" s="1"/>
  <c r="KR9" i="30" s="1"/>
  <c r="KS9" i="30" s="1"/>
  <c r="KT9" i="30" s="1"/>
  <c r="KU9" i="30" s="1"/>
  <c r="KV9" i="30" s="1"/>
  <c r="KW9" i="30" s="1"/>
  <c r="KX9" i="30" s="1"/>
  <c r="KY9" i="30" s="1"/>
  <c r="KZ9" i="30" s="1"/>
  <c r="LA9" i="30" s="1"/>
  <c r="LB9" i="30" s="1"/>
  <c r="LC9" i="30" s="1"/>
  <c r="LD9" i="30" s="1"/>
  <c r="LE9" i="30" s="1"/>
  <c r="LF9" i="30" s="1"/>
  <c r="LG9" i="30" s="1"/>
  <c r="LH9" i="30" s="1"/>
  <c r="LI9" i="30" s="1"/>
  <c r="LJ9" i="30" s="1"/>
  <c r="W10" i="30"/>
  <c r="X10" i="30" s="1"/>
  <c r="Y10" i="30" s="1"/>
  <c r="Z10" i="30" s="1"/>
  <c r="AA10" i="30" s="1"/>
  <c r="AB10" i="30" s="1"/>
  <c r="AC10" i="30" s="1"/>
  <c r="AD10" i="30" s="1"/>
  <c r="AE10" i="30" s="1"/>
  <c r="AF10" i="30" s="1"/>
  <c r="AG10" i="30" s="1"/>
  <c r="AH10" i="30" s="1"/>
  <c r="AI10" i="30" s="1"/>
  <c r="AJ10" i="30" s="1"/>
  <c r="AK10" i="30" s="1"/>
  <c r="AL10" i="30" s="1"/>
  <c r="AM10" i="30" s="1"/>
  <c r="AN10" i="30" s="1"/>
  <c r="AO10" i="30" s="1"/>
  <c r="AP10" i="30" s="1"/>
  <c r="AQ10" i="30" s="1"/>
  <c r="AR10" i="30" s="1"/>
  <c r="AS10" i="30" s="1"/>
  <c r="AT10" i="30" s="1"/>
  <c r="AU10" i="30" s="1"/>
  <c r="AV10" i="30" s="1"/>
  <c r="AW10" i="30" s="1"/>
  <c r="AX10" i="30" s="1"/>
  <c r="AY10" i="30" s="1"/>
  <c r="AZ10" i="30" s="1"/>
  <c r="BA10" i="30" s="1"/>
  <c r="BB10" i="30" s="1"/>
  <c r="BC10" i="30" s="1"/>
  <c r="BD10" i="30" s="1"/>
  <c r="BE10" i="30" s="1"/>
  <c r="BF10" i="30" s="1"/>
  <c r="BG10" i="30" s="1"/>
  <c r="BH10" i="30" s="1"/>
  <c r="BI10" i="30" s="1"/>
  <c r="BJ10" i="30" s="1"/>
  <c r="BK10" i="30" s="1"/>
  <c r="BL10" i="30" s="1"/>
  <c r="BM10" i="30" s="1"/>
  <c r="BN10" i="30" s="1"/>
  <c r="BO10" i="30" s="1"/>
  <c r="BP10" i="30" s="1"/>
  <c r="BQ10" i="30" s="1"/>
  <c r="BR10" i="30" s="1"/>
  <c r="BS10" i="30" s="1"/>
  <c r="BT10" i="30" s="1"/>
  <c r="BU10" i="30" s="1"/>
  <c r="BV10" i="30" s="1"/>
  <c r="BW10" i="30" s="1"/>
  <c r="BX10" i="30" s="1"/>
  <c r="BY10" i="30" s="1"/>
  <c r="BZ10" i="30" s="1"/>
  <c r="CA10" i="30" s="1"/>
  <c r="CB10" i="30" s="1"/>
  <c r="CC10" i="30" s="1"/>
  <c r="CD10" i="30" s="1"/>
  <c r="CE10" i="30" s="1"/>
  <c r="CF10" i="30" s="1"/>
  <c r="CG10" i="30" s="1"/>
  <c r="CH10" i="30" s="1"/>
  <c r="CI10" i="30" s="1"/>
  <c r="CJ10" i="30" s="1"/>
  <c r="CK10" i="30" s="1"/>
  <c r="CL10" i="30" s="1"/>
  <c r="CM10" i="30" s="1"/>
  <c r="CN10" i="30" s="1"/>
  <c r="CO10" i="30" s="1"/>
  <c r="CP10" i="30" s="1"/>
  <c r="CQ10" i="30" s="1"/>
  <c r="CR10" i="30" s="1"/>
  <c r="CS10" i="30" s="1"/>
  <c r="CT10" i="30" s="1"/>
  <c r="CU10" i="30" s="1"/>
  <c r="CV10" i="30" s="1"/>
  <c r="CW10" i="30" s="1"/>
  <c r="CX10" i="30" s="1"/>
  <c r="CY10" i="30" s="1"/>
  <c r="CZ10" i="30" s="1"/>
  <c r="DA10" i="30" s="1"/>
  <c r="DB10" i="30" s="1"/>
  <c r="DC10" i="30" s="1"/>
  <c r="DD10" i="30" s="1"/>
  <c r="DE10" i="30" s="1"/>
  <c r="DF10" i="30" s="1"/>
  <c r="DG10" i="30" s="1"/>
  <c r="DH10" i="30" s="1"/>
  <c r="DI10" i="30" s="1"/>
  <c r="DJ10" i="30" s="1"/>
  <c r="DK10" i="30" s="1"/>
  <c r="DL10" i="30" s="1"/>
  <c r="DM10" i="30" s="1"/>
  <c r="DN10" i="30" s="1"/>
  <c r="DO10" i="30" s="1"/>
  <c r="DP10" i="30" s="1"/>
  <c r="DQ10" i="30" s="1"/>
  <c r="DR10" i="30" s="1"/>
  <c r="DS10" i="30" s="1"/>
  <c r="DT10" i="30" s="1"/>
  <c r="DU10" i="30" s="1"/>
  <c r="DV10" i="30" s="1"/>
  <c r="DW10" i="30" s="1"/>
  <c r="DX10" i="30" s="1"/>
  <c r="DY10" i="30" s="1"/>
  <c r="DZ10" i="30" s="1"/>
  <c r="EA10" i="30" s="1"/>
  <c r="EB10" i="30" s="1"/>
  <c r="EC10" i="30" s="1"/>
  <c r="ED10" i="30" s="1"/>
  <c r="EE10" i="30" s="1"/>
  <c r="EF10" i="30" s="1"/>
  <c r="EG10" i="30" s="1"/>
  <c r="EH10" i="30" s="1"/>
  <c r="EI10" i="30" s="1"/>
  <c r="EJ10" i="30" s="1"/>
  <c r="EK10" i="30" s="1"/>
  <c r="EL10" i="30" s="1"/>
  <c r="EM10" i="30" s="1"/>
  <c r="EN10" i="30" s="1"/>
  <c r="EO10" i="30" s="1"/>
  <c r="EP10" i="30" s="1"/>
  <c r="EQ10" i="30" s="1"/>
  <c r="ER10" i="30" s="1"/>
  <c r="ES10" i="30" s="1"/>
  <c r="ET10" i="30" s="1"/>
  <c r="EU10" i="30" s="1"/>
  <c r="EV10" i="30" s="1"/>
  <c r="EW10" i="30" s="1"/>
  <c r="EX10" i="30" s="1"/>
  <c r="EY10" i="30" s="1"/>
  <c r="EZ10" i="30" s="1"/>
  <c r="FA10" i="30" s="1"/>
  <c r="FB10" i="30" s="1"/>
  <c r="FC10" i="30" s="1"/>
  <c r="FD10" i="30" s="1"/>
  <c r="FE10" i="30" s="1"/>
  <c r="FF10" i="30" s="1"/>
  <c r="FG10" i="30" s="1"/>
  <c r="FH10" i="30" s="1"/>
  <c r="FI10" i="30" s="1"/>
  <c r="FJ10" i="30" s="1"/>
  <c r="FK10" i="30" s="1"/>
  <c r="FL10" i="30" s="1"/>
  <c r="FM10" i="30" s="1"/>
  <c r="FN10" i="30" s="1"/>
  <c r="FO10" i="30" s="1"/>
  <c r="FP10" i="30" s="1"/>
  <c r="FQ10" i="30" s="1"/>
  <c r="FR10" i="30" s="1"/>
  <c r="FS10" i="30" s="1"/>
  <c r="FT10" i="30" s="1"/>
  <c r="FU10" i="30" s="1"/>
  <c r="FV10" i="30" s="1"/>
  <c r="FW10" i="30" s="1"/>
  <c r="FX10" i="30" s="1"/>
  <c r="FY10" i="30" s="1"/>
  <c r="FZ10" i="30" s="1"/>
  <c r="GA10" i="30" s="1"/>
  <c r="GB10" i="30" s="1"/>
  <c r="GC10" i="30" s="1"/>
  <c r="GD10" i="30" s="1"/>
  <c r="GE10" i="30" s="1"/>
  <c r="GF10" i="30" s="1"/>
  <c r="GG10" i="30" s="1"/>
  <c r="GH10" i="30" s="1"/>
  <c r="GI10" i="30" s="1"/>
  <c r="GJ10" i="30" s="1"/>
  <c r="GK10" i="30" s="1"/>
  <c r="GL10" i="30" s="1"/>
  <c r="GM10" i="30" s="1"/>
  <c r="GN10" i="30" s="1"/>
  <c r="GO10" i="30" s="1"/>
  <c r="GP10" i="30" s="1"/>
  <c r="GQ10" i="30" s="1"/>
  <c r="GR10" i="30" s="1"/>
  <c r="GS10" i="30" s="1"/>
  <c r="GT10" i="30" s="1"/>
  <c r="GU10" i="30" s="1"/>
  <c r="GV10" i="30" s="1"/>
  <c r="GW10" i="30" s="1"/>
  <c r="GX10" i="30" s="1"/>
  <c r="GY10" i="30" s="1"/>
  <c r="GZ10" i="30" s="1"/>
  <c r="HA10" i="30" s="1"/>
  <c r="HB10" i="30" s="1"/>
  <c r="HC10" i="30" s="1"/>
  <c r="HD10" i="30" s="1"/>
  <c r="HE10" i="30" s="1"/>
  <c r="HF10" i="30" s="1"/>
  <c r="HG10" i="30" s="1"/>
  <c r="HH10" i="30" s="1"/>
  <c r="HI10" i="30" s="1"/>
  <c r="HJ10" i="30" s="1"/>
  <c r="HK10" i="30" s="1"/>
  <c r="HL10" i="30" s="1"/>
  <c r="HM10" i="30" s="1"/>
  <c r="HN10" i="30" s="1"/>
  <c r="HO10" i="30" s="1"/>
  <c r="HP10" i="30" s="1"/>
  <c r="HQ10" i="30" s="1"/>
  <c r="HR10" i="30" s="1"/>
  <c r="HS10" i="30" s="1"/>
  <c r="HT10" i="30" s="1"/>
  <c r="HU10" i="30" s="1"/>
  <c r="HV10" i="30" s="1"/>
  <c r="HW10" i="30" s="1"/>
  <c r="HX10" i="30" s="1"/>
  <c r="HY10" i="30" s="1"/>
  <c r="HZ10" i="30" s="1"/>
  <c r="IA10" i="30" s="1"/>
  <c r="IB10" i="30" s="1"/>
  <c r="IC10" i="30" s="1"/>
  <c r="ID10" i="30" s="1"/>
  <c r="IE10" i="30" s="1"/>
  <c r="IF10" i="30" s="1"/>
  <c r="IG10" i="30" s="1"/>
  <c r="IH10" i="30" s="1"/>
  <c r="II10" i="30" s="1"/>
  <c r="IJ10" i="30" s="1"/>
  <c r="IK10" i="30" s="1"/>
  <c r="IL10" i="30" s="1"/>
  <c r="IM10" i="30" s="1"/>
  <c r="IN10" i="30" s="1"/>
  <c r="IO10" i="30" s="1"/>
  <c r="IP10" i="30" s="1"/>
  <c r="IQ10" i="30" s="1"/>
  <c r="IR10" i="30" s="1"/>
  <c r="IS10" i="30" s="1"/>
  <c r="IT10" i="30" s="1"/>
  <c r="IU10" i="30" s="1"/>
  <c r="IV10" i="30" s="1"/>
  <c r="IW10" i="30" s="1"/>
  <c r="IX10" i="30" s="1"/>
  <c r="IY10" i="30" s="1"/>
  <c r="IZ10" i="30" s="1"/>
  <c r="JA10" i="30" s="1"/>
  <c r="JB10" i="30" s="1"/>
  <c r="JC10" i="30" s="1"/>
  <c r="JD10" i="30" s="1"/>
  <c r="JE10" i="30" s="1"/>
  <c r="JF10" i="30" s="1"/>
  <c r="JG10" i="30" s="1"/>
  <c r="JH10" i="30" s="1"/>
  <c r="JI10" i="30" s="1"/>
  <c r="JJ10" i="30" s="1"/>
  <c r="JK10" i="30" s="1"/>
  <c r="JL10" i="30" s="1"/>
  <c r="JM10" i="30" s="1"/>
  <c r="JN10" i="30" s="1"/>
  <c r="JO10" i="30" s="1"/>
  <c r="JP10" i="30" s="1"/>
  <c r="JQ10" i="30" s="1"/>
  <c r="JR10" i="30" s="1"/>
  <c r="JS10" i="30" s="1"/>
  <c r="JT10" i="30" s="1"/>
  <c r="JU10" i="30" s="1"/>
  <c r="JV10" i="30" s="1"/>
  <c r="JW10" i="30" s="1"/>
  <c r="JX10" i="30" s="1"/>
  <c r="JY10" i="30" s="1"/>
  <c r="JZ10" i="30" s="1"/>
  <c r="KA10" i="30" s="1"/>
  <c r="KB10" i="30" s="1"/>
  <c r="KC10" i="30" s="1"/>
  <c r="KD10" i="30" s="1"/>
  <c r="KE10" i="30" s="1"/>
  <c r="KF10" i="30" s="1"/>
  <c r="KG10" i="30" s="1"/>
  <c r="KH10" i="30" s="1"/>
  <c r="KI10" i="30" s="1"/>
  <c r="KJ10" i="30" s="1"/>
  <c r="KK10" i="30" s="1"/>
  <c r="KL10" i="30" s="1"/>
  <c r="KM10" i="30" s="1"/>
  <c r="KN10" i="30" s="1"/>
  <c r="KO10" i="30" s="1"/>
  <c r="KP10" i="30" s="1"/>
  <c r="KQ10" i="30" s="1"/>
  <c r="KR10" i="30" s="1"/>
  <c r="KS10" i="30" s="1"/>
  <c r="KT10" i="30" s="1"/>
  <c r="KU10" i="30" s="1"/>
  <c r="KV10" i="30" s="1"/>
  <c r="KW10" i="30" s="1"/>
  <c r="KX10" i="30" s="1"/>
  <c r="KY10" i="30" s="1"/>
  <c r="KZ10" i="30" s="1"/>
  <c r="LA10" i="30" s="1"/>
  <c r="LB10" i="30" s="1"/>
  <c r="LC10" i="30" s="1"/>
  <c r="LD10" i="30" s="1"/>
  <c r="LE10" i="30" s="1"/>
  <c r="LF10" i="30" s="1"/>
  <c r="LG10" i="30" s="1"/>
  <c r="LH10" i="30" s="1"/>
  <c r="LI10" i="30" s="1"/>
  <c r="LJ10" i="30" s="1"/>
  <c r="W11" i="30"/>
  <c r="X11" i="30" s="1"/>
  <c r="Y11" i="30" s="1"/>
  <c r="Z11" i="30" s="1"/>
  <c r="AA11" i="30" s="1"/>
  <c r="AB11" i="30" s="1"/>
  <c r="AC11" i="30" s="1"/>
  <c r="AD11" i="30" s="1"/>
  <c r="AE11" i="30" s="1"/>
  <c r="AF11" i="30" s="1"/>
  <c r="AG11" i="30" s="1"/>
  <c r="AH11" i="30" s="1"/>
  <c r="AI11" i="30" s="1"/>
  <c r="AJ11" i="30" s="1"/>
  <c r="AK11" i="30" s="1"/>
  <c r="AL11" i="30" s="1"/>
  <c r="AM11" i="30" s="1"/>
  <c r="AN11" i="30" s="1"/>
  <c r="AO11" i="30" s="1"/>
  <c r="AP11" i="30" s="1"/>
  <c r="AQ11" i="30" s="1"/>
  <c r="AR11" i="30" s="1"/>
  <c r="AS11" i="30" s="1"/>
  <c r="AT11" i="30" s="1"/>
  <c r="AU11" i="30" s="1"/>
  <c r="AV11" i="30" s="1"/>
  <c r="AW11" i="30" s="1"/>
  <c r="AX11" i="30" s="1"/>
  <c r="AY11" i="30" s="1"/>
  <c r="AZ11" i="30" s="1"/>
  <c r="BA11" i="30" s="1"/>
  <c r="BB11" i="30" s="1"/>
  <c r="BC11" i="30" s="1"/>
  <c r="BD11" i="30" s="1"/>
  <c r="BE11" i="30" s="1"/>
  <c r="BF11" i="30" s="1"/>
  <c r="BG11" i="30" s="1"/>
  <c r="BH11" i="30" s="1"/>
  <c r="BI11" i="30" s="1"/>
  <c r="BJ11" i="30" s="1"/>
  <c r="BK11" i="30" s="1"/>
  <c r="BL11" i="30" s="1"/>
  <c r="BM11" i="30" s="1"/>
  <c r="BN11" i="30" s="1"/>
  <c r="BO11" i="30" s="1"/>
  <c r="BP11" i="30" s="1"/>
  <c r="BQ11" i="30" s="1"/>
  <c r="BR11" i="30" s="1"/>
  <c r="BS11" i="30" s="1"/>
  <c r="BT11" i="30" s="1"/>
  <c r="BU11" i="30" s="1"/>
  <c r="BV11" i="30" s="1"/>
  <c r="BW11" i="30" s="1"/>
  <c r="BX11" i="30" s="1"/>
  <c r="BY11" i="30" s="1"/>
  <c r="BZ11" i="30" s="1"/>
  <c r="CA11" i="30" s="1"/>
  <c r="CB11" i="30" s="1"/>
  <c r="CC11" i="30" s="1"/>
  <c r="CD11" i="30" s="1"/>
  <c r="CE11" i="30" s="1"/>
  <c r="CF11" i="30" s="1"/>
  <c r="CG11" i="30" s="1"/>
  <c r="CH11" i="30" s="1"/>
  <c r="CI11" i="30" s="1"/>
  <c r="CJ11" i="30" s="1"/>
  <c r="CK11" i="30" s="1"/>
  <c r="CL11" i="30" s="1"/>
  <c r="CM11" i="30" s="1"/>
  <c r="CN11" i="30" s="1"/>
  <c r="CO11" i="30" s="1"/>
  <c r="CP11" i="30" s="1"/>
  <c r="CQ11" i="30" s="1"/>
  <c r="CR11" i="30" s="1"/>
  <c r="CS11" i="30" s="1"/>
  <c r="CT11" i="30" s="1"/>
  <c r="CU11" i="30" s="1"/>
  <c r="CV11" i="30" s="1"/>
  <c r="CW11" i="30" s="1"/>
  <c r="CX11" i="30" s="1"/>
  <c r="CY11" i="30" s="1"/>
  <c r="CZ11" i="30" s="1"/>
  <c r="DA11" i="30" s="1"/>
  <c r="DB11" i="30" s="1"/>
  <c r="DC11" i="30" s="1"/>
  <c r="DD11" i="30" s="1"/>
  <c r="DE11" i="30" s="1"/>
  <c r="DF11" i="30" s="1"/>
  <c r="DG11" i="30" s="1"/>
  <c r="DH11" i="30" s="1"/>
  <c r="DI11" i="30" s="1"/>
  <c r="DJ11" i="30" s="1"/>
  <c r="DK11" i="30" s="1"/>
  <c r="DL11" i="30" s="1"/>
  <c r="DM11" i="30" s="1"/>
  <c r="DN11" i="30" s="1"/>
  <c r="DO11" i="30" s="1"/>
  <c r="DP11" i="30" s="1"/>
  <c r="DQ11" i="30" s="1"/>
  <c r="DR11" i="30" s="1"/>
  <c r="DS11" i="30" s="1"/>
  <c r="DT11" i="30" s="1"/>
  <c r="DU11" i="30" s="1"/>
  <c r="DV11" i="30" s="1"/>
  <c r="DW11" i="30" s="1"/>
  <c r="DX11" i="30" s="1"/>
  <c r="DY11" i="30" s="1"/>
  <c r="DZ11" i="30" s="1"/>
  <c r="EA11" i="30" s="1"/>
  <c r="EB11" i="30" s="1"/>
  <c r="EC11" i="30" s="1"/>
  <c r="ED11" i="30" s="1"/>
  <c r="EE11" i="30" s="1"/>
  <c r="EF11" i="30" s="1"/>
  <c r="EG11" i="30" s="1"/>
  <c r="EH11" i="30" s="1"/>
  <c r="EI11" i="30" s="1"/>
  <c r="EJ11" i="30" s="1"/>
  <c r="EK11" i="30" s="1"/>
  <c r="EL11" i="30" s="1"/>
  <c r="EM11" i="30" s="1"/>
  <c r="EN11" i="30" s="1"/>
  <c r="EO11" i="30" s="1"/>
  <c r="EP11" i="30" s="1"/>
  <c r="EQ11" i="30" s="1"/>
  <c r="ER11" i="30" s="1"/>
  <c r="ES11" i="30" s="1"/>
  <c r="ET11" i="30" s="1"/>
  <c r="EU11" i="30" s="1"/>
  <c r="EV11" i="30" s="1"/>
  <c r="EW11" i="30" s="1"/>
  <c r="EX11" i="30" s="1"/>
  <c r="EY11" i="30" s="1"/>
  <c r="EZ11" i="30" s="1"/>
  <c r="FA11" i="30" s="1"/>
  <c r="FB11" i="30" s="1"/>
  <c r="FC11" i="30" s="1"/>
  <c r="FD11" i="30" s="1"/>
  <c r="FE11" i="30" s="1"/>
  <c r="FF11" i="30" s="1"/>
  <c r="FG11" i="30" s="1"/>
  <c r="FH11" i="30" s="1"/>
  <c r="FI11" i="30" s="1"/>
  <c r="FJ11" i="30" s="1"/>
  <c r="FK11" i="30" s="1"/>
  <c r="FL11" i="30" s="1"/>
  <c r="FM11" i="30" s="1"/>
  <c r="FN11" i="30" s="1"/>
  <c r="FO11" i="30" s="1"/>
  <c r="FP11" i="30" s="1"/>
  <c r="FQ11" i="30" s="1"/>
  <c r="FR11" i="30" s="1"/>
  <c r="FS11" i="30" s="1"/>
  <c r="FT11" i="30" s="1"/>
  <c r="FU11" i="30" s="1"/>
  <c r="FV11" i="30" s="1"/>
  <c r="FW11" i="30" s="1"/>
  <c r="FX11" i="30" s="1"/>
  <c r="FY11" i="30" s="1"/>
  <c r="FZ11" i="30" s="1"/>
  <c r="GA11" i="30" s="1"/>
  <c r="GB11" i="30" s="1"/>
  <c r="GC11" i="30" s="1"/>
  <c r="GD11" i="30" s="1"/>
  <c r="GE11" i="30" s="1"/>
  <c r="GF11" i="30" s="1"/>
  <c r="GG11" i="30" s="1"/>
  <c r="GH11" i="30" s="1"/>
  <c r="GI11" i="30" s="1"/>
  <c r="GJ11" i="30" s="1"/>
  <c r="GK11" i="30" s="1"/>
  <c r="GL11" i="30" s="1"/>
  <c r="GM11" i="30" s="1"/>
  <c r="GN11" i="30" s="1"/>
  <c r="GO11" i="30" s="1"/>
  <c r="GP11" i="30" s="1"/>
  <c r="GQ11" i="30" s="1"/>
  <c r="GR11" i="30" s="1"/>
  <c r="GS11" i="30" s="1"/>
  <c r="GT11" i="30" s="1"/>
  <c r="GU11" i="30" s="1"/>
  <c r="GV11" i="30" s="1"/>
  <c r="GW11" i="30" s="1"/>
  <c r="GX11" i="30" s="1"/>
  <c r="GY11" i="30" s="1"/>
  <c r="GZ11" i="30" s="1"/>
  <c r="HA11" i="30" s="1"/>
  <c r="HB11" i="30" s="1"/>
  <c r="HC11" i="30" s="1"/>
  <c r="HD11" i="30" s="1"/>
  <c r="HE11" i="30" s="1"/>
  <c r="HF11" i="30" s="1"/>
  <c r="HG11" i="30" s="1"/>
  <c r="HH11" i="30" s="1"/>
  <c r="HI11" i="30" s="1"/>
  <c r="HJ11" i="30" s="1"/>
  <c r="HK11" i="30" s="1"/>
  <c r="HL11" i="30" s="1"/>
  <c r="HM11" i="30" s="1"/>
  <c r="HN11" i="30" s="1"/>
  <c r="HO11" i="30" s="1"/>
  <c r="HP11" i="30" s="1"/>
  <c r="HQ11" i="30" s="1"/>
  <c r="HR11" i="30" s="1"/>
  <c r="HS11" i="30" s="1"/>
  <c r="HT11" i="30" s="1"/>
  <c r="HU11" i="30" s="1"/>
  <c r="HV11" i="30" s="1"/>
  <c r="HW11" i="30" s="1"/>
  <c r="HX11" i="30" s="1"/>
  <c r="HY11" i="30" s="1"/>
  <c r="HZ11" i="30" s="1"/>
  <c r="IA11" i="30" s="1"/>
  <c r="IB11" i="30" s="1"/>
  <c r="IC11" i="30" s="1"/>
  <c r="ID11" i="30" s="1"/>
  <c r="IE11" i="30" s="1"/>
  <c r="IF11" i="30" s="1"/>
  <c r="IG11" i="30" s="1"/>
  <c r="IH11" i="30" s="1"/>
  <c r="II11" i="30" s="1"/>
  <c r="IJ11" i="30" s="1"/>
  <c r="IK11" i="30" s="1"/>
  <c r="IL11" i="30" s="1"/>
  <c r="IM11" i="30" s="1"/>
  <c r="IN11" i="30" s="1"/>
  <c r="IO11" i="30" s="1"/>
  <c r="IP11" i="30" s="1"/>
  <c r="IQ11" i="30" s="1"/>
  <c r="IR11" i="30" s="1"/>
  <c r="IS11" i="30" s="1"/>
  <c r="IT11" i="30" s="1"/>
  <c r="IU11" i="30" s="1"/>
  <c r="IV11" i="30" s="1"/>
  <c r="IW11" i="30" s="1"/>
  <c r="IX11" i="30" s="1"/>
  <c r="IY11" i="30" s="1"/>
  <c r="IZ11" i="30" s="1"/>
  <c r="JA11" i="30" s="1"/>
  <c r="JB11" i="30" s="1"/>
  <c r="JC11" i="30" s="1"/>
  <c r="JD11" i="30" s="1"/>
  <c r="JE11" i="30" s="1"/>
  <c r="JF11" i="30" s="1"/>
  <c r="JG11" i="30" s="1"/>
  <c r="JH11" i="30" s="1"/>
  <c r="JI11" i="30" s="1"/>
  <c r="JJ11" i="30" s="1"/>
  <c r="JK11" i="30" s="1"/>
  <c r="JL11" i="30" s="1"/>
  <c r="JM11" i="30" s="1"/>
  <c r="JN11" i="30" s="1"/>
  <c r="JO11" i="30" s="1"/>
  <c r="JP11" i="30" s="1"/>
  <c r="JQ11" i="30" s="1"/>
  <c r="JR11" i="30" s="1"/>
  <c r="JS11" i="30" s="1"/>
  <c r="JT11" i="30" s="1"/>
  <c r="JU11" i="30" s="1"/>
  <c r="JV11" i="30" s="1"/>
  <c r="JW11" i="30" s="1"/>
  <c r="JX11" i="30" s="1"/>
  <c r="JY11" i="30" s="1"/>
  <c r="JZ11" i="30" s="1"/>
  <c r="KA11" i="30" s="1"/>
  <c r="KB11" i="30" s="1"/>
  <c r="KC11" i="30" s="1"/>
  <c r="KD11" i="30" s="1"/>
  <c r="KE11" i="30" s="1"/>
  <c r="KF11" i="30" s="1"/>
  <c r="KG11" i="30" s="1"/>
  <c r="KH11" i="30" s="1"/>
  <c r="KI11" i="30" s="1"/>
  <c r="KJ11" i="30" s="1"/>
  <c r="KK11" i="30" s="1"/>
  <c r="KL11" i="30" s="1"/>
  <c r="KM11" i="30" s="1"/>
  <c r="KN11" i="30" s="1"/>
  <c r="KO11" i="30" s="1"/>
  <c r="KP11" i="30" s="1"/>
  <c r="KQ11" i="30" s="1"/>
  <c r="KR11" i="30" s="1"/>
  <c r="KS11" i="30" s="1"/>
  <c r="KT11" i="30" s="1"/>
  <c r="KU11" i="30" s="1"/>
  <c r="KV11" i="30" s="1"/>
  <c r="KW11" i="30" s="1"/>
  <c r="KX11" i="30" s="1"/>
  <c r="KY11" i="30" s="1"/>
  <c r="KZ11" i="30" s="1"/>
  <c r="LA11" i="30" s="1"/>
  <c r="LB11" i="30" s="1"/>
  <c r="LC11" i="30" s="1"/>
  <c r="LD11" i="30" s="1"/>
  <c r="LE11" i="30" s="1"/>
  <c r="LF11" i="30" s="1"/>
  <c r="LG11" i="30" s="1"/>
  <c r="LH11" i="30" s="1"/>
  <c r="LI11" i="30" s="1"/>
  <c r="LJ11" i="30" s="1"/>
  <c r="W12" i="30"/>
  <c r="X12" i="30" s="1"/>
  <c r="Y12" i="30" s="1"/>
  <c r="Z12" i="30" s="1"/>
  <c r="AA12" i="30" s="1"/>
  <c r="AB12" i="30" s="1"/>
  <c r="AC12" i="30" s="1"/>
  <c r="AD12" i="30" s="1"/>
  <c r="AE12" i="30" s="1"/>
  <c r="AF12" i="30" s="1"/>
  <c r="AG12" i="30" s="1"/>
  <c r="AH12" i="30" s="1"/>
  <c r="AI12" i="30" s="1"/>
  <c r="AJ12" i="30" s="1"/>
  <c r="AK12" i="30" s="1"/>
  <c r="AL12" i="30" s="1"/>
  <c r="AM12" i="30" s="1"/>
  <c r="AN12" i="30" s="1"/>
  <c r="AO12" i="30" s="1"/>
  <c r="AP12" i="30" s="1"/>
  <c r="AQ12" i="30" s="1"/>
  <c r="AR12" i="30" s="1"/>
  <c r="AS12" i="30" s="1"/>
  <c r="AT12" i="30" s="1"/>
  <c r="AU12" i="30" s="1"/>
  <c r="AV12" i="30" s="1"/>
  <c r="AW12" i="30" s="1"/>
  <c r="AX12" i="30" s="1"/>
  <c r="AY12" i="30" s="1"/>
  <c r="AZ12" i="30" s="1"/>
  <c r="BA12" i="30" s="1"/>
  <c r="BB12" i="30" s="1"/>
  <c r="BC12" i="30" s="1"/>
  <c r="BD12" i="30" s="1"/>
  <c r="BE12" i="30" s="1"/>
  <c r="BF12" i="30" s="1"/>
  <c r="BG12" i="30" s="1"/>
  <c r="BH12" i="30" s="1"/>
  <c r="BI12" i="30" s="1"/>
  <c r="BJ12" i="30" s="1"/>
  <c r="BK12" i="30" s="1"/>
  <c r="BL12" i="30" s="1"/>
  <c r="BM12" i="30" s="1"/>
  <c r="BN12" i="30" s="1"/>
  <c r="BO12" i="30" s="1"/>
  <c r="BP12" i="30" s="1"/>
  <c r="BQ12" i="30" s="1"/>
  <c r="BR12" i="30" s="1"/>
  <c r="BS12" i="30" s="1"/>
  <c r="BT12" i="30" s="1"/>
  <c r="BU12" i="30" s="1"/>
  <c r="BV12" i="30" s="1"/>
  <c r="BW12" i="30" s="1"/>
  <c r="BX12" i="30" s="1"/>
  <c r="BY12" i="30" s="1"/>
  <c r="BZ12" i="30" s="1"/>
  <c r="CA12" i="30" s="1"/>
  <c r="CB12" i="30" s="1"/>
  <c r="CC12" i="30" s="1"/>
  <c r="CD12" i="30" s="1"/>
  <c r="CE12" i="30" s="1"/>
  <c r="CF12" i="30" s="1"/>
  <c r="CG12" i="30" s="1"/>
  <c r="CH12" i="30" s="1"/>
  <c r="CI12" i="30" s="1"/>
  <c r="CJ12" i="30" s="1"/>
  <c r="CK12" i="30" s="1"/>
  <c r="CL12" i="30" s="1"/>
  <c r="CM12" i="30" s="1"/>
  <c r="CN12" i="30" s="1"/>
  <c r="CO12" i="30" s="1"/>
  <c r="CP12" i="30" s="1"/>
  <c r="CQ12" i="30" s="1"/>
  <c r="CR12" i="30" s="1"/>
  <c r="CS12" i="30" s="1"/>
  <c r="CT12" i="30" s="1"/>
  <c r="CU12" i="30" s="1"/>
  <c r="CV12" i="30" s="1"/>
  <c r="CW12" i="30" s="1"/>
  <c r="CX12" i="30" s="1"/>
  <c r="CY12" i="30" s="1"/>
  <c r="CZ12" i="30" s="1"/>
  <c r="DA12" i="30" s="1"/>
  <c r="DB12" i="30" s="1"/>
  <c r="DC12" i="30" s="1"/>
  <c r="DD12" i="30" s="1"/>
  <c r="DE12" i="30" s="1"/>
  <c r="DF12" i="30" s="1"/>
  <c r="DG12" i="30" s="1"/>
  <c r="DH12" i="30" s="1"/>
  <c r="DI12" i="30" s="1"/>
  <c r="DJ12" i="30" s="1"/>
  <c r="DK12" i="30" s="1"/>
  <c r="DL12" i="30" s="1"/>
  <c r="DM12" i="30" s="1"/>
  <c r="DN12" i="30" s="1"/>
  <c r="DO12" i="30" s="1"/>
  <c r="DP12" i="30" s="1"/>
  <c r="DQ12" i="30" s="1"/>
  <c r="DR12" i="30" s="1"/>
  <c r="DS12" i="30" s="1"/>
  <c r="DT12" i="30" s="1"/>
  <c r="DU12" i="30" s="1"/>
  <c r="DV12" i="30" s="1"/>
  <c r="DW12" i="30" s="1"/>
  <c r="DX12" i="30" s="1"/>
  <c r="DY12" i="30" s="1"/>
  <c r="DZ12" i="30" s="1"/>
  <c r="EA12" i="30" s="1"/>
  <c r="EB12" i="30" s="1"/>
  <c r="EC12" i="30" s="1"/>
  <c r="ED12" i="30" s="1"/>
  <c r="EE12" i="30" s="1"/>
  <c r="EF12" i="30" s="1"/>
  <c r="EG12" i="30" s="1"/>
  <c r="EH12" i="30" s="1"/>
  <c r="EI12" i="30" s="1"/>
  <c r="EJ12" i="30" s="1"/>
  <c r="EK12" i="30" s="1"/>
  <c r="EL12" i="30" s="1"/>
  <c r="EM12" i="30" s="1"/>
  <c r="EN12" i="30" s="1"/>
  <c r="EO12" i="30" s="1"/>
  <c r="EP12" i="30" s="1"/>
  <c r="EQ12" i="30" s="1"/>
  <c r="ER12" i="30" s="1"/>
  <c r="ES12" i="30" s="1"/>
  <c r="ET12" i="30" s="1"/>
  <c r="EU12" i="30" s="1"/>
  <c r="EV12" i="30" s="1"/>
  <c r="EW12" i="30" s="1"/>
  <c r="EX12" i="30" s="1"/>
  <c r="EY12" i="30" s="1"/>
  <c r="EZ12" i="30" s="1"/>
  <c r="FA12" i="30" s="1"/>
  <c r="FB12" i="30" s="1"/>
  <c r="FC12" i="30" s="1"/>
  <c r="FD12" i="30" s="1"/>
  <c r="FE12" i="30" s="1"/>
  <c r="FF12" i="30" s="1"/>
  <c r="FG12" i="30" s="1"/>
  <c r="FH12" i="30" s="1"/>
  <c r="FI12" i="30" s="1"/>
  <c r="FJ12" i="30" s="1"/>
  <c r="FK12" i="30" s="1"/>
  <c r="FL12" i="30" s="1"/>
  <c r="FM12" i="30" s="1"/>
  <c r="FN12" i="30" s="1"/>
  <c r="FO12" i="30" s="1"/>
  <c r="FP12" i="30" s="1"/>
  <c r="FQ12" i="30" s="1"/>
  <c r="FR12" i="30" s="1"/>
  <c r="FS12" i="30" s="1"/>
  <c r="FT12" i="30" s="1"/>
  <c r="FU12" i="30" s="1"/>
  <c r="FV12" i="30" s="1"/>
  <c r="FW12" i="30" s="1"/>
  <c r="FX12" i="30" s="1"/>
  <c r="FY12" i="30" s="1"/>
  <c r="FZ12" i="30" s="1"/>
  <c r="GA12" i="30" s="1"/>
  <c r="GB12" i="30" s="1"/>
  <c r="GC12" i="30" s="1"/>
  <c r="GD12" i="30" s="1"/>
  <c r="GE12" i="30" s="1"/>
  <c r="GF12" i="30" s="1"/>
  <c r="GG12" i="30" s="1"/>
  <c r="GH12" i="30" s="1"/>
  <c r="GI12" i="30" s="1"/>
  <c r="GJ12" i="30" s="1"/>
  <c r="GK12" i="30" s="1"/>
  <c r="GL12" i="30" s="1"/>
  <c r="GM12" i="30" s="1"/>
  <c r="GN12" i="30" s="1"/>
  <c r="GO12" i="30" s="1"/>
  <c r="GP12" i="30" s="1"/>
  <c r="GQ12" i="30" s="1"/>
  <c r="GR12" i="30" s="1"/>
  <c r="GS12" i="30" s="1"/>
  <c r="GT12" i="30" s="1"/>
  <c r="GU12" i="30" s="1"/>
  <c r="GV12" i="30" s="1"/>
  <c r="GW12" i="30" s="1"/>
  <c r="GX12" i="30" s="1"/>
  <c r="GY12" i="30" s="1"/>
  <c r="GZ12" i="30" s="1"/>
  <c r="HA12" i="30" s="1"/>
  <c r="HB12" i="30" s="1"/>
  <c r="HC12" i="30" s="1"/>
  <c r="HD12" i="30" s="1"/>
  <c r="HE12" i="30" s="1"/>
  <c r="HF12" i="30" s="1"/>
  <c r="HG12" i="30" s="1"/>
  <c r="HH12" i="30" s="1"/>
  <c r="HI12" i="30" s="1"/>
  <c r="HJ12" i="30" s="1"/>
  <c r="HK12" i="30" s="1"/>
  <c r="HL12" i="30" s="1"/>
  <c r="HM12" i="30" s="1"/>
  <c r="HN12" i="30" s="1"/>
  <c r="HO12" i="30" s="1"/>
  <c r="HP12" i="30" s="1"/>
  <c r="HQ12" i="30" s="1"/>
  <c r="HR12" i="30" s="1"/>
  <c r="HS12" i="30" s="1"/>
  <c r="HT12" i="30" s="1"/>
  <c r="HU12" i="30" s="1"/>
  <c r="HV12" i="30" s="1"/>
  <c r="HW12" i="30" s="1"/>
  <c r="HX12" i="30" s="1"/>
  <c r="HY12" i="30" s="1"/>
  <c r="HZ12" i="30" s="1"/>
  <c r="IA12" i="30" s="1"/>
  <c r="IB12" i="30" s="1"/>
  <c r="IC12" i="30" s="1"/>
  <c r="ID12" i="30" s="1"/>
  <c r="IE12" i="30" s="1"/>
  <c r="IF12" i="30" s="1"/>
  <c r="IG12" i="30" s="1"/>
  <c r="IH12" i="30" s="1"/>
  <c r="II12" i="30" s="1"/>
  <c r="IJ12" i="30" s="1"/>
  <c r="IK12" i="30" s="1"/>
  <c r="IL12" i="30" s="1"/>
  <c r="IM12" i="30" s="1"/>
  <c r="IN12" i="30" s="1"/>
  <c r="IO12" i="30" s="1"/>
  <c r="IP12" i="30" s="1"/>
  <c r="IQ12" i="30" s="1"/>
  <c r="IR12" i="30" s="1"/>
  <c r="IS12" i="30" s="1"/>
  <c r="IT12" i="30" s="1"/>
  <c r="IU12" i="30" s="1"/>
  <c r="IV12" i="30" s="1"/>
  <c r="IW12" i="30" s="1"/>
  <c r="IX12" i="30" s="1"/>
  <c r="IY12" i="30" s="1"/>
  <c r="IZ12" i="30" s="1"/>
  <c r="JA12" i="30" s="1"/>
  <c r="JB12" i="30" s="1"/>
  <c r="JC12" i="30" s="1"/>
  <c r="JD12" i="30" s="1"/>
  <c r="JE12" i="30" s="1"/>
  <c r="JF12" i="30" s="1"/>
  <c r="JG12" i="30" s="1"/>
  <c r="JH12" i="30" s="1"/>
  <c r="JI12" i="30" s="1"/>
  <c r="JJ12" i="30" s="1"/>
  <c r="JK12" i="30" s="1"/>
  <c r="JL12" i="30" s="1"/>
  <c r="JM12" i="30" s="1"/>
  <c r="JN12" i="30" s="1"/>
  <c r="JO12" i="30" s="1"/>
  <c r="JP12" i="30" s="1"/>
  <c r="JQ12" i="30" s="1"/>
  <c r="JR12" i="30" s="1"/>
  <c r="JS12" i="30" s="1"/>
  <c r="JT12" i="30" s="1"/>
  <c r="JU12" i="30" s="1"/>
  <c r="JV12" i="30" s="1"/>
  <c r="JW12" i="30" s="1"/>
  <c r="JX12" i="30" s="1"/>
  <c r="JY12" i="30" s="1"/>
  <c r="JZ12" i="30" s="1"/>
  <c r="KA12" i="30" s="1"/>
  <c r="KB12" i="30" s="1"/>
  <c r="KC12" i="30" s="1"/>
  <c r="KD12" i="30" s="1"/>
  <c r="KE12" i="30" s="1"/>
  <c r="KF12" i="30" s="1"/>
  <c r="KG12" i="30" s="1"/>
  <c r="KH12" i="30" s="1"/>
  <c r="KI12" i="30" s="1"/>
  <c r="KJ12" i="30" s="1"/>
  <c r="KK12" i="30" s="1"/>
  <c r="KL12" i="30" s="1"/>
  <c r="KM12" i="30" s="1"/>
  <c r="KN12" i="30" s="1"/>
  <c r="KO12" i="30" s="1"/>
  <c r="KP12" i="30" s="1"/>
  <c r="KQ12" i="30" s="1"/>
  <c r="KR12" i="30" s="1"/>
  <c r="KS12" i="30" s="1"/>
  <c r="KT12" i="30" s="1"/>
  <c r="KU12" i="30" s="1"/>
  <c r="KV12" i="30" s="1"/>
  <c r="KW12" i="30" s="1"/>
  <c r="KX12" i="30" s="1"/>
  <c r="KY12" i="30" s="1"/>
  <c r="KZ12" i="30" s="1"/>
  <c r="LA12" i="30" s="1"/>
  <c r="LB12" i="30" s="1"/>
  <c r="LC12" i="30" s="1"/>
  <c r="LD12" i="30" s="1"/>
  <c r="LE12" i="30" s="1"/>
  <c r="LF12" i="30" s="1"/>
  <c r="LG12" i="30" s="1"/>
  <c r="LH12" i="30" s="1"/>
  <c r="LI12" i="30" s="1"/>
  <c r="LJ12" i="30" s="1"/>
  <c r="W13" i="30"/>
  <c r="X13" i="30" s="1"/>
  <c r="Y13" i="30" s="1"/>
  <c r="Z13" i="30" s="1"/>
  <c r="AA13" i="30" s="1"/>
  <c r="AB13" i="30" s="1"/>
  <c r="AC13" i="30" s="1"/>
  <c r="AD13" i="30" s="1"/>
  <c r="AE13" i="30" s="1"/>
  <c r="AF13" i="30" s="1"/>
  <c r="AG13" i="30" s="1"/>
  <c r="AH13" i="30" s="1"/>
  <c r="AI13" i="30" s="1"/>
  <c r="AJ13" i="30" s="1"/>
  <c r="AK13" i="30" s="1"/>
  <c r="AL13" i="30" s="1"/>
  <c r="AM13" i="30" s="1"/>
  <c r="AN13" i="30" s="1"/>
  <c r="AO13" i="30" s="1"/>
  <c r="AP13" i="30" s="1"/>
  <c r="AQ13" i="30" s="1"/>
  <c r="AR13" i="30" s="1"/>
  <c r="AS13" i="30" s="1"/>
  <c r="AT13" i="30" s="1"/>
  <c r="AU13" i="30" s="1"/>
  <c r="AV13" i="30" s="1"/>
  <c r="AW13" i="30" s="1"/>
  <c r="AX13" i="30" s="1"/>
  <c r="AY13" i="30" s="1"/>
  <c r="AZ13" i="30" s="1"/>
  <c r="BA13" i="30" s="1"/>
  <c r="BB13" i="30" s="1"/>
  <c r="BC13" i="30" s="1"/>
  <c r="BD13" i="30" s="1"/>
  <c r="BE13" i="30" s="1"/>
  <c r="BF13" i="30" s="1"/>
  <c r="BG13" i="30" s="1"/>
  <c r="BH13" i="30" s="1"/>
  <c r="BI13" i="30" s="1"/>
  <c r="BJ13" i="30" s="1"/>
  <c r="BK13" i="30" s="1"/>
  <c r="BL13" i="30" s="1"/>
  <c r="BM13" i="30" s="1"/>
  <c r="BN13" i="30" s="1"/>
  <c r="BO13" i="30" s="1"/>
  <c r="BP13" i="30" s="1"/>
  <c r="BQ13" i="30" s="1"/>
  <c r="BR13" i="30" s="1"/>
  <c r="BS13" i="30" s="1"/>
  <c r="BT13" i="30" s="1"/>
  <c r="BU13" i="30" s="1"/>
  <c r="BV13" i="30" s="1"/>
  <c r="BW13" i="30" s="1"/>
  <c r="BX13" i="30" s="1"/>
  <c r="BY13" i="30" s="1"/>
  <c r="BZ13" i="30" s="1"/>
  <c r="CA13" i="30" s="1"/>
  <c r="CB13" i="30" s="1"/>
  <c r="CC13" i="30" s="1"/>
  <c r="CD13" i="30" s="1"/>
  <c r="CE13" i="30" s="1"/>
  <c r="CF13" i="30" s="1"/>
  <c r="CG13" i="30" s="1"/>
  <c r="CH13" i="30" s="1"/>
  <c r="CI13" i="30" s="1"/>
  <c r="CJ13" i="30" s="1"/>
  <c r="CK13" i="30" s="1"/>
  <c r="CL13" i="30" s="1"/>
  <c r="CM13" i="30" s="1"/>
  <c r="CN13" i="30" s="1"/>
  <c r="CO13" i="30" s="1"/>
  <c r="CP13" i="30" s="1"/>
  <c r="CQ13" i="30" s="1"/>
  <c r="CR13" i="30" s="1"/>
  <c r="CS13" i="30" s="1"/>
  <c r="CT13" i="30" s="1"/>
  <c r="CU13" i="30" s="1"/>
  <c r="CV13" i="30" s="1"/>
  <c r="CW13" i="30" s="1"/>
  <c r="CX13" i="30" s="1"/>
  <c r="CY13" i="30" s="1"/>
  <c r="CZ13" i="30" s="1"/>
  <c r="DA13" i="30" s="1"/>
  <c r="DB13" i="30" s="1"/>
  <c r="DC13" i="30" s="1"/>
  <c r="DD13" i="30" s="1"/>
  <c r="DE13" i="30" s="1"/>
  <c r="DF13" i="30" s="1"/>
  <c r="DG13" i="30" s="1"/>
  <c r="DH13" i="30" s="1"/>
  <c r="DI13" i="30" s="1"/>
  <c r="DJ13" i="30" s="1"/>
  <c r="DK13" i="30" s="1"/>
  <c r="DL13" i="30" s="1"/>
  <c r="DM13" i="30" s="1"/>
  <c r="DN13" i="30" s="1"/>
  <c r="DO13" i="30" s="1"/>
  <c r="DP13" i="30" s="1"/>
  <c r="DQ13" i="30" s="1"/>
  <c r="DR13" i="30" s="1"/>
  <c r="DS13" i="30" s="1"/>
  <c r="DT13" i="30" s="1"/>
  <c r="DU13" i="30" s="1"/>
  <c r="DV13" i="30" s="1"/>
  <c r="DW13" i="30" s="1"/>
  <c r="DX13" i="30" s="1"/>
  <c r="DY13" i="30" s="1"/>
  <c r="DZ13" i="30" s="1"/>
  <c r="EA13" i="30" s="1"/>
  <c r="EB13" i="30" s="1"/>
  <c r="EC13" i="30" s="1"/>
  <c r="ED13" i="30" s="1"/>
  <c r="EE13" i="30" s="1"/>
  <c r="EF13" i="30" s="1"/>
  <c r="EG13" i="30" s="1"/>
  <c r="EH13" i="30" s="1"/>
  <c r="EI13" i="30" s="1"/>
  <c r="EJ13" i="30" s="1"/>
  <c r="EK13" i="30" s="1"/>
  <c r="EL13" i="30" s="1"/>
  <c r="EM13" i="30" s="1"/>
  <c r="EN13" i="30" s="1"/>
  <c r="EO13" i="30" s="1"/>
  <c r="EP13" i="30" s="1"/>
  <c r="EQ13" i="30" s="1"/>
  <c r="ER13" i="30" s="1"/>
  <c r="ES13" i="30" s="1"/>
  <c r="ET13" i="30" s="1"/>
  <c r="EU13" i="30" s="1"/>
  <c r="EV13" i="30" s="1"/>
  <c r="EW13" i="30" s="1"/>
  <c r="EX13" i="30" s="1"/>
  <c r="EY13" i="30" s="1"/>
  <c r="EZ13" i="30" s="1"/>
  <c r="FA13" i="30" s="1"/>
  <c r="FB13" i="30" s="1"/>
  <c r="FC13" i="30" s="1"/>
  <c r="FD13" i="30" s="1"/>
  <c r="FE13" i="30" s="1"/>
  <c r="FF13" i="30" s="1"/>
  <c r="FG13" i="30" s="1"/>
  <c r="FH13" i="30" s="1"/>
  <c r="FI13" i="30" s="1"/>
  <c r="FJ13" i="30" s="1"/>
  <c r="FK13" i="30" s="1"/>
  <c r="FL13" i="30" s="1"/>
  <c r="FM13" i="30" s="1"/>
  <c r="FN13" i="30" s="1"/>
  <c r="FO13" i="30" s="1"/>
  <c r="FP13" i="30" s="1"/>
  <c r="FQ13" i="30" s="1"/>
  <c r="FR13" i="30" s="1"/>
  <c r="FS13" i="30" s="1"/>
  <c r="FT13" i="30" s="1"/>
  <c r="FU13" i="30" s="1"/>
  <c r="FV13" i="30" s="1"/>
  <c r="FW13" i="30" s="1"/>
  <c r="FX13" i="30" s="1"/>
  <c r="FY13" i="30" s="1"/>
  <c r="FZ13" i="30" s="1"/>
  <c r="GA13" i="30" s="1"/>
  <c r="GB13" i="30" s="1"/>
  <c r="GC13" i="30" s="1"/>
  <c r="GD13" i="30" s="1"/>
  <c r="GE13" i="30" s="1"/>
  <c r="GF13" i="30" s="1"/>
  <c r="GG13" i="30" s="1"/>
  <c r="GH13" i="30" s="1"/>
  <c r="GI13" i="30" s="1"/>
  <c r="GJ13" i="30" s="1"/>
  <c r="GK13" i="30" s="1"/>
  <c r="GL13" i="30" s="1"/>
  <c r="GM13" i="30" s="1"/>
  <c r="GN13" i="30" s="1"/>
  <c r="GO13" i="30" s="1"/>
  <c r="GP13" i="30" s="1"/>
  <c r="GQ13" i="30" s="1"/>
  <c r="GR13" i="30" s="1"/>
  <c r="GS13" i="30" s="1"/>
  <c r="GT13" i="30" s="1"/>
  <c r="GU13" i="30" s="1"/>
  <c r="GV13" i="30" s="1"/>
  <c r="GW13" i="30" s="1"/>
  <c r="GX13" i="30" s="1"/>
  <c r="GY13" i="30" s="1"/>
  <c r="GZ13" i="30" s="1"/>
  <c r="HA13" i="30" s="1"/>
  <c r="HB13" i="30" s="1"/>
  <c r="HC13" i="30" s="1"/>
  <c r="HD13" i="30" s="1"/>
  <c r="HE13" i="30" s="1"/>
  <c r="HF13" i="30" s="1"/>
  <c r="HG13" i="30" s="1"/>
  <c r="HH13" i="30" s="1"/>
  <c r="HI13" i="30" s="1"/>
  <c r="HJ13" i="30" s="1"/>
  <c r="HK13" i="30" s="1"/>
  <c r="HL13" i="30" s="1"/>
  <c r="HM13" i="30" s="1"/>
  <c r="HN13" i="30" s="1"/>
  <c r="HO13" i="30" s="1"/>
  <c r="HP13" i="30" s="1"/>
  <c r="HQ13" i="30" s="1"/>
  <c r="HR13" i="30" s="1"/>
  <c r="HS13" i="30" s="1"/>
  <c r="HT13" i="30" s="1"/>
  <c r="HU13" i="30" s="1"/>
  <c r="HV13" i="30" s="1"/>
  <c r="HW13" i="30" s="1"/>
  <c r="HX13" i="30" s="1"/>
  <c r="HY13" i="30" s="1"/>
  <c r="HZ13" i="30" s="1"/>
  <c r="IA13" i="30" s="1"/>
  <c r="IB13" i="30" s="1"/>
  <c r="IC13" i="30" s="1"/>
  <c r="ID13" i="30" s="1"/>
  <c r="IE13" i="30" s="1"/>
  <c r="IF13" i="30" s="1"/>
  <c r="IG13" i="30" s="1"/>
  <c r="IH13" i="30" s="1"/>
  <c r="II13" i="30" s="1"/>
  <c r="IJ13" i="30" s="1"/>
  <c r="IK13" i="30" s="1"/>
  <c r="IL13" i="30" s="1"/>
  <c r="IM13" i="30" s="1"/>
  <c r="IN13" i="30" s="1"/>
  <c r="IO13" i="30" s="1"/>
  <c r="IP13" i="30" s="1"/>
  <c r="IQ13" i="30" s="1"/>
  <c r="IR13" i="30" s="1"/>
  <c r="IS13" i="30" s="1"/>
  <c r="IT13" i="30" s="1"/>
  <c r="IU13" i="30" s="1"/>
  <c r="IV13" i="30" s="1"/>
  <c r="IW13" i="30" s="1"/>
  <c r="IX13" i="30" s="1"/>
  <c r="IY13" i="30" s="1"/>
  <c r="IZ13" i="30" s="1"/>
  <c r="JA13" i="30" s="1"/>
  <c r="JB13" i="30" s="1"/>
  <c r="JC13" i="30" s="1"/>
  <c r="JD13" i="30" s="1"/>
  <c r="JE13" i="30" s="1"/>
  <c r="JF13" i="30" s="1"/>
  <c r="JG13" i="30" s="1"/>
  <c r="JH13" i="30" s="1"/>
  <c r="JI13" i="30" s="1"/>
  <c r="JJ13" i="30" s="1"/>
  <c r="JK13" i="30" s="1"/>
  <c r="JL13" i="30" s="1"/>
  <c r="JM13" i="30" s="1"/>
  <c r="JN13" i="30" s="1"/>
  <c r="JO13" i="30" s="1"/>
  <c r="JP13" i="30" s="1"/>
  <c r="JQ13" i="30" s="1"/>
  <c r="JR13" i="30" s="1"/>
  <c r="JS13" i="30" s="1"/>
  <c r="JT13" i="30" s="1"/>
  <c r="JU13" i="30" s="1"/>
  <c r="JV13" i="30" s="1"/>
  <c r="JW13" i="30" s="1"/>
  <c r="JX13" i="30" s="1"/>
  <c r="JY13" i="30" s="1"/>
  <c r="JZ13" i="30" s="1"/>
  <c r="KA13" i="30" s="1"/>
  <c r="KB13" i="30" s="1"/>
  <c r="KC13" i="30" s="1"/>
  <c r="KD13" i="30" s="1"/>
  <c r="KE13" i="30" s="1"/>
  <c r="KF13" i="30" s="1"/>
  <c r="KG13" i="30" s="1"/>
  <c r="KH13" i="30" s="1"/>
  <c r="KI13" i="30" s="1"/>
  <c r="KJ13" i="30" s="1"/>
  <c r="KK13" i="30" s="1"/>
  <c r="KL13" i="30" s="1"/>
  <c r="KM13" i="30" s="1"/>
  <c r="KN13" i="30" s="1"/>
  <c r="KO13" i="30" s="1"/>
  <c r="KP13" i="30" s="1"/>
  <c r="KQ13" i="30" s="1"/>
  <c r="KR13" i="30" s="1"/>
  <c r="KS13" i="30" s="1"/>
  <c r="KT13" i="30" s="1"/>
  <c r="KU13" i="30" s="1"/>
  <c r="KV13" i="30" s="1"/>
  <c r="KW13" i="30" s="1"/>
  <c r="KX13" i="30" s="1"/>
  <c r="KY13" i="30" s="1"/>
  <c r="KZ13" i="30" s="1"/>
  <c r="LA13" i="30" s="1"/>
  <c r="LB13" i="30" s="1"/>
  <c r="LC13" i="30" s="1"/>
  <c r="LD13" i="30" s="1"/>
  <c r="LE13" i="30" s="1"/>
  <c r="LF13" i="30" s="1"/>
  <c r="LG13" i="30" s="1"/>
  <c r="LH13" i="30" s="1"/>
  <c r="LI13" i="30" s="1"/>
  <c r="LJ13" i="30" s="1"/>
  <c r="W14" i="30"/>
  <c r="X14" i="30" s="1"/>
  <c r="Y14" i="30" s="1"/>
  <c r="Z14" i="30" s="1"/>
  <c r="AA14" i="30" s="1"/>
  <c r="AB14" i="30" s="1"/>
  <c r="AC14" i="30" s="1"/>
  <c r="AD14" i="30" s="1"/>
  <c r="AE14" i="30" s="1"/>
  <c r="AF14" i="30" s="1"/>
  <c r="AG14" i="30" s="1"/>
  <c r="AH14" i="30" s="1"/>
  <c r="AI14" i="30" s="1"/>
  <c r="AJ14" i="30" s="1"/>
  <c r="AK14" i="30" s="1"/>
  <c r="AL14" i="30" s="1"/>
  <c r="AM14" i="30" s="1"/>
  <c r="AN14" i="30" s="1"/>
  <c r="AO14" i="30" s="1"/>
  <c r="AP14" i="30" s="1"/>
  <c r="AQ14" i="30" s="1"/>
  <c r="AR14" i="30" s="1"/>
  <c r="AS14" i="30" s="1"/>
  <c r="AT14" i="30" s="1"/>
  <c r="AU14" i="30" s="1"/>
  <c r="AV14" i="30" s="1"/>
  <c r="AW14" i="30" s="1"/>
  <c r="AX14" i="30" s="1"/>
  <c r="AY14" i="30" s="1"/>
  <c r="AZ14" i="30" s="1"/>
  <c r="BA14" i="30" s="1"/>
  <c r="BB14" i="30" s="1"/>
  <c r="BC14" i="30" s="1"/>
  <c r="BD14" i="30" s="1"/>
  <c r="BE14" i="30" s="1"/>
  <c r="BF14" i="30" s="1"/>
  <c r="BG14" i="30" s="1"/>
  <c r="BH14" i="30" s="1"/>
  <c r="BI14" i="30" s="1"/>
  <c r="BJ14" i="30" s="1"/>
  <c r="BK14" i="30" s="1"/>
  <c r="BL14" i="30" s="1"/>
  <c r="BM14" i="30" s="1"/>
  <c r="BN14" i="30" s="1"/>
  <c r="BO14" i="30" s="1"/>
  <c r="BP14" i="30" s="1"/>
  <c r="BQ14" i="30" s="1"/>
  <c r="BR14" i="30" s="1"/>
  <c r="BS14" i="30" s="1"/>
  <c r="BT14" i="30" s="1"/>
  <c r="BU14" i="30" s="1"/>
  <c r="BV14" i="30" s="1"/>
  <c r="BW14" i="30" s="1"/>
  <c r="BX14" i="30" s="1"/>
  <c r="BY14" i="30" s="1"/>
  <c r="BZ14" i="30" s="1"/>
  <c r="CA14" i="30" s="1"/>
  <c r="CB14" i="30" s="1"/>
  <c r="CC14" i="30" s="1"/>
  <c r="CD14" i="30" s="1"/>
  <c r="CE14" i="30" s="1"/>
  <c r="CF14" i="30" s="1"/>
  <c r="CG14" i="30" s="1"/>
  <c r="CH14" i="30" s="1"/>
  <c r="CI14" i="30" s="1"/>
  <c r="CJ14" i="30" s="1"/>
  <c r="CK14" i="30" s="1"/>
  <c r="CL14" i="30" s="1"/>
  <c r="CM14" i="30" s="1"/>
  <c r="CN14" i="30" s="1"/>
  <c r="CO14" i="30" s="1"/>
  <c r="CP14" i="30" s="1"/>
  <c r="CQ14" i="30" s="1"/>
  <c r="CR14" i="30" s="1"/>
  <c r="CS14" i="30" s="1"/>
  <c r="CT14" i="30" s="1"/>
  <c r="CU14" i="30" s="1"/>
  <c r="CV14" i="30" s="1"/>
  <c r="CW14" i="30" s="1"/>
  <c r="CX14" i="30" s="1"/>
  <c r="CY14" i="30" s="1"/>
  <c r="CZ14" i="30" s="1"/>
  <c r="DA14" i="30" s="1"/>
  <c r="DB14" i="30" s="1"/>
  <c r="DC14" i="30" s="1"/>
  <c r="DD14" i="30" s="1"/>
  <c r="DE14" i="30" s="1"/>
  <c r="DF14" i="30" s="1"/>
  <c r="DG14" i="30" s="1"/>
  <c r="DH14" i="30" s="1"/>
  <c r="DI14" i="30" s="1"/>
  <c r="DJ14" i="30" s="1"/>
  <c r="DK14" i="30" s="1"/>
  <c r="DL14" i="30" s="1"/>
  <c r="DM14" i="30" s="1"/>
  <c r="DN14" i="30" s="1"/>
  <c r="DO14" i="30" s="1"/>
  <c r="DP14" i="30" s="1"/>
  <c r="DQ14" i="30" s="1"/>
  <c r="DR14" i="30" s="1"/>
  <c r="DS14" i="30" s="1"/>
  <c r="DT14" i="30" s="1"/>
  <c r="DU14" i="30" s="1"/>
  <c r="DV14" i="30" s="1"/>
  <c r="DW14" i="30" s="1"/>
  <c r="DX14" i="30" s="1"/>
  <c r="DY14" i="30" s="1"/>
  <c r="DZ14" i="30" s="1"/>
  <c r="EA14" i="30" s="1"/>
  <c r="EB14" i="30" s="1"/>
  <c r="EC14" i="30" s="1"/>
  <c r="ED14" i="30" s="1"/>
  <c r="EE14" i="30" s="1"/>
  <c r="EF14" i="30" s="1"/>
  <c r="EG14" i="30" s="1"/>
  <c r="EH14" i="30" s="1"/>
  <c r="EI14" i="30" s="1"/>
  <c r="EJ14" i="30" s="1"/>
  <c r="EK14" i="30" s="1"/>
  <c r="EL14" i="30" s="1"/>
  <c r="EM14" i="30" s="1"/>
  <c r="EN14" i="30" s="1"/>
  <c r="EO14" i="30" s="1"/>
  <c r="EP14" i="30" s="1"/>
  <c r="EQ14" i="30" s="1"/>
  <c r="ER14" i="30" s="1"/>
  <c r="ES14" i="30" s="1"/>
  <c r="ET14" i="30" s="1"/>
  <c r="EU14" i="30" s="1"/>
  <c r="EV14" i="30" s="1"/>
  <c r="EW14" i="30" s="1"/>
  <c r="EX14" i="30" s="1"/>
  <c r="EY14" i="30" s="1"/>
  <c r="EZ14" i="30" s="1"/>
  <c r="FA14" i="30" s="1"/>
  <c r="FB14" i="30" s="1"/>
  <c r="FC14" i="30" s="1"/>
  <c r="FD14" i="30" s="1"/>
  <c r="FE14" i="30" s="1"/>
  <c r="FF14" i="30" s="1"/>
  <c r="FG14" i="30" s="1"/>
  <c r="FH14" i="30" s="1"/>
  <c r="FI14" i="30" s="1"/>
  <c r="FJ14" i="30" s="1"/>
  <c r="FK14" i="30" s="1"/>
  <c r="FL14" i="30" s="1"/>
  <c r="FM14" i="30" s="1"/>
  <c r="FN14" i="30" s="1"/>
  <c r="FO14" i="30" s="1"/>
  <c r="FP14" i="30" s="1"/>
  <c r="FQ14" i="30" s="1"/>
  <c r="FR14" i="30" s="1"/>
  <c r="FS14" i="30" s="1"/>
  <c r="FT14" i="30" s="1"/>
  <c r="FU14" i="30" s="1"/>
  <c r="FV14" i="30" s="1"/>
  <c r="FW14" i="30" s="1"/>
  <c r="FX14" i="30" s="1"/>
  <c r="FY14" i="30" s="1"/>
  <c r="FZ14" i="30" s="1"/>
  <c r="GA14" i="30" s="1"/>
  <c r="GB14" i="30" s="1"/>
  <c r="GC14" i="30" s="1"/>
  <c r="GD14" i="30" s="1"/>
  <c r="GE14" i="30" s="1"/>
  <c r="GF14" i="30" s="1"/>
  <c r="GG14" i="30" s="1"/>
  <c r="GH14" i="30" s="1"/>
  <c r="GI14" i="30" s="1"/>
  <c r="GJ14" i="30" s="1"/>
  <c r="GK14" i="30" s="1"/>
  <c r="GL14" i="30" s="1"/>
  <c r="GM14" i="30" s="1"/>
  <c r="GN14" i="30" s="1"/>
  <c r="GO14" i="30" s="1"/>
  <c r="GP14" i="30" s="1"/>
  <c r="GQ14" i="30" s="1"/>
  <c r="GR14" i="30" s="1"/>
  <c r="GS14" i="30" s="1"/>
  <c r="GT14" i="30" s="1"/>
  <c r="GU14" i="30" s="1"/>
  <c r="GV14" i="30" s="1"/>
  <c r="GW14" i="30" s="1"/>
  <c r="GX14" i="30" s="1"/>
  <c r="GY14" i="30" s="1"/>
  <c r="GZ14" i="30" s="1"/>
  <c r="HA14" i="30" s="1"/>
  <c r="HB14" i="30" s="1"/>
  <c r="HC14" i="30" s="1"/>
  <c r="HD14" i="30" s="1"/>
  <c r="HE14" i="30" s="1"/>
  <c r="HF14" i="30" s="1"/>
  <c r="HG14" i="30" s="1"/>
  <c r="HH14" i="30" s="1"/>
  <c r="HI14" i="30" s="1"/>
  <c r="HJ14" i="30" s="1"/>
  <c r="HK14" i="30" s="1"/>
  <c r="HL14" i="30" s="1"/>
  <c r="HM14" i="30" s="1"/>
  <c r="HN14" i="30" s="1"/>
  <c r="HO14" i="30" s="1"/>
  <c r="HP14" i="30" s="1"/>
  <c r="HQ14" i="30" s="1"/>
  <c r="HR14" i="30" s="1"/>
  <c r="HS14" i="30" s="1"/>
  <c r="HT14" i="30" s="1"/>
  <c r="HU14" i="30" s="1"/>
  <c r="HV14" i="30" s="1"/>
  <c r="HW14" i="30" s="1"/>
  <c r="HX14" i="30" s="1"/>
  <c r="HY14" i="30" s="1"/>
  <c r="HZ14" i="30" s="1"/>
  <c r="IA14" i="30" s="1"/>
  <c r="IB14" i="30" s="1"/>
  <c r="IC14" i="30" s="1"/>
  <c r="ID14" i="30" s="1"/>
  <c r="IE14" i="30" s="1"/>
  <c r="IF14" i="30" s="1"/>
  <c r="IG14" i="30" s="1"/>
  <c r="IH14" i="30" s="1"/>
  <c r="II14" i="30" s="1"/>
  <c r="IJ14" i="30" s="1"/>
  <c r="IK14" i="30" s="1"/>
  <c r="IL14" i="30" s="1"/>
  <c r="IM14" i="30" s="1"/>
  <c r="IN14" i="30" s="1"/>
  <c r="IO14" i="30" s="1"/>
  <c r="IP14" i="30" s="1"/>
  <c r="IQ14" i="30" s="1"/>
  <c r="IR14" i="30" s="1"/>
  <c r="IS14" i="30" s="1"/>
  <c r="IT14" i="30" s="1"/>
  <c r="IU14" i="30" s="1"/>
  <c r="IV14" i="30" s="1"/>
  <c r="IW14" i="30" s="1"/>
  <c r="IX14" i="30" s="1"/>
  <c r="IY14" i="30" s="1"/>
  <c r="IZ14" i="30" s="1"/>
  <c r="JA14" i="30" s="1"/>
  <c r="JB14" i="30" s="1"/>
  <c r="JC14" i="30" s="1"/>
  <c r="JD14" i="30" s="1"/>
  <c r="JE14" i="30" s="1"/>
  <c r="JF14" i="30" s="1"/>
  <c r="JG14" i="30" s="1"/>
  <c r="JH14" i="30" s="1"/>
  <c r="JI14" i="30" s="1"/>
  <c r="JJ14" i="30" s="1"/>
  <c r="JK14" i="30" s="1"/>
  <c r="JL14" i="30" s="1"/>
  <c r="JM14" i="30" s="1"/>
  <c r="JN14" i="30" s="1"/>
  <c r="JO14" i="30" s="1"/>
  <c r="JP14" i="30" s="1"/>
  <c r="JQ14" i="30" s="1"/>
  <c r="JR14" i="30" s="1"/>
  <c r="JS14" i="30" s="1"/>
  <c r="JT14" i="30" s="1"/>
  <c r="JU14" i="30" s="1"/>
  <c r="JV14" i="30" s="1"/>
  <c r="JW14" i="30" s="1"/>
  <c r="JX14" i="30" s="1"/>
  <c r="JY14" i="30" s="1"/>
  <c r="JZ14" i="30" s="1"/>
  <c r="KA14" i="30" s="1"/>
  <c r="KB14" i="30" s="1"/>
  <c r="KC14" i="30" s="1"/>
  <c r="KD14" i="30" s="1"/>
  <c r="KE14" i="30" s="1"/>
  <c r="KF14" i="30" s="1"/>
  <c r="KG14" i="30" s="1"/>
  <c r="KH14" i="30" s="1"/>
  <c r="KI14" i="30" s="1"/>
  <c r="KJ14" i="30" s="1"/>
  <c r="KK14" i="30" s="1"/>
  <c r="KL14" i="30" s="1"/>
  <c r="KM14" i="30" s="1"/>
  <c r="KN14" i="30" s="1"/>
  <c r="KO14" i="30" s="1"/>
  <c r="KP14" i="30" s="1"/>
  <c r="KQ14" i="30" s="1"/>
  <c r="KR14" i="30" s="1"/>
  <c r="KS14" i="30" s="1"/>
  <c r="KT14" i="30" s="1"/>
  <c r="KU14" i="30" s="1"/>
  <c r="KV14" i="30" s="1"/>
  <c r="KW14" i="30" s="1"/>
  <c r="KX14" i="30" s="1"/>
  <c r="KY14" i="30" s="1"/>
  <c r="KZ14" i="30" s="1"/>
  <c r="LA14" i="30" s="1"/>
  <c r="LB14" i="30" s="1"/>
  <c r="LC14" i="30" s="1"/>
  <c r="LD14" i="30" s="1"/>
  <c r="LE14" i="30" s="1"/>
  <c r="LF14" i="30" s="1"/>
  <c r="LG14" i="30" s="1"/>
  <c r="LH14" i="30" s="1"/>
  <c r="LI14" i="30" s="1"/>
  <c r="LJ14" i="30" s="1"/>
  <c r="W15" i="30"/>
  <c r="X15" i="30" s="1"/>
  <c r="Y15" i="30" s="1"/>
  <c r="Z15" i="30" s="1"/>
  <c r="AA15" i="30" s="1"/>
  <c r="AB15" i="30" s="1"/>
  <c r="AC15" i="30" s="1"/>
  <c r="AD15" i="30" s="1"/>
  <c r="AE15" i="30" s="1"/>
  <c r="AF15" i="30" s="1"/>
  <c r="AG15" i="30" s="1"/>
  <c r="AH15" i="30" s="1"/>
  <c r="AI15" i="30" s="1"/>
  <c r="AJ15" i="30" s="1"/>
  <c r="AK15" i="30" s="1"/>
  <c r="AL15" i="30" s="1"/>
  <c r="AM15" i="30" s="1"/>
  <c r="AN15" i="30" s="1"/>
  <c r="AO15" i="30" s="1"/>
  <c r="AP15" i="30" s="1"/>
  <c r="AQ15" i="30" s="1"/>
  <c r="AR15" i="30" s="1"/>
  <c r="AS15" i="30" s="1"/>
  <c r="AT15" i="30" s="1"/>
  <c r="AU15" i="30" s="1"/>
  <c r="AV15" i="30" s="1"/>
  <c r="AW15" i="30" s="1"/>
  <c r="AX15" i="30" s="1"/>
  <c r="AY15" i="30" s="1"/>
  <c r="AZ15" i="30" s="1"/>
  <c r="BA15" i="30" s="1"/>
  <c r="BB15" i="30" s="1"/>
  <c r="BC15" i="30" s="1"/>
  <c r="BD15" i="30" s="1"/>
  <c r="BE15" i="30" s="1"/>
  <c r="BF15" i="30" s="1"/>
  <c r="BG15" i="30" s="1"/>
  <c r="BH15" i="30" s="1"/>
  <c r="BI15" i="30" s="1"/>
  <c r="BJ15" i="30" s="1"/>
  <c r="BK15" i="30" s="1"/>
  <c r="BL15" i="30" s="1"/>
  <c r="BM15" i="30" s="1"/>
  <c r="BN15" i="30" s="1"/>
  <c r="BO15" i="30" s="1"/>
  <c r="BP15" i="30" s="1"/>
  <c r="BQ15" i="30" s="1"/>
  <c r="BR15" i="30" s="1"/>
  <c r="BS15" i="30" s="1"/>
  <c r="BT15" i="30" s="1"/>
  <c r="BU15" i="30" s="1"/>
  <c r="BV15" i="30" s="1"/>
  <c r="BW15" i="30" s="1"/>
  <c r="BX15" i="30" s="1"/>
  <c r="BY15" i="30" s="1"/>
  <c r="BZ15" i="30" s="1"/>
  <c r="CA15" i="30" s="1"/>
  <c r="CB15" i="30" s="1"/>
  <c r="CC15" i="30" s="1"/>
  <c r="CD15" i="30" s="1"/>
  <c r="CE15" i="30" s="1"/>
  <c r="CF15" i="30" s="1"/>
  <c r="CG15" i="30" s="1"/>
  <c r="CH15" i="30" s="1"/>
  <c r="CI15" i="30" s="1"/>
  <c r="CJ15" i="30" s="1"/>
  <c r="CK15" i="30" s="1"/>
  <c r="CL15" i="30" s="1"/>
  <c r="CM15" i="30" s="1"/>
  <c r="CN15" i="30" s="1"/>
  <c r="CO15" i="30" s="1"/>
  <c r="CP15" i="30" s="1"/>
  <c r="CQ15" i="30" s="1"/>
  <c r="CR15" i="30" s="1"/>
  <c r="CS15" i="30" s="1"/>
  <c r="CT15" i="30" s="1"/>
  <c r="CU15" i="30" s="1"/>
  <c r="CV15" i="30" s="1"/>
  <c r="CW15" i="30" s="1"/>
  <c r="CX15" i="30" s="1"/>
  <c r="CY15" i="30" s="1"/>
  <c r="CZ15" i="30" s="1"/>
  <c r="DA15" i="30" s="1"/>
  <c r="DB15" i="30" s="1"/>
  <c r="DC15" i="30" s="1"/>
  <c r="DD15" i="30" s="1"/>
  <c r="DE15" i="30" s="1"/>
  <c r="DF15" i="30" s="1"/>
  <c r="DG15" i="30" s="1"/>
  <c r="DH15" i="30" s="1"/>
  <c r="DI15" i="30" s="1"/>
  <c r="DJ15" i="30" s="1"/>
  <c r="DK15" i="30" s="1"/>
  <c r="DL15" i="30" s="1"/>
  <c r="DM15" i="30" s="1"/>
  <c r="DN15" i="30" s="1"/>
  <c r="DO15" i="30" s="1"/>
  <c r="DP15" i="30" s="1"/>
  <c r="DQ15" i="30" s="1"/>
  <c r="DR15" i="30" s="1"/>
  <c r="DS15" i="30" s="1"/>
  <c r="DT15" i="30" s="1"/>
  <c r="DU15" i="30" s="1"/>
  <c r="DV15" i="30" s="1"/>
  <c r="DW15" i="30" s="1"/>
  <c r="DX15" i="30" s="1"/>
  <c r="DY15" i="30" s="1"/>
  <c r="DZ15" i="30" s="1"/>
  <c r="EA15" i="30" s="1"/>
  <c r="EB15" i="30" s="1"/>
  <c r="EC15" i="30" s="1"/>
  <c r="ED15" i="30" s="1"/>
  <c r="EE15" i="30" s="1"/>
  <c r="EF15" i="30" s="1"/>
  <c r="EG15" i="30" s="1"/>
  <c r="EH15" i="30" s="1"/>
  <c r="EI15" i="30" s="1"/>
  <c r="EJ15" i="30" s="1"/>
  <c r="EK15" i="30" s="1"/>
  <c r="EL15" i="30" s="1"/>
  <c r="EM15" i="30" s="1"/>
  <c r="EN15" i="30" s="1"/>
  <c r="EO15" i="30" s="1"/>
  <c r="EP15" i="30" s="1"/>
  <c r="EQ15" i="30" s="1"/>
  <c r="ER15" i="30" s="1"/>
  <c r="ES15" i="30" s="1"/>
  <c r="ET15" i="30" s="1"/>
  <c r="EU15" i="30" s="1"/>
  <c r="EV15" i="30" s="1"/>
  <c r="EW15" i="30" s="1"/>
  <c r="EX15" i="30" s="1"/>
  <c r="EY15" i="30" s="1"/>
  <c r="EZ15" i="30" s="1"/>
  <c r="FA15" i="30" s="1"/>
  <c r="FB15" i="30" s="1"/>
  <c r="FC15" i="30" s="1"/>
  <c r="FD15" i="30" s="1"/>
  <c r="FE15" i="30" s="1"/>
  <c r="FF15" i="30" s="1"/>
  <c r="FG15" i="30" s="1"/>
  <c r="FH15" i="30" s="1"/>
  <c r="FI15" i="30" s="1"/>
  <c r="FJ15" i="30" s="1"/>
  <c r="FK15" i="30" s="1"/>
  <c r="FL15" i="30" s="1"/>
  <c r="FM15" i="30" s="1"/>
  <c r="FN15" i="30" s="1"/>
  <c r="FO15" i="30" s="1"/>
  <c r="FP15" i="30" s="1"/>
  <c r="FQ15" i="30" s="1"/>
  <c r="FR15" i="30" s="1"/>
  <c r="FS15" i="30" s="1"/>
  <c r="FT15" i="30" s="1"/>
  <c r="FU15" i="30" s="1"/>
  <c r="FV15" i="30" s="1"/>
  <c r="FW15" i="30" s="1"/>
  <c r="FX15" i="30" s="1"/>
  <c r="FY15" i="30" s="1"/>
  <c r="FZ15" i="30" s="1"/>
  <c r="GA15" i="30" s="1"/>
  <c r="GB15" i="30" s="1"/>
  <c r="GC15" i="30" s="1"/>
  <c r="GD15" i="30" s="1"/>
  <c r="GE15" i="30" s="1"/>
  <c r="GF15" i="30" s="1"/>
  <c r="GG15" i="30" s="1"/>
  <c r="GH15" i="30" s="1"/>
  <c r="GI15" i="30" s="1"/>
  <c r="GJ15" i="30" s="1"/>
  <c r="GK15" i="30" s="1"/>
  <c r="GL15" i="30" s="1"/>
  <c r="GM15" i="30" s="1"/>
  <c r="GN15" i="30" s="1"/>
  <c r="GO15" i="30" s="1"/>
  <c r="GP15" i="30" s="1"/>
  <c r="GQ15" i="30" s="1"/>
  <c r="GR15" i="30" s="1"/>
  <c r="GS15" i="30" s="1"/>
  <c r="GT15" i="30" s="1"/>
  <c r="GU15" i="30" s="1"/>
  <c r="GV15" i="30" s="1"/>
  <c r="GW15" i="30" s="1"/>
  <c r="GX15" i="30" s="1"/>
  <c r="GY15" i="30" s="1"/>
  <c r="GZ15" i="30" s="1"/>
  <c r="HA15" i="30" s="1"/>
  <c r="HB15" i="30" s="1"/>
  <c r="HC15" i="30" s="1"/>
  <c r="HD15" i="30" s="1"/>
  <c r="HE15" i="30" s="1"/>
  <c r="HF15" i="30" s="1"/>
  <c r="HG15" i="30" s="1"/>
  <c r="HH15" i="30" s="1"/>
  <c r="HI15" i="30" s="1"/>
  <c r="HJ15" i="30" s="1"/>
  <c r="HK15" i="30" s="1"/>
  <c r="HL15" i="30" s="1"/>
  <c r="HM15" i="30" s="1"/>
  <c r="HN15" i="30" s="1"/>
  <c r="HO15" i="30" s="1"/>
  <c r="HP15" i="30" s="1"/>
  <c r="HQ15" i="30" s="1"/>
  <c r="HR15" i="30" s="1"/>
  <c r="HS15" i="30" s="1"/>
  <c r="HT15" i="30" s="1"/>
  <c r="HU15" i="30" s="1"/>
  <c r="HV15" i="30" s="1"/>
  <c r="HW15" i="30" s="1"/>
  <c r="HX15" i="30" s="1"/>
  <c r="HY15" i="30" s="1"/>
  <c r="HZ15" i="30" s="1"/>
  <c r="IA15" i="30" s="1"/>
  <c r="IB15" i="30" s="1"/>
  <c r="IC15" i="30" s="1"/>
  <c r="ID15" i="30" s="1"/>
  <c r="IE15" i="30" s="1"/>
  <c r="IF15" i="30" s="1"/>
  <c r="IG15" i="30" s="1"/>
  <c r="IH15" i="30" s="1"/>
  <c r="II15" i="30" s="1"/>
  <c r="IJ15" i="30" s="1"/>
  <c r="IK15" i="30" s="1"/>
  <c r="IL15" i="30" s="1"/>
  <c r="IM15" i="30" s="1"/>
  <c r="IN15" i="30" s="1"/>
  <c r="IO15" i="30" s="1"/>
  <c r="IP15" i="30" s="1"/>
  <c r="IQ15" i="30" s="1"/>
  <c r="IR15" i="30" s="1"/>
  <c r="IS15" i="30" s="1"/>
  <c r="IT15" i="30" s="1"/>
  <c r="IU15" i="30" s="1"/>
  <c r="IV15" i="30" s="1"/>
  <c r="IW15" i="30" s="1"/>
  <c r="IX15" i="30" s="1"/>
  <c r="IY15" i="30" s="1"/>
  <c r="IZ15" i="30" s="1"/>
  <c r="JA15" i="30" s="1"/>
  <c r="JB15" i="30" s="1"/>
  <c r="JC15" i="30" s="1"/>
  <c r="JD15" i="30" s="1"/>
  <c r="JE15" i="30" s="1"/>
  <c r="JF15" i="30" s="1"/>
  <c r="JG15" i="30" s="1"/>
  <c r="JH15" i="30" s="1"/>
  <c r="JI15" i="30" s="1"/>
  <c r="JJ15" i="30" s="1"/>
  <c r="JK15" i="30" s="1"/>
  <c r="JL15" i="30" s="1"/>
  <c r="JM15" i="30" s="1"/>
  <c r="JN15" i="30" s="1"/>
  <c r="JO15" i="30" s="1"/>
  <c r="JP15" i="30" s="1"/>
  <c r="JQ15" i="30" s="1"/>
  <c r="JR15" i="30" s="1"/>
  <c r="JS15" i="30" s="1"/>
  <c r="JT15" i="30" s="1"/>
  <c r="JU15" i="30" s="1"/>
  <c r="JV15" i="30" s="1"/>
  <c r="JW15" i="30" s="1"/>
  <c r="JX15" i="30" s="1"/>
  <c r="JY15" i="30" s="1"/>
  <c r="JZ15" i="30" s="1"/>
  <c r="KA15" i="30" s="1"/>
  <c r="KB15" i="30" s="1"/>
  <c r="KC15" i="30" s="1"/>
  <c r="KD15" i="30" s="1"/>
  <c r="KE15" i="30" s="1"/>
  <c r="KF15" i="30" s="1"/>
  <c r="KG15" i="30" s="1"/>
  <c r="KH15" i="30" s="1"/>
  <c r="KI15" i="30" s="1"/>
  <c r="KJ15" i="30" s="1"/>
  <c r="KK15" i="30" s="1"/>
  <c r="KL15" i="30" s="1"/>
  <c r="KM15" i="30" s="1"/>
  <c r="KN15" i="30" s="1"/>
  <c r="KO15" i="30" s="1"/>
  <c r="KP15" i="30" s="1"/>
  <c r="KQ15" i="30" s="1"/>
  <c r="KR15" i="30" s="1"/>
  <c r="KS15" i="30" s="1"/>
  <c r="KT15" i="30" s="1"/>
  <c r="KU15" i="30" s="1"/>
  <c r="KV15" i="30" s="1"/>
  <c r="KW15" i="30" s="1"/>
  <c r="KX15" i="30" s="1"/>
  <c r="KY15" i="30" s="1"/>
  <c r="KZ15" i="30" s="1"/>
  <c r="LA15" i="30" s="1"/>
  <c r="LB15" i="30" s="1"/>
  <c r="LC15" i="30" s="1"/>
  <c r="LD15" i="30" s="1"/>
  <c r="LE15" i="30" s="1"/>
  <c r="LF15" i="30" s="1"/>
  <c r="LG15" i="30" s="1"/>
  <c r="LH15" i="30" s="1"/>
  <c r="LI15" i="30" s="1"/>
  <c r="LJ15" i="30" s="1"/>
  <c r="W16" i="30"/>
  <c r="X16" i="30" s="1"/>
  <c r="Y16" i="30" s="1"/>
  <c r="Z16" i="30" s="1"/>
  <c r="AA16" i="30" s="1"/>
  <c r="AB16" i="30" s="1"/>
  <c r="AC16" i="30" s="1"/>
  <c r="AD16" i="30" s="1"/>
  <c r="AE16" i="30" s="1"/>
  <c r="AF16" i="30" s="1"/>
  <c r="AG16" i="30" s="1"/>
  <c r="AH16" i="30" s="1"/>
  <c r="AI16" i="30" s="1"/>
  <c r="AJ16" i="30" s="1"/>
  <c r="AK16" i="30" s="1"/>
  <c r="AL16" i="30" s="1"/>
  <c r="AM16" i="30" s="1"/>
  <c r="AN16" i="30" s="1"/>
  <c r="AO16" i="30" s="1"/>
  <c r="AP16" i="30" s="1"/>
  <c r="AQ16" i="30" s="1"/>
  <c r="AR16" i="30" s="1"/>
  <c r="AS16" i="30" s="1"/>
  <c r="AT16" i="30" s="1"/>
  <c r="AU16" i="30" s="1"/>
  <c r="AV16" i="30" s="1"/>
  <c r="AW16" i="30" s="1"/>
  <c r="AX16" i="30" s="1"/>
  <c r="AY16" i="30" s="1"/>
  <c r="AZ16" i="30" s="1"/>
  <c r="BA16" i="30" s="1"/>
  <c r="BB16" i="30" s="1"/>
  <c r="BC16" i="30" s="1"/>
  <c r="BD16" i="30" s="1"/>
  <c r="BE16" i="30" s="1"/>
  <c r="BF16" i="30" s="1"/>
  <c r="BG16" i="30" s="1"/>
  <c r="BH16" i="30" s="1"/>
  <c r="BI16" i="30" s="1"/>
  <c r="BJ16" i="30" s="1"/>
  <c r="BK16" i="30" s="1"/>
  <c r="BL16" i="30" s="1"/>
  <c r="BM16" i="30" s="1"/>
  <c r="BN16" i="30" s="1"/>
  <c r="BO16" i="30" s="1"/>
  <c r="BP16" i="30" s="1"/>
  <c r="BQ16" i="30" s="1"/>
  <c r="BR16" i="30" s="1"/>
  <c r="BS16" i="30" s="1"/>
  <c r="BT16" i="30" s="1"/>
  <c r="BU16" i="30" s="1"/>
  <c r="BV16" i="30" s="1"/>
  <c r="BW16" i="30" s="1"/>
  <c r="BX16" i="30" s="1"/>
  <c r="BY16" i="30" s="1"/>
  <c r="BZ16" i="30" s="1"/>
  <c r="CA16" i="30" s="1"/>
  <c r="CB16" i="30" s="1"/>
  <c r="CC16" i="30" s="1"/>
  <c r="CD16" i="30" s="1"/>
  <c r="CE16" i="30" s="1"/>
  <c r="CF16" i="30" s="1"/>
  <c r="CG16" i="30" s="1"/>
  <c r="CH16" i="30" s="1"/>
  <c r="CI16" i="30" s="1"/>
  <c r="CJ16" i="30" s="1"/>
  <c r="CK16" i="30" s="1"/>
  <c r="CL16" i="30" s="1"/>
  <c r="CM16" i="30" s="1"/>
  <c r="CN16" i="30" s="1"/>
  <c r="CO16" i="30" s="1"/>
  <c r="CP16" i="30" s="1"/>
  <c r="CQ16" i="30" s="1"/>
  <c r="CR16" i="30" s="1"/>
  <c r="CS16" i="30" s="1"/>
  <c r="CT16" i="30" s="1"/>
  <c r="CU16" i="30" s="1"/>
  <c r="CV16" i="30" s="1"/>
  <c r="CW16" i="30" s="1"/>
  <c r="CX16" i="30" s="1"/>
  <c r="CY16" i="30" s="1"/>
  <c r="CZ16" i="30" s="1"/>
  <c r="DA16" i="30" s="1"/>
  <c r="DB16" i="30" s="1"/>
  <c r="DC16" i="30" s="1"/>
  <c r="DD16" i="30" s="1"/>
  <c r="DE16" i="30" s="1"/>
  <c r="DF16" i="30" s="1"/>
  <c r="DG16" i="30" s="1"/>
  <c r="DH16" i="30" s="1"/>
  <c r="DI16" i="30" s="1"/>
  <c r="DJ16" i="30" s="1"/>
  <c r="DK16" i="30" s="1"/>
  <c r="DL16" i="30" s="1"/>
  <c r="DM16" i="30" s="1"/>
  <c r="DN16" i="30" s="1"/>
  <c r="DO16" i="30" s="1"/>
  <c r="DP16" i="30" s="1"/>
  <c r="DQ16" i="30" s="1"/>
  <c r="DR16" i="30" s="1"/>
  <c r="DS16" i="30" s="1"/>
  <c r="DT16" i="30" s="1"/>
  <c r="DU16" i="30" s="1"/>
  <c r="DV16" i="30" s="1"/>
  <c r="DW16" i="30" s="1"/>
  <c r="DX16" i="30" s="1"/>
  <c r="DY16" i="30" s="1"/>
  <c r="DZ16" i="30" s="1"/>
  <c r="EA16" i="30" s="1"/>
  <c r="EB16" i="30" s="1"/>
  <c r="EC16" i="30" s="1"/>
  <c r="ED16" i="30" s="1"/>
  <c r="EE16" i="30" s="1"/>
  <c r="EF16" i="30" s="1"/>
  <c r="EG16" i="30" s="1"/>
  <c r="EH16" i="30" s="1"/>
  <c r="EI16" i="30" s="1"/>
  <c r="EJ16" i="30" s="1"/>
  <c r="EK16" i="30" s="1"/>
  <c r="EL16" i="30" s="1"/>
  <c r="EM16" i="30" s="1"/>
  <c r="EN16" i="30" s="1"/>
  <c r="EO16" i="30" s="1"/>
  <c r="EP16" i="30" s="1"/>
  <c r="EQ16" i="30" s="1"/>
  <c r="ER16" i="30" s="1"/>
  <c r="ES16" i="30" s="1"/>
  <c r="ET16" i="30" s="1"/>
  <c r="EU16" i="30" s="1"/>
  <c r="EV16" i="30" s="1"/>
  <c r="EW16" i="30" s="1"/>
  <c r="EX16" i="30" s="1"/>
  <c r="EY16" i="30" s="1"/>
  <c r="EZ16" i="30" s="1"/>
  <c r="FA16" i="30" s="1"/>
  <c r="FB16" i="30" s="1"/>
  <c r="FC16" i="30" s="1"/>
  <c r="FD16" i="30" s="1"/>
  <c r="FE16" i="30" s="1"/>
  <c r="FF16" i="30" s="1"/>
  <c r="FG16" i="30" s="1"/>
  <c r="FH16" i="30" s="1"/>
  <c r="FI16" i="30" s="1"/>
  <c r="FJ16" i="30" s="1"/>
  <c r="FK16" i="30" s="1"/>
  <c r="FL16" i="30" s="1"/>
  <c r="FM16" i="30" s="1"/>
  <c r="FN16" i="30" s="1"/>
  <c r="FO16" i="30" s="1"/>
  <c r="FP16" i="30" s="1"/>
  <c r="FQ16" i="30" s="1"/>
  <c r="FR16" i="30" s="1"/>
  <c r="FS16" i="30" s="1"/>
  <c r="FT16" i="30" s="1"/>
  <c r="FU16" i="30" s="1"/>
  <c r="FV16" i="30" s="1"/>
  <c r="FW16" i="30" s="1"/>
  <c r="FX16" i="30" s="1"/>
  <c r="FY16" i="30" s="1"/>
  <c r="FZ16" i="30" s="1"/>
  <c r="GA16" i="30" s="1"/>
  <c r="GB16" i="30" s="1"/>
  <c r="GC16" i="30" s="1"/>
  <c r="GD16" i="30" s="1"/>
  <c r="GE16" i="30" s="1"/>
  <c r="GF16" i="30" s="1"/>
  <c r="GG16" i="30" s="1"/>
  <c r="GH16" i="30" s="1"/>
  <c r="GI16" i="30" s="1"/>
  <c r="GJ16" i="30" s="1"/>
  <c r="GK16" i="30" s="1"/>
  <c r="GL16" i="30" s="1"/>
  <c r="GM16" i="30" s="1"/>
  <c r="GN16" i="30" s="1"/>
  <c r="GO16" i="30" s="1"/>
  <c r="GP16" i="30" s="1"/>
  <c r="GQ16" i="30" s="1"/>
  <c r="GR16" i="30" s="1"/>
  <c r="GS16" i="30" s="1"/>
  <c r="GT16" i="30" s="1"/>
  <c r="GU16" i="30" s="1"/>
  <c r="GV16" i="30" s="1"/>
  <c r="GW16" i="30" s="1"/>
  <c r="GX16" i="30" s="1"/>
  <c r="GY16" i="30" s="1"/>
  <c r="GZ16" i="30" s="1"/>
  <c r="HA16" i="30" s="1"/>
  <c r="HB16" i="30" s="1"/>
  <c r="HC16" i="30" s="1"/>
  <c r="HD16" i="30" s="1"/>
  <c r="HE16" i="30" s="1"/>
  <c r="HF16" i="30" s="1"/>
  <c r="HG16" i="30" s="1"/>
  <c r="HH16" i="30" s="1"/>
  <c r="HI16" i="30" s="1"/>
  <c r="HJ16" i="30" s="1"/>
  <c r="HK16" i="30" s="1"/>
  <c r="HL16" i="30" s="1"/>
  <c r="HM16" i="30" s="1"/>
  <c r="HN16" i="30" s="1"/>
  <c r="HO16" i="30" s="1"/>
  <c r="HP16" i="30" s="1"/>
  <c r="HQ16" i="30" s="1"/>
  <c r="HR16" i="30" s="1"/>
  <c r="HS16" i="30" s="1"/>
  <c r="HT16" i="30" s="1"/>
  <c r="HU16" i="30" s="1"/>
  <c r="HV16" i="30" s="1"/>
  <c r="HW16" i="30" s="1"/>
  <c r="HX16" i="30" s="1"/>
  <c r="HY16" i="30" s="1"/>
  <c r="HZ16" i="30" s="1"/>
  <c r="IA16" i="30" s="1"/>
  <c r="IB16" i="30" s="1"/>
  <c r="IC16" i="30" s="1"/>
  <c r="ID16" i="30" s="1"/>
  <c r="IE16" i="30" s="1"/>
  <c r="IF16" i="30" s="1"/>
  <c r="IG16" i="30" s="1"/>
  <c r="IH16" i="30" s="1"/>
  <c r="II16" i="30" s="1"/>
  <c r="IJ16" i="30" s="1"/>
  <c r="IK16" i="30" s="1"/>
  <c r="IL16" i="30" s="1"/>
  <c r="IM16" i="30" s="1"/>
  <c r="IN16" i="30" s="1"/>
  <c r="IO16" i="30" s="1"/>
  <c r="IP16" i="30" s="1"/>
  <c r="IQ16" i="30" s="1"/>
  <c r="IR16" i="30" s="1"/>
  <c r="IS16" i="30" s="1"/>
  <c r="IT16" i="30" s="1"/>
  <c r="IU16" i="30" s="1"/>
  <c r="IV16" i="30" s="1"/>
  <c r="IW16" i="30" s="1"/>
  <c r="IX16" i="30" s="1"/>
  <c r="IY16" i="30" s="1"/>
  <c r="IZ16" i="30" s="1"/>
  <c r="JA16" i="30" s="1"/>
  <c r="JB16" i="30" s="1"/>
  <c r="JC16" i="30" s="1"/>
  <c r="JD16" i="30" s="1"/>
  <c r="JE16" i="30" s="1"/>
  <c r="JF16" i="30" s="1"/>
  <c r="JG16" i="30" s="1"/>
  <c r="JH16" i="30" s="1"/>
  <c r="JI16" i="30" s="1"/>
  <c r="JJ16" i="30" s="1"/>
  <c r="JK16" i="30" s="1"/>
  <c r="JL16" i="30" s="1"/>
  <c r="JM16" i="30" s="1"/>
  <c r="JN16" i="30" s="1"/>
  <c r="JO16" i="30" s="1"/>
  <c r="JP16" i="30" s="1"/>
  <c r="JQ16" i="30" s="1"/>
  <c r="JR16" i="30" s="1"/>
  <c r="JS16" i="30" s="1"/>
  <c r="JT16" i="30" s="1"/>
  <c r="JU16" i="30" s="1"/>
  <c r="JV16" i="30" s="1"/>
  <c r="JW16" i="30" s="1"/>
  <c r="JX16" i="30" s="1"/>
  <c r="JY16" i="30" s="1"/>
  <c r="JZ16" i="30" s="1"/>
  <c r="KA16" i="30" s="1"/>
  <c r="KB16" i="30" s="1"/>
  <c r="KC16" i="30" s="1"/>
  <c r="KD16" i="30" s="1"/>
  <c r="KE16" i="30" s="1"/>
  <c r="KF16" i="30" s="1"/>
  <c r="KG16" i="30" s="1"/>
  <c r="KH16" i="30" s="1"/>
  <c r="KI16" i="30" s="1"/>
  <c r="KJ16" i="30" s="1"/>
  <c r="KK16" i="30" s="1"/>
  <c r="KL16" i="30" s="1"/>
  <c r="KM16" i="30" s="1"/>
  <c r="KN16" i="30" s="1"/>
  <c r="KO16" i="30" s="1"/>
  <c r="KP16" i="30" s="1"/>
  <c r="KQ16" i="30" s="1"/>
  <c r="KR16" i="30" s="1"/>
  <c r="KS16" i="30" s="1"/>
  <c r="KT16" i="30" s="1"/>
  <c r="KU16" i="30" s="1"/>
  <c r="KV16" i="30" s="1"/>
  <c r="KW16" i="30" s="1"/>
  <c r="KX16" i="30" s="1"/>
  <c r="KY16" i="30" s="1"/>
  <c r="KZ16" i="30" s="1"/>
  <c r="LA16" i="30" s="1"/>
  <c r="LB16" i="30" s="1"/>
  <c r="LC16" i="30" s="1"/>
  <c r="LD16" i="30" s="1"/>
  <c r="LE16" i="30" s="1"/>
  <c r="LF16" i="30" s="1"/>
  <c r="LG16" i="30" s="1"/>
  <c r="LH16" i="30" s="1"/>
  <c r="LI16" i="30" s="1"/>
  <c r="LJ16" i="30" s="1"/>
  <c r="W17" i="30"/>
  <c r="X17" i="30" s="1"/>
  <c r="Y17" i="30" s="1"/>
  <c r="Z17" i="30" s="1"/>
  <c r="AA17" i="30" s="1"/>
  <c r="AB17" i="30" s="1"/>
  <c r="AC17" i="30" s="1"/>
  <c r="AD17" i="30" s="1"/>
  <c r="AE17" i="30" s="1"/>
  <c r="AF17" i="30" s="1"/>
  <c r="AG17" i="30" s="1"/>
  <c r="AH17" i="30" s="1"/>
  <c r="AI17" i="30" s="1"/>
  <c r="AJ17" i="30" s="1"/>
  <c r="AK17" i="30" s="1"/>
  <c r="AL17" i="30" s="1"/>
  <c r="AM17" i="30" s="1"/>
  <c r="AN17" i="30" s="1"/>
  <c r="AO17" i="30" s="1"/>
  <c r="AP17" i="30" s="1"/>
  <c r="AQ17" i="30" s="1"/>
  <c r="AR17" i="30" s="1"/>
  <c r="AS17" i="30" s="1"/>
  <c r="AT17" i="30" s="1"/>
  <c r="AU17" i="30" s="1"/>
  <c r="AV17" i="30" s="1"/>
  <c r="AW17" i="30" s="1"/>
  <c r="AX17" i="30" s="1"/>
  <c r="AY17" i="30" s="1"/>
  <c r="AZ17" i="30" s="1"/>
  <c r="BA17" i="30" s="1"/>
  <c r="BB17" i="30" s="1"/>
  <c r="BC17" i="30" s="1"/>
  <c r="BD17" i="30" s="1"/>
  <c r="BE17" i="30" s="1"/>
  <c r="BF17" i="30" s="1"/>
  <c r="BG17" i="30" s="1"/>
  <c r="BH17" i="30" s="1"/>
  <c r="BI17" i="30" s="1"/>
  <c r="BJ17" i="30" s="1"/>
  <c r="BK17" i="30" s="1"/>
  <c r="BL17" i="30" s="1"/>
  <c r="BM17" i="30" s="1"/>
  <c r="BN17" i="30" s="1"/>
  <c r="BO17" i="30" s="1"/>
  <c r="BP17" i="30" s="1"/>
  <c r="BQ17" i="30" s="1"/>
  <c r="BR17" i="30" s="1"/>
  <c r="BS17" i="30" s="1"/>
  <c r="BT17" i="30" s="1"/>
  <c r="BU17" i="30" s="1"/>
  <c r="BV17" i="30" s="1"/>
  <c r="BW17" i="30" s="1"/>
  <c r="BX17" i="30" s="1"/>
  <c r="BY17" i="30" s="1"/>
  <c r="BZ17" i="30" s="1"/>
  <c r="CA17" i="30" s="1"/>
  <c r="CB17" i="30" s="1"/>
  <c r="CC17" i="30" s="1"/>
  <c r="CD17" i="30" s="1"/>
  <c r="CE17" i="30" s="1"/>
  <c r="CF17" i="30" s="1"/>
  <c r="CG17" i="30" s="1"/>
  <c r="CH17" i="30" s="1"/>
  <c r="CI17" i="30" s="1"/>
  <c r="CJ17" i="30" s="1"/>
  <c r="CK17" i="30" s="1"/>
  <c r="CL17" i="30" s="1"/>
  <c r="CM17" i="30" s="1"/>
  <c r="CN17" i="30" s="1"/>
  <c r="CO17" i="30" s="1"/>
  <c r="CP17" i="30" s="1"/>
  <c r="CQ17" i="30" s="1"/>
  <c r="CR17" i="30" s="1"/>
  <c r="CS17" i="30" s="1"/>
  <c r="CT17" i="30" s="1"/>
  <c r="CU17" i="30" s="1"/>
  <c r="CV17" i="30" s="1"/>
  <c r="CW17" i="30" s="1"/>
  <c r="CX17" i="30" s="1"/>
  <c r="CY17" i="30" s="1"/>
  <c r="CZ17" i="30" s="1"/>
  <c r="DA17" i="30" s="1"/>
  <c r="DB17" i="30" s="1"/>
  <c r="DC17" i="30" s="1"/>
  <c r="DD17" i="30" s="1"/>
  <c r="DE17" i="30" s="1"/>
  <c r="DF17" i="30" s="1"/>
  <c r="DG17" i="30" s="1"/>
  <c r="DH17" i="30" s="1"/>
  <c r="DI17" i="30" s="1"/>
  <c r="DJ17" i="30" s="1"/>
  <c r="DK17" i="30" s="1"/>
  <c r="DL17" i="30" s="1"/>
  <c r="DM17" i="30" s="1"/>
  <c r="DN17" i="30" s="1"/>
  <c r="DO17" i="30" s="1"/>
  <c r="DP17" i="30" s="1"/>
  <c r="DQ17" i="30" s="1"/>
  <c r="DR17" i="30" s="1"/>
  <c r="DS17" i="30" s="1"/>
  <c r="DT17" i="30" s="1"/>
  <c r="DU17" i="30" s="1"/>
  <c r="DV17" i="30" s="1"/>
  <c r="DW17" i="30" s="1"/>
  <c r="DX17" i="30" s="1"/>
  <c r="DY17" i="30" s="1"/>
  <c r="DZ17" i="30" s="1"/>
  <c r="EA17" i="30" s="1"/>
  <c r="EB17" i="30" s="1"/>
  <c r="EC17" i="30" s="1"/>
  <c r="ED17" i="30" s="1"/>
  <c r="EE17" i="30" s="1"/>
  <c r="EF17" i="30" s="1"/>
  <c r="EG17" i="30" s="1"/>
  <c r="EH17" i="30" s="1"/>
  <c r="EI17" i="30" s="1"/>
  <c r="EJ17" i="30" s="1"/>
  <c r="EK17" i="30" s="1"/>
  <c r="EL17" i="30" s="1"/>
  <c r="EM17" i="30" s="1"/>
  <c r="EN17" i="30" s="1"/>
  <c r="EO17" i="30" s="1"/>
  <c r="EP17" i="30" s="1"/>
  <c r="EQ17" i="30" s="1"/>
  <c r="ER17" i="30" s="1"/>
  <c r="ES17" i="30" s="1"/>
  <c r="ET17" i="30" s="1"/>
  <c r="EU17" i="30" s="1"/>
  <c r="EV17" i="30" s="1"/>
  <c r="EW17" i="30" s="1"/>
  <c r="EX17" i="30" s="1"/>
  <c r="EY17" i="30" s="1"/>
  <c r="EZ17" i="30" s="1"/>
  <c r="FA17" i="30" s="1"/>
  <c r="FB17" i="30" s="1"/>
  <c r="FC17" i="30" s="1"/>
  <c r="FD17" i="30" s="1"/>
  <c r="FE17" i="30" s="1"/>
  <c r="FF17" i="30" s="1"/>
  <c r="FG17" i="30" s="1"/>
  <c r="FH17" i="30" s="1"/>
  <c r="FI17" i="30" s="1"/>
  <c r="FJ17" i="30" s="1"/>
  <c r="FK17" i="30" s="1"/>
  <c r="FL17" i="30" s="1"/>
  <c r="FM17" i="30" s="1"/>
  <c r="FN17" i="30" s="1"/>
  <c r="FO17" i="30" s="1"/>
  <c r="FP17" i="30" s="1"/>
  <c r="FQ17" i="30" s="1"/>
  <c r="FR17" i="30" s="1"/>
  <c r="FS17" i="30" s="1"/>
  <c r="FT17" i="30" s="1"/>
  <c r="FU17" i="30" s="1"/>
  <c r="FV17" i="30" s="1"/>
  <c r="FW17" i="30" s="1"/>
  <c r="FX17" i="30" s="1"/>
  <c r="FY17" i="30" s="1"/>
  <c r="FZ17" i="30" s="1"/>
  <c r="GA17" i="30" s="1"/>
  <c r="GB17" i="30" s="1"/>
  <c r="GC17" i="30" s="1"/>
  <c r="GD17" i="30" s="1"/>
  <c r="GE17" i="30" s="1"/>
  <c r="GF17" i="30" s="1"/>
  <c r="GG17" i="30" s="1"/>
  <c r="GH17" i="30" s="1"/>
  <c r="GI17" i="30" s="1"/>
  <c r="GJ17" i="30" s="1"/>
  <c r="GK17" i="30" s="1"/>
  <c r="GL17" i="30" s="1"/>
  <c r="GM17" i="30" s="1"/>
  <c r="GN17" i="30" s="1"/>
  <c r="GO17" i="30" s="1"/>
  <c r="GP17" i="30" s="1"/>
  <c r="GQ17" i="30" s="1"/>
  <c r="GR17" i="30" s="1"/>
  <c r="GS17" i="30" s="1"/>
  <c r="GT17" i="30" s="1"/>
  <c r="GU17" i="30" s="1"/>
  <c r="GV17" i="30" s="1"/>
  <c r="GW17" i="30" s="1"/>
  <c r="GX17" i="30" s="1"/>
  <c r="GY17" i="30" s="1"/>
  <c r="GZ17" i="30" s="1"/>
  <c r="HA17" i="30" s="1"/>
  <c r="HB17" i="30" s="1"/>
  <c r="HC17" i="30" s="1"/>
  <c r="HD17" i="30" s="1"/>
  <c r="HE17" i="30" s="1"/>
  <c r="HF17" i="30" s="1"/>
  <c r="HG17" i="30" s="1"/>
  <c r="HH17" i="30" s="1"/>
  <c r="HI17" i="30" s="1"/>
  <c r="HJ17" i="30" s="1"/>
  <c r="HK17" i="30" s="1"/>
  <c r="HL17" i="30" s="1"/>
  <c r="HM17" i="30" s="1"/>
  <c r="HN17" i="30" s="1"/>
  <c r="HO17" i="30" s="1"/>
  <c r="HP17" i="30" s="1"/>
  <c r="HQ17" i="30" s="1"/>
  <c r="HR17" i="30" s="1"/>
  <c r="HS17" i="30" s="1"/>
  <c r="HT17" i="30" s="1"/>
  <c r="HU17" i="30" s="1"/>
  <c r="HV17" i="30" s="1"/>
  <c r="HW17" i="30" s="1"/>
  <c r="HX17" i="30" s="1"/>
  <c r="HY17" i="30" s="1"/>
  <c r="HZ17" i="30" s="1"/>
  <c r="IA17" i="30" s="1"/>
  <c r="IB17" i="30" s="1"/>
  <c r="IC17" i="30" s="1"/>
  <c r="ID17" i="30" s="1"/>
  <c r="IE17" i="30" s="1"/>
  <c r="IF17" i="30" s="1"/>
  <c r="IG17" i="30" s="1"/>
  <c r="IH17" i="30" s="1"/>
  <c r="II17" i="30" s="1"/>
  <c r="IJ17" i="30" s="1"/>
  <c r="IK17" i="30" s="1"/>
  <c r="IL17" i="30" s="1"/>
  <c r="IM17" i="30" s="1"/>
  <c r="IN17" i="30" s="1"/>
  <c r="IO17" i="30" s="1"/>
  <c r="IP17" i="30" s="1"/>
  <c r="IQ17" i="30" s="1"/>
  <c r="IR17" i="30" s="1"/>
  <c r="IS17" i="30" s="1"/>
  <c r="IT17" i="30" s="1"/>
  <c r="IU17" i="30" s="1"/>
  <c r="IV17" i="30" s="1"/>
  <c r="IW17" i="30" s="1"/>
  <c r="IX17" i="30" s="1"/>
  <c r="IY17" i="30" s="1"/>
  <c r="IZ17" i="30" s="1"/>
  <c r="JA17" i="30" s="1"/>
  <c r="JB17" i="30" s="1"/>
  <c r="JC17" i="30" s="1"/>
  <c r="JD17" i="30" s="1"/>
  <c r="JE17" i="30" s="1"/>
  <c r="JF17" i="30" s="1"/>
  <c r="JG17" i="30" s="1"/>
  <c r="JH17" i="30" s="1"/>
  <c r="JI17" i="30" s="1"/>
  <c r="JJ17" i="30" s="1"/>
  <c r="JK17" i="30" s="1"/>
  <c r="JL17" i="30" s="1"/>
  <c r="JM17" i="30" s="1"/>
  <c r="JN17" i="30" s="1"/>
  <c r="JO17" i="30" s="1"/>
  <c r="JP17" i="30" s="1"/>
  <c r="JQ17" i="30" s="1"/>
  <c r="JR17" i="30" s="1"/>
  <c r="JS17" i="30" s="1"/>
  <c r="JT17" i="30" s="1"/>
  <c r="JU17" i="30" s="1"/>
  <c r="JV17" i="30" s="1"/>
  <c r="JW17" i="30" s="1"/>
  <c r="JX17" i="30" s="1"/>
  <c r="JY17" i="30" s="1"/>
  <c r="JZ17" i="30" s="1"/>
  <c r="KA17" i="30" s="1"/>
  <c r="KB17" i="30" s="1"/>
  <c r="KC17" i="30" s="1"/>
  <c r="KD17" i="30" s="1"/>
  <c r="KE17" i="30" s="1"/>
  <c r="KF17" i="30" s="1"/>
  <c r="KG17" i="30" s="1"/>
  <c r="KH17" i="30" s="1"/>
  <c r="KI17" i="30" s="1"/>
  <c r="KJ17" i="30" s="1"/>
  <c r="KK17" i="30" s="1"/>
  <c r="KL17" i="30" s="1"/>
  <c r="KM17" i="30" s="1"/>
  <c r="KN17" i="30" s="1"/>
  <c r="KO17" i="30" s="1"/>
  <c r="KP17" i="30" s="1"/>
  <c r="KQ17" i="30" s="1"/>
  <c r="KR17" i="30" s="1"/>
  <c r="KS17" i="30" s="1"/>
  <c r="KT17" i="30" s="1"/>
  <c r="KU17" i="30" s="1"/>
  <c r="KV17" i="30" s="1"/>
  <c r="KW17" i="30" s="1"/>
  <c r="KX17" i="30" s="1"/>
  <c r="KY17" i="30" s="1"/>
  <c r="KZ17" i="30" s="1"/>
  <c r="LA17" i="30" s="1"/>
  <c r="LB17" i="30" s="1"/>
  <c r="LC17" i="30" s="1"/>
  <c r="LD17" i="30" s="1"/>
  <c r="LE17" i="30" s="1"/>
  <c r="LF17" i="30" s="1"/>
  <c r="LG17" i="30" s="1"/>
  <c r="LH17" i="30" s="1"/>
  <c r="LI17" i="30" s="1"/>
  <c r="LJ17" i="30" s="1"/>
  <c r="W18" i="30"/>
  <c r="X18" i="30" s="1"/>
  <c r="Y18" i="30" s="1"/>
  <c r="Z18" i="30" s="1"/>
  <c r="AA18" i="30" s="1"/>
  <c r="AB18" i="30" s="1"/>
  <c r="AC18" i="30" s="1"/>
  <c r="AD18" i="30" s="1"/>
  <c r="AE18" i="30" s="1"/>
  <c r="AF18" i="30" s="1"/>
  <c r="AG18" i="30" s="1"/>
  <c r="AH18" i="30" s="1"/>
  <c r="AI18" i="30" s="1"/>
  <c r="AJ18" i="30" s="1"/>
  <c r="AK18" i="30" s="1"/>
  <c r="AL18" i="30" s="1"/>
  <c r="AM18" i="30" s="1"/>
  <c r="AN18" i="30" s="1"/>
  <c r="AO18" i="30" s="1"/>
  <c r="AP18" i="30" s="1"/>
  <c r="AQ18" i="30" s="1"/>
  <c r="AR18" i="30" s="1"/>
  <c r="AS18" i="30" s="1"/>
  <c r="AT18" i="30" s="1"/>
  <c r="AU18" i="30" s="1"/>
  <c r="AV18" i="30" s="1"/>
  <c r="AW18" i="30" s="1"/>
  <c r="AX18" i="30" s="1"/>
  <c r="AY18" i="30" s="1"/>
  <c r="AZ18" i="30" s="1"/>
  <c r="BA18" i="30" s="1"/>
  <c r="BB18" i="30" s="1"/>
  <c r="BC18" i="30" s="1"/>
  <c r="BD18" i="30" s="1"/>
  <c r="BE18" i="30" s="1"/>
  <c r="BF18" i="30" s="1"/>
  <c r="BG18" i="30" s="1"/>
  <c r="BH18" i="30" s="1"/>
  <c r="BI18" i="30" s="1"/>
  <c r="BJ18" i="30" s="1"/>
  <c r="BK18" i="30" s="1"/>
  <c r="BL18" i="30" s="1"/>
  <c r="BM18" i="30" s="1"/>
  <c r="BN18" i="30" s="1"/>
  <c r="BO18" i="30" s="1"/>
  <c r="BP18" i="30" s="1"/>
  <c r="BQ18" i="30" s="1"/>
  <c r="BR18" i="30" s="1"/>
  <c r="BS18" i="30" s="1"/>
  <c r="BT18" i="30" s="1"/>
  <c r="BU18" i="30" s="1"/>
  <c r="BV18" i="30" s="1"/>
  <c r="BW18" i="30" s="1"/>
  <c r="BX18" i="30" s="1"/>
  <c r="BY18" i="30" s="1"/>
  <c r="BZ18" i="30" s="1"/>
  <c r="CA18" i="30" s="1"/>
  <c r="CB18" i="30" s="1"/>
  <c r="CC18" i="30" s="1"/>
  <c r="CD18" i="30" s="1"/>
  <c r="CE18" i="30" s="1"/>
  <c r="CF18" i="30" s="1"/>
  <c r="CG18" i="30" s="1"/>
  <c r="CH18" i="30" s="1"/>
  <c r="CI18" i="30" s="1"/>
  <c r="CJ18" i="30" s="1"/>
  <c r="CK18" i="30" s="1"/>
  <c r="CL18" i="30" s="1"/>
  <c r="CM18" i="30" s="1"/>
  <c r="CN18" i="30" s="1"/>
  <c r="CO18" i="30" s="1"/>
  <c r="CP18" i="30" s="1"/>
  <c r="CQ18" i="30" s="1"/>
  <c r="CR18" i="30" s="1"/>
  <c r="CS18" i="30" s="1"/>
  <c r="CT18" i="30" s="1"/>
  <c r="CU18" i="30" s="1"/>
  <c r="CV18" i="30" s="1"/>
  <c r="CW18" i="30" s="1"/>
  <c r="CX18" i="30" s="1"/>
  <c r="CY18" i="30" s="1"/>
  <c r="CZ18" i="30" s="1"/>
  <c r="DA18" i="30" s="1"/>
  <c r="DB18" i="30" s="1"/>
  <c r="DC18" i="30" s="1"/>
  <c r="DD18" i="30" s="1"/>
  <c r="DE18" i="30" s="1"/>
  <c r="DF18" i="30" s="1"/>
  <c r="DG18" i="30" s="1"/>
  <c r="DH18" i="30" s="1"/>
  <c r="DI18" i="30" s="1"/>
  <c r="DJ18" i="30" s="1"/>
  <c r="DK18" i="30" s="1"/>
  <c r="DL18" i="30" s="1"/>
  <c r="DM18" i="30" s="1"/>
  <c r="DN18" i="30" s="1"/>
  <c r="DO18" i="30" s="1"/>
  <c r="DP18" i="30" s="1"/>
  <c r="DQ18" i="30" s="1"/>
  <c r="DR18" i="30" s="1"/>
  <c r="DS18" i="30" s="1"/>
  <c r="DT18" i="30" s="1"/>
  <c r="DU18" i="30" s="1"/>
  <c r="DV18" i="30" s="1"/>
  <c r="DW18" i="30" s="1"/>
  <c r="DX18" i="30" s="1"/>
  <c r="DY18" i="30" s="1"/>
  <c r="DZ18" i="30" s="1"/>
  <c r="EA18" i="30" s="1"/>
  <c r="EB18" i="30" s="1"/>
  <c r="EC18" i="30" s="1"/>
  <c r="ED18" i="30" s="1"/>
  <c r="EE18" i="30" s="1"/>
  <c r="EF18" i="30" s="1"/>
  <c r="EG18" i="30" s="1"/>
  <c r="EH18" i="30" s="1"/>
  <c r="EI18" i="30" s="1"/>
  <c r="EJ18" i="30" s="1"/>
  <c r="EK18" i="30" s="1"/>
  <c r="EL18" i="30" s="1"/>
  <c r="EM18" i="30" s="1"/>
  <c r="EN18" i="30" s="1"/>
  <c r="EO18" i="30" s="1"/>
  <c r="EP18" i="30" s="1"/>
  <c r="EQ18" i="30" s="1"/>
  <c r="ER18" i="30" s="1"/>
  <c r="ES18" i="30" s="1"/>
  <c r="ET18" i="30" s="1"/>
  <c r="EU18" i="30" s="1"/>
  <c r="EV18" i="30" s="1"/>
  <c r="EW18" i="30" s="1"/>
  <c r="EX18" i="30" s="1"/>
  <c r="EY18" i="30" s="1"/>
  <c r="EZ18" i="30" s="1"/>
  <c r="FA18" i="30" s="1"/>
  <c r="FB18" i="30" s="1"/>
  <c r="FC18" i="30" s="1"/>
  <c r="FD18" i="30" s="1"/>
  <c r="FE18" i="30" s="1"/>
  <c r="FF18" i="30" s="1"/>
  <c r="FG18" i="30" s="1"/>
  <c r="FH18" i="30" s="1"/>
  <c r="FI18" i="30" s="1"/>
  <c r="FJ18" i="30" s="1"/>
  <c r="FK18" i="30" s="1"/>
  <c r="FL18" i="30" s="1"/>
  <c r="FM18" i="30" s="1"/>
  <c r="FN18" i="30" s="1"/>
  <c r="FO18" i="30" s="1"/>
  <c r="FP18" i="30" s="1"/>
  <c r="FQ18" i="30" s="1"/>
  <c r="FR18" i="30" s="1"/>
  <c r="FS18" i="30" s="1"/>
  <c r="FT18" i="30" s="1"/>
  <c r="FU18" i="30" s="1"/>
  <c r="FV18" i="30" s="1"/>
  <c r="FW18" i="30" s="1"/>
  <c r="FX18" i="30" s="1"/>
  <c r="FY18" i="30" s="1"/>
  <c r="FZ18" i="30" s="1"/>
  <c r="GA18" i="30" s="1"/>
  <c r="GB18" i="30" s="1"/>
  <c r="GC18" i="30" s="1"/>
  <c r="GD18" i="30" s="1"/>
  <c r="GE18" i="30" s="1"/>
  <c r="GF18" i="30" s="1"/>
  <c r="GG18" i="30" s="1"/>
  <c r="GH18" i="30" s="1"/>
  <c r="GI18" i="30" s="1"/>
  <c r="GJ18" i="30" s="1"/>
  <c r="GK18" i="30" s="1"/>
  <c r="GL18" i="30" s="1"/>
  <c r="GM18" i="30" s="1"/>
  <c r="GN18" i="30" s="1"/>
  <c r="GO18" i="30" s="1"/>
  <c r="GP18" i="30" s="1"/>
  <c r="GQ18" i="30" s="1"/>
  <c r="GR18" i="30" s="1"/>
  <c r="GS18" i="30" s="1"/>
  <c r="GT18" i="30" s="1"/>
  <c r="GU18" i="30" s="1"/>
  <c r="GV18" i="30" s="1"/>
  <c r="GW18" i="30" s="1"/>
  <c r="GX18" i="30" s="1"/>
  <c r="GY18" i="30" s="1"/>
  <c r="GZ18" i="30" s="1"/>
  <c r="HA18" i="30" s="1"/>
  <c r="HB18" i="30" s="1"/>
  <c r="HC18" i="30" s="1"/>
  <c r="HD18" i="30" s="1"/>
  <c r="HE18" i="30" s="1"/>
  <c r="HF18" i="30" s="1"/>
  <c r="HG18" i="30" s="1"/>
  <c r="HH18" i="30" s="1"/>
  <c r="HI18" i="30" s="1"/>
  <c r="HJ18" i="30" s="1"/>
  <c r="HK18" i="30" s="1"/>
  <c r="HL18" i="30" s="1"/>
  <c r="HM18" i="30" s="1"/>
  <c r="HN18" i="30" s="1"/>
  <c r="HO18" i="30" s="1"/>
  <c r="HP18" i="30" s="1"/>
  <c r="HQ18" i="30" s="1"/>
  <c r="HR18" i="30" s="1"/>
  <c r="HS18" i="30" s="1"/>
  <c r="HT18" i="30" s="1"/>
  <c r="HU18" i="30" s="1"/>
  <c r="HV18" i="30" s="1"/>
  <c r="HW18" i="30" s="1"/>
  <c r="HX18" i="30" s="1"/>
  <c r="HY18" i="30" s="1"/>
  <c r="HZ18" i="30" s="1"/>
  <c r="IA18" i="30" s="1"/>
  <c r="IB18" i="30" s="1"/>
  <c r="IC18" i="30" s="1"/>
  <c r="ID18" i="30" s="1"/>
  <c r="IE18" i="30" s="1"/>
  <c r="IF18" i="30" s="1"/>
  <c r="IG18" i="30" s="1"/>
  <c r="IH18" i="30" s="1"/>
  <c r="II18" i="30" s="1"/>
  <c r="IJ18" i="30" s="1"/>
  <c r="IK18" i="30" s="1"/>
  <c r="IL18" i="30" s="1"/>
  <c r="IM18" i="30" s="1"/>
  <c r="IN18" i="30" s="1"/>
  <c r="IO18" i="30" s="1"/>
  <c r="IP18" i="30" s="1"/>
  <c r="IQ18" i="30" s="1"/>
  <c r="IR18" i="30" s="1"/>
  <c r="IS18" i="30" s="1"/>
  <c r="IT18" i="30" s="1"/>
  <c r="IU18" i="30" s="1"/>
  <c r="IV18" i="30" s="1"/>
  <c r="IW18" i="30" s="1"/>
  <c r="IX18" i="30" s="1"/>
  <c r="IY18" i="30" s="1"/>
  <c r="IZ18" i="30" s="1"/>
  <c r="JA18" i="30" s="1"/>
  <c r="JB18" i="30" s="1"/>
  <c r="JC18" i="30" s="1"/>
  <c r="JD18" i="30" s="1"/>
  <c r="JE18" i="30" s="1"/>
  <c r="JF18" i="30" s="1"/>
  <c r="JG18" i="30" s="1"/>
  <c r="JH18" i="30" s="1"/>
  <c r="JI18" i="30" s="1"/>
  <c r="JJ18" i="30" s="1"/>
  <c r="JK18" i="30" s="1"/>
  <c r="JL18" i="30" s="1"/>
  <c r="JM18" i="30" s="1"/>
  <c r="JN18" i="30" s="1"/>
  <c r="JO18" i="30" s="1"/>
  <c r="JP18" i="30" s="1"/>
  <c r="JQ18" i="30" s="1"/>
  <c r="JR18" i="30" s="1"/>
  <c r="JS18" i="30" s="1"/>
  <c r="JT18" i="30" s="1"/>
  <c r="JU18" i="30" s="1"/>
  <c r="JV18" i="30" s="1"/>
  <c r="JW18" i="30" s="1"/>
  <c r="JX18" i="30" s="1"/>
  <c r="JY18" i="30" s="1"/>
  <c r="JZ18" i="30" s="1"/>
  <c r="KA18" i="30" s="1"/>
  <c r="KB18" i="30" s="1"/>
  <c r="KC18" i="30" s="1"/>
  <c r="KD18" i="30" s="1"/>
  <c r="KE18" i="30" s="1"/>
  <c r="KF18" i="30" s="1"/>
  <c r="KG18" i="30" s="1"/>
  <c r="KH18" i="30" s="1"/>
  <c r="KI18" i="30" s="1"/>
  <c r="KJ18" i="30" s="1"/>
  <c r="KK18" i="30" s="1"/>
  <c r="KL18" i="30" s="1"/>
  <c r="KM18" i="30" s="1"/>
  <c r="KN18" i="30" s="1"/>
  <c r="KO18" i="30" s="1"/>
  <c r="KP18" i="30" s="1"/>
  <c r="KQ18" i="30" s="1"/>
  <c r="KR18" i="30" s="1"/>
  <c r="KS18" i="30" s="1"/>
  <c r="KT18" i="30" s="1"/>
  <c r="KU18" i="30" s="1"/>
  <c r="KV18" i="30" s="1"/>
  <c r="KW18" i="30" s="1"/>
  <c r="KX18" i="30" s="1"/>
  <c r="KY18" i="30" s="1"/>
  <c r="KZ18" i="30" s="1"/>
  <c r="LA18" i="30" s="1"/>
  <c r="LB18" i="30" s="1"/>
  <c r="LC18" i="30" s="1"/>
  <c r="LD18" i="30" s="1"/>
  <c r="LE18" i="30" s="1"/>
  <c r="LF18" i="30" s="1"/>
  <c r="LG18" i="30" s="1"/>
  <c r="LH18" i="30" s="1"/>
  <c r="LI18" i="30" s="1"/>
  <c r="LJ18" i="30" s="1"/>
  <c r="W19" i="30"/>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CT19" i="30" s="1"/>
  <c r="CU19" i="30" s="1"/>
  <c r="CV19" i="30" s="1"/>
  <c r="CW19" i="30" s="1"/>
  <c r="CX19" i="30" s="1"/>
  <c r="CY19" i="30" s="1"/>
  <c r="CZ19" i="30" s="1"/>
  <c r="DA19" i="30" s="1"/>
  <c r="DB19" i="30" s="1"/>
  <c r="DC19" i="30" s="1"/>
  <c r="DD19" i="30" s="1"/>
  <c r="DE19" i="30" s="1"/>
  <c r="DF19" i="30" s="1"/>
  <c r="DG19" i="30" s="1"/>
  <c r="DH19" i="30" s="1"/>
  <c r="DI19" i="30" s="1"/>
  <c r="DJ19" i="30" s="1"/>
  <c r="DK19" i="30" s="1"/>
  <c r="DL19" i="30" s="1"/>
  <c r="DM19" i="30" s="1"/>
  <c r="DN19" i="30" s="1"/>
  <c r="DO19" i="30" s="1"/>
  <c r="DP19" i="30" s="1"/>
  <c r="DQ19" i="30" s="1"/>
  <c r="DR19" i="30" s="1"/>
  <c r="DS19" i="30" s="1"/>
  <c r="DT19" i="30" s="1"/>
  <c r="DU19" i="30" s="1"/>
  <c r="DV19" i="30" s="1"/>
  <c r="DW19" i="30" s="1"/>
  <c r="DX19" i="30" s="1"/>
  <c r="DY19" i="30" s="1"/>
  <c r="DZ19" i="30" s="1"/>
  <c r="EA19" i="30" s="1"/>
  <c r="EB19" i="30" s="1"/>
  <c r="EC19" i="30" s="1"/>
  <c r="ED19" i="30" s="1"/>
  <c r="EE19" i="30" s="1"/>
  <c r="EF19" i="30" s="1"/>
  <c r="EG19" i="30" s="1"/>
  <c r="EH19" i="30" s="1"/>
  <c r="EI19" i="30" s="1"/>
  <c r="EJ19" i="30" s="1"/>
  <c r="EK19" i="30" s="1"/>
  <c r="EL19" i="30" s="1"/>
  <c r="EM19" i="30" s="1"/>
  <c r="EN19" i="30" s="1"/>
  <c r="EO19" i="30" s="1"/>
  <c r="EP19" i="30" s="1"/>
  <c r="EQ19" i="30" s="1"/>
  <c r="ER19" i="30" s="1"/>
  <c r="ES19" i="30" s="1"/>
  <c r="ET19" i="30" s="1"/>
  <c r="EU19" i="30" s="1"/>
  <c r="EV19" i="30" s="1"/>
  <c r="EW19" i="30" s="1"/>
  <c r="EX19" i="30" s="1"/>
  <c r="EY19" i="30" s="1"/>
  <c r="EZ19" i="30" s="1"/>
  <c r="FA19" i="30" s="1"/>
  <c r="FB19" i="30" s="1"/>
  <c r="FC19" i="30" s="1"/>
  <c r="FD19" i="30" s="1"/>
  <c r="FE19" i="30" s="1"/>
  <c r="FF19" i="30" s="1"/>
  <c r="FG19" i="30" s="1"/>
  <c r="FH19" i="30" s="1"/>
  <c r="FI19" i="30" s="1"/>
  <c r="FJ19" i="30" s="1"/>
  <c r="FK19" i="30" s="1"/>
  <c r="FL19" i="30" s="1"/>
  <c r="FM19" i="30" s="1"/>
  <c r="FN19" i="30" s="1"/>
  <c r="FO19" i="30" s="1"/>
  <c r="FP19" i="30" s="1"/>
  <c r="FQ19" i="30" s="1"/>
  <c r="FR19" i="30" s="1"/>
  <c r="FS19" i="30" s="1"/>
  <c r="FT19" i="30" s="1"/>
  <c r="FU19" i="30" s="1"/>
  <c r="FV19" i="30" s="1"/>
  <c r="FW19" i="30" s="1"/>
  <c r="FX19" i="30" s="1"/>
  <c r="FY19" i="30" s="1"/>
  <c r="FZ19" i="30" s="1"/>
  <c r="GA19" i="30" s="1"/>
  <c r="GB19" i="30" s="1"/>
  <c r="GC19" i="30" s="1"/>
  <c r="GD19" i="30" s="1"/>
  <c r="GE19" i="30" s="1"/>
  <c r="GF19" i="30" s="1"/>
  <c r="GG19" i="30" s="1"/>
  <c r="GH19" i="30" s="1"/>
  <c r="GI19" i="30" s="1"/>
  <c r="GJ19" i="30" s="1"/>
  <c r="GK19" i="30" s="1"/>
  <c r="GL19" i="30" s="1"/>
  <c r="GM19" i="30" s="1"/>
  <c r="GN19" i="30" s="1"/>
  <c r="GO19" i="30" s="1"/>
  <c r="GP19" i="30" s="1"/>
  <c r="GQ19" i="30" s="1"/>
  <c r="GR19" i="30" s="1"/>
  <c r="GS19" i="30" s="1"/>
  <c r="GT19" i="30" s="1"/>
  <c r="GU19" i="30" s="1"/>
  <c r="GV19" i="30" s="1"/>
  <c r="GW19" i="30" s="1"/>
  <c r="GX19" i="30" s="1"/>
  <c r="GY19" i="30" s="1"/>
  <c r="GZ19" i="30" s="1"/>
  <c r="HA19" i="30" s="1"/>
  <c r="HB19" i="30" s="1"/>
  <c r="HC19" i="30" s="1"/>
  <c r="HD19" i="30" s="1"/>
  <c r="HE19" i="30" s="1"/>
  <c r="HF19" i="30" s="1"/>
  <c r="HG19" i="30" s="1"/>
  <c r="HH19" i="30" s="1"/>
  <c r="HI19" i="30" s="1"/>
  <c r="HJ19" i="30" s="1"/>
  <c r="HK19" i="30" s="1"/>
  <c r="HL19" i="30" s="1"/>
  <c r="HM19" i="30" s="1"/>
  <c r="HN19" i="30" s="1"/>
  <c r="HO19" i="30" s="1"/>
  <c r="HP19" i="30" s="1"/>
  <c r="HQ19" i="30" s="1"/>
  <c r="HR19" i="30" s="1"/>
  <c r="HS19" i="30" s="1"/>
  <c r="HT19" i="30" s="1"/>
  <c r="HU19" i="30" s="1"/>
  <c r="HV19" i="30" s="1"/>
  <c r="HW19" i="30" s="1"/>
  <c r="HX19" i="30" s="1"/>
  <c r="HY19" i="30" s="1"/>
  <c r="HZ19" i="30" s="1"/>
  <c r="IA19" i="30" s="1"/>
  <c r="IB19" i="30" s="1"/>
  <c r="IC19" i="30" s="1"/>
  <c r="ID19" i="30" s="1"/>
  <c r="IE19" i="30" s="1"/>
  <c r="IF19" i="30" s="1"/>
  <c r="IG19" i="30" s="1"/>
  <c r="IH19" i="30" s="1"/>
  <c r="II19" i="30" s="1"/>
  <c r="IJ19" i="30" s="1"/>
  <c r="IK19" i="30" s="1"/>
  <c r="IL19" i="30" s="1"/>
  <c r="IM19" i="30" s="1"/>
  <c r="IN19" i="30" s="1"/>
  <c r="IO19" i="30" s="1"/>
  <c r="IP19" i="30" s="1"/>
  <c r="IQ19" i="30" s="1"/>
  <c r="IR19" i="30" s="1"/>
  <c r="IS19" i="30" s="1"/>
  <c r="IT19" i="30" s="1"/>
  <c r="IU19" i="30" s="1"/>
  <c r="IV19" i="30" s="1"/>
  <c r="IW19" i="30" s="1"/>
  <c r="IX19" i="30" s="1"/>
  <c r="IY19" i="30" s="1"/>
  <c r="IZ19" i="30" s="1"/>
  <c r="JA19" i="30" s="1"/>
  <c r="JB19" i="30" s="1"/>
  <c r="JC19" i="30" s="1"/>
  <c r="JD19" i="30" s="1"/>
  <c r="JE19" i="30" s="1"/>
  <c r="JF19" i="30" s="1"/>
  <c r="JG19" i="30" s="1"/>
  <c r="JH19" i="30" s="1"/>
  <c r="JI19" i="30" s="1"/>
  <c r="JJ19" i="30" s="1"/>
  <c r="JK19" i="30" s="1"/>
  <c r="JL19" i="30" s="1"/>
  <c r="JM19" i="30" s="1"/>
  <c r="JN19" i="30" s="1"/>
  <c r="JO19" i="30" s="1"/>
  <c r="JP19" i="30" s="1"/>
  <c r="JQ19" i="30" s="1"/>
  <c r="JR19" i="30" s="1"/>
  <c r="JS19" i="30" s="1"/>
  <c r="JT19" i="30" s="1"/>
  <c r="JU19" i="30" s="1"/>
  <c r="JV19" i="30" s="1"/>
  <c r="JW19" i="30" s="1"/>
  <c r="JX19" i="30" s="1"/>
  <c r="JY19" i="30" s="1"/>
  <c r="JZ19" i="30" s="1"/>
  <c r="KA19" i="30" s="1"/>
  <c r="KB19" i="30" s="1"/>
  <c r="KC19" i="30" s="1"/>
  <c r="KD19" i="30" s="1"/>
  <c r="KE19" i="30" s="1"/>
  <c r="KF19" i="30" s="1"/>
  <c r="KG19" i="30" s="1"/>
  <c r="KH19" i="30" s="1"/>
  <c r="KI19" i="30" s="1"/>
  <c r="KJ19" i="30" s="1"/>
  <c r="KK19" i="30" s="1"/>
  <c r="KL19" i="30" s="1"/>
  <c r="KM19" i="30" s="1"/>
  <c r="KN19" i="30" s="1"/>
  <c r="KO19" i="30" s="1"/>
  <c r="KP19" i="30" s="1"/>
  <c r="KQ19" i="30" s="1"/>
  <c r="KR19" i="30" s="1"/>
  <c r="KS19" i="30" s="1"/>
  <c r="KT19" i="30" s="1"/>
  <c r="KU19" i="30" s="1"/>
  <c r="KV19" i="30" s="1"/>
  <c r="KW19" i="30" s="1"/>
  <c r="KX19" i="30" s="1"/>
  <c r="KY19" i="30" s="1"/>
  <c r="KZ19" i="30" s="1"/>
  <c r="LA19" i="30" s="1"/>
  <c r="LB19" i="30" s="1"/>
  <c r="LC19" i="30" s="1"/>
  <c r="LD19" i="30" s="1"/>
  <c r="LE19" i="30" s="1"/>
  <c r="LF19" i="30" s="1"/>
  <c r="LG19" i="30" s="1"/>
  <c r="LH19" i="30" s="1"/>
  <c r="LI19" i="30" s="1"/>
  <c r="LJ19" i="30" s="1"/>
  <c r="W20" i="30"/>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CT20" i="30" s="1"/>
  <c r="CU20" i="30" s="1"/>
  <c r="CV20" i="30" s="1"/>
  <c r="CW20" i="30" s="1"/>
  <c r="CX20" i="30" s="1"/>
  <c r="CY20" i="30" s="1"/>
  <c r="CZ20" i="30" s="1"/>
  <c r="DA20" i="30" s="1"/>
  <c r="DB20" i="30" s="1"/>
  <c r="DC20" i="30" s="1"/>
  <c r="DD20" i="30" s="1"/>
  <c r="DE20" i="30" s="1"/>
  <c r="DF20" i="30" s="1"/>
  <c r="DG20" i="30" s="1"/>
  <c r="DH20" i="30" s="1"/>
  <c r="DI20" i="30" s="1"/>
  <c r="DJ20" i="30" s="1"/>
  <c r="DK20" i="30" s="1"/>
  <c r="DL20" i="30" s="1"/>
  <c r="DM20" i="30" s="1"/>
  <c r="DN20" i="30" s="1"/>
  <c r="DO20" i="30" s="1"/>
  <c r="DP20" i="30" s="1"/>
  <c r="DQ20" i="30" s="1"/>
  <c r="DR20" i="30" s="1"/>
  <c r="DS20" i="30" s="1"/>
  <c r="DT20" i="30" s="1"/>
  <c r="DU20" i="30" s="1"/>
  <c r="DV20" i="30" s="1"/>
  <c r="DW20" i="30" s="1"/>
  <c r="DX20" i="30" s="1"/>
  <c r="DY20" i="30" s="1"/>
  <c r="DZ20" i="30" s="1"/>
  <c r="EA20" i="30" s="1"/>
  <c r="EB20" i="30" s="1"/>
  <c r="EC20" i="30" s="1"/>
  <c r="ED20" i="30" s="1"/>
  <c r="EE20" i="30" s="1"/>
  <c r="EF20" i="30" s="1"/>
  <c r="EG20" i="30" s="1"/>
  <c r="EH20" i="30" s="1"/>
  <c r="EI20" i="30" s="1"/>
  <c r="EJ20" i="30" s="1"/>
  <c r="EK20" i="30" s="1"/>
  <c r="EL20" i="30" s="1"/>
  <c r="EM20" i="30" s="1"/>
  <c r="EN20" i="30" s="1"/>
  <c r="EO20" i="30" s="1"/>
  <c r="EP20" i="30" s="1"/>
  <c r="EQ20" i="30" s="1"/>
  <c r="ER20" i="30" s="1"/>
  <c r="ES20" i="30" s="1"/>
  <c r="ET20" i="30" s="1"/>
  <c r="EU20" i="30" s="1"/>
  <c r="EV20" i="30" s="1"/>
  <c r="EW20" i="30" s="1"/>
  <c r="EX20" i="30" s="1"/>
  <c r="EY20" i="30" s="1"/>
  <c r="EZ20" i="30" s="1"/>
  <c r="FA20" i="30" s="1"/>
  <c r="FB20" i="30" s="1"/>
  <c r="FC20" i="30" s="1"/>
  <c r="FD20" i="30" s="1"/>
  <c r="FE20" i="30" s="1"/>
  <c r="FF20" i="30" s="1"/>
  <c r="FG20" i="30" s="1"/>
  <c r="FH20" i="30" s="1"/>
  <c r="FI20" i="30" s="1"/>
  <c r="FJ20" i="30" s="1"/>
  <c r="FK20" i="30" s="1"/>
  <c r="FL20" i="30" s="1"/>
  <c r="FM20" i="30" s="1"/>
  <c r="FN20" i="30" s="1"/>
  <c r="FO20" i="30" s="1"/>
  <c r="FP20" i="30" s="1"/>
  <c r="FQ20" i="30" s="1"/>
  <c r="FR20" i="30" s="1"/>
  <c r="FS20" i="30" s="1"/>
  <c r="FT20" i="30" s="1"/>
  <c r="FU20" i="30" s="1"/>
  <c r="FV20" i="30" s="1"/>
  <c r="FW20" i="30" s="1"/>
  <c r="FX20" i="30" s="1"/>
  <c r="FY20" i="30" s="1"/>
  <c r="FZ20" i="30" s="1"/>
  <c r="GA20" i="30" s="1"/>
  <c r="GB20" i="30" s="1"/>
  <c r="GC20" i="30" s="1"/>
  <c r="GD20" i="30" s="1"/>
  <c r="GE20" i="30" s="1"/>
  <c r="GF20" i="30" s="1"/>
  <c r="GG20" i="30" s="1"/>
  <c r="GH20" i="30" s="1"/>
  <c r="GI20" i="30" s="1"/>
  <c r="GJ20" i="30" s="1"/>
  <c r="GK20" i="30" s="1"/>
  <c r="GL20" i="30" s="1"/>
  <c r="GM20" i="30" s="1"/>
  <c r="GN20" i="30" s="1"/>
  <c r="GO20" i="30" s="1"/>
  <c r="GP20" i="30" s="1"/>
  <c r="GQ20" i="30" s="1"/>
  <c r="GR20" i="30" s="1"/>
  <c r="GS20" i="30" s="1"/>
  <c r="GT20" i="30" s="1"/>
  <c r="GU20" i="30" s="1"/>
  <c r="GV20" i="30" s="1"/>
  <c r="GW20" i="30" s="1"/>
  <c r="GX20" i="30" s="1"/>
  <c r="GY20" i="30" s="1"/>
  <c r="GZ20" i="30" s="1"/>
  <c r="HA20" i="30" s="1"/>
  <c r="HB20" i="30" s="1"/>
  <c r="HC20" i="30" s="1"/>
  <c r="HD20" i="30" s="1"/>
  <c r="HE20" i="30" s="1"/>
  <c r="HF20" i="30" s="1"/>
  <c r="HG20" i="30" s="1"/>
  <c r="HH20" i="30" s="1"/>
  <c r="HI20" i="30" s="1"/>
  <c r="HJ20" i="30" s="1"/>
  <c r="HK20" i="30" s="1"/>
  <c r="HL20" i="30" s="1"/>
  <c r="HM20" i="30" s="1"/>
  <c r="HN20" i="30" s="1"/>
  <c r="HO20" i="30" s="1"/>
  <c r="HP20" i="30" s="1"/>
  <c r="HQ20" i="30" s="1"/>
  <c r="HR20" i="30" s="1"/>
  <c r="HS20" i="30" s="1"/>
  <c r="HT20" i="30" s="1"/>
  <c r="HU20" i="30" s="1"/>
  <c r="HV20" i="30" s="1"/>
  <c r="HW20" i="30" s="1"/>
  <c r="HX20" i="30" s="1"/>
  <c r="HY20" i="30" s="1"/>
  <c r="HZ20" i="30" s="1"/>
  <c r="IA20" i="30" s="1"/>
  <c r="IB20" i="30" s="1"/>
  <c r="IC20" i="30" s="1"/>
  <c r="ID20" i="30" s="1"/>
  <c r="IE20" i="30" s="1"/>
  <c r="IF20" i="30" s="1"/>
  <c r="IG20" i="30" s="1"/>
  <c r="IH20" i="30" s="1"/>
  <c r="II20" i="30" s="1"/>
  <c r="IJ20" i="30" s="1"/>
  <c r="IK20" i="30" s="1"/>
  <c r="IL20" i="30" s="1"/>
  <c r="IM20" i="30" s="1"/>
  <c r="IN20" i="30" s="1"/>
  <c r="IO20" i="30" s="1"/>
  <c r="IP20" i="30" s="1"/>
  <c r="IQ20" i="30" s="1"/>
  <c r="IR20" i="30" s="1"/>
  <c r="IS20" i="30" s="1"/>
  <c r="IT20" i="30" s="1"/>
  <c r="IU20" i="30" s="1"/>
  <c r="IV20" i="30" s="1"/>
  <c r="IW20" i="30" s="1"/>
  <c r="IX20" i="30" s="1"/>
  <c r="IY20" i="30" s="1"/>
  <c r="IZ20" i="30" s="1"/>
  <c r="JA20" i="30" s="1"/>
  <c r="JB20" i="30" s="1"/>
  <c r="JC20" i="30" s="1"/>
  <c r="JD20" i="30" s="1"/>
  <c r="JE20" i="30" s="1"/>
  <c r="JF20" i="30" s="1"/>
  <c r="JG20" i="30" s="1"/>
  <c r="JH20" i="30" s="1"/>
  <c r="JI20" i="30" s="1"/>
  <c r="JJ20" i="30" s="1"/>
  <c r="JK20" i="30" s="1"/>
  <c r="JL20" i="30" s="1"/>
  <c r="JM20" i="30" s="1"/>
  <c r="JN20" i="30" s="1"/>
  <c r="JO20" i="30" s="1"/>
  <c r="JP20" i="30" s="1"/>
  <c r="JQ20" i="30" s="1"/>
  <c r="JR20" i="30" s="1"/>
  <c r="JS20" i="30" s="1"/>
  <c r="JT20" i="30" s="1"/>
  <c r="JU20" i="30" s="1"/>
  <c r="JV20" i="30" s="1"/>
  <c r="JW20" i="30" s="1"/>
  <c r="JX20" i="30" s="1"/>
  <c r="JY20" i="30" s="1"/>
  <c r="JZ20" i="30" s="1"/>
  <c r="KA20" i="30" s="1"/>
  <c r="KB20" i="30" s="1"/>
  <c r="KC20" i="30" s="1"/>
  <c r="KD20" i="30" s="1"/>
  <c r="KE20" i="30" s="1"/>
  <c r="KF20" i="30" s="1"/>
  <c r="KG20" i="30" s="1"/>
  <c r="KH20" i="30" s="1"/>
  <c r="KI20" i="30" s="1"/>
  <c r="KJ20" i="30" s="1"/>
  <c r="KK20" i="30" s="1"/>
  <c r="KL20" i="30" s="1"/>
  <c r="KM20" i="30" s="1"/>
  <c r="KN20" i="30" s="1"/>
  <c r="KO20" i="30" s="1"/>
  <c r="KP20" i="30" s="1"/>
  <c r="KQ20" i="30" s="1"/>
  <c r="KR20" i="30" s="1"/>
  <c r="KS20" i="30" s="1"/>
  <c r="KT20" i="30" s="1"/>
  <c r="KU20" i="30" s="1"/>
  <c r="KV20" i="30" s="1"/>
  <c r="KW20" i="30" s="1"/>
  <c r="KX20" i="30" s="1"/>
  <c r="KY20" i="30" s="1"/>
  <c r="KZ20" i="30" s="1"/>
  <c r="LA20" i="30" s="1"/>
  <c r="LB20" i="30" s="1"/>
  <c r="LC20" i="30" s="1"/>
  <c r="LD20" i="30" s="1"/>
  <c r="LE20" i="30" s="1"/>
  <c r="LF20" i="30" s="1"/>
  <c r="LG20" i="30" s="1"/>
  <c r="LH20" i="30" s="1"/>
  <c r="LI20" i="30" s="1"/>
  <c r="LJ20" i="30" s="1"/>
  <c r="W21" i="30"/>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CT21" i="30" s="1"/>
  <c r="CU21" i="30" s="1"/>
  <c r="CV21" i="30" s="1"/>
  <c r="CW21" i="30" s="1"/>
  <c r="CX21" i="30" s="1"/>
  <c r="CY21" i="30" s="1"/>
  <c r="CZ21" i="30" s="1"/>
  <c r="DA21" i="30" s="1"/>
  <c r="DB21" i="30" s="1"/>
  <c r="DC21" i="30" s="1"/>
  <c r="DD21" i="30" s="1"/>
  <c r="DE21" i="30" s="1"/>
  <c r="DF21" i="30" s="1"/>
  <c r="DG21" i="30" s="1"/>
  <c r="DH21" i="30" s="1"/>
  <c r="DI21" i="30" s="1"/>
  <c r="DJ21" i="30" s="1"/>
  <c r="DK21" i="30" s="1"/>
  <c r="DL21" i="30" s="1"/>
  <c r="DM21" i="30" s="1"/>
  <c r="DN21" i="30" s="1"/>
  <c r="DO21" i="30" s="1"/>
  <c r="DP21" i="30" s="1"/>
  <c r="DQ21" i="30" s="1"/>
  <c r="DR21" i="30" s="1"/>
  <c r="DS21" i="30" s="1"/>
  <c r="DT21" i="30" s="1"/>
  <c r="DU21" i="30" s="1"/>
  <c r="DV21" i="30" s="1"/>
  <c r="DW21" i="30" s="1"/>
  <c r="DX21" i="30" s="1"/>
  <c r="DY21" i="30" s="1"/>
  <c r="DZ21" i="30" s="1"/>
  <c r="EA21" i="30" s="1"/>
  <c r="EB21" i="30" s="1"/>
  <c r="EC21" i="30" s="1"/>
  <c r="ED21" i="30" s="1"/>
  <c r="EE21" i="30" s="1"/>
  <c r="EF21" i="30" s="1"/>
  <c r="EG21" i="30" s="1"/>
  <c r="EH21" i="30" s="1"/>
  <c r="EI21" i="30" s="1"/>
  <c r="EJ21" i="30" s="1"/>
  <c r="EK21" i="30" s="1"/>
  <c r="EL21" i="30" s="1"/>
  <c r="EM21" i="30" s="1"/>
  <c r="EN21" i="30" s="1"/>
  <c r="EO21" i="30" s="1"/>
  <c r="EP21" i="30" s="1"/>
  <c r="EQ21" i="30" s="1"/>
  <c r="ER21" i="30" s="1"/>
  <c r="ES21" i="30" s="1"/>
  <c r="ET21" i="30" s="1"/>
  <c r="EU21" i="30" s="1"/>
  <c r="EV21" i="30" s="1"/>
  <c r="EW21" i="30" s="1"/>
  <c r="EX21" i="30" s="1"/>
  <c r="EY21" i="30" s="1"/>
  <c r="EZ21" i="30" s="1"/>
  <c r="FA21" i="30" s="1"/>
  <c r="FB21" i="30" s="1"/>
  <c r="FC21" i="30" s="1"/>
  <c r="FD21" i="30" s="1"/>
  <c r="FE21" i="30" s="1"/>
  <c r="FF21" i="30" s="1"/>
  <c r="FG21" i="30" s="1"/>
  <c r="FH21" i="30" s="1"/>
  <c r="FI21" i="30" s="1"/>
  <c r="FJ21" i="30" s="1"/>
  <c r="FK21" i="30" s="1"/>
  <c r="FL21" i="30" s="1"/>
  <c r="FM21" i="30" s="1"/>
  <c r="FN21" i="30" s="1"/>
  <c r="FO21" i="30" s="1"/>
  <c r="FP21" i="30" s="1"/>
  <c r="FQ21" i="30" s="1"/>
  <c r="FR21" i="30" s="1"/>
  <c r="FS21" i="30" s="1"/>
  <c r="FT21" i="30" s="1"/>
  <c r="FU21" i="30" s="1"/>
  <c r="FV21" i="30" s="1"/>
  <c r="FW21" i="30" s="1"/>
  <c r="FX21" i="30" s="1"/>
  <c r="FY21" i="30" s="1"/>
  <c r="FZ21" i="30" s="1"/>
  <c r="GA21" i="30" s="1"/>
  <c r="GB21" i="30" s="1"/>
  <c r="GC21" i="30" s="1"/>
  <c r="GD21" i="30" s="1"/>
  <c r="GE21" i="30" s="1"/>
  <c r="GF21" i="30" s="1"/>
  <c r="GG21" i="30" s="1"/>
  <c r="GH21" i="30" s="1"/>
  <c r="GI21" i="30" s="1"/>
  <c r="GJ21" i="30" s="1"/>
  <c r="GK21" i="30" s="1"/>
  <c r="GL21" i="30" s="1"/>
  <c r="GM21" i="30" s="1"/>
  <c r="GN21" i="30" s="1"/>
  <c r="GO21" i="30" s="1"/>
  <c r="GP21" i="30" s="1"/>
  <c r="GQ21" i="30" s="1"/>
  <c r="GR21" i="30" s="1"/>
  <c r="GS21" i="30" s="1"/>
  <c r="GT21" i="30" s="1"/>
  <c r="GU21" i="30" s="1"/>
  <c r="GV21" i="30" s="1"/>
  <c r="GW21" i="30" s="1"/>
  <c r="GX21" i="30" s="1"/>
  <c r="GY21" i="30" s="1"/>
  <c r="GZ21" i="30" s="1"/>
  <c r="HA21" i="30" s="1"/>
  <c r="HB21" i="30" s="1"/>
  <c r="HC21" i="30" s="1"/>
  <c r="HD21" i="30" s="1"/>
  <c r="HE21" i="30" s="1"/>
  <c r="HF21" i="30" s="1"/>
  <c r="HG21" i="30" s="1"/>
  <c r="HH21" i="30" s="1"/>
  <c r="HI21" i="30" s="1"/>
  <c r="HJ21" i="30" s="1"/>
  <c r="HK21" i="30" s="1"/>
  <c r="HL21" i="30" s="1"/>
  <c r="HM21" i="30" s="1"/>
  <c r="HN21" i="30" s="1"/>
  <c r="HO21" i="30" s="1"/>
  <c r="HP21" i="30" s="1"/>
  <c r="HQ21" i="30" s="1"/>
  <c r="HR21" i="30" s="1"/>
  <c r="HS21" i="30" s="1"/>
  <c r="HT21" i="30" s="1"/>
  <c r="HU21" i="30" s="1"/>
  <c r="HV21" i="30" s="1"/>
  <c r="HW21" i="30" s="1"/>
  <c r="HX21" i="30" s="1"/>
  <c r="HY21" i="30" s="1"/>
  <c r="HZ21" i="30" s="1"/>
  <c r="IA21" i="30" s="1"/>
  <c r="IB21" i="30" s="1"/>
  <c r="IC21" i="30" s="1"/>
  <c r="ID21" i="30" s="1"/>
  <c r="IE21" i="30" s="1"/>
  <c r="IF21" i="30" s="1"/>
  <c r="IG21" i="30" s="1"/>
  <c r="IH21" i="30" s="1"/>
  <c r="II21" i="30" s="1"/>
  <c r="IJ21" i="30" s="1"/>
  <c r="IK21" i="30" s="1"/>
  <c r="IL21" i="30" s="1"/>
  <c r="IM21" i="30" s="1"/>
  <c r="IN21" i="30" s="1"/>
  <c r="IO21" i="30" s="1"/>
  <c r="IP21" i="30" s="1"/>
  <c r="IQ21" i="30" s="1"/>
  <c r="IR21" i="30" s="1"/>
  <c r="IS21" i="30" s="1"/>
  <c r="IT21" i="30" s="1"/>
  <c r="IU21" i="30" s="1"/>
  <c r="IV21" i="30" s="1"/>
  <c r="IW21" i="30" s="1"/>
  <c r="IX21" i="30" s="1"/>
  <c r="IY21" i="30" s="1"/>
  <c r="IZ21" i="30" s="1"/>
  <c r="JA21" i="30" s="1"/>
  <c r="JB21" i="30" s="1"/>
  <c r="JC21" i="30" s="1"/>
  <c r="JD21" i="30" s="1"/>
  <c r="JE21" i="30" s="1"/>
  <c r="JF21" i="30" s="1"/>
  <c r="JG21" i="30" s="1"/>
  <c r="JH21" i="30" s="1"/>
  <c r="JI21" i="30" s="1"/>
  <c r="JJ21" i="30" s="1"/>
  <c r="JK21" i="30" s="1"/>
  <c r="JL21" i="30" s="1"/>
  <c r="JM21" i="30" s="1"/>
  <c r="JN21" i="30" s="1"/>
  <c r="JO21" i="30" s="1"/>
  <c r="JP21" i="30" s="1"/>
  <c r="JQ21" i="30" s="1"/>
  <c r="JR21" i="30" s="1"/>
  <c r="JS21" i="30" s="1"/>
  <c r="JT21" i="30" s="1"/>
  <c r="JU21" i="30" s="1"/>
  <c r="JV21" i="30" s="1"/>
  <c r="JW21" i="30" s="1"/>
  <c r="JX21" i="30" s="1"/>
  <c r="JY21" i="30" s="1"/>
  <c r="JZ21" i="30" s="1"/>
  <c r="KA21" i="30" s="1"/>
  <c r="KB21" i="30" s="1"/>
  <c r="KC21" i="30" s="1"/>
  <c r="KD21" i="30" s="1"/>
  <c r="KE21" i="30" s="1"/>
  <c r="KF21" i="30" s="1"/>
  <c r="KG21" i="30" s="1"/>
  <c r="KH21" i="30" s="1"/>
  <c r="KI21" i="30" s="1"/>
  <c r="KJ21" i="30" s="1"/>
  <c r="KK21" i="30" s="1"/>
  <c r="KL21" i="30" s="1"/>
  <c r="KM21" i="30" s="1"/>
  <c r="KN21" i="30" s="1"/>
  <c r="KO21" i="30" s="1"/>
  <c r="KP21" i="30" s="1"/>
  <c r="KQ21" i="30" s="1"/>
  <c r="KR21" i="30" s="1"/>
  <c r="KS21" i="30" s="1"/>
  <c r="KT21" i="30" s="1"/>
  <c r="KU21" i="30" s="1"/>
  <c r="KV21" i="30" s="1"/>
  <c r="KW21" i="30" s="1"/>
  <c r="KX21" i="30" s="1"/>
  <c r="KY21" i="30" s="1"/>
  <c r="KZ21" i="30" s="1"/>
  <c r="LA21" i="30" s="1"/>
  <c r="LB21" i="30" s="1"/>
  <c r="LC21" i="30" s="1"/>
  <c r="LD21" i="30" s="1"/>
  <c r="LE21" i="30" s="1"/>
  <c r="LF21" i="30" s="1"/>
  <c r="LG21" i="30" s="1"/>
  <c r="LH21" i="30" s="1"/>
  <c r="LI21" i="30" s="1"/>
  <c r="LJ21" i="30" s="1"/>
  <c r="W22" i="30"/>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CT22" i="30" s="1"/>
  <c r="CU22" i="30" s="1"/>
  <c r="CV22" i="30" s="1"/>
  <c r="CW22" i="30" s="1"/>
  <c r="CX22" i="30" s="1"/>
  <c r="CY22" i="30" s="1"/>
  <c r="CZ22" i="30" s="1"/>
  <c r="DA22" i="30" s="1"/>
  <c r="DB22" i="30" s="1"/>
  <c r="DC22" i="30" s="1"/>
  <c r="DD22" i="30" s="1"/>
  <c r="DE22" i="30" s="1"/>
  <c r="DF22" i="30" s="1"/>
  <c r="DG22" i="30" s="1"/>
  <c r="DH22" i="30" s="1"/>
  <c r="DI22" i="30" s="1"/>
  <c r="DJ22" i="30" s="1"/>
  <c r="DK22" i="30" s="1"/>
  <c r="DL22" i="30" s="1"/>
  <c r="DM22" i="30" s="1"/>
  <c r="DN22" i="30" s="1"/>
  <c r="DO22" i="30" s="1"/>
  <c r="DP22" i="30" s="1"/>
  <c r="DQ22" i="30" s="1"/>
  <c r="DR22" i="30" s="1"/>
  <c r="DS22" i="30" s="1"/>
  <c r="DT22" i="30" s="1"/>
  <c r="DU22" i="30" s="1"/>
  <c r="DV22" i="30" s="1"/>
  <c r="DW22" i="30" s="1"/>
  <c r="DX22" i="30" s="1"/>
  <c r="DY22" i="30" s="1"/>
  <c r="DZ22" i="30" s="1"/>
  <c r="EA22" i="30" s="1"/>
  <c r="EB22" i="30" s="1"/>
  <c r="EC22" i="30" s="1"/>
  <c r="ED22" i="30" s="1"/>
  <c r="EE22" i="30" s="1"/>
  <c r="EF22" i="30" s="1"/>
  <c r="EG22" i="30" s="1"/>
  <c r="EH22" i="30" s="1"/>
  <c r="EI22" i="30" s="1"/>
  <c r="EJ22" i="30" s="1"/>
  <c r="EK22" i="30" s="1"/>
  <c r="EL22" i="30" s="1"/>
  <c r="EM22" i="30" s="1"/>
  <c r="EN22" i="30" s="1"/>
  <c r="EO22" i="30" s="1"/>
  <c r="EP22" i="30" s="1"/>
  <c r="EQ22" i="30" s="1"/>
  <c r="ER22" i="30" s="1"/>
  <c r="ES22" i="30" s="1"/>
  <c r="ET22" i="30" s="1"/>
  <c r="EU22" i="30" s="1"/>
  <c r="EV22" i="30" s="1"/>
  <c r="EW22" i="30" s="1"/>
  <c r="EX22" i="30" s="1"/>
  <c r="EY22" i="30" s="1"/>
  <c r="EZ22" i="30" s="1"/>
  <c r="FA22" i="30" s="1"/>
  <c r="FB22" i="30" s="1"/>
  <c r="FC22" i="30" s="1"/>
  <c r="FD22" i="30" s="1"/>
  <c r="FE22" i="30" s="1"/>
  <c r="FF22" i="30" s="1"/>
  <c r="FG22" i="30" s="1"/>
  <c r="FH22" i="30" s="1"/>
  <c r="FI22" i="30" s="1"/>
  <c r="FJ22" i="30" s="1"/>
  <c r="FK22" i="30" s="1"/>
  <c r="FL22" i="30" s="1"/>
  <c r="FM22" i="30" s="1"/>
  <c r="FN22" i="30" s="1"/>
  <c r="FO22" i="30" s="1"/>
  <c r="FP22" i="30" s="1"/>
  <c r="FQ22" i="30" s="1"/>
  <c r="FR22" i="30" s="1"/>
  <c r="FS22" i="30" s="1"/>
  <c r="FT22" i="30" s="1"/>
  <c r="FU22" i="30" s="1"/>
  <c r="FV22" i="30" s="1"/>
  <c r="FW22" i="30" s="1"/>
  <c r="FX22" i="30" s="1"/>
  <c r="FY22" i="30" s="1"/>
  <c r="FZ22" i="30" s="1"/>
  <c r="GA22" i="30" s="1"/>
  <c r="GB22" i="30" s="1"/>
  <c r="GC22" i="30" s="1"/>
  <c r="GD22" i="30" s="1"/>
  <c r="GE22" i="30" s="1"/>
  <c r="GF22" i="30" s="1"/>
  <c r="GG22" i="30" s="1"/>
  <c r="GH22" i="30" s="1"/>
  <c r="GI22" i="30" s="1"/>
  <c r="GJ22" i="30" s="1"/>
  <c r="GK22" i="30" s="1"/>
  <c r="GL22" i="30" s="1"/>
  <c r="GM22" i="30" s="1"/>
  <c r="GN22" i="30" s="1"/>
  <c r="GO22" i="30" s="1"/>
  <c r="GP22" i="30" s="1"/>
  <c r="GQ22" i="30" s="1"/>
  <c r="GR22" i="30" s="1"/>
  <c r="GS22" i="30" s="1"/>
  <c r="GT22" i="30" s="1"/>
  <c r="GU22" i="30" s="1"/>
  <c r="GV22" i="30" s="1"/>
  <c r="GW22" i="30" s="1"/>
  <c r="GX22" i="30" s="1"/>
  <c r="GY22" i="30" s="1"/>
  <c r="GZ22" i="30" s="1"/>
  <c r="HA22" i="30" s="1"/>
  <c r="HB22" i="30" s="1"/>
  <c r="HC22" i="30" s="1"/>
  <c r="HD22" i="30" s="1"/>
  <c r="HE22" i="30" s="1"/>
  <c r="HF22" i="30" s="1"/>
  <c r="HG22" i="30" s="1"/>
  <c r="HH22" i="30" s="1"/>
  <c r="HI22" i="30" s="1"/>
  <c r="HJ22" i="30" s="1"/>
  <c r="HK22" i="30" s="1"/>
  <c r="HL22" i="30" s="1"/>
  <c r="HM22" i="30" s="1"/>
  <c r="HN22" i="30" s="1"/>
  <c r="HO22" i="30" s="1"/>
  <c r="HP22" i="30" s="1"/>
  <c r="HQ22" i="30" s="1"/>
  <c r="HR22" i="30" s="1"/>
  <c r="HS22" i="30" s="1"/>
  <c r="HT22" i="30" s="1"/>
  <c r="HU22" i="30" s="1"/>
  <c r="HV22" i="30" s="1"/>
  <c r="HW22" i="30" s="1"/>
  <c r="HX22" i="30" s="1"/>
  <c r="HY22" i="30" s="1"/>
  <c r="HZ22" i="30" s="1"/>
  <c r="IA22" i="30" s="1"/>
  <c r="IB22" i="30" s="1"/>
  <c r="IC22" i="30" s="1"/>
  <c r="ID22" i="30" s="1"/>
  <c r="IE22" i="30" s="1"/>
  <c r="IF22" i="30" s="1"/>
  <c r="IG22" i="30" s="1"/>
  <c r="IH22" i="30" s="1"/>
  <c r="II22" i="30" s="1"/>
  <c r="IJ22" i="30" s="1"/>
  <c r="IK22" i="30" s="1"/>
  <c r="IL22" i="30" s="1"/>
  <c r="IM22" i="30" s="1"/>
  <c r="IN22" i="30" s="1"/>
  <c r="IO22" i="30" s="1"/>
  <c r="IP22" i="30" s="1"/>
  <c r="IQ22" i="30" s="1"/>
  <c r="IR22" i="30" s="1"/>
  <c r="IS22" i="30" s="1"/>
  <c r="IT22" i="30" s="1"/>
  <c r="IU22" i="30" s="1"/>
  <c r="IV22" i="30" s="1"/>
  <c r="IW22" i="30" s="1"/>
  <c r="IX22" i="30" s="1"/>
  <c r="IY22" i="30" s="1"/>
  <c r="IZ22" i="30" s="1"/>
  <c r="JA22" i="30" s="1"/>
  <c r="JB22" i="30" s="1"/>
  <c r="JC22" i="30" s="1"/>
  <c r="JD22" i="30" s="1"/>
  <c r="JE22" i="30" s="1"/>
  <c r="JF22" i="30" s="1"/>
  <c r="JG22" i="30" s="1"/>
  <c r="JH22" i="30" s="1"/>
  <c r="JI22" i="30" s="1"/>
  <c r="JJ22" i="30" s="1"/>
  <c r="JK22" i="30" s="1"/>
  <c r="JL22" i="30" s="1"/>
  <c r="JM22" i="30" s="1"/>
  <c r="JN22" i="30" s="1"/>
  <c r="JO22" i="30" s="1"/>
  <c r="JP22" i="30" s="1"/>
  <c r="JQ22" i="30" s="1"/>
  <c r="JR22" i="30" s="1"/>
  <c r="JS22" i="30" s="1"/>
  <c r="JT22" i="30" s="1"/>
  <c r="JU22" i="30" s="1"/>
  <c r="JV22" i="30" s="1"/>
  <c r="JW22" i="30" s="1"/>
  <c r="JX22" i="30" s="1"/>
  <c r="JY22" i="30" s="1"/>
  <c r="JZ22" i="30" s="1"/>
  <c r="KA22" i="30" s="1"/>
  <c r="KB22" i="30" s="1"/>
  <c r="KC22" i="30" s="1"/>
  <c r="KD22" i="30" s="1"/>
  <c r="KE22" i="30" s="1"/>
  <c r="KF22" i="30" s="1"/>
  <c r="KG22" i="30" s="1"/>
  <c r="KH22" i="30" s="1"/>
  <c r="KI22" i="30" s="1"/>
  <c r="KJ22" i="30" s="1"/>
  <c r="KK22" i="30" s="1"/>
  <c r="KL22" i="30" s="1"/>
  <c r="KM22" i="30" s="1"/>
  <c r="KN22" i="30" s="1"/>
  <c r="KO22" i="30" s="1"/>
  <c r="KP22" i="30" s="1"/>
  <c r="KQ22" i="30" s="1"/>
  <c r="KR22" i="30" s="1"/>
  <c r="KS22" i="30" s="1"/>
  <c r="KT22" i="30" s="1"/>
  <c r="KU22" i="30" s="1"/>
  <c r="KV22" i="30" s="1"/>
  <c r="KW22" i="30" s="1"/>
  <c r="KX22" i="30" s="1"/>
  <c r="KY22" i="30" s="1"/>
  <c r="KZ22" i="30" s="1"/>
  <c r="LA22" i="30" s="1"/>
  <c r="LB22" i="30" s="1"/>
  <c r="LC22" i="30" s="1"/>
  <c r="LD22" i="30" s="1"/>
  <c r="LE22" i="30" s="1"/>
  <c r="LF22" i="30" s="1"/>
  <c r="LG22" i="30" s="1"/>
  <c r="LH22" i="30" s="1"/>
  <c r="LI22" i="30" s="1"/>
  <c r="LJ22" i="30" s="1"/>
  <c r="W23" i="30"/>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CT23" i="30" s="1"/>
  <c r="CU23" i="30" s="1"/>
  <c r="CV23" i="30" s="1"/>
  <c r="CW23" i="30" s="1"/>
  <c r="CX23" i="30" s="1"/>
  <c r="CY23" i="30" s="1"/>
  <c r="CZ23" i="30" s="1"/>
  <c r="DA23" i="30" s="1"/>
  <c r="DB23" i="30" s="1"/>
  <c r="DC23" i="30" s="1"/>
  <c r="DD23" i="30" s="1"/>
  <c r="DE23" i="30" s="1"/>
  <c r="DF23" i="30" s="1"/>
  <c r="DG23" i="30" s="1"/>
  <c r="DH23" i="30" s="1"/>
  <c r="DI23" i="30" s="1"/>
  <c r="DJ23" i="30" s="1"/>
  <c r="DK23" i="30" s="1"/>
  <c r="DL23" i="30" s="1"/>
  <c r="DM23" i="30" s="1"/>
  <c r="DN23" i="30" s="1"/>
  <c r="DO23" i="30" s="1"/>
  <c r="DP23" i="30" s="1"/>
  <c r="DQ23" i="30" s="1"/>
  <c r="DR23" i="30" s="1"/>
  <c r="DS23" i="30" s="1"/>
  <c r="DT23" i="30" s="1"/>
  <c r="DU23" i="30" s="1"/>
  <c r="DV23" i="30" s="1"/>
  <c r="DW23" i="30" s="1"/>
  <c r="DX23" i="30" s="1"/>
  <c r="DY23" i="30" s="1"/>
  <c r="DZ23" i="30" s="1"/>
  <c r="EA23" i="30" s="1"/>
  <c r="EB23" i="30" s="1"/>
  <c r="EC23" i="30" s="1"/>
  <c r="ED23" i="30" s="1"/>
  <c r="EE23" i="30" s="1"/>
  <c r="EF23" i="30" s="1"/>
  <c r="EG23" i="30" s="1"/>
  <c r="EH23" i="30" s="1"/>
  <c r="EI23" i="30" s="1"/>
  <c r="EJ23" i="30" s="1"/>
  <c r="EK23" i="30" s="1"/>
  <c r="EL23" i="30" s="1"/>
  <c r="EM23" i="30" s="1"/>
  <c r="EN23" i="30" s="1"/>
  <c r="EO23" i="30" s="1"/>
  <c r="EP23" i="30" s="1"/>
  <c r="EQ23" i="30" s="1"/>
  <c r="ER23" i="30" s="1"/>
  <c r="ES23" i="30" s="1"/>
  <c r="ET23" i="30" s="1"/>
  <c r="EU23" i="30" s="1"/>
  <c r="EV23" i="30" s="1"/>
  <c r="EW23" i="30" s="1"/>
  <c r="EX23" i="30" s="1"/>
  <c r="EY23" i="30" s="1"/>
  <c r="EZ23" i="30" s="1"/>
  <c r="FA23" i="30" s="1"/>
  <c r="FB23" i="30" s="1"/>
  <c r="FC23" i="30" s="1"/>
  <c r="FD23" i="30" s="1"/>
  <c r="FE23" i="30" s="1"/>
  <c r="FF23" i="30" s="1"/>
  <c r="FG23" i="30" s="1"/>
  <c r="FH23" i="30" s="1"/>
  <c r="FI23" i="30" s="1"/>
  <c r="FJ23" i="30" s="1"/>
  <c r="FK23" i="30" s="1"/>
  <c r="FL23" i="30" s="1"/>
  <c r="FM23" i="30" s="1"/>
  <c r="FN23" i="30" s="1"/>
  <c r="FO23" i="30" s="1"/>
  <c r="FP23" i="30" s="1"/>
  <c r="FQ23" i="30" s="1"/>
  <c r="FR23" i="30" s="1"/>
  <c r="FS23" i="30" s="1"/>
  <c r="FT23" i="30" s="1"/>
  <c r="FU23" i="30" s="1"/>
  <c r="FV23" i="30" s="1"/>
  <c r="FW23" i="30" s="1"/>
  <c r="FX23" i="30" s="1"/>
  <c r="FY23" i="30" s="1"/>
  <c r="FZ23" i="30" s="1"/>
  <c r="GA23" i="30" s="1"/>
  <c r="GB23" i="30" s="1"/>
  <c r="GC23" i="30" s="1"/>
  <c r="GD23" i="30" s="1"/>
  <c r="GE23" i="30" s="1"/>
  <c r="GF23" i="30" s="1"/>
  <c r="GG23" i="30" s="1"/>
  <c r="GH23" i="30" s="1"/>
  <c r="GI23" i="30" s="1"/>
  <c r="GJ23" i="30" s="1"/>
  <c r="GK23" i="30" s="1"/>
  <c r="GL23" i="30" s="1"/>
  <c r="GM23" i="30" s="1"/>
  <c r="GN23" i="30" s="1"/>
  <c r="GO23" i="30" s="1"/>
  <c r="GP23" i="30" s="1"/>
  <c r="GQ23" i="30" s="1"/>
  <c r="GR23" i="30" s="1"/>
  <c r="GS23" i="30" s="1"/>
  <c r="GT23" i="30" s="1"/>
  <c r="GU23" i="30" s="1"/>
  <c r="GV23" i="30" s="1"/>
  <c r="GW23" i="30" s="1"/>
  <c r="GX23" i="30" s="1"/>
  <c r="GY23" i="30" s="1"/>
  <c r="GZ23" i="30" s="1"/>
  <c r="HA23" i="30" s="1"/>
  <c r="HB23" i="30" s="1"/>
  <c r="HC23" i="30" s="1"/>
  <c r="HD23" i="30" s="1"/>
  <c r="HE23" i="30" s="1"/>
  <c r="HF23" i="30" s="1"/>
  <c r="HG23" i="30" s="1"/>
  <c r="HH23" i="30" s="1"/>
  <c r="HI23" i="30" s="1"/>
  <c r="HJ23" i="30" s="1"/>
  <c r="HK23" i="30" s="1"/>
  <c r="HL23" i="30" s="1"/>
  <c r="HM23" i="30" s="1"/>
  <c r="HN23" i="30" s="1"/>
  <c r="HO23" i="30" s="1"/>
  <c r="HP23" i="30" s="1"/>
  <c r="HQ23" i="30" s="1"/>
  <c r="HR23" i="30" s="1"/>
  <c r="HS23" i="30" s="1"/>
  <c r="HT23" i="30" s="1"/>
  <c r="HU23" i="30" s="1"/>
  <c r="HV23" i="30" s="1"/>
  <c r="HW23" i="30" s="1"/>
  <c r="HX23" i="30" s="1"/>
  <c r="HY23" i="30" s="1"/>
  <c r="HZ23" i="30" s="1"/>
  <c r="IA23" i="30" s="1"/>
  <c r="IB23" i="30" s="1"/>
  <c r="IC23" i="30" s="1"/>
  <c r="ID23" i="30" s="1"/>
  <c r="IE23" i="30" s="1"/>
  <c r="IF23" i="30" s="1"/>
  <c r="IG23" i="30" s="1"/>
  <c r="IH23" i="30" s="1"/>
  <c r="II23" i="30" s="1"/>
  <c r="IJ23" i="30" s="1"/>
  <c r="IK23" i="30" s="1"/>
  <c r="IL23" i="30" s="1"/>
  <c r="IM23" i="30" s="1"/>
  <c r="IN23" i="30" s="1"/>
  <c r="IO23" i="30" s="1"/>
  <c r="IP23" i="30" s="1"/>
  <c r="IQ23" i="30" s="1"/>
  <c r="IR23" i="30" s="1"/>
  <c r="IS23" i="30" s="1"/>
  <c r="IT23" i="30" s="1"/>
  <c r="IU23" i="30" s="1"/>
  <c r="IV23" i="30" s="1"/>
  <c r="IW23" i="30" s="1"/>
  <c r="IX23" i="30" s="1"/>
  <c r="IY23" i="30" s="1"/>
  <c r="IZ23" i="30" s="1"/>
  <c r="JA23" i="30" s="1"/>
  <c r="JB23" i="30" s="1"/>
  <c r="JC23" i="30" s="1"/>
  <c r="JD23" i="30" s="1"/>
  <c r="JE23" i="30" s="1"/>
  <c r="JF23" i="30" s="1"/>
  <c r="JG23" i="30" s="1"/>
  <c r="JH23" i="30" s="1"/>
  <c r="JI23" i="30" s="1"/>
  <c r="JJ23" i="30" s="1"/>
  <c r="JK23" i="30" s="1"/>
  <c r="JL23" i="30" s="1"/>
  <c r="JM23" i="30" s="1"/>
  <c r="JN23" i="30" s="1"/>
  <c r="JO23" i="30" s="1"/>
  <c r="JP23" i="30" s="1"/>
  <c r="JQ23" i="30" s="1"/>
  <c r="JR23" i="30" s="1"/>
  <c r="JS23" i="30" s="1"/>
  <c r="JT23" i="30" s="1"/>
  <c r="JU23" i="30" s="1"/>
  <c r="JV23" i="30" s="1"/>
  <c r="JW23" i="30" s="1"/>
  <c r="JX23" i="30" s="1"/>
  <c r="JY23" i="30" s="1"/>
  <c r="JZ23" i="30" s="1"/>
  <c r="KA23" i="30" s="1"/>
  <c r="KB23" i="30" s="1"/>
  <c r="KC23" i="30" s="1"/>
  <c r="KD23" i="30" s="1"/>
  <c r="KE23" i="30" s="1"/>
  <c r="KF23" i="30" s="1"/>
  <c r="KG23" i="30" s="1"/>
  <c r="KH23" i="30" s="1"/>
  <c r="KI23" i="30" s="1"/>
  <c r="KJ23" i="30" s="1"/>
  <c r="KK23" i="30" s="1"/>
  <c r="KL23" i="30" s="1"/>
  <c r="KM23" i="30" s="1"/>
  <c r="KN23" i="30" s="1"/>
  <c r="KO23" i="30" s="1"/>
  <c r="KP23" i="30" s="1"/>
  <c r="KQ23" i="30" s="1"/>
  <c r="KR23" i="30" s="1"/>
  <c r="KS23" i="30" s="1"/>
  <c r="KT23" i="30" s="1"/>
  <c r="KU23" i="30" s="1"/>
  <c r="KV23" i="30" s="1"/>
  <c r="KW23" i="30" s="1"/>
  <c r="KX23" i="30" s="1"/>
  <c r="KY23" i="30" s="1"/>
  <c r="KZ23" i="30" s="1"/>
  <c r="LA23" i="30" s="1"/>
  <c r="LB23" i="30" s="1"/>
  <c r="LC23" i="30" s="1"/>
  <c r="LD23" i="30" s="1"/>
  <c r="LE23" i="30" s="1"/>
  <c r="LF23" i="30" s="1"/>
  <c r="LG23" i="30" s="1"/>
  <c r="LH23" i="30" s="1"/>
  <c r="LI23" i="30" s="1"/>
  <c r="LJ23" i="30" s="1"/>
  <c r="W24" i="30"/>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CT24" i="30" s="1"/>
  <c r="CU24" i="30" s="1"/>
  <c r="CV24" i="30" s="1"/>
  <c r="CW24" i="30" s="1"/>
  <c r="CX24" i="30" s="1"/>
  <c r="CY24" i="30" s="1"/>
  <c r="CZ24" i="30" s="1"/>
  <c r="DA24" i="30" s="1"/>
  <c r="DB24" i="30" s="1"/>
  <c r="DC24" i="30" s="1"/>
  <c r="DD24" i="30" s="1"/>
  <c r="DE24" i="30" s="1"/>
  <c r="DF24" i="30" s="1"/>
  <c r="DG24" i="30" s="1"/>
  <c r="DH24" i="30" s="1"/>
  <c r="DI24" i="30" s="1"/>
  <c r="DJ24" i="30" s="1"/>
  <c r="DK24" i="30" s="1"/>
  <c r="DL24" i="30" s="1"/>
  <c r="DM24" i="30" s="1"/>
  <c r="DN24" i="30" s="1"/>
  <c r="DO24" i="30" s="1"/>
  <c r="DP24" i="30" s="1"/>
  <c r="DQ24" i="30" s="1"/>
  <c r="DR24" i="30" s="1"/>
  <c r="DS24" i="30" s="1"/>
  <c r="DT24" i="30" s="1"/>
  <c r="DU24" i="30" s="1"/>
  <c r="DV24" i="30" s="1"/>
  <c r="DW24" i="30" s="1"/>
  <c r="DX24" i="30" s="1"/>
  <c r="DY24" i="30" s="1"/>
  <c r="DZ24" i="30" s="1"/>
  <c r="EA24" i="30" s="1"/>
  <c r="EB24" i="30" s="1"/>
  <c r="EC24" i="30" s="1"/>
  <c r="ED24" i="30" s="1"/>
  <c r="EE24" i="30" s="1"/>
  <c r="EF24" i="30" s="1"/>
  <c r="EG24" i="30" s="1"/>
  <c r="EH24" i="30" s="1"/>
  <c r="EI24" i="30" s="1"/>
  <c r="EJ24" i="30" s="1"/>
  <c r="EK24" i="30" s="1"/>
  <c r="EL24" i="30" s="1"/>
  <c r="EM24" i="30" s="1"/>
  <c r="EN24" i="30" s="1"/>
  <c r="EO24" i="30" s="1"/>
  <c r="EP24" i="30" s="1"/>
  <c r="EQ24" i="30" s="1"/>
  <c r="ER24" i="30" s="1"/>
  <c r="ES24" i="30" s="1"/>
  <c r="ET24" i="30" s="1"/>
  <c r="EU24" i="30" s="1"/>
  <c r="EV24" i="30" s="1"/>
  <c r="EW24" i="30" s="1"/>
  <c r="EX24" i="30" s="1"/>
  <c r="EY24" i="30" s="1"/>
  <c r="EZ24" i="30" s="1"/>
  <c r="FA24" i="30" s="1"/>
  <c r="FB24" i="30" s="1"/>
  <c r="FC24" i="30" s="1"/>
  <c r="FD24" i="30" s="1"/>
  <c r="FE24" i="30" s="1"/>
  <c r="FF24" i="30" s="1"/>
  <c r="FG24" i="30" s="1"/>
  <c r="FH24" i="30" s="1"/>
  <c r="FI24" i="30" s="1"/>
  <c r="FJ24" i="30" s="1"/>
  <c r="FK24" i="30" s="1"/>
  <c r="FL24" i="30" s="1"/>
  <c r="FM24" i="30" s="1"/>
  <c r="FN24" i="30" s="1"/>
  <c r="FO24" i="30" s="1"/>
  <c r="FP24" i="30" s="1"/>
  <c r="FQ24" i="30" s="1"/>
  <c r="FR24" i="30" s="1"/>
  <c r="FS24" i="30" s="1"/>
  <c r="FT24" i="30" s="1"/>
  <c r="FU24" i="30" s="1"/>
  <c r="FV24" i="30" s="1"/>
  <c r="FW24" i="30" s="1"/>
  <c r="FX24" i="30" s="1"/>
  <c r="FY24" i="30" s="1"/>
  <c r="FZ24" i="30" s="1"/>
  <c r="GA24" i="30" s="1"/>
  <c r="GB24" i="30" s="1"/>
  <c r="GC24" i="30" s="1"/>
  <c r="GD24" i="30" s="1"/>
  <c r="GE24" i="30" s="1"/>
  <c r="GF24" i="30" s="1"/>
  <c r="GG24" i="30" s="1"/>
  <c r="GH24" i="30" s="1"/>
  <c r="GI24" i="30" s="1"/>
  <c r="GJ24" i="30" s="1"/>
  <c r="GK24" i="30" s="1"/>
  <c r="GL24" i="30" s="1"/>
  <c r="GM24" i="30" s="1"/>
  <c r="GN24" i="30" s="1"/>
  <c r="GO24" i="30" s="1"/>
  <c r="GP24" i="30" s="1"/>
  <c r="GQ24" i="30" s="1"/>
  <c r="GR24" i="30" s="1"/>
  <c r="GS24" i="30" s="1"/>
  <c r="GT24" i="30" s="1"/>
  <c r="GU24" i="30" s="1"/>
  <c r="GV24" i="30" s="1"/>
  <c r="GW24" i="30" s="1"/>
  <c r="GX24" i="30" s="1"/>
  <c r="GY24" i="30" s="1"/>
  <c r="GZ24" i="30" s="1"/>
  <c r="HA24" i="30" s="1"/>
  <c r="HB24" i="30" s="1"/>
  <c r="HC24" i="30" s="1"/>
  <c r="HD24" i="30" s="1"/>
  <c r="HE24" i="30" s="1"/>
  <c r="HF24" i="30" s="1"/>
  <c r="HG24" i="30" s="1"/>
  <c r="HH24" i="30" s="1"/>
  <c r="HI24" i="30" s="1"/>
  <c r="HJ24" i="30" s="1"/>
  <c r="HK24" i="30" s="1"/>
  <c r="HL24" i="30" s="1"/>
  <c r="HM24" i="30" s="1"/>
  <c r="HN24" i="30" s="1"/>
  <c r="HO24" i="30" s="1"/>
  <c r="HP24" i="30" s="1"/>
  <c r="HQ24" i="30" s="1"/>
  <c r="HR24" i="30" s="1"/>
  <c r="HS24" i="30" s="1"/>
  <c r="HT24" i="30" s="1"/>
  <c r="HU24" i="30" s="1"/>
  <c r="HV24" i="30" s="1"/>
  <c r="HW24" i="30" s="1"/>
  <c r="HX24" i="30" s="1"/>
  <c r="HY24" i="30" s="1"/>
  <c r="HZ24" i="30" s="1"/>
  <c r="IA24" i="30" s="1"/>
  <c r="IB24" i="30" s="1"/>
  <c r="IC24" i="30" s="1"/>
  <c r="ID24" i="30" s="1"/>
  <c r="IE24" i="30" s="1"/>
  <c r="IF24" i="30" s="1"/>
  <c r="IG24" i="30" s="1"/>
  <c r="IH24" i="30" s="1"/>
  <c r="II24" i="30" s="1"/>
  <c r="IJ24" i="30" s="1"/>
  <c r="IK24" i="30" s="1"/>
  <c r="IL24" i="30" s="1"/>
  <c r="IM24" i="30" s="1"/>
  <c r="IN24" i="30" s="1"/>
  <c r="IO24" i="30" s="1"/>
  <c r="IP24" i="30" s="1"/>
  <c r="IQ24" i="30" s="1"/>
  <c r="IR24" i="30" s="1"/>
  <c r="IS24" i="30" s="1"/>
  <c r="IT24" i="30" s="1"/>
  <c r="IU24" i="30" s="1"/>
  <c r="IV24" i="30" s="1"/>
  <c r="IW24" i="30" s="1"/>
  <c r="IX24" i="30" s="1"/>
  <c r="IY24" i="30" s="1"/>
  <c r="IZ24" i="30" s="1"/>
  <c r="JA24" i="30" s="1"/>
  <c r="JB24" i="30" s="1"/>
  <c r="JC24" i="30" s="1"/>
  <c r="JD24" i="30" s="1"/>
  <c r="JE24" i="30" s="1"/>
  <c r="JF24" i="30" s="1"/>
  <c r="JG24" i="30" s="1"/>
  <c r="JH24" i="30" s="1"/>
  <c r="JI24" i="30" s="1"/>
  <c r="JJ24" i="30" s="1"/>
  <c r="JK24" i="30" s="1"/>
  <c r="JL24" i="30" s="1"/>
  <c r="JM24" i="30" s="1"/>
  <c r="JN24" i="30" s="1"/>
  <c r="JO24" i="30" s="1"/>
  <c r="JP24" i="30" s="1"/>
  <c r="JQ24" i="30" s="1"/>
  <c r="JR24" i="30" s="1"/>
  <c r="JS24" i="30" s="1"/>
  <c r="JT24" i="30" s="1"/>
  <c r="JU24" i="30" s="1"/>
  <c r="JV24" i="30" s="1"/>
  <c r="JW24" i="30" s="1"/>
  <c r="JX24" i="30" s="1"/>
  <c r="JY24" i="30" s="1"/>
  <c r="JZ24" i="30" s="1"/>
  <c r="KA24" i="30" s="1"/>
  <c r="KB24" i="30" s="1"/>
  <c r="KC24" i="30" s="1"/>
  <c r="KD24" i="30" s="1"/>
  <c r="KE24" i="30" s="1"/>
  <c r="KF24" i="30" s="1"/>
  <c r="KG24" i="30" s="1"/>
  <c r="KH24" i="30" s="1"/>
  <c r="KI24" i="30" s="1"/>
  <c r="KJ24" i="30" s="1"/>
  <c r="KK24" i="30" s="1"/>
  <c r="KL24" i="30" s="1"/>
  <c r="KM24" i="30" s="1"/>
  <c r="KN24" i="30" s="1"/>
  <c r="KO24" i="30" s="1"/>
  <c r="KP24" i="30" s="1"/>
  <c r="KQ24" i="30" s="1"/>
  <c r="KR24" i="30" s="1"/>
  <c r="KS24" i="30" s="1"/>
  <c r="KT24" i="30" s="1"/>
  <c r="KU24" i="30" s="1"/>
  <c r="KV24" i="30" s="1"/>
  <c r="KW24" i="30" s="1"/>
  <c r="KX24" i="30" s="1"/>
  <c r="KY24" i="30" s="1"/>
  <c r="KZ24" i="30" s="1"/>
  <c r="LA24" i="30" s="1"/>
  <c r="LB24" i="30" s="1"/>
  <c r="LC24" i="30" s="1"/>
  <c r="LD24" i="30" s="1"/>
  <c r="LE24" i="30" s="1"/>
  <c r="LF24" i="30" s="1"/>
  <c r="LG24" i="30" s="1"/>
  <c r="LH24" i="30" s="1"/>
  <c r="LI24" i="30" s="1"/>
  <c r="LJ24" i="30" s="1"/>
  <c r="W25" i="30"/>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CT25" i="30" s="1"/>
  <c r="CU25" i="30" s="1"/>
  <c r="CV25" i="30" s="1"/>
  <c r="CW25" i="30" s="1"/>
  <c r="CX25" i="30" s="1"/>
  <c r="CY25" i="30" s="1"/>
  <c r="CZ25" i="30" s="1"/>
  <c r="DA25" i="30" s="1"/>
  <c r="DB25" i="30" s="1"/>
  <c r="DC25" i="30" s="1"/>
  <c r="DD25" i="30" s="1"/>
  <c r="DE25" i="30" s="1"/>
  <c r="DF25" i="30" s="1"/>
  <c r="DG25" i="30" s="1"/>
  <c r="DH25" i="30" s="1"/>
  <c r="DI25" i="30" s="1"/>
  <c r="DJ25" i="30" s="1"/>
  <c r="DK25" i="30" s="1"/>
  <c r="DL25" i="30" s="1"/>
  <c r="DM25" i="30" s="1"/>
  <c r="DN25" i="30" s="1"/>
  <c r="DO25" i="30" s="1"/>
  <c r="DP25" i="30" s="1"/>
  <c r="DQ25" i="30" s="1"/>
  <c r="DR25" i="30" s="1"/>
  <c r="DS25" i="30" s="1"/>
  <c r="DT25" i="30" s="1"/>
  <c r="DU25" i="30" s="1"/>
  <c r="DV25" i="30" s="1"/>
  <c r="DW25" i="30" s="1"/>
  <c r="DX25" i="30" s="1"/>
  <c r="DY25" i="30" s="1"/>
  <c r="DZ25" i="30" s="1"/>
  <c r="EA25" i="30" s="1"/>
  <c r="EB25" i="30" s="1"/>
  <c r="EC25" i="30" s="1"/>
  <c r="ED25" i="30" s="1"/>
  <c r="EE25" i="30" s="1"/>
  <c r="EF25" i="30" s="1"/>
  <c r="EG25" i="30" s="1"/>
  <c r="EH25" i="30" s="1"/>
  <c r="EI25" i="30" s="1"/>
  <c r="EJ25" i="30" s="1"/>
  <c r="EK25" i="30" s="1"/>
  <c r="EL25" i="30" s="1"/>
  <c r="EM25" i="30" s="1"/>
  <c r="EN25" i="30" s="1"/>
  <c r="EO25" i="30" s="1"/>
  <c r="EP25" i="30" s="1"/>
  <c r="EQ25" i="30" s="1"/>
  <c r="ER25" i="30" s="1"/>
  <c r="ES25" i="30" s="1"/>
  <c r="ET25" i="30" s="1"/>
  <c r="EU25" i="30" s="1"/>
  <c r="EV25" i="30" s="1"/>
  <c r="EW25" i="30" s="1"/>
  <c r="EX25" i="30" s="1"/>
  <c r="EY25" i="30" s="1"/>
  <c r="EZ25" i="30" s="1"/>
  <c r="FA25" i="30" s="1"/>
  <c r="FB25" i="30" s="1"/>
  <c r="FC25" i="30" s="1"/>
  <c r="FD25" i="30" s="1"/>
  <c r="FE25" i="30" s="1"/>
  <c r="FF25" i="30" s="1"/>
  <c r="FG25" i="30" s="1"/>
  <c r="FH25" i="30" s="1"/>
  <c r="FI25" i="30" s="1"/>
  <c r="FJ25" i="30" s="1"/>
  <c r="FK25" i="30" s="1"/>
  <c r="FL25" i="30" s="1"/>
  <c r="FM25" i="30" s="1"/>
  <c r="FN25" i="30" s="1"/>
  <c r="FO25" i="30" s="1"/>
  <c r="FP25" i="30" s="1"/>
  <c r="FQ25" i="30" s="1"/>
  <c r="FR25" i="30" s="1"/>
  <c r="FS25" i="30" s="1"/>
  <c r="FT25" i="30" s="1"/>
  <c r="FU25" i="30" s="1"/>
  <c r="FV25" i="30" s="1"/>
  <c r="FW25" i="30" s="1"/>
  <c r="FX25" i="30" s="1"/>
  <c r="FY25" i="30" s="1"/>
  <c r="FZ25" i="30" s="1"/>
  <c r="GA25" i="30" s="1"/>
  <c r="GB25" i="30" s="1"/>
  <c r="GC25" i="30" s="1"/>
  <c r="GD25" i="30" s="1"/>
  <c r="GE25" i="30" s="1"/>
  <c r="GF25" i="30" s="1"/>
  <c r="GG25" i="30" s="1"/>
  <c r="GH25" i="30" s="1"/>
  <c r="GI25" i="30" s="1"/>
  <c r="GJ25" i="30" s="1"/>
  <c r="GK25" i="30" s="1"/>
  <c r="GL25" i="30" s="1"/>
  <c r="GM25" i="30" s="1"/>
  <c r="GN25" i="30" s="1"/>
  <c r="GO25" i="30" s="1"/>
  <c r="GP25" i="30" s="1"/>
  <c r="GQ25" i="30" s="1"/>
  <c r="GR25" i="30" s="1"/>
  <c r="GS25" i="30" s="1"/>
  <c r="GT25" i="30" s="1"/>
  <c r="GU25" i="30" s="1"/>
  <c r="GV25" i="30" s="1"/>
  <c r="GW25" i="30" s="1"/>
  <c r="GX25" i="30" s="1"/>
  <c r="GY25" i="30" s="1"/>
  <c r="GZ25" i="30" s="1"/>
  <c r="HA25" i="30" s="1"/>
  <c r="HB25" i="30" s="1"/>
  <c r="HC25" i="30" s="1"/>
  <c r="HD25" i="30" s="1"/>
  <c r="HE25" i="30" s="1"/>
  <c r="HF25" i="30" s="1"/>
  <c r="HG25" i="30" s="1"/>
  <c r="HH25" i="30" s="1"/>
  <c r="HI25" i="30" s="1"/>
  <c r="HJ25" i="30" s="1"/>
  <c r="HK25" i="30" s="1"/>
  <c r="HL25" i="30" s="1"/>
  <c r="HM25" i="30" s="1"/>
  <c r="HN25" i="30" s="1"/>
  <c r="HO25" i="30" s="1"/>
  <c r="HP25" i="30" s="1"/>
  <c r="HQ25" i="30" s="1"/>
  <c r="HR25" i="30" s="1"/>
  <c r="HS25" i="30" s="1"/>
  <c r="HT25" i="30" s="1"/>
  <c r="HU25" i="30" s="1"/>
  <c r="HV25" i="30" s="1"/>
  <c r="HW25" i="30" s="1"/>
  <c r="HX25" i="30" s="1"/>
  <c r="HY25" i="30" s="1"/>
  <c r="HZ25" i="30" s="1"/>
  <c r="IA25" i="30" s="1"/>
  <c r="IB25" i="30" s="1"/>
  <c r="IC25" i="30" s="1"/>
  <c r="ID25" i="30" s="1"/>
  <c r="IE25" i="30" s="1"/>
  <c r="IF25" i="30" s="1"/>
  <c r="IG25" i="30" s="1"/>
  <c r="IH25" i="30" s="1"/>
  <c r="II25" i="30" s="1"/>
  <c r="IJ25" i="30" s="1"/>
  <c r="IK25" i="30" s="1"/>
  <c r="IL25" i="30" s="1"/>
  <c r="IM25" i="30" s="1"/>
  <c r="IN25" i="30" s="1"/>
  <c r="IO25" i="30" s="1"/>
  <c r="IP25" i="30" s="1"/>
  <c r="IQ25" i="30" s="1"/>
  <c r="IR25" i="30" s="1"/>
  <c r="IS25" i="30" s="1"/>
  <c r="IT25" i="30" s="1"/>
  <c r="IU25" i="30" s="1"/>
  <c r="IV25" i="30" s="1"/>
  <c r="IW25" i="30" s="1"/>
  <c r="IX25" i="30" s="1"/>
  <c r="IY25" i="30" s="1"/>
  <c r="IZ25" i="30" s="1"/>
  <c r="JA25" i="30" s="1"/>
  <c r="JB25" i="30" s="1"/>
  <c r="JC25" i="30" s="1"/>
  <c r="JD25" i="30" s="1"/>
  <c r="JE25" i="30" s="1"/>
  <c r="JF25" i="30" s="1"/>
  <c r="JG25" i="30" s="1"/>
  <c r="JH25" i="30" s="1"/>
  <c r="JI25" i="30" s="1"/>
  <c r="JJ25" i="30" s="1"/>
  <c r="JK25" i="30" s="1"/>
  <c r="JL25" i="30" s="1"/>
  <c r="JM25" i="30" s="1"/>
  <c r="JN25" i="30" s="1"/>
  <c r="JO25" i="30" s="1"/>
  <c r="JP25" i="30" s="1"/>
  <c r="JQ25" i="30" s="1"/>
  <c r="JR25" i="30" s="1"/>
  <c r="JS25" i="30" s="1"/>
  <c r="JT25" i="30" s="1"/>
  <c r="JU25" i="30" s="1"/>
  <c r="JV25" i="30" s="1"/>
  <c r="JW25" i="30" s="1"/>
  <c r="JX25" i="30" s="1"/>
  <c r="JY25" i="30" s="1"/>
  <c r="JZ25" i="30" s="1"/>
  <c r="KA25" i="30" s="1"/>
  <c r="KB25" i="30" s="1"/>
  <c r="KC25" i="30" s="1"/>
  <c r="KD25" i="30" s="1"/>
  <c r="KE25" i="30" s="1"/>
  <c r="KF25" i="30" s="1"/>
  <c r="KG25" i="30" s="1"/>
  <c r="KH25" i="30" s="1"/>
  <c r="KI25" i="30" s="1"/>
  <c r="KJ25" i="30" s="1"/>
  <c r="KK25" i="30" s="1"/>
  <c r="KL25" i="30" s="1"/>
  <c r="KM25" i="30" s="1"/>
  <c r="KN25" i="30" s="1"/>
  <c r="KO25" i="30" s="1"/>
  <c r="KP25" i="30" s="1"/>
  <c r="KQ25" i="30" s="1"/>
  <c r="KR25" i="30" s="1"/>
  <c r="KS25" i="30" s="1"/>
  <c r="KT25" i="30" s="1"/>
  <c r="KU25" i="30" s="1"/>
  <c r="KV25" i="30" s="1"/>
  <c r="KW25" i="30" s="1"/>
  <c r="KX25" i="30" s="1"/>
  <c r="KY25" i="30" s="1"/>
  <c r="KZ25" i="30" s="1"/>
  <c r="LA25" i="30" s="1"/>
  <c r="LB25" i="30" s="1"/>
  <c r="LC25" i="30" s="1"/>
  <c r="LD25" i="30" s="1"/>
  <c r="LE25" i="30" s="1"/>
  <c r="LF25" i="30" s="1"/>
  <c r="LG25" i="30" s="1"/>
  <c r="LH25" i="30" s="1"/>
  <c r="LI25" i="30" s="1"/>
  <c r="LJ25" i="30" s="1"/>
  <c r="W26" i="30"/>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CT26" i="30" s="1"/>
  <c r="CU26" i="30" s="1"/>
  <c r="CV26" i="30" s="1"/>
  <c r="CW26" i="30" s="1"/>
  <c r="CX26" i="30" s="1"/>
  <c r="CY26" i="30" s="1"/>
  <c r="CZ26" i="30" s="1"/>
  <c r="DA26" i="30" s="1"/>
  <c r="DB26" i="30" s="1"/>
  <c r="DC26" i="30" s="1"/>
  <c r="DD26" i="30" s="1"/>
  <c r="DE26" i="30" s="1"/>
  <c r="DF26" i="30" s="1"/>
  <c r="DG26" i="30" s="1"/>
  <c r="DH26" i="30" s="1"/>
  <c r="DI26" i="30" s="1"/>
  <c r="DJ26" i="30" s="1"/>
  <c r="DK26" i="30" s="1"/>
  <c r="DL26" i="30" s="1"/>
  <c r="DM26" i="30" s="1"/>
  <c r="DN26" i="30" s="1"/>
  <c r="DO26" i="30" s="1"/>
  <c r="DP26" i="30" s="1"/>
  <c r="DQ26" i="30" s="1"/>
  <c r="DR26" i="30" s="1"/>
  <c r="DS26" i="30" s="1"/>
  <c r="DT26" i="30" s="1"/>
  <c r="DU26" i="30" s="1"/>
  <c r="DV26" i="30" s="1"/>
  <c r="DW26" i="30" s="1"/>
  <c r="DX26" i="30" s="1"/>
  <c r="DY26" i="30" s="1"/>
  <c r="DZ26" i="30" s="1"/>
  <c r="EA26" i="30" s="1"/>
  <c r="EB26" i="30" s="1"/>
  <c r="EC26" i="30" s="1"/>
  <c r="ED26" i="30" s="1"/>
  <c r="EE26" i="30" s="1"/>
  <c r="EF26" i="30" s="1"/>
  <c r="EG26" i="30" s="1"/>
  <c r="EH26" i="30" s="1"/>
  <c r="EI26" i="30" s="1"/>
  <c r="EJ26" i="30" s="1"/>
  <c r="EK26" i="30" s="1"/>
  <c r="EL26" i="30" s="1"/>
  <c r="EM26" i="30" s="1"/>
  <c r="EN26" i="30" s="1"/>
  <c r="EO26" i="30" s="1"/>
  <c r="EP26" i="30" s="1"/>
  <c r="EQ26" i="30" s="1"/>
  <c r="ER26" i="30" s="1"/>
  <c r="ES26" i="30" s="1"/>
  <c r="ET26" i="30" s="1"/>
  <c r="EU26" i="30" s="1"/>
  <c r="EV26" i="30" s="1"/>
  <c r="EW26" i="30" s="1"/>
  <c r="EX26" i="30" s="1"/>
  <c r="EY26" i="30" s="1"/>
  <c r="EZ26" i="30" s="1"/>
  <c r="FA26" i="30" s="1"/>
  <c r="FB26" i="30" s="1"/>
  <c r="FC26" i="30" s="1"/>
  <c r="FD26" i="30" s="1"/>
  <c r="FE26" i="30" s="1"/>
  <c r="FF26" i="30" s="1"/>
  <c r="FG26" i="30" s="1"/>
  <c r="FH26" i="30" s="1"/>
  <c r="FI26" i="30" s="1"/>
  <c r="FJ26" i="30" s="1"/>
  <c r="FK26" i="30" s="1"/>
  <c r="FL26" i="30" s="1"/>
  <c r="FM26" i="30" s="1"/>
  <c r="FN26" i="30" s="1"/>
  <c r="FO26" i="30" s="1"/>
  <c r="FP26" i="30" s="1"/>
  <c r="FQ26" i="30" s="1"/>
  <c r="FR26" i="30" s="1"/>
  <c r="FS26" i="30" s="1"/>
  <c r="FT26" i="30" s="1"/>
  <c r="FU26" i="30" s="1"/>
  <c r="FV26" i="30" s="1"/>
  <c r="FW26" i="30" s="1"/>
  <c r="FX26" i="30" s="1"/>
  <c r="FY26" i="30" s="1"/>
  <c r="FZ26" i="30" s="1"/>
  <c r="GA26" i="30" s="1"/>
  <c r="GB26" i="30" s="1"/>
  <c r="GC26" i="30" s="1"/>
  <c r="GD26" i="30" s="1"/>
  <c r="GE26" i="30" s="1"/>
  <c r="GF26" i="30" s="1"/>
  <c r="GG26" i="30" s="1"/>
  <c r="GH26" i="30" s="1"/>
  <c r="GI26" i="30" s="1"/>
  <c r="GJ26" i="30" s="1"/>
  <c r="GK26" i="30" s="1"/>
  <c r="GL26" i="30" s="1"/>
  <c r="GM26" i="30" s="1"/>
  <c r="GN26" i="30" s="1"/>
  <c r="GO26" i="30" s="1"/>
  <c r="GP26" i="30" s="1"/>
  <c r="GQ26" i="30" s="1"/>
  <c r="GR26" i="30" s="1"/>
  <c r="GS26" i="30" s="1"/>
  <c r="GT26" i="30" s="1"/>
  <c r="GU26" i="30" s="1"/>
  <c r="GV26" i="30" s="1"/>
  <c r="GW26" i="30" s="1"/>
  <c r="GX26" i="30" s="1"/>
  <c r="GY26" i="30" s="1"/>
  <c r="GZ26" i="30" s="1"/>
  <c r="HA26" i="30" s="1"/>
  <c r="HB26" i="30" s="1"/>
  <c r="HC26" i="30" s="1"/>
  <c r="HD26" i="30" s="1"/>
  <c r="HE26" i="30" s="1"/>
  <c r="HF26" i="30" s="1"/>
  <c r="HG26" i="30" s="1"/>
  <c r="HH26" i="30" s="1"/>
  <c r="HI26" i="30" s="1"/>
  <c r="HJ26" i="30" s="1"/>
  <c r="HK26" i="30" s="1"/>
  <c r="HL26" i="30" s="1"/>
  <c r="HM26" i="30" s="1"/>
  <c r="HN26" i="30" s="1"/>
  <c r="HO26" i="30" s="1"/>
  <c r="HP26" i="30" s="1"/>
  <c r="HQ26" i="30" s="1"/>
  <c r="HR26" i="30" s="1"/>
  <c r="HS26" i="30" s="1"/>
  <c r="HT26" i="30" s="1"/>
  <c r="HU26" i="30" s="1"/>
  <c r="HV26" i="30" s="1"/>
  <c r="HW26" i="30" s="1"/>
  <c r="HX26" i="30" s="1"/>
  <c r="HY26" i="30" s="1"/>
  <c r="HZ26" i="30" s="1"/>
  <c r="IA26" i="30" s="1"/>
  <c r="IB26" i="30" s="1"/>
  <c r="IC26" i="30" s="1"/>
  <c r="ID26" i="30" s="1"/>
  <c r="IE26" i="30" s="1"/>
  <c r="IF26" i="30" s="1"/>
  <c r="IG26" i="30" s="1"/>
  <c r="IH26" i="30" s="1"/>
  <c r="II26" i="30" s="1"/>
  <c r="IJ26" i="30" s="1"/>
  <c r="IK26" i="30" s="1"/>
  <c r="IL26" i="30" s="1"/>
  <c r="IM26" i="30" s="1"/>
  <c r="IN26" i="30" s="1"/>
  <c r="IO26" i="30" s="1"/>
  <c r="IP26" i="30" s="1"/>
  <c r="IQ26" i="30" s="1"/>
  <c r="IR26" i="30" s="1"/>
  <c r="IS26" i="30" s="1"/>
  <c r="IT26" i="30" s="1"/>
  <c r="IU26" i="30" s="1"/>
  <c r="IV26" i="30" s="1"/>
  <c r="IW26" i="30" s="1"/>
  <c r="IX26" i="30" s="1"/>
  <c r="IY26" i="30" s="1"/>
  <c r="IZ26" i="30" s="1"/>
  <c r="JA26" i="30" s="1"/>
  <c r="JB26" i="30" s="1"/>
  <c r="JC26" i="30" s="1"/>
  <c r="JD26" i="30" s="1"/>
  <c r="JE26" i="30" s="1"/>
  <c r="JF26" i="30" s="1"/>
  <c r="JG26" i="30" s="1"/>
  <c r="JH26" i="30" s="1"/>
  <c r="JI26" i="30" s="1"/>
  <c r="JJ26" i="30" s="1"/>
  <c r="JK26" i="30" s="1"/>
  <c r="JL26" i="30" s="1"/>
  <c r="JM26" i="30" s="1"/>
  <c r="JN26" i="30" s="1"/>
  <c r="JO26" i="30" s="1"/>
  <c r="JP26" i="30" s="1"/>
  <c r="JQ26" i="30" s="1"/>
  <c r="JR26" i="30" s="1"/>
  <c r="JS26" i="30" s="1"/>
  <c r="JT26" i="30" s="1"/>
  <c r="JU26" i="30" s="1"/>
  <c r="JV26" i="30" s="1"/>
  <c r="JW26" i="30" s="1"/>
  <c r="JX26" i="30" s="1"/>
  <c r="JY26" i="30" s="1"/>
  <c r="JZ26" i="30" s="1"/>
  <c r="KA26" i="30" s="1"/>
  <c r="KB26" i="30" s="1"/>
  <c r="KC26" i="30" s="1"/>
  <c r="KD26" i="30" s="1"/>
  <c r="KE26" i="30" s="1"/>
  <c r="KF26" i="30" s="1"/>
  <c r="KG26" i="30" s="1"/>
  <c r="KH26" i="30" s="1"/>
  <c r="KI26" i="30" s="1"/>
  <c r="KJ26" i="30" s="1"/>
  <c r="KK26" i="30" s="1"/>
  <c r="KL26" i="30" s="1"/>
  <c r="KM26" i="30" s="1"/>
  <c r="KN26" i="30" s="1"/>
  <c r="KO26" i="30" s="1"/>
  <c r="KP26" i="30" s="1"/>
  <c r="KQ26" i="30" s="1"/>
  <c r="KR26" i="30" s="1"/>
  <c r="KS26" i="30" s="1"/>
  <c r="KT26" i="30" s="1"/>
  <c r="KU26" i="30" s="1"/>
  <c r="KV26" i="30" s="1"/>
  <c r="KW26" i="30" s="1"/>
  <c r="KX26" i="30" s="1"/>
  <c r="KY26" i="30" s="1"/>
  <c r="KZ26" i="30" s="1"/>
  <c r="LA26" i="30" s="1"/>
  <c r="LB26" i="30" s="1"/>
  <c r="LC26" i="30" s="1"/>
  <c r="LD26" i="30" s="1"/>
  <c r="LE26" i="30" s="1"/>
  <c r="LF26" i="30" s="1"/>
  <c r="LG26" i="30" s="1"/>
  <c r="LH26" i="30" s="1"/>
  <c r="LI26" i="30" s="1"/>
  <c r="LJ26" i="30" s="1"/>
  <c r="W27" i="30"/>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CT27" i="30" s="1"/>
  <c r="CU27" i="30" s="1"/>
  <c r="CV27" i="30" s="1"/>
  <c r="CW27" i="30" s="1"/>
  <c r="CX27" i="30" s="1"/>
  <c r="CY27" i="30" s="1"/>
  <c r="CZ27" i="30" s="1"/>
  <c r="DA27" i="30" s="1"/>
  <c r="DB27" i="30" s="1"/>
  <c r="DC27" i="30" s="1"/>
  <c r="DD27" i="30" s="1"/>
  <c r="DE27" i="30" s="1"/>
  <c r="DF27" i="30" s="1"/>
  <c r="DG27" i="30" s="1"/>
  <c r="DH27" i="30" s="1"/>
  <c r="DI27" i="30" s="1"/>
  <c r="DJ27" i="30" s="1"/>
  <c r="DK27" i="30" s="1"/>
  <c r="DL27" i="30" s="1"/>
  <c r="DM27" i="30" s="1"/>
  <c r="DN27" i="30" s="1"/>
  <c r="DO27" i="30" s="1"/>
  <c r="DP27" i="30" s="1"/>
  <c r="DQ27" i="30" s="1"/>
  <c r="DR27" i="30" s="1"/>
  <c r="DS27" i="30" s="1"/>
  <c r="DT27" i="30" s="1"/>
  <c r="DU27" i="30" s="1"/>
  <c r="DV27" i="30" s="1"/>
  <c r="DW27" i="30" s="1"/>
  <c r="DX27" i="30" s="1"/>
  <c r="DY27" i="30" s="1"/>
  <c r="DZ27" i="30" s="1"/>
  <c r="EA27" i="30" s="1"/>
  <c r="EB27" i="30" s="1"/>
  <c r="EC27" i="30" s="1"/>
  <c r="ED27" i="30" s="1"/>
  <c r="EE27" i="30" s="1"/>
  <c r="EF27" i="30" s="1"/>
  <c r="EG27" i="30" s="1"/>
  <c r="EH27" i="30" s="1"/>
  <c r="EI27" i="30" s="1"/>
  <c r="EJ27" i="30" s="1"/>
  <c r="EK27" i="30" s="1"/>
  <c r="EL27" i="30" s="1"/>
  <c r="EM27" i="30" s="1"/>
  <c r="EN27" i="30" s="1"/>
  <c r="EO27" i="30" s="1"/>
  <c r="EP27" i="30" s="1"/>
  <c r="EQ27" i="30" s="1"/>
  <c r="ER27" i="30" s="1"/>
  <c r="ES27" i="30" s="1"/>
  <c r="ET27" i="30" s="1"/>
  <c r="EU27" i="30" s="1"/>
  <c r="EV27" i="30" s="1"/>
  <c r="EW27" i="30" s="1"/>
  <c r="EX27" i="30" s="1"/>
  <c r="EY27" i="30" s="1"/>
  <c r="EZ27" i="30" s="1"/>
  <c r="FA27" i="30" s="1"/>
  <c r="FB27" i="30" s="1"/>
  <c r="FC27" i="30" s="1"/>
  <c r="FD27" i="30" s="1"/>
  <c r="FE27" i="30" s="1"/>
  <c r="FF27" i="30" s="1"/>
  <c r="FG27" i="30" s="1"/>
  <c r="FH27" i="30" s="1"/>
  <c r="FI27" i="30" s="1"/>
  <c r="FJ27" i="30" s="1"/>
  <c r="FK27" i="30" s="1"/>
  <c r="FL27" i="30" s="1"/>
  <c r="FM27" i="30" s="1"/>
  <c r="FN27" i="30" s="1"/>
  <c r="FO27" i="30" s="1"/>
  <c r="FP27" i="30" s="1"/>
  <c r="FQ27" i="30" s="1"/>
  <c r="FR27" i="30" s="1"/>
  <c r="FS27" i="30" s="1"/>
  <c r="FT27" i="30" s="1"/>
  <c r="FU27" i="30" s="1"/>
  <c r="FV27" i="30" s="1"/>
  <c r="FW27" i="30" s="1"/>
  <c r="FX27" i="30" s="1"/>
  <c r="FY27" i="30" s="1"/>
  <c r="FZ27" i="30" s="1"/>
  <c r="GA27" i="30" s="1"/>
  <c r="GB27" i="30" s="1"/>
  <c r="GC27" i="30" s="1"/>
  <c r="GD27" i="30" s="1"/>
  <c r="GE27" i="30" s="1"/>
  <c r="GF27" i="30" s="1"/>
  <c r="GG27" i="30" s="1"/>
  <c r="GH27" i="30" s="1"/>
  <c r="GI27" i="30" s="1"/>
  <c r="GJ27" i="30" s="1"/>
  <c r="GK27" i="30" s="1"/>
  <c r="GL27" i="30" s="1"/>
  <c r="GM27" i="30" s="1"/>
  <c r="GN27" i="30" s="1"/>
  <c r="GO27" i="30" s="1"/>
  <c r="GP27" i="30" s="1"/>
  <c r="GQ27" i="30" s="1"/>
  <c r="GR27" i="30" s="1"/>
  <c r="GS27" i="30" s="1"/>
  <c r="GT27" i="30" s="1"/>
  <c r="GU27" i="30" s="1"/>
  <c r="GV27" i="30" s="1"/>
  <c r="GW27" i="30" s="1"/>
  <c r="GX27" i="30" s="1"/>
  <c r="GY27" i="30" s="1"/>
  <c r="GZ27" i="30" s="1"/>
  <c r="HA27" i="30" s="1"/>
  <c r="HB27" i="30" s="1"/>
  <c r="HC27" i="30" s="1"/>
  <c r="HD27" i="30" s="1"/>
  <c r="HE27" i="30" s="1"/>
  <c r="HF27" i="30" s="1"/>
  <c r="HG27" i="30" s="1"/>
  <c r="HH27" i="30" s="1"/>
  <c r="HI27" i="30" s="1"/>
  <c r="HJ27" i="30" s="1"/>
  <c r="HK27" i="30" s="1"/>
  <c r="HL27" i="30" s="1"/>
  <c r="HM27" i="30" s="1"/>
  <c r="HN27" i="30" s="1"/>
  <c r="HO27" i="30" s="1"/>
  <c r="HP27" i="30" s="1"/>
  <c r="HQ27" i="30" s="1"/>
  <c r="HR27" i="30" s="1"/>
  <c r="HS27" i="30" s="1"/>
  <c r="HT27" i="30" s="1"/>
  <c r="HU27" i="30" s="1"/>
  <c r="HV27" i="30" s="1"/>
  <c r="HW27" i="30" s="1"/>
  <c r="HX27" i="30" s="1"/>
  <c r="HY27" i="30" s="1"/>
  <c r="HZ27" i="30" s="1"/>
  <c r="IA27" i="30" s="1"/>
  <c r="IB27" i="30" s="1"/>
  <c r="IC27" i="30" s="1"/>
  <c r="ID27" i="30" s="1"/>
  <c r="IE27" i="30" s="1"/>
  <c r="IF27" i="30" s="1"/>
  <c r="IG27" i="30" s="1"/>
  <c r="IH27" i="30" s="1"/>
  <c r="II27" i="30" s="1"/>
  <c r="IJ27" i="30" s="1"/>
  <c r="IK27" i="30" s="1"/>
  <c r="IL27" i="30" s="1"/>
  <c r="IM27" i="30" s="1"/>
  <c r="IN27" i="30" s="1"/>
  <c r="IO27" i="30" s="1"/>
  <c r="IP27" i="30" s="1"/>
  <c r="IQ27" i="30" s="1"/>
  <c r="IR27" i="30" s="1"/>
  <c r="IS27" i="30" s="1"/>
  <c r="IT27" i="30" s="1"/>
  <c r="IU27" i="30" s="1"/>
  <c r="IV27" i="30" s="1"/>
  <c r="IW27" i="30" s="1"/>
  <c r="IX27" i="30" s="1"/>
  <c r="IY27" i="30" s="1"/>
  <c r="IZ27" i="30" s="1"/>
  <c r="JA27" i="30" s="1"/>
  <c r="JB27" i="30" s="1"/>
  <c r="JC27" i="30" s="1"/>
  <c r="JD27" i="30" s="1"/>
  <c r="JE27" i="30" s="1"/>
  <c r="JF27" i="30" s="1"/>
  <c r="JG27" i="30" s="1"/>
  <c r="JH27" i="30" s="1"/>
  <c r="JI27" i="30" s="1"/>
  <c r="JJ27" i="30" s="1"/>
  <c r="JK27" i="30" s="1"/>
  <c r="JL27" i="30" s="1"/>
  <c r="JM27" i="30" s="1"/>
  <c r="JN27" i="30" s="1"/>
  <c r="JO27" i="30" s="1"/>
  <c r="JP27" i="30" s="1"/>
  <c r="JQ27" i="30" s="1"/>
  <c r="JR27" i="30" s="1"/>
  <c r="JS27" i="30" s="1"/>
  <c r="JT27" i="30" s="1"/>
  <c r="JU27" i="30" s="1"/>
  <c r="JV27" i="30" s="1"/>
  <c r="JW27" i="30" s="1"/>
  <c r="JX27" i="30" s="1"/>
  <c r="JY27" i="30" s="1"/>
  <c r="JZ27" i="30" s="1"/>
  <c r="KA27" i="30" s="1"/>
  <c r="KB27" i="30" s="1"/>
  <c r="KC27" i="30" s="1"/>
  <c r="KD27" i="30" s="1"/>
  <c r="KE27" i="30" s="1"/>
  <c r="KF27" i="30" s="1"/>
  <c r="KG27" i="30" s="1"/>
  <c r="KH27" i="30" s="1"/>
  <c r="KI27" i="30" s="1"/>
  <c r="KJ27" i="30" s="1"/>
  <c r="KK27" i="30" s="1"/>
  <c r="KL27" i="30" s="1"/>
  <c r="KM27" i="30" s="1"/>
  <c r="KN27" i="30" s="1"/>
  <c r="KO27" i="30" s="1"/>
  <c r="KP27" i="30" s="1"/>
  <c r="KQ27" i="30" s="1"/>
  <c r="KR27" i="30" s="1"/>
  <c r="KS27" i="30" s="1"/>
  <c r="KT27" i="30" s="1"/>
  <c r="KU27" i="30" s="1"/>
  <c r="KV27" i="30" s="1"/>
  <c r="KW27" i="30" s="1"/>
  <c r="KX27" i="30" s="1"/>
  <c r="KY27" i="30" s="1"/>
  <c r="KZ27" i="30" s="1"/>
  <c r="LA27" i="30" s="1"/>
  <c r="LB27" i="30" s="1"/>
  <c r="LC27" i="30" s="1"/>
  <c r="LD27" i="30" s="1"/>
  <c r="LE27" i="30" s="1"/>
  <c r="LF27" i="30" s="1"/>
  <c r="LG27" i="30" s="1"/>
  <c r="LH27" i="30" s="1"/>
  <c r="LI27" i="30" s="1"/>
  <c r="LJ27" i="30" s="1"/>
  <c r="W28" i="30"/>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CT28" i="30" s="1"/>
  <c r="CU28" i="30" s="1"/>
  <c r="CV28" i="30" s="1"/>
  <c r="CW28" i="30" s="1"/>
  <c r="CX28" i="30" s="1"/>
  <c r="CY28" i="30" s="1"/>
  <c r="CZ28" i="30" s="1"/>
  <c r="DA28" i="30" s="1"/>
  <c r="DB28" i="30" s="1"/>
  <c r="DC28" i="30" s="1"/>
  <c r="DD28" i="30" s="1"/>
  <c r="DE28" i="30" s="1"/>
  <c r="DF28" i="30" s="1"/>
  <c r="DG28" i="30" s="1"/>
  <c r="DH28" i="30" s="1"/>
  <c r="DI28" i="30" s="1"/>
  <c r="DJ28" i="30" s="1"/>
  <c r="DK28" i="30" s="1"/>
  <c r="DL28" i="30" s="1"/>
  <c r="DM28" i="30" s="1"/>
  <c r="DN28" i="30" s="1"/>
  <c r="DO28" i="30" s="1"/>
  <c r="DP28" i="30" s="1"/>
  <c r="DQ28" i="30" s="1"/>
  <c r="DR28" i="30" s="1"/>
  <c r="DS28" i="30" s="1"/>
  <c r="DT28" i="30" s="1"/>
  <c r="DU28" i="30" s="1"/>
  <c r="DV28" i="30" s="1"/>
  <c r="DW28" i="30" s="1"/>
  <c r="DX28" i="30" s="1"/>
  <c r="DY28" i="30" s="1"/>
  <c r="DZ28" i="30" s="1"/>
  <c r="EA28" i="30" s="1"/>
  <c r="EB28" i="30" s="1"/>
  <c r="EC28" i="30" s="1"/>
  <c r="ED28" i="30" s="1"/>
  <c r="EE28" i="30" s="1"/>
  <c r="EF28" i="30" s="1"/>
  <c r="EG28" i="30" s="1"/>
  <c r="EH28" i="30" s="1"/>
  <c r="EI28" i="30" s="1"/>
  <c r="EJ28" i="30" s="1"/>
  <c r="EK28" i="30" s="1"/>
  <c r="EL28" i="30" s="1"/>
  <c r="EM28" i="30" s="1"/>
  <c r="EN28" i="30" s="1"/>
  <c r="EO28" i="30" s="1"/>
  <c r="EP28" i="30" s="1"/>
  <c r="EQ28" i="30" s="1"/>
  <c r="ER28" i="30" s="1"/>
  <c r="ES28" i="30" s="1"/>
  <c r="ET28" i="30" s="1"/>
  <c r="EU28" i="30" s="1"/>
  <c r="EV28" i="30" s="1"/>
  <c r="EW28" i="30" s="1"/>
  <c r="EX28" i="30" s="1"/>
  <c r="EY28" i="30" s="1"/>
  <c r="EZ28" i="30" s="1"/>
  <c r="FA28" i="30" s="1"/>
  <c r="FB28" i="30" s="1"/>
  <c r="FC28" i="30" s="1"/>
  <c r="FD28" i="30" s="1"/>
  <c r="FE28" i="30" s="1"/>
  <c r="FF28" i="30" s="1"/>
  <c r="FG28" i="30" s="1"/>
  <c r="FH28" i="30" s="1"/>
  <c r="FI28" i="30" s="1"/>
  <c r="FJ28" i="30" s="1"/>
  <c r="FK28" i="30" s="1"/>
  <c r="FL28" i="30" s="1"/>
  <c r="FM28" i="30" s="1"/>
  <c r="FN28" i="30" s="1"/>
  <c r="FO28" i="30" s="1"/>
  <c r="FP28" i="30" s="1"/>
  <c r="FQ28" i="30" s="1"/>
  <c r="FR28" i="30" s="1"/>
  <c r="FS28" i="30" s="1"/>
  <c r="FT28" i="30" s="1"/>
  <c r="FU28" i="30" s="1"/>
  <c r="FV28" i="30" s="1"/>
  <c r="FW28" i="30" s="1"/>
  <c r="FX28" i="30" s="1"/>
  <c r="FY28" i="30" s="1"/>
  <c r="FZ28" i="30" s="1"/>
  <c r="GA28" i="30" s="1"/>
  <c r="GB28" i="30" s="1"/>
  <c r="GC28" i="30" s="1"/>
  <c r="GD28" i="30" s="1"/>
  <c r="GE28" i="30" s="1"/>
  <c r="GF28" i="30" s="1"/>
  <c r="GG28" i="30" s="1"/>
  <c r="GH28" i="30" s="1"/>
  <c r="GI28" i="30" s="1"/>
  <c r="GJ28" i="30" s="1"/>
  <c r="GK28" i="30" s="1"/>
  <c r="GL28" i="30" s="1"/>
  <c r="GM28" i="30" s="1"/>
  <c r="GN28" i="30" s="1"/>
  <c r="GO28" i="30" s="1"/>
  <c r="GP28" i="30" s="1"/>
  <c r="GQ28" i="30" s="1"/>
  <c r="GR28" i="30" s="1"/>
  <c r="GS28" i="30" s="1"/>
  <c r="GT28" i="30" s="1"/>
  <c r="GU28" i="30" s="1"/>
  <c r="GV28" i="30" s="1"/>
  <c r="GW28" i="30" s="1"/>
  <c r="GX28" i="30" s="1"/>
  <c r="GY28" i="30" s="1"/>
  <c r="GZ28" i="30" s="1"/>
  <c r="HA28" i="30" s="1"/>
  <c r="HB28" i="30" s="1"/>
  <c r="HC28" i="30" s="1"/>
  <c r="HD28" i="30" s="1"/>
  <c r="HE28" i="30" s="1"/>
  <c r="HF28" i="30" s="1"/>
  <c r="HG28" i="30" s="1"/>
  <c r="HH28" i="30" s="1"/>
  <c r="HI28" i="30" s="1"/>
  <c r="HJ28" i="30" s="1"/>
  <c r="HK28" i="30" s="1"/>
  <c r="HL28" i="30" s="1"/>
  <c r="HM28" i="30" s="1"/>
  <c r="HN28" i="30" s="1"/>
  <c r="HO28" i="30" s="1"/>
  <c r="HP28" i="30" s="1"/>
  <c r="HQ28" i="30" s="1"/>
  <c r="HR28" i="30" s="1"/>
  <c r="HS28" i="30" s="1"/>
  <c r="HT28" i="30" s="1"/>
  <c r="HU28" i="30" s="1"/>
  <c r="HV28" i="30" s="1"/>
  <c r="HW28" i="30" s="1"/>
  <c r="HX28" i="30" s="1"/>
  <c r="HY28" i="30" s="1"/>
  <c r="HZ28" i="30" s="1"/>
  <c r="IA28" i="30" s="1"/>
  <c r="IB28" i="30" s="1"/>
  <c r="IC28" i="30" s="1"/>
  <c r="ID28" i="30" s="1"/>
  <c r="IE28" i="30" s="1"/>
  <c r="IF28" i="30" s="1"/>
  <c r="IG28" i="30" s="1"/>
  <c r="IH28" i="30" s="1"/>
  <c r="II28" i="30" s="1"/>
  <c r="IJ28" i="30" s="1"/>
  <c r="IK28" i="30" s="1"/>
  <c r="IL28" i="30" s="1"/>
  <c r="IM28" i="30" s="1"/>
  <c r="IN28" i="30" s="1"/>
  <c r="IO28" i="30" s="1"/>
  <c r="IP28" i="30" s="1"/>
  <c r="IQ28" i="30" s="1"/>
  <c r="IR28" i="30" s="1"/>
  <c r="IS28" i="30" s="1"/>
  <c r="IT28" i="30" s="1"/>
  <c r="IU28" i="30" s="1"/>
  <c r="IV28" i="30" s="1"/>
  <c r="IW28" i="30" s="1"/>
  <c r="IX28" i="30" s="1"/>
  <c r="IY28" i="30" s="1"/>
  <c r="IZ28" i="30" s="1"/>
  <c r="JA28" i="30" s="1"/>
  <c r="JB28" i="30" s="1"/>
  <c r="JC28" i="30" s="1"/>
  <c r="JD28" i="30" s="1"/>
  <c r="JE28" i="30" s="1"/>
  <c r="JF28" i="30" s="1"/>
  <c r="JG28" i="30" s="1"/>
  <c r="JH28" i="30" s="1"/>
  <c r="JI28" i="30" s="1"/>
  <c r="JJ28" i="30" s="1"/>
  <c r="JK28" i="30" s="1"/>
  <c r="JL28" i="30" s="1"/>
  <c r="JM28" i="30" s="1"/>
  <c r="JN28" i="30" s="1"/>
  <c r="JO28" i="30" s="1"/>
  <c r="JP28" i="30" s="1"/>
  <c r="JQ28" i="30" s="1"/>
  <c r="JR28" i="30" s="1"/>
  <c r="JS28" i="30" s="1"/>
  <c r="JT28" i="30" s="1"/>
  <c r="JU28" i="30" s="1"/>
  <c r="JV28" i="30" s="1"/>
  <c r="JW28" i="30" s="1"/>
  <c r="JX28" i="30" s="1"/>
  <c r="JY28" i="30" s="1"/>
  <c r="JZ28" i="30" s="1"/>
  <c r="KA28" i="30" s="1"/>
  <c r="KB28" i="30" s="1"/>
  <c r="KC28" i="30" s="1"/>
  <c r="KD28" i="30" s="1"/>
  <c r="KE28" i="30" s="1"/>
  <c r="KF28" i="30" s="1"/>
  <c r="KG28" i="30" s="1"/>
  <c r="KH28" i="30" s="1"/>
  <c r="KI28" i="30" s="1"/>
  <c r="KJ28" i="30" s="1"/>
  <c r="KK28" i="30" s="1"/>
  <c r="KL28" i="30" s="1"/>
  <c r="KM28" i="30" s="1"/>
  <c r="KN28" i="30" s="1"/>
  <c r="KO28" i="30" s="1"/>
  <c r="KP28" i="30" s="1"/>
  <c r="KQ28" i="30" s="1"/>
  <c r="KR28" i="30" s="1"/>
  <c r="KS28" i="30" s="1"/>
  <c r="KT28" i="30" s="1"/>
  <c r="KU28" i="30" s="1"/>
  <c r="KV28" i="30" s="1"/>
  <c r="KW28" i="30" s="1"/>
  <c r="KX28" i="30" s="1"/>
  <c r="KY28" i="30" s="1"/>
  <c r="KZ28" i="30" s="1"/>
  <c r="LA28" i="30" s="1"/>
  <c r="LB28" i="30" s="1"/>
  <c r="LC28" i="30" s="1"/>
  <c r="LD28" i="30" s="1"/>
  <c r="LE28" i="30" s="1"/>
  <c r="LF28" i="30" s="1"/>
  <c r="LG28" i="30" s="1"/>
  <c r="LH28" i="30" s="1"/>
  <c r="LI28" i="30" s="1"/>
  <c r="LJ28" i="30" s="1"/>
  <c r="W29" i="30"/>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CT29" i="30" s="1"/>
  <c r="CU29" i="30" s="1"/>
  <c r="CV29" i="30" s="1"/>
  <c r="CW29" i="30" s="1"/>
  <c r="CX29" i="30" s="1"/>
  <c r="CY29" i="30" s="1"/>
  <c r="CZ29" i="30" s="1"/>
  <c r="DA29" i="30" s="1"/>
  <c r="DB29" i="30" s="1"/>
  <c r="DC29" i="30" s="1"/>
  <c r="DD29" i="30" s="1"/>
  <c r="DE29" i="30" s="1"/>
  <c r="DF29" i="30" s="1"/>
  <c r="DG29" i="30" s="1"/>
  <c r="DH29" i="30" s="1"/>
  <c r="DI29" i="30" s="1"/>
  <c r="DJ29" i="30" s="1"/>
  <c r="DK29" i="30" s="1"/>
  <c r="DL29" i="30" s="1"/>
  <c r="DM29" i="30" s="1"/>
  <c r="DN29" i="30" s="1"/>
  <c r="DO29" i="30" s="1"/>
  <c r="DP29" i="30" s="1"/>
  <c r="DQ29" i="30" s="1"/>
  <c r="DR29" i="30" s="1"/>
  <c r="DS29" i="30" s="1"/>
  <c r="DT29" i="30" s="1"/>
  <c r="DU29" i="30" s="1"/>
  <c r="DV29" i="30" s="1"/>
  <c r="DW29" i="30" s="1"/>
  <c r="DX29" i="30" s="1"/>
  <c r="DY29" i="30" s="1"/>
  <c r="DZ29" i="30" s="1"/>
  <c r="EA29" i="30" s="1"/>
  <c r="EB29" i="30" s="1"/>
  <c r="EC29" i="30" s="1"/>
  <c r="ED29" i="30" s="1"/>
  <c r="EE29" i="30" s="1"/>
  <c r="EF29" i="30" s="1"/>
  <c r="EG29" i="30" s="1"/>
  <c r="EH29" i="30" s="1"/>
  <c r="EI29" i="30" s="1"/>
  <c r="EJ29" i="30" s="1"/>
  <c r="EK29" i="30" s="1"/>
  <c r="EL29" i="30" s="1"/>
  <c r="EM29" i="30" s="1"/>
  <c r="EN29" i="30" s="1"/>
  <c r="EO29" i="30" s="1"/>
  <c r="EP29" i="30" s="1"/>
  <c r="EQ29" i="30" s="1"/>
  <c r="ER29" i="30" s="1"/>
  <c r="ES29" i="30" s="1"/>
  <c r="ET29" i="30" s="1"/>
  <c r="EU29" i="30" s="1"/>
  <c r="EV29" i="30" s="1"/>
  <c r="EW29" i="30" s="1"/>
  <c r="EX29" i="30" s="1"/>
  <c r="EY29" i="30" s="1"/>
  <c r="EZ29" i="30" s="1"/>
  <c r="FA29" i="30" s="1"/>
  <c r="FB29" i="30" s="1"/>
  <c r="FC29" i="30" s="1"/>
  <c r="FD29" i="30" s="1"/>
  <c r="FE29" i="30" s="1"/>
  <c r="FF29" i="30" s="1"/>
  <c r="FG29" i="30" s="1"/>
  <c r="FH29" i="30" s="1"/>
  <c r="FI29" i="30" s="1"/>
  <c r="FJ29" i="30" s="1"/>
  <c r="FK29" i="30" s="1"/>
  <c r="FL29" i="30" s="1"/>
  <c r="FM29" i="30" s="1"/>
  <c r="FN29" i="30" s="1"/>
  <c r="FO29" i="30" s="1"/>
  <c r="FP29" i="30" s="1"/>
  <c r="FQ29" i="30" s="1"/>
  <c r="FR29" i="30" s="1"/>
  <c r="FS29" i="30" s="1"/>
  <c r="FT29" i="30" s="1"/>
  <c r="FU29" i="30" s="1"/>
  <c r="FV29" i="30" s="1"/>
  <c r="FW29" i="30" s="1"/>
  <c r="FX29" i="30" s="1"/>
  <c r="FY29" i="30" s="1"/>
  <c r="FZ29" i="30" s="1"/>
  <c r="GA29" i="30" s="1"/>
  <c r="GB29" i="30" s="1"/>
  <c r="GC29" i="30" s="1"/>
  <c r="GD29" i="30" s="1"/>
  <c r="GE29" i="30" s="1"/>
  <c r="GF29" i="30" s="1"/>
  <c r="GG29" i="30" s="1"/>
  <c r="GH29" i="30" s="1"/>
  <c r="GI29" i="30" s="1"/>
  <c r="GJ29" i="30" s="1"/>
  <c r="GK29" i="30" s="1"/>
  <c r="GL29" i="30" s="1"/>
  <c r="GM29" i="30" s="1"/>
  <c r="GN29" i="30" s="1"/>
  <c r="GO29" i="30" s="1"/>
  <c r="GP29" i="30" s="1"/>
  <c r="GQ29" i="30" s="1"/>
  <c r="GR29" i="30" s="1"/>
  <c r="GS29" i="30" s="1"/>
  <c r="GT29" i="30" s="1"/>
  <c r="GU29" i="30" s="1"/>
  <c r="GV29" i="30" s="1"/>
  <c r="GW29" i="30" s="1"/>
  <c r="GX29" i="30" s="1"/>
  <c r="GY29" i="30" s="1"/>
  <c r="GZ29" i="30" s="1"/>
  <c r="HA29" i="30" s="1"/>
  <c r="HB29" i="30" s="1"/>
  <c r="HC29" i="30" s="1"/>
  <c r="HD29" i="30" s="1"/>
  <c r="HE29" i="30" s="1"/>
  <c r="HF29" i="30" s="1"/>
  <c r="HG29" i="30" s="1"/>
  <c r="HH29" i="30" s="1"/>
  <c r="HI29" i="30" s="1"/>
  <c r="HJ29" i="30" s="1"/>
  <c r="HK29" i="30" s="1"/>
  <c r="HL29" i="30" s="1"/>
  <c r="HM29" i="30" s="1"/>
  <c r="HN29" i="30" s="1"/>
  <c r="HO29" i="30" s="1"/>
  <c r="HP29" i="30" s="1"/>
  <c r="HQ29" i="30" s="1"/>
  <c r="HR29" i="30" s="1"/>
  <c r="HS29" i="30" s="1"/>
  <c r="HT29" i="30" s="1"/>
  <c r="HU29" i="30" s="1"/>
  <c r="HV29" i="30" s="1"/>
  <c r="HW29" i="30" s="1"/>
  <c r="HX29" i="30" s="1"/>
  <c r="HY29" i="30" s="1"/>
  <c r="HZ29" i="30" s="1"/>
  <c r="IA29" i="30" s="1"/>
  <c r="IB29" i="30" s="1"/>
  <c r="IC29" i="30" s="1"/>
  <c r="ID29" i="30" s="1"/>
  <c r="IE29" i="30" s="1"/>
  <c r="IF29" i="30" s="1"/>
  <c r="IG29" i="30" s="1"/>
  <c r="IH29" i="30" s="1"/>
  <c r="II29" i="30" s="1"/>
  <c r="IJ29" i="30" s="1"/>
  <c r="IK29" i="30" s="1"/>
  <c r="IL29" i="30" s="1"/>
  <c r="IM29" i="30" s="1"/>
  <c r="IN29" i="30" s="1"/>
  <c r="IO29" i="30" s="1"/>
  <c r="IP29" i="30" s="1"/>
  <c r="IQ29" i="30" s="1"/>
  <c r="IR29" i="30" s="1"/>
  <c r="IS29" i="30" s="1"/>
  <c r="IT29" i="30" s="1"/>
  <c r="IU29" i="30" s="1"/>
  <c r="IV29" i="30" s="1"/>
  <c r="IW29" i="30" s="1"/>
  <c r="IX29" i="30" s="1"/>
  <c r="IY29" i="30" s="1"/>
  <c r="IZ29" i="30" s="1"/>
  <c r="JA29" i="30" s="1"/>
  <c r="JB29" i="30" s="1"/>
  <c r="JC29" i="30" s="1"/>
  <c r="JD29" i="30" s="1"/>
  <c r="JE29" i="30" s="1"/>
  <c r="JF29" i="30" s="1"/>
  <c r="JG29" i="30" s="1"/>
  <c r="JH29" i="30" s="1"/>
  <c r="JI29" i="30" s="1"/>
  <c r="JJ29" i="30" s="1"/>
  <c r="JK29" i="30" s="1"/>
  <c r="JL29" i="30" s="1"/>
  <c r="JM29" i="30" s="1"/>
  <c r="JN29" i="30" s="1"/>
  <c r="JO29" i="30" s="1"/>
  <c r="JP29" i="30" s="1"/>
  <c r="JQ29" i="30" s="1"/>
  <c r="JR29" i="30" s="1"/>
  <c r="JS29" i="30" s="1"/>
  <c r="JT29" i="30" s="1"/>
  <c r="JU29" i="30" s="1"/>
  <c r="JV29" i="30" s="1"/>
  <c r="JW29" i="30" s="1"/>
  <c r="JX29" i="30" s="1"/>
  <c r="JY29" i="30" s="1"/>
  <c r="JZ29" i="30" s="1"/>
  <c r="KA29" i="30" s="1"/>
  <c r="KB29" i="30" s="1"/>
  <c r="KC29" i="30" s="1"/>
  <c r="KD29" i="30" s="1"/>
  <c r="KE29" i="30" s="1"/>
  <c r="KF29" i="30" s="1"/>
  <c r="KG29" i="30" s="1"/>
  <c r="KH29" i="30" s="1"/>
  <c r="KI29" i="30" s="1"/>
  <c r="KJ29" i="30" s="1"/>
  <c r="KK29" i="30" s="1"/>
  <c r="KL29" i="30" s="1"/>
  <c r="KM29" i="30" s="1"/>
  <c r="KN29" i="30" s="1"/>
  <c r="KO29" i="30" s="1"/>
  <c r="KP29" i="30" s="1"/>
  <c r="KQ29" i="30" s="1"/>
  <c r="KR29" i="30" s="1"/>
  <c r="KS29" i="30" s="1"/>
  <c r="KT29" i="30" s="1"/>
  <c r="KU29" i="30" s="1"/>
  <c r="KV29" i="30" s="1"/>
  <c r="KW29" i="30" s="1"/>
  <c r="KX29" i="30" s="1"/>
  <c r="KY29" i="30" s="1"/>
  <c r="KZ29" i="30" s="1"/>
  <c r="LA29" i="30" s="1"/>
  <c r="LB29" i="30" s="1"/>
  <c r="LC29" i="30" s="1"/>
  <c r="LD29" i="30" s="1"/>
  <c r="LE29" i="30" s="1"/>
  <c r="LF29" i="30" s="1"/>
  <c r="LG29" i="30" s="1"/>
  <c r="LH29" i="30" s="1"/>
  <c r="LI29" i="30" s="1"/>
  <c r="LJ29" i="30" s="1"/>
  <c r="W30" i="30"/>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CT30" i="30" s="1"/>
  <c r="CU30" i="30" s="1"/>
  <c r="CV30" i="30" s="1"/>
  <c r="CW30" i="30" s="1"/>
  <c r="CX30" i="30" s="1"/>
  <c r="CY30" i="30" s="1"/>
  <c r="CZ30" i="30" s="1"/>
  <c r="DA30" i="30" s="1"/>
  <c r="DB30" i="30" s="1"/>
  <c r="DC30" i="30" s="1"/>
  <c r="DD30" i="30" s="1"/>
  <c r="DE30" i="30" s="1"/>
  <c r="DF30" i="30" s="1"/>
  <c r="DG30" i="30" s="1"/>
  <c r="DH30" i="30" s="1"/>
  <c r="DI30" i="30" s="1"/>
  <c r="DJ30" i="30" s="1"/>
  <c r="DK30" i="30" s="1"/>
  <c r="DL30" i="30" s="1"/>
  <c r="DM30" i="30" s="1"/>
  <c r="DN30" i="30" s="1"/>
  <c r="DO30" i="30" s="1"/>
  <c r="DP30" i="30" s="1"/>
  <c r="DQ30" i="30" s="1"/>
  <c r="DR30" i="30" s="1"/>
  <c r="DS30" i="30" s="1"/>
  <c r="DT30" i="30" s="1"/>
  <c r="DU30" i="30" s="1"/>
  <c r="DV30" i="30" s="1"/>
  <c r="DW30" i="30" s="1"/>
  <c r="DX30" i="30" s="1"/>
  <c r="DY30" i="30" s="1"/>
  <c r="DZ30" i="30" s="1"/>
  <c r="EA30" i="30" s="1"/>
  <c r="EB30" i="30" s="1"/>
  <c r="EC30" i="30" s="1"/>
  <c r="ED30" i="30" s="1"/>
  <c r="EE30" i="30" s="1"/>
  <c r="EF30" i="30" s="1"/>
  <c r="EG30" i="30" s="1"/>
  <c r="EH30" i="30" s="1"/>
  <c r="EI30" i="30" s="1"/>
  <c r="EJ30" i="30" s="1"/>
  <c r="EK30" i="30" s="1"/>
  <c r="EL30" i="30" s="1"/>
  <c r="EM30" i="30" s="1"/>
  <c r="EN30" i="30" s="1"/>
  <c r="EO30" i="30" s="1"/>
  <c r="EP30" i="30" s="1"/>
  <c r="EQ30" i="30" s="1"/>
  <c r="ER30" i="30" s="1"/>
  <c r="ES30" i="30" s="1"/>
  <c r="ET30" i="30" s="1"/>
  <c r="EU30" i="30" s="1"/>
  <c r="EV30" i="30" s="1"/>
  <c r="EW30" i="30" s="1"/>
  <c r="EX30" i="30" s="1"/>
  <c r="EY30" i="30" s="1"/>
  <c r="EZ30" i="30" s="1"/>
  <c r="FA30" i="30" s="1"/>
  <c r="FB30" i="30" s="1"/>
  <c r="FC30" i="30" s="1"/>
  <c r="FD30" i="30" s="1"/>
  <c r="FE30" i="30" s="1"/>
  <c r="FF30" i="30" s="1"/>
  <c r="FG30" i="30" s="1"/>
  <c r="FH30" i="30" s="1"/>
  <c r="FI30" i="30" s="1"/>
  <c r="FJ30" i="30" s="1"/>
  <c r="FK30" i="30" s="1"/>
  <c r="FL30" i="30" s="1"/>
  <c r="FM30" i="30" s="1"/>
  <c r="FN30" i="30" s="1"/>
  <c r="FO30" i="30" s="1"/>
  <c r="FP30" i="30" s="1"/>
  <c r="FQ30" i="30" s="1"/>
  <c r="FR30" i="30" s="1"/>
  <c r="FS30" i="30" s="1"/>
  <c r="FT30" i="30" s="1"/>
  <c r="FU30" i="30" s="1"/>
  <c r="FV30" i="30" s="1"/>
  <c r="FW30" i="30" s="1"/>
  <c r="FX30" i="30" s="1"/>
  <c r="FY30" i="30" s="1"/>
  <c r="FZ30" i="30" s="1"/>
  <c r="GA30" i="30" s="1"/>
  <c r="GB30" i="30" s="1"/>
  <c r="GC30" i="30" s="1"/>
  <c r="GD30" i="30" s="1"/>
  <c r="GE30" i="30" s="1"/>
  <c r="GF30" i="30" s="1"/>
  <c r="GG30" i="30" s="1"/>
  <c r="GH30" i="30" s="1"/>
  <c r="GI30" i="30" s="1"/>
  <c r="GJ30" i="30" s="1"/>
  <c r="GK30" i="30" s="1"/>
  <c r="GL30" i="30" s="1"/>
  <c r="GM30" i="30" s="1"/>
  <c r="GN30" i="30" s="1"/>
  <c r="GO30" i="30" s="1"/>
  <c r="GP30" i="30" s="1"/>
  <c r="GQ30" i="30" s="1"/>
  <c r="GR30" i="30" s="1"/>
  <c r="GS30" i="30" s="1"/>
  <c r="GT30" i="30" s="1"/>
  <c r="GU30" i="30" s="1"/>
  <c r="GV30" i="30" s="1"/>
  <c r="GW30" i="30" s="1"/>
  <c r="GX30" i="30" s="1"/>
  <c r="GY30" i="30" s="1"/>
  <c r="GZ30" i="30" s="1"/>
  <c r="HA30" i="30" s="1"/>
  <c r="HB30" i="30" s="1"/>
  <c r="HC30" i="30" s="1"/>
  <c r="HD30" i="30" s="1"/>
  <c r="HE30" i="30" s="1"/>
  <c r="HF30" i="30" s="1"/>
  <c r="HG30" i="30" s="1"/>
  <c r="HH30" i="30" s="1"/>
  <c r="HI30" i="30" s="1"/>
  <c r="HJ30" i="30" s="1"/>
  <c r="HK30" i="30" s="1"/>
  <c r="HL30" i="30" s="1"/>
  <c r="HM30" i="30" s="1"/>
  <c r="HN30" i="30" s="1"/>
  <c r="HO30" i="30" s="1"/>
  <c r="HP30" i="30" s="1"/>
  <c r="HQ30" i="30" s="1"/>
  <c r="HR30" i="30" s="1"/>
  <c r="HS30" i="30" s="1"/>
  <c r="HT30" i="30" s="1"/>
  <c r="HU30" i="30" s="1"/>
  <c r="HV30" i="30" s="1"/>
  <c r="HW30" i="30" s="1"/>
  <c r="HX30" i="30" s="1"/>
  <c r="HY30" i="30" s="1"/>
  <c r="HZ30" i="30" s="1"/>
  <c r="IA30" i="30" s="1"/>
  <c r="IB30" i="30" s="1"/>
  <c r="IC30" i="30" s="1"/>
  <c r="ID30" i="30" s="1"/>
  <c r="IE30" i="30" s="1"/>
  <c r="IF30" i="30" s="1"/>
  <c r="IG30" i="30" s="1"/>
  <c r="IH30" i="30" s="1"/>
  <c r="II30" i="30" s="1"/>
  <c r="IJ30" i="30" s="1"/>
  <c r="IK30" i="30" s="1"/>
  <c r="IL30" i="30" s="1"/>
  <c r="IM30" i="30" s="1"/>
  <c r="IN30" i="30" s="1"/>
  <c r="IO30" i="30" s="1"/>
  <c r="IP30" i="30" s="1"/>
  <c r="IQ30" i="30" s="1"/>
  <c r="IR30" i="30" s="1"/>
  <c r="IS30" i="30" s="1"/>
  <c r="IT30" i="30" s="1"/>
  <c r="IU30" i="30" s="1"/>
  <c r="IV30" i="30" s="1"/>
  <c r="IW30" i="30" s="1"/>
  <c r="IX30" i="30" s="1"/>
  <c r="IY30" i="30" s="1"/>
  <c r="IZ30" i="30" s="1"/>
  <c r="JA30" i="30" s="1"/>
  <c r="JB30" i="30" s="1"/>
  <c r="JC30" i="30" s="1"/>
  <c r="JD30" i="30" s="1"/>
  <c r="JE30" i="30" s="1"/>
  <c r="JF30" i="30" s="1"/>
  <c r="JG30" i="30" s="1"/>
  <c r="JH30" i="30" s="1"/>
  <c r="JI30" i="30" s="1"/>
  <c r="JJ30" i="30" s="1"/>
  <c r="JK30" i="30" s="1"/>
  <c r="JL30" i="30" s="1"/>
  <c r="JM30" i="30" s="1"/>
  <c r="JN30" i="30" s="1"/>
  <c r="JO30" i="30" s="1"/>
  <c r="JP30" i="30" s="1"/>
  <c r="JQ30" i="30" s="1"/>
  <c r="JR30" i="30" s="1"/>
  <c r="JS30" i="30" s="1"/>
  <c r="JT30" i="30" s="1"/>
  <c r="JU30" i="30" s="1"/>
  <c r="JV30" i="30" s="1"/>
  <c r="JW30" i="30" s="1"/>
  <c r="JX30" i="30" s="1"/>
  <c r="JY30" i="30" s="1"/>
  <c r="JZ30" i="30" s="1"/>
  <c r="KA30" i="30" s="1"/>
  <c r="KB30" i="30" s="1"/>
  <c r="KC30" i="30" s="1"/>
  <c r="KD30" i="30" s="1"/>
  <c r="KE30" i="30" s="1"/>
  <c r="KF30" i="30" s="1"/>
  <c r="KG30" i="30" s="1"/>
  <c r="KH30" i="30" s="1"/>
  <c r="KI30" i="30" s="1"/>
  <c r="KJ30" i="30" s="1"/>
  <c r="KK30" i="30" s="1"/>
  <c r="KL30" i="30" s="1"/>
  <c r="KM30" i="30" s="1"/>
  <c r="KN30" i="30" s="1"/>
  <c r="KO30" i="30" s="1"/>
  <c r="KP30" i="30" s="1"/>
  <c r="KQ30" i="30" s="1"/>
  <c r="KR30" i="30" s="1"/>
  <c r="KS30" i="30" s="1"/>
  <c r="KT30" i="30" s="1"/>
  <c r="KU30" i="30" s="1"/>
  <c r="KV30" i="30" s="1"/>
  <c r="KW30" i="30" s="1"/>
  <c r="KX30" i="30" s="1"/>
  <c r="KY30" i="30" s="1"/>
  <c r="KZ30" i="30" s="1"/>
  <c r="LA30" i="30" s="1"/>
  <c r="LB30" i="30" s="1"/>
  <c r="LC30" i="30" s="1"/>
  <c r="LD30" i="30" s="1"/>
  <c r="LE30" i="30" s="1"/>
  <c r="LF30" i="30" s="1"/>
  <c r="LG30" i="30" s="1"/>
  <c r="LH30" i="30" s="1"/>
  <c r="LI30" i="30" s="1"/>
  <c r="LJ30" i="30" s="1"/>
  <c r="W31" i="30"/>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CT31" i="30" s="1"/>
  <c r="CU31" i="30" s="1"/>
  <c r="CV31" i="30" s="1"/>
  <c r="CW31" i="30" s="1"/>
  <c r="CX31" i="30" s="1"/>
  <c r="CY31" i="30" s="1"/>
  <c r="CZ31" i="30" s="1"/>
  <c r="DA31" i="30" s="1"/>
  <c r="DB31" i="30" s="1"/>
  <c r="DC31" i="30" s="1"/>
  <c r="DD31" i="30" s="1"/>
  <c r="DE31" i="30" s="1"/>
  <c r="DF31" i="30" s="1"/>
  <c r="DG31" i="30" s="1"/>
  <c r="DH31" i="30" s="1"/>
  <c r="DI31" i="30" s="1"/>
  <c r="DJ31" i="30" s="1"/>
  <c r="DK31" i="30" s="1"/>
  <c r="DL31" i="30" s="1"/>
  <c r="DM31" i="30" s="1"/>
  <c r="DN31" i="30" s="1"/>
  <c r="DO31" i="30" s="1"/>
  <c r="DP31" i="30" s="1"/>
  <c r="DQ31" i="30" s="1"/>
  <c r="DR31" i="30" s="1"/>
  <c r="DS31" i="30" s="1"/>
  <c r="DT31" i="30" s="1"/>
  <c r="DU31" i="30" s="1"/>
  <c r="DV31" i="30" s="1"/>
  <c r="DW31" i="30" s="1"/>
  <c r="DX31" i="30" s="1"/>
  <c r="DY31" i="30" s="1"/>
  <c r="DZ31" i="30" s="1"/>
  <c r="EA31" i="30" s="1"/>
  <c r="EB31" i="30" s="1"/>
  <c r="EC31" i="30" s="1"/>
  <c r="ED31" i="30" s="1"/>
  <c r="EE31" i="30" s="1"/>
  <c r="EF31" i="30" s="1"/>
  <c r="EG31" i="30" s="1"/>
  <c r="EH31" i="30" s="1"/>
  <c r="EI31" i="30" s="1"/>
  <c r="EJ31" i="30" s="1"/>
  <c r="EK31" i="30" s="1"/>
  <c r="EL31" i="30" s="1"/>
  <c r="EM31" i="30" s="1"/>
  <c r="EN31" i="30" s="1"/>
  <c r="EO31" i="30" s="1"/>
  <c r="EP31" i="30" s="1"/>
  <c r="EQ31" i="30" s="1"/>
  <c r="ER31" i="30" s="1"/>
  <c r="ES31" i="30" s="1"/>
  <c r="ET31" i="30" s="1"/>
  <c r="EU31" i="30" s="1"/>
  <c r="EV31" i="30" s="1"/>
  <c r="EW31" i="30" s="1"/>
  <c r="EX31" i="30" s="1"/>
  <c r="EY31" i="30" s="1"/>
  <c r="EZ31" i="30" s="1"/>
  <c r="FA31" i="30" s="1"/>
  <c r="FB31" i="30" s="1"/>
  <c r="FC31" i="30" s="1"/>
  <c r="FD31" i="30" s="1"/>
  <c r="FE31" i="30" s="1"/>
  <c r="FF31" i="30" s="1"/>
  <c r="FG31" i="30" s="1"/>
  <c r="FH31" i="30" s="1"/>
  <c r="FI31" i="30" s="1"/>
  <c r="FJ31" i="30" s="1"/>
  <c r="FK31" i="30" s="1"/>
  <c r="FL31" i="30" s="1"/>
  <c r="FM31" i="30" s="1"/>
  <c r="FN31" i="30" s="1"/>
  <c r="FO31" i="30" s="1"/>
  <c r="FP31" i="30" s="1"/>
  <c r="FQ31" i="30" s="1"/>
  <c r="FR31" i="30" s="1"/>
  <c r="FS31" i="30" s="1"/>
  <c r="FT31" i="30" s="1"/>
  <c r="FU31" i="30" s="1"/>
  <c r="FV31" i="30" s="1"/>
  <c r="FW31" i="30" s="1"/>
  <c r="FX31" i="30" s="1"/>
  <c r="FY31" i="30" s="1"/>
  <c r="FZ31" i="30" s="1"/>
  <c r="GA31" i="30" s="1"/>
  <c r="GB31" i="30" s="1"/>
  <c r="GC31" i="30" s="1"/>
  <c r="GD31" i="30" s="1"/>
  <c r="GE31" i="30" s="1"/>
  <c r="GF31" i="30" s="1"/>
  <c r="GG31" i="30" s="1"/>
  <c r="GH31" i="30" s="1"/>
  <c r="GI31" i="30" s="1"/>
  <c r="GJ31" i="30" s="1"/>
  <c r="GK31" i="30" s="1"/>
  <c r="GL31" i="30" s="1"/>
  <c r="GM31" i="30" s="1"/>
  <c r="GN31" i="30" s="1"/>
  <c r="GO31" i="30" s="1"/>
  <c r="GP31" i="30" s="1"/>
  <c r="GQ31" i="30" s="1"/>
  <c r="GR31" i="30" s="1"/>
  <c r="GS31" i="30" s="1"/>
  <c r="GT31" i="30" s="1"/>
  <c r="GU31" i="30" s="1"/>
  <c r="GV31" i="30" s="1"/>
  <c r="GW31" i="30" s="1"/>
  <c r="GX31" i="30" s="1"/>
  <c r="GY31" i="30" s="1"/>
  <c r="GZ31" i="30" s="1"/>
  <c r="HA31" i="30" s="1"/>
  <c r="HB31" i="30" s="1"/>
  <c r="HC31" i="30" s="1"/>
  <c r="HD31" i="30" s="1"/>
  <c r="HE31" i="30" s="1"/>
  <c r="HF31" i="30" s="1"/>
  <c r="HG31" i="30" s="1"/>
  <c r="HH31" i="30" s="1"/>
  <c r="HI31" i="30" s="1"/>
  <c r="HJ31" i="30" s="1"/>
  <c r="HK31" i="30" s="1"/>
  <c r="HL31" i="30" s="1"/>
  <c r="HM31" i="30" s="1"/>
  <c r="HN31" i="30" s="1"/>
  <c r="HO31" i="30" s="1"/>
  <c r="HP31" i="30" s="1"/>
  <c r="HQ31" i="30" s="1"/>
  <c r="HR31" i="30" s="1"/>
  <c r="HS31" i="30" s="1"/>
  <c r="HT31" i="30" s="1"/>
  <c r="HU31" i="30" s="1"/>
  <c r="HV31" i="30" s="1"/>
  <c r="HW31" i="30" s="1"/>
  <c r="HX31" i="30" s="1"/>
  <c r="HY31" i="30" s="1"/>
  <c r="HZ31" i="30" s="1"/>
  <c r="IA31" i="30" s="1"/>
  <c r="IB31" i="30" s="1"/>
  <c r="IC31" i="30" s="1"/>
  <c r="ID31" i="30" s="1"/>
  <c r="IE31" i="30" s="1"/>
  <c r="IF31" i="30" s="1"/>
  <c r="IG31" i="30" s="1"/>
  <c r="IH31" i="30" s="1"/>
  <c r="II31" i="30" s="1"/>
  <c r="IJ31" i="30" s="1"/>
  <c r="IK31" i="30" s="1"/>
  <c r="IL31" i="30" s="1"/>
  <c r="IM31" i="30" s="1"/>
  <c r="IN31" i="30" s="1"/>
  <c r="IO31" i="30" s="1"/>
  <c r="IP31" i="30" s="1"/>
  <c r="IQ31" i="30" s="1"/>
  <c r="IR31" i="30" s="1"/>
  <c r="IS31" i="30" s="1"/>
  <c r="IT31" i="30" s="1"/>
  <c r="IU31" i="30" s="1"/>
  <c r="IV31" i="30" s="1"/>
  <c r="IW31" i="30" s="1"/>
  <c r="IX31" i="30" s="1"/>
  <c r="IY31" i="30" s="1"/>
  <c r="IZ31" i="30" s="1"/>
  <c r="JA31" i="30" s="1"/>
  <c r="JB31" i="30" s="1"/>
  <c r="JC31" i="30" s="1"/>
  <c r="JD31" i="30" s="1"/>
  <c r="JE31" i="30" s="1"/>
  <c r="JF31" i="30" s="1"/>
  <c r="JG31" i="30" s="1"/>
  <c r="JH31" i="30" s="1"/>
  <c r="JI31" i="30" s="1"/>
  <c r="JJ31" i="30" s="1"/>
  <c r="JK31" i="30" s="1"/>
  <c r="JL31" i="30" s="1"/>
  <c r="JM31" i="30" s="1"/>
  <c r="JN31" i="30" s="1"/>
  <c r="JO31" i="30" s="1"/>
  <c r="JP31" i="30" s="1"/>
  <c r="JQ31" i="30" s="1"/>
  <c r="JR31" i="30" s="1"/>
  <c r="JS31" i="30" s="1"/>
  <c r="JT31" i="30" s="1"/>
  <c r="JU31" i="30" s="1"/>
  <c r="JV31" i="30" s="1"/>
  <c r="JW31" i="30" s="1"/>
  <c r="JX31" i="30" s="1"/>
  <c r="JY31" i="30" s="1"/>
  <c r="JZ31" i="30" s="1"/>
  <c r="KA31" i="30" s="1"/>
  <c r="KB31" i="30" s="1"/>
  <c r="KC31" i="30" s="1"/>
  <c r="KD31" i="30" s="1"/>
  <c r="KE31" i="30" s="1"/>
  <c r="KF31" i="30" s="1"/>
  <c r="KG31" i="30" s="1"/>
  <c r="KH31" i="30" s="1"/>
  <c r="KI31" i="30" s="1"/>
  <c r="KJ31" i="30" s="1"/>
  <c r="KK31" i="30" s="1"/>
  <c r="KL31" i="30" s="1"/>
  <c r="KM31" i="30" s="1"/>
  <c r="KN31" i="30" s="1"/>
  <c r="KO31" i="30" s="1"/>
  <c r="KP31" i="30" s="1"/>
  <c r="KQ31" i="30" s="1"/>
  <c r="KR31" i="30" s="1"/>
  <c r="KS31" i="30" s="1"/>
  <c r="KT31" i="30" s="1"/>
  <c r="KU31" i="30" s="1"/>
  <c r="KV31" i="30" s="1"/>
  <c r="KW31" i="30" s="1"/>
  <c r="KX31" i="30" s="1"/>
  <c r="KY31" i="30" s="1"/>
  <c r="KZ31" i="30" s="1"/>
  <c r="LA31" i="30" s="1"/>
  <c r="LB31" i="30" s="1"/>
  <c r="LC31" i="30" s="1"/>
  <c r="LD31" i="30" s="1"/>
  <c r="LE31" i="30" s="1"/>
  <c r="LF31" i="30" s="1"/>
  <c r="LG31" i="30" s="1"/>
  <c r="LH31" i="30" s="1"/>
  <c r="LI31" i="30" s="1"/>
  <c r="LJ31" i="30" s="1"/>
  <c r="W32" i="30"/>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CT32" i="30" s="1"/>
  <c r="CU32" i="30" s="1"/>
  <c r="CV32" i="30" s="1"/>
  <c r="CW32" i="30" s="1"/>
  <c r="CX32" i="30" s="1"/>
  <c r="CY32" i="30" s="1"/>
  <c r="CZ32" i="30" s="1"/>
  <c r="DA32" i="30" s="1"/>
  <c r="DB32" i="30" s="1"/>
  <c r="DC32" i="30" s="1"/>
  <c r="DD32" i="30" s="1"/>
  <c r="DE32" i="30" s="1"/>
  <c r="DF32" i="30" s="1"/>
  <c r="DG32" i="30" s="1"/>
  <c r="DH32" i="30" s="1"/>
  <c r="DI32" i="30" s="1"/>
  <c r="DJ32" i="30" s="1"/>
  <c r="DK32" i="30" s="1"/>
  <c r="DL32" i="30" s="1"/>
  <c r="DM32" i="30" s="1"/>
  <c r="DN32" i="30" s="1"/>
  <c r="DO32" i="30" s="1"/>
  <c r="DP32" i="30" s="1"/>
  <c r="DQ32" i="30" s="1"/>
  <c r="DR32" i="30" s="1"/>
  <c r="DS32" i="30" s="1"/>
  <c r="DT32" i="30" s="1"/>
  <c r="DU32" i="30" s="1"/>
  <c r="DV32" i="30" s="1"/>
  <c r="DW32" i="30" s="1"/>
  <c r="DX32" i="30" s="1"/>
  <c r="DY32" i="30" s="1"/>
  <c r="DZ32" i="30" s="1"/>
  <c r="EA32" i="30" s="1"/>
  <c r="EB32" i="30" s="1"/>
  <c r="EC32" i="30" s="1"/>
  <c r="ED32" i="30" s="1"/>
  <c r="EE32" i="30" s="1"/>
  <c r="EF32" i="30" s="1"/>
  <c r="EG32" i="30" s="1"/>
  <c r="EH32" i="30" s="1"/>
  <c r="EI32" i="30" s="1"/>
  <c r="EJ32" i="30" s="1"/>
  <c r="EK32" i="30" s="1"/>
  <c r="EL32" i="30" s="1"/>
  <c r="EM32" i="30" s="1"/>
  <c r="EN32" i="30" s="1"/>
  <c r="EO32" i="30" s="1"/>
  <c r="EP32" i="30" s="1"/>
  <c r="EQ32" i="30" s="1"/>
  <c r="ER32" i="30" s="1"/>
  <c r="ES32" i="30" s="1"/>
  <c r="ET32" i="30" s="1"/>
  <c r="EU32" i="30" s="1"/>
  <c r="EV32" i="30" s="1"/>
  <c r="EW32" i="30" s="1"/>
  <c r="EX32" i="30" s="1"/>
  <c r="EY32" i="30" s="1"/>
  <c r="EZ32" i="30" s="1"/>
  <c r="FA32" i="30" s="1"/>
  <c r="FB32" i="30" s="1"/>
  <c r="FC32" i="30" s="1"/>
  <c r="FD32" i="30" s="1"/>
  <c r="FE32" i="30" s="1"/>
  <c r="FF32" i="30" s="1"/>
  <c r="FG32" i="30" s="1"/>
  <c r="FH32" i="30" s="1"/>
  <c r="FI32" i="30" s="1"/>
  <c r="FJ32" i="30" s="1"/>
  <c r="FK32" i="30" s="1"/>
  <c r="FL32" i="30" s="1"/>
  <c r="FM32" i="30" s="1"/>
  <c r="FN32" i="30" s="1"/>
  <c r="FO32" i="30" s="1"/>
  <c r="FP32" i="30" s="1"/>
  <c r="FQ32" i="30" s="1"/>
  <c r="FR32" i="30" s="1"/>
  <c r="FS32" i="30" s="1"/>
  <c r="FT32" i="30" s="1"/>
  <c r="FU32" i="30" s="1"/>
  <c r="FV32" i="30" s="1"/>
  <c r="FW32" i="30" s="1"/>
  <c r="FX32" i="30" s="1"/>
  <c r="FY32" i="30" s="1"/>
  <c r="FZ32" i="30" s="1"/>
  <c r="GA32" i="30" s="1"/>
  <c r="GB32" i="30" s="1"/>
  <c r="GC32" i="30" s="1"/>
  <c r="GD32" i="30" s="1"/>
  <c r="GE32" i="30" s="1"/>
  <c r="GF32" i="30" s="1"/>
  <c r="GG32" i="30" s="1"/>
  <c r="GH32" i="30" s="1"/>
  <c r="GI32" i="30" s="1"/>
  <c r="GJ32" i="30" s="1"/>
  <c r="GK32" i="30" s="1"/>
  <c r="GL32" i="30" s="1"/>
  <c r="GM32" i="30" s="1"/>
  <c r="GN32" i="30" s="1"/>
  <c r="GO32" i="30" s="1"/>
  <c r="GP32" i="30" s="1"/>
  <c r="GQ32" i="30" s="1"/>
  <c r="GR32" i="30" s="1"/>
  <c r="GS32" i="30" s="1"/>
  <c r="GT32" i="30" s="1"/>
  <c r="GU32" i="30" s="1"/>
  <c r="GV32" i="30" s="1"/>
  <c r="GW32" i="30" s="1"/>
  <c r="GX32" i="30" s="1"/>
  <c r="GY32" i="30" s="1"/>
  <c r="GZ32" i="30" s="1"/>
  <c r="HA32" i="30" s="1"/>
  <c r="HB32" i="30" s="1"/>
  <c r="HC32" i="30" s="1"/>
  <c r="HD32" i="30" s="1"/>
  <c r="HE32" i="30" s="1"/>
  <c r="HF32" i="30" s="1"/>
  <c r="HG32" i="30" s="1"/>
  <c r="HH32" i="30" s="1"/>
  <c r="HI32" i="30" s="1"/>
  <c r="HJ32" i="30" s="1"/>
  <c r="HK32" i="30" s="1"/>
  <c r="HL32" i="30" s="1"/>
  <c r="HM32" i="30" s="1"/>
  <c r="HN32" i="30" s="1"/>
  <c r="HO32" i="30" s="1"/>
  <c r="HP32" i="30" s="1"/>
  <c r="HQ32" i="30" s="1"/>
  <c r="HR32" i="30" s="1"/>
  <c r="HS32" i="30" s="1"/>
  <c r="HT32" i="30" s="1"/>
  <c r="HU32" i="30" s="1"/>
  <c r="HV32" i="30" s="1"/>
  <c r="HW32" i="30" s="1"/>
  <c r="HX32" i="30" s="1"/>
  <c r="HY32" i="30" s="1"/>
  <c r="HZ32" i="30" s="1"/>
  <c r="IA32" i="30" s="1"/>
  <c r="IB32" i="30" s="1"/>
  <c r="IC32" i="30" s="1"/>
  <c r="ID32" i="30" s="1"/>
  <c r="IE32" i="30" s="1"/>
  <c r="IF32" i="30" s="1"/>
  <c r="IG32" i="30" s="1"/>
  <c r="IH32" i="30" s="1"/>
  <c r="II32" i="30" s="1"/>
  <c r="IJ32" i="30" s="1"/>
  <c r="IK32" i="30" s="1"/>
  <c r="IL32" i="30" s="1"/>
  <c r="IM32" i="30" s="1"/>
  <c r="IN32" i="30" s="1"/>
  <c r="IO32" i="30" s="1"/>
  <c r="IP32" i="30" s="1"/>
  <c r="IQ32" i="30" s="1"/>
  <c r="IR32" i="30" s="1"/>
  <c r="IS32" i="30" s="1"/>
  <c r="IT32" i="30" s="1"/>
  <c r="IU32" i="30" s="1"/>
  <c r="IV32" i="30" s="1"/>
  <c r="IW32" i="30" s="1"/>
  <c r="IX32" i="30" s="1"/>
  <c r="IY32" i="30" s="1"/>
  <c r="IZ32" i="30" s="1"/>
  <c r="JA32" i="30" s="1"/>
  <c r="JB32" i="30" s="1"/>
  <c r="JC32" i="30" s="1"/>
  <c r="JD32" i="30" s="1"/>
  <c r="JE32" i="30" s="1"/>
  <c r="JF32" i="30" s="1"/>
  <c r="JG32" i="30" s="1"/>
  <c r="JH32" i="30" s="1"/>
  <c r="JI32" i="30" s="1"/>
  <c r="JJ32" i="30" s="1"/>
  <c r="JK32" i="30" s="1"/>
  <c r="JL32" i="30" s="1"/>
  <c r="JM32" i="30" s="1"/>
  <c r="JN32" i="30" s="1"/>
  <c r="JO32" i="30" s="1"/>
  <c r="JP32" i="30" s="1"/>
  <c r="JQ32" i="30" s="1"/>
  <c r="JR32" i="30" s="1"/>
  <c r="JS32" i="30" s="1"/>
  <c r="JT32" i="30" s="1"/>
  <c r="JU32" i="30" s="1"/>
  <c r="JV32" i="30" s="1"/>
  <c r="JW32" i="30" s="1"/>
  <c r="JX32" i="30" s="1"/>
  <c r="JY32" i="30" s="1"/>
  <c r="JZ32" i="30" s="1"/>
  <c r="KA32" i="30" s="1"/>
  <c r="KB32" i="30" s="1"/>
  <c r="KC32" i="30" s="1"/>
  <c r="KD32" i="30" s="1"/>
  <c r="KE32" i="30" s="1"/>
  <c r="KF32" i="30" s="1"/>
  <c r="KG32" i="30" s="1"/>
  <c r="KH32" i="30" s="1"/>
  <c r="KI32" i="30" s="1"/>
  <c r="KJ32" i="30" s="1"/>
  <c r="KK32" i="30" s="1"/>
  <c r="KL32" i="30" s="1"/>
  <c r="KM32" i="30" s="1"/>
  <c r="KN32" i="30" s="1"/>
  <c r="KO32" i="30" s="1"/>
  <c r="KP32" i="30" s="1"/>
  <c r="KQ32" i="30" s="1"/>
  <c r="KR32" i="30" s="1"/>
  <c r="KS32" i="30" s="1"/>
  <c r="KT32" i="30" s="1"/>
  <c r="KU32" i="30" s="1"/>
  <c r="KV32" i="30" s="1"/>
  <c r="KW32" i="30" s="1"/>
  <c r="KX32" i="30" s="1"/>
  <c r="KY32" i="30" s="1"/>
  <c r="KZ32" i="30" s="1"/>
  <c r="LA32" i="30" s="1"/>
  <c r="LB32" i="30" s="1"/>
  <c r="LC32" i="30" s="1"/>
  <c r="LD32" i="30" s="1"/>
  <c r="LE32" i="30" s="1"/>
  <c r="LF32" i="30" s="1"/>
  <c r="LG32" i="30" s="1"/>
  <c r="LH32" i="30" s="1"/>
  <c r="LI32" i="30" s="1"/>
  <c r="LJ32" i="30" s="1"/>
  <c r="W33" i="30"/>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CT33" i="30" s="1"/>
  <c r="CU33" i="30" s="1"/>
  <c r="CV33" i="30" s="1"/>
  <c r="CW33" i="30" s="1"/>
  <c r="CX33" i="30" s="1"/>
  <c r="CY33" i="30" s="1"/>
  <c r="CZ33" i="30" s="1"/>
  <c r="DA33" i="30" s="1"/>
  <c r="DB33" i="30" s="1"/>
  <c r="DC33" i="30" s="1"/>
  <c r="DD33" i="30" s="1"/>
  <c r="DE33" i="30" s="1"/>
  <c r="DF33" i="30" s="1"/>
  <c r="DG33" i="30" s="1"/>
  <c r="DH33" i="30" s="1"/>
  <c r="DI33" i="30" s="1"/>
  <c r="DJ33" i="30" s="1"/>
  <c r="DK33" i="30" s="1"/>
  <c r="DL33" i="30" s="1"/>
  <c r="DM33" i="30" s="1"/>
  <c r="DN33" i="30" s="1"/>
  <c r="DO33" i="30" s="1"/>
  <c r="DP33" i="30" s="1"/>
  <c r="DQ33" i="30" s="1"/>
  <c r="DR33" i="30" s="1"/>
  <c r="DS33" i="30" s="1"/>
  <c r="DT33" i="30" s="1"/>
  <c r="DU33" i="30" s="1"/>
  <c r="DV33" i="30" s="1"/>
  <c r="DW33" i="30" s="1"/>
  <c r="DX33" i="30" s="1"/>
  <c r="DY33" i="30" s="1"/>
  <c r="DZ33" i="30" s="1"/>
  <c r="EA33" i="30" s="1"/>
  <c r="EB33" i="30" s="1"/>
  <c r="EC33" i="30" s="1"/>
  <c r="ED33" i="30" s="1"/>
  <c r="EE33" i="30" s="1"/>
  <c r="EF33" i="30" s="1"/>
  <c r="EG33" i="30" s="1"/>
  <c r="EH33" i="30" s="1"/>
  <c r="EI33" i="30" s="1"/>
  <c r="EJ33" i="30" s="1"/>
  <c r="EK33" i="30" s="1"/>
  <c r="EL33" i="30" s="1"/>
  <c r="EM33" i="30" s="1"/>
  <c r="EN33" i="30" s="1"/>
  <c r="EO33" i="30" s="1"/>
  <c r="EP33" i="30" s="1"/>
  <c r="EQ33" i="30" s="1"/>
  <c r="ER33" i="30" s="1"/>
  <c r="ES33" i="30" s="1"/>
  <c r="ET33" i="30" s="1"/>
  <c r="EU33" i="30" s="1"/>
  <c r="EV33" i="30" s="1"/>
  <c r="EW33" i="30" s="1"/>
  <c r="EX33" i="30" s="1"/>
  <c r="EY33" i="30" s="1"/>
  <c r="EZ33" i="30" s="1"/>
  <c r="FA33" i="30" s="1"/>
  <c r="FB33" i="30" s="1"/>
  <c r="FC33" i="30" s="1"/>
  <c r="FD33" i="30" s="1"/>
  <c r="FE33" i="30" s="1"/>
  <c r="FF33" i="30" s="1"/>
  <c r="FG33" i="30" s="1"/>
  <c r="FH33" i="30" s="1"/>
  <c r="FI33" i="30" s="1"/>
  <c r="FJ33" i="30" s="1"/>
  <c r="FK33" i="30" s="1"/>
  <c r="FL33" i="30" s="1"/>
  <c r="FM33" i="30" s="1"/>
  <c r="FN33" i="30" s="1"/>
  <c r="FO33" i="30" s="1"/>
  <c r="FP33" i="30" s="1"/>
  <c r="FQ33" i="30" s="1"/>
  <c r="FR33" i="30" s="1"/>
  <c r="FS33" i="30" s="1"/>
  <c r="FT33" i="30" s="1"/>
  <c r="FU33" i="30" s="1"/>
  <c r="FV33" i="30" s="1"/>
  <c r="FW33" i="30" s="1"/>
  <c r="FX33" i="30" s="1"/>
  <c r="FY33" i="30" s="1"/>
  <c r="FZ33" i="30" s="1"/>
  <c r="GA33" i="30" s="1"/>
  <c r="GB33" i="30" s="1"/>
  <c r="GC33" i="30" s="1"/>
  <c r="GD33" i="30" s="1"/>
  <c r="GE33" i="30" s="1"/>
  <c r="GF33" i="30" s="1"/>
  <c r="GG33" i="30" s="1"/>
  <c r="GH33" i="30" s="1"/>
  <c r="GI33" i="30" s="1"/>
  <c r="GJ33" i="30" s="1"/>
  <c r="GK33" i="30" s="1"/>
  <c r="GL33" i="30" s="1"/>
  <c r="GM33" i="30" s="1"/>
  <c r="GN33" i="30" s="1"/>
  <c r="GO33" i="30" s="1"/>
  <c r="GP33" i="30" s="1"/>
  <c r="GQ33" i="30" s="1"/>
  <c r="GR33" i="30" s="1"/>
  <c r="GS33" i="30" s="1"/>
  <c r="GT33" i="30" s="1"/>
  <c r="GU33" i="30" s="1"/>
  <c r="GV33" i="30" s="1"/>
  <c r="GW33" i="30" s="1"/>
  <c r="GX33" i="30" s="1"/>
  <c r="GY33" i="30" s="1"/>
  <c r="GZ33" i="30" s="1"/>
  <c r="HA33" i="30" s="1"/>
  <c r="HB33" i="30" s="1"/>
  <c r="HC33" i="30" s="1"/>
  <c r="HD33" i="30" s="1"/>
  <c r="HE33" i="30" s="1"/>
  <c r="HF33" i="30" s="1"/>
  <c r="HG33" i="30" s="1"/>
  <c r="HH33" i="30" s="1"/>
  <c r="HI33" i="30" s="1"/>
  <c r="HJ33" i="30" s="1"/>
  <c r="HK33" i="30" s="1"/>
  <c r="HL33" i="30" s="1"/>
  <c r="HM33" i="30" s="1"/>
  <c r="HN33" i="30" s="1"/>
  <c r="HO33" i="30" s="1"/>
  <c r="HP33" i="30" s="1"/>
  <c r="HQ33" i="30" s="1"/>
  <c r="HR33" i="30" s="1"/>
  <c r="HS33" i="30" s="1"/>
  <c r="HT33" i="30" s="1"/>
  <c r="HU33" i="30" s="1"/>
  <c r="HV33" i="30" s="1"/>
  <c r="HW33" i="30" s="1"/>
  <c r="HX33" i="30" s="1"/>
  <c r="HY33" i="30" s="1"/>
  <c r="HZ33" i="30" s="1"/>
  <c r="IA33" i="30" s="1"/>
  <c r="IB33" i="30" s="1"/>
  <c r="IC33" i="30" s="1"/>
  <c r="ID33" i="30" s="1"/>
  <c r="IE33" i="30" s="1"/>
  <c r="IF33" i="30" s="1"/>
  <c r="IG33" i="30" s="1"/>
  <c r="IH33" i="30" s="1"/>
  <c r="II33" i="30" s="1"/>
  <c r="IJ33" i="30" s="1"/>
  <c r="IK33" i="30" s="1"/>
  <c r="IL33" i="30" s="1"/>
  <c r="IM33" i="30" s="1"/>
  <c r="IN33" i="30" s="1"/>
  <c r="IO33" i="30" s="1"/>
  <c r="IP33" i="30" s="1"/>
  <c r="IQ33" i="30" s="1"/>
  <c r="IR33" i="30" s="1"/>
  <c r="IS33" i="30" s="1"/>
  <c r="IT33" i="30" s="1"/>
  <c r="IU33" i="30" s="1"/>
  <c r="IV33" i="30" s="1"/>
  <c r="IW33" i="30" s="1"/>
  <c r="IX33" i="30" s="1"/>
  <c r="IY33" i="30" s="1"/>
  <c r="IZ33" i="30" s="1"/>
  <c r="JA33" i="30" s="1"/>
  <c r="JB33" i="30" s="1"/>
  <c r="JC33" i="30" s="1"/>
  <c r="JD33" i="30" s="1"/>
  <c r="JE33" i="30" s="1"/>
  <c r="JF33" i="30" s="1"/>
  <c r="JG33" i="30" s="1"/>
  <c r="JH33" i="30" s="1"/>
  <c r="JI33" i="30" s="1"/>
  <c r="JJ33" i="30" s="1"/>
  <c r="JK33" i="30" s="1"/>
  <c r="JL33" i="30" s="1"/>
  <c r="JM33" i="30" s="1"/>
  <c r="JN33" i="30" s="1"/>
  <c r="JO33" i="30" s="1"/>
  <c r="JP33" i="30" s="1"/>
  <c r="JQ33" i="30" s="1"/>
  <c r="JR33" i="30" s="1"/>
  <c r="JS33" i="30" s="1"/>
  <c r="JT33" i="30" s="1"/>
  <c r="JU33" i="30" s="1"/>
  <c r="JV33" i="30" s="1"/>
  <c r="JW33" i="30" s="1"/>
  <c r="JX33" i="30" s="1"/>
  <c r="JY33" i="30" s="1"/>
  <c r="JZ33" i="30" s="1"/>
  <c r="KA33" i="30" s="1"/>
  <c r="KB33" i="30" s="1"/>
  <c r="KC33" i="30" s="1"/>
  <c r="KD33" i="30" s="1"/>
  <c r="KE33" i="30" s="1"/>
  <c r="KF33" i="30" s="1"/>
  <c r="KG33" i="30" s="1"/>
  <c r="KH33" i="30" s="1"/>
  <c r="KI33" i="30" s="1"/>
  <c r="KJ33" i="30" s="1"/>
  <c r="KK33" i="30" s="1"/>
  <c r="KL33" i="30" s="1"/>
  <c r="KM33" i="30" s="1"/>
  <c r="KN33" i="30" s="1"/>
  <c r="KO33" i="30" s="1"/>
  <c r="KP33" i="30" s="1"/>
  <c r="KQ33" i="30" s="1"/>
  <c r="KR33" i="30" s="1"/>
  <c r="KS33" i="30" s="1"/>
  <c r="KT33" i="30" s="1"/>
  <c r="KU33" i="30" s="1"/>
  <c r="KV33" i="30" s="1"/>
  <c r="KW33" i="30" s="1"/>
  <c r="KX33" i="30" s="1"/>
  <c r="KY33" i="30" s="1"/>
  <c r="KZ33" i="30" s="1"/>
  <c r="LA33" i="30" s="1"/>
  <c r="LB33" i="30" s="1"/>
  <c r="LC33" i="30" s="1"/>
  <c r="LD33" i="30" s="1"/>
  <c r="LE33" i="30" s="1"/>
  <c r="LF33" i="30" s="1"/>
  <c r="LG33" i="30" s="1"/>
  <c r="LH33" i="30" s="1"/>
  <c r="LI33" i="30" s="1"/>
  <c r="LJ33" i="30" s="1"/>
  <c r="W34" i="30"/>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CT34" i="30" s="1"/>
  <c r="CU34" i="30" s="1"/>
  <c r="CV34" i="30" s="1"/>
  <c r="CW34" i="30" s="1"/>
  <c r="CX34" i="30" s="1"/>
  <c r="CY34" i="30" s="1"/>
  <c r="CZ34" i="30" s="1"/>
  <c r="DA34" i="30" s="1"/>
  <c r="DB34" i="30" s="1"/>
  <c r="DC34" i="30" s="1"/>
  <c r="DD34" i="30" s="1"/>
  <c r="DE34" i="30" s="1"/>
  <c r="DF34" i="30" s="1"/>
  <c r="DG34" i="30" s="1"/>
  <c r="DH34" i="30" s="1"/>
  <c r="DI34" i="30" s="1"/>
  <c r="DJ34" i="30" s="1"/>
  <c r="DK34" i="30" s="1"/>
  <c r="DL34" i="30" s="1"/>
  <c r="DM34" i="30" s="1"/>
  <c r="DN34" i="30" s="1"/>
  <c r="DO34" i="30" s="1"/>
  <c r="DP34" i="30" s="1"/>
  <c r="DQ34" i="30" s="1"/>
  <c r="DR34" i="30" s="1"/>
  <c r="DS34" i="30" s="1"/>
  <c r="DT34" i="30" s="1"/>
  <c r="DU34" i="30" s="1"/>
  <c r="DV34" i="30" s="1"/>
  <c r="DW34" i="30" s="1"/>
  <c r="DX34" i="30" s="1"/>
  <c r="DY34" i="30" s="1"/>
  <c r="DZ34" i="30" s="1"/>
  <c r="EA34" i="30" s="1"/>
  <c r="EB34" i="30" s="1"/>
  <c r="EC34" i="30" s="1"/>
  <c r="ED34" i="30" s="1"/>
  <c r="EE34" i="30" s="1"/>
  <c r="EF34" i="30" s="1"/>
  <c r="EG34" i="30" s="1"/>
  <c r="EH34" i="30" s="1"/>
  <c r="EI34" i="30" s="1"/>
  <c r="EJ34" i="30" s="1"/>
  <c r="EK34" i="30" s="1"/>
  <c r="EL34" i="30" s="1"/>
  <c r="EM34" i="30" s="1"/>
  <c r="EN34" i="30" s="1"/>
  <c r="EO34" i="30" s="1"/>
  <c r="EP34" i="30" s="1"/>
  <c r="EQ34" i="30" s="1"/>
  <c r="ER34" i="30" s="1"/>
  <c r="ES34" i="30" s="1"/>
  <c r="ET34" i="30" s="1"/>
  <c r="EU34" i="30" s="1"/>
  <c r="EV34" i="30" s="1"/>
  <c r="EW34" i="30" s="1"/>
  <c r="EX34" i="30" s="1"/>
  <c r="EY34" i="30" s="1"/>
  <c r="EZ34" i="30" s="1"/>
  <c r="FA34" i="30" s="1"/>
  <c r="FB34" i="30" s="1"/>
  <c r="FC34" i="30" s="1"/>
  <c r="FD34" i="30" s="1"/>
  <c r="FE34" i="30" s="1"/>
  <c r="FF34" i="30" s="1"/>
  <c r="FG34" i="30" s="1"/>
  <c r="FH34" i="30" s="1"/>
  <c r="FI34" i="30" s="1"/>
  <c r="FJ34" i="30" s="1"/>
  <c r="FK34" i="30" s="1"/>
  <c r="FL34" i="30" s="1"/>
  <c r="FM34" i="30" s="1"/>
  <c r="FN34" i="30" s="1"/>
  <c r="FO34" i="30" s="1"/>
  <c r="FP34" i="30" s="1"/>
  <c r="FQ34" i="30" s="1"/>
  <c r="FR34" i="30" s="1"/>
  <c r="FS34" i="30" s="1"/>
  <c r="FT34" i="30" s="1"/>
  <c r="FU34" i="30" s="1"/>
  <c r="FV34" i="30" s="1"/>
  <c r="FW34" i="30" s="1"/>
  <c r="FX34" i="30" s="1"/>
  <c r="FY34" i="30" s="1"/>
  <c r="FZ34" i="30" s="1"/>
  <c r="GA34" i="30" s="1"/>
  <c r="GB34" i="30" s="1"/>
  <c r="GC34" i="30" s="1"/>
  <c r="GD34" i="30" s="1"/>
  <c r="GE34" i="30" s="1"/>
  <c r="GF34" i="30" s="1"/>
  <c r="GG34" i="30" s="1"/>
  <c r="GH34" i="30" s="1"/>
  <c r="GI34" i="30" s="1"/>
  <c r="GJ34" i="30" s="1"/>
  <c r="GK34" i="30" s="1"/>
  <c r="GL34" i="30" s="1"/>
  <c r="GM34" i="30" s="1"/>
  <c r="GN34" i="30" s="1"/>
  <c r="GO34" i="30" s="1"/>
  <c r="GP34" i="30" s="1"/>
  <c r="GQ34" i="30" s="1"/>
  <c r="GR34" i="30" s="1"/>
  <c r="GS34" i="30" s="1"/>
  <c r="GT34" i="30" s="1"/>
  <c r="GU34" i="30" s="1"/>
  <c r="GV34" i="30" s="1"/>
  <c r="GW34" i="30" s="1"/>
  <c r="GX34" i="30" s="1"/>
  <c r="GY34" i="30" s="1"/>
  <c r="GZ34" i="30" s="1"/>
  <c r="HA34" i="30" s="1"/>
  <c r="HB34" i="30" s="1"/>
  <c r="HC34" i="30" s="1"/>
  <c r="HD34" i="30" s="1"/>
  <c r="HE34" i="30" s="1"/>
  <c r="HF34" i="30" s="1"/>
  <c r="HG34" i="30" s="1"/>
  <c r="HH34" i="30" s="1"/>
  <c r="HI34" i="30" s="1"/>
  <c r="HJ34" i="30" s="1"/>
  <c r="HK34" i="30" s="1"/>
  <c r="HL34" i="30" s="1"/>
  <c r="HM34" i="30" s="1"/>
  <c r="HN34" i="30" s="1"/>
  <c r="HO34" i="30" s="1"/>
  <c r="HP34" i="30" s="1"/>
  <c r="HQ34" i="30" s="1"/>
  <c r="HR34" i="30" s="1"/>
  <c r="HS34" i="30" s="1"/>
  <c r="HT34" i="30" s="1"/>
  <c r="HU34" i="30" s="1"/>
  <c r="HV34" i="30" s="1"/>
  <c r="HW34" i="30" s="1"/>
  <c r="HX34" i="30" s="1"/>
  <c r="HY34" i="30" s="1"/>
  <c r="HZ34" i="30" s="1"/>
  <c r="IA34" i="30" s="1"/>
  <c r="IB34" i="30" s="1"/>
  <c r="IC34" i="30" s="1"/>
  <c r="ID34" i="30" s="1"/>
  <c r="IE34" i="30" s="1"/>
  <c r="IF34" i="30" s="1"/>
  <c r="IG34" i="30" s="1"/>
  <c r="IH34" i="30" s="1"/>
  <c r="II34" i="30" s="1"/>
  <c r="IJ34" i="30" s="1"/>
  <c r="IK34" i="30" s="1"/>
  <c r="IL34" i="30" s="1"/>
  <c r="IM34" i="30" s="1"/>
  <c r="IN34" i="30" s="1"/>
  <c r="IO34" i="30" s="1"/>
  <c r="IP34" i="30" s="1"/>
  <c r="IQ34" i="30" s="1"/>
  <c r="IR34" i="30" s="1"/>
  <c r="IS34" i="30" s="1"/>
  <c r="IT34" i="30" s="1"/>
  <c r="IU34" i="30" s="1"/>
  <c r="IV34" i="30" s="1"/>
  <c r="IW34" i="30" s="1"/>
  <c r="IX34" i="30" s="1"/>
  <c r="IY34" i="30" s="1"/>
  <c r="IZ34" i="30" s="1"/>
  <c r="JA34" i="30" s="1"/>
  <c r="JB34" i="30" s="1"/>
  <c r="JC34" i="30" s="1"/>
  <c r="JD34" i="30" s="1"/>
  <c r="JE34" i="30" s="1"/>
  <c r="JF34" i="30" s="1"/>
  <c r="JG34" i="30" s="1"/>
  <c r="JH34" i="30" s="1"/>
  <c r="JI34" i="30" s="1"/>
  <c r="JJ34" i="30" s="1"/>
  <c r="JK34" i="30" s="1"/>
  <c r="JL34" i="30" s="1"/>
  <c r="JM34" i="30" s="1"/>
  <c r="JN34" i="30" s="1"/>
  <c r="JO34" i="30" s="1"/>
  <c r="JP34" i="30" s="1"/>
  <c r="JQ34" i="30" s="1"/>
  <c r="JR34" i="30" s="1"/>
  <c r="JS34" i="30" s="1"/>
  <c r="JT34" i="30" s="1"/>
  <c r="JU34" i="30" s="1"/>
  <c r="JV34" i="30" s="1"/>
  <c r="JW34" i="30" s="1"/>
  <c r="JX34" i="30" s="1"/>
  <c r="JY34" i="30" s="1"/>
  <c r="JZ34" i="30" s="1"/>
  <c r="KA34" i="30" s="1"/>
  <c r="KB34" i="30" s="1"/>
  <c r="KC34" i="30" s="1"/>
  <c r="KD34" i="30" s="1"/>
  <c r="KE34" i="30" s="1"/>
  <c r="KF34" i="30" s="1"/>
  <c r="KG34" i="30" s="1"/>
  <c r="KH34" i="30" s="1"/>
  <c r="KI34" i="30" s="1"/>
  <c r="KJ34" i="30" s="1"/>
  <c r="KK34" i="30" s="1"/>
  <c r="KL34" i="30" s="1"/>
  <c r="KM34" i="30" s="1"/>
  <c r="KN34" i="30" s="1"/>
  <c r="KO34" i="30" s="1"/>
  <c r="KP34" i="30" s="1"/>
  <c r="KQ34" i="30" s="1"/>
  <c r="KR34" i="30" s="1"/>
  <c r="KS34" i="30" s="1"/>
  <c r="KT34" i="30" s="1"/>
  <c r="KU34" i="30" s="1"/>
  <c r="KV34" i="30" s="1"/>
  <c r="KW34" i="30" s="1"/>
  <c r="KX34" i="30" s="1"/>
  <c r="KY34" i="30" s="1"/>
  <c r="KZ34" i="30" s="1"/>
  <c r="LA34" i="30" s="1"/>
  <c r="LB34" i="30" s="1"/>
  <c r="LC34" i="30" s="1"/>
  <c r="LD34" i="30" s="1"/>
  <c r="LE34" i="30" s="1"/>
  <c r="LF34" i="30" s="1"/>
  <c r="LG34" i="30" s="1"/>
  <c r="LH34" i="30" s="1"/>
  <c r="LI34" i="30" s="1"/>
  <c r="LJ34" i="30" s="1"/>
  <c r="W35" i="30"/>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CT35" i="30" s="1"/>
  <c r="CU35" i="30" s="1"/>
  <c r="CV35" i="30" s="1"/>
  <c r="CW35" i="30" s="1"/>
  <c r="CX35" i="30" s="1"/>
  <c r="CY35" i="30" s="1"/>
  <c r="CZ35" i="30" s="1"/>
  <c r="DA35" i="30" s="1"/>
  <c r="DB35" i="30" s="1"/>
  <c r="DC35" i="30" s="1"/>
  <c r="DD35" i="30" s="1"/>
  <c r="DE35" i="30" s="1"/>
  <c r="DF35" i="30" s="1"/>
  <c r="DG35" i="30" s="1"/>
  <c r="DH35" i="30" s="1"/>
  <c r="DI35" i="30" s="1"/>
  <c r="DJ35" i="30" s="1"/>
  <c r="DK35" i="30" s="1"/>
  <c r="DL35" i="30" s="1"/>
  <c r="DM35" i="30" s="1"/>
  <c r="DN35" i="30" s="1"/>
  <c r="DO35" i="30" s="1"/>
  <c r="DP35" i="30" s="1"/>
  <c r="DQ35" i="30" s="1"/>
  <c r="DR35" i="30" s="1"/>
  <c r="DS35" i="30" s="1"/>
  <c r="DT35" i="30" s="1"/>
  <c r="DU35" i="30" s="1"/>
  <c r="DV35" i="30" s="1"/>
  <c r="DW35" i="30" s="1"/>
  <c r="DX35" i="30" s="1"/>
  <c r="DY35" i="30" s="1"/>
  <c r="DZ35" i="30" s="1"/>
  <c r="EA35" i="30" s="1"/>
  <c r="EB35" i="30" s="1"/>
  <c r="EC35" i="30" s="1"/>
  <c r="ED35" i="30" s="1"/>
  <c r="EE35" i="30" s="1"/>
  <c r="EF35" i="30" s="1"/>
  <c r="EG35" i="30" s="1"/>
  <c r="EH35" i="30" s="1"/>
  <c r="EI35" i="30" s="1"/>
  <c r="EJ35" i="30" s="1"/>
  <c r="EK35" i="30" s="1"/>
  <c r="EL35" i="30" s="1"/>
  <c r="EM35" i="30" s="1"/>
  <c r="EN35" i="30" s="1"/>
  <c r="EO35" i="30" s="1"/>
  <c r="EP35" i="30" s="1"/>
  <c r="EQ35" i="30" s="1"/>
  <c r="ER35" i="30" s="1"/>
  <c r="ES35" i="30" s="1"/>
  <c r="ET35" i="30" s="1"/>
  <c r="EU35" i="30" s="1"/>
  <c r="EV35" i="30" s="1"/>
  <c r="EW35" i="30" s="1"/>
  <c r="EX35" i="30" s="1"/>
  <c r="EY35" i="30" s="1"/>
  <c r="EZ35" i="30" s="1"/>
  <c r="FA35" i="30" s="1"/>
  <c r="FB35" i="30" s="1"/>
  <c r="FC35" i="30" s="1"/>
  <c r="FD35" i="30" s="1"/>
  <c r="FE35" i="30" s="1"/>
  <c r="FF35" i="30" s="1"/>
  <c r="FG35" i="30" s="1"/>
  <c r="FH35" i="30" s="1"/>
  <c r="FI35" i="30" s="1"/>
  <c r="FJ35" i="30" s="1"/>
  <c r="FK35" i="30" s="1"/>
  <c r="FL35" i="30" s="1"/>
  <c r="FM35" i="30" s="1"/>
  <c r="FN35" i="30" s="1"/>
  <c r="FO35" i="30" s="1"/>
  <c r="FP35" i="30" s="1"/>
  <c r="FQ35" i="30" s="1"/>
  <c r="FR35" i="30" s="1"/>
  <c r="FS35" i="30" s="1"/>
  <c r="FT35" i="30" s="1"/>
  <c r="FU35" i="30" s="1"/>
  <c r="FV35" i="30" s="1"/>
  <c r="FW35" i="30" s="1"/>
  <c r="FX35" i="30" s="1"/>
  <c r="FY35" i="30" s="1"/>
  <c r="FZ35" i="30" s="1"/>
  <c r="GA35" i="30" s="1"/>
  <c r="GB35" i="30" s="1"/>
  <c r="GC35" i="30" s="1"/>
  <c r="GD35" i="30" s="1"/>
  <c r="GE35" i="30" s="1"/>
  <c r="GF35" i="30" s="1"/>
  <c r="GG35" i="30" s="1"/>
  <c r="GH35" i="30" s="1"/>
  <c r="GI35" i="30" s="1"/>
  <c r="GJ35" i="30" s="1"/>
  <c r="GK35" i="30" s="1"/>
  <c r="GL35" i="30" s="1"/>
  <c r="GM35" i="30" s="1"/>
  <c r="GN35" i="30" s="1"/>
  <c r="GO35" i="30" s="1"/>
  <c r="GP35" i="30" s="1"/>
  <c r="GQ35" i="30" s="1"/>
  <c r="GR35" i="30" s="1"/>
  <c r="GS35" i="30" s="1"/>
  <c r="GT35" i="30" s="1"/>
  <c r="GU35" i="30" s="1"/>
  <c r="GV35" i="30" s="1"/>
  <c r="GW35" i="30" s="1"/>
  <c r="GX35" i="30" s="1"/>
  <c r="GY35" i="30" s="1"/>
  <c r="GZ35" i="30" s="1"/>
  <c r="HA35" i="30" s="1"/>
  <c r="HB35" i="30" s="1"/>
  <c r="HC35" i="30" s="1"/>
  <c r="HD35" i="30" s="1"/>
  <c r="HE35" i="30" s="1"/>
  <c r="HF35" i="30" s="1"/>
  <c r="HG35" i="30" s="1"/>
  <c r="HH35" i="30" s="1"/>
  <c r="HI35" i="30" s="1"/>
  <c r="HJ35" i="30" s="1"/>
  <c r="HK35" i="30" s="1"/>
  <c r="HL35" i="30" s="1"/>
  <c r="HM35" i="30" s="1"/>
  <c r="HN35" i="30" s="1"/>
  <c r="HO35" i="30" s="1"/>
  <c r="HP35" i="30" s="1"/>
  <c r="HQ35" i="30" s="1"/>
  <c r="HR35" i="30" s="1"/>
  <c r="HS35" i="30" s="1"/>
  <c r="HT35" i="30" s="1"/>
  <c r="HU35" i="30" s="1"/>
  <c r="HV35" i="30" s="1"/>
  <c r="HW35" i="30" s="1"/>
  <c r="HX35" i="30" s="1"/>
  <c r="HY35" i="30" s="1"/>
  <c r="HZ35" i="30" s="1"/>
  <c r="IA35" i="30" s="1"/>
  <c r="IB35" i="30" s="1"/>
  <c r="IC35" i="30" s="1"/>
  <c r="ID35" i="30" s="1"/>
  <c r="IE35" i="30" s="1"/>
  <c r="IF35" i="30" s="1"/>
  <c r="IG35" i="30" s="1"/>
  <c r="IH35" i="30" s="1"/>
  <c r="II35" i="30" s="1"/>
  <c r="IJ35" i="30" s="1"/>
  <c r="IK35" i="30" s="1"/>
  <c r="IL35" i="30" s="1"/>
  <c r="IM35" i="30" s="1"/>
  <c r="IN35" i="30" s="1"/>
  <c r="IO35" i="30" s="1"/>
  <c r="IP35" i="30" s="1"/>
  <c r="IQ35" i="30" s="1"/>
  <c r="IR35" i="30" s="1"/>
  <c r="IS35" i="30" s="1"/>
  <c r="IT35" i="30" s="1"/>
  <c r="IU35" i="30" s="1"/>
  <c r="IV35" i="30" s="1"/>
  <c r="IW35" i="30" s="1"/>
  <c r="IX35" i="30" s="1"/>
  <c r="IY35" i="30" s="1"/>
  <c r="IZ35" i="30" s="1"/>
  <c r="JA35" i="30" s="1"/>
  <c r="JB35" i="30" s="1"/>
  <c r="JC35" i="30" s="1"/>
  <c r="JD35" i="30" s="1"/>
  <c r="JE35" i="30" s="1"/>
  <c r="JF35" i="30" s="1"/>
  <c r="JG35" i="30" s="1"/>
  <c r="JH35" i="30" s="1"/>
  <c r="JI35" i="30" s="1"/>
  <c r="JJ35" i="30" s="1"/>
  <c r="JK35" i="30" s="1"/>
  <c r="JL35" i="30" s="1"/>
  <c r="JM35" i="30" s="1"/>
  <c r="JN35" i="30" s="1"/>
  <c r="JO35" i="30" s="1"/>
  <c r="JP35" i="30" s="1"/>
  <c r="JQ35" i="30" s="1"/>
  <c r="JR35" i="30" s="1"/>
  <c r="JS35" i="30" s="1"/>
  <c r="JT35" i="30" s="1"/>
  <c r="JU35" i="30" s="1"/>
  <c r="JV35" i="30" s="1"/>
  <c r="JW35" i="30" s="1"/>
  <c r="JX35" i="30" s="1"/>
  <c r="JY35" i="30" s="1"/>
  <c r="JZ35" i="30" s="1"/>
  <c r="KA35" i="30" s="1"/>
  <c r="KB35" i="30" s="1"/>
  <c r="KC35" i="30" s="1"/>
  <c r="KD35" i="30" s="1"/>
  <c r="KE35" i="30" s="1"/>
  <c r="KF35" i="30" s="1"/>
  <c r="KG35" i="30" s="1"/>
  <c r="KH35" i="30" s="1"/>
  <c r="KI35" i="30" s="1"/>
  <c r="KJ35" i="30" s="1"/>
  <c r="KK35" i="30" s="1"/>
  <c r="KL35" i="30" s="1"/>
  <c r="KM35" i="30" s="1"/>
  <c r="KN35" i="30" s="1"/>
  <c r="KO35" i="30" s="1"/>
  <c r="KP35" i="30" s="1"/>
  <c r="KQ35" i="30" s="1"/>
  <c r="KR35" i="30" s="1"/>
  <c r="KS35" i="30" s="1"/>
  <c r="KT35" i="30" s="1"/>
  <c r="KU35" i="30" s="1"/>
  <c r="KV35" i="30" s="1"/>
  <c r="KW35" i="30" s="1"/>
  <c r="KX35" i="30" s="1"/>
  <c r="KY35" i="30" s="1"/>
  <c r="KZ35" i="30" s="1"/>
  <c r="LA35" i="30" s="1"/>
  <c r="LB35" i="30" s="1"/>
  <c r="LC35" i="30" s="1"/>
  <c r="LD35" i="30" s="1"/>
  <c r="LE35" i="30" s="1"/>
  <c r="LF35" i="30" s="1"/>
  <c r="LG35" i="30" s="1"/>
  <c r="LH35" i="30" s="1"/>
  <c r="LI35" i="30" s="1"/>
  <c r="LJ35" i="30" s="1"/>
  <c r="W36" i="30"/>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CT36" i="30" s="1"/>
  <c r="CU36" i="30" s="1"/>
  <c r="CV36" i="30" s="1"/>
  <c r="CW36" i="30" s="1"/>
  <c r="CX36" i="30" s="1"/>
  <c r="CY36" i="30" s="1"/>
  <c r="CZ36" i="30" s="1"/>
  <c r="DA36" i="30" s="1"/>
  <c r="DB36" i="30" s="1"/>
  <c r="DC36" i="30" s="1"/>
  <c r="DD36" i="30" s="1"/>
  <c r="DE36" i="30" s="1"/>
  <c r="DF36" i="30" s="1"/>
  <c r="DG36" i="30" s="1"/>
  <c r="DH36" i="30" s="1"/>
  <c r="DI36" i="30" s="1"/>
  <c r="DJ36" i="30" s="1"/>
  <c r="DK36" i="30" s="1"/>
  <c r="DL36" i="30" s="1"/>
  <c r="DM36" i="30" s="1"/>
  <c r="DN36" i="30" s="1"/>
  <c r="DO36" i="30" s="1"/>
  <c r="DP36" i="30" s="1"/>
  <c r="DQ36" i="30" s="1"/>
  <c r="DR36" i="30" s="1"/>
  <c r="DS36" i="30" s="1"/>
  <c r="DT36" i="30" s="1"/>
  <c r="DU36" i="30" s="1"/>
  <c r="DV36" i="30" s="1"/>
  <c r="DW36" i="30" s="1"/>
  <c r="DX36" i="30" s="1"/>
  <c r="DY36" i="30" s="1"/>
  <c r="DZ36" i="30" s="1"/>
  <c r="EA36" i="30" s="1"/>
  <c r="EB36" i="30" s="1"/>
  <c r="EC36" i="30" s="1"/>
  <c r="ED36" i="30" s="1"/>
  <c r="EE36" i="30" s="1"/>
  <c r="EF36" i="30" s="1"/>
  <c r="EG36" i="30" s="1"/>
  <c r="EH36" i="30" s="1"/>
  <c r="EI36" i="30" s="1"/>
  <c r="EJ36" i="30" s="1"/>
  <c r="EK36" i="30" s="1"/>
  <c r="EL36" i="30" s="1"/>
  <c r="EM36" i="30" s="1"/>
  <c r="EN36" i="30" s="1"/>
  <c r="EO36" i="30" s="1"/>
  <c r="EP36" i="30" s="1"/>
  <c r="EQ36" i="30" s="1"/>
  <c r="ER36" i="30" s="1"/>
  <c r="ES36" i="30" s="1"/>
  <c r="ET36" i="30" s="1"/>
  <c r="EU36" i="30" s="1"/>
  <c r="EV36" i="30" s="1"/>
  <c r="EW36" i="30" s="1"/>
  <c r="EX36" i="30" s="1"/>
  <c r="EY36" i="30" s="1"/>
  <c r="EZ36" i="30" s="1"/>
  <c r="FA36" i="30" s="1"/>
  <c r="FB36" i="30" s="1"/>
  <c r="FC36" i="30" s="1"/>
  <c r="FD36" i="30" s="1"/>
  <c r="FE36" i="30" s="1"/>
  <c r="FF36" i="30" s="1"/>
  <c r="FG36" i="30" s="1"/>
  <c r="FH36" i="30" s="1"/>
  <c r="FI36" i="30" s="1"/>
  <c r="FJ36" i="30" s="1"/>
  <c r="FK36" i="30" s="1"/>
  <c r="FL36" i="30" s="1"/>
  <c r="FM36" i="30" s="1"/>
  <c r="FN36" i="30" s="1"/>
  <c r="FO36" i="30" s="1"/>
  <c r="FP36" i="30" s="1"/>
  <c r="FQ36" i="30" s="1"/>
  <c r="FR36" i="30" s="1"/>
  <c r="FS36" i="30" s="1"/>
  <c r="FT36" i="30" s="1"/>
  <c r="FU36" i="30" s="1"/>
  <c r="FV36" i="30" s="1"/>
  <c r="FW36" i="30" s="1"/>
  <c r="FX36" i="30" s="1"/>
  <c r="FY36" i="30" s="1"/>
  <c r="FZ36" i="30" s="1"/>
  <c r="GA36" i="30" s="1"/>
  <c r="GB36" i="30" s="1"/>
  <c r="GC36" i="30" s="1"/>
  <c r="GD36" i="30" s="1"/>
  <c r="GE36" i="30" s="1"/>
  <c r="GF36" i="30" s="1"/>
  <c r="GG36" i="30" s="1"/>
  <c r="GH36" i="30" s="1"/>
  <c r="GI36" i="30" s="1"/>
  <c r="GJ36" i="30" s="1"/>
  <c r="GK36" i="30" s="1"/>
  <c r="GL36" i="30" s="1"/>
  <c r="GM36" i="30" s="1"/>
  <c r="GN36" i="30" s="1"/>
  <c r="GO36" i="30" s="1"/>
  <c r="GP36" i="30" s="1"/>
  <c r="GQ36" i="30" s="1"/>
  <c r="GR36" i="30" s="1"/>
  <c r="GS36" i="30" s="1"/>
  <c r="GT36" i="30" s="1"/>
  <c r="GU36" i="30" s="1"/>
  <c r="GV36" i="30" s="1"/>
  <c r="GW36" i="30" s="1"/>
  <c r="GX36" i="30" s="1"/>
  <c r="GY36" i="30" s="1"/>
  <c r="GZ36" i="30" s="1"/>
  <c r="HA36" i="30" s="1"/>
  <c r="HB36" i="30" s="1"/>
  <c r="HC36" i="30" s="1"/>
  <c r="HD36" i="30" s="1"/>
  <c r="HE36" i="30" s="1"/>
  <c r="HF36" i="30" s="1"/>
  <c r="HG36" i="30" s="1"/>
  <c r="HH36" i="30" s="1"/>
  <c r="HI36" i="30" s="1"/>
  <c r="HJ36" i="30" s="1"/>
  <c r="HK36" i="30" s="1"/>
  <c r="HL36" i="30" s="1"/>
  <c r="HM36" i="30" s="1"/>
  <c r="HN36" i="30" s="1"/>
  <c r="HO36" i="30" s="1"/>
  <c r="HP36" i="30" s="1"/>
  <c r="HQ36" i="30" s="1"/>
  <c r="HR36" i="30" s="1"/>
  <c r="HS36" i="30" s="1"/>
  <c r="HT36" i="30" s="1"/>
  <c r="HU36" i="30" s="1"/>
  <c r="HV36" i="30" s="1"/>
  <c r="HW36" i="30" s="1"/>
  <c r="HX36" i="30" s="1"/>
  <c r="HY36" i="30" s="1"/>
  <c r="HZ36" i="30" s="1"/>
  <c r="IA36" i="30" s="1"/>
  <c r="IB36" i="30" s="1"/>
  <c r="IC36" i="30" s="1"/>
  <c r="ID36" i="30" s="1"/>
  <c r="IE36" i="30" s="1"/>
  <c r="IF36" i="30" s="1"/>
  <c r="IG36" i="30" s="1"/>
  <c r="IH36" i="30" s="1"/>
  <c r="II36" i="30" s="1"/>
  <c r="IJ36" i="30" s="1"/>
  <c r="IK36" i="30" s="1"/>
  <c r="IL36" i="30" s="1"/>
  <c r="IM36" i="30" s="1"/>
  <c r="IN36" i="30" s="1"/>
  <c r="IO36" i="30" s="1"/>
  <c r="IP36" i="30" s="1"/>
  <c r="IQ36" i="30" s="1"/>
  <c r="IR36" i="30" s="1"/>
  <c r="IS36" i="30" s="1"/>
  <c r="IT36" i="30" s="1"/>
  <c r="IU36" i="30" s="1"/>
  <c r="IV36" i="30" s="1"/>
  <c r="IW36" i="30" s="1"/>
  <c r="IX36" i="30" s="1"/>
  <c r="IY36" i="30" s="1"/>
  <c r="IZ36" i="30" s="1"/>
  <c r="JA36" i="30" s="1"/>
  <c r="JB36" i="30" s="1"/>
  <c r="JC36" i="30" s="1"/>
  <c r="JD36" i="30" s="1"/>
  <c r="JE36" i="30" s="1"/>
  <c r="JF36" i="30" s="1"/>
  <c r="JG36" i="30" s="1"/>
  <c r="JH36" i="30" s="1"/>
  <c r="JI36" i="30" s="1"/>
  <c r="JJ36" i="30" s="1"/>
  <c r="JK36" i="30" s="1"/>
  <c r="JL36" i="30" s="1"/>
  <c r="JM36" i="30" s="1"/>
  <c r="JN36" i="30" s="1"/>
  <c r="JO36" i="30" s="1"/>
  <c r="JP36" i="30" s="1"/>
  <c r="JQ36" i="30" s="1"/>
  <c r="JR36" i="30" s="1"/>
  <c r="JS36" i="30" s="1"/>
  <c r="JT36" i="30" s="1"/>
  <c r="JU36" i="30" s="1"/>
  <c r="JV36" i="30" s="1"/>
  <c r="JW36" i="30" s="1"/>
  <c r="JX36" i="30" s="1"/>
  <c r="JY36" i="30" s="1"/>
  <c r="JZ36" i="30" s="1"/>
  <c r="KA36" i="30" s="1"/>
  <c r="KB36" i="30" s="1"/>
  <c r="KC36" i="30" s="1"/>
  <c r="KD36" i="30" s="1"/>
  <c r="KE36" i="30" s="1"/>
  <c r="KF36" i="30" s="1"/>
  <c r="KG36" i="30" s="1"/>
  <c r="KH36" i="30" s="1"/>
  <c r="KI36" i="30" s="1"/>
  <c r="KJ36" i="30" s="1"/>
  <c r="KK36" i="30" s="1"/>
  <c r="KL36" i="30" s="1"/>
  <c r="KM36" i="30" s="1"/>
  <c r="KN36" i="30" s="1"/>
  <c r="KO36" i="30" s="1"/>
  <c r="KP36" i="30" s="1"/>
  <c r="KQ36" i="30" s="1"/>
  <c r="KR36" i="30" s="1"/>
  <c r="KS36" i="30" s="1"/>
  <c r="KT36" i="30" s="1"/>
  <c r="KU36" i="30" s="1"/>
  <c r="KV36" i="30" s="1"/>
  <c r="KW36" i="30" s="1"/>
  <c r="KX36" i="30" s="1"/>
  <c r="KY36" i="30" s="1"/>
  <c r="KZ36" i="30" s="1"/>
  <c r="LA36" i="30" s="1"/>
  <c r="LB36" i="30" s="1"/>
  <c r="LC36" i="30" s="1"/>
  <c r="LD36" i="30" s="1"/>
  <c r="LE36" i="30" s="1"/>
  <c r="LF36" i="30" s="1"/>
  <c r="LG36" i="30" s="1"/>
  <c r="LH36" i="30" s="1"/>
  <c r="LI36" i="30" s="1"/>
  <c r="LJ36" i="30" s="1"/>
  <c r="W37" i="30"/>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BE37" i="30" s="1"/>
  <c r="BF37" i="30" s="1"/>
  <c r="BG37" i="30" s="1"/>
  <c r="BH37" i="30" s="1"/>
  <c r="BI37" i="30" s="1"/>
  <c r="BJ37" i="30" s="1"/>
  <c r="BK37" i="30" s="1"/>
  <c r="BL37" i="30" s="1"/>
  <c r="BM37" i="30" s="1"/>
  <c r="BN37" i="30" s="1"/>
  <c r="BO37" i="30" s="1"/>
  <c r="BP37" i="30" s="1"/>
  <c r="BQ37" i="30" s="1"/>
  <c r="BR37" i="30" s="1"/>
  <c r="BS37" i="30" s="1"/>
  <c r="BT37" i="30" s="1"/>
  <c r="BU37" i="30" s="1"/>
  <c r="BV37" i="30" s="1"/>
  <c r="BW37" i="30" s="1"/>
  <c r="BX37" i="30" s="1"/>
  <c r="BY37" i="30" s="1"/>
  <c r="BZ37" i="30" s="1"/>
  <c r="CA37" i="30" s="1"/>
  <c r="CB37" i="30" s="1"/>
  <c r="CC37" i="30" s="1"/>
  <c r="CD37" i="30" s="1"/>
  <c r="CE37" i="30" s="1"/>
  <c r="CF37" i="30" s="1"/>
  <c r="CG37" i="30" s="1"/>
  <c r="CH37" i="30" s="1"/>
  <c r="CI37" i="30" s="1"/>
  <c r="CJ37" i="30" s="1"/>
  <c r="CK37" i="30" s="1"/>
  <c r="CL37" i="30" s="1"/>
  <c r="CM37" i="30" s="1"/>
  <c r="CN37" i="30" s="1"/>
  <c r="CO37" i="30" s="1"/>
  <c r="CP37" i="30" s="1"/>
  <c r="CQ37" i="30" s="1"/>
  <c r="CR37" i="30" s="1"/>
  <c r="CS37" i="30" s="1"/>
  <c r="CT37" i="30" s="1"/>
  <c r="CU37" i="30" s="1"/>
  <c r="CV37" i="30" s="1"/>
  <c r="CW37" i="30" s="1"/>
  <c r="CX37" i="30" s="1"/>
  <c r="CY37" i="30" s="1"/>
  <c r="CZ37" i="30" s="1"/>
  <c r="DA37" i="30" s="1"/>
  <c r="DB37" i="30" s="1"/>
  <c r="DC37" i="30" s="1"/>
  <c r="DD37" i="30" s="1"/>
  <c r="DE37" i="30" s="1"/>
  <c r="DF37" i="30" s="1"/>
  <c r="DG37" i="30" s="1"/>
  <c r="DH37" i="30" s="1"/>
  <c r="DI37" i="30" s="1"/>
  <c r="DJ37" i="30" s="1"/>
  <c r="DK37" i="30" s="1"/>
  <c r="DL37" i="30" s="1"/>
  <c r="DM37" i="30" s="1"/>
  <c r="DN37" i="30" s="1"/>
  <c r="DO37" i="30" s="1"/>
  <c r="DP37" i="30" s="1"/>
  <c r="DQ37" i="30" s="1"/>
  <c r="DR37" i="30" s="1"/>
  <c r="DS37" i="30" s="1"/>
  <c r="DT37" i="30" s="1"/>
  <c r="DU37" i="30" s="1"/>
  <c r="DV37" i="30" s="1"/>
  <c r="DW37" i="30" s="1"/>
  <c r="DX37" i="30" s="1"/>
  <c r="DY37" i="30" s="1"/>
  <c r="DZ37" i="30" s="1"/>
  <c r="EA37" i="30" s="1"/>
  <c r="EB37" i="30" s="1"/>
  <c r="EC37" i="30" s="1"/>
  <c r="ED37" i="30" s="1"/>
  <c r="EE37" i="30" s="1"/>
  <c r="EF37" i="30" s="1"/>
  <c r="EG37" i="30" s="1"/>
  <c r="EH37" i="30" s="1"/>
  <c r="EI37" i="30" s="1"/>
  <c r="EJ37" i="30" s="1"/>
  <c r="EK37" i="30" s="1"/>
  <c r="EL37" i="30" s="1"/>
  <c r="EM37" i="30" s="1"/>
  <c r="EN37" i="30" s="1"/>
  <c r="EO37" i="30" s="1"/>
  <c r="EP37" i="30" s="1"/>
  <c r="EQ37" i="30" s="1"/>
  <c r="ER37" i="30" s="1"/>
  <c r="ES37" i="30" s="1"/>
  <c r="ET37" i="30" s="1"/>
  <c r="EU37" i="30" s="1"/>
  <c r="EV37" i="30" s="1"/>
  <c r="EW37" i="30" s="1"/>
  <c r="EX37" i="30" s="1"/>
  <c r="EY37" i="30" s="1"/>
  <c r="EZ37" i="30" s="1"/>
  <c r="FA37" i="30" s="1"/>
  <c r="FB37" i="30" s="1"/>
  <c r="FC37" i="30" s="1"/>
  <c r="FD37" i="30" s="1"/>
  <c r="FE37" i="30" s="1"/>
  <c r="FF37" i="30" s="1"/>
  <c r="FG37" i="30" s="1"/>
  <c r="FH37" i="30" s="1"/>
  <c r="FI37" i="30" s="1"/>
  <c r="FJ37" i="30" s="1"/>
  <c r="FK37" i="30" s="1"/>
  <c r="FL37" i="30" s="1"/>
  <c r="FM37" i="30" s="1"/>
  <c r="FN37" i="30" s="1"/>
  <c r="FO37" i="30" s="1"/>
  <c r="FP37" i="30" s="1"/>
  <c r="FQ37" i="30" s="1"/>
  <c r="FR37" i="30" s="1"/>
  <c r="FS37" i="30" s="1"/>
  <c r="FT37" i="30" s="1"/>
  <c r="FU37" i="30" s="1"/>
  <c r="FV37" i="30" s="1"/>
  <c r="FW37" i="30" s="1"/>
  <c r="FX37" i="30" s="1"/>
  <c r="FY37" i="30" s="1"/>
  <c r="FZ37" i="30" s="1"/>
  <c r="GA37" i="30" s="1"/>
  <c r="GB37" i="30" s="1"/>
  <c r="GC37" i="30" s="1"/>
  <c r="GD37" i="30" s="1"/>
  <c r="GE37" i="30" s="1"/>
  <c r="GF37" i="30" s="1"/>
  <c r="GG37" i="30" s="1"/>
  <c r="GH37" i="30" s="1"/>
  <c r="GI37" i="30" s="1"/>
  <c r="GJ37" i="30" s="1"/>
  <c r="GK37" i="30" s="1"/>
  <c r="GL37" i="30" s="1"/>
  <c r="GM37" i="30" s="1"/>
  <c r="GN37" i="30" s="1"/>
  <c r="GO37" i="30" s="1"/>
  <c r="GP37" i="30" s="1"/>
  <c r="GQ37" i="30" s="1"/>
  <c r="GR37" i="30" s="1"/>
  <c r="GS37" i="30" s="1"/>
  <c r="GT37" i="30" s="1"/>
  <c r="GU37" i="30" s="1"/>
  <c r="GV37" i="30" s="1"/>
  <c r="GW37" i="30" s="1"/>
  <c r="GX37" i="30" s="1"/>
  <c r="GY37" i="30" s="1"/>
  <c r="GZ37" i="30" s="1"/>
  <c r="HA37" i="30" s="1"/>
  <c r="HB37" i="30" s="1"/>
  <c r="HC37" i="30" s="1"/>
  <c r="HD37" i="30" s="1"/>
  <c r="HE37" i="30" s="1"/>
  <c r="HF37" i="30" s="1"/>
  <c r="HG37" i="30" s="1"/>
  <c r="HH37" i="30" s="1"/>
  <c r="HI37" i="30" s="1"/>
  <c r="HJ37" i="30" s="1"/>
  <c r="HK37" i="30" s="1"/>
  <c r="HL37" i="30" s="1"/>
  <c r="HM37" i="30" s="1"/>
  <c r="HN37" i="30" s="1"/>
  <c r="HO37" i="30" s="1"/>
  <c r="HP37" i="30" s="1"/>
  <c r="HQ37" i="30" s="1"/>
  <c r="HR37" i="30" s="1"/>
  <c r="HS37" i="30" s="1"/>
  <c r="HT37" i="30" s="1"/>
  <c r="HU37" i="30" s="1"/>
  <c r="HV37" i="30" s="1"/>
  <c r="HW37" i="30" s="1"/>
  <c r="HX37" i="30" s="1"/>
  <c r="HY37" i="30" s="1"/>
  <c r="HZ37" i="30" s="1"/>
  <c r="IA37" i="30" s="1"/>
  <c r="IB37" i="30" s="1"/>
  <c r="IC37" i="30" s="1"/>
  <c r="ID37" i="30" s="1"/>
  <c r="IE37" i="30" s="1"/>
  <c r="IF37" i="30" s="1"/>
  <c r="IG37" i="30" s="1"/>
  <c r="IH37" i="30" s="1"/>
  <c r="II37" i="30" s="1"/>
  <c r="IJ37" i="30" s="1"/>
  <c r="IK37" i="30" s="1"/>
  <c r="IL37" i="30" s="1"/>
  <c r="IM37" i="30" s="1"/>
  <c r="IN37" i="30" s="1"/>
  <c r="IO37" i="30" s="1"/>
  <c r="IP37" i="30" s="1"/>
  <c r="IQ37" i="30" s="1"/>
  <c r="IR37" i="30" s="1"/>
  <c r="IS37" i="30" s="1"/>
  <c r="IT37" i="30" s="1"/>
  <c r="IU37" i="30" s="1"/>
  <c r="IV37" i="30" s="1"/>
  <c r="IW37" i="30" s="1"/>
  <c r="IX37" i="30" s="1"/>
  <c r="IY37" i="30" s="1"/>
  <c r="IZ37" i="30" s="1"/>
  <c r="JA37" i="30" s="1"/>
  <c r="JB37" i="30" s="1"/>
  <c r="JC37" i="30" s="1"/>
  <c r="JD37" i="30" s="1"/>
  <c r="JE37" i="30" s="1"/>
  <c r="JF37" i="30" s="1"/>
  <c r="JG37" i="30" s="1"/>
  <c r="JH37" i="30" s="1"/>
  <c r="JI37" i="30" s="1"/>
  <c r="JJ37" i="30" s="1"/>
  <c r="JK37" i="30" s="1"/>
  <c r="JL37" i="30" s="1"/>
  <c r="JM37" i="30" s="1"/>
  <c r="JN37" i="30" s="1"/>
  <c r="JO37" i="30" s="1"/>
  <c r="JP37" i="30" s="1"/>
  <c r="JQ37" i="30" s="1"/>
  <c r="JR37" i="30" s="1"/>
  <c r="JS37" i="30" s="1"/>
  <c r="JT37" i="30" s="1"/>
  <c r="JU37" i="30" s="1"/>
  <c r="JV37" i="30" s="1"/>
  <c r="JW37" i="30" s="1"/>
  <c r="JX37" i="30" s="1"/>
  <c r="JY37" i="30" s="1"/>
  <c r="JZ37" i="30" s="1"/>
  <c r="KA37" i="30" s="1"/>
  <c r="KB37" i="30" s="1"/>
  <c r="KC37" i="30" s="1"/>
  <c r="KD37" i="30" s="1"/>
  <c r="KE37" i="30" s="1"/>
  <c r="KF37" i="30" s="1"/>
  <c r="KG37" i="30" s="1"/>
  <c r="KH37" i="30" s="1"/>
  <c r="KI37" i="30" s="1"/>
  <c r="KJ37" i="30" s="1"/>
  <c r="KK37" i="30" s="1"/>
  <c r="KL37" i="30" s="1"/>
  <c r="KM37" i="30" s="1"/>
  <c r="KN37" i="30" s="1"/>
  <c r="KO37" i="30" s="1"/>
  <c r="KP37" i="30" s="1"/>
  <c r="KQ37" i="30" s="1"/>
  <c r="KR37" i="30" s="1"/>
  <c r="KS37" i="30" s="1"/>
  <c r="KT37" i="30" s="1"/>
  <c r="KU37" i="30" s="1"/>
  <c r="KV37" i="30" s="1"/>
  <c r="KW37" i="30" s="1"/>
  <c r="KX37" i="30" s="1"/>
  <c r="KY37" i="30" s="1"/>
  <c r="KZ37" i="30" s="1"/>
  <c r="LA37" i="30" s="1"/>
  <c r="LB37" i="30" s="1"/>
  <c r="LC37" i="30" s="1"/>
  <c r="LD37" i="30" s="1"/>
  <c r="LE37" i="30" s="1"/>
  <c r="LF37" i="30" s="1"/>
  <c r="LG37" i="30" s="1"/>
  <c r="LH37" i="30" s="1"/>
  <c r="LI37" i="30" s="1"/>
  <c r="LJ37" i="30" s="1"/>
  <c r="W38" i="30"/>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BE38" i="30" s="1"/>
  <c r="BF38" i="30" s="1"/>
  <c r="BG38" i="30" s="1"/>
  <c r="BH38" i="30" s="1"/>
  <c r="BI38" i="30" s="1"/>
  <c r="BJ38" i="30" s="1"/>
  <c r="BK38" i="30" s="1"/>
  <c r="BL38" i="30" s="1"/>
  <c r="BM38" i="30" s="1"/>
  <c r="BN38" i="30" s="1"/>
  <c r="BO38" i="30" s="1"/>
  <c r="BP38" i="30" s="1"/>
  <c r="BQ38" i="30" s="1"/>
  <c r="BR38" i="30" s="1"/>
  <c r="BS38" i="30" s="1"/>
  <c r="BT38" i="30" s="1"/>
  <c r="BU38" i="30" s="1"/>
  <c r="BV38" i="30" s="1"/>
  <c r="BW38" i="30" s="1"/>
  <c r="BX38" i="30" s="1"/>
  <c r="BY38" i="30" s="1"/>
  <c r="BZ38" i="30" s="1"/>
  <c r="CA38" i="30" s="1"/>
  <c r="CB38" i="30" s="1"/>
  <c r="CC38" i="30" s="1"/>
  <c r="CD38" i="30" s="1"/>
  <c r="CE38" i="30" s="1"/>
  <c r="CF38" i="30" s="1"/>
  <c r="CG38" i="30" s="1"/>
  <c r="CH38" i="30" s="1"/>
  <c r="CI38" i="30" s="1"/>
  <c r="CJ38" i="30" s="1"/>
  <c r="CK38" i="30" s="1"/>
  <c r="CL38" i="30" s="1"/>
  <c r="CM38" i="30" s="1"/>
  <c r="CN38" i="30" s="1"/>
  <c r="CO38" i="30" s="1"/>
  <c r="CP38" i="30" s="1"/>
  <c r="CQ38" i="30" s="1"/>
  <c r="CR38" i="30" s="1"/>
  <c r="CS38" i="30" s="1"/>
  <c r="CT38" i="30" s="1"/>
  <c r="CU38" i="30" s="1"/>
  <c r="CV38" i="30" s="1"/>
  <c r="CW38" i="30" s="1"/>
  <c r="CX38" i="30" s="1"/>
  <c r="CY38" i="30" s="1"/>
  <c r="CZ38" i="30" s="1"/>
  <c r="DA38" i="30" s="1"/>
  <c r="DB38" i="30" s="1"/>
  <c r="DC38" i="30" s="1"/>
  <c r="DD38" i="30" s="1"/>
  <c r="DE38" i="30" s="1"/>
  <c r="DF38" i="30" s="1"/>
  <c r="DG38" i="30" s="1"/>
  <c r="DH38" i="30" s="1"/>
  <c r="DI38" i="30" s="1"/>
  <c r="DJ38" i="30" s="1"/>
  <c r="DK38" i="30" s="1"/>
  <c r="DL38" i="30" s="1"/>
  <c r="DM38" i="30" s="1"/>
  <c r="DN38" i="30" s="1"/>
  <c r="DO38" i="30" s="1"/>
  <c r="DP38" i="30" s="1"/>
  <c r="DQ38" i="30" s="1"/>
  <c r="DR38" i="30" s="1"/>
  <c r="DS38" i="30" s="1"/>
  <c r="DT38" i="30" s="1"/>
  <c r="DU38" i="30" s="1"/>
  <c r="DV38" i="30" s="1"/>
  <c r="DW38" i="30" s="1"/>
  <c r="DX38" i="30" s="1"/>
  <c r="DY38" i="30" s="1"/>
  <c r="DZ38" i="30" s="1"/>
  <c r="EA38" i="30" s="1"/>
  <c r="EB38" i="30" s="1"/>
  <c r="EC38" i="30" s="1"/>
  <c r="ED38" i="30" s="1"/>
  <c r="EE38" i="30" s="1"/>
  <c r="EF38" i="30" s="1"/>
  <c r="EG38" i="30" s="1"/>
  <c r="EH38" i="30" s="1"/>
  <c r="EI38" i="30" s="1"/>
  <c r="EJ38" i="30" s="1"/>
  <c r="EK38" i="30" s="1"/>
  <c r="EL38" i="30" s="1"/>
  <c r="EM38" i="30" s="1"/>
  <c r="EN38" i="30" s="1"/>
  <c r="EO38" i="30" s="1"/>
  <c r="EP38" i="30" s="1"/>
  <c r="EQ38" i="30" s="1"/>
  <c r="ER38" i="30" s="1"/>
  <c r="ES38" i="30" s="1"/>
  <c r="ET38" i="30" s="1"/>
  <c r="EU38" i="30" s="1"/>
  <c r="EV38" i="30" s="1"/>
  <c r="EW38" i="30" s="1"/>
  <c r="EX38" i="30" s="1"/>
  <c r="EY38" i="30" s="1"/>
  <c r="EZ38" i="30" s="1"/>
  <c r="FA38" i="30" s="1"/>
  <c r="FB38" i="30" s="1"/>
  <c r="FC38" i="30" s="1"/>
  <c r="FD38" i="30" s="1"/>
  <c r="FE38" i="30" s="1"/>
  <c r="FF38" i="30" s="1"/>
  <c r="FG38" i="30" s="1"/>
  <c r="FH38" i="30" s="1"/>
  <c r="FI38" i="30" s="1"/>
  <c r="FJ38" i="30" s="1"/>
  <c r="FK38" i="30" s="1"/>
  <c r="FL38" i="30" s="1"/>
  <c r="FM38" i="30" s="1"/>
  <c r="FN38" i="30" s="1"/>
  <c r="FO38" i="30" s="1"/>
  <c r="FP38" i="30" s="1"/>
  <c r="FQ38" i="30" s="1"/>
  <c r="FR38" i="30" s="1"/>
  <c r="FS38" i="30" s="1"/>
  <c r="FT38" i="30" s="1"/>
  <c r="FU38" i="30" s="1"/>
  <c r="FV38" i="30" s="1"/>
  <c r="FW38" i="30" s="1"/>
  <c r="FX38" i="30" s="1"/>
  <c r="FY38" i="30" s="1"/>
  <c r="FZ38" i="30" s="1"/>
  <c r="GA38" i="30" s="1"/>
  <c r="GB38" i="30" s="1"/>
  <c r="GC38" i="30" s="1"/>
  <c r="GD38" i="30" s="1"/>
  <c r="GE38" i="30" s="1"/>
  <c r="GF38" i="30" s="1"/>
  <c r="GG38" i="30" s="1"/>
  <c r="GH38" i="30" s="1"/>
  <c r="GI38" i="30" s="1"/>
  <c r="GJ38" i="30" s="1"/>
  <c r="GK38" i="30" s="1"/>
  <c r="GL38" i="30" s="1"/>
  <c r="GM38" i="30" s="1"/>
  <c r="GN38" i="30" s="1"/>
  <c r="GO38" i="30" s="1"/>
  <c r="GP38" i="30" s="1"/>
  <c r="GQ38" i="30" s="1"/>
  <c r="GR38" i="30" s="1"/>
  <c r="GS38" i="30" s="1"/>
  <c r="GT38" i="30" s="1"/>
  <c r="GU38" i="30" s="1"/>
  <c r="GV38" i="30" s="1"/>
  <c r="GW38" i="30" s="1"/>
  <c r="GX38" i="30" s="1"/>
  <c r="GY38" i="30" s="1"/>
  <c r="GZ38" i="30" s="1"/>
  <c r="HA38" i="30" s="1"/>
  <c r="HB38" i="30" s="1"/>
  <c r="HC38" i="30" s="1"/>
  <c r="HD38" i="30" s="1"/>
  <c r="HE38" i="30" s="1"/>
  <c r="HF38" i="30" s="1"/>
  <c r="HG38" i="30" s="1"/>
  <c r="HH38" i="30" s="1"/>
  <c r="HI38" i="30" s="1"/>
  <c r="HJ38" i="30" s="1"/>
  <c r="HK38" i="30" s="1"/>
  <c r="HL38" i="30" s="1"/>
  <c r="HM38" i="30" s="1"/>
  <c r="HN38" i="30" s="1"/>
  <c r="HO38" i="30" s="1"/>
  <c r="HP38" i="30" s="1"/>
  <c r="HQ38" i="30" s="1"/>
  <c r="HR38" i="30" s="1"/>
  <c r="HS38" i="30" s="1"/>
  <c r="HT38" i="30" s="1"/>
  <c r="HU38" i="30" s="1"/>
  <c r="HV38" i="30" s="1"/>
  <c r="HW38" i="30" s="1"/>
  <c r="HX38" i="30" s="1"/>
  <c r="HY38" i="30" s="1"/>
  <c r="HZ38" i="30" s="1"/>
  <c r="IA38" i="30" s="1"/>
  <c r="IB38" i="30" s="1"/>
  <c r="IC38" i="30" s="1"/>
  <c r="ID38" i="30" s="1"/>
  <c r="IE38" i="30" s="1"/>
  <c r="IF38" i="30" s="1"/>
  <c r="IG38" i="30" s="1"/>
  <c r="IH38" i="30" s="1"/>
  <c r="II38" i="30" s="1"/>
  <c r="IJ38" i="30" s="1"/>
  <c r="IK38" i="30" s="1"/>
  <c r="IL38" i="30" s="1"/>
  <c r="IM38" i="30" s="1"/>
  <c r="IN38" i="30" s="1"/>
  <c r="IO38" i="30" s="1"/>
  <c r="IP38" i="30" s="1"/>
  <c r="IQ38" i="30" s="1"/>
  <c r="IR38" i="30" s="1"/>
  <c r="IS38" i="30" s="1"/>
  <c r="IT38" i="30" s="1"/>
  <c r="IU38" i="30" s="1"/>
  <c r="IV38" i="30" s="1"/>
  <c r="IW38" i="30" s="1"/>
  <c r="IX38" i="30" s="1"/>
  <c r="IY38" i="30" s="1"/>
  <c r="IZ38" i="30" s="1"/>
  <c r="JA38" i="30" s="1"/>
  <c r="JB38" i="30" s="1"/>
  <c r="JC38" i="30" s="1"/>
  <c r="JD38" i="30" s="1"/>
  <c r="JE38" i="30" s="1"/>
  <c r="JF38" i="30" s="1"/>
  <c r="JG38" i="30" s="1"/>
  <c r="JH38" i="30" s="1"/>
  <c r="JI38" i="30" s="1"/>
  <c r="JJ38" i="30" s="1"/>
  <c r="JK38" i="30" s="1"/>
  <c r="JL38" i="30" s="1"/>
  <c r="JM38" i="30" s="1"/>
  <c r="JN38" i="30" s="1"/>
  <c r="JO38" i="30" s="1"/>
  <c r="JP38" i="30" s="1"/>
  <c r="JQ38" i="30" s="1"/>
  <c r="JR38" i="30" s="1"/>
  <c r="JS38" i="30" s="1"/>
  <c r="JT38" i="30" s="1"/>
  <c r="JU38" i="30" s="1"/>
  <c r="JV38" i="30" s="1"/>
  <c r="JW38" i="30" s="1"/>
  <c r="JX38" i="30" s="1"/>
  <c r="JY38" i="30" s="1"/>
  <c r="JZ38" i="30" s="1"/>
  <c r="KA38" i="30" s="1"/>
  <c r="KB38" i="30" s="1"/>
  <c r="KC38" i="30" s="1"/>
  <c r="KD38" i="30" s="1"/>
  <c r="KE38" i="30" s="1"/>
  <c r="KF38" i="30" s="1"/>
  <c r="KG38" i="30" s="1"/>
  <c r="KH38" i="30" s="1"/>
  <c r="KI38" i="30" s="1"/>
  <c r="KJ38" i="30" s="1"/>
  <c r="KK38" i="30" s="1"/>
  <c r="KL38" i="30" s="1"/>
  <c r="KM38" i="30" s="1"/>
  <c r="KN38" i="30" s="1"/>
  <c r="KO38" i="30" s="1"/>
  <c r="KP38" i="30" s="1"/>
  <c r="KQ38" i="30" s="1"/>
  <c r="KR38" i="30" s="1"/>
  <c r="KS38" i="30" s="1"/>
  <c r="KT38" i="30" s="1"/>
  <c r="KU38" i="30" s="1"/>
  <c r="KV38" i="30" s="1"/>
  <c r="KW38" i="30" s="1"/>
  <c r="KX38" i="30" s="1"/>
  <c r="KY38" i="30" s="1"/>
  <c r="KZ38" i="30" s="1"/>
  <c r="LA38" i="30" s="1"/>
  <c r="LB38" i="30" s="1"/>
  <c r="LC38" i="30" s="1"/>
  <c r="LD38" i="30" s="1"/>
  <c r="LE38" i="30" s="1"/>
  <c r="LF38" i="30" s="1"/>
  <c r="LG38" i="30" s="1"/>
  <c r="LH38" i="30" s="1"/>
  <c r="LI38" i="30" s="1"/>
  <c r="LJ38" i="30" s="1"/>
  <c r="W39" i="30"/>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BE39" i="30" s="1"/>
  <c r="BF39" i="30" s="1"/>
  <c r="BG39" i="30" s="1"/>
  <c r="BH39" i="30" s="1"/>
  <c r="BI39" i="30" s="1"/>
  <c r="BJ39" i="30" s="1"/>
  <c r="BK39" i="30" s="1"/>
  <c r="BL39" i="30" s="1"/>
  <c r="BM39" i="30" s="1"/>
  <c r="BN39" i="30" s="1"/>
  <c r="BO39" i="30" s="1"/>
  <c r="BP39" i="30" s="1"/>
  <c r="BQ39" i="30" s="1"/>
  <c r="BR39" i="30" s="1"/>
  <c r="BS39" i="30" s="1"/>
  <c r="BT39" i="30" s="1"/>
  <c r="BU39" i="30" s="1"/>
  <c r="BV39" i="30" s="1"/>
  <c r="BW39" i="30" s="1"/>
  <c r="BX39" i="30" s="1"/>
  <c r="BY39" i="30" s="1"/>
  <c r="BZ39" i="30" s="1"/>
  <c r="CA39" i="30" s="1"/>
  <c r="CB39" i="30" s="1"/>
  <c r="CC39" i="30" s="1"/>
  <c r="CD39" i="30" s="1"/>
  <c r="CE39" i="30" s="1"/>
  <c r="CF39" i="30" s="1"/>
  <c r="CG39" i="30" s="1"/>
  <c r="CH39" i="30" s="1"/>
  <c r="CI39" i="30" s="1"/>
  <c r="CJ39" i="30" s="1"/>
  <c r="CK39" i="30" s="1"/>
  <c r="CL39" i="30" s="1"/>
  <c r="CM39" i="30" s="1"/>
  <c r="CN39" i="30" s="1"/>
  <c r="CO39" i="30" s="1"/>
  <c r="CP39" i="30" s="1"/>
  <c r="CQ39" i="30" s="1"/>
  <c r="CR39" i="30" s="1"/>
  <c r="CS39" i="30" s="1"/>
  <c r="CT39" i="30" s="1"/>
  <c r="CU39" i="30" s="1"/>
  <c r="CV39" i="30" s="1"/>
  <c r="CW39" i="30" s="1"/>
  <c r="CX39" i="30" s="1"/>
  <c r="CY39" i="30" s="1"/>
  <c r="CZ39" i="30" s="1"/>
  <c r="DA39" i="30" s="1"/>
  <c r="DB39" i="30" s="1"/>
  <c r="DC39" i="30" s="1"/>
  <c r="DD39" i="30" s="1"/>
  <c r="DE39" i="30" s="1"/>
  <c r="DF39" i="30" s="1"/>
  <c r="DG39" i="30" s="1"/>
  <c r="DH39" i="30" s="1"/>
  <c r="DI39" i="30" s="1"/>
  <c r="DJ39" i="30" s="1"/>
  <c r="DK39" i="30" s="1"/>
  <c r="DL39" i="30" s="1"/>
  <c r="DM39" i="30" s="1"/>
  <c r="DN39" i="30" s="1"/>
  <c r="DO39" i="30" s="1"/>
  <c r="DP39" i="30" s="1"/>
  <c r="DQ39" i="30" s="1"/>
  <c r="DR39" i="30" s="1"/>
  <c r="DS39" i="30" s="1"/>
  <c r="DT39" i="30" s="1"/>
  <c r="DU39" i="30" s="1"/>
  <c r="DV39" i="30" s="1"/>
  <c r="DW39" i="30" s="1"/>
  <c r="DX39" i="30" s="1"/>
  <c r="DY39" i="30" s="1"/>
  <c r="DZ39" i="30" s="1"/>
  <c r="EA39" i="30" s="1"/>
  <c r="EB39" i="30" s="1"/>
  <c r="EC39" i="30" s="1"/>
  <c r="ED39" i="30" s="1"/>
  <c r="EE39" i="30" s="1"/>
  <c r="EF39" i="30" s="1"/>
  <c r="EG39" i="30" s="1"/>
  <c r="EH39" i="30" s="1"/>
  <c r="EI39" i="30" s="1"/>
  <c r="EJ39" i="30" s="1"/>
  <c r="EK39" i="30" s="1"/>
  <c r="EL39" i="30" s="1"/>
  <c r="EM39" i="30" s="1"/>
  <c r="EN39" i="30" s="1"/>
  <c r="EO39" i="30" s="1"/>
  <c r="EP39" i="30" s="1"/>
  <c r="EQ39" i="30" s="1"/>
  <c r="ER39" i="30" s="1"/>
  <c r="ES39" i="30" s="1"/>
  <c r="ET39" i="30" s="1"/>
  <c r="EU39" i="30" s="1"/>
  <c r="EV39" i="30" s="1"/>
  <c r="EW39" i="30" s="1"/>
  <c r="EX39" i="30" s="1"/>
  <c r="EY39" i="30" s="1"/>
  <c r="EZ39" i="30" s="1"/>
  <c r="FA39" i="30" s="1"/>
  <c r="FB39" i="30" s="1"/>
  <c r="FC39" i="30" s="1"/>
  <c r="FD39" i="30" s="1"/>
  <c r="FE39" i="30" s="1"/>
  <c r="FF39" i="30" s="1"/>
  <c r="FG39" i="30" s="1"/>
  <c r="FH39" i="30" s="1"/>
  <c r="FI39" i="30" s="1"/>
  <c r="FJ39" i="30" s="1"/>
  <c r="FK39" i="30" s="1"/>
  <c r="FL39" i="30" s="1"/>
  <c r="FM39" i="30" s="1"/>
  <c r="FN39" i="30" s="1"/>
  <c r="FO39" i="30" s="1"/>
  <c r="FP39" i="30" s="1"/>
  <c r="FQ39" i="30" s="1"/>
  <c r="FR39" i="30" s="1"/>
  <c r="FS39" i="30" s="1"/>
  <c r="FT39" i="30" s="1"/>
  <c r="FU39" i="30" s="1"/>
  <c r="FV39" i="30" s="1"/>
  <c r="FW39" i="30" s="1"/>
  <c r="FX39" i="30" s="1"/>
  <c r="FY39" i="30" s="1"/>
  <c r="FZ39" i="30" s="1"/>
  <c r="GA39" i="30" s="1"/>
  <c r="GB39" i="30" s="1"/>
  <c r="GC39" i="30" s="1"/>
  <c r="GD39" i="30" s="1"/>
  <c r="GE39" i="30" s="1"/>
  <c r="GF39" i="30" s="1"/>
  <c r="GG39" i="30" s="1"/>
  <c r="GH39" i="30" s="1"/>
  <c r="GI39" i="30" s="1"/>
  <c r="GJ39" i="30" s="1"/>
  <c r="GK39" i="30" s="1"/>
  <c r="GL39" i="30" s="1"/>
  <c r="GM39" i="30" s="1"/>
  <c r="GN39" i="30" s="1"/>
  <c r="GO39" i="30" s="1"/>
  <c r="GP39" i="30" s="1"/>
  <c r="GQ39" i="30" s="1"/>
  <c r="GR39" i="30" s="1"/>
  <c r="GS39" i="30" s="1"/>
  <c r="GT39" i="30" s="1"/>
  <c r="GU39" i="30" s="1"/>
  <c r="GV39" i="30" s="1"/>
  <c r="GW39" i="30" s="1"/>
  <c r="GX39" i="30" s="1"/>
  <c r="GY39" i="30" s="1"/>
  <c r="GZ39" i="30" s="1"/>
  <c r="HA39" i="30" s="1"/>
  <c r="HB39" i="30" s="1"/>
  <c r="HC39" i="30" s="1"/>
  <c r="HD39" i="30" s="1"/>
  <c r="HE39" i="30" s="1"/>
  <c r="HF39" i="30" s="1"/>
  <c r="HG39" i="30" s="1"/>
  <c r="HH39" i="30" s="1"/>
  <c r="HI39" i="30" s="1"/>
  <c r="HJ39" i="30" s="1"/>
  <c r="HK39" i="30" s="1"/>
  <c r="HL39" i="30" s="1"/>
  <c r="HM39" i="30" s="1"/>
  <c r="HN39" i="30" s="1"/>
  <c r="HO39" i="30" s="1"/>
  <c r="HP39" i="30" s="1"/>
  <c r="HQ39" i="30" s="1"/>
  <c r="HR39" i="30" s="1"/>
  <c r="HS39" i="30" s="1"/>
  <c r="HT39" i="30" s="1"/>
  <c r="HU39" i="30" s="1"/>
  <c r="HV39" i="30" s="1"/>
  <c r="HW39" i="30" s="1"/>
  <c r="HX39" i="30" s="1"/>
  <c r="HY39" i="30" s="1"/>
  <c r="HZ39" i="30" s="1"/>
  <c r="IA39" i="30" s="1"/>
  <c r="IB39" i="30" s="1"/>
  <c r="IC39" i="30" s="1"/>
  <c r="ID39" i="30" s="1"/>
  <c r="IE39" i="30" s="1"/>
  <c r="IF39" i="30" s="1"/>
  <c r="IG39" i="30" s="1"/>
  <c r="IH39" i="30" s="1"/>
  <c r="II39" i="30" s="1"/>
  <c r="IJ39" i="30" s="1"/>
  <c r="IK39" i="30" s="1"/>
  <c r="IL39" i="30" s="1"/>
  <c r="IM39" i="30" s="1"/>
  <c r="IN39" i="30" s="1"/>
  <c r="IO39" i="30" s="1"/>
  <c r="IP39" i="30" s="1"/>
  <c r="IQ39" i="30" s="1"/>
  <c r="IR39" i="30" s="1"/>
  <c r="IS39" i="30" s="1"/>
  <c r="IT39" i="30" s="1"/>
  <c r="IU39" i="30" s="1"/>
  <c r="IV39" i="30" s="1"/>
  <c r="IW39" i="30" s="1"/>
  <c r="IX39" i="30" s="1"/>
  <c r="IY39" i="30" s="1"/>
  <c r="IZ39" i="30" s="1"/>
  <c r="JA39" i="30" s="1"/>
  <c r="JB39" i="30" s="1"/>
  <c r="JC39" i="30" s="1"/>
  <c r="JD39" i="30" s="1"/>
  <c r="JE39" i="30" s="1"/>
  <c r="JF39" i="30" s="1"/>
  <c r="JG39" i="30" s="1"/>
  <c r="JH39" i="30" s="1"/>
  <c r="JI39" i="30" s="1"/>
  <c r="JJ39" i="30" s="1"/>
  <c r="JK39" i="30" s="1"/>
  <c r="JL39" i="30" s="1"/>
  <c r="JM39" i="30" s="1"/>
  <c r="JN39" i="30" s="1"/>
  <c r="JO39" i="30" s="1"/>
  <c r="JP39" i="30" s="1"/>
  <c r="JQ39" i="30" s="1"/>
  <c r="JR39" i="30" s="1"/>
  <c r="JS39" i="30" s="1"/>
  <c r="JT39" i="30" s="1"/>
  <c r="JU39" i="30" s="1"/>
  <c r="JV39" i="30" s="1"/>
  <c r="JW39" i="30" s="1"/>
  <c r="JX39" i="30" s="1"/>
  <c r="JY39" i="30" s="1"/>
  <c r="JZ39" i="30" s="1"/>
  <c r="KA39" i="30" s="1"/>
  <c r="KB39" i="30" s="1"/>
  <c r="KC39" i="30" s="1"/>
  <c r="KD39" i="30" s="1"/>
  <c r="KE39" i="30" s="1"/>
  <c r="KF39" i="30" s="1"/>
  <c r="KG39" i="30" s="1"/>
  <c r="KH39" i="30" s="1"/>
  <c r="KI39" i="30" s="1"/>
  <c r="KJ39" i="30" s="1"/>
  <c r="KK39" i="30" s="1"/>
  <c r="KL39" i="30" s="1"/>
  <c r="KM39" i="30" s="1"/>
  <c r="KN39" i="30" s="1"/>
  <c r="KO39" i="30" s="1"/>
  <c r="KP39" i="30" s="1"/>
  <c r="KQ39" i="30" s="1"/>
  <c r="KR39" i="30" s="1"/>
  <c r="KS39" i="30" s="1"/>
  <c r="KT39" i="30" s="1"/>
  <c r="KU39" i="30" s="1"/>
  <c r="KV39" i="30" s="1"/>
  <c r="KW39" i="30" s="1"/>
  <c r="KX39" i="30" s="1"/>
  <c r="KY39" i="30" s="1"/>
  <c r="KZ39" i="30" s="1"/>
  <c r="LA39" i="30" s="1"/>
  <c r="LB39" i="30" s="1"/>
  <c r="LC39" i="30" s="1"/>
  <c r="LD39" i="30" s="1"/>
  <c r="LE39" i="30" s="1"/>
  <c r="LF39" i="30" s="1"/>
  <c r="LG39" i="30" s="1"/>
  <c r="LH39" i="30" s="1"/>
  <c r="LI39" i="30" s="1"/>
  <c r="LJ39" i="30" s="1"/>
  <c r="W40" i="30"/>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BE40" i="30" s="1"/>
  <c r="BF40" i="30" s="1"/>
  <c r="BG40" i="30" s="1"/>
  <c r="BH40" i="30" s="1"/>
  <c r="BI40" i="30" s="1"/>
  <c r="BJ40" i="30" s="1"/>
  <c r="BK40" i="30" s="1"/>
  <c r="BL40" i="30" s="1"/>
  <c r="BM40" i="30" s="1"/>
  <c r="BN40" i="30" s="1"/>
  <c r="BO40" i="30" s="1"/>
  <c r="BP40" i="30" s="1"/>
  <c r="BQ40" i="30" s="1"/>
  <c r="BR40" i="30" s="1"/>
  <c r="BS40" i="30" s="1"/>
  <c r="BT40" i="30" s="1"/>
  <c r="BU40" i="30" s="1"/>
  <c r="BV40" i="30" s="1"/>
  <c r="BW40" i="30" s="1"/>
  <c r="BX40" i="30" s="1"/>
  <c r="BY40" i="30" s="1"/>
  <c r="BZ40" i="30" s="1"/>
  <c r="CA40" i="30" s="1"/>
  <c r="CB40" i="30" s="1"/>
  <c r="CC40" i="30" s="1"/>
  <c r="CD40" i="30" s="1"/>
  <c r="CE40" i="30" s="1"/>
  <c r="CF40" i="30" s="1"/>
  <c r="CG40" i="30" s="1"/>
  <c r="CH40" i="30" s="1"/>
  <c r="CI40" i="30" s="1"/>
  <c r="CJ40" i="30" s="1"/>
  <c r="CK40" i="30" s="1"/>
  <c r="CL40" i="30" s="1"/>
  <c r="CM40" i="30" s="1"/>
  <c r="CN40" i="30" s="1"/>
  <c r="CO40" i="30" s="1"/>
  <c r="CP40" i="30" s="1"/>
  <c r="CQ40" i="30" s="1"/>
  <c r="CR40" i="30" s="1"/>
  <c r="CS40" i="30" s="1"/>
  <c r="CT40" i="30" s="1"/>
  <c r="CU40" i="30" s="1"/>
  <c r="CV40" i="30" s="1"/>
  <c r="CW40" i="30" s="1"/>
  <c r="CX40" i="30" s="1"/>
  <c r="CY40" i="30" s="1"/>
  <c r="CZ40" i="30" s="1"/>
  <c r="DA40" i="30" s="1"/>
  <c r="DB40" i="30" s="1"/>
  <c r="DC40" i="30" s="1"/>
  <c r="DD40" i="30" s="1"/>
  <c r="DE40" i="30" s="1"/>
  <c r="DF40" i="30" s="1"/>
  <c r="DG40" i="30" s="1"/>
  <c r="DH40" i="30" s="1"/>
  <c r="DI40" i="30" s="1"/>
  <c r="DJ40" i="30" s="1"/>
  <c r="DK40" i="30" s="1"/>
  <c r="DL40" i="30" s="1"/>
  <c r="DM40" i="30" s="1"/>
  <c r="DN40" i="30" s="1"/>
  <c r="DO40" i="30" s="1"/>
  <c r="DP40" i="30" s="1"/>
  <c r="DQ40" i="30" s="1"/>
  <c r="DR40" i="30" s="1"/>
  <c r="DS40" i="30" s="1"/>
  <c r="DT40" i="30" s="1"/>
  <c r="DU40" i="30" s="1"/>
  <c r="DV40" i="30" s="1"/>
  <c r="DW40" i="30" s="1"/>
  <c r="DX40" i="30" s="1"/>
  <c r="DY40" i="30" s="1"/>
  <c r="DZ40" i="30" s="1"/>
  <c r="EA40" i="30" s="1"/>
  <c r="EB40" i="30" s="1"/>
  <c r="EC40" i="30" s="1"/>
  <c r="ED40" i="30" s="1"/>
  <c r="EE40" i="30" s="1"/>
  <c r="EF40" i="30" s="1"/>
  <c r="EG40" i="30" s="1"/>
  <c r="EH40" i="30" s="1"/>
  <c r="EI40" i="30" s="1"/>
  <c r="EJ40" i="30" s="1"/>
  <c r="EK40" i="30" s="1"/>
  <c r="EL40" i="30" s="1"/>
  <c r="EM40" i="30" s="1"/>
  <c r="EN40" i="30" s="1"/>
  <c r="EO40" i="30" s="1"/>
  <c r="EP40" i="30" s="1"/>
  <c r="EQ40" i="30" s="1"/>
  <c r="ER40" i="30" s="1"/>
  <c r="ES40" i="30" s="1"/>
  <c r="ET40" i="30" s="1"/>
  <c r="EU40" i="30" s="1"/>
  <c r="EV40" i="30" s="1"/>
  <c r="EW40" i="30" s="1"/>
  <c r="EX40" i="30" s="1"/>
  <c r="EY40" i="30" s="1"/>
  <c r="EZ40" i="30" s="1"/>
  <c r="FA40" i="30" s="1"/>
  <c r="FB40" i="30" s="1"/>
  <c r="FC40" i="30" s="1"/>
  <c r="FD40" i="30" s="1"/>
  <c r="FE40" i="30" s="1"/>
  <c r="FF40" i="30" s="1"/>
  <c r="FG40" i="30" s="1"/>
  <c r="FH40" i="30" s="1"/>
  <c r="FI40" i="30" s="1"/>
  <c r="FJ40" i="30" s="1"/>
  <c r="FK40" i="30" s="1"/>
  <c r="FL40" i="30" s="1"/>
  <c r="FM40" i="30" s="1"/>
  <c r="FN40" i="30" s="1"/>
  <c r="FO40" i="30" s="1"/>
  <c r="FP40" i="30" s="1"/>
  <c r="FQ40" i="30" s="1"/>
  <c r="FR40" i="30" s="1"/>
  <c r="FS40" i="30" s="1"/>
  <c r="FT40" i="30" s="1"/>
  <c r="FU40" i="30" s="1"/>
  <c r="FV40" i="30" s="1"/>
  <c r="FW40" i="30" s="1"/>
  <c r="FX40" i="30" s="1"/>
  <c r="FY40" i="30" s="1"/>
  <c r="FZ40" i="30" s="1"/>
  <c r="GA40" i="30" s="1"/>
  <c r="GB40" i="30" s="1"/>
  <c r="GC40" i="30" s="1"/>
  <c r="GD40" i="30" s="1"/>
  <c r="GE40" i="30" s="1"/>
  <c r="GF40" i="30" s="1"/>
  <c r="GG40" i="30" s="1"/>
  <c r="GH40" i="30" s="1"/>
  <c r="GI40" i="30" s="1"/>
  <c r="GJ40" i="30" s="1"/>
  <c r="GK40" i="30" s="1"/>
  <c r="GL40" i="30" s="1"/>
  <c r="GM40" i="30" s="1"/>
  <c r="GN40" i="30" s="1"/>
  <c r="GO40" i="30" s="1"/>
  <c r="GP40" i="30" s="1"/>
  <c r="GQ40" i="30" s="1"/>
  <c r="GR40" i="30" s="1"/>
  <c r="GS40" i="30" s="1"/>
  <c r="GT40" i="30" s="1"/>
  <c r="GU40" i="30" s="1"/>
  <c r="GV40" i="30" s="1"/>
  <c r="GW40" i="30" s="1"/>
  <c r="GX40" i="30" s="1"/>
  <c r="GY40" i="30" s="1"/>
  <c r="GZ40" i="30" s="1"/>
  <c r="HA40" i="30" s="1"/>
  <c r="HB40" i="30" s="1"/>
  <c r="HC40" i="30" s="1"/>
  <c r="HD40" i="30" s="1"/>
  <c r="HE40" i="30" s="1"/>
  <c r="HF40" i="30" s="1"/>
  <c r="HG40" i="30" s="1"/>
  <c r="HH40" i="30" s="1"/>
  <c r="HI40" i="30" s="1"/>
  <c r="HJ40" i="30" s="1"/>
  <c r="HK40" i="30" s="1"/>
  <c r="HL40" i="30" s="1"/>
  <c r="HM40" i="30" s="1"/>
  <c r="HN40" i="30" s="1"/>
  <c r="HO40" i="30" s="1"/>
  <c r="HP40" i="30" s="1"/>
  <c r="HQ40" i="30" s="1"/>
  <c r="HR40" i="30" s="1"/>
  <c r="HS40" i="30" s="1"/>
  <c r="HT40" i="30" s="1"/>
  <c r="HU40" i="30" s="1"/>
  <c r="HV40" i="30" s="1"/>
  <c r="HW40" i="30" s="1"/>
  <c r="HX40" i="30" s="1"/>
  <c r="HY40" i="30" s="1"/>
  <c r="HZ40" i="30" s="1"/>
  <c r="IA40" i="30" s="1"/>
  <c r="IB40" i="30" s="1"/>
  <c r="IC40" i="30" s="1"/>
  <c r="ID40" i="30" s="1"/>
  <c r="IE40" i="30" s="1"/>
  <c r="IF40" i="30" s="1"/>
  <c r="IG40" i="30" s="1"/>
  <c r="IH40" i="30" s="1"/>
  <c r="II40" i="30" s="1"/>
  <c r="IJ40" i="30" s="1"/>
  <c r="IK40" i="30" s="1"/>
  <c r="IL40" i="30" s="1"/>
  <c r="IM40" i="30" s="1"/>
  <c r="IN40" i="30" s="1"/>
  <c r="IO40" i="30" s="1"/>
  <c r="IP40" i="30" s="1"/>
  <c r="IQ40" i="30" s="1"/>
  <c r="IR40" i="30" s="1"/>
  <c r="IS40" i="30" s="1"/>
  <c r="IT40" i="30" s="1"/>
  <c r="IU40" i="30" s="1"/>
  <c r="IV40" i="30" s="1"/>
  <c r="IW40" i="30" s="1"/>
  <c r="IX40" i="30" s="1"/>
  <c r="IY40" i="30" s="1"/>
  <c r="IZ40" i="30" s="1"/>
  <c r="JA40" i="30" s="1"/>
  <c r="JB40" i="30" s="1"/>
  <c r="JC40" i="30" s="1"/>
  <c r="JD40" i="30" s="1"/>
  <c r="JE40" i="30" s="1"/>
  <c r="JF40" i="30" s="1"/>
  <c r="JG40" i="30" s="1"/>
  <c r="JH40" i="30" s="1"/>
  <c r="JI40" i="30" s="1"/>
  <c r="JJ40" i="30" s="1"/>
  <c r="JK40" i="30" s="1"/>
  <c r="JL40" i="30" s="1"/>
  <c r="JM40" i="30" s="1"/>
  <c r="JN40" i="30" s="1"/>
  <c r="JO40" i="30" s="1"/>
  <c r="JP40" i="30" s="1"/>
  <c r="JQ40" i="30" s="1"/>
  <c r="JR40" i="30" s="1"/>
  <c r="JS40" i="30" s="1"/>
  <c r="JT40" i="30" s="1"/>
  <c r="JU40" i="30" s="1"/>
  <c r="JV40" i="30" s="1"/>
  <c r="JW40" i="30" s="1"/>
  <c r="JX40" i="30" s="1"/>
  <c r="JY40" i="30" s="1"/>
  <c r="JZ40" i="30" s="1"/>
  <c r="KA40" i="30" s="1"/>
  <c r="KB40" i="30" s="1"/>
  <c r="KC40" i="30" s="1"/>
  <c r="KD40" i="30" s="1"/>
  <c r="KE40" i="30" s="1"/>
  <c r="KF40" i="30" s="1"/>
  <c r="KG40" i="30" s="1"/>
  <c r="KH40" i="30" s="1"/>
  <c r="KI40" i="30" s="1"/>
  <c r="KJ40" i="30" s="1"/>
  <c r="KK40" i="30" s="1"/>
  <c r="KL40" i="30" s="1"/>
  <c r="KM40" i="30" s="1"/>
  <c r="KN40" i="30" s="1"/>
  <c r="KO40" i="30" s="1"/>
  <c r="KP40" i="30" s="1"/>
  <c r="KQ40" i="30" s="1"/>
  <c r="KR40" i="30" s="1"/>
  <c r="KS40" i="30" s="1"/>
  <c r="KT40" i="30" s="1"/>
  <c r="KU40" i="30" s="1"/>
  <c r="KV40" i="30" s="1"/>
  <c r="KW40" i="30" s="1"/>
  <c r="KX40" i="30" s="1"/>
  <c r="KY40" i="30" s="1"/>
  <c r="KZ40" i="30" s="1"/>
  <c r="LA40" i="30" s="1"/>
  <c r="LB40" i="30" s="1"/>
  <c r="LC40" i="30" s="1"/>
  <c r="LD40" i="30" s="1"/>
  <c r="LE40" i="30" s="1"/>
  <c r="LF40" i="30" s="1"/>
  <c r="LG40" i="30" s="1"/>
  <c r="LH40" i="30" s="1"/>
  <c r="LI40" i="30" s="1"/>
  <c r="LJ40" i="30" s="1"/>
  <c r="W41" i="30"/>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BE41" i="30" s="1"/>
  <c r="BF41" i="30" s="1"/>
  <c r="BG41" i="30" s="1"/>
  <c r="BH41" i="30" s="1"/>
  <c r="BI41" i="30" s="1"/>
  <c r="BJ41" i="30" s="1"/>
  <c r="BK41" i="30" s="1"/>
  <c r="BL41" i="30" s="1"/>
  <c r="BM41" i="30" s="1"/>
  <c r="BN41" i="30" s="1"/>
  <c r="BO41" i="30" s="1"/>
  <c r="BP41" i="30" s="1"/>
  <c r="BQ41" i="30" s="1"/>
  <c r="BR41" i="30" s="1"/>
  <c r="BS41" i="30" s="1"/>
  <c r="BT41" i="30" s="1"/>
  <c r="BU41" i="30" s="1"/>
  <c r="BV41" i="30" s="1"/>
  <c r="BW41" i="30" s="1"/>
  <c r="BX41" i="30" s="1"/>
  <c r="BY41" i="30" s="1"/>
  <c r="BZ41" i="30" s="1"/>
  <c r="CA41" i="30" s="1"/>
  <c r="CB41" i="30" s="1"/>
  <c r="CC41" i="30" s="1"/>
  <c r="CD41" i="30" s="1"/>
  <c r="CE41" i="30" s="1"/>
  <c r="CF41" i="30" s="1"/>
  <c r="CG41" i="30" s="1"/>
  <c r="CH41" i="30" s="1"/>
  <c r="CI41" i="30" s="1"/>
  <c r="CJ41" i="30" s="1"/>
  <c r="CK41" i="30" s="1"/>
  <c r="CL41" i="30" s="1"/>
  <c r="CM41" i="30" s="1"/>
  <c r="CN41" i="30" s="1"/>
  <c r="CO41" i="30" s="1"/>
  <c r="CP41" i="30" s="1"/>
  <c r="CQ41" i="30" s="1"/>
  <c r="CR41" i="30" s="1"/>
  <c r="CS41" i="30" s="1"/>
  <c r="CT41" i="30" s="1"/>
  <c r="CU41" i="30" s="1"/>
  <c r="CV41" i="30" s="1"/>
  <c r="CW41" i="30" s="1"/>
  <c r="CX41" i="30" s="1"/>
  <c r="CY41" i="30" s="1"/>
  <c r="CZ41" i="30" s="1"/>
  <c r="DA41" i="30" s="1"/>
  <c r="DB41" i="30" s="1"/>
  <c r="DC41" i="30" s="1"/>
  <c r="DD41" i="30" s="1"/>
  <c r="DE41" i="30" s="1"/>
  <c r="DF41" i="30" s="1"/>
  <c r="DG41" i="30" s="1"/>
  <c r="DH41" i="30" s="1"/>
  <c r="DI41" i="30" s="1"/>
  <c r="DJ41" i="30" s="1"/>
  <c r="DK41" i="30" s="1"/>
  <c r="DL41" i="30" s="1"/>
  <c r="DM41" i="30" s="1"/>
  <c r="DN41" i="30" s="1"/>
  <c r="DO41" i="30" s="1"/>
  <c r="DP41" i="30" s="1"/>
  <c r="DQ41" i="30" s="1"/>
  <c r="DR41" i="30" s="1"/>
  <c r="DS41" i="30" s="1"/>
  <c r="DT41" i="30" s="1"/>
  <c r="DU41" i="30" s="1"/>
  <c r="DV41" i="30" s="1"/>
  <c r="DW41" i="30" s="1"/>
  <c r="DX41" i="30" s="1"/>
  <c r="DY41" i="30" s="1"/>
  <c r="DZ41" i="30" s="1"/>
  <c r="EA41" i="30" s="1"/>
  <c r="EB41" i="30" s="1"/>
  <c r="EC41" i="30" s="1"/>
  <c r="ED41" i="30" s="1"/>
  <c r="EE41" i="30" s="1"/>
  <c r="EF41" i="30" s="1"/>
  <c r="EG41" i="30" s="1"/>
  <c r="EH41" i="30" s="1"/>
  <c r="EI41" i="30" s="1"/>
  <c r="EJ41" i="30" s="1"/>
  <c r="EK41" i="30" s="1"/>
  <c r="EL41" i="30" s="1"/>
  <c r="EM41" i="30" s="1"/>
  <c r="EN41" i="30" s="1"/>
  <c r="EO41" i="30" s="1"/>
  <c r="EP41" i="30" s="1"/>
  <c r="EQ41" i="30" s="1"/>
  <c r="ER41" i="30" s="1"/>
  <c r="ES41" i="30" s="1"/>
  <c r="ET41" i="30" s="1"/>
  <c r="EU41" i="30" s="1"/>
  <c r="EV41" i="30" s="1"/>
  <c r="EW41" i="30" s="1"/>
  <c r="EX41" i="30" s="1"/>
  <c r="EY41" i="30" s="1"/>
  <c r="EZ41" i="30" s="1"/>
  <c r="FA41" i="30" s="1"/>
  <c r="FB41" i="30" s="1"/>
  <c r="FC41" i="30" s="1"/>
  <c r="FD41" i="30" s="1"/>
  <c r="FE41" i="30" s="1"/>
  <c r="FF41" i="30" s="1"/>
  <c r="FG41" i="30" s="1"/>
  <c r="FH41" i="30" s="1"/>
  <c r="FI41" i="30" s="1"/>
  <c r="FJ41" i="30" s="1"/>
  <c r="FK41" i="30" s="1"/>
  <c r="FL41" i="30" s="1"/>
  <c r="FM41" i="30" s="1"/>
  <c r="FN41" i="30" s="1"/>
  <c r="FO41" i="30" s="1"/>
  <c r="FP41" i="30" s="1"/>
  <c r="FQ41" i="30" s="1"/>
  <c r="FR41" i="30" s="1"/>
  <c r="FS41" i="30" s="1"/>
  <c r="FT41" i="30" s="1"/>
  <c r="FU41" i="30" s="1"/>
  <c r="FV41" i="30" s="1"/>
  <c r="FW41" i="30" s="1"/>
  <c r="FX41" i="30" s="1"/>
  <c r="FY41" i="30" s="1"/>
  <c r="FZ41" i="30" s="1"/>
  <c r="GA41" i="30" s="1"/>
  <c r="GB41" i="30" s="1"/>
  <c r="GC41" i="30" s="1"/>
  <c r="GD41" i="30" s="1"/>
  <c r="GE41" i="30" s="1"/>
  <c r="GF41" i="30" s="1"/>
  <c r="GG41" i="30" s="1"/>
  <c r="GH41" i="30" s="1"/>
  <c r="GI41" i="30" s="1"/>
  <c r="GJ41" i="30" s="1"/>
  <c r="GK41" i="30" s="1"/>
  <c r="GL41" i="30" s="1"/>
  <c r="GM41" i="30" s="1"/>
  <c r="GN41" i="30" s="1"/>
  <c r="GO41" i="30" s="1"/>
  <c r="GP41" i="30" s="1"/>
  <c r="GQ41" i="30" s="1"/>
  <c r="GR41" i="30" s="1"/>
  <c r="GS41" i="30" s="1"/>
  <c r="GT41" i="30" s="1"/>
  <c r="GU41" i="30" s="1"/>
  <c r="GV41" i="30" s="1"/>
  <c r="GW41" i="30" s="1"/>
  <c r="GX41" i="30" s="1"/>
  <c r="GY41" i="30" s="1"/>
  <c r="GZ41" i="30" s="1"/>
  <c r="HA41" i="30" s="1"/>
  <c r="HB41" i="30" s="1"/>
  <c r="HC41" i="30" s="1"/>
  <c r="HD41" i="30" s="1"/>
  <c r="HE41" i="30" s="1"/>
  <c r="HF41" i="30" s="1"/>
  <c r="HG41" i="30" s="1"/>
  <c r="HH41" i="30" s="1"/>
  <c r="HI41" i="30" s="1"/>
  <c r="HJ41" i="30" s="1"/>
  <c r="HK41" i="30" s="1"/>
  <c r="HL41" i="30" s="1"/>
  <c r="HM41" i="30" s="1"/>
  <c r="HN41" i="30" s="1"/>
  <c r="HO41" i="30" s="1"/>
  <c r="HP41" i="30" s="1"/>
  <c r="HQ41" i="30" s="1"/>
  <c r="HR41" i="30" s="1"/>
  <c r="HS41" i="30" s="1"/>
  <c r="HT41" i="30" s="1"/>
  <c r="HU41" i="30" s="1"/>
  <c r="HV41" i="30" s="1"/>
  <c r="HW41" i="30" s="1"/>
  <c r="HX41" i="30" s="1"/>
  <c r="HY41" i="30" s="1"/>
  <c r="HZ41" i="30" s="1"/>
  <c r="IA41" i="30" s="1"/>
  <c r="IB41" i="30" s="1"/>
  <c r="IC41" i="30" s="1"/>
  <c r="ID41" i="30" s="1"/>
  <c r="IE41" i="30" s="1"/>
  <c r="IF41" i="30" s="1"/>
  <c r="IG41" i="30" s="1"/>
  <c r="IH41" i="30" s="1"/>
  <c r="II41" i="30" s="1"/>
  <c r="IJ41" i="30" s="1"/>
  <c r="IK41" i="30" s="1"/>
  <c r="IL41" i="30" s="1"/>
  <c r="IM41" i="30" s="1"/>
  <c r="IN41" i="30" s="1"/>
  <c r="IO41" i="30" s="1"/>
  <c r="IP41" i="30" s="1"/>
  <c r="IQ41" i="30" s="1"/>
  <c r="IR41" i="30" s="1"/>
  <c r="IS41" i="30" s="1"/>
  <c r="IT41" i="30" s="1"/>
  <c r="IU41" i="30" s="1"/>
  <c r="IV41" i="30" s="1"/>
  <c r="IW41" i="30" s="1"/>
  <c r="IX41" i="30" s="1"/>
  <c r="IY41" i="30" s="1"/>
  <c r="IZ41" i="30" s="1"/>
  <c r="JA41" i="30" s="1"/>
  <c r="JB41" i="30" s="1"/>
  <c r="JC41" i="30" s="1"/>
  <c r="JD41" i="30" s="1"/>
  <c r="JE41" i="30" s="1"/>
  <c r="JF41" i="30" s="1"/>
  <c r="JG41" i="30" s="1"/>
  <c r="JH41" i="30" s="1"/>
  <c r="JI41" i="30" s="1"/>
  <c r="JJ41" i="30" s="1"/>
  <c r="JK41" i="30" s="1"/>
  <c r="JL41" i="30" s="1"/>
  <c r="JM41" i="30" s="1"/>
  <c r="JN41" i="30" s="1"/>
  <c r="JO41" i="30" s="1"/>
  <c r="JP41" i="30" s="1"/>
  <c r="JQ41" i="30" s="1"/>
  <c r="JR41" i="30" s="1"/>
  <c r="JS41" i="30" s="1"/>
  <c r="JT41" i="30" s="1"/>
  <c r="JU41" i="30" s="1"/>
  <c r="JV41" i="30" s="1"/>
  <c r="JW41" i="30" s="1"/>
  <c r="JX41" i="30" s="1"/>
  <c r="JY41" i="30" s="1"/>
  <c r="JZ41" i="30" s="1"/>
  <c r="KA41" i="30" s="1"/>
  <c r="KB41" i="30" s="1"/>
  <c r="KC41" i="30" s="1"/>
  <c r="KD41" i="30" s="1"/>
  <c r="KE41" i="30" s="1"/>
  <c r="KF41" i="30" s="1"/>
  <c r="KG41" i="30" s="1"/>
  <c r="KH41" i="30" s="1"/>
  <c r="KI41" i="30" s="1"/>
  <c r="KJ41" i="30" s="1"/>
  <c r="KK41" i="30" s="1"/>
  <c r="KL41" i="30" s="1"/>
  <c r="KM41" i="30" s="1"/>
  <c r="KN41" i="30" s="1"/>
  <c r="KO41" i="30" s="1"/>
  <c r="KP41" i="30" s="1"/>
  <c r="KQ41" i="30" s="1"/>
  <c r="KR41" i="30" s="1"/>
  <c r="KS41" i="30" s="1"/>
  <c r="KT41" i="30" s="1"/>
  <c r="KU41" i="30" s="1"/>
  <c r="KV41" i="30" s="1"/>
  <c r="KW41" i="30" s="1"/>
  <c r="KX41" i="30" s="1"/>
  <c r="KY41" i="30" s="1"/>
  <c r="KZ41" i="30" s="1"/>
  <c r="LA41" i="30" s="1"/>
  <c r="LB41" i="30" s="1"/>
  <c r="LC41" i="30" s="1"/>
  <c r="LD41" i="30" s="1"/>
  <c r="LE41" i="30" s="1"/>
  <c r="LF41" i="30" s="1"/>
  <c r="LG41" i="30" s="1"/>
  <c r="LH41" i="30" s="1"/>
  <c r="LI41" i="30" s="1"/>
  <c r="LJ41" i="30" s="1"/>
  <c r="W42" i="30"/>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BL42" i="30" s="1"/>
  <c r="BM42" i="30" s="1"/>
  <c r="BN42" i="30" s="1"/>
  <c r="BO42" i="30" s="1"/>
  <c r="BP42" i="30" s="1"/>
  <c r="BQ42" i="30" s="1"/>
  <c r="BR42" i="30" s="1"/>
  <c r="BS42" i="30" s="1"/>
  <c r="BT42" i="30" s="1"/>
  <c r="BU42" i="30" s="1"/>
  <c r="BV42" i="30" s="1"/>
  <c r="BW42" i="30" s="1"/>
  <c r="BX42" i="30" s="1"/>
  <c r="BY42" i="30" s="1"/>
  <c r="BZ42" i="30" s="1"/>
  <c r="CA42" i="30" s="1"/>
  <c r="CB42" i="30" s="1"/>
  <c r="CC42" i="30" s="1"/>
  <c r="CD42" i="30" s="1"/>
  <c r="CE42" i="30" s="1"/>
  <c r="CF42" i="30" s="1"/>
  <c r="CG42" i="30" s="1"/>
  <c r="CH42" i="30" s="1"/>
  <c r="CI42" i="30" s="1"/>
  <c r="CJ42" i="30" s="1"/>
  <c r="CK42" i="30" s="1"/>
  <c r="CL42" i="30" s="1"/>
  <c r="CM42" i="30" s="1"/>
  <c r="CN42" i="30" s="1"/>
  <c r="CO42" i="30" s="1"/>
  <c r="CP42" i="30" s="1"/>
  <c r="CQ42" i="30" s="1"/>
  <c r="CR42" i="30" s="1"/>
  <c r="CS42" i="30" s="1"/>
  <c r="CT42" i="30" s="1"/>
  <c r="CU42" i="30" s="1"/>
  <c r="CV42" i="30" s="1"/>
  <c r="CW42" i="30" s="1"/>
  <c r="CX42" i="30" s="1"/>
  <c r="CY42" i="30" s="1"/>
  <c r="CZ42" i="30" s="1"/>
  <c r="DA42" i="30" s="1"/>
  <c r="DB42" i="30" s="1"/>
  <c r="DC42" i="30" s="1"/>
  <c r="DD42" i="30" s="1"/>
  <c r="DE42" i="30" s="1"/>
  <c r="DF42" i="30" s="1"/>
  <c r="DG42" i="30" s="1"/>
  <c r="DH42" i="30" s="1"/>
  <c r="DI42" i="30" s="1"/>
  <c r="DJ42" i="30" s="1"/>
  <c r="DK42" i="30" s="1"/>
  <c r="DL42" i="30" s="1"/>
  <c r="DM42" i="30" s="1"/>
  <c r="DN42" i="30" s="1"/>
  <c r="DO42" i="30" s="1"/>
  <c r="DP42" i="30" s="1"/>
  <c r="DQ42" i="30" s="1"/>
  <c r="DR42" i="30" s="1"/>
  <c r="DS42" i="30" s="1"/>
  <c r="DT42" i="30" s="1"/>
  <c r="DU42" i="30" s="1"/>
  <c r="DV42" i="30" s="1"/>
  <c r="DW42" i="30" s="1"/>
  <c r="DX42" i="30" s="1"/>
  <c r="DY42" i="30" s="1"/>
  <c r="DZ42" i="30" s="1"/>
  <c r="EA42" i="30" s="1"/>
  <c r="EB42" i="30" s="1"/>
  <c r="EC42" i="30" s="1"/>
  <c r="ED42" i="30" s="1"/>
  <c r="EE42" i="30" s="1"/>
  <c r="EF42" i="30" s="1"/>
  <c r="EG42" i="30" s="1"/>
  <c r="EH42" i="30" s="1"/>
  <c r="EI42" i="30" s="1"/>
  <c r="EJ42" i="30" s="1"/>
  <c r="EK42" i="30" s="1"/>
  <c r="EL42" i="30" s="1"/>
  <c r="EM42" i="30" s="1"/>
  <c r="EN42" i="30" s="1"/>
  <c r="EO42" i="30" s="1"/>
  <c r="EP42" i="30" s="1"/>
  <c r="EQ42" i="30" s="1"/>
  <c r="ER42" i="30" s="1"/>
  <c r="ES42" i="30" s="1"/>
  <c r="ET42" i="30" s="1"/>
  <c r="EU42" i="30" s="1"/>
  <c r="EV42" i="30" s="1"/>
  <c r="EW42" i="30" s="1"/>
  <c r="EX42" i="30" s="1"/>
  <c r="EY42" i="30" s="1"/>
  <c r="EZ42" i="30" s="1"/>
  <c r="FA42" i="30" s="1"/>
  <c r="FB42" i="30" s="1"/>
  <c r="FC42" i="30" s="1"/>
  <c r="FD42" i="30" s="1"/>
  <c r="FE42" i="30" s="1"/>
  <c r="FF42" i="30" s="1"/>
  <c r="FG42" i="30" s="1"/>
  <c r="FH42" i="30" s="1"/>
  <c r="FI42" i="30" s="1"/>
  <c r="FJ42" i="30" s="1"/>
  <c r="FK42" i="30" s="1"/>
  <c r="FL42" i="30" s="1"/>
  <c r="FM42" i="30" s="1"/>
  <c r="FN42" i="30" s="1"/>
  <c r="FO42" i="30" s="1"/>
  <c r="FP42" i="30" s="1"/>
  <c r="FQ42" i="30" s="1"/>
  <c r="FR42" i="30" s="1"/>
  <c r="FS42" i="30" s="1"/>
  <c r="FT42" i="30" s="1"/>
  <c r="FU42" i="30" s="1"/>
  <c r="FV42" i="30" s="1"/>
  <c r="FW42" i="30" s="1"/>
  <c r="FX42" i="30" s="1"/>
  <c r="FY42" i="30" s="1"/>
  <c r="FZ42" i="30" s="1"/>
  <c r="GA42" i="30" s="1"/>
  <c r="GB42" i="30" s="1"/>
  <c r="GC42" i="30" s="1"/>
  <c r="GD42" i="30" s="1"/>
  <c r="GE42" i="30" s="1"/>
  <c r="GF42" i="30" s="1"/>
  <c r="GG42" i="30" s="1"/>
  <c r="GH42" i="30" s="1"/>
  <c r="GI42" i="30" s="1"/>
  <c r="GJ42" i="30" s="1"/>
  <c r="GK42" i="30" s="1"/>
  <c r="GL42" i="30" s="1"/>
  <c r="GM42" i="30" s="1"/>
  <c r="GN42" i="30" s="1"/>
  <c r="GO42" i="30" s="1"/>
  <c r="GP42" i="30" s="1"/>
  <c r="GQ42" i="30" s="1"/>
  <c r="GR42" i="30" s="1"/>
  <c r="GS42" i="30" s="1"/>
  <c r="GT42" i="30" s="1"/>
  <c r="GU42" i="30" s="1"/>
  <c r="GV42" i="30" s="1"/>
  <c r="GW42" i="30" s="1"/>
  <c r="GX42" i="30" s="1"/>
  <c r="GY42" i="30" s="1"/>
  <c r="GZ42" i="30" s="1"/>
  <c r="HA42" i="30" s="1"/>
  <c r="HB42" i="30" s="1"/>
  <c r="HC42" i="30" s="1"/>
  <c r="HD42" i="30" s="1"/>
  <c r="HE42" i="30" s="1"/>
  <c r="HF42" i="30" s="1"/>
  <c r="HG42" i="30" s="1"/>
  <c r="HH42" i="30" s="1"/>
  <c r="HI42" i="30" s="1"/>
  <c r="HJ42" i="30" s="1"/>
  <c r="HK42" i="30" s="1"/>
  <c r="HL42" i="30" s="1"/>
  <c r="HM42" i="30" s="1"/>
  <c r="HN42" i="30" s="1"/>
  <c r="HO42" i="30" s="1"/>
  <c r="HP42" i="30" s="1"/>
  <c r="HQ42" i="30" s="1"/>
  <c r="HR42" i="30" s="1"/>
  <c r="HS42" i="30" s="1"/>
  <c r="HT42" i="30" s="1"/>
  <c r="HU42" i="30" s="1"/>
  <c r="HV42" i="30" s="1"/>
  <c r="HW42" i="30" s="1"/>
  <c r="HX42" i="30" s="1"/>
  <c r="HY42" i="30" s="1"/>
  <c r="HZ42" i="30" s="1"/>
  <c r="IA42" i="30" s="1"/>
  <c r="IB42" i="30" s="1"/>
  <c r="IC42" i="30" s="1"/>
  <c r="ID42" i="30" s="1"/>
  <c r="IE42" i="30" s="1"/>
  <c r="IF42" i="30" s="1"/>
  <c r="IG42" i="30" s="1"/>
  <c r="IH42" i="30" s="1"/>
  <c r="II42" i="30" s="1"/>
  <c r="IJ42" i="30" s="1"/>
  <c r="IK42" i="30" s="1"/>
  <c r="IL42" i="30" s="1"/>
  <c r="IM42" i="30" s="1"/>
  <c r="IN42" i="30" s="1"/>
  <c r="IO42" i="30" s="1"/>
  <c r="IP42" i="30" s="1"/>
  <c r="IQ42" i="30" s="1"/>
  <c r="IR42" i="30" s="1"/>
  <c r="IS42" i="30" s="1"/>
  <c r="IT42" i="30" s="1"/>
  <c r="IU42" i="30" s="1"/>
  <c r="IV42" i="30" s="1"/>
  <c r="IW42" i="30" s="1"/>
  <c r="IX42" i="30" s="1"/>
  <c r="IY42" i="30" s="1"/>
  <c r="IZ42" i="30" s="1"/>
  <c r="JA42" i="30" s="1"/>
  <c r="JB42" i="30" s="1"/>
  <c r="JC42" i="30" s="1"/>
  <c r="JD42" i="30" s="1"/>
  <c r="JE42" i="30" s="1"/>
  <c r="JF42" i="30" s="1"/>
  <c r="JG42" i="30" s="1"/>
  <c r="JH42" i="30" s="1"/>
  <c r="JI42" i="30" s="1"/>
  <c r="JJ42" i="30" s="1"/>
  <c r="JK42" i="30" s="1"/>
  <c r="JL42" i="30" s="1"/>
  <c r="JM42" i="30" s="1"/>
  <c r="JN42" i="30" s="1"/>
  <c r="JO42" i="30" s="1"/>
  <c r="JP42" i="30" s="1"/>
  <c r="JQ42" i="30" s="1"/>
  <c r="JR42" i="30" s="1"/>
  <c r="JS42" i="30" s="1"/>
  <c r="JT42" i="30" s="1"/>
  <c r="JU42" i="30" s="1"/>
  <c r="JV42" i="30" s="1"/>
  <c r="JW42" i="30" s="1"/>
  <c r="JX42" i="30" s="1"/>
  <c r="JY42" i="30" s="1"/>
  <c r="JZ42" i="30" s="1"/>
  <c r="KA42" i="30" s="1"/>
  <c r="KB42" i="30" s="1"/>
  <c r="KC42" i="30" s="1"/>
  <c r="KD42" i="30" s="1"/>
  <c r="KE42" i="30" s="1"/>
  <c r="KF42" i="30" s="1"/>
  <c r="KG42" i="30" s="1"/>
  <c r="KH42" i="30" s="1"/>
  <c r="KI42" i="30" s="1"/>
  <c r="KJ42" i="30" s="1"/>
  <c r="KK42" i="30" s="1"/>
  <c r="KL42" i="30" s="1"/>
  <c r="KM42" i="30" s="1"/>
  <c r="KN42" i="30" s="1"/>
  <c r="KO42" i="30" s="1"/>
  <c r="KP42" i="30" s="1"/>
  <c r="KQ42" i="30" s="1"/>
  <c r="KR42" i="30" s="1"/>
  <c r="KS42" i="30" s="1"/>
  <c r="KT42" i="30" s="1"/>
  <c r="KU42" i="30" s="1"/>
  <c r="KV42" i="30" s="1"/>
  <c r="KW42" i="30" s="1"/>
  <c r="KX42" i="30" s="1"/>
  <c r="KY42" i="30" s="1"/>
  <c r="KZ42" i="30" s="1"/>
  <c r="LA42" i="30" s="1"/>
  <c r="LB42" i="30" s="1"/>
  <c r="LC42" i="30" s="1"/>
  <c r="LD42" i="30" s="1"/>
  <c r="LE42" i="30" s="1"/>
  <c r="LF42" i="30" s="1"/>
  <c r="LG42" i="30" s="1"/>
  <c r="LH42" i="30" s="1"/>
  <c r="LI42" i="30" s="1"/>
  <c r="LJ42" i="30" s="1"/>
  <c r="W43" i="30"/>
  <c r="X43" i="30" s="1"/>
  <c r="Y43" i="30" s="1"/>
  <c r="Z43" i="30" s="1"/>
  <c r="AA43" i="30" s="1"/>
  <c r="AB43" i="30" s="1"/>
  <c r="AC43" i="30" s="1"/>
  <c r="AD43" i="30" s="1"/>
  <c r="AE43" i="30" s="1"/>
  <c r="AF43" i="30" s="1"/>
  <c r="AG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BL43" i="30" s="1"/>
  <c r="BM43" i="30" s="1"/>
  <c r="BN43" i="30" s="1"/>
  <c r="BO43" i="30" s="1"/>
  <c r="BP43" i="30" s="1"/>
  <c r="BQ43" i="30" s="1"/>
  <c r="BR43" i="30" s="1"/>
  <c r="BS43" i="30" s="1"/>
  <c r="BT43" i="30" s="1"/>
  <c r="BU43" i="30" s="1"/>
  <c r="BV43" i="30" s="1"/>
  <c r="BW43" i="30" s="1"/>
  <c r="BX43" i="30" s="1"/>
  <c r="BY43" i="30" s="1"/>
  <c r="BZ43" i="30" s="1"/>
  <c r="CA43" i="30" s="1"/>
  <c r="CB43" i="30" s="1"/>
  <c r="CC43" i="30" s="1"/>
  <c r="CD43" i="30" s="1"/>
  <c r="CE43" i="30" s="1"/>
  <c r="CF43" i="30" s="1"/>
  <c r="CG43" i="30" s="1"/>
  <c r="CH43" i="30" s="1"/>
  <c r="CI43" i="30" s="1"/>
  <c r="CJ43" i="30" s="1"/>
  <c r="CK43" i="30" s="1"/>
  <c r="CL43" i="30" s="1"/>
  <c r="CM43" i="30" s="1"/>
  <c r="CN43" i="30" s="1"/>
  <c r="CO43" i="30" s="1"/>
  <c r="CP43" i="30" s="1"/>
  <c r="CQ43" i="30" s="1"/>
  <c r="CR43" i="30" s="1"/>
  <c r="CS43" i="30" s="1"/>
  <c r="CT43" i="30" s="1"/>
  <c r="CU43" i="30" s="1"/>
  <c r="CV43" i="30" s="1"/>
  <c r="CW43" i="30" s="1"/>
  <c r="CX43" i="30" s="1"/>
  <c r="CY43" i="30" s="1"/>
  <c r="CZ43" i="30" s="1"/>
  <c r="DA43" i="30" s="1"/>
  <c r="DB43" i="30" s="1"/>
  <c r="DC43" i="30" s="1"/>
  <c r="DD43" i="30" s="1"/>
  <c r="DE43" i="30" s="1"/>
  <c r="DF43" i="30" s="1"/>
  <c r="DG43" i="30" s="1"/>
  <c r="DH43" i="30" s="1"/>
  <c r="DI43" i="30" s="1"/>
  <c r="DJ43" i="30" s="1"/>
  <c r="DK43" i="30" s="1"/>
  <c r="DL43" i="30" s="1"/>
  <c r="DM43" i="30" s="1"/>
  <c r="DN43" i="30" s="1"/>
  <c r="DO43" i="30" s="1"/>
  <c r="DP43" i="30" s="1"/>
  <c r="DQ43" i="30" s="1"/>
  <c r="DR43" i="30" s="1"/>
  <c r="DS43" i="30" s="1"/>
  <c r="DT43" i="30" s="1"/>
  <c r="DU43" i="30" s="1"/>
  <c r="DV43" i="30" s="1"/>
  <c r="DW43" i="30" s="1"/>
  <c r="DX43" i="30" s="1"/>
  <c r="DY43" i="30" s="1"/>
  <c r="DZ43" i="30" s="1"/>
  <c r="EA43" i="30" s="1"/>
  <c r="EB43" i="30" s="1"/>
  <c r="EC43" i="30" s="1"/>
  <c r="ED43" i="30" s="1"/>
  <c r="EE43" i="30" s="1"/>
  <c r="EF43" i="30" s="1"/>
  <c r="EG43" i="30" s="1"/>
  <c r="EH43" i="30" s="1"/>
  <c r="EI43" i="30" s="1"/>
  <c r="EJ43" i="30" s="1"/>
  <c r="EK43" i="30" s="1"/>
  <c r="EL43" i="30" s="1"/>
  <c r="EM43" i="30" s="1"/>
  <c r="EN43" i="30" s="1"/>
  <c r="EO43" i="30" s="1"/>
  <c r="EP43" i="30" s="1"/>
  <c r="EQ43" i="30" s="1"/>
  <c r="ER43" i="30" s="1"/>
  <c r="ES43" i="30" s="1"/>
  <c r="ET43" i="30" s="1"/>
  <c r="EU43" i="30" s="1"/>
  <c r="EV43" i="30" s="1"/>
  <c r="EW43" i="30" s="1"/>
  <c r="EX43" i="30" s="1"/>
  <c r="EY43" i="30" s="1"/>
  <c r="EZ43" i="30" s="1"/>
  <c r="FA43" i="30" s="1"/>
  <c r="FB43" i="30" s="1"/>
  <c r="FC43" i="30" s="1"/>
  <c r="FD43" i="30" s="1"/>
  <c r="FE43" i="30" s="1"/>
  <c r="FF43" i="30" s="1"/>
  <c r="FG43" i="30" s="1"/>
  <c r="FH43" i="30" s="1"/>
  <c r="FI43" i="30" s="1"/>
  <c r="FJ43" i="30" s="1"/>
  <c r="FK43" i="30" s="1"/>
  <c r="FL43" i="30" s="1"/>
  <c r="FM43" i="30" s="1"/>
  <c r="FN43" i="30" s="1"/>
  <c r="FO43" i="30" s="1"/>
  <c r="FP43" i="30" s="1"/>
  <c r="FQ43" i="30" s="1"/>
  <c r="FR43" i="30" s="1"/>
  <c r="FS43" i="30" s="1"/>
  <c r="FT43" i="30" s="1"/>
  <c r="FU43" i="30" s="1"/>
  <c r="FV43" i="30" s="1"/>
  <c r="FW43" i="30" s="1"/>
  <c r="FX43" i="30" s="1"/>
  <c r="FY43" i="30" s="1"/>
  <c r="FZ43" i="30" s="1"/>
  <c r="GA43" i="30" s="1"/>
  <c r="GB43" i="30" s="1"/>
  <c r="GC43" i="30" s="1"/>
  <c r="GD43" i="30" s="1"/>
  <c r="GE43" i="30" s="1"/>
  <c r="GF43" i="30" s="1"/>
  <c r="GG43" i="30" s="1"/>
  <c r="GH43" i="30" s="1"/>
  <c r="GI43" i="30" s="1"/>
  <c r="GJ43" i="30" s="1"/>
  <c r="GK43" i="30" s="1"/>
  <c r="GL43" i="30" s="1"/>
  <c r="GM43" i="30" s="1"/>
  <c r="GN43" i="30" s="1"/>
  <c r="GO43" i="30" s="1"/>
  <c r="GP43" i="30" s="1"/>
  <c r="GQ43" i="30" s="1"/>
  <c r="GR43" i="30" s="1"/>
  <c r="GS43" i="30" s="1"/>
  <c r="GT43" i="30" s="1"/>
  <c r="GU43" i="30" s="1"/>
  <c r="GV43" i="30" s="1"/>
  <c r="GW43" i="30" s="1"/>
  <c r="GX43" i="30" s="1"/>
  <c r="GY43" i="30" s="1"/>
  <c r="GZ43" i="30" s="1"/>
  <c r="HA43" i="30" s="1"/>
  <c r="HB43" i="30" s="1"/>
  <c r="HC43" i="30" s="1"/>
  <c r="HD43" i="30" s="1"/>
  <c r="HE43" i="30" s="1"/>
  <c r="HF43" i="30" s="1"/>
  <c r="HG43" i="30" s="1"/>
  <c r="HH43" i="30" s="1"/>
  <c r="HI43" i="30" s="1"/>
  <c r="HJ43" i="30" s="1"/>
  <c r="HK43" i="30" s="1"/>
  <c r="HL43" i="30" s="1"/>
  <c r="HM43" i="30" s="1"/>
  <c r="HN43" i="30" s="1"/>
  <c r="HO43" i="30" s="1"/>
  <c r="HP43" i="30" s="1"/>
  <c r="HQ43" i="30" s="1"/>
  <c r="HR43" i="30" s="1"/>
  <c r="HS43" i="30" s="1"/>
  <c r="HT43" i="30" s="1"/>
  <c r="HU43" i="30" s="1"/>
  <c r="HV43" i="30" s="1"/>
  <c r="HW43" i="30" s="1"/>
  <c r="HX43" i="30" s="1"/>
  <c r="HY43" i="30" s="1"/>
  <c r="HZ43" i="30" s="1"/>
  <c r="IA43" i="30" s="1"/>
  <c r="IB43" i="30" s="1"/>
  <c r="IC43" i="30" s="1"/>
  <c r="ID43" i="30" s="1"/>
  <c r="IE43" i="30" s="1"/>
  <c r="IF43" i="30" s="1"/>
  <c r="IG43" i="30" s="1"/>
  <c r="IH43" i="30" s="1"/>
  <c r="II43" i="30" s="1"/>
  <c r="IJ43" i="30" s="1"/>
  <c r="IK43" i="30" s="1"/>
  <c r="IL43" i="30" s="1"/>
  <c r="IM43" i="30" s="1"/>
  <c r="IN43" i="30" s="1"/>
  <c r="IO43" i="30" s="1"/>
  <c r="IP43" i="30" s="1"/>
  <c r="IQ43" i="30" s="1"/>
  <c r="IR43" i="30" s="1"/>
  <c r="IS43" i="30" s="1"/>
  <c r="IT43" i="30" s="1"/>
  <c r="IU43" i="30" s="1"/>
  <c r="IV43" i="30" s="1"/>
  <c r="IW43" i="30" s="1"/>
  <c r="IX43" i="30" s="1"/>
  <c r="IY43" i="30" s="1"/>
  <c r="IZ43" i="30" s="1"/>
  <c r="JA43" i="30" s="1"/>
  <c r="JB43" i="30" s="1"/>
  <c r="JC43" i="30" s="1"/>
  <c r="JD43" i="30" s="1"/>
  <c r="JE43" i="30" s="1"/>
  <c r="JF43" i="30" s="1"/>
  <c r="JG43" i="30" s="1"/>
  <c r="JH43" i="30" s="1"/>
  <c r="JI43" i="30" s="1"/>
  <c r="JJ43" i="30" s="1"/>
  <c r="JK43" i="30" s="1"/>
  <c r="JL43" i="30" s="1"/>
  <c r="JM43" i="30" s="1"/>
  <c r="JN43" i="30" s="1"/>
  <c r="JO43" i="30" s="1"/>
  <c r="JP43" i="30" s="1"/>
  <c r="JQ43" i="30" s="1"/>
  <c r="JR43" i="30" s="1"/>
  <c r="JS43" i="30" s="1"/>
  <c r="JT43" i="30" s="1"/>
  <c r="JU43" i="30" s="1"/>
  <c r="JV43" i="30" s="1"/>
  <c r="JW43" i="30" s="1"/>
  <c r="JX43" i="30" s="1"/>
  <c r="JY43" i="30" s="1"/>
  <c r="JZ43" i="30" s="1"/>
  <c r="KA43" i="30" s="1"/>
  <c r="KB43" i="30" s="1"/>
  <c r="KC43" i="30" s="1"/>
  <c r="KD43" i="30" s="1"/>
  <c r="KE43" i="30" s="1"/>
  <c r="KF43" i="30" s="1"/>
  <c r="KG43" i="30" s="1"/>
  <c r="KH43" i="30" s="1"/>
  <c r="KI43" i="30" s="1"/>
  <c r="KJ43" i="30" s="1"/>
  <c r="KK43" i="30" s="1"/>
  <c r="KL43" i="30" s="1"/>
  <c r="KM43" i="30" s="1"/>
  <c r="KN43" i="30" s="1"/>
  <c r="KO43" i="30" s="1"/>
  <c r="KP43" i="30" s="1"/>
  <c r="KQ43" i="30" s="1"/>
  <c r="KR43" i="30" s="1"/>
  <c r="KS43" i="30" s="1"/>
  <c r="KT43" i="30" s="1"/>
  <c r="KU43" i="30" s="1"/>
  <c r="KV43" i="30" s="1"/>
  <c r="KW43" i="30" s="1"/>
  <c r="KX43" i="30" s="1"/>
  <c r="KY43" i="30" s="1"/>
  <c r="KZ43" i="30" s="1"/>
  <c r="LA43" i="30" s="1"/>
  <c r="LB43" i="30" s="1"/>
  <c r="LC43" i="30" s="1"/>
  <c r="LD43" i="30" s="1"/>
  <c r="LE43" i="30" s="1"/>
  <c r="LF43" i="30" s="1"/>
  <c r="LG43" i="30" s="1"/>
  <c r="LH43" i="30" s="1"/>
  <c r="LI43" i="30" s="1"/>
  <c r="LJ43" i="30" s="1"/>
  <c r="W44" i="30"/>
  <c r="X44" i="30" s="1"/>
  <c r="Y44" i="30" s="1"/>
  <c r="Z44" i="30" s="1"/>
  <c r="AA44" i="30" s="1"/>
  <c r="AB44" i="30" s="1"/>
  <c r="AC44" i="30" s="1"/>
  <c r="AD44" i="30" s="1"/>
  <c r="AE44" i="30" s="1"/>
  <c r="AF44" i="30" s="1"/>
  <c r="AG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AZ44" i="30" s="1"/>
  <c r="BA44" i="30" s="1"/>
  <c r="BB44" i="30" s="1"/>
  <c r="BC44" i="30" s="1"/>
  <c r="BD44" i="30" s="1"/>
  <c r="BE44" i="30" s="1"/>
  <c r="BF44" i="30" s="1"/>
  <c r="BG44" i="30" s="1"/>
  <c r="BH44" i="30" s="1"/>
  <c r="BI44" i="30" s="1"/>
  <c r="BJ44" i="30" s="1"/>
  <c r="BK44" i="30" s="1"/>
  <c r="BL44" i="30" s="1"/>
  <c r="BM44" i="30" s="1"/>
  <c r="BN44" i="30" s="1"/>
  <c r="BO44" i="30" s="1"/>
  <c r="BP44" i="30" s="1"/>
  <c r="BQ44" i="30" s="1"/>
  <c r="BR44" i="30" s="1"/>
  <c r="BS44" i="30" s="1"/>
  <c r="BT44" i="30" s="1"/>
  <c r="BU44" i="30" s="1"/>
  <c r="BV44" i="30" s="1"/>
  <c r="BW44" i="30" s="1"/>
  <c r="BX44" i="30" s="1"/>
  <c r="BY44" i="30" s="1"/>
  <c r="BZ44" i="30" s="1"/>
  <c r="CA44" i="30" s="1"/>
  <c r="CB44" i="30" s="1"/>
  <c r="CC44" i="30" s="1"/>
  <c r="CD44" i="30" s="1"/>
  <c r="CE44" i="30" s="1"/>
  <c r="CF44" i="30" s="1"/>
  <c r="CG44" i="30" s="1"/>
  <c r="CH44" i="30" s="1"/>
  <c r="CI44" i="30" s="1"/>
  <c r="CJ44" i="30" s="1"/>
  <c r="CK44" i="30" s="1"/>
  <c r="CL44" i="30" s="1"/>
  <c r="CM44" i="30" s="1"/>
  <c r="CN44" i="30" s="1"/>
  <c r="CO44" i="30" s="1"/>
  <c r="CP44" i="30" s="1"/>
  <c r="CQ44" i="30" s="1"/>
  <c r="CR44" i="30" s="1"/>
  <c r="CS44" i="30" s="1"/>
  <c r="CT44" i="30" s="1"/>
  <c r="CU44" i="30" s="1"/>
  <c r="CV44" i="30" s="1"/>
  <c r="CW44" i="30" s="1"/>
  <c r="CX44" i="30" s="1"/>
  <c r="CY44" i="30" s="1"/>
  <c r="CZ44" i="30" s="1"/>
  <c r="DA44" i="30" s="1"/>
  <c r="DB44" i="30" s="1"/>
  <c r="DC44" i="30" s="1"/>
  <c r="DD44" i="30" s="1"/>
  <c r="DE44" i="30" s="1"/>
  <c r="DF44" i="30" s="1"/>
  <c r="DG44" i="30" s="1"/>
  <c r="DH44" i="30" s="1"/>
  <c r="DI44" i="30" s="1"/>
  <c r="DJ44" i="30" s="1"/>
  <c r="DK44" i="30" s="1"/>
  <c r="DL44" i="30" s="1"/>
  <c r="DM44" i="30" s="1"/>
  <c r="DN44" i="30" s="1"/>
  <c r="DO44" i="30" s="1"/>
  <c r="DP44" i="30" s="1"/>
  <c r="DQ44" i="30" s="1"/>
  <c r="DR44" i="30" s="1"/>
  <c r="DS44" i="30" s="1"/>
  <c r="DT44" i="30" s="1"/>
  <c r="DU44" i="30" s="1"/>
  <c r="DV44" i="30" s="1"/>
  <c r="DW44" i="30" s="1"/>
  <c r="DX44" i="30" s="1"/>
  <c r="DY44" i="30" s="1"/>
  <c r="DZ44" i="30" s="1"/>
  <c r="EA44" i="30" s="1"/>
  <c r="EB44" i="30" s="1"/>
  <c r="EC44" i="30" s="1"/>
  <c r="ED44" i="30" s="1"/>
  <c r="EE44" i="30" s="1"/>
  <c r="EF44" i="30" s="1"/>
  <c r="EG44" i="30" s="1"/>
  <c r="EH44" i="30" s="1"/>
  <c r="EI44" i="30" s="1"/>
  <c r="EJ44" i="30" s="1"/>
  <c r="EK44" i="30" s="1"/>
  <c r="EL44" i="30" s="1"/>
  <c r="EM44" i="30" s="1"/>
  <c r="EN44" i="30" s="1"/>
  <c r="EO44" i="30" s="1"/>
  <c r="EP44" i="30" s="1"/>
  <c r="EQ44" i="30" s="1"/>
  <c r="ER44" i="30" s="1"/>
  <c r="ES44" i="30" s="1"/>
  <c r="ET44" i="30" s="1"/>
  <c r="EU44" i="30" s="1"/>
  <c r="EV44" i="30" s="1"/>
  <c r="EW44" i="30" s="1"/>
  <c r="EX44" i="30" s="1"/>
  <c r="EY44" i="30" s="1"/>
  <c r="EZ44" i="30" s="1"/>
  <c r="FA44" i="30" s="1"/>
  <c r="FB44" i="30" s="1"/>
  <c r="FC44" i="30" s="1"/>
  <c r="FD44" i="30" s="1"/>
  <c r="FE44" i="30" s="1"/>
  <c r="FF44" i="30" s="1"/>
  <c r="FG44" i="30" s="1"/>
  <c r="FH44" i="30" s="1"/>
  <c r="FI44" i="30" s="1"/>
  <c r="FJ44" i="30" s="1"/>
  <c r="FK44" i="30" s="1"/>
  <c r="FL44" i="30" s="1"/>
  <c r="FM44" i="30" s="1"/>
  <c r="FN44" i="30" s="1"/>
  <c r="FO44" i="30" s="1"/>
  <c r="FP44" i="30" s="1"/>
  <c r="FQ44" i="30" s="1"/>
  <c r="FR44" i="30" s="1"/>
  <c r="FS44" i="30" s="1"/>
  <c r="FT44" i="30" s="1"/>
  <c r="FU44" i="30" s="1"/>
  <c r="FV44" i="30" s="1"/>
  <c r="FW44" i="30" s="1"/>
  <c r="FX44" i="30" s="1"/>
  <c r="FY44" i="30" s="1"/>
  <c r="FZ44" i="30" s="1"/>
  <c r="GA44" i="30" s="1"/>
  <c r="GB44" i="30" s="1"/>
  <c r="GC44" i="30" s="1"/>
  <c r="GD44" i="30" s="1"/>
  <c r="GE44" i="30" s="1"/>
  <c r="GF44" i="30" s="1"/>
  <c r="GG44" i="30" s="1"/>
  <c r="GH44" i="30" s="1"/>
  <c r="GI44" i="30" s="1"/>
  <c r="GJ44" i="30" s="1"/>
  <c r="GK44" i="30" s="1"/>
  <c r="GL44" i="30" s="1"/>
  <c r="GM44" i="30" s="1"/>
  <c r="GN44" i="30" s="1"/>
  <c r="GO44" i="30" s="1"/>
  <c r="GP44" i="30" s="1"/>
  <c r="GQ44" i="30" s="1"/>
  <c r="GR44" i="30" s="1"/>
  <c r="GS44" i="30" s="1"/>
  <c r="GT44" i="30" s="1"/>
  <c r="GU44" i="30" s="1"/>
  <c r="GV44" i="30" s="1"/>
  <c r="GW44" i="30" s="1"/>
  <c r="GX44" i="30" s="1"/>
  <c r="GY44" i="30" s="1"/>
  <c r="GZ44" i="30" s="1"/>
  <c r="HA44" i="30" s="1"/>
  <c r="HB44" i="30" s="1"/>
  <c r="HC44" i="30" s="1"/>
  <c r="HD44" i="30" s="1"/>
  <c r="HE44" i="30" s="1"/>
  <c r="HF44" i="30" s="1"/>
  <c r="HG44" i="30" s="1"/>
  <c r="HH44" i="30" s="1"/>
  <c r="HI44" i="30" s="1"/>
  <c r="HJ44" i="30" s="1"/>
  <c r="HK44" i="30" s="1"/>
  <c r="HL44" i="30" s="1"/>
  <c r="HM44" i="30" s="1"/>
  <c r="HN44" i="30" s="1"/>
  <c r="HO44" i="30" s="1"/>
  <c r="HP44" i="30" s="1"/>
  <c r="HQ44" i="30" s="1"/>
  <c r="HR44" i="30" s="1"/>
  <c r="HS44" i="30" s="1"/>
  <c r="HT44" i="30" s="1"/>
  <c r="HU44" i="30" s="1"/>
  <c r="HV44" i="30" s="1"/>
  <c r="HW44" i="30" s="1"/>
  <c r="HX44" i="30" s="1"/>
  <c r="HY44" i="30" s="1"/>
  <c r="HZ44" i="30" s="1"/>
  <c r="IA44" i="30" s="1"/>
  <c r="IB44" i="30" s="1"/>
  <c r="IC44" i="30" s="1"/>
  <c r="ID44" i="30" s="1"/>
  <c r="IE44" i="30" s="1"/>
  <c r="IF44" i="30" s="1"/>
  <c r="IG44" i="30" s="1"/>
  <c r="IH44" i="30" s="1"/>
  <c r="II44" i="30" s="1"/>
  <c r="IJ44" i="30" s="1"/>
  <c r="IK44" i="30" s="1"/>
  <c r="IL44" i="30" s="1"/>
  <c r="IM44" i="30" s="1"/>
  <c r="IN44" i="30" s="1"/>
  <c r="IO44" i="30" s="1"/>
  <c r="IP44" i="30" s="1"/>
  <c r="IQ44" i="30" s="1"/>
  <c r="IR44" i="30" s="1"/>
  <c r="IS44" i="30" s="1"/>
  <c r="IT44" i="30" s="1"/>
  <c r="IU44" i="30" s="1"/>
  <c r="IV44" i="30" s="1"/>
  <c r="IW44" i="30" s="1"/>
  <c r="IX44" i="30" s="1"/>
  <c r="IY44" i="30" s="1"/>
  <c r="IZ44" i="30" s="1"/>
  <c r="JA44" i="30" s="1"/>
  <c r="JB44" i="30" s="1"/>
  <c r="JC44" i="30" s="1"/>
  <c r="JD44" i="30" s="1"/>
  <c r="JE44" i="30" s="1"/>
  <c r="JF44" i="30" s="1"/>
  <c r="JG44" i="30" s="1"/>
  <c r="JH44" i="30" s="1"/>
  <c r="JI44" i="30" s="1"/>
  <c r="JJ44" i="30" s="1"/>
  <c r="JK44" i="30" s="1"/>
  <c r="JL44" i="30" s="1"/>
  <c r="JM44" i="30" s="1"/>
  <c r="JN44" i="30" s="1"/>
  <c r="JO44" i="30" s="1"/>
  <c r="JP44" i="30" s="1"/>
  <c r="JQ44" i="30" s="1"/>
  <c r="JR44" i="30" s="1"/>
  <c r="JS44" i="30" s="1"/>
  <c r="JT44" i="30" s="1"/>
  <c r="JU44" i="30" s="1"/>
  <c r="JV44" i="30" s="1"/>
  <c r="JW44" i="30" s="1"/>
  <c r="JX44" i="30" s="1"/>
  <c r="JY44" i="30" s="1"/>
  <c r="JZ44" i="30" s="1"/>
  <c r="KA44" i="30" s="1"/>
  <c r="KB44" i="30" s="1"/>
  <c r="KC44" i="30" s="1"/>
  <c r="KD44" i="30" s="1"/>
  <c r="KE44" i="30" s="1"/>
  <c r="KF44" i="30" s="1"/>
  <c r="KG44" i="30" s="1"/>
  <c r="KH44" i="30" s="1"/>
  <c r="KI44" i="30" s="1"/>
  <c r="KJ44" i="30" s="1"/>
  <c r="KK44" i="30" s="1"/>
  <c r="KL44" i="30" s="1"/>
  <c r="KM44" i="30" s="1"/>
  <c r="KN44" i="30" s="1"/>
  <c r="KO44" i="30" s="1"/>
  <c r="KP44" i="30" s="1"/>
  <c r="KQ44" i="30" s="1"/>
  <c r="KR44" i="30" s="1"/>
  <c r="KS44" i="30" s="1"/>
  <c r="KT44" i="30" s="1"/>
  <c r="KU44" i="30" s="1"/>
  <c r="KV44" i="30" s="1"/>
  <c r="KW44" i="30" s="1"/>
  <c r="KX44" i="30" s="1"/>
  <c r="KY44" i="30" s="1"/>
  <c r="KZ44" i="30" s="1"/>
  <c r="LA44" i="30" s="1"/>
  <c r="LB44" i="30" s="1"/>
  <c r="LC44" i="30" s="1"/>
  <c r="LD44" i="30" s="1"/>
  <c r="LE44" i="30" s="1"/>
  <c r="LF44" i="30" s="1"/>
  <c r="LG44" i="30" s="1"/>
  <c r="LH44" i="30" s="1"/>
  <c r="LI44" i="30" s="1"/>
  <c r="LJ44" i="30" s="1"/>
  <c r="W45" i="30"/>
  <c r="X45" i="30" s="1"/>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BT45" i="30" s="1"/>
  <c r="BU45" i="30" s="1"/>
  <c r="BV45" i="30" s="1"/>
  <c r="BW45" i="30" s="1"/>
  <c r="BX45" i="30" s="1"/>
  <c r="BY45" i="30" s="1"/>
  <c r="BZ45" i="30" s="1"/>
  <c r="CA45" i="30" s="1"/>
  <c r="CB45" i="30" s="1"/>
  <c r="CC45" i="30" s="1"/>
  <c r="CD45" i="30" s="1"/>
  <c r="CE45" i="30" s="1"/>
  <c r="CF45" i="30" s="1"/>
  <c r="CG45" i="30" s="1"/>
  <c r="CH45" i="30" s="1"/>
  <c r="CI45" i="30" s="1"/>
  <c r="CJ45" i="30" s="1"/>
  <c r="CK45" i="30" s="1"/>
  <c r="CL45" i="30" s="1"/>
  <c r="CM45" i="30" s="1"/>
  <c r="CN45" i="30" s="1"/>
  <c r="CO45" i="30" s="1"/>
  <c r="CP45" i="30" s="1"/>
  <c r="CQ45" i="30" s="1"/>
  <c r="CR45" i="30" s="1"/>
  <c r="CS45" i="30" s="1"/>
  <c r="CT45" i="30" s="1"/>
  <c r="CU45" i="30" s="1"/>
  <c r="CV45" i="30" s="1"/>
  <c r="CW45" i="30" s="1"/>
  <c r="CX45" i="30" s="1"/>
  <c r="CY45" i="30" s="1"/>
  <c r="CZ45" i="30" s="1"/>
  <c r="DA45" i="30" s="1"/>
  <c r="DB45" i="30" s="1"/>
  <c r="DC45" i="30" s="1"/>
  <c r="DD45" i="30" s="1"/>
  <c r="DE45" i="30" s="1"/>
  <c r="DF45" i="30" s="1"/>
  <c r="DG45" i="30" s="1"/>
  <c r="DH45" i="30" s="1"/>
  <c r="DI45" i="30" s="1"/>
  <c r="DJ45" i="30" s="1"/>
  <c r="DK45" i="30" s="1"/>
  <c r="DL45" i="30" s="1"/>
  <c r="DM45" i="30" s="1"/>
  <c r="DN45" i="30" s="1"/>
  <c r="DO45" i="30" s="1"/>
  <c r="DP45" i="30" s="1"/>
  <c r="DQ45" i="30" s="1"/>
  <c r="DR45" i="30" s="1"/>
  <c r="DS45" i="30" s="1"/>
  <c r="DT45" i="30" s="1"/>
  <c r="DU45" i="30" s="1"/>
  <c r="DV45" i="30" s="1"/>
  <c r="DW45" i="30" s="1"/>
  <c r="DX45" i="30" s="1"/>
  <c r="DY45" i="30" s="1"/>
  <c r="DZ45" i="30" s="1"/>
  <c r="EA45" i="30" s="1"/>
  <c r="EB45" i="30" s="1"/>
  <c r="EC45" i="30" s="1"/>
  <c r="ED45" i="30" s="1"/>
  <c r="EE45" i="30" s="1"/>
  <c r="EF45" i="30" s="1"/>
  <c r="EG45" i="30" s="1"/>
  <c r="EH45" i="30" s="1"/>
  <c r="EI45" i="30" s="1"/>
  <c r="EJ45" i="30" s="1"/>
  <c r="EK45" i="30" s="1"/>
  <c r="EL45" i="30" s="1"/>
  <c r="EM45" i="30" s="1"/>
  <c r="EN45" i="30" s="1"/>
  <c r="EO45" i="30" s="1"/>
  <c r="EP45" i="30" s="1"/>
  <c r="EQ45" i="30" s="1"/>
  <c r="ER45" i="30" s="1"/>
  <c r="ES45" i="30" s="1"/>
  <c r="ET45" i="30" s="1"/>
  <c r="EU45" i="30" s="1"/>
  <c r="EV45" i="30" s="1"/>
  <c r="EW45" i="30" s="1"/>
  <c r="EX45" i="30" s="1"/>
  <c r="EY45" i="30" s="1"/>
  <c r="EZ45" i="30" s="1"/>
  <c r="FA45" i="30" s="1"/>
  <c r="FB45" i="30" s="1"/>
  <c r="FC45" i="30" s="1"/>
  <c r="FD45" i="30" s="1"/>
  <c r="FE45" i="30" s="1"/>
  <c r="FF45" i="30" s="1"/>
  <c r="FG45" i="30" s="1"/>
  <c r="FH45" i="30" s="1"/>
  <c r="FI45" i="30" s="1"/>
  <c r="FJ45" i="30" s="1"/>
  <c r="FK45" i="30" s="1"/>
  <c r="FL45" i="30" s="1"/>
  <c r="FM45" i="30" s="1"/>
  <c r="FN45" i="30" s="1"/>
  <c r="FO45" i="30" s="1"/>
  <c r="FP45" i="30" s="1"/>
  <c r="FQ45" i="30" s="1"/>
  <c r="FR45" i="30" s="1"/>
  <c r="FS45" i="30" s="1"/>
  <c r="FT45" i="30" s="1"/>
  <c r="FU45" i="30" s="1"/>
  <c r="FV45" i="30" s="1"/>
  <c r="FW45" i="30" s="1"/>
  <c r="FX45" i="30" s="1"/>
  <c r="FY45" i="30" s="1"/>
  <c r="FZ45" i="30" s="1"/>
  <c r="GA45" i="30" s="1"/>
  <c r="GB45" i="30" s="1"/>
  <c r="GC45" i="30" s="1"/>
  <c r="GD45" i="30" s="1"/>
  <c r="GE45" i="30" s="1"/>
  <c r="GF45" i="30" s="1"/>
  <c r="GG45" i="30" s="1"/>
  <c r="GH45" i="30" s="1"/>
  <c r="GI45" i="30" s="1"/>
  <c r="GJ45" i="30" s="1"/>
  <c r="GK45" i="30" s="1"/>
  <c r="GL45" i="30" s="1"/>
  <c r="GM45" i="30" s="1"/>
  <c r="GN45" i="30" s="1"/>
  <c r="GO45" i="30" s="1"/>
  <c r="GP45" i="30" s="1"/>
  <c r="GQ45" i="30" s="1"/>
  <c r="GR45" i="30" s="1"/>
  <c r="GS45" i="30" s="1"/>
  <c r="GT45" i="30" s="1"/>
  <c r="GU45" i="30" s="1"/>
  <c r="GV45" i="30" s="1"/>
  <c r="GW45" i="30" s="1"/>
  <c r="GX45" i="30" s="1"/>
  <c r="GY45" i="30" s="1"/>
  <c r="GZ45" i="30" s="1"/>
  <c r="HA45" i="30" s="1"/>
  <c r="HB45" i="30" s="1"/>
  <c r="HC45" i="30" s="1"/>
  <c r="HD45" i="30" s="1"/>
  <c r="HE45" i="30" s="1"/>
  <c r="HF45" i="30" s="1"/>
  <c r="HG45" i="30" s="1"/>
  <c r="HH45" i="30" s="1"/>
  <c r="HI45" i="30" s="1"/>
  <c r="HJ45" i="30" s="1"/>
  <c r="HK45" i="30" s="1"/>
  <c r="HL45" i="30" s="1"/>
  <c r="HM45" i="30" s="1"/>
  <c r="HN45" i="30" s="1"/>
  <c r="HO45" i="30" s="1"/>
  <c r="HP45" i="30" s="1"/>
  <c r="HQ45" i="30" s="1"/>
  <c r="HR45" i="30" s="1"/>
  <c r="HS45" i="30" s="1"/>
  <c r="HT45" i="30" s="1"/>
  <c r="HU45" i="30" s="1"/>
  <c r="HV45" i="30" s="1"/>
  <c r="HW45" i="30" s="1"/>
  <c r="HX45" i="30" s="1"/>
  <c r="HY45" i="30" s="1"/>
  <c r="HZ45" i="30" s="1"/>
  <c r="IA45" i="30" s="1"/>
  <c r="IB45" i="30" s="1"/>
  <c r="IC45" i="30" s="1"/>
  <c r="ID45" i="30" s="1"/>
  <c r="IE45" i="30" s="1"/>
  <c r="IF45" i="30" s="1"/>
  <c r="IG45" i="30" s="1"/>
  <c r="IH45" i="30" s="1"/>
  <c r="II45" i="30" s="1"/>
  <c r="IJ45" i="30" s="1"/>
  <c r="IK45" i="30" s="1"/>
  <c r="IL45" i="30" s="1"/>
  <c r="IM45" i="30" s="1"/>
  <c r="IN45" i="30" s="1"/>
  <c r="IO45" i="30" s="1"/>
  <c r="IP45" i="30" s="1"/>
  <c r="IQ45" i="30" s="1"/>
  <c r="IR45" i="30" s="1"/>
  <c r="IS45" i="30" s="1"/>
  <c r="IT45" i="30" s="1"/>
  <c r="IU45" i="30" s="1"/>
  <c r="IV45" i="30" s="1"/>
  <c r="IW45" i="30" s="1"/>
  <c r="IX45" i="30" s="1"/>
  <c r="IY45" i="30" s="1"/>
  <c r="IZ45" i="30" s="1"/>
  <c r="JA45" i="30" s="1"/>
  <c r="JB45" i="30" s="1"/>
  <c r="JC45" i="30" s="1"/>
  <c r="JD45" i="30" s="1"/>
  <c r="JE45" i="30" s="1"/>
  <c r="JF45" i="30" s="1"/>
  <c r="JG45" i="30" s="1"/>
  <c r="JH45" i="30" s="1"/>
  <c r="JI45" i="30" s="1"/>
  <c r="JJ45" i="30" s="1"/>
  <c r="JK45" i="30" s="1"/>
  <c r="JL45" i="30" s="1"/>
  <c r="JM45" i="30" s="1"/>
  <c r="JN45" i="30" s="1"/>
  <c r="JO45" i="30" s="1"/>
  <c r="JP45" i="30" s="1"/>
  <c r="JQ45" i="30" s="1"/>
  <c r="JR45" i="30" s="1"/>
  <c r="JS45" i="30" s="1"/>
  <c r="JT45" i="30" s="1"/>
  <c r="JU45" i="30" s="1"/>
  <c r="JV45" i="30" s="1"/>
  <c r="JW45" i="30" s="1"/>
  <c r="JX45" i="30" s="1"/>
  <c r="JY45" i="30" s="1"/>
  <c r="JZ45" i="30" s="1"/>
  <c r="KA45" i="30" s="1"/>
  <c r="KB45" i="30" s="1"/>
  <c r="KC45" i="30" s="1"/>
  <c r="KD45" i="30" s="1"/>
  <c r="KE45" i="30" s="1"/>
  <c r="KF45" i="30" s="1"/>
  <c r="KG45" i="30" s="1"/>
  <c r="KH45" i="30" s="1"/>
  <c r="KI45" i="30" s="1"/>
  <c r="KJ45" i="30" s="1"/>
  <c r="KK45" i="30" s="1"/>
  <c r="KL45" i="30" s="1"/>
  <c r="KM45" i="30" s="1"/>
  <c r="KN45" i="30" s="1"/>
  <c r="KO45" i="30" s="1"/>
  <c r="KP45" i="30" s="1"/>
  <c r="KQ45" i="30" s="1"/>
  <c r="KR45" i="30" s="1"/>
  <c r="KS45" i="30" s="1"/>
  <c r="KT45" i="30" s="1"/>
  <c r="KU45" i="30" s="1"/>
  <c r="KV45" i="30" s="1"/>
  <c r="KW45" i="30" s="1"/>
  <c r="KX45" i="30" s="1"/>
  <c r="KY45" i="30" s="1"/>
  <c r="KZ45" i="30" s="1"/>
  <c r="LA45" i="30" s="1"/>
  <c r="LB45" i="30" s="1"/>
  <c r="LC45" i="30" s="1"/>
  <c r="LD45" i="30" s="1"/>
  <c r="LE45" i="30" s="1"/>
  <c r="LF45" i="30" s="1"/>
  <c r="LG45" i="30" s="1"/>
  <c r="LH45" i="30" s="1"/>
  <c r="LI45" i="30" s="1"/>
  <c r="LJ45" i="30" s="1"/>
  <c r="W46" i="30"/>
  <c r="X46" i="30" s="1"/>
  <c r="Y46" i="30" s="1"/>
  <c r="Z46" i="30" s="1"/>
  <c r="AA46" i="30" s="1"/>
  <c r="AB46" i="30" s="1"/>
  <c r="AC46" i="30" s="1"/>
  <c r="AD46" i="30" s="1"/>
  <c r="AE46" i="30" s="1"/>
  <c r="AF46" i="30" s="1"/>
  <c r="AG46" i="30" s="1"/>
  <c r="AH46" i="30" s="1"/>
  <c r="AI46" i="30" s="1"/>
  <c r="AJ46" i="30" s="1"/>
  <c r="AK46" i="30" s="1"/>
  <c r="AL46" i="30" s="1"/>
  <c r="AM46" i="30" s="1"/>
  <c r="AN46" i="30" s="1"/>
  <c r="AO46" i="30" s="1"/>
  <c r="AP46" i="30" s="1"/>
  <c r="AQ46" i="30" s="1"/>
  <c r="AR46" i="30" s="1"/>
  <c r="AS46" i="30" s="1"/>
  <c r="AT46" i="30" s="1"/>
  <c r="AU46" i="30" s="1"/>
  <c r="AV46" i="30" s="1"/>
  <c r="AW46" i="30" s="1"/>
  <c r="AX46" i="30" s="1"/>
  <c r="AY46" i="30" s="1"/>
  <c r="AZ46" i="30" s="1"/>
  <c r="BA46" i="30" s="1"/>
  <c r="BB46" i="30" s="1"/>
  <c r="BC46" i="30" s="1"/>
  <c r="BD46" i="30" s="1"/>
  <c r="BE46" i="30" s="1"/>
  <c r="BF46" i="30" s="1"/>
  <c r="BG46" i="30" s="1"/>
  <c r="BH46" i="30" s="1"/>
  <c r="BI46" i="30" s="1"/>
  <c r="BJ46" i="30" s="1"/>
  <c r="BK46" i="30" s="1"/>
  <c r="BL46" i="30" s="1"/>
  <c r="BM46" i="30" s="1"/>
  <c r="BN46" i="30" s="1"/>
  <c r="BO46" i="30" s="1"/>
  <c r="BP46" i="30" s="1"/>
  <c r="BQ46" i="30" s="1"/>
  <c r="BR46" i="30" s="1"/>
  <c r="BS46" i="30" s="1"/>
  <c r="BT46" i="30" s="1"/>
  <c r="BU46" i="30" s="1"/>
  <c r="BV46" i="30" s="1"/>
  <c r="BW46" i="30" s="1"/>
  <c r="BX46" i="30" s="1"/>
  <c r="BY46" i="30" s="1"/>
  <c r="BZ46" i="30" s="1"/>
  <c r="CA46" i="30" s="1"/>
  <c r="CB46" i="30" s="1"/>
  <c r="CC46" i="30" s="1"/>
  <c r="CD46" i="30" s="1"/>
  <c r="CE46" i="30" s="1"/>
  <c r="CF46" i="30" s="1"/>
  <c r="CG46" i="30" s="1"/>
  <c r="CH46" i="30" s="1"/>
  <c r="CI46" i="30" s="1"/>
  <c r="CJ46" i="30" s="1"/>
  <c r="CK46" i="30" s="1"/>
  <c r="CL46" i="30" s="1"/>
  <c r="CM46" i="30" s="1"/>
  <c r="CN46" i="30" s="1"/>
  <c r="CO46" i="30" s="1"/>
  <c r="CP46" i="30" s="1"/>
  <c r="CQ46" i="30" s="1"/>
  <c r="CR46" i="30" s="1"/>
  <c r="CS46" i="30" s="1"/>
  <c r="CT46" i="30" s="1"/>
  <c r="CU46" i="30" s="1"/>
  <c r="CV46" i="30" s="1"/>
  <c r="CW46" i="30" s="1"/>
  <c r="CX46" i="30" s="1"/>
  <c r="CY46" i="30" s="1"/>
  <c r="CZ46" i="30" s="1"/>
  <c r="DA46" i="30" s="1"/>
  <c r="DB46" i="30" s="1"/>
  <c r="DC46" i="30" s="1"/>
  <c r="DD46" i="30" s="1"/>
  <c r="DE46" i="30" s="1"/>
  <c r="DF46" i="30" s="1"/>
  <c r="DG46" i="30" s="1"/>
  <c r="DH46" i="30" s="1"/>
  <c r="DI46" i="30" s="1"/>
  <c r="DJ46" i="30" s="1"/>
  <c r="DK46" i="30" s="1"/>
  <c r="DL46" i="30" s="1"/>
  <c r="DM46" i="30" s="1"/>
  <c r="DN46" i="30" s="1"/>
  <c r="DO46" i="30" s="1"/>
  <c r="DP46" i="30" s="1"/>
  <c r="DQ46" i="30" s="1"/>
  <c r="DR46" i="30" s="1"/>
  <c r="DS46" i="30" s="1"/>
  <c r="DT46" i="30" s="1"/>
  <c r="DU46" i="30" s="1"/>
  <c r="DV46" i="30" s="1"/>
  <c r="DW46" i="30" s="1"/>
  <c r="DX46" i="30" s="1"/>
  <c r="DY46" i="30" s="1"/>
  <c r="DZ46" i="30" s="1"/>
  <c r="EA46" i="30" s="1"/>
  <c r="EB46" i="30" s="1"/>
  <c r="EC46" i="30" s="1"/>
  <c r="ED46" i="30" s="1"/>
  <c r="EE46" i="30" s="1"/>
  <c r="EF46" i="30" s="1"/>
  <c r="EG46" i="30" s="1"/>
  <c r="EH46" i="30" s="1"/>
  <c r="EI46" i="30" s="1"/>
  <c r="EJ46" i="30" s="1"/>
  <c r="EK46" i="30" s="1"/>
  <c r="EL46" i="30" s="1"/>
  <c r="EM46" i="30" s="1"/>
  <c r="EN46" i="30" s="1"/>
  <c r="EO46" i="30" s="1"/>
  <c r="EP46" i="30" s="1"/>
  <c r="EQ46" i="30" s="1"/>
  <c r="ER46" i="30" s="1"/>
  <c r="ES46" i="30" s="1"/>
  <c r="ET46" i="30" s="1"/>
  <c r="EU46" i="30" s="1"/>
  <c r="EV46" i="30" s="1"/>
  <c r="EW46" i="30" s="1"/>
  <c r="EX46" i="30" s="1"/>
  <c r="EY46" i="30" s="1"/>
  <c r="EZ46" i="30" s="1"/>
  <c r="FA46" i="30" s="1"/>
  <c r="FB46" i="30" s="1"/>
  <c r="FC46" i="30" s="1"/>
  <c r="FD46" i="30" s="1"/>
  <c r="FE46" i="30" s="1"/>
  <c r="FF46" i="30" s="1"/>
  <c r="FG46" i="30" s="1"/>
  <c r="FH46" i="30" s="1"/>
  <c r="FI46" i="30" s="1"/>
  <c r="FJ46" i="30" s="1"/>
  <c r="FK46" i="30" s="1"/>
  <c r="FL46" i="30" s="1"/>
  <c r="FM46" i="30" s="1"/>
  <c r="FN46" i="30" s="1"/>
  <c r="FO46" i="30" s="1"/>
  <c r="FP46" i="30" s="1"/>
  <c r="FQ46" i="30" s="1"/>
  <c r="FR46" i="30" s="1"/>
  <c r="FS46" i="30" s="1"/>
  <c r="FT46" i="30" s="1"/>
  <c r="FU46" i="30" s="1"/>
  <c r="FV46" i="30" s="1"/>
  <c r="FW46" i="30" s="1"/>
  <c r="FX46" i="30" s="1"/>
  <c r="FY46" i="30" s="1"/>
  <c r="FZ46" i="30" s="1"/>
  <c r="GA46" i="30" s="1"/>
  <c r="GB46" i="30" s="1"/>
  <c r="GC46" i="30" s="1"/>
  <c r="GD46" i="30" s="1"/>
  <c r="GE46" i="30" s="1"/>
  <c r="GF46" i="30" s="1"/>
  <c r="GG46" i="30" s="1"/>
  <c r="GH46" i="30" s="1"/>
  <c r="GI46" i="30" s="1"/>
  <c r="GJ46" i="30" s="1"/>
  <c r="GK46" i="30" s="1"/>
  <c r="GL46" i="30" s="1"/>
  <c r="GM46" i="30" s="1"/>
  <c r="GN46" i="30" s="1"/>
  <c r="GO46" i="30" s="1"/>
  <c r="GP46" i="30" s="1"/>
  <c r="GQ46" i="30" s="1"/>
  <c r="GR46" i="30" s="1"/>
  <c r="GS46" i="30" s="1"/>
  <c r="GT46" i="30" s="1"/>
  <c r="GU46" i="30" s="1"/>
  <c r="GV46" i="30" s="1"/>
  <c r="GW46" i="30" s="1"/>
  <c r="GX46" i="30" s="1"/>
  <c r="GY46" i="30" s="1"/>
  <c r="GZ46" i="30" s="1"/>
  <c r="HA46" i="30" s="1"/>
  <c r="HB46" i="30" s="1"/>
  <c r="HC46" i="30" s="1"/>
  <c r="HD46" i="30" s="1"/>
  <c r="HE46" i="30" s="1"/>
  <c r="HF46" i="30" s="1"/>
  <c r="HG46" i="30" s="1"/>
  <c r="HH46" i="30" s="1"/>
  <c r="HI46" i="30" s="1"/>
  <c r="HJ46" i="30" s="1"/>
  <c r="HK46" i="30" s="1"/>
  <c r="HL46" i="30" s="1"/>
  <c r="HM46" i="30" s="1"/>
  <c r="HN46" i="30" s="1"/>
  <c r="HO46" i="30" s="1"/>
  <c r="HP46" i="30" s="1"/>
  <c r="HQ46" i="30" s="1"/>
  <c r="HR46" i="30" s="1"/>
  <c r="HS46" i="30" s="1"/>
  <c r="HT46" i="30" s="1"/>
  <c r="HU46" i="30" s="1"/>
  <c r="HV46" i="30" s="1"/>
  <c r="HW46" i="30" s="1"/>
  <c r="HX46" i="30" s="1"/>
  <c r="HY46" i="30" s="1"/>
  <c r="HZ46" i="30" s="1"/>
  <c r="IA46" i="30" s="1"/>
  <c r="IB46" i="30" s="1"/>
  <c r="IC46" i="30" s="1"/>
  <c r="ID46" i="30" s="1"/>
  <c r="IE46" i="30" s="1"/>
  <c r="IF46" i="30" s="1"/>
  <c r="IG46" i="30" s="1"/>
  <c r="IH46" i="30" s="1"/>
  <c r="II46" i="30" s="1"/>
  <c r="IJ46" i="30" s="1"/>
  <c r="IK46" i="30" s="1"/>
  <c r="IL46" i="30" s="1"/>
  <c r="IM46" i="30" s="1"/>
  <c r="IN46" i="30" s="1"/>
  <c r="IO46" i="30" s="1"/>
  <c r="IP46" i="30" s="1"/>
  <c r="IQ46" i="30" s="1"/>
  <c r="IR46" i="30" s="1"/>
  <c r="IS46" i="30" s="1"/>
  <c r="IT46" i="30" s="1"/>
  <c r="IU46" i="30" s="1"/>
  <c r="IV46" i="30" s="1"/>
  <c r="IW46" i="30" s="1"/>
  <c r="IX46" i="30" s="1"/>
  <c r="IY46" i="30" s="1"/>
  <c r="IZ46" i="30" s="1"/>
  <c r="JA46" i="30" s="1"/>
  <c r="JB46" i="30" s="1"/>
  <c r="JC46" i="30" s="1"/>
  <c r="JD46" i="30" s="1"/>
  <c r="JE46" i="30" s="1"/>
  <c r="JF46" i="30" s="1"/>
  <c r="JG46" i="30" s="1"/>
  <c r="JH46" i="30" s="1"/>
  <c r="JI46" i="30" s="1"/>
  <c r="JJ46" i="30" s="1"/>
  <c r="JK46" i="30" s="1"/>
  <c r="JL46" i="30" s="1"/>
  <c r="JM46" i="30" s="1"/>
  <c r="JN46" i="30" s="1"/>
  <c r="JO46" i="30" s="1"/>
  <c r="JP46" i="30" s="1"/>
  <c r="JQ46" i="30" s="1"/>
  <c r="JR46" i="30" s="1"/>
  <c r="JS46" i="30" s="1"/>
  <c r="JT46" i="30" s="1"/>
  <c r="JU46" i="30" s="1"/>
  <c r="JV46" i="30" s="1"/>
  <c r="JW46" i="30" s="1"/>
  <c r="JX46" i="30" s="1"/>
  <c r="JY46" i="30" s="1"/>
  <c r="JZ46" i="30" s="1"/>
  <c r="KA46" i="30" s="1"/>
  <c r="KB46" i="30" s="1"/>
  <c r="KC46" i="30" s="1"/>
  <c r="KD46" i="30" s="1"/>
  <c r="KE46" i="30" s="1"/>
  <c r="KF46" i="30" s="1"/>
  <c r="KG46" i="30" s="1"/>
  <c r="KH46" i="30" s="1"/>
  <c r="KI46" i="30" s="1"/>
  <c r="KJ46" i="30" s="1"/>
  <c r="KK46" i="30" s="1"/>
  <c r="KL46" i="30" s="1"/>
  <c r="KM46" i="30" s="1"/>
  <c r="KN46" i="30" s="1"/>
  <c r="KO46" i="30" s="1"/>
  <c r="KP46" i="30" s="1"/>
  <c r="KQ46" i="30" s="1"/>
  <c r="KR46" i="30" s="1"/>
  <c r="KS46" i="30" s="1"/>
  <c r="KT46" i="30" s="1"/>
  <c r="KU46" i="30" s="1"/>
  <c r="KV46" i="30" s="1"/>
  <c r="KW46" i="30" s="1"/>
  <c r="KX46" i="30" s="1"/>
  <c r="KY46" i="30" s="1"/>
  <c r="KZ46" i="30" s="1"/>
  <c r="LA46" i="30" s="1"/>
  <c r="LB46" i="30" s="1"/>
  <c r="LC46" i="30" s="1"/>
  <c r="LD46" i="30" s="1"/>
  <c r="LE46" i="30" s="1"/>
  <c r="LF46" i="30" s="1"/>
  <c r="LG46" i="30" s="1"/>
  <c r="LH46" i="30" s="1"/>
  <c r="LI46" i="30" s="1"/>
  <c r="LJ46" i="30" s="1"/>
  <c r="W47" i="30"/>
  <c r="X47" i="30" s="1"/>
  <c r="Y47" i="30" s="1"/>
  <c r="Z47" i="30" s="1"/>
  <c r="AA47" i="30" s="1"/>
  <c r="AB47" i="30" s="1"/>
  <c r="AC47" i="30" s="1"/>
  <c r="AD47" i="30" s="1"/>
  <c r="AE47" i="30" s="1"/>
  <c r="AF47" i="30" s="1"/>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BL47" i="30" s="1"/>
  <c r="BM47" i="30" s="1"/>
  <c r="BN47" i="30" s="1"/>
  <c r="BO47" i="30" s="1"/>
  <c r="BP47" i="30" s="1"/>
  <c r="BQ47" i="30" s="1"/>
  <c r="BR47" i="30" s="1"/>
  <c r="BS47" i="30" s="1"/>
  <c r="BT47" i="30" s="1"/>
  <c r="BU47" i="30" s="1"/>
  <c r="BV47" i="30" s="1"/>
  <c r="BW47" i="30" s="1"/>
  <c r="BX47" i="30" s="1"/>
  <c r="BY47" i="30" s="1"/>
  <c r="BZ47" i="30" s="1"/>
  <c r="CA47" i="30" s="1"/>
  <c r="CB47" i="30" s="1"/>
  <c r="CC47" i="30" s="1"/>
  <c r="CD47" i="30" s="1"/>
  <c r="CE47" i="30" s="1"/>
  <c r="CF47" i="30" s="1"/>
  <c r="CG47" i="30" s="1"/>
  <c r="CH47" i="30" s="1"/>
  <c r="CI47" i="30" s="1"/>
  <c r="CJ47" i="30" s="1"/>
  <c r="CK47" i="30" s="1"/>
  <c r="CL47" i="30" s="1"/>
  <c r="CM47" i="30" s="1"/>
  <c r="CN47" i="30" s="1"/>
  <c r="CO47" i="30" s="1"/>
  <c r="CP47" i="30" s="1"/>
  <c r="CQ47" i="30" s="1"/>
  <c r="CR47" i="30" s="1"/>
  <c r="CS47" i="30" s="1"/>
  <c r="CT47" i="30" s="1"/>
  <c r="CU47" i="30" s="1"/>
  <c r="CV47" i="30" s="1"/>
  <c r="CW47" i="30" s="1"/>
  <c r="CX47" i="30" s="1"/>
  <c r="CY47" i="30" s="1"/>
  <c r="CZ47" i="30" s="1"/>
  <c r="DA47" i="30" s="1"/>
  <c r="DB47" i="30" s="1"/>
  <c r="DC47" i="30" s="1"/>
  <c r="DD47" i="30" s="1"/>
  <c r="DE47" i="30" s="1"/>
  <c r="DF47" i="30" s="1"/>
  <c r="DG47" i="30" s="1"/>
  <c r="DH47" i="30" s="1"/>
  <c r="DI47" i="30" s="1"/>
  <c r="DJ47" i="30" s="1"/>
  <c r="DK47" i="30" s="1"/>
  <c r="DL47" i="30" s="1"/>
  <c r="DM47" i="30" s="1"/>
  <c r="DN47" i="30" s="1"/>
  <c r="DO47" i="30" s="1"/>
  <c r="DP47" i="30" s="1"/>
  <c r="DQ47" i="30" s="1"/>
  <c r="DR47" i="30" s="1"/>
  <c r="DS47" i="30" s="1"/>
  <c r="DT47" i="30" s="1"/>
  <c r="DU47" i="30" s="1"/>
  <c r="DV47" i="30" s="1"/>
  <c r="DW47" i="30" s="1"/>
  <c r="DX47" i="30" s="1"/>
  <c r="DY47" i="30" s="1"/>
  <c r="DZ47" i="30" s="1"/>
  <c r="EA47" i="30" s="1"/>
  <c r="EB47" i="30" s="1"/>
  <c r="EC47" i="30" s="1"/>
  <c r="ED47" i="30" s="1"/>
  <c r="EE47" i="30" s="1"/>
  <c r="EF47" i="30" s="1"/>
  <c r="EG47" i="30" s="1"/>
  <c r="EH47" i="30" s="1"/>
  <c r="EI47" i="30" s="1"/>
  <c r="EJ47" i="30" s="1"/>
  <c r="EK47" i="30" s="1"/>
  <c r="EL47" i="30" s="1"/>
  <c r="EM47" i="30" s="1"/>
  <c r="EN47" i="30" s="1"/>
  <c r="EO47" i="30" s="1"/>
  <c r="EP47" i="30" s="1"/>
  <c r="EQ47" i="30" s="1"/>
  <c r="ER47" i="30" s="1"/>
  <c r="ES47" i="30" s="1"/>
  <c r="ET47" i="30" s="1"/>
  <c r="EU47" i="30" s="1"/>
  <c r="EV47" i="30" s="1"/>
  <c r="EW47" i="30" s="1"/>
  <c r="EX47" i="30" s="1"/>
  <c r="EY47" i="30" s="1"/>
  <c r="EZ47" i="30" s="1"/>
  <c r="FA47" i="30" s="1"/>
  <c r="FB47" i="30" s="1"/>
  <c r="FC47" i="30" s="1"/>
  <c r="FD47" i="30" s="1"/>
  <c r="FE47" i="30" s="1"/>
  <c r="FF47" i="30" s="1"/>
  <c r="FG47" i="30" s="1"/>
  <c r="FH47" i="30" s="1"/>
  <c r="FI47" i="30" s="1"/>
  <c r="FJ47" i="30" s="1"/>
  <c r="FK47" i="30" s="1"/>
  <c r="FL47" i="30" s="1"/>
  <c r="FM47" i="30" s="1"/>
  <c r="FN47" i="30" s="1"/>
  <c r="FO47" i="30" s="1"/>
  <c r="FP47" i="30" s="1"/>
  <c r="FQ47" i="30" s="1"/>
  <c r="FR47" i="30" s="1"/>
  <c r="FS47" i="30" s="1"/>
  <c r="FT47" i="30" s="1"/>
  <c r="FU47" i="30" s="1"/>
  <c r="FV47" i="30" s="1"/>
  <c r="FW47" i="30" s="1"/>
  <c r="FX47" i="30" s="1"/>
  <c r="FY47" i="30" s="1"/>
  <c r="FZ47" i="30" s="1"/>
  <c r="GA47" i="30" s="1"/>
  <c r="GB47" i="30" s="1"/>
  <c r="GC47" i="30" s="1"/>
  <c r="GD47" i="30" s="1"/>
  <c r="GE47" i="30" s="1"/>
  <c r="GF47" i="30" s="1"/>
  <c r="GG47" i="30" s="1"/>
  <c r="GH47" i="30" s="1"/>
  <c r="GI47" i="30" s="1"/>
  <c r="GJ47" i="30" s="1"/>
  <c r="GK47" i="30" s="1"/>
  <c r="GL47" i="30" s="1"/>
  <c r="GM47" i="30" s="1"/>
  <c r="GN47" i="30" s="1"/>
  <c r="GO47" i="30" s="1"/>
  <c r="GP47" i="30" s="1"/>
  <c r="GQ47" i="30" s="1"/>
  <c r="GR47" i="30" s="1"/>
  <c r="GS47" i="30" s="1"/>
  <c r="GT47" i="30" s="1"/>
  <c r="GU47" i="30" s="1"/>
  <c r="GV47" i="30" s="1"/>
  <c r="GW47" i="30" s="1"/>
  <c r="GX47" i="30" s="1"/>
  <c r="GY47" i="30" s="1"/>
  <c r="GZ47" i="30" s="1"/>
  <c r="HA47" i="30" s="1"/>
  <c r="HB47" i="30" s="1"/>
  <c r="HC47" i="30" s="1"/>
  <c r="HD47" i="30" s="1"/>
  <c r="HE47" i="30" s="1"/>
  <c r="HF47" i="30" s="1"/>
  <c r="HG47" i="30" s="1"/>
  <c r="HH47" i="30" s="1"/>
  <c r="HI47" i="30" s="1"/>
  <c r="HJ47" i="30" s="1"/>
  <c r="HK47" i="30" s="1"/>
  <c r="HL47" i="30" s="1"/>
  <c r="HM47" i="30" s="1"/>
  <c r="HN47" i="30" s="1"/>
  <c r="HO47" i="30" s="1"/>
  <c r="HP47" i="30" s="1"/>
  <c r="HQ47" i="30" s="1"/>
  <c r="HR47" i="30" s="1"/>
  <c r="HS47" i="30" s="1"/>
  <c r="HT47" i="30" s="1"/>
  <c r="HU47" i="30" s="1"/>
  <c r="HV47" i="30" s="1"/>
  <c r="HW47" i="30" s="1"/>
  <c r="HX47" i="30" s="1"/>
  <c r="HY47" i="30" s="1"/>
  <c r="HZ47" i="30" s="1"/>
  <c r="IA47" i="30" s="1"/>
  <c r="IB47" i="30" s="1"/>
  <c r="IC47" i="30" s="1"/>
  <c r="ID47" i="30" s="1"/>
  <c r="IE47" i="30" s="1"/>
  <c r="IF47" i="30" s="1"/>
  <c r="IG47" i="30" s="1"/>
  <c r="IH47" i="30" s="1"/>
  <c r="II47" i="30" s="1"/>
  <c r="IJ47" i="30" s="1"/>
  <c r="IK47" i="30" s="1"/>
  <c r="IL47" i="30" s="1"/>
  <c r="IM47" i="30" s="1"/>
  <c r="IN47" i="30" s="1"/>
  <c r="IO47" i="30" s="1"/>
  <c r="IP47" i="30" s="1"/>
  <c r="IQ47" i="30" s="1"/>
  <c r="IR47" i="30" s="1"/>
  <c r="IS47" i="30" s="1"/>
  <c r="IT47" i="30" s="1"/>
  <c r="IU47" i="30" s="1"/>
  <c r="IV47" i="30" s="1"/>
  <c r="IW47" i="30" s="1"/>
  <c r="IX47" i="30" s="1"/>
  <c r="IY47" i="30" s="1"/>
  <c r="IZ47" i="30" s="1"/>
  <c r="JA47" i="30" s="1"/>
  <c r="JB47" i="30" s="1"/>
  <c r="JC47" i="30" s="1"/>
  <c r="JD47" i="30" s="1"/>
  <c r="JE47" i="30" s="1"/>
  <c r="JF47" i="30" s="1"/>
  <c r="JG47" i="30" s="1"/>
  <c r="JH47" i="30" s="1"/>
  <c r="JI47" i="30" s="1"/>
  <c r="JJ47" i="30" s="1"/>
  <c r="JK47" i="30" s="1"/>
  <c r="JL47" i="30" s="1"/>
  <c r="JM47" i="30" s="1"/>
  <c r="JN47" i="30" s="1"/>
  <c r="JO47" i="30" s="1"/>
  <c r="JP47" i="30" s="1"/>
  <c r="JQ47" i="30" s="1"/>
  <c r="JR47" i="30" s="1"/>
  <c r="JS47" i="30" s="1"/>
  <c r="JT47" i="30" s="1"/>
  <c r="JU47" i="30" s="1"/>
  <c r="JV47" i="30" s="1"/>
  <c r="JW47" i="30" s="1"/>
  <c r="JX47" i="30" s="1"/>
  <c r="JY47" i="30" s="1"/>
  <c r="JZ47" i="30" s="1"/>
  <c r="KA47" i="30" s="1"/>
  <c r="KB47" i="30" s="1"/>
  <c r="KC47" i="30" s="1"/>
  <c r="KD47" i="30" s="1"/>
  <c r="KE47" i="30" s="1"/>
  <c r="KF47" i="30" s="1"/>
  <c r="KG47" i="30" s="1"/>
  <c r="KH47" i="30" s="1"/>
  <c r="KI47" i="30" s="1"/>
  <c r="KJ47" i="30" s="1"/>
  <c r="KK47" i="30" s="1"/>
  <c r="KL47" i="30" s="1"/>
  <c r="KM47" i="30" s="1"/>
  <c r="KN47" i="30" s="1"/>
  <c r="KO47" i="30" s="1"/>
  <c r="KP47" i="30" s="1"/>
  <c r="KQ47" i="30" s="1"/>
  <c r="KR47" i="30" s="1"/>
  <c r="KS47" i="30" s="1"/>
  <c r="KT47" i="30" s="1"/>
  <c r="KU47" i="30" s="1"/>
  <c r="KV47" i="30" s="1"/>
  <c r="KW47" i="30" s="1"/>
  <c r="KX47" i="30" s="1"/>
  <c r="KY47" i="30" s="1"/>
  <c r="KZ47" i="30" s="1"/>
  <c r="LA47" i="30" s="1"/>
  <c r="LB47" i="30" s="1"/>
  <c r="LC47" i="30" s="1"/>
  <c r="LD47" i="30" s="1"/>
  <c r="LE47" i="30" s="1"/>
  <c r="LF47" i="30" s="1"/>
  <c r="LG47" i="30" s="1"/>
  <c r="LH47" i="30" s="1"/>
  <c r="LI47" i="30" s="1"/>
  <c r="LJ47" i="30" s="1"/>
  <c r="W48" i="30"/>
  <c r="X48" i="30" s="1"/>
  <c r="Y48" i="30" s="1"/>
  <c r="Z48" i="30" s="1"/>
  <c r="AA48" i="30" s="1"/>
  <c r="AB48" i="30" s="1"/>
  <c r="AC48" i="30" s="1"/>
  <c r="AD48" i="30" s="1"/>
  <c r="AE48" i="30" s="1"/>
  <c r="AF48" i="30" s="1"/>
  <c r="AG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AZ48" i="30" s="1"/>
  <c r="BA48" i="30" s="1"/>
  <c r="BB48" i="30" s="1"/>
  <c r="BC48" i="30" s="1"/>
  <c r="BD48" i="30" s="1"/>
  <c r="BE48" i="30" s="1"/>
  <c r="BF48" i="30" s="1"/>
  <c r="BG48" i="30" s="1"/>
  <c r="BH48" i="30" s="1"/>
  <c r="BI48" i="30" s="1"/>
  <c r="BJ48" i="30" s="1"/>
  <c r="BK48" i="30" s="1"/>
  <c r="BL48" i="30" s="1"/>
  <c r="BM48" i="30" s="1"/>
  <c r="BN48" i="30" s="1"/>
  <c r="BO48" i="30" s="1"/>
  <c r="BP48" i="30" s="1"/>
  <c r="BQ48" i="30" s="1"/>
  <c r="BR48" i="30" s="1"/>
  <c r="BS48" i="30" s="1"/>
  <c r="BT48" i="30" s="1"/>
  <c r="BU48" i="30" s="1"/>
  <c r="BV48" i="30" s="1"/>
  <c r="BW48" i="30" s="1"/>
  <c r="BX48" i="30" s="1"/>
  <c r="BY48" i="30" s="1"/>
  <c r="BZ48" i="30" s="1"/>
  <c r="CA48" i="30" s="1"/>
  <c r="CB48" i="30" s="1"/>
  <c r="CC48" i="30" s="1"/>
  <c r="CD48" i="30" s="1"/>
  <c r="CE48" i="30" s="1"/>
  <c r="CF48" i="30" s="1"/>
  <c r="CG48" i="30" s="1"/>
  <c r="CH48" i="30" s="1"/>
  <c r="CI48" i="30" s="1"/>
  <c r="CJ48" i="30" s="1"/>
  <c r="CK48" i="30" s="1"/>
  <c r="CL48" i="30" s="1"/>
  <c r="CM48" i="30" s="1"/>
  <c r="CN48" i="30" s="1"/>
  <c r="CO48" i="30" s="1"/>
  <c r="CP48" i="30" s="1"/>
  <c r="CQ48" i="30" s="1"/>
  <c r="CR48" i="30" s="1"/>
  <c r="CS48" i="30" s="1"/>
  <c r="CT48" i="30" s="1"/>
  <c r="CU48" i="30" s="1"/>
  <c r="CV48" i="30" s="1"/>
  <c r="CW48" i="30" s="1"/>
  <c r="CX48" i="30" s="1"/>
  <c r="CY48" i="30" s="1"/>
  <c r="CZ48" i="30" s="1"/>
  <c r="DA48" i="30" s="1"/>
  <c r="DB48" i="30" s="1"/>
  <c r="DC48" i="30" s="1"/>
  <c r="DD48" i="30" s="1"/>
  <c r="DE48" i="30" s="1"/>
  <c r="DF48" i="30" s="1"/>
  <c r="DG48" i="30" s="1"/>
  <c r="DH48" i="30" s="1"/>
  <c r="DI48" i="30" s="1"/>
  <c r="DJ48" i="30" s="1"/>
  <c r="DK48" i="30" s="1"/>
  <c r="DL48" i="30" s="1"/>
  <c r="DM48" i="30" s="1"/>
  <c r="DN48" i="30" s="1"/>
  <c r="DO48" i="30" s="1"/>
  <c r="DP48" i="30" s="1"/>
  <c r="DQ48" i="30" s="1"/>
  <c r="DR48" i="30" s="1"/>
  <c r="DS48" i="30" s="1"/>
  <c r="DT48" i="30" s="1"/>
  <c r="DU48" i="30" s="1"/>
  <c r="DV48" i="30" s="1"/>
  <c r="DW48" i="30" s="1"/>
  <c r="DX48" i="30" s="1"/>
  <c r="DY48" i="30" s="1"/>
  <c r="DZ48" i="30" s="1"/>
  <c r="EA48" i="30" s="1"/>
  <c r="EB48" i="30" s="1"/>
  <c r="EC48" i="30" s="1"/>
  <c r="ED48" i="30" s="1"/>
  <c r="EE48" i="30" s="1"/>
  <c r="EF48" i="30" s="1"/>
  <c r="EG48" i="30" s="1"/>
  <c r="EH48" i="30" s="1"/>
  <c r="EI48" i="30" s="1"/>
  <c r="EJ48" i="30" s="1"/>
  <c r="EK48" i="30" s="1"/>
  <c r="EL48" i="30" s="1"/>
  <c r="EM48" i="30" s="1"/>
  <c r="EN48" i="30" s="1"/>
  <c r="EO48" i="30" s="1"/>
  <c r="EP48" i="30" s="1"/>
  <c r="EQ48" i="30" s="1"/>
  <c r="ER48" i="30" s="1"/>
  <c r="ES48" i="30" s="1"/>
  <c r="ET48" i="30" s="1"/>
  <c r="EU48" i="30" s="1"/>
  <c r="EV48" i="30" s="1"/>
  <c r="EW48" i="30" s="1"/>
  <c r="EX48" i="30" s="1"/>
  <c r="EY48" i="30" s="1"/>
  <c r="EZ48" i="30" s="1"/>
  <c r="FA48" i="30" s="1"/>
  <c r="FB48" i="30" s="1"/>
  <c r="FC48" i="30" s="1"/>
  <c r="FD48" i="30" s="1"/>
  <c r="FE48" i="30" s="1"/>
  <c r="FF48" i="30" s="1"/>
  <c r="FG48" i="30" s="1"/>
  <c r="FH48" i="30" s="1"/>
  <c r="FI48" i="30" s="1"/>
  <c r="FJ48" i="30" s="1"/>
  <c r="FK48" i="30" s="1"/>
  <c r="FL48" i="30" s="1"/>
  <c r="FM48" i="30" s="1"/>
  <c r="FN48" i="30" s="1"/>
  <c r="FO48" i="30" s="1"/>
  <c r="FP48" i="30" s="1"/>
  <c r="FQ48" i="30" s="1"/>
  <c r="FR48" i="30" s="1"/>
  <c r="FS48" i="30" s="1"/>
  <c r="FT48" i="30" s="1"/>
  <c r="FU48" i="30" s="1"/>
  <c r="FV48" i="30" s="1"/>
  <c r="FW48" i="30" s="1"/>
  <c r="FX48" i="30" s="1"/>
  <c r="FY48" i="30" s="1"/>
  <c r="FZ48" i="30" s="1"/>
  <c r="GA48" i="30" s="1"/>
  <c r="GB48" i="30" s="1"/>
  <c r="GC48" i="30" s="1"/>
  <c r="GD48" i="30" s="1"/>
  <c r="GE48" i="30" s="1"/>
  <c r="GF48" i="30" s="1"/>
  <c r="GG48" i="30" s="1"/>
  <c r="GH48" i="30" s="1"/>
  <c r="GI48" i="30" s="1"/>
  <c r="GJ48" i="30" s="1"/>
  <c r="GK48" i="30" s="1"/>
  <c r="GL48" i="30" s="1"/>
  <c r="GM48" i="30" s="1"/>
  <c r="GN48" i="30" s="1"/>
  <c r="GO48" i="30" s="1"/>
  <c r="GP48" i="30" s="1"/>
  <c r="GQ48" i="30" s="1"/>
  <c r="GR48" i="30" s="1"/>
  <c r="GS48" i="30" s="1"/>
  <c r="GT48" i="30" s="1"/>
  <c r="GU48" i="30" s="1"/>
  <c r="GV48" i="30" s="1"/>
  <c r="GW48" i="30" s="1"/>
  <c r="GX48" i="30" s="1"/>
  <c r="GY48" i="30" s="1"/>
  <c r="GZ48" i="30" s="1"/>
  <c r="HA48" i="30" s="1"/>
  <c r="HB48" i="30" s="1"/>
  <c r="HC48" i="30" s="1"/>
  <c r="HD48" i="30" s="1"/>
  <c r="HE48" i="30" s="1"/>
  <c r="HF48" i="30" s="1"/>
  <c r="HG48" i="30" s="1"/>
  <c r="HH48" i="30" s="1"/>
  <c r="HI48" i="30" s="1"/>
  <c r="HJ48" i="30" s="1"/>
  <c r="HK48" i="30" s="1"/>
  <c r="HL48" i="30" s="1"/>
  <c r="HM48" i="30" s="1"/>
  <c r="HN48" i="30" s="1"/>
  <c r="HO48" i="30" s="1"/>
  <c r="HP48" i="30" s="1"/>
  <c r="HQ48" i="30" s="1"/>
  <c r="HR48" i="30" s="1"/>
  <c r="HS48" i="30" s="1"/>
  <c r="HT48" i="30" s="1"/>
  <c r="HU48" i="30" s="1"/>
  <c r="HV48" i="30" s="1"/>
  <c r="HW48" i="30" s="1"/>
  <c r="HX48" i="30" s="1"/>
  <c r="HY48" i="30" s="1"/>
  <c r="HZ48" i="30" s="1"/>
  <c r="IA48" i="30" s="1"/>
  <c r="IB48" i="30" s="1"/>
  <c r="IC48" i="30" s="1"/>
  <c r="ID48" i="30" s="1"/>
  <c r="IE48" i="30" s="1"/>
  <c r="IF48" i="30" s="1"/>
  <c r="IG48" i="30" s="1"/>
  <c r="IH48" i="30" s="1"/>
  <c r="II48" i="30" s="1"/>
  <c r="IJ48" i="30" s="1"/>
  <c r="IK48" i="30" s="1"/>
  <c r="IL48" i="30" s="1"/>
  <c r="IM48" i="30" s="1"/>
  <c r="IN48" i="30" s="1"/>
  <c r="IO48" i="30" s="1"/>
  <c r="IP48" i="30" s="1"/>
  <c r="IQ48" i="30" s="1"/>
  <c r="IR48" i="30" s="1"/>
  <c r="IS48" i="30" s="1"/>
  <c r="IT48" i="30" s="1"/>
  <c r="IU48" i="30" s="1"/>
  <c r="IV48" i="30" s="1"/>
  <c r="IW48" i="30" s="1"/>
  <c r="IX48" i="30" s="1"/>
  <c r="IY48" i="30" s="1"/>
  <c r="IZ48" i="30" s="1"/>
  <c r="JA48" i="30" s="1"/>
  <c r="JB48" i="30" s="1"/>
  <c r="JC48" i="30" s="1"/>
  <c r="JD48" i="30" s="1"/>
  <c r="JE48" i="30" s="1"/>
  <c r="JF48" i="30" s="1"/>
  <c r="JG48" i="30" s="1"/>
  <c r="JH48" i="30" s="1"/>
  <c r="JI48" i="30" s="1"/>
  <c r="JJ48" i="30" s="1"/>
  <c r="JK48" i="30" s="1"/>
  <c r="JL48" i="30" s="1"/>
  <c r="JM48" i="30" s="1"/>
  <c r="JN48" i="30" s="1"/>
  <c r="JO48" i="30" s="1"/>
  <c r="JP48" i="30" s="1"/>
  <c r="JQ48" i="30" s="1"/>
  <c r="JR48" i="30" s="1"/>
  <c r="JS48" i="30" s="1"/>
  <c r="JT48" i="30" s="1"/>
  <c r="JU48" i="30" s="1"/>
  <c r="JV48" i="30" s="1"/>
  <c r="JW48" i="30" s="1"/>
  <c r="JX48" i="30" s="1"/>
  <c r="JY48" i="30" s="1"/>
  <c r="JZ48" i="30" s="1"/>
  <c r="KA48" i="30" s="1"/>
  <c r="KB48" i="30" s="1"/>
  <c r="KC48" i="30" s="1"/>
  <c r="KD48" i="30" s="1"/>
  <c r="KE48" i="30" s="1"/>
  <c r="KF48" i="30" s="1"/>
  <c r="KG48" i="30" s="1"/>
  <c r="KH48" i="30" s="1"/>
  <c r="KI48" i="30" s="1"/>
  <c r="KJ48" i="30" s="1"/>
  <c r="KK48" i="30" s="1"/>
  <c r="KL48" i="30" s="1"/>
  <c r="KM48" i="30" s="1"/>
  <c r="KN48" i="30" s="1"/>
  <c r="KO48" i="30" s="1"/>
  <c r="KP48" i="30" s="1"/>
  <c r="KQ48" i="30" s="1"/>
  <c r="KR48" i="30" s="1"/>
  <c r="KS48" i="30" s="1"/>
  <c r="KT48" i="30" s="1"/>
  <c r="KU48" i="30" s="1"/>
  <c r="KV48" i="30" s="1"/>
  <c r="KW48" i="30" s="1"/>
  <c r="KX48" i="30" s="1"/>
  <c r="KY48" i="30" s="1"/>
  <c r="KZ48" i="30" s="1"/>
  <c r="LA48" i="30" s="1"/>
  <c r="LB48" i="30" s="1"/>
  <c r="LC48" i="30" s="1"/>
  <c r="LD48" i="30" s="1"/>
  <c r="LE48" i="30" s="1"/>
  <c r="LF48" i="30" s="1"/>
  <c r="LG48" i="30" s="1"/>
  <c r="LH48" i="30" s="1"/>
  <c r="LI48" i="30" s="1"/>
  <c r="LJ48" i="30" s="1"/>
  <c r="W49" i="30"/>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CT49" i="30" s="1"/>
  <c r="CU49" i="30" s="1"/>
  <c r="CV49" i="30" s="1"/>
  <c r="CW49" i="30" s="1"/>
  <c r="CX49" i="30" s="1"/>
  <c r="CY49" i="30" s="1"/>
  <c r="CZ49" i="30" s="1"/>
  <c r="DA49" i="30" s="1"/>
  <c r="DB49" i="30" s="1"/>
  <c r="DC49" i="30" s="1"/>
  <c r="DD49" i="30" s="1"/>
  <c r="DE49" i="30" s="1"/>
  <c r="DF49" i="30" s="1"/>
  <c r="DG49" i="30" s="1"/>
  <c r="DH49" i="30" s="1"/>
  <c r="DI49" i="30" s="1"/>
  <c r="DJ49" i="30" s="1"/>
  <c r="DK49" i="30" s="1"/>
  <c r="DL49" i="30" s="1"/>
  <c r="DM49" i="30" s="1"/>
  <c r="DN49" i="30" s="1"/>
  <c r="DO49" i="30" s="1"/>
  <c r="DP49" i="30" s="1"/>
  <c r="DQ49" i="30" s="1"/>
  <c r="DR49" i="30" s="1"/>
  <c r="DS49" i="30" s="1"/>
  <c r="DT49" i="30" s="1"/>
  <c r="DU49" i="30" s="1"/>
  <c r="DV49" i="30" s="1"/>
  <c r="DW49" i="30" s="1"/>
  <c r="DX49" i="30" s="1"/>
  <c r="DY49" i="30" s="1"/>
  <c r="DZ49" i="30" s="1"/>
  <c r="EA49" i="30" s="1"/>
  <c r="EB49" i="30" s="1"/>
  <c r="EC49" i="30" s="1"/>
  <c r="ED49" i="30" s="1"/>
  <c r="EE49" i="30" s="1"/>
  <c r="EF49" i="30" s="1"/>
  <c r="EG49" i="30" s="1"/>
  <c r="EH49" i="30" s="1"/>
  <c r="EI49" i="30" s="1"/>
  <c r="EJ49" i="30" s="1"/>
  <c r="EK49" i="30" s="1"/>
  <c r="EL49" i="30" s="1"/>
  <c r="EM49" i="30" s="1"/>
  <c r="EN49" i="30" s="1"/>
  <c r="EO49" i="30" s="1"/>
  <c r="EP49" i="30" s="1"/>
  <c r="EQ49" i="30" s="1"/>
  <c r="ER49" i="30" s="1"/>
  <c r="ES49" i="30" s="1"/>
  <c r="ET49" i="30" s="1"/>
  <c r="EU49" i="30" s="1"/>
  <c r="EV49" i="30" s="1"/>
  <c r="EW49" i="30" s="1"/>
  <c r="EX49" i="30" s="1"/>
  <c r="EY49" i="30" s="1"/>
  <c r="EZ49" i="30" s="1"/>
  <c r="FA49" i="30" s="1"/>
  <c r="FB49" i="30" s="1"/>
  <c r="FC49" i="30" s="1"/>
  <c r="FD49" i="30" s="1"/>
  <c r="FE49" i="30" s="1"/>
  <c r="FF49" i="30" s="1"/>
  <c r="FG49" i="30" s="1"/>
  <c r="FH49" i="30" s="1"/>
  <c r="FI49" i="30" s="1"/>
  <c r="FJ49" i="30" s="1"/>
  <c r="FK49" i="30" s="1"/>
  <c r="FL49" i="30" s="1"/>
  <c r="FM49" i="30" s="1"/>
  <c r="FN49" i="30" s="1"/>
  <c r="FO49" i="30" s="1"/>
  <c r="FP49" i="30" s="1"/>
  <c r="FQ49" i="30" s="1"/>
  <c r="FR49" i="30" s="1"/>
  <c r="FS49" i="30" s="1"/>
  <c r="FT49" i="30" s="1"/>
  <c r="FU49" i="30" s="1"/>
  <c r="FV49" i="30" s="1"/>
  <c r="FW49" i="30" s="1"/>
  <c r="FX49" i="30" s="1"/>
  <c r="FY49" i="30" s="1"/>
  <c r="FZ49" i="30" s="1"/>
  <c r="GA49" i="30" s="1"/>
  <c r="GB49" i="30" s="1"/>
  <c r="GC49" i="30" s="1"/>
  <c r="GD49" i="30" s="1"/>
  <c r="GE49" i="30" s="1"/>
  <c r="GF49" i="30" s="1"/>
  <c r="GG49" i="30" s="1"/>
  <c r="GH49" i="30" s="1"/>
  <c r="GI49" i="30" s="1"/>
  <c r="GJ49" i="30" s="1"/>
  <c r="GK49" i="30" s="1"/>
  <c r="GL49" i="30" s="1"/>
  <c r="GM49" i="30" s="1"/>
  <c r="GN49" i="30" s="1"/>
  <c r="GO49" i="30" s="1"/>
  <c r="GP49" i="30" s="1"/>
  <c r="GQ49" i="30" s="1"/>
  <c r="GR49" i="30" s="1"/>
  <c r="GS49" i="30" s="1"/>
  <c r="GT49" i="30" s="1"/>
  <c r="GU49" i="30" s="1"/>
  <c r="GV49" i="30" s="1"/>
  <c r="GW49" i="30" s="1"/>
  <c r="GX49" i="30" s="1"/>
  <c r="GY49" i="30" s="1"/>
  <c r="GZ49" i="30" s="1"/>
  <c r="HA49" i="30" s="1"/>
  <c r="HB49" i="30" s="1"/>
  <c r="HC49" i="30" s="1"/>
  <c r="HD49" i="30" s="1"/>
  <c r="HE49" i="30" s="1"/>
  <c r="HF49" i="30" s="1"/>
  <c r="HG49" i="30" s="1"/>
  <c r="HH49" i="30" s="1"/>
  <c r="HI49" i="30" s="1"/>
  <c r="HJ49" i="30" s="1"/>
  <c r="HK49" i="30" s="1"/>
  <c r="HL49" i="30" s="1"/>
  <c r="HM49" i="30" s="1"/>
  <c r="HN49" i="30" s="1"/>
  <c r="HO49" i="30" s="1"/>
  <c r="HP49" i="30" s="1"/>
  <c r="HQ49" i="30" s="1"/>
  <c r="HR49" i="30" s="1"/>
  <c r="HS49" i="30" s="1"/>
  <c r="HT49" i="30" s="1"/>
  <c r="HU49" i="30" s="1"/>
  <c r="HV49" i="30" s="1"/>
  <c r="HW49" i="30" s="1"/>
  <c r="HX49" i="30" s="1"/>
  <c r="HY49" i="30" s="1"/>
  <c r="HZ49" i="30" s="1"/>
  <c r="IA49" i="30" s="1"/>
  <c r="IB49" i="30" s="1"/>
  <c r="IC49" i="30" s="1"/>
  <c r="ID49" i="30" s="1"/>
  <c r="IE49" i="30" s="1"/>
  <c r="IF49" i="30" s="1"/>
  <c r="IG49" i="30" s="1"/>
  <c r="IH49" i="30" s="1"/>
  <c r="II49" i="30" s="1"/>
  <c r="IJ49" i="30" s="1"/>
  <c r="IK49" i="30" s="1"/>
  <c r="IL49" i="30" s="1"/>
  <c r="IM49" i="30" s="1"/>
  <c r="IN49" i="30" s="1"/>
  <c r="IO49" i="30" s="1"/>
  <c r="IP49" i="30" s="1"/>
  <c r="IQ49" i="30" s="1"/>
  <c r="IR49" i="30" s="1"/>
  <c r="IS49" i="30" s="1"/>
  <c r="IT49" i="30" s="1"/>
  <c r="IU49" i="30" s="1"/>
  <c r="IV49" i="30" s="1"/>
  <c r="IW49" i="30" s="1"/>
  <c r="IX49" i="30" s="1"/>
  <c r="IY49" i="30" s="1"/>
  <c r="IZ49" i="30" s="1"/>
  <c r="JA49" i="30" s="1"/>
  <c r="JB49" i="30" s="1"/>
  <c r="JC49" i="30" s="1"/>
  <c r="JD49" i="30" s="1"/>
  <c r="JE49" i="30" s="1"/>
  <c r="JF49" i="30" s="1"/>
  <c r="JG49" i="30" s="1"/>
  <c r="JH49" i="30" s="1"/>
  <c r="JI49" i="30" s="1"/>
  <c r="JJ49" i="30" s="1"/>
  <c r="JK49" i="30" s="1"/>
  <c r="JL49" i="30" s="1"/>
  <c r="JM49" i="30" s="1"/>
  <c r="JN49" i="30" s="1"/>
  <c r="JO49" i="30" s="1"/>
  <c r="JP49" i="30" s="1"/>
  <c r="JQ49" i="30" s="1"/>
  <c r="JR49" i="30" s="1"/>
  <c r="JS49" i="30" s="1"/>
  <c r="JT49" i="30" s="1"/>
  <c r="JU49" i="30" s="1"/>
  <c r="JV49" i="30" s="1"/>
  <c r="JW49" i="30" s="1"/>
  <c r="JX49" i="30" s="1"/>
  <c r="JY49" i="30" s="1"/>
  <c r="JZ49" i="30" s="1"/>
  <c r="KA49" i="30" s="1"/>
  <c r="KB49" i="30" s="1"/>
  <c r="KC49" i="30" s="1"/>
  <c r="KD49" i="30" s="1"/>
  <c r="KE49" i="30" s="1"/>
  <c r="KF49" i="30" s="1"/>
  <c r="KG49" i="30" s="1"/>
  <c r="KH49" i="30" s="1"/>
  <c r="KI49" i="30" s="1"/>
  <c r="KJ49" i="30" s="1"/>
  <c r="KK49" i="30" s="1"/>
  <c r="KL49" i="30" s="1"/>
  <c r="KM49" i="30" s="1"/>
  <c r="KN49" i="30" s="1"/>
  <c r="KO49" i="30" s="1"/>
  <c r="KP49" i="30" s="1"/>
  <c r="KQ49" i="30" s="1"/>
  <c r="KR49" i="30" s="1"/>
  <c r="KS49" i="30" s="1"/>
  <c r="KT49" i="30" s="1"/>
  <c r="KU49" i="30" s="1"/>
  <c r="KV49" i="30" s="1"/>
  <c r="KW49" i="30" s="1"/>
  <c r="KX49" i="30" s="1"/>
  <c r="KY49" i="30" s="1"/>
  <c r="KZ49" i="30" s="1"/>
  <c r="LA49" i="30" s="1"/>
  <c r="LB49" i="30" s="1"/>
  <c r="LC49" i="30" s="1"/>
  <c r="LD49" i="30" s="1"/>
  <c r="LE49" i="30" s="1"/>
  <c r="LF49" i="30" s="1"/>
  <c r="LG49" i="30" s="1"/>
  <c r="LH49" i="30" s="1"/>
  <c r="LI49" i="30" s="1"/>
  <c r="LJ49" i="30" s="1"/>
  <c r="W50" i="30"/>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CT50" i="30" s="1"/>
  <c r="CU50" i="30" s="1"/>
  <c r="CV50" i="30" s="1"/>
  <c r="CW50" i="30" s="1"/>
  <c r="CX50" i="30" s="1"/>
  <c r="CY50" i="30" s="1"/>
  <c r="CZ50" i="30" s="1"/>
  <c r="DA50" i="30" s="1"/>
  <c r="DB50" i="30" s="1"/>
  <c r="DC50" i="30" s="1"/>
  <c r="DD50" i="30" s="1"/>
  <c r="DE50" i="30" s="1"/>
  <c r="DF50" i="30" s="1"/>
  <c r="DG50" i="30" s="1"/>
  <c r="DH50" i="30" s="1"/>
  <c r="DI50" i="30" s="1"/>
  <c r="DJ50" i="30" s="1"/>
  <c r="DK50" i="30" s="1"/>
  <c r="DL50" i="30" s="1"/>
  <c r="DM50" i="30" s="1"/>
  <c r="DN50" i="30" s="1"/>
  <c r="DO50" i="30" s="1"/>
  <c r="DP50" i="30" s="1"/>
  <c r="DQ50" i="30" s="1"/>
  <c r="DR50" i="30" s="1"/>
  <c r="DS50" i="30" s="1"/>
  <c r="DT50" i="30" s="1"/>
  <c r="DU50" i="30" s="1"/>
  <c r="DV50" i="30" s="1"/>
  <c r="DW50" i="30" s="1"/>
  <c r="DX50" i="30" s="1"/>
  <c r="DY50" i="30" s="1"/>
  <c r="DZ50" i="30" s="1"/>
  <c r="EA50" i="30" s="1"/>
  <c r="EB50" i="30" s="1"/>
  <c r="EC50" i="30" s="1"/>
  <c r="ED50" i="30" s="1"/>
  <c r="EE50" i="30" s="1"/>
  <c r="EF50" i="30" s="1"/>
  <c r="EG50" i="30" s="1"/>
  <c r="EH50" i="30" s="1"/>
  <c r="EI50" i="30" s="1"/>
  <c r="EJ50" i="30" s="1"/>
  <c r="EK50" i="30" s="1"/>
  <c r="EL50" i="30" s="1"/>
  <c r="EM50" i="30" s="1"/>
  <c r="EN50" i="30" s="1"/>
  <c r="EO50" i="30" s="1"/>
  <c r="EP50" i="30" s="1"/>
  <c r="EQ50" i="30" s="1"/>
  <c r="ER50" i="30" s="1"/>
  <c r="ES50" i="30" s="1"/>
  <c r="ET50" i="30" s="1"/>
  <c r="EU50" i="30" s="1"/>
  <c r="EV50" i="30" s="1"/>
  <c r="EW50" i="30" s="1"/>
  <c r="EX50" i="30" s="1"/>
  <c r="EY50" i="30" s="1"/>
  <c r="EZ50" i="30" s="1"/>
  <c r="FA50" i="30" s="1"/>
  <c r="FB50" i="30" s="1"/>
  <c r="FC50" i="30" s="1"/>
  <c r="FD50" i="30" s="1"/>
  <c r="FE50" i="30" s="1"/>
  <c r="FF50" i="30" s="1"/>
  <c r="FG50" i="30" s="1"/>
  <c r="FH50" i="30" s="1"/>
  <c r="FI50" i="30" s="1"/>
  <c r="FJ50" i="30" s="1"/>
  <c r="FK50" i="30" s="1"/>
  <c r="FL50" i="30" s="1"/>
  <c r="FM50" i="30" s="1"/>
  <c r="FN50" i="30" s="1"/>
  <c r="FO50" i="30" s="1"/>
  <c r="FP50" i="30" s="1"/>
  <c r="FQ50" i="30" s="1"/>
  <c r="FR50" i="30" s="1"/>
  <c r="FS50" i="30" s="1"/>
  <c r="FT50" i="30" s="1"/>
  <c r="FU50" i="30" s="1"/>
  <c r="FV50" i="30" s="1"/>
  <c r="FW50" i="30" s="1"/>
  <c r="FX50" i="30" s="1"/>
  <c r="FY50" i="30" s="1"/>
  <c r="FZ50" i="30" s="1"/>
  <c r="GA50" i="30" s="1"/>
  <c r="GB50" i="30" s="1"/>
  <c r="GC50" i="30" s="1"/>
  <c r="GD50" i="30" s="1"/>
  <c r="GE50" i="30" s="1"/>
  <c r="GF50" i="30" s="1"/>
  <c r="GG50" i="30" s="1"/>
  <c r="GH50" i="30" s="1"/>
  <c r="GI50" i="30" s="1"/>
  <c r="GJ50" i="30" s="1"/>
  <c r="GK50" i="30" s="1"/>
  <c r="GL50" i="30" s="1"/>
  <c r="GM50" i="30" s="1"/>
  <c r="GN50" i="30" s="1"/>
  <c r="GO50" i="30" s="1"/>
  <c r="GP50" i="30" s="1"/>
  <c r="GQ50" i="30" s="1"/>
  <c r="GR50" i="30" s="1"/>
  <c r="GS50" i="30" s="1"/>
  <c r="GT50" i="30" s="1"/>
  <c r="GU50" i="30" s="1"/>
  <c r="GV50" i="30" s="1"/>
  <c r="GW50" i="30" s="1"/>
  <c r="GX50" i="30" s="1"/>
  <c r="GY50" i="30" s="1"/>
  <c r="GZ50" i="30" s="1"/>
  <c r="HA50" i="30" s="1"/>
  <c r="HB50" i="30" s="1"/>
  <c r="HC50" i="30" s="1"/>
  <c r="HD50" i="30" s="1"/>
  <c r="HE50" i="30" s="1"/>
  <c r="HF50" i="30" s="1"/>
  <c r="HG50" i="30" s="1"/>
  <c r="HH50" i="30" s="1"/>
  <c r="HI50" i="30" s="1"/>
  <c r="HJ50" i="30" s="1"/>
  <c r="HK50" i="30" s="1"/>
  <c r="HL50" i="30" s="1"/>
  <c r="HM50" i="30" s="1"/>
  <c r="HN50" i="30" s="1"/>
  <c r="HO50" i="30" s="1"/>
  <c r="HP50" i="30" s="1"/>
  <c r="HQ50" i="30" s="1"/>
  <c r="HR50" i="30" s="1"/>
  <c r="HS50" i="30" s="1"/>
  <c r="HT50" i="30" s="1"/>
  <c r="HU50" i="30" s="1"/>
  <c r="HV50" i="30" s="1"/>
  <c r="HW50" i="30" s="1"/>
  <c r="HX50" i="30" s="1"/>
  <c r="HY50" i="30" s="1"/>
  <c r="HZ50" i="30" s="1"/>
  <c r="IA50" i="30" s="1"/>
  <c r="IB50" i="30" s="1"/>
  <c r="IC50" i="30" s="1"/>
  <c r="ID50" i="30" s="1"/>
  <c r="IE50" i="30" s="1"/>
  <c r="IF50" i="30" s="1"/>
  <c r="IG50" i="30" s="1"/>
  <c r="IH50" i="30" s="1"/>
  <c r="II50" i="30" s="1"/>
  <c r="IJ50" i="30" s="1"/>
  <c r="IK50" i="30" s="1"/>
  <c r="IL50" i="30" s="1"/>
  <c r="IM50" i="30" s="1"/>
  <c r="IN50" i="30" s="1"/>
  <c r="IO50" i="30" s="1"/>
  <c r="IP50" i="30" s="1"/>
  <c r="IQ50" i="30" s="1"/>
  <c r="IR50" i="30" s="1"/>
  <c r="IS50" i="30" s="1"/>
  <c r="IT50" i="30" s="1"/>
  <c r="IU50" i="30" s="1"/>
  <c r="IV50" i="30" s="1"/>
  <c r="IW50" i="30" s="1"/>
  <c r="IX50" i="30" s="1"/>
  <c r="IY50" i="30" s="1"/>
  <c r="IZ50" i="30" s="1"/>
  <c r="JA50" i="30" s="1"/>
  <c r="JB50" i="30" s="1"/>
  <c r="JC50" i="30" s="1"/>
  <c r="JD50" i="30" s="1"/>
  <c r="JE50" i="30" s="1"/>
  <c r="JF50" i="30" s="1"/>
  <c r="JG50" i="30" s="1"/>
  <c r="JH50" i="30" s="1"/>
  <c r="JI50" i="30" s="1"/>
  <c r="JJ50" i="30" s="1"/>
  <c r="JK50" i="30" s="1"/>
  <c r="JL50" i="30" s="1"/>
  <c r="JM50" i="30" s="1"/>
  <c r="JN50" i="30" s="1"/>
  <c r="JO50" i="30" s="1"/>
  <c r="JP50" i="30" s="1"/>
  <c r="JQ50" i="30" s="1"/>
  <c r="JR50" i="30" s="1"/>
  <c r="JS50" i="30" s="1"/>
  <c r="JT50" i="30" s="1"/>
  <c r="JU50" i="30" s="1"/>
  <c r="JV50" i="30" s="1"/>
  <c r="JW50" i="30" s="1"/>
  <c r="JX50" i="30" s="1"/>
  <c r="JY50" i="30" s="1"/>
  <c r="JZ50" i="30" s="1"/>
  <c r="KA50" i="30" s="1"/>
  <c r="KB50" i="30" s="1"/>
  <c r="KC50" i="30" s="1"/>
  <c r="KD50" i="30" s="1"/>
  <c r="KE50" i="30" s="1"/>
  <c r="KF50" i="30" s="1"/>
  <c r="KG50" i="30" s="1"/>
  <c r="KH50" i="30" s="1"/>
  <c r="KI50" i="30" s="1"/>
  <c r="KJ50" i="30" s="1"/>
  <c r="KK50" i="30" s="1"/>
  <c r="KL50" i="30" s="1"/>
  <c r="KM50" i="30" s="1"/>
  <c r="KN50" i="30" s="1"/>
  <c r="KO50" i="30" s="1"/>
  <c r="KP50" i="30" s="1"/>
  <c r="KQ50" i="30" s="1"/>
  <c r="KR50" i="30" s="1"/>
  <c r="KS50" i="30" s="1"/>
  <c r="KT50" i="30" s="1"/>
  <c r="KU50" i="30" s="1"/>
  <c r="KV50" i="30" s="1"/>
  <c r="KW50" i="30" s="1"/>
  <c r="KX50" i="30" s="1"/>
  <c r="KY50" i="30" s="1"/>
  <c r="KZ50" i="30" s="1"/>
  <c r="LA50" i="30" s="1"/>
  <c r="LB50" i="30" s="1"/>
  <c r="LC50" i="30" s="1"/>
  <c r="LD50" i="30" s="1"/>
  <c r="LE50" i="30" s="1"/>
  <c r="LF50" i="30" s="1"/>
  <c r="LG50" i="30" s="1"/>
  <c r="LH50" i="30" s="1"/>
  <c r="LI50" i="30" s="1"/>
  <c r="LJ50" i="30" s="1"/>
  <c r="W51" i="30"/>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CT51" i="30" s="1"/>
  <c r="CU51" i="30" s="1"/>
  <c r="CV51" i="30" s="1"/>
  <c r="CW51" i="30" s="1"/>
  <c r="CX51" i="30" s="1"/>
  <c r="CY51" i="30" s="1"/>
  <c r="CZ51" i="30" s="1"/>
  <c r="DA51" i="30" s="1"/>
  <c r="DB51" i="30" s="1"/>
  <c r="DC51" i="30" s="1"/>
  <c r="DD51" i="30" s="1"/>
  <c r="DE51" i="30" s="1"/>
  <c r="DF51" i="30" s="1"/>
  <c r="DG51" i="30" s="1"/>
  <c r="DH51" i="30" s="1"/>
  <c r="DI51" i="30" s="1"/>
  <c r="DJ51" i="30" s="1"/>
  <c r="DK51" i="30" s="1"/>
  <c r="DL51" i="30" s="1"/>
  <c r="DM51" i="30" s="1"/>
  <c r="DN51" i="30" s="1"/>
  <c r="DO51" i="30" s="1"/>
  <c r="DP51" i="30" s="1"/>
  <c r="DQ51" i="30" s="1"/>
  <c r="DR51" i="30" s="1"/>
  <c r="DS51" i="30" s="1"/>
  <c r="DT51" i="30" s="1"/>
  <c r="DU51" i="30" s="1"/>
  <c r="DV51" i="30" s="1"/>
  <c r="DW51" i="30" s="1"/>
  <c r="DX51" i="30" s="1"/>
  <c r="DY51" i="30" s="1"/>
  <c r="DZ51" i="30" s="1"/>
  <c r="EA51" i="30" s="1"/>
  <c r="EB51" i="30" s="1"/>
  <c r="EC51" i="30" s="1"/>
  <c r="ED51" i="30" s="1"/>
  <c r="EE51" i="30" s="1"/>
  <c r="EF51" i="30" s="1"/>
  <c r="EG51" i="30" s="1"/>
  <c r="EH51" i="30" s="1"/>
  <c r="EI51" i="30" s="1"/>
  <c r="EJ51" i="30" s="1"/>
  <c r="EK51" i="30" s="1"/>
  <c r="EL51" i="30" s="1"/>
  <c r="EM51" i="30" s="1"/>
  <c r="EN51" i="30" s="1"/>
  <c r="EO51" i="30" s="1"/>
  <c r="EP51" i="30" s="1"/>
  <c r="EQ51" i="30" s="1"/>
  <c r="ER51" i="30" s="1"/>
  <c r="ES51" i="30" s="1"/>
  <c r="ET51" i="30" s="1"/>
  <c r="EU51" i="30" s="1"/>
  <c r="EV51" i="30" s="1"/>
  <c r="EW51" i="30" s="1"/>
  <c r="EX51" i="30" s="1"/>
  <c r="EY51" i="30" s="1"/>
  <c r="EZ51" i="30" s="1"/>
  <c r="FA51" i="30" s="1"/>
  <c r="FB51" i="30" s="1"/>
  <c r="FC51" i="30" s="1"/>
  <c r="FD51" i="30" s="1"/>
  <c r="FE51" i="30" s="1"/>
  <c r="FF51" i="30" s="1"/>
  <c r="FG51" i="30" s="1"/>
  <c r="FH51" i="30" s="1"/>
  <c r="FI51" i="30" s="1"/>
  <c r="FJ51" i="30" s="1"/>
  <c r="FK51" i="30" s="1"/>
  <c r="FL51" i="30" s="1"/>
  <c r="FM51" i="30" s="1"/>
  <c r="FN51" i="30" s="1"/>
  <c r="FO51" i="30" s="1"/>
  <c r="FP51" i="30" s="1"/>
  <c r="FQ51" i="30" s="1"/>
  <c r="FR51" i="30" s="1"/>
  <c r="FS51" i="30" s="1"/>
  <c r="FT51" i="30" s="1"/>
  <c r="FU51" i="30" s="1"/>
  <c r="FV51" i="30" s="1"/>
  <c r="FW51" i="30" s="1"/>
  <c r="FX51" i="30" s="1"/>
  <c r="FY51" i="30" s="1"/>
  <c r="FZ51" i="30" s="1"/>
  <c r="GA51" i="30" s="1"/>
  <c r="GB51" i="30" s="1"/>
  <c r="GC51" i="30" s="1"/>
  <c r="GD51" i="30" s="1"/>
  <c r="GE51" i="30" s="1"/>
  <c r="GF51" i="30" s="1"/>
  <c r="GG51" i="30" s="1"/>
  <c r="GH51" i="30" s="1"/>
  <c r="GI51" i="30" s="1"/>
  <c r="GJ51" i="30" s="1"/>
  <c r="GK51" i="30" s="1"/>
  <c r="GL51" i="30" s="1"/>
  <c r="GM51" i="30" s="1"/>
  <c r="GN51" i="30" s="1"/>
  <c r="GO51" i="30" s="1"/>
  <c r="GP51" i="30" s="1"/>
  <c r="GQ51" i="30" s="1"/>
  <c r="GR51" i="30" s="1"/>
  <c r="GS51" i="30" s="1"/>
  <c r="GT51" i="30" s="1"/>
  <c r="GU51" i="30" s="1"/>
  <c r="GV51" i="30" s="1"/>
  <c r="GW51" i="30" s="1"/>
  <c r="GX51" i="30" s="1"/>
  <c r="GY51" i="30" s="1"/>
  <c r="GZ51" i="30" s="1"/>
  <c r="HA51" i="30" s="1"/>
  <c r="HB51" i="30" s="1"/>
  <c r="HC51" i="30" s="1"/>
  <c r="HD51" i="30" s="1"/>
  <c r="HE51" i="30" s="1"/>
  <c r="HF51" i="30" s="1"/>
  <c r="HG51" i="30" s="1"/>
  <c r="HH51" i="30" s="1"/>
  <c r="HI51" i="30" s="1"/>
  <c r="HJ51" i="30" s="1"/>
  <c r="HK51" i="30" s="1"/>
  <c r="HL51" i="30" s="1"/>
  <c r="HM51" i="30" s="1"/>
  <c r="HN51" i="30" s="1"/>
  <c r="HO51" i="30" s="1"/>
  <c r="HP51" i="30" s="1"/>
  <c r="HQ51" i="30" s="1"/>
  <c r="HR51" i="30" s="1"/>
  <c r="HS51" i="30" s="1"/>
  <c r="HT51" i="30" s="1"/>
  <c r="HU51" i="30" s="1"/>
  <c r="HV51" i="30" s="1"/>
  <c r="HW51" i="30" s="1"/>
  <c r="HX51" i="30" s="1"/>
  <c r="HY51" i="30" s="1"/>
  <c r="HZ51" i="30" s="1"/>
  <c r="IA51" i="30" s="1"/>
  <c r="IB51" i="30" s="1"/>
  <c r="IC51" i="30" s="1"/>
  <c r="ID51" i="30" s="1"/>
  <c r="IE51" i="30" s="1"/>
  <c r="IF51" i="30" s="1"/>
  <c r="IG51" i="30" s="1"/>
  <c r="IH51" i="30" s="1"/>
  <c r="II51" i="30" s="1"/>
  <c r="IJ51" i="30" s="1"/>
  <c r="IK51" i="30" s="1"/>
  <c r="IL51" i="30" s="1"/>
  <c r="IM51" i="30" s="1"/>
  <c r="IN51" i="30" s="1"/>
  <c r="IO51" i="30" s="1"/>
  <c r="IP51" i="30" s="1"/>
  <c r="IQ51" i="30" s="1"/>
  <c r="IR51" i="30" s="1"/>
  <c r="IS51" i="30" s="1"/>
  <c r="IT51" i="30" s="1"/>
  <c r="IU51" i="30" s="1"/>
  <c r="IV51" i="30" s="1"/>
  <c r="IW51" i="30" s="1"/>
  <c r="IX51" i="30" s="1"/>
  <c r="IY51" i="30" s="1"/>
  <c r="IZ51" i="30" s="1"/>
  <c r="JA51" i="30" s="1"/>
  <c r="JB51" i="30" s="1"/>
  <c r="JC51" i="30" s="1"/>
  <c r="JD51" i="30" s="1"/>
  <c r="JE51" i="30" s="1"/>
  <c r="JF51" i="30" s="1"/>
  <c r="JG51" i="30" s="1"/>
  <c r="JH51" i="30" s="1"/>
  <c r="JI51" i="30" s="1"/>
  <c r="JJ51" i="30" s="1"/>
  <c r="JK51" i="30" s="1"/>
  <c r="JL51" i="30" s="1"/>
  <c r="JM51" i="30" s="1"/>
  <c r="JN51" i="30" s="1"/>
  <c r="JO51" i="30" s="1"/>
  <c r="JP51" i="30" s="1"/>
  <c r="JQ51" i="30" s="1"/>
  <c r="JR51" i="30" s="1"/>
  <c r="JS51" i="30" s="1"/>
  <c r="JT51" i="30" s="1"/>
  <c r="JU51" i="30" s="1"/>
  <c r="JV51" i="30" s="1"/>
  <c r="JW51" i="30" s="1"/>
  <c r="JX51" i="30" s="1"/>
  <c r="JY51" i="30" s="1"/>
  <c r="JZ51" i="30" s="1"/>
  <c r="KA51" i="30" s="1"/>
  <c r="KB51" i="30" s="1"/>
  <c r="KC51" i="30" s="1"/>
  <c r="KD51" i="30" s="1"/>
  <c r="KE51" i="30" s="1"/>
  <c r="KF51" i="30" s="1"/>
  <c r="KG51" i="30" s="1"/>
  <c r="KH51" i="30" s="1"/>
  <c r="KI51" i="30" s="1"/>
  <c r="KJ51" i="30" s="1"/>
  <c r="KK51" i="30" s="1"/>
  <c r="KL51" i="30" s="1"/>
  <c r="KM51" i="30" s="1"/>
  <c r="KN51" i="30" s="1"/>
  <c r="KO51" i="30" s="1"/>
  <c r="KP51" i="30" s="1"/>
  <c r="KQ51" i="30" s="1"/>
  <c r="KR51" i="30" s="1"/>
  <c r="KS51" i="30" s="1"/>
  <c r="KT51" i="30" s="1"/>
  <c r="KU51" i="30" s="1"/>
  <c r="KV51" i="30" s="1"/>
  <c r="KW51" i="30" s="1"/>
  <c r="KX51" i="30" s="1"/>
  <c r="KY51" i="30" s="1"/>
  <c r="KZ51" i="30" s="1"/>
  <c r="LA51" i="30" s="1"/>
  <c r="LB51" i="30" s="1"/>
  <c r="LC51" i="30" s="1"/>
  <c r="LD51" i="30" s="1"/>
  <c r="LE51" i="30" s="1"/>
  <c r="LF51" i="30" s="1"/>
  <c r="LG51" i="30" s="1"/>
  <c r="LH51" i="30" s="1"/>
  <c r="LI51" i="30" s="1"/>
  <c r="LJ51" i="30" s="1"/>
  <c r="W52" i="30"/>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CT52" i="30" s="1"/>
  <c r="CU52" i="30" s="1"/>
  <c r="CV52" i="30" s="1"/>
  <c r="CW52" i="30" s="1"/>
  <c r="CX52" i="30" s="1"/>
  <c r="CY52" i="30" s="1"/>
  <c r="CZ52" i="30" s="1"/>
  <c r="DA52" i="30" s="1"/>
  <c r="DB52" i="30" s="1"/>
  <c r="DC52" i="30" s="1"/>
  <c r="DD52" i="30" s="1"/>
  <c r="DE52" i="30" s="1"/>
  <c r="DF52" i="30" s="1"/>
  <c r="DG52" i="30" s="1"/>
  <c r="DH52" i="30" s="1"/>
  <c r="DI52" i="30" s="1"/>
  <c r="DJ52" i="30" s="1"/>
  <c r="DK52" i="30" s="1"/>
  <c r="DL52" i="30" s="1"/>
  <c r="DM52" i="30" s="1"/>
  <c r="DN52" i="30" s="1"/>
  <c r="DO52" i="30" s="1"/>
  <c r="DP52" i="30" s="1"/>
  <c r="DQ52" i="30" s="1"/>
  <c r="DR52" i="30" s="1"/>
  <c r="DS52" i="30" s="1"/>
  <c r="DT52" i="30" s="1"/>
  <c r="DU52" i="30" s="1"/>
  <c r="DV52" i="30" s="1"/>
  <c r="DW52" i="30" s="1"/>
  <c r="DX52" i="30" s="1"/>
  <c r="DY52" i="30" s="1"/>
  <c r="DZ52" i="30" s="1"/>
  <c r="EA52" i="30" s="1"/>
  <c r="EB52" i="30" s="1"/>
  <c r="EC52" i="30" s="1"/>
  <c r="ED52" i="30" s="1"/>
  <c r="EE52" i="30" s="1"/>
  <c r="EF52" i="30" s="1"/>
  <c r="EG52" i="30" s="1"/>
  <c r="EH52" i="30" s="1"/>
  <c r="EI52" i="30" s="1"/>
  <c r="EJ52" i="30" s="1"/>
  <c r="EK52" i="30" s="1"/>
  <c r="EL52" i="30" s="1"/>
  <c r="EM52" i="30" s="1"/>
  <c r="EN52" i="30" s="1"/>
  <c r="EO52" i="30" s="1"/>
  <c r="EP52" i="30" s="1"/>
  <c r="EQ52" i="30" s="1"/>
  <c r="ER52" i="30" s="1"/>
  <c r="ES52" i="30" s="1"/>
  <c r="ET52" i="30" s="1"/>
  <c r="EU52" i="30" s="1"/>
  <c r="EV52" i="30" s="1"/>
  <c r="EW52" i="30" s="1"/>
  <c r="EX52" i="30" s="1"/>
  <c r="EY52" i="30" s="1"/>
  <c r="EZ52" i="30" s="1"/>
  <c r="FA52" i="30" s="1"/>
  <c r="FB52" i="30" s="1"/>
  <c r="FC52" i="30" s="1"/>
  <c r="FD52" i="30" s="1"/>
  <c r="FE52" i="30" s="1"/>
  <c r="FF52" i="30" s="1"/>
  <c r="FG52" i="30" s="1"/>
  <c r="FH52" i="30" s="1"/>
  <c r="FI52" i="30" s="1"/>
  <c r="FJ52" i="30" s="1"/>
  <c r="FK52" i="30" s="1"/>
  <c r="FL52" i="30" s="1"/>
  <c r="FM52" i="30" s="1"/>
  <c r="FN52" i="30" s="1"/>
  <c r="FO52" i="30" s="1"/>
  <c r="FP52" i="30" s="1"/>
  <c r="FQ52" i="30" s="1"/>
  <c r="FR52" i="30" s="1"/>
  <c r="FS52" i="30" s="1"/>
  <c r="FT52" i="30" s="1"/>
  <c r="FU52" i="30" s="1"/>
  <c r="FV52" i="30" s="1"/>
  <c r="FW52" i="30" s="1"/>
  <c r="FX52" i="30" s="1"/>
  <c r="FY52" i="30" s="1"/>
  <c r="FZ52" i="30" s="1"/>
  <c r="GA52" i="30" s="1"/>
  <c r="GB52" i="30" s="1"/>
  <c r="GC52" i="30" s="1"/>
  <c r="GD52" i="30" s="1"/>
  <c r="GE52" i="30" s="1"/>
  <c r="GF52" i="30" s="1"/>
  <c r="GG52" i="30" s="1"/>
  <c r="GH52" i="30" s="1"/>
  <c r="GI52" i="30" s="1"/>
  <c r="GJ52" i="30" s="1"/>
  <c r="GK52" i="30" s="1"/>
  <c r="GL52" i="30" s="1"/>
  <c r="GM52" i="30" s="1"/>
  <c r="GN52" i="30" s="1"/>
  <c r="GO52" i="30" s="1"/>
  <c r="GP52" i="30" s="1"/>
  <c r="GQ52" i="30" s="1"/>
  <c r="GR52" i="30" s="1"/>
  <c r="GS52" i="30" s="1"/>
  <c r="GT52" i="30" s="1"/>
  <c r="GU52" i="30" s="1"/>
  <c r="GV52" i="30" s="1"/>
  <c r="GW52" i="30" s="1"/>
  <c r="GX52" i="30" s="1"/>
  <c r="GY52" i="30" s="1"/>
  <c r="GZ52" i="30" s="1"/>
  <c r="HA52" i="30" s="1"/>
  <c r="HB52" i="30" s="1"/>
  <c r="HC52" i="30" s="1"/>
  <c r="HD52" i="30" s="1"/>
  <c r="HE52" i="30" s="1"/>
  <c r="HF52" i="30" s="1"/>
  <c r="HG52" i="30" s="1"/>
  <c r="HH52" i="30" s="1"/>
  <c r="HI52" i="30" s="1"/>
  <c r="HJ52" i="30" s="1"/>
  <c r="HK52" i="30" s="1"/>
  <c r="HL52" i="30" s="1"/>
  <c r="HM52" i="30" s="1"/>
  <c r="HN52" i="30" s="1"/>
  <c r="HO52" i="30" s="1"/>
  <c r="HP52" i="30" s="1"/>
  <c r="HQ52" i="30" s="1"/>
  <c r="HR52" i="30" s="1"/>
  <c r="HS52" i="30" s="1"/>
  <c r="HT52" i="30" s="1"/>
  <c r="HU52" i="30" s="1"/>
  <c r="HV52" i="30" s="1"/>
  <c r="HW52" i="30" s="1"/>
  <c r="HX52" i="30" s="1"/>
  <c r="HY52" i="30" s="1"/>
  <c r="HZ52" i="30" s="1"/>
  <c r="IA52" i="30" s="1"/>
  <c r="IB52" i="30" s="1"/>
  <c r="IC52" i="30" s="1"/>
  <c r="ID52" i="30" s="1"/>
  <c r="IE52" i="30" s="1"/>
  <c r="IF52" i="30" s="1"/>
  <c r="IG52" i="30" s="1"/>
  <c r="IH52" i="30" s="1"/>
  <c r="II52" i="30" s="1"/>
  <c r="IJ52" i="30" s="1"/>
  <c r="IK52" i="30" s="1"/>
  <c r="IL52" i="30" s="1"/>
  <c r="IM52" i="30" s="1"/>
  <c r="IN52" i="30" s="1"/>
  <c r="IO52" i="30" s="1"/>
  <c r="IP52" i="30" s="1"/>
  <c r="IQ52" i="30" s="1"/>
  <c r="IR52" i="30" s="1"/>
  <c r="IS52" i="30" s="1"/>
  <c r="IT52" i="30" s="1"/>
  <c r="IU52" i="30" s="1"/>
  <c r="IV52" i="30" s="1"/>
  <c r="IW52" i="30" s="1"/>
  <c r="IX52" i="30" s="1"/>
  <c r="IY52" i="30" s="1"/>
  <c r="IZ52" i="30" s="1"/>
  <c r="JA52" i="30" s="1"/>
  <c r="JB52" i="30" s="1"/>
  <c r="JC52" i="30" s="1"/>
  <c r="JD52" i="30" s="1"/>
  <c r="JE52" i="30" s="1"/>
  <c r="JF52" i="30" s="1"/>
  <c r="JG52" i="30" s="1"/>
  <c r="JH52" i="30" s="1"/>
  <c r="JI52" i="30" s="1"/>
  <c r="JJ52" i="30" s="1"/>
  <c r="JK52" i="30" s="1"/>
  <c r="JL52" i="30" s="1"/>
  <c r="JM52" i="30" s="1"/>
  <c r="JN52" i="30" s="1"/>
  <c r="JO52" i="30" s="1"/>
  <c r="JP52" i="30" s="1"/>
  <c r="JQ52" i="30" s="1"/>
  <c r="JR52" i="30" s="1"/>
  <c r="JS52" i="30" s="1"/>
  <c r="JT52" i="30" s="1"/>
  <c r="JU52" i="30" s="1"/>
  <c r="JV52" i="30" s="1"/>
  <c r="JW52" i="30" s="1"/>
  <c r="JX52" i="30" s="1"/>
  <c r="JY52" i="30" s="1"/>
  <c r="JZ52" i="30" s="1"/>
  <c r="KA52" i="30" s="1"/>
  <c r="KB52" i="30" s="1"/>
  <c r="KC52" i="30" s="1"/>
  <c r="KD52" i="30" s="1"/>
  <c r="KE52" i="30" s="1"/>
  <c r="KF52" i="30" s="1"/>
  <c r="KG52" i="30" s="1"/>
  <c r="KH52" i="30" s="1"/>
  <c r="KI52" i="30" s="1"/>
  <c r="KJ52" i="30" s="1"/>
  <c r="KK52" i="30" s="1"/>
  <c r="KL52" i="30" s="1"/>
  <c r="KM52" i="30" s="1"/>
  <c r="KN52" i="30" s="1"/>
  <c r="KO52" i="30" s="1"/>
  <c r="KP52" i="30" s="1"/>
  <c r="KQ52" i="30" s="1"/>
  <c r="KR52" i="30" s="1"/>
  <c r="KS52" i="30" s="1"/>
  <c r="KT52" i="30" s="1"/>
  <c r="KU52" i="30" s="1"/>
  <c r="KV52" i="30" s="1"/>
  <c r="KW52" i="30" s="1"/>
  <c r="KX52" i="30" s="1"/>
  <c r="KY52" i="30" s="1"/>
  <c r="KZ52" i="30" s="1"/>
  <c r="LA52" i="30" s="1"/>
  <c r="LB52" i="30" s="1"/>
  <c r="LC52" i="30" s="1"/>
  <c r="LD52" i="30" s="1"/>
  <c r="LE52" i="30" s="1"/>
  <c r="LF52" i="30" s="1"/>
  <c r="LG52" i="30" s="1"/>
  <c r="LH52" i="30" s="1"/>
  <c r="LI52" i="30" s="1"/>
  <c r="LJ52" i="30" s="1"/>
  <c r="W53" i="30"/>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CT53" i="30" s="1"/>
  <c r="CU53" i="30" s="1"/>
  <c r="CV53" i="30" s="1"/>
  <c r="CW53" i="30" s="1"/>
  <c r="CX53" i="30" s="1"/>
  <c r="CY53" i="30" s="1"/>
  <c r="CZ53" i="30" s="1"/>
  <c r="DA53" i="30" s="1"/>
  <c r="DB53" i="30" s="1"/>
  <c r="DC53" i="30" s="1"/>
  <c r="DD53" i="30" s="1"/>
  <c r="DE53" i="30" s="1"/>
  <c r="DF53" i="30" s="1"/>
  <c r="DG53" i="30" s="1"/>
  <c r="DH53" i="30" s="1"/>
  <c r="DI53" i="30" s="1"/>
  <c r="DJ53" i="30" s="1"/>
  <c r="DK53" i="30" s="1"/>
  <c r="DL53" i="30" s="1"/>
  <c r="DM53" i="30" s="1"/>
  <c r="DN53" i="30" s="1"/>
  <c r="DO53" i="30" s="1"/>
  <c r="DP53" i="30" s="1"/>
  <c r="DQ53" i="30" s="1"/>
  <c r="DR53" i="30" s="1"/>
  <c r="DS53" i="30" s="1"/>
  <c r="DT53" i="30" s="1"/>
  <c r="DU53" i="30" s="1"/>
  <c r="DV53" i="30" s="1"/>
  <c r="DW53" i="30" s="1"/>
  <c r="DX53" i="30" s="1"/>
  <c r="DY53" i="30" s="1"/>
  <c r="DZ53" i="30" s="1"/>
  <c r="EA53" i="30" s="1"/>
  <c r="EB53" i="30" s="1"/>
  <c r="EC53" i="30" s="1"/>
  <c r="ED53" i="30" s="1"/>
  <c r="EE53" i="30" s="1"/>
  <c r="EF53" i="30" s="1"/>
  <c r="EG53" i="30" s="1"/>
  <c r="EH53" i="30" s="1"/>
  <c r="EI53" i="30" s="1"/>
  <c r="EJ53" i="30" s="1"/>
  <c r="EK53" i="30" s="1"/>
  <c r="EL53" i="30" s="1"/>
  <c r="EM53" i="30" s="1"/>
  <c r="EN53" i="30" s="1"/>
  <c r="EO53" i="30" s="1"/>
  <c r="EP53" i="30" s="1"/>
  <c r="EQ53" i="30" s="1"/>
  <c r="ER53" i="30" s="1"/>
  <c r="ES53" i="30" s="1"/>
  <c r="ET53" i="30" s="1"/>
  <c r="EU53" i="30" s="1"/>
  <c r="EV53" i="30" s="1"/>
  <c r="EW53" i="30" s="1"/>
  <c r="EX53" i="30" s="1"/>
  <c r="EY53" i="30" s="1"/>
  <c r="EZ53" i="30" s="1"/>
  <c r="FA53" i="30" s="1"/>
  <c r="FB53" i="30" s="1"/>
  <c r="FC53" i="30" s="1"/>
  <c r="FD53" i="30" s="1"/>
  <c r="FE53" i="30" s="1"/>
  <c r="FF53" i="30" s="1"/>
  <c r="FG53" i="30" s="1"/>
  <c r="FH53" i="30" s="1"/>
  <c r="FI53" i="30" s="1"/>
  <c r="FJ53" i="30" s="1"/>
  <c r="FK53" i="30" s="1"/>
  <c r="FL53" i="30" s="1"/>
  <c r="FM53" i="30" s="1"/>
  <c r="FN53" i="30" s="1"/>
  <c r="FO53" i="30" s="1"/>
  <c r="FP53" i="30" s="1"/>
  <c r="FQ53" i="30" s="1"/>
  <c r="FR53" i="30" s="1"/>
  <c r="FS53" i="30" s="1"/>
  <c r="FT53" i="30" s="1"/>
  <c r="FU53" i="30" s="1"/>
  <c r="FV53" i="30" s="1"/>
  <c r="FW53" i="30" s="1"/>
  <c r="FX53" i="30" s="1"/>
  <c r="FY53" i="30" s="1"/>
  <c r="FZ53" i="30" s="1"/>
  <c r="GA53" i="30" s="1"/>
  <c r="GB53" i="30" s="1"/>
  <c r="GC53" i="30" s="1"/>
  <c r="GD53" i="30" s="1"/>
  <c r="GE53" i="30" s="1"/>
  <c r="GF53" i="30" s="1"/>
  <c r="GG53" i="30" s="1"/>
  <c r="GH53" i="30" s="1"/>
  <c r="GI53" i="30" s="1"/>
  <c r="GJ53" i="30" s="1"/>
  <c r="GK53" i="30" s="1"/>
  <c r="GL53" i="30" s="1"/>
  <c r="GM53" i="30" s="1"/>
  <c r="GN53" i="30" s="1"/>
  <c r="GO53" i="30" s="1"/>
  <c r="GP53" i="30" s="1"/>
  <c r="GQ53" i="30" s="1"/>
  <c r="GR53" i="30" s="1"/>
  <c r="GS53" i="30" s="1"/>
  <c r="GT53" i="30" s="1"/>
  <c r="GU53" i="30" s="1"/>
  <c r="GV53" i="30" s="1"/>
  <c r="GW53" i="30" s="1"/>
  <c r="GX53" i="30" s="1"/>
  <c r="GY53" i="30" s="1"/>
  <c r="GZ53" i="30" s="1"/>
  <c r="HA53" i="30" s="1"/>
  <c r="HB53" i="30" s="1"/>
  <c r="HC53" i="30" s="1"/>
  <c r="HD53" i="30" s="1"/>
  <c r="HE53" i="30" s="1"/>
  <c r="HF53" i="30" s="1"/>
  <c r="HG53" i="30" s="1"/>
  <c r="HH53" i="30" s="1"/>
  <c r="HI53" i="30" s="1"/>
  <c r="HJ53" i="30" s="1"/>
  <c r="HK53" i="30" s="1"/>
  <c r="HL53" i="30" s="1"/>
  <c r="HM53" i="30" s="1"/>
  <c r="HN53" i="30" s="1"/>
  <c r="HO53" i="30" s="1"/>
  <c r="HP53" i="30" s="1"/>
  <c r="HQ53" i="30" s="1"/>
  <c r="HR53" i="30" s="1"/>
  <c r="HS53" i="30" s="1"/>
  <c r="HT53" i="30" s="1"/>
  <c r="HU53" i="30" s="1"/>
  <c r="HV53" i="30" s="1"/>
  <c r="HW53" i="30" s="1"/>
  <c r="HX53" i="30" s="1"/>
  <c r="HY53" i="30" s="1"/>
  <c r="HZ53" i="30" s="1"/>
  <c r="IA53" i="30" s="1"/>
  <c r="IB53" i="30" s="1"/>
  <c r="IC53" i="30" s="1"/>
  <c r="ID53" i="30" s="1"/>
  <c r="IE53" i="30" s="1"/>
  <c r="IF53" i="30" s="1"/>
  <c r="IG53" i="30" s="1"/>
  <c r="IH53" i="30" s="1"/>
  <c r="II53" i="30" s="1"/>
  <c r="IJ53" i="30" s="1"/>
  <c r="IK53" i="30" s="1"/>
  <c r="IL53" i="30" s="1"/>
  <c r="IM53" i="30" s="1"/>
  <c r="IN53" i="30" s="1"/>
  <c r="IO53" i="30" s="1"/>
  <c r="IP53" i="30" s="1"/>
  <c r="IQ53" i="30" s="1"/>
  <c r="IR53" i="30" s="1"/>
  <c r="IS53" i="30" s="1"/>
  <c r="IT53" i="30" s="1"/>
  <c r="IU53" i="30" s="1"/>
  <c r="IV53" i="30" s="1"/>
  <c r="IW53" i="30" s="1"/>
  <c r="IX53" i="30" s="1"/>
  <c r="IY53" i="30" s="1"/>
  <c r="IZ53" i="30" s="1"/>
  <c r="JA53" i="30" s="1"/>
  <c r="JB53" i="30" s="1"/>
  <c r="JC53" i="30" s="1"/>
  <c r="JD53" i="30" s="1"/>
  <c r="JE53" i="30" s="1"/>
  <c r="JF53" i="30" s="1"/>
  <c r="JG53" i="30" s="1"/>
  <c r="JH53" i="30" s="1"/>
  <c r="JI53" i="30" s="1"/>
  <c r="JJ53" i="30" s="1"/>
  <c r="JK53" i="30" s="1"/>
  <c r="JL53" i="30" s="1"/>
  <c r="JM53" i="30" s="1"/>
  <c r="JN53" i="30" s="1"/>
  <c r="JO53" i="30" s="1"/>
  <c r="JP53" i="30" s="1"/>
  <c r="JQ53" i="30" s="1"/>
  <c r="JR53" i="30" s="1"/>
  <c r="JS53" i="30" s="1"/>
  <c r="JT53" i="30" s="1"/>
  <c r="JU53" i="30" s="1"/>
  <c r="JV53" i="30" s="1"/>
  <c r="JW53" i="30" s="1"/>
  <c r="JX53" i="30" s="1"/>
  <c r="JY53" i="30" s="1"/>
  <c r="JZ53" i="30" s="1"/>
  <c r="KA53" i="30" s="1"/>
  <c r="KB53" i="30" s="1"/>
  <c r="KC53" i="30" s="1"/>
  <c r="KD53" i="30" s="1"/>
  <c r="KE53" i="30" s="1"/>
  <c r="KF53" i="30" s="1"/>
  <c r="KG53" i="30" s="1"/>
  <c r="KH53" i="30" s="1"/>
  <c r="KI53" i="30" s="1"/>
  <c r="KJ53" i="30" s="1"/>
  <c r="KK53" i="30" s="1"/>
  <c r="KL53" i="30" s="1"/>
  <c r="KM53" i="30" s="1"/>
  <c r="KN53" i="30" s="1"/>
  <c r="KO53" i="30" s="1"/>
  <c r="KP53" i="30" s="1"/>
  <c r="KQ53" i="30" s="1"/>
  <c r="KR53" i="30" s="1"/>
  <c r="KS53" i="30" s="1"/>
  <c r="KT53" i="30" s="1"/>
  <c r="KU53" i="30" s="1"/>
  <c r="KV53" i="30" s="1"/>
  <c r="KW53" i="30" s="1"/>
  <c r="KX53" i="30" s="1"/>
  <c r="KY53" i="30" s="1"/>
  <c r="KZ53" i="30" s="1"/>
  <c r="LA53" i="30" s="1"/>
  <c r="LB53" i="30" s="1"/>
  <c r="LC53" i="30" s="1"/>
  <c r="LD53" i="30" s="1"/>
  <c r="LE53" i="30" s="1"/>
  <c r="LF53" i="30" s="1"/>
  <c r="LG53" i="30" s="1"/>
  <c r="LH53" i="30" s="1"/>
  <c r="LI53" i="30" s="1"/>
  <c r="LJ53" i="30" s="1"/>
  <c r="W54" i="30"/>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CT54" i="30" s="1"/>
  <c r="CU54" i="30" s="1"/>
  <c r="CV54" i="30" s="1"/>
  <c r="CW54" i="30" s="1"/>
  <c r="CX54" i="30" s="1"/>
  <c r="CY54" i="30" s="1"/>
  <c r="CZ54" i="30" s="1"/>
  <c r="DA54" i="30" s="1"/>
  <c r="DB54" i="30" s="1"/>
  <c r="DC54" i="30" s="1"/>
  <c r="DD54" i="30" s="1"/>
  <c r="DE54" i="30" s="1"/>
  <c r="DF54" i="30" s="1"/>
  <c r="DG54" i="30" s="1"/>
  <c r="DH54" i="30" s="1"/>
  <c r="DI54" i="30" s="1"/>
  <c r="DJ54" i="30" s="1"/>
  <c r="DK54" i="30" s="1"/>
  <c r="DL54" i="30" s="1"/>
  <c r="DM54" i="30" s="1"/>
  <c r="DN54" i="30" s="1"/>
  <c r="DO54" i="30" s="1"/>
  <c r="DP54" i="30" s="1"/>
  <c r="DQ54" i="30" s="1"/>
  <c r="DR54" i="30" s="1"/>
  <c r="DS54" i="30" s="1"/>
  <c r="DT54" i="30" s="1"/>
  <c r="DU54" i="30" s="1"/>
  <c r="DV54" i="30" s="1"/>
  <c r="DW54" i="30" s="1"/>
  <c r="DX54" i="30" s="1"/>
  <c r="DY54" i="30" s="1"/>
  <c r="DZ54" i="30" s="1"/>
  <c r="EA54" i="30" s="1"/>
  <c r="EB54" i="30" s="1"/>
  <c r="EC54" i="30" s="1"/>
  <c r="ED54" i="30" s="1"/>
  <c r="EE54" i="30" s="1"/>
  <c r="EF54" i="30" s="1"/>
  <c r="EG54" i="30" s="1"/>
  <c r="EH54" i="30" s="1"/>
  <c r="EI54" i="30" s="1"/>
  <c r="EJ54" i="30" s="1"/>
  <c r="EK54" i="30" s="1"/>
  <c r="EL54" i="30" s="1"/>
  <c r="EM54" i="30" s="1"/>
  <c r="EN54" i="30" s="1"/>
  <c r="EO54" i="30" s="1"/>
  <c r="EP54" i="30" s="1"/>
  <c r="EQ54" i="30" s="1"/>
  <c r="ER54" i="30" s="1"/>
  <c r="ES54" i="30" s="1"/>
  <c r="ET54" i="30" s="1"/>
  <c r="EU54" i="30" s="1"/>
  <c r="EV54" i="30" s="1"/>
  <c r="EW54" i="30" s="1"/>
  <c r="EX54" i="30" s="1"/>
  <c r="EY54" i="30" s="1"/>
  <c r="EZ54" i="30" s="1"/>
  <c r="FA54" i="30" s="1"/>
  <c r="FB54" i="30" s="1"/>
  <c r="FC54" i="30" s="1"/>
  <c r="FD54" i="30" s="1"/>
  <c r="FE54" i="30" s="1"/>
  <c r="FF54" i="30" s="1"/>
  <c r="FG54" i="30" s="1"/>
  <c r="FH54" i="30" s="1"/>
  <c r="FI54" i="30" s="1"/>
  <c r="FJ54" i="30" s="1"/>
  <c r="FK54" i="30" s="1"/>
  <c r="FL54" i="30" s="1"/>
  <c r="FM54" i="30" s="1"/>
  <c r="FN54" i="30" s="1"/>
  <c r="FO54" i="30" s="1"/>
  <c r="FP54" i="30" s="1"/>
  <c r="FQ54" i="30" s="1"/>
  <c r="FR54" i="30" s="1"/>
  <c r="FS54" i="30" s="1"/>
  <c r="FT54" i="30" s="1"/>
  <c r="FU54" i="30" s="1"/>
  <c r="FV54" i="30" s="1"/>
  <c r="FW54" i="30" s="1"/>
  <c r="FX54" i="30" s="1"/>
  <c r="FY54" i="30" s="1"/>
  <c r="FZ54" i="30" s="1"/>
  <c r="GA54" i="30" s="1"/>
  <c r="GB54" i="30" s="1"/>
  <c r="GC54" i="30" s="1"/>
  <c r="GD54" i="30" s="1"/>
  <c r="GE54" i="30" s="1"/>
  <c r="GF54" i="30" s="1"/>
  <c r="GG54" i="30" s="1"/>
  <c r="GH54" i="30" s="1"/>
  <c r="GI54" i="30" s="1"/>
  <c r="GJ54" i="30" s="1"/>
  <c r="GK54" i="30" s="1"/>
  <c r="GL54" i="30" s="1"/>
  <c r="GM54" i="30" s="1"/>
  <c r="GN54" i="30" s="1"/>
  <c r="GO54" i="30" s="1"/>
  <c r="GP54" i="30" s="1"/>
  <c r="GQ54" i="30" s="1"/>
  <c r="GR54" i="30" s="1"/>
  <c r="GS54" i="30" s="1"/>
  <c r="GT54" i="30" s="1"/>
  <c r="GU54" i="30" s="1"/>
  <c r="GV54" i="30" s="1"/>
  <c r="GW54" i="30" s="1"/>
  <c r="GX54" i="30" s="1"/>
  <c r="GY54" i="30" s="1"/>
  <c r="GZ54" i="30" s="1"/>
  <c r="HA54" i="30" s="1"/>
  <c r="HB54" i="30" s="1"/>
  <c r="HC54" i="30" s="1"/>
  <c r="HD54" i="30" s="1"/>
  <c r="HE54" i="30" s="1"/>
  <c r="HF54" i="30" s="1"/>
  <c r="HG54" i="30" s="1"/>
  <c r="HH54" i="30" s="1"/>
  <c r="HI54" i="30" s="1"/>
  <c r="HJ54" i="30" s="1"/>
  <c r="HK54" i="30" s="1"/>
  <c r="HL54" i="30" s="1"/>
  <c r="HM54" i="30" s="1"/>
  <c r="HN54" i="30" s="1"/>
  <c r="HO54" i="30" s="1"/>
  <c r="HP54" i="30" s="1"/>
  <c r="HQ54" i="30" s="1"/>
  <c r="HR54" i="30" s="1"/>
  <c r="HS54" i="30" s="1"/>
  <c r="HT54" i="30" s="1"/>
  <c r="HU54" i="30" s="1"/>
  <c r="HV54" i="30" s="1"/>
  <c r="HW54" i="30" s="1"/>
  <c r="HX54" i="30" s="1"/>
  <c r="HY54" i="30" s="1"/>
  <c r="HZ54" i="30" s="1"/>
  <c r="IA54" i="30" s="1"/>
  <c r="IB54" i="30" s="1"/>
  <c r="IC54" i="30" s="1"/>
  <c r="ID54" i="30" s="1"/>
  <c r="IE54" i="30" s="1"/>
  <c r="IF54" i="30" s="1"/>
  <c r="IG54" i="30" s="1"/>
  <c r="IH54" i="30" s="1"/>
  <c r="II54" i="30" s="1"/>
  <c r="IJ54" i="30" s="1"/>
  <c r="IK54" i="30" s="1"/>
  <c r="IL54" i="30" s="1"/>
  <c r="IM54" i="30" s="1"/>
  <c r="IN54" i="30" s="1"/>
  <c r="IO54" i="30" s="1"/>
  <c r="IP54" i="30" s="1"/>
  <c r="IQ54" i="30" s="1"/>
  <c r="IR54" i="30" s="1"/>
  <c r="IS54" i="30" s="1"/>
  <c r="IT54" i="30" s="1"/>
  <c r="IU54" i="30" s="1"/>
  <c r="IV54" i="30" s="1"/>
  <c r="IW54" i="30" s="1"/>
  <c r="IX54" i="30" s="1"/>
  <c r="IY54" i="30" s="1"/>
  <c r="IZ54" i="30" s="1"/>
  <c r="JA54" i="30" s="1"/>
  <c r="JB54" i="30" s="1"/>
  <c r="JC54" i="30" s="1"/>
  <c r="JD54" i="30" s="1"/>
  <c r="JE54" i="30" s="1"/>
  <c r="JF54" i="30" s="1"/>
  <c r="JG54" i="30" s="1"/>
  <c r="JH54" i="30" s="1"/>
  <c r="JI54" i="30" s="1"/>
  <c r="JJ54" i="30" s="1"/>
  <c r="JK54" i="30" s="1"/>
  <c r="JL54" i="30" s="1"/>
  <c r="JM54" i="30" s="1"/>
  <c r="JN54" i="30" s="1"/>
  <c r="JO54" i="30" s="1"/>
  <c r="JP54" i="30" s="1"/>
  <c r="JQ54" i="30" s="1"/>
  <c r="JR54" i="30" s="1"/>
  <c r="JS54" i="30" s="1"/>
  <c r="JT54" i="30" s="1"/>
  <c r="JU54" i="30" s="1"/>
  <c r="JV54" i="30" s="1"/>
  <c r="JW54" i="30" s="1"/>
  <c r="JX54" i="30" s="1"/>
  <c r="JY54" i="30" s="1"/>
  <c r="JZ54" i="30" s="1"/>
  <c r="KA54" i="30" s="1"/>
  <c r="KB54" i="30" s="1"/>
  <c r="KC54" i="30" s="1"/>
  <c r="KD54" i="30" s="1"/>
  <c r="KE54" i="30" s="1"/>
  <c r="KF54" i="30" s="1"/>
  <c r="KG54" i="30" s="1"/>
  <c r="KH54" i="30" s="1"/>
  <c r="KI54" i="30" s="1"/>
  <c r="KJ54" i="30" s="1"/>
  <c r="KK54" i="30" s="1"/>
  <c r="KL54" i="30" s="1"/>
  <c r="KM54" i="30" s="1"/>
  <c r="KN54" i="30" s="1"/>
  <c r="KO54" i="30" s="1"/>
  <c r="KP54" i="30" s="1"/>
  <c r="KQ54" i="30" s="1"/>
  <c r="KR54" i="30" s="1"/>
  <c r="KS54" i="30" s="1"/>
  <c r="KT54" i="30" s="1"/>
  <c r="KU54" i="30" s="1"/>
  <c r="KV54" i="30" s="1"/>
  <c r="KW54" i="30" s="1"/>
  <c r="KX54" i="30" s="1"/>
  <c r="KY54" i="30" s="1"/>
  <c r="KZ54" i="30" s="1"/>
  <c r="LA54" i="30" s="1"/>
  <c r="LB54" i="30" s="1"/>
  <c r="LC54" i="30" s="1"/>
  <c r="LD54" i="30" s="1"/>
  <c r="LE54" i="30" s="1"/>
  <c r="LF54" i="30" s="1"/>
  <c r="LG54" i="30" s="1"/>
  <c r="LH54" i="30" s="1"/>
  <c r="LI54" i="30" s="1"/>
  <c r="LJ54" i="30" s="1"/>
  <c r="W55" i="30"/>
  <c r="X55" i="30" s="1"/>
  <c r="Y55" i="30" s="1"/>
  <c r="Z55" i="30" s="1"/>
  <c r="AA55" i="30" s="1"/>
  <c r="AB55" i="30" s="1"/>
  <c r="AC55" i="30" s="1"/>
  <c r="AD55" i="30" s="1"/>
  <c r="AE55" i="30" s="1"/>
  <c r="AF55" i="30" s="1"/>
  <c r="AG55" i="30" s="1"/>
  <c r="AH55" i="30" s="1"/>
  <c r="AI55" i="30" s="1"/>
  <c r="AJ55" i="30" s="1"/>
  <c r="AK55" i="30" s="1"/>
  <c r="AL55" i="30" s="1"/>
  <c r="AM55" i="30" s="1"/>
  <c r="AN55" i="30" s="1"/>
  <c r="AO55" i="30" s="1"/>
  <c r="AP55" i="30" s="1"/>
  <c r="AQ55" i="30" s="1"/>
  <c r="AR55" i="30" s="1"/>
  <c r="AS55" i="30" s="1"/>
  <c r="AT55" i="30" s="1"/>
  <c r="AU55" i="30" s="1"/>
  <c r="AV55" i="30" s="1"/>
  <c r="AW55" i="30" s="1"/>
  <c r="AX55" i="30" s="1"/>
  <c r="AY55" i="30" s="1"/>
  <c r="AZ55" i="30" s="1"/>
  <c r="BA55" i="30" s="1"/>
  <c r="BB55" i="30" s="1"/>
  <c r="BC55" i="30" s="1"/>
  <c r="BD55" i="30" s="1"/>
  <c r="BE55" i="30" s="1"/>
  <c r="BF55" i="30" s="1"/>
  <c r="BG55" i="30" s="1"/>
  <c r="BH55" i="30" s="1"/>
  <c r="BI55" i="30" s="1"/>
  <c r="BJ55" i="30" s="1"/>
  <c r="BK55" i="30" s="1"/>
  <c r="BL55" i="30" s="1"/>
  <c r="BM55" i="30" s="1"/>
  <c r="BN55" i="30" s="1"/>
  <c r="BO55" i="30" s="1"/>
  <c r="BP55" i="30" s="1"/>
  <c r="BQ55" i="30" s="1"/>
  <c r="BR55" i="30" s="1"/>
  <c r="BS55" i="30" s="1"/>
  <c r="BT55" i="30" s="1"/>
  <c r="BU55" i="30" s="1"/>
  <c r="BV55" i="30" s="1"/>
  <c r="BW55" i="30" s="1"/>
  <c r="BX55" i="30" s="1"/>
  <c r="BY55" i="30" s="1"/>
  <c r="BZ55" i="30" s="1"/>
  <c r="CA55" i="30" s="1"/>
  <c r="CB55" i="30" s="1"/>
  <c r="CC55" i="30" s="1"/>
  <c r="CD55" i="30" s="1"/>
  <c r="CE55" i="30" s="1"/>
  <c r="CF55" i="30" s="1"/>
  <c r="CG55" i="30" s="1"/>
  <c r="CH55" i="30" s="1"/>
  <c r="CI55" i="30" s="1"/>
  <c r="CJ55" i="30" s="1"/>
  <c r="CK55" i="30" s="1"/>
  <c r="CL55" i="30" s="1"/>
  <c r="CM55" i="30" s="1"/>
  <c r="CN55" i="30" s="1"/>
  <c r="CO55" i="30" s="1"/>
  <c r="CP55" i="30" s="1"/>
  <c r="CQ55" i="30" s="1"/>
  <c r="CR55" i="30" s="1"/>
  <c r="CS55" i="30" s="1"/>
  <c r="CT55" i="30" s="1"/>
  <c r="CU55" i="30" s="1"/>
  <c r="CV55" i="30" s="1"/>
  <c r="CW55" i="30" s="1"/>
  <c r="CX55" i="30" s="1"/>
  <c r="CY55" i="30" s="1"/>
  <c r="CZ55" i="30" s="1"/>
  <c r="DA55" i="30" s="1"/>
  <c r="DB55" i="30" s="1"/>
  <c r="DC55" i="30" s="1"/>
  <c r="DD55" i="30" s="1"/>
  <c r="DE55" i="30" s="1"/>
  <c r="DF55" i="30" s="1"/>
  <c r="DG55" i="30" s="1"/>
  <c r="DH55" i="30" s="1"/>
  <c r="DI55" i="30" s="1"/>
  <c r="DJ55" i="30" s="1"/>
  <c r="DK55" i="30" s="1"/>
  <c r="DL55" i="30" s="1"/>
  <c r="DM55" i="30" s="1"/>
  <c r="DN55" i="30" s="1"/>
  <c r="DO55" i="30" s="1"/>
  <c r="DP55" i="30" s="1"/>
  <c r="DQ55" i="30" s="1"/>
  <c r="DR55" i="30" s="1"/>
  <c r="DS55" i="30" s="1"/>
  <c r="DT55" i="30" s="1"/>
  <c r="DU55" i="30" s="1"/>
  <c r="DV55" i="30" s="1"/>
  <c r="DW55" i="30" s="1"/>
  <c r="DX55" i="30" s="1"/>
  <c r="DY55" i="30" s="1"/>
  <c r="DZ55" i="30" s="1"/>
  <c r="EA55" i="30" s="1"/>
  <c r="EB55" i="30" s="1"/>
  <c r="EC55" i="30" s="1"/>
  <c r="ED55" i="30" s="1"/>
  <c r="EE55" i="30" s="1"/>
  <c r="EF55" i="30" s="1"/>
  <c r="EG55" i="30" s="1"/>
  <c r="EH55" i="30" s="1"/>
  <c r="EI55" i="30" s="1"/>
  <c r="EJ55" i="30" s="1"/>
  <c r="EK55" i="30" s="1"/>
  <c r="EL55" i="30" s="1"/>
  <c r="EM55" i="30" s="1"/>
  <c r="EN55" i="30" s="1"/>
  <c r="EO55" i="30" s="1"/>
  <c r="EP55" i="30" s="1"/>
  <c r="EQ55" i="30" s="1"/>
  <c r="ER55" i="30" s="1"/>
  <c r="ES55" i="30" s="1"/>
  <c r="ET55" i="30" s="1"/>
  <c r="EU55" i="30" s="1"/>
  <c r="EV55" i="30" s="1"/>
  <c r="EW55" i="30" s="1"/>
  <c r="EX55" i="30" s="1"/>
  <c r="EY55" i="30" s="1"/>
  <c r="EZ55" i="30" s="1"/>
  <c r="FA55" i="30" s="1"/>
  <c r="FB55" i="30" s="1"/>
  <c r="FC55" i="30" s="1"/>
  <c r="FD55" i="30" s="1"/>
  <c r="FE55" i="30" s="1"/>
  <c r="FF55" i="30" s="1"/>
  <c r="FG55" i="30" s="1"/>
  <c r="FH55" i="30" s="1"/>
  <c r="FI55" i="30" s="1"/>
  <c r="FJ55" i="30" s="1"/>
  <c r="FK55" i="30" s="1"/>
  <c r="FL55" i="30" s="1"/>
  <c r="FM55" i="30" s="1"/>
  <c r="FN55" i="30" s="1"/>
  <c r="FO55" i="30" s="1"/>
  <c r="FP55" i="30" s="1"/>
  <c r="FQ55" i="30" s="1"/>
  <c r="FR55" i="30" s="1"/>
  <c r="FS55" i="30" s="1"/>
  <c r="FT55" i="30" s="1"/>
  <c r="FU55" i="30" s="1"/>
  <c r="FV55" i="30" s="1"/>
  <c r="FW55" i="30" s="1"/>
  <c r="FX55" i="30" s="1"/>
  <c r="FY55" i="30" s="1"/>
  <c r="FZ55" i="30" s="1"/>
  <c r="GA55" i="30" s="1"/>
  <c r="GB55" i="30" s="1"/>
  <c r="GC55" i="30" s="1"/>
  <c r="GD55" i="30" s="1"/>
  <c r="GE55" i="30" s="1"/>
  <c r="GF55" i="30" s="1"/>
  <c r="GG55" i="30" s="1"/>
  <c r="GH55" i="30" s="1"/>
  <c r="GI55" i="30" s="1"/>
  <c r="GJ55" i="30" s="1"/>
  <c r="GK55" i="30" s="1"/>
  <c r="GL55" i="30" s="1"/>
  <c r="GM55" i="30" s="1"/>
  <c r="GN55" i="30" s="1"/>
  <c r="GO55" i="30" s="1"/>
  <c r="GP55" i="30" s="1"/>
  <c r="GQ55" i="30" s="1"/>
  <c r="GR55" i="30" s="1"/>
  <c r="GS55" i="30" s="1"/>
  <c r="GT55" i="30" s="1"/>
  <c r="GU55" i="30" s="1"/>
  <c r="GV55" i="30" s="1"/>
  <c r="GW55" i="30" s="1"/>
  <c r="GX55" i="30" s="1"/>
  <c r="GY55" i="30" s="1"/>
  <c r="GZ55" i="30" s="1"/>
  <c r="HA55" i="30" s="1"/>
  <c r="HB55" i="30" s="1"/>
  <c r="HC55" i="30" s="1"/>
  <c r="HD55" i="30" s="1"/>
  <c r="HE55" i="30" s="1"/>
  <c r="HF55" i="30" s="1"/>
  <c r="HG55" i="30" s="1"/>
  <c r="HH55" i="30" s="1"/>
  <c r="HI55" i="30" s="1"/>
  <c r="HJ55" i="30" s="1"/>
  <c r="HK55" i="30" s="1"/>
  <c r="HL55" i="30" s="1"/>
  <c r="HM55" i="30" s="1"/>
  <c r="HN55" i="30" s="1"/>
  <c r="HO55" i="30" s="1"/>
  <c r="HP55" i="30" s="1"/>
  <c r="HQ55" i="30" s="1"/>
  <c r="HR55" i="30" s="1"/>
  <c r="HS55" i="30" s="1"/>
  <c r="HT55" i="30" s="1"/>
  <c r="HU55" i="30" s="1"/>
  <c r="HV55" i="30" s="1"/>
  <c r="HW55" i="30" s="1"/>
  <c r="HX55" i="30" s="1"/>
  <c r="HY55" i="30" s="1"/>
  <c r="HZ55" i="30" s="1"/>
  <c r="IA55" i="30" s="1"/>
  <c r="IB55" i="30" s="1"/>
  <c r="IC55" i="30" s="1"/>
  <c r="ID55" i="30" s="1"/>
  <c r="IE55" i="30" s="1"/>
  <c r="IF55" i="30" s="1"/>
  <c r="IG55" i="30" s="1"/>
  <c r="IH55" i="30" s="1"/>
  <c r="II55" i="30" s="1"/>
  <c r="IJ55" i="30" s="1"/>
  <c r="IK55" i="30" s="1"/>
  <c r="IL55" i="30" s="1"/>
  <c r="IM55" i="30" s="1"/>
  <c r="IN55" i="30" s="1"/>
  <c r="IO55" i="30" s="1"/>
  <c r="IP55" i="30" s="1"/>
  <c r="IQ55" i="30" s="1"/>
  <c r="IR55" i="30" s="1"/>
  <c r="IS55" i="30" s="1"/>
  <c r="IT55" i="30" s="1"/>
  <c r="IU55" i="30" s="1"/>
  <c r="IV55" i="30" s="1"/>
  <c r="IW55" i="30" s="1"/>
  <c r="IX55" i="30" s="1"/>
  <c r="IY55" i="30" s="1"/>
  <c r="IZ55" i="30" s="1"/>
  <c r="JA55" i="30" s="1"/>
  <c r="JB55" i="30" s="1"/>
  <c r="JC55" i="30" s="1"/>
  <c r="JD55" i="30" s="1"/>
  <c r="JE55" i="30" s="1"/>
  <c r="JF55" i="30" s="1"/>
  <c r="JG55" i="30" s="1"/>
  <c r="JH55" i="30" s="1"/>
  <c r="JI55" i="30" s="1"/>
  <c r="JJ55" i="30" s="1"/>
  <c r="JK55" i="30" s="1"/>
  <c r="JL55" i="30" s="1"/>
  <c r="JM55" i="30" s="1"/>
  <c r="JN55" i="30" s="1"/>
  <c r="JO55" i="30" s="1"/>
  <c r="JP55" i="30" s="1"/>
  <c r="JQ55" i="30" s="1"/>
  <c r="JR55" i="30" s="1"/>
  <c r="JS55" i="30" s="1"/>
  <c r="JT55" i="30" s="1"/>
  <c r="JU55" i="30" s="1"/>
  <c r="JV55" i="30" s="1"/>
  <c r="JW55" i="30" s="1"/>
  <c r="JX55" i="30" s="1"/>
  <c r="JY55" i="30" s="1"/>
  <c r="JZ55" i="30" s="1"/>
  <c r="KA55" i="30" s="1"/>
  <c r="KB55" i="30" s="1"/>
  <c r="KC55" i="30" s="1"/>
  <c r="KD55" i="30" s="1"/>
  <c r="KE55" i="30" s="1"/>
  <c r="KF55" i="30" s="1"/>
  <c r="KG55" i="30" s="1"/>
  <c r="KH55" i="30" s="1"/>
  <c r="KI55" i="30" s="1"/>
  <c r="KJ55" i="30" s="1"/>
  <c r="KK55" i="30" s="1"/>
  <c r="KL55" i="30" s="1"/>
  <c r="KM55" i="30" s="1"/>
  <c r="KN55" i="30" s="1"/>
  <c r="KO55" i="30" s="1"/>
  <c r="KP55" i="30" s="1"/>
  <c r="KQ55" i="30" s="1"/>
  <c r="KR55" i="30" s="1"/>
  <c r="KS55" i="30" s="1"/>
  <c r="KT55" i="30" s="1"/>
  <c r="KU55" i="30" s="1"/>
  <c r="KV55" i="30" s="1"/>
  <c r="KW55" i="30" s="1"/>
  <c r="KX55" i="30" s="1"/>
  <c r="KY55" i="30" s="1"/>
  <c r="KZ55" i="30" s="1"/>
  <c r="LA55" i="30" s="1"/>
  <c r="LB55" i="30" s="1"/>
  <c r="LC55" i="30" s="1"/>
  <c r="LD55" i="30" s="1"/>
  <c r="LE55" i="30" s="1"/>
  <c r="LF55" i="30" s="1"/>
  <c r="LG55" i="30" s="1"/>
  <c r="LH55" i="30" s="1"/>
  <c r="LI55" i="30" s="1"/>
  <c r="LJ55" i="30" s="1"/>
  <c r="W56" i="30"/>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CT56" i="30" s="1"/>
  <c r="CU56" i="30" s="1"/>
  <c r="CV56" i="30" s="1"/>
  <c r="CW56" i="30" s="1"/>
  <c r="CX56" i="30" s="1"/>
  <c r="CY56" i="30" s="1"/>
  <c r="CZ56" i="30" s="1"/>
  <c r="DA56" i="30" s="1"/>
  <c r="DB56" i="30" s="1"/>
  <c r="DC56" i="30" s="1"/>
  <c r="DD56" i="30" s="1"/>
  <c r="DE56" i="30" s="1"/>
  <c r="DF56" i="30" s="1"/>
  <c r="DG56" i="30" s="1"/>
  <c r="DH56" i="30" s="1"/>
  <c r="DI56" i="30" s="1"/>
  <c r="DJ56" i="30" s="1"/>
  <c r="DK56" i="30" s="1"/>
  <c r="DL56" i="30" s="1"/>
  <c r="DM56" i="30" s="1"/>
  <c r="DN56" i="30" s="1"/>
  <c r="DO56" i="30" s="1"/>
  <c r="DP56" i="30" s="1"/>
  <c r="DQ56" i="30" s="1"/>
  <c r="DR56" i="30" s="1"/>
  <c r="DS56" i="30" s="1"/>
  <c r="DT56" i="30" s="1"/>
  <c r="DU56" i="30" s="1"/>
  <c r="DV56" i="30" s="1"/>
  <c r="DW56" i="30" s="1"/>
  <c r="DX56" i="30" s="1"/>
  <c r="DY56" i="30" s="1"/>
  <c r="DZ56" i="30" s="1"/>
  <c r="EA56" i="30" s="1"/>
  <c r="EB56" i="30" s="1"/>
  <c r="EC56" i="30" s="1"/>
  <c r="ED56" i="30" s="1"/>
  <c r="EE56" i="30" s="1"/>
  <c r="EF56" i="30" s="1"/>
  <c r="EG56" i="30" s="1"/>
  <c r="EH56" i="30" s="1"/>
  <c r="EI56" i="30" s="1"/>
  <c r="EJ56" i="30" s="1"/>
  <c r="EK56" i="30" s="1"/>
  <c r="EL56" i="30" s="1"/>
  <c r="EM56" i="30" s="1"/>
  <c r="EN56" i="30" s="1"/>
  <c r="EO56" i="30" s="1"/>
  <c r="EP56" i="30" s="1"/>
  <c r="EQ56" i="30" s="1"/>
  <c r="ER56" i="30" s="1"/>
  <c r="ES56" i="30" s="1"/>
  <c r="ET56" i="30" s="1"/>
  <c r="EU56" i="30" s="1"/>
  <c r="EV56" i="30" s="1"/>
  <c r="EW56" i="30" s="1"/>
  <c r="EX56" i="30" s="1"/>
  <c r="EY56" i="30" s="1"/>
  <c r="EZ56" i="30" s="1"/>
  <c r="FA56" i="30" s="1"/>
  <c r="FB56" i="30" s="1"/>
  <c r="FC56" i="30" s="1"/>
  <c r="FD56" i="30" s="1"/>
  <c r="FE56" i="30" s="1"/>
  <c r="FF56" i="30" s="1"/>
  <c r="FG56" i="30" s="1"/>
  <c r="FH56" i="30" s="1"/>
  <c r="FI56" i="30" s="1"/>
  <c r="FJ56" i="30" s="1"/>
  <c r="FK56" i="30" s="1"/>
  <c r="FL56" i="30" s="1"/>
  <c r="FM56" i="30" s="1"/>
  <c r="FN56" i="30" s="1"/>
  <c r="FO56" i="30" s="1"/>
  <c r="FP56" i="30" s="1"/>
  <c r="FQ56" i="30" s="1"/>
  <c r="FR56" i="30" s="1"/>
  <c r="FS56" i="30" s="1"/>
  <c r="FT56" i="30" s="1"/>
  <c r="FU56" i="30" s="1"/>
  <c r="FV56" i="30" s="1"/>
  <c r="FW56" i="30" s="1"/>
  <c r="FX56" i="30" s="1"/>
  <c r="FY56" i="30" s="1"/>
  <c r="FZ56" i="30" s="1"/>
  <c r="GA56" i="30" s="1"/>
  <c r="GB56" i="30" s="1"/>
  <c r="GC56" i="30" s="1"/>
  <c r="GD56" i="30" s="1"/>
  <c r="GE56" i="30" s="1"/>
  <c r="GF56" i="30" s="1"/>
  <c r="GG56" i="30" s="1"/>
  <c r="GH56" i="30" s="1"/>
  <c r="GI56" i="30" s="1"/>
  <c r="GJ56" i="30" s="1"/>
  <c r="GK56" i="30" s="1"/>
  <c r="GL56" i="30" s="1"/>
  <c r="GM56" i="30" s="1"/>
  <c r="GN56" i="30" s="1"/>
  <c r="GO56" i="30" s="1"/>
  <c r="GP56" i="30" s="1"/>
  <c r="GQ56" i="30" s="1"/>
  <c r="GR56" i="30" s="1"/>
  <c r="GS56" i="30" s="1"/>
  <c r="GT56" i="30" s="1"/>
  <c r="GU56" i="30" s="1"/>
  <c r="GV56" i="30" s="1"/>
  <c r="GW56" i="30" s="1"/>
  <c r="GX56" i="30" s="1"/>
  <c r="GY56" i="30" s="1"/>
  <c r="GZ56" i="30" s="1"/>
  <c r="HA56" i="30" s="1"/>
  <c r="HB56" i="30" s="1"/>
  <c r="HC56" i="30" s="1"/>
  <c r="HD56" i="30" s="1"/>
  <c r="HE56" i="30" s="1"/>
  <c r="HF56" i="30" s="1"/>
  <c r="HG56" i="30" s="1"/>
  <c r="HH56" i="30" s="1"/>
  <c r="HI56" i="30" s="1"/>
  <c r="HJ56" i="30" s="1"/>
  <c r="HK56" i="30" s="1"/>
  <c r="HL56" i="30" s="1"/>
  <c r="HM56" i="30" s="1"/>
  <c r="HN56" i="30" s="1"/>
  <c r="HO56" i="30" s="1"/>
  <c r="HP56" i="30" s="1"/>
  <c r="HQ56" i="30" s="1"/>
  <c r="HR56" i="30" s="1"/>
  <c r="HS56" i="30" s="1"/>
  <c r="HT56" i="30" s="1"/>
  <c r="HU56" i="30" s="1"/>
  <c r="HV56" i="30" s="1"/>
  <c r="HW56" i="30" s="1"/>
  <c r="HX56" i="30" s="1"/>
  <c r="HY56" i="30" s="1"/>
  <c r="HZ56" i="30" s="1"/>
  <c r="IA56" i="30" s="1"/>
  <c r="IB56" i="30" s="1"/>
  <c r="IC56" i="30" s="1"/>
  <c r="ID56" i="30" s="1"/>
  <c r="IE56" i="30" s="1"/>
  <c r="IF56" i="30" s="1"/>
  <c r="IG56" i="30" s="1"/>
  <c r="IH56" i="30" s="1"/>
  <c r="II56" i="30" s="1"/>
  <c r="IJ56" i="30" s="1"/>
  <c r="IK56" i="30" s="1"/>
  <c r="IL56" i="30" s="1"/>
  <c r="IM56" i="30" s="1"/>
  <c r="IN56" i="30" s="1"/>
  <c r="IO56" i="30" s="1"/>
  <c r="IP56" i="30" s="1"/>
  <c r="IQ56" i="30" s="1"/>
  <c r="IR56" i="30" s="1"/>
  <c r="IS56" i="30" s="1"/>
  <c r="IT56" i="30" s="1"/>
  <c r="IU56" i="30" s="1"/>
  <c r="IV56" i="30" s="1"/>
  <c r="IW56" i="30" s="1"/>
  <c r="IX56" i="30" s="1"/>
  <c r="IY56" i="30" s="1"/>
  <c r="IZ56" i="30" s="1"/>
  <c r="JA56" i="30" s="1"/>
  <c r="JB56" i="30" s="1"/>
  <c r="JC56" i="30" s="1"/>
  <c r="JD56" i="30" s="1"/>
  <c r="JE56" i="30" s="1"/>
  <c r="JF56" i="30" s="1"/>
  <c r="JG56" i="30" s="1"/>
  <c r="JH56" i="30" s="1"/>
  <c r="JI56" i="30" s="1"/>
  <c r="JJ56" i="30" s="1"/>
  <c r="JK56" i="30" s="1"/>
  <c r="JL56" i="30" s="1"/>
  <c r="JM56" i="30" s="1"/>
  <c r="JN56" i="30" s="1"/>
  <c r="JO56" i="30" s="1"/>
  <c r="JP56" i="30" s="1"/>
  <c r="JQ56" i="30" s="1"/>
  <c r="JR56" i="30" s="1"/>
  <c r="JS56" i="30" s="1"/>
  <c r="JT56" i="30" s="1"/>
  <c r="JU56" i="30" s="1"/>
  <c r="JV56" i="30" s="1"/>
  <c r="JW56" i="30" s="1"/>
  <c r="JX56" i="30" s="1"/>
  <c r="JY56" i="30" s="1"/>
  <c r="JZ56" i="30" s="1"/>
  <c r="KA56" i="30" s="1"/>
  <c r="KB56" i="30" s="1"/>
  <c r="KC56" i="30" s="1"/>
  <c r="KD56" i="30" s="1"/>
  <c r="KE56" i="30" s="1"/>
  <c r="KF56" i="30" s="1"/>
  <c r="KG56" i="30" s="1"/>
  <c r="KH56" i="30" s="1"/>
  <c r="KI56" i="30" s="1"/>
  <c r="KJ56" i="30" s="1"/>
  <c r="KK56" i="30" s="1"/>
  <c r="KL56" i="30" s="1"/>
  <c r="KM56" i="30" s="1"/>
  <c r="KN56" i="30" s="1"/>
  <c r="KO56" i="30" s="1"/>
  <c r="KP56" i="30" s="1"/>
  <c r="KQ56" i="30" s="1"/>
  <c r="KR56" i="30" s="1"/>
  <c r="KS56" i="30" s="1"/>
  <c r="KT56" i="30" s="1"/>
  <c r="KU56" i="30" s="1"/>
  <c r="KV56" i="30" s="1"/>
  <c r="KW56" i="30" s="1"/>
  <c r="KX56" i="30" s="1"/>
  <c r="KY56" i="30" s="1"/>
  <c r="KZ56" i="30" s="1"/>
  <c r="LA56" i="30" s="1"/>
  <c r="LB56" i="30" s="1"/>
  <c r="LC56" i="30" s="1"/>
  <c r="LD56" i="30" s="1"/>
  <c r="LE56" i="30" s="1"/>
  <c r="LF56" i="30" s="1"/>
  <c r="LG56" i="30" s="1"/>
  <c r="LH56" i="30" s="1"/>
  <c r="LI56" i="30" s="1"/>
  <c r="LJ56" i="30" s="1"/>
  <c r="W57" i="30"/>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CT57" i="30" s="1"/>
  <c r="CU57" i="30" s="1"/>
  <c r="CV57" i="30" s="1"/>
  <c r="CW57" i="30" s="1"/>
  <c r="CX57" i="30" s="1"/>
  <c r="CY57" i="30" s="1"/>
  <c r="CZ57" i="30" s="1"/>
  <c r="DA57" i="30" s="1"/>
  <c r="DB57" i="30" s="1"/>
  <c r="DC57" i="30" s="1"/>
  <c r="DD57" i="30" s="1"/>
  <c r="DE57" i="30" s="1"/>
  <c r="DF57" i="30" s="1"/>
  <c r="DG57" i="30" s="1"/>
  <c r="DH57" i="30" s="1"/>
  <c r="DI57" i="30" s="1"/>
  <c r="DJ57" i="30" s="1"/>
  <c r="DK57" i="30" s="1"/>
  <c r="DL57" i="30" s="1"/>
  <c r="DM57" i="30" s="1"/>
  <c r="DN57" i="30" s="1"/>
  <c r="DO57" i="30" s="1"/>
  <c r="DP57" i="30" s="1"/>
  <c r="DQ57" i="30" s="1"/>
  <c r="DR57" i="30" s="1"/>
  <c r="DS57" i="30" s="1"/>
  <c r="DT57" i="30" s="1"/>
  <c r="DU57" i="30" s="1"/>
  <c r="DV57" i="30" s="1"/>
  <c r="DW57" i="30" s="1"/>
  <c r="DX57" i="30" s="1"/>
  <c r="DY57" i="30" s="1"/>
  <c r="DZ57" i="30" s="1"/>
  <c r="EA57" i="30" s="1"/>
  <c r="EB57" i="30" s="1"/>
  <c r="EC57" i="30" s="1"/>
  <c r="ED57" i="30" s="1"/>
  <c r="EE57" i="30" s="1"/>
  <c r="EF57" i="30" s="1"/>
  <c r="EG57" i="30" s="1"/>
  <c r="EH57" i="30" s="1"/>
  <c r="EI57" i="30" s="1"/>
  <c r="EJ57" i="30" s="1"/>
  <c r="EK57" i="30" s="1"/>
  <c r="EL57" i="30" s="1"/>
  <c r="EM57" i="30" s="1"/>
  <c r="EN57" i="30" s="1"/>
  <c r="EO57" i="30" s="1"/>
  <c r="EP57" i="30" s="1"/>
  <c r="EQ57" i="30" s="1"/>
  <c r="ER57" i="30" s="1"/>
  <c r="ES57" i="30" s="1"/>
  <c r="ET57" i="30" s="1"/>
  <c r="EU57" i="30" s="1"/>
  <c r="EV57" i="30" s="1"/>
  <c r="EW57" i="30" s="1"/>
  <c r="EX57" i="30" s="1"/>
  <c r="EY57" i="30" s="1"/>
  <c r="EZ57" i="30" s="1"/>
  <c r="FA57" i="30" s="1"/>
  <c r="FB57" i="30" s="1"/>
  <c r="FC57" i="30" s="1"/>
  <c r="FD57" i="30" s="1"/>
  <c r="FE57" i="30" s="1"/>
  <c r="FF57" i="30" s="1"/>
  <c r="FG57" i="30" s="1"/>
  <c r="FH57" i="30" s="1"/>
  <c r="FI57" i="30" s="1"/>
  <c r="FJ57" i="30" s="1"/>
  <c r="FK57" i="30" s="1"/>
  <c r="FL57" i="30" s="1"/>
  <c r="FM57" i="30" s="1"/>
  <c r="FN57" i="30" s="1"/>
  <c r="FO57" i="30" s="1"/>
  <c r="FP57" i="30" s="1"/>
  <c r="FQ57" i="30" s="1"/>
  <c r="FR57" i="30" s="1"/>
  <c r="FS57" i="30" s="1"/>
  <c r="FT57" i="30" s="1"/>
  <c r="FU57" i="30" s="1"/>
  <c r="FV57" i="30" s="1"/>
  <c r="FW57" i="30" s="1"/>
  <c r="FX57" i="30" s="1"/>
  <c r="FY57" i="30" s="1"/>
  <c r="FZ57" i="30" s="1"/>
  <c r="GA57" i="30" s="1"/>
  <c r="GB57" i="30" s="1"/>
  <c r="GC57" i="30" s="1"/>
  <c r="GD57" i="30" s="1"/>
  <c r="GE57" i="30" s="1"/>
  <c r="GF57" i="30" s="1"/>
  <c r="GG57" i="30" s="1"/>
  <c r="GH57" i="30" s="1"/>
  <c r="GI57" i="30" s="1"/>
  <c r="GJ57" i="30" s="1"/>
  <c r="GK57" i="30" s="1"/>
  <c r="GL57" i="30" s="1"/>
  <c r="GM57" i="30" s="1"/>
  <c r="GN57" i="30" s="1"/>
  <c r="GO57" i="30" s="1"/>
  <c r="GP57" i="30" s="1"/>
  <c r="GQ57" i="30" s="1"/>
  <c r="GR57" i="30" s="1"/>
  <c r="GS57" i="30" s="1"/>
  <c r="GT57" i="30" s="1"/>
  <c r="GU57" i="30" s="1"/>
  <c r="GV57" i="30" s="1"/>
  <c r="GW57" i="30" s="1"/>
  <c r="GX57" i="30" s="1"/>
  <c r="GY57" i="30" s="1"/>
  <c r="GZ57" i="30" s="1"/>
  <c r="HA57" i="30" s="1"/>
  <c r="HB57" i="30" s="1"/>
  <c r="HC57" i="30" s="1"/>
  <c r="HD57" i="30" s="1"/>
  <c r="HE57" i="30" s="1"/>
  <c r="HF57" i="30" s="1"/>
  <c r="HG57" i="30" s="1"/>
  <c r="HH57" i="30" s="1"/>
  <c r="HI57" i="30" s="1"/>
  <c r="HJ57" i="30" s="1"/>
  <c r="HK57" i="30" s="1"/>
  <c r="HL57" i="30" s="1"/>
  <c r="HM57" i="30" s="1"/>
  <c r="HN57" i="30" s="1"/>
  <c r="HO57" i="30" s="1"/>
  <c r="HP57" i="30" s="1"/>
  <c r="HQ57" i="30" s="1"/>
  <c r="HR57" i="30" s="1"/>
  <c r="HS57" i="30" s="1"/>
  <c r="HT57" i="30" s="1"/>
  <c r="HU57" i="30" s="1"/>
  <c r="HV57" i="30" s="1"/>
  <c r="HW57" i="30" s="1"/>
  <c r="HX57" i="30" s="1"/>
  <c r="HY57" i="30" s="1"/>
  <c r="HZ57" i="30" s="1"/>
  <c r="IA57" i="30" s="1"/>
  <c r="IB57" i="30" s="1"/>
  <c r="IC57" i="30" s="1"/>
  <c r="ID57" i="30" s="1"/>
  <c r="IE57" i="30" s="1"/>
  <c r="IF57" i="30" s="1"/>
  <c r="IG57" i="30" s="1"/>
  <c r="IH57" i="30" s="1"/>
  <c r="II57" i="30" s="1"/>
  <c r="IJ57" i="30" s="1"/>
  <c r="IK57" i="30" s="1"/>
  <c r="IL57" i="30" s="1"/>
  <c r="IM57" i="30" s="1"/>
  <c r="IN57" i="30" s="1"/>
  <c r="IO57" i="30" s="1"/>
  <c r="IP57" i="30" s="1"/>
  <c r="IQ57" i="30" s="1"/>
  <c r="IR57" i="30" s="1"/>
  <c r="IS57" i="30" s="1"/>
  <c r="IT57" i="30" s="1"/>
  <c r="IU57" i="30" s="1"/>
  <c r="IV57" i="30" s="1"/>
  <c r="IW57" i="30" s="1"/>
  <c r="IX57" i="30" s="1"/>
  <c r="IY57" i="30" s="1"/>
  <c r="IZ57" i="30" s="1"/>
  <c r="JA57" i="30" s="1"/>
  <c r="JB57" i="30" s="1"/>
  <c r="JC57" i="30" s="1"/>
  <c r="JD57" i="30" s="1"/>
  <c r="JE57" i="30" s="1"/>
  <c r="JF57" i="30" s="1"/>
  <c r="JG57" i="30" s="1"/>
  <c r="JH57" i="30" s="1"/>
  <c r="JI57" i="30" s="1"/>
  <c r="JJ57" i="30" s="1"/>
  <c r="JK57" i="30" s="1"/>
  <c r="JL57" i="30" s="1"/>
  <c r="JM57" i="30" s="1"/>
  <c r="JN57" i="30" s="1"/>
  <c r="JO57" i="30" s="1"/>
  <c r="JP57" i="30" s="1"/>
  <c r="JQ57" i="30" s="1"/>
  <c r="JR57" i="30" s="1"/>
  <c r="JS57" i="30" s="1"/>
  <c r="JT57" i="30" s="1"/>
  <c r="JU57" i="30" s="1"/>
  <c r="JV57" i="30" s="1"/>
  <c r="JW57" i="30" s="1"/>
  <c r="JX57" i="30" s="1"/>
  <c r="JY57" i="30" s="1"/>
  <c r="JZ57" i="30" s="1"/>
  <c r="KA57" i="30" s="1"/>
  <c r="KB57" i="30" s="1"/>
  <c r="KC57" i="30" s="1"/>
  <c r="KD57" i="30" s="1"/>
  <c r="KE57" i="30" s="1"/>
  <c r="KF57" i="30" s="1"/>
  <c r="KG57" i="30" s="1"/>
  <c r="KH57" i="30" s="1"/>
  <c r="KI57" i="30" s="1"/>
  <c r="KJ57" i="30" s="1"/>
  <c r="KK57" i="30" s="1"/>
  <c r="KL57" i="30" s="1"/>
  <c r="KM57" i="30" s="1"/>
  <c r="KN57" i="30" s="1"/>
  <c r="KO57" i="30" s="1"/>
  <c r="KP57" i="30" s="1"/>
  <c r="KQ57" i="30" s="1"/>
  <c r="KR57" i="30" s="1"/>
  <c r="KS57" i="30" s="1"/>
  <c r="KT57" i="30" s="1"/>
  <c r="KU57" i="30" s="1"/>
  <c r="KV57" i="30" s="1"/>
  <c r="KW57" i="30" s="1"/>
  <c r="KX57" i="30" s="1"/>
  <c r="KY57" i="30" s="1"/>
  <c r="KZ57" i="30" s="1"/>
  <c r="LA57" i="30" s="1"/>
  <c r="LB57" i="30" s="1"/>
  <c r="LC57" i="30" s="1"/>
  <c r="LD57" i="30" s="1"/>
  <c r="LE57" i="30" s="1"/>
  <c r="LF57" i="30" s="1"/>
  <c r="LG57" i="30" s="1"/>
  <c r="LH57" i="30" s="1"/>
  <c r="LI57" i="30" s="1"/>
  <c r="LJ57" i="30" s="1"/>
  <c r="W58" i="30"/>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CT58" i="30" s="1"/>
  <c r="CU58" i="30" s="1"/>
  <c r="CV58" i="30" s="1"/>
  <c r="CW58" i="30" s="1"/>
  <c r="CX58" i="30" s="1"/>
  <c r="CY58" i="30" s="1"/>
  <c r="CZ58" i="30" s="1"/>
  <c r="DA58" i="30" s="1"/>
  <c r="DB58" i="30" s="1"/>
  <c r="DC58" i="30" s="1"/>
  <c r="DD58" i="30" s="1"/>
  <c r="DE58" i="30" s="1"/>
  <c r="DF58" i="30" s="1"/>
  <c r="DG58" i="30" s="1"/>
  <c r="DH58" i="30" s="1"/>
  <c r="DI58" i="30" s="1"/>
  <c r="DJ58" i="30" s="1"/>
  <c r="DK58" i="30" s="1"/>
  <c r="DL58" i="30" s="1"/>
  <c r="DM58" i="30" s="1"/>
  <c r="DN58" i="30" s="1"/>
  <c r="DO58" i="30" s="1"/>
  <c r="DP58" i="30" s="1"/>
  <c r="DQ58" i="30" s="1"/>
  <c r="DR58" i="30" s="1"/>
  <c r="DS58" i="30" s="1"/>
  <c r="DT58" i="30" s="1"/>
  <c r="DU58" i="30" s="1"/>
  <c r="DV58" i="30" s="1"/>
  <c r="DW58" i="30" s="1"/>
  <c r="DX58" i="30" s="1"/>
  <c r="DY58" i="30" s="1"/>
  <c r="DZ58" i="30" s="1"/>
  <c r="EA58" i="30" s="1"/>
  <c r="EB58" i="30" s="1"/>
  <c r="EC58" i="30" s="1"/>
  <c r="ED58" i="30" s="1"/>
  <c r="EE58" i="30" s="1"/>
  <c r="EF58" i="30" s="1"/>
  <c r="EG58" i="30" s="1"/>
  <c r="EH58" i="30" s="1"/>
  <c r="EI58" i="30" s="1"/>
  <c r="EJ58" i="30" s="1"/>
  <c r="EK58" i="30" s="1"/>
  <c r="EL58" i="30" s="1"/>
  <c r="EM58" i="30" s="1"/>
  <c r="EN58" i="30" s="1"/>
  <c r="EO58" i="30" s="1"/>
  <c r="EP58" i="30" s="1"/>
  <c r="EQ58" i="30" s="1"/>
  <c r="ER58" i="30" s="1"/>
  <c r="ES58" i="30" s="1"/>
  <c r="ET58" i="30" s="1"/>
  <c r="EU58" i="30" s="1"/>
  <c r="EV58" i="30" s="1"/>
  <c r="EW58" i="30" s="1"/>
  <c r="EX58" i="30" s="1"/>
  <c r="EY58" i="30" s="1"/>
  <c r="EZ58" i="30" s="1"/>
  <c r="FA58" i="30" s="1"/>
  <c r="FB58" i="30" s="1"/>
  <c r="FC58" i="30" s="1"/>
  <c r="FD58" i="30" s="1"/>
  <c r="FE58" i="30" s="1"/>
  <c r="FF58" i="30" s="1"/>
  <c r="FG58" i="30" s="1"/>
  <c r="FH58" i="30" s="1"/>
  <c r="FI58" i="30" s="1"/>
  <c r="FJ58" i="30" s="1"/>
  <c r="FK58" i="30" s="1"/>
  <c r="FL58" i="30" s="1"/>
  <c r="FM58" i="30" s="1"/>
  <c r="FN58" i="30" s="1"/>
  <c r="FO58" i="30" s="1"/>
  <c r="FP58" i="30" s="1"/>
  <c r="FQ58" i="30" s="1"/>
  <c r="FR58" i="30" s="1"/>
  <c r="FS58" i="30" s="1"/>
  <c r="FT58" i="30" s="1"/>
  <c r="FU58" i="30" s="1"/>
  <c r="FV58" i="30" s="1"/>
  <c r="FW58" i="30" s="1"/>
  <c r="FX58" i="30" s="1"/>
  <c r="FY58" i="30" s="1"/>
  <c r="FZ58" i="30" s="1"/>
  <c r="GA58" i="30" s="1"/>
  <c r="GB58" i="30" s="1"/>
  <c r="GC58" i="30" s="1"/>
  <c r="GD58" i="30" s="1"/>
  <c r="GE58" i="30" s="1"/>
  <c r="GF58" i="30" s="1"/>
  <c r="GG58" i="30" s="1"/>
  <c r="GH58" i="30" s="1"/>
  <c r="GI58" i="30" s="1"/>
  <c r="GJ58" i="30" s="1"/>
  <c r="GK58" i="30" s="1"/>
  <c r="GL58" i="30" s="1"/>
  <c r="GM58" i="30" s="1"/>
  <c r="GN58" i="30" s="1"/>
  <c r="GO58" i="30" s="1"/>
  <c r="GP58" i="30" s="1"/>
  <c r="GQ58" i="30" s="1"/>
  <c r="GR58" i="30" s="1"/>
  <c r="GS58" i="30" s="1"/>
  <c r="GT58" i="30" s="1"/>
  <c r="GU58" i="30" s="1"/>
  <c r="GV58" i="30" s="1"/>
  <c r="GW58" i="30" s="1"/>
  <c r="GX58" i="30" s="1"/>
  <c r="GY58" i="30" s="1"/>
  <c r="GZ58" i="30" s="1"/>
  <c r="HA58" i="30" s="1"/>
  <c r="HB58" i="30" s="1"/>
  <c r="HC58" i="30" s="1"/>
  <c r="HD58" i="30" s="1"/>
  <c r="HE58" i="30" s="1"/>
  <c r="HF58" i="30" s="1"/>
  <c r="HG58" i="30" s="1"/>
  <c r="HH58" i="30" s="1"/>
  <c r="HI58" i="30" s="1"/>
  <c r="HJ58" i="30" s="1"/>
  <c r="HK58" i="30" s="1"/>
  <c r="HL58" i="30" s="1"/>
  <c r="HM58" i="30" s="1"/>
  <c r="HN58" i="30" s="1"/>
  <c r="HO58" i="30" s="1"/>
  <c r="HP58" i="30" s="1"/>
  <c r="HQ58" i="30" s="1"/>
  <c r="HR58" i="30" s="1"/>
  <c r="HS58" i="30" s="1"/>
  <c r="HT58" i="30" s="1"/>
  <c r="HU58" i="30" s="1"/>
  <c r="HV58" i="30" s="1"/>
  <c r="HW58" i="30" s="1"/>
  <c r="HX58" i="30" s="1"/>
  <c r="HY58" i="30" s="1"/>
  <c r="HZ58" i="30" s="1"/>
  <c r="IA58" i="30" s="1"/>
  <c r="IB58" i="30" s="1"/>
  <c r="IC58" i="30" s="1"/>
  <c r="ID58" i="30" s="1"/>
  <c r="IE58" i="30" s="1"/>
  <c r="IF58" i="30" s="1"/>
  <c r="IG58" i="30" s="1"/>
  <c r="IH58" i="30" s="1"/>
  <c r="II58" i="30" s="1"/>
  <c r="IJ58" i="30" s="1"/>
  <c r="IK58" i="30" s="1"/>
  <c r="IL58" i="30" s="1"/>
  <c r="IM58" i="30" s="1"/>
  <c r="IN58" i="30" s="1"/>
  <c r="IO58" i="30" s="1"/>
  <c r="IP58" i="30" s="1"/>
  <c r="IQ58" i="30" s="1"/>
  <c r="IR58" i="30" s="1"/>
  <c r="IS58" i="30" s="1"/>
  <c r="IT58" i="30" s="1"/>
  <c r="IU58" i="30" s="1"/>
  <c r="IV58" i="30" s="1"/>
  <c r="IW58" i="30" s="1"/>
  <c r="IX58" i="30" s="1"/>
  <c r="IY58" i="30" s="1"/>
  <c r="IZ58" i="30" s="1"/>
  <c r="JA58" i="30" s="1"/>
  <c r="JB58" i="30" s="1"/>
  <c r="JC58" i="30" s="1"/>
  <c r="JD58" i="30" s="1"/>
  <c r="JE58" i="30" s="1"/>
  <c r="JF58" i="30" s="1"/>
  <c r="JG58" i="30" s="1"/>
  <c r="JH58" i="30" s="1"/>
  <c r="JI58" i="30" s="1"/>
  <c r="JJ58" i="30" s="1"/>
  <c r="JK58" i="30" s="1"/>
  <c r="JL58" i="30" s="1"/>
  <c r="JM58" i="30" s="1"/>
  <c r="JN58" i="30" s="1"/>
  <c r="JO58" i="30" s="1"/>
  <c r="JP58" i="30" s="1"/>
  <c r="JQ58" i="30" s="1"/>
  <c r="JR58" i="30" s="1"/>
  <c r="JS58" i="30" s="1"/>
  <c r="JT58" i="30" s="1"/>
  <c r="JU58" i="30" s="1"/>
  <c r="JV58" i="30" s="1"/>
  <c r="JW58" i="30" s="1"/>
  <c r="JX58" i="30" s="1"/>
  <c r="JY58" i="30" s="1"/>
  <c r="JZ58" i="30" s="1"/>
  <c r="KA58" i="30" s="1"/>
  <c r="KB58" i="30" s="1"/>
  <c r="KC58" i="30" s="1"/>
  <c r="KD58" i="30" s="1"/>
  <c r="KE58" i="30" s="1"/>
  <c r="KF58" i="30" s="1"/>
  <c r="KG58" i="30" s="1"/>
  <c r="KH58" i="30" s="1"/>
  <c r="KI58" i="30" s="1"/>
  <c r="KJ58" i="30" s="1"/>
  <c r="KK58" i="30" s="1"/>
  <c r="KL58" i="30" s="1"/>
  <c r="KM58" i="30" s="1"/>
  <c r="KN58" i="30" s="1"/>
  <c r="KO58" i="30" s="1"/>
  <c r="KP58" i="30" s="1"/>
  <c r="KQ58" i="30" s="1"/>
  <c r="KR58" i="30" s="1"/>
  <c r="KS58" i="30" s="1"/>
  <c r="KT58" i="30" s="1"/>
  <c r="KU58" i="30" s="1"/>
  <c r="KV58" i="30" s="1"/>
  <c r="KW58" i="30" s="1"/>
  <c r="KX58" i="30" s="1"/>
  <c r="KY58" i="30" s="1"/>
  <c r="KZ58" i="30" s="1"/>
  <c r="LA58" i="30" s="1"/>
  <c r="LB58" i="30" s="1"/>
  <c r="LC58" i="30" s="1"/>
  <c r="LD58" i="30" s="1"/>
  <c r="LE58" i="30" s="1"/>
  <c r="LF58" i="30" s="1"/>
  <c r="LG58" i="30" s="1"/>
  <c r="LH58" i="30" s="1"/>
  <c r="LI58" i="30" s="1"/>
  <c r="LJ58" i="30" s="1"/>
  <c r="W59" i="30"/>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CT59" i="30" s="1"/>
  <c r="CU59" i="30" s="1"/>
  <c r="CV59" i="30" s="1"/>
  <c r="CW59" i="30" s="1"/>
  <c r="CX59" i="30" s="1"/>
  <c r="CY59" i="30" s="1"/>
  <c r="CZ59" i="30" s="1"/>
  <c r="DA59" i="30" s="1"/>
  <c r="DB59" i="30" s="1"/>
  <c r="DC59" i="30" s="1"/>
  <c r="DD59" i="30" s="1"/>
  <c r="DE59" i="30" s="1"/>
  <c r="DF59" i="30" s="1"/>
  <c r="DG59" i="30" s="1"/>
  <c r="DH59" i="30" s="1"/>
  <c r="DI59" i="30" s="1"/>
  <c r="DJ59" i="30" s="1"/>
  <c r="DK59" i="30" s="1"/>
  <c r="DL59" i="30" s="1"/>
  <c r="DM59" i="30" s="1"/>
  <c r="DN59" i="30" s="1"/>
  <c r="DO59" i="30" s="1"/>
  <c r="DP59" i="30" s="1"/>
  <c r="DQ59" i="30" s="1"/>
  <c r="DR59" i="30" s="1"/>
  <c r="DS59" i="30" s="1"/>
  <c r="DT59" i="30" s="1"/>
  <c r="DU59" i="30" s="1"/>
  <c r="DV59" i="30" s="1"/>
  <c r="DW59" i="30" s="1"/>
  <c r="DX59" i="30" s="1"/>
  <c r="DY59" i="30" s="1"/>
  <c r="DZ59" i="30" s="1"/>
  <c r="EA59" i="30" s="1"/>
  <c r="EB59" i="30" s="1"/>
  <c r="EC59" i="30" s="1"/>
  <c r="ED59" i="30" s="1"/>
  <c r="EE59" i="30" s="1"/>
  <c r="EF59" i="30" s="1"/>
  <c r="EG59" i="30" s="1"/>
  <c r="EH59" i="30" s="1"/>
  <c r="EI59" i="30" s="1"/>
  <c r="EJ59" i="30" s="1"/>
  <c r="EK59" i="30" s="1"/>
  <c r="EL59" i="30" s="1"/>
  <c r="EM59" i="30" s="1"/>
  <c r="EN59" i="30" s="1"/>
  <c r="EO59" i="30" s="1"/>
  <c r="EP59" i="30" s="1"/>
  <c r="EQ59" i="30" s="1"/>
  <c r="ER59" i="30" s="1"/>
  <c r="ES59" i="30" s="1"/>
  <c r="ET59" i="30" s="1"/>
  <c r="EU59" i="30" s="1"/>
  <c r="EV59" i="30" s="1"/>
  <c r="EW59" i="30" s="1"/>
  <c r="EX59" i="30" s="1"/>
  <c r="EY59" i="30" s="1"/>
  <c r="EZ59" i="30" s="1"/>
  <c r="FA59" i="30" s="1"/>
  <c r="FB59" i="30" s="1"/>
  <c r="FC59" i="30" s="1"/>
  <c r="FD59" i="30" s="1"/>
  <c r="FE59" i="30" s="1"/>
  <c r="FF59" i="30" s="1"/>
  <c r="FG59" i="30" s="1"/>
  <c r="FH59" i="30" s="1"/>
  <c r="FI59" i="30" s="1"/>
  <c r="FJ59" i="30" s="1"/>
  <c r="FK59" i="30" s="1"/>
  <c r="FL59" i="30" s="1"/>
  <c r="FM59" i="30" s="1"/>
  <c r="FN59" i="30" s="1"/>
  <c r="FO59" i="30" s="1"/>
  <c r="FP59" i="30" s="1"/>
  <c r="FQ59" i="30" s="1"/>
  <c r="FR59" i="30" s="1"/>
  <c r="FS59" i="30" s="1"/>
  <c r="FT59" i="30" s="1"/>
  <c r="FU59" i="30" s="1"/>
  <c r="FV59" i="30" s="1"/>
  <c r="FW59" i="30" s="1"/>
  <c r="FX59" i="30" s="1"/>
  <c r="FY59" i="30" s="1"/>
  <c r="FZ59" i="30" s="1"/>
  <c r="GA59" i="30" s="1"/>
  <c r="GB59" i="30" s="1"/>
  <c r="GC59" i="30" s="1"/>
  <c r="GD59" i="30" s="1"/>
  <c r="GE59" i="30" s="1"/>
  <c r="GF59" i="30" s="1"/>
  <c r="GG59" i="30" s="1"/>
  <c r="GH59" i="30" s="1"/>
  <c r="GI59" i="30" s="1"/>
  <c r="GJ59" i="30" s="1"/>
  <c r="GK59" i="30" s="1"/>
  <c r="GL59" i="30" s="1"/>
  <c r="GM59" i="30" s="1"/>
  <c r="GN59" i="30" s="1"/>
  <c r="GO59" i="30" s="1"/>
  <c r="GP59" i="30" s="1"/>
  <c r="GQ59" i="30" s="1"/>
  <c r="GR59" i="30" s="1"/>
  <c r="GS59" i="30" s="1"/>
  <c r="GT59" i="30" s="1"/>
  <c r="GU59" i="30" s="1"/>
  <c r="GV59" i="30" s="1"/>
  <c r="GW59" i="30" s="1"/>
  <c r="GX59" i="30" s="1"/>
  <c r="GY59" i="30" s="1"/>
  <c r="GZ59" i="30" s="1"/>
  <c r="HA59" i="30" s="1"/>
  <c r="HB59" i="30" s="1"/>
  <c r="HC59" i="30" s="1"/>
  <c r="HD59" i="30" s="1"/>
  <c r="HE59" i="30" s="1"/>
  <c r="HF59" i="30" s="1"/>
  <c r="HG59" i="30" s="1"/>
  <c r="HH59" i="30" s="1"/>
  <c r="HI59" i="30" s="1"/>
  <c r="HJ59" i="30" s="1"/>
  <c r="HK59" i="30" s="1"/>
  <c r="HL59" i="30" s="1"/>
  <c r="HM59" i="30" s="1"/>
  <c r="HN59" i="30" s="1"/>
  <c r="HO59" i="30" s="1"/>
  <c r="HP59" i="30" s="1"/>
  <c r="HQ59" i="30" s="1"/>
  <c r="HR59" i="30" s="1"/>
  <c r="HS59" i="30" s="1"/>
  <c r="HT59" i="30" s="1"/>
  <c r="HU59" i="30" s="1"/>
  <c r="HV59" i="30" s="1"/>
  <c r="HW59" i="30" s="1"/>
  <c r="HX59" i="30" s="1"/>
  <c r="HY59" i="30" s="1"/>
  <c r="HZ59" i="30" s="1"/>
  <c r="IA59" i="30" s="1"/>
  <c r="IB59" i="30" s="1"/>
  <c r="IC59" i="30" s="1"/>
  <c r="ID59" i="30" s="1"/>
  <c r="IE59" i="30" s="1"/>
  <c r="IF59" i="30" s="1"/>
  <c r="IG59" i="30" s="1"/>
  <c r="IH59" i="30" s="1"/>
  <c r="II59" i="30" s="1"/>
  <c r="IJ59" i="30" s="1"/>
  <c r="IK59" i="30" s="1"/>
  <c r="IL59" i="30" s="1"/>
  <c r="IM59" i="30" s="1"/>
  <c r="IN59" i="30" s="1"/>
  <c r="IO59" i="30" s="1"/>
  <c r="IP59" i="30" s="1"/>
  <c r="IQ59" i="30" s="1"/>
  <c r="IR59" i="30" s="1"/>
  <c r="IS59" i="30" s="1"/>
  <c r="IT59" i="30" s="1"/>
  <c r="IU59" i="30" s="1"/>
  <c r="IV59" i="30" s="1"/>
  <c r="IW59" i="30" s="1"/>
  <c r="IX59" i="30" s="1"/>
  <c r="IY59" i="30" s="1"/>
  <c r="IZ59" i="30" s="1"/>
  <c r="JA59" i="30" s="1"/>
  <c r="JB59" i="30" s="1"/>
  <c r="JC59" i="30" s="1"/>
  <c r="JD59" i="30" s="1"/>
  <c r="JE59" i="30" s="1"/>
  <c r="JF59" i="30" s="1"/>
  <c r="JG59" i="30" s="1"/>
  <c r="JH59" i="30" s="1"/>
  <c r="JI59" i="30" s="1"/>
  <c r="JJ59" i="30" s="1"/>
  <c r="JK59" i="30" s="1"/>
  <c r="JL59" i="30" s="1"/>
  <c r="JM59" i="30" s="1"/>
  <c r="JN59" i="30" s="1"/>
  <c r="JO59" i="30" s="1"/>
  <c r="JP59" i="30" s="1"/>
  <c r="JQ59" i="30" s="1"/>
  <c r="JR59" i="30" s="1"/>
  <c r="JS59" i="30" s="1"/>
  <c r="JT59" i="30" s="1"/>
  <c r="JU59" i="30" s="1"/>
  <c r="JV59" i="30" s="1"/>
  <c r="JW59" i="30" s="1"/>
  <c r="JX59" i="30" s="1"/>
  <c r="JY59" i="30" s="1"/>
  <c r="JZ59" i="30" s="1"/>
  <c r="KA59" i="30" s="1"/>
  <c r="KB59" i="30" s="1"/>
  <c r="KC59" i="30" s="1"/>
  <c r="KD59" i="30" s="1"/>
  <c r="KE59" i="30" s="1"/>
  <c r="KF59" i="30" s="1"/>
  <c r="KG59" i="30" s="1"/>
  <c r="KH59" i="30" s="1"/>
  <c r="KI59" i="30" s="1"/>
  <c r="KJ59" i="30" s="1"/>
  <c r="KK59" i="30" s="1"/>
  <c r="KL59" i="30" s="1"/>
  <c r="KM59" i="30" s="1"/>
  <c r="KN59" i="30" s="1"/>
  <c r="KO59" i="30" s="1"/>
  <c r="KP59" i="30" s="1"/>
  <c r="KQ59" i="30" s="1"/>
  <c r="KR59" i="30" s="1"/>
  <c r="KS59" i="30" s="1"/>
  <c r="KT59" i="30" s="1"/>
  <c r="KU59" i="30" s="1"/>
  <c r="KV59" i="30" s="1"/>
  <c r="KW59" i="30" s="1"/>
  <c r="KX59" i="30" s="1"/>
  <c r="KY59" i="30" s="1"/>
  <c r="KZ59" i="30" s="1"/>
  <c r="LA59" i="30" s="1"/>
  <c r="LB59" i="30" s="1"/>
  <c r="LC59" i="30" s="1"/>
  <c r="LD59" i="30" s="1"/>
  <c r="LE59" i="30" s="1"/>
  <c r="LF59" i="30" s="1"/>
  <c r="LG59" i="30" s="1"/>
  <c r="LH59" i="30" s="1"/>
  <c r="LI59" i="30" s="1"/>
  <c r="LJ59" i="30" s="1"/>
  <c r="W67" i="30"/>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BE67" i="30" s="1"/>
  <c r="BF67" i="30" s="1"/>
  <c r="BG67" i="30" s="1"/>
  <c r="BH67" i="30" s="1"/>
  <c r="BI67" i="30" s="1"/>
  <c r="BJ67" i="30" s="1"/>
  <c r="BK67" i="30" s="1"/>
  <c r="BL67" i="30" s="1"/>
  <c r="BM67" i="30" s="1"/>
  <c r="BN67" i="30" s="1"/>
  <c r="BO67" i="30" s="1"/>
  <c r="BP67" i="30" s="1"/>
  <c r="BQ67" i="30" s="1"/>
  <c r="BR67" i="30" s="1"/>
  <c r="BS67" i="30" s="1"/>
  <c r="BT67" i="30" s="1"/>
  <c r="BU67" i="30" s="1"/>
  <c r="BV67" i="30" s="1"/>
  <c r="BW67" i="30" s="1"/>
  <c r="BX67" i="30" s="1"/>
  <c r="BY67" i="30" s="1"/>
  <c r="BZ67" i="30" s="1"/>
  <c r="CA67" i="30" s="1"/>
  <c r="CB67" i="30" s="1"/>
  <c r="CC67" i="30" s="1"/>
  <c r="CD67" i="30" s="1"/>
  <c r="CE67" i="30" s="1"/>
  <c r="CF67" i="30" s="1"/>
  <c r="CG67" i="30" s="1"/>
  <c r="CH67" i="30" s="1"/>
  <c r="CI67" i="30" s="1"/>
  <c r="CJ67" i="30" s="1"/>
  <c r="CK67" i="30" s="1"/>
  <c r="CL67" i="30" s="1"/>
  <c r="CM67" i="30" s="1"/>
  <c r="CN67" i="30" s="1"/>
  <c r="CO67" i="30" s="1"/>
  <c r="CP67" i="30" s="1"/>
  <c r="CQ67" i="30" s="1"/>
  <c r="CR67" i="30" s="1"/>
  <c r="CS67" i="30" s="1"/>
  <c r="CT67" i="30" s="1"/>
  <c r="CU67" i="30" s="1"/>
  <c r="CV67" i="30" s="1"/>
  <c r="CW67" i="30" s="1"/>
  <c r="CX67" i="30" s="1"/>
  <c r="CY67" i="30" s="1"/>
  <c r="CZ67" i="30" s="1"/>
  <c r="DA67" i="30" s="1"/>
  <c r="DB67" i="30" s="1"/>
  <c r="DC67" i="30" s="1"/>
  <c r="DD67" i="30" s="1"/>
  <c r="DE67" i="30" s="1"/>
  <c r="DF67" i="30" s="1"/>
  <c r="DG67" i="30" s="1"/>
  <c r="DH67" i="30" s="1"/>
  <c r="DI67" i="30" s="1"/>
  <c r="DJ67" i="30" s="1"/>
  <c r="DK67" i="30" s="1"/>
  <c r="DL67" i="30" s="1"/>
  <c r="DM67" i="30" s="1"/>
  <c r="DN67" i="30" s="1"/>
  <c r="DO67" i="30" s="1"/>
  <c r="DP67" i="30" s="1"/>
  <c r="DQ67" i="30" s="1"/>
  <c r="DR67" i="30" s="1"/>
  <c r="DS67" i="30" s="1"/>
  <c r="DT67" i="30" s="1"/>
  <c r="DU67" i="30" s="1"/>
  <c r="DV67" i="30" s="1"/>
  <c r="DW67" i="30" s="1"/>
  <c r="DX67" i="30" s="1"/>
  <c r="DY67" i="30" s="1"/>
  <c r="DZ67" i="30" s="1"/>
  <c r="EA67" i="30" s="1"/>
  <c r="EB67" i="30" s="1"/>
  <c r="EC67" i="30" s="1"/>
  <c r="ED67" i="30" s="1"/>
  <c r="EE67" i="30" s="1"/>
  <c r="EF67" i="30" s="1"/>
  <c r="EG67" i="30" s="1"/>
  <c r="EH67" i="30" s="1"/>
  <c r="EI67" i="30" s="1"/>
  <c r="EJ67" i="30" s="1"/>
  <c r="EK67" i="30" s="1"/>
  <c r="EL67" i="30" s="1"/>
  <c r="EM67" i="30" s="1"/>
  <c r="EN67" i="30" s="1"/>
  <c r="EO67" i="30" s="1"/>
  <c r="EP67" i="30" s="1"/>
  <c r="EQ67" i="30" s="1"/>
  <c r="ER67" i="30" s="1"/>
  <c r="ES67" i="30" s="1"/>
  <c r="ET67" i="30" s="1"/>
  <c r="EU67" i="30" s="1"/>
  <c r="EV67" i="30" s="1"/>
  <c r="EW67" i="30" s="1"/>
  <c r="EX67" i="30" s="1"/>
  <c r="EY67" i="30" s="1"/>
  <c r="EZ67" i="30" s="1"/>
  <c r="FA67" i="30" s="1"/>
  <c r="FB67" i="30" s="1"/>
  <c r="FC67" i="30" s="1"/>
  <c r="FD67" i="30" s="1"/>
  <c r="FE67" i="30" s="1"/>
  <c r="FF67" i="30" s="1"/>
  <c r="FG67" i="30" s="1"/>
  <c r="FH67" i="30" s="1"/>
  <c r="FI67" i="30" s="1"/>
  <c r="FJ67" i="30" s="1"/>
  <c r="FK67" i="30" s="1"/>
  <c r="FL67" i="30" s="1"/>
  <c r="FM67" i="30" s="1"/>
  <c r="FN67" i="30" s="1"/>
  <c r="FO67" i="30" s="1"/>
  <c r="FP67" i="30" s="1"/>
  <c r="FQ67" i="30" s="1"/>
  <c r="FR67" i="30" s="1"/>
  <c r="FS67" i="30" s="1"/>
  <c r="FT67" i="30" s="1"/>
  <c r="FU67" i="30" s="1"/>
  <c r="FV67" i="30" s="1"/>
  <c r="FW67" i="30" s="1"/>
  <c r="FX67" i="30" s="1"/>
  <c r="FY67" i="30" s="1"/>
  <c r="FZ67" i="30" s="1"/>
  <c r="GA67" i="30" s="1"/>
  <c r="GB67" i="30" s="1"/>
  <c r="GC67" i="30" s="1"/>
  <c r="GD67" i="30" s="1"/>
  <c r="GE67" i="30" s="1"/>
  <c r="GF67" i="30" s="1"/>
  <c r="GG67" i="30" s="1"/>
  <c r="GH67" i="30" s="1"/>
  <c r="GI67" i="30" s="1"/>
  <c r="GJ67" i="30" s="1"/>
  <c r="GK67" i="30" s="1"/>
  <c r="GL67" i="30" s="1"/>
  <c r="GM67" i="30" s="1"/>
  <c r="GN67" i="30" s="1"/>
  <c r="GO67" i="30" s="1"/>
  <c r="GP67" i="30" s="1"/>
  <c r="GQ67" i="30" s="1"/>
  <c r="GR67" i="30" s="1"/>
  <c r="GS67" i="30" s="1"/>
  <c r="GT67" i="30" s="1"/>
  <c r="GU67" i="30" s="1"/>
  <c r="GV67" i="30" s="1"/>
  <c r="GW67" i="30" s="1"/>
  <c r="GX67" i="30" s="1"/>
  <c r="GY67" i="30" s="1"/>
  <c r="GZ67" i="30" s="1"/>
  <c r="HA67" i="30" s="1"/>
  <c r="HB67" i="30" s="1"/>
  <c r="HC67" i="30" s="1"/>
  <c r="HD67" i="30" s="1"/>
  <c r="HE67" i="30" s="1"/>
  <c r="HF67" i="30" s="1"/>
  <c r="HG67" i="30" s="1"/>
  <c r="HH67" i="30" s="1"/>
  <c r="HI67" i="30" s="1"/>
  <c r="HJ67" i="30" s="1"/>
  <c r="HK67" i="30" s="1"/>
  <c r="HL67" i="30" s="1"/>
  <c r="HM67" i="30" s="1"/>
  <c r="HN67" i="30" s="1"/>
  <c r="HO67" i="30" s="1"/>
  <c r="HP67" i="30" s="1"/>
  <c r="HQ67" i="30" s="1"/>
  <c r="HR67" i="30" s="1"/>
  <c r="HS67" i="30" s="1"/>
  <c r="HT67" i="30" s="1"/>
  <c r="HU67" i="30" s="1"/>
  <c r="HV67" i="30" s="1"/>
  <c r="HW67" i="30" s="1"/>
  <c r="HX67" i="30" s="1"/>
  <c r="HY67" i="30" s="1"/>
  <c r="HZ67" i="30" s="1"/>
  <c r="IA67" i="30" s="1"/>
  <c r="IB67" i="30" s="1"/>
  <c r="IC67" i="30" s="1"/>
  <c r="ID67" i="30" s="1"/>
  <c r="IE67" i="30" s="1"/>
  <c r="IF67" i="30" s="1"/>
  <c r="IG67" i="30" s="1"/>
  <c r="IH67" i="30" s="1"/>
  <c r="II67" i="30" s="1"/>
  <c r="IJ67" i="30" s="1"/>
  <c r="IK67" i="30" s="1"/>
  <c r="IL67" i="30" s="1"/>
  <c r="IM67" i="30" s="1"/>
  <c r="IN67" i="30" s="1"/>
  <c r="IO67" i="30" s="1"/>
  <c r="IP67" i="30" s="1"/>
  <c r="IQ67" i="30" s="1"/>
  <c r="IR67" i="30" s="1"/>
  <c r="IS67" i="30" s="1"/>
  <c r="IT67" i="30" s="1"/>
  <c r="IU67" i="30" s="1"/>
  <c r="IV67" i="30" s="1"/>
  <c r="IW67" i="30" s="1"/>
  <c r="IX67" i="30" s="1"/>
  <c r="IY67" i="30" s="1"/>
  <c r="IZ67" i="30" s="1"/>
  <c r="JA67" i="30" s="1"/>
  <c r="JB67" i="30" s="1"/>
  <c r="JC67" i="30" s="1"/>
  <c r="JD67" i="30" s="1"/>
  <c r="JE67" i="30" s="1"/>
  <c r="JF67" i="30" s="1"/>
  <c r="JG67" i="30" s="1"/>
  <c r="JH67" i="30" s="1"/>
  <c r="JI67" i="30" s="1"/>
  <c r="JJ67" i="30" s="1"/>
  <c r="JK67" i="30" s="1"/>
  <c r="JL67" i="30" s="1"/>
  <c r="JM67" i="30" s="1"/>
  <c r="JN67" i="30" s="1"/>
  <c r="JO67" i="30" s="1"/>
  <c r="JP67" i="30" s="1"/>
  <c r="JQ67" i="30" s="1"/>
  <c r="JR67" i="30" s="1"/>
  <c r="JS67" i="30" s="1"/>
  <c r="JT67" i="30" s="1"/>
  <c r="JU67" i="30" s="1"/>
  <c r="JV67" i="30" s="1"/>
  <c r="JW67" i="30" s="1"/>
  <c r="JX67" i="30" s="1"/>
  <c r="JY67" i="30" s="1"/>
  <c r="JZ67" i="30" s="1"/>
  <c r="KA67" i="30" s="1"/>
  <c r="KB67" i="30" s="1"/>
  <c r="KC67" i="30" s="1"/>
  <c r="KD67" i="30" s="1"/>
  <c r="KE67" i="30" s="1"/>
  <c r="KF67" i="30" s="1"/>
  <c r="KG67" i="30" s="1"/>
  <c r="KH67" i="30" s="1"/>
  <c r="KI67" i="30" s="1"/>
  <c r="KJ67" i="30" s="1"/>
  <c r="KK67" i="30" s="1"/>
  <c r="KL67" i="30" s="1"/>
  <c r="KM67" i="30" s="1"/>
  <c r="KN67" i="30" s="1"/>
  <c r="KO67" i="30" s="1"/>
  <c r="KP67" i="30" s="1"/>
  <c r="KQ67" i="30" s="1"/>
  <c r="KR67" i="30" s="1"/>
  <c r="KS67" i="30" s="1"/>
  <c r="KT67" i="30" s="1"/>
  <c r="KU67" i="30" s="1"/>
  <c r="KV67" i="30" s="1"/>
  <c r="KW67" i="30" s="1"/>
  <c r="KX67" i="30" s="1"/>
  <c r="KY67" i="30" s="1"/>
  <c r="KZ67" i="30" s="1"/>
  <c r="LA67" i="30" s="1"/>
  <c r="LB67" i="30" s="1"/>
  <c r="LC67" i="30" s="1"/>
  <c r="LD67" i="30" s="1"/>
  <c r="LE67" i="30" s="1"/>
  <c r="LF67" i="30" s="1"/>
  <c r="LG67" i="30" s="1"/>
  <c r="LH67" i="30" s="1"/>
  <c r="LI67" i="30" s="1"/>
  <c r="LJ67" i="30" s="1"/>
  <c r="W68" i="30"/>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BE68" i="30" s="1"/>
  <c r="BF68" i="30" s="1"/>
  <c r="BG68" i="30" s="1"/>
  <c r="BH68" i="30" s="1"/>
  <c r="BI68" i="30" s="1"/>
  <c r="BJ68" i="30" s="1"/>
  <c r="BK68" i="30" s="1"/>
  <c r="BL68" i="30" s="1"/>
  <c r="BM68" i="30" s="1"/>
  <c r="BN68" i="30" s="1"/>
  <c r="BO68" i="30" s="1"/>
  <c r="BP68" i="30" s="1"/>
  <c r="BQ68" i="30" s="1"/>
  <c r="BR68" i="30" s="1"/>
  <c r="BS68" i="30" s="1"/>
  <c r="BT68" i="30" s="1"/>
  <c r="BU68" i="30" s="1"/>
  <c r="BV68" i="30" s="1"/>
  <c r="BW68" i="30" s="1"/>
  <c r="BX68" i="30" s="1"/>
  <c r="BY68" i="30" s="1"/>
  <c r="BZ68" i="30" s="1"/>
  <c r="CA68" i="30" s="1"/>
  <c r="CB68" i="30" s="1"/>
  <c r="CC68" i="30" s="1"/>
  <c r="CD68" i="30" s="1"/>
  <c r="CE68" i="30" s="1"/>
  <c r="CF68" i="30" s="1"/>
  <c r="CG68" i="30" s="1"/>
  <c r="CH68" i="30" s="1"/>
  <c r="CI68" i="30" s="1"/>
  <c r="CJ68" i="30" s="1"/>
  <c r="CK68" i="30" s="1"/>
  <c r="CL68" i="30" s="1"/>
  <c r="CM68" i="30" s="1"/>
  <c r="CN68" i="30" s="1"/>
  <c r="CO68" i="30" s="1"/>
  <c r="CP68" i="30" s="1"/>
  <c r="CQ68" i="30" s="1"/>
  <c r="CR68" i="30" s="1"/>
  <c r="CS68" i="30" s="1"/>
  <c r="CT68" i="30" s="1"/>
  <c r="CU68" i="30" s="1"/>
  <c r="CV68" i="30" s="1"/>
  <c r="CW68" i="30" s="1"/>
  <c r="CX68" i="30" s="1"/>
  <c r="CY68" i="30" s="1"/>
  <c r="CZ68" i="30" s="1"/>
  <c r="DA68" i="30" s="1"/>
  <c r="DB68" i="30" s="1"/>
  <c r="DC68" i="30" s="1"/>
  <c r="DD68" i="30" s="1"/>
  <c r="DE68" i="30" s="1"/>
  <c r="DF68" i="30" s="1"/>
  <c r="DG68" i="30" s="1"/>
  <c r="DH68" i="30" s="1"/>
  <c r="DI68" i="30" s="1"/>
  <c r="DJ68" i="30" s="1"/>
  <c r="DK68" i="30" s="1"/>
  <c r="DL68" i="30" s="1"/>
  <c r="DM68" i="30" s="1"/>
  <c r="DN68" i="30" s="1"/>
  <c r="DO68" i="30" s="1"/>
  <c r="DP68" i="30" s="1"/>
  <c r="DQ68" i="30" s="1"/>
  <c r="DR68" i="30" s="1"/>
  <c r="DS68" i="30" s="1"/>
  <c r="DT68" i="30" s="1"/>
  <c r="DU68" i="30" s="1"/>
  <c r="DV68" i="30" s="1"/>
  <c r="DW68" i="30" s="1"/>
  <c r="DX68" i="30" s="1"/>
  <c r="DY68" i="30" s="1"/>
  <c r="DZ68" i="30" s="1"/>
  <c r="EA68" i="30" s="1"/>
  <c r="EB68" i="30" s="1"/>
  <c r="EC68" i="30" s="1"/>
  <c r="ED68" i="30" s="1"/>
  <c r="EE68" i="30" s="1"/>
  <c r="EF68" i="30" s="1"/>
  <c r="EG68" i="30" s="1"/>
  <c r="EH68" i="30" s="1"/>
  <c r="EI68" i="30" s="1"/>
  <c r="EJ68" i="30" s="1"/>
  <c r="EK68" i="30" s="1"/>
  <c r="EL68" i="30" s="1"/>
  <c r="EM68" i="30" s="1"/>
  <c r="EN68" i="30" s="1"/>
  <c r="EO68" i="30" s="1"/>
  <c r="EP68" i="30" s="1"/>
  <c r="EQ68" i="30" s="1"/>
  <c r="ER68" i="30" s="1"/>
  <c r="ES68" i="30" s="1"/>
  <c r="ET68" i="30" s="1"/>
  <c r="EU68" i="30" s="1"/>
  <c r="EV68" i="30" s="1"/>
  <c r="EW68" i="30" s="1"/>
  <c r="EX68" i="30" s="1"/>
  <c r="EY68" i="30" s="1"/>
  <c r="EZ68" i="30" s="1"/>
  <c r="FA68" i="30" s="1"/>
  <c r="FB68" i="30" s="1"/>
  <c r="FC68" i="30" s="1"/>
  <c r="FD68" i="30" s="1"/>
  <c r="FE68" i="30" s="1"/>
  <c r="FF68" i="30" s="1"/>
  <c r="FG68" i="30" s="1"/>
  <c r="FH68" i="30" s="1"/>
  <c r="FI68" i="30" s="1"/>
  <c r="FJ68" i="30" s="1"/>
  <c r="FK68" i="30" s="1"/>
  <c r="FL68" i="30" s="1"/>
  <c r="FM68" i="30" s="1"/>
  <c r="FN68" i="30" s="1"/>
  <c r="FO68" i="30" s="1"/>
  <c r="FP68" i="30" s="1"/>
  <c r="FQ68" i="30" s="1"/>
  <c r="FR68" i="30" s="1"/>
  <c r="FS68" i="30" s="1"/>
  <c r="FT68" i="30" s="1"/>
  <c r="FU68" i="30" s="1"/>
  <c r="FV68" i="30" s="1"/>
  <c r="FW68" i="30" s="1"/>
  <c r="FX68" i="30" s="1"/>
  <c r="FY68" i="30" s="1"/>
  <c r="FZ68" i="30" s="1"/>
  <c r="GA68" i="30" s="1"/>
  <c r="GB68" i="30" s="1"/>
  <c r="GC68" i="30" s="1"/>
  <c r="GD68" i="30" s="1"/>
  <c r="GE68" i="30" s="1"/>
  <c r="GF68" i="30" s="1"/>
  <c r="GG68" i="30" s="1"/>
  <c r="GH68" i="30" s="1"/>
  <c r="GI68" i="30" s="1"/>
  <c r="GJ68" i="30" s="1"/>
  <c r="GK68" i="30" s="1"/>
  <c r="GL68" i="30" s="1"/>
  <c r="GM68" i="30" s="1"/>
  <c r="GN68" i="30" s="1"/>
  <c r="GO68" i="30" s="1"/>
  <c r="GP68" i="30" s="1"/>
  <c r="GQ68" i="30" s="1"/>
  <c r="GR68" i="30" s="1"/>
  <c r="GS68" i="30" s="1"/>
  <c r="GT68" i="30" s="1"/>
  <c r="GU68" i="30" s="1"/>
  <c r="GV68" i="30" s="1"/>
  <c r="GW68" i="30" s="1"/>
  <c r="GX68" i="30" s="1"/>
  <c r="GY68" i="30" s="1"/>
  <c r="GZ68" i="30" s="1"/>
  <c r="HA68" i="30" s="1"/>
  <c r="HB68" i="30" s="1"/>
  <c r="HC68" i="30" s="1"/>
  <c r="HD68" i="30" s="1"/>
  <c r="HE68" i="30" s="1"/>
  <c r="HF68" i="30" s="1"/>
  <c r="HG68" i="30" s="1"/>
  <c r="HH68" i="30" s="1"/>
  <c r="HI68" i="30" s="1"/>
  <c r="HJ68" i="30" s="1"/>
  <c r="HK68" i="30" s="1"/>
  <c r="HL68" i="30" s="1"/>
  <c r="HM68" i="30" s="1"/>
  <c r="HN68" i="30" s="1"/>
  <c r="HO68" i="30" s="1"/>
  <c r="HP68" i="30" s="1"/>
  <c r="HQ68" i="30" s="1"/>
  <c r="HR68" i="30" s="1"/>
  <c r="HS68" i="30" s="1"/>
  <c r="HT68" i="30" s="1"/>
  <c r="HU68" i="30" s="1"/>
  <c r="HV68" i="30" s="1"/>
  <c r="HW68" i="30" s="1"/>
  <c r="HX68" i="30" s="1"/>
  <c r="HY68" i="30" s="1"/>
  <c r="HZ68" i="30" s="1"/>
  <c r="IA68" i="30" s="1"/>
  <c r="IB68" i="30" s="1"/>
  <c r="IC68" i="30" s="1"/>
  <c r="ID68" i="30" s="1"/>
  <c r="IE68" i="30" s="1"/>
  <c r="IF68" i="30" s="1"/>
  <c r="IG68" i="30" s="1"/>
  <c r="IH68" i="30" s="1"/>
  <c r="II68" i="30" s="1"/>
  <c r="IJ68" i="30" s="1"/>
  <c r="IK68" i="30" s="1"/>
  <c r="IL68" i="30" s="1"/>
  <c r="IM68" i="30" s="1"/>
  <c r="IN68" i="30" s="1"/>
  <c r="IO68" i="30" s="1"/>
  <c r="IP68" i="30" s="1"/>
  <c r="IQ68" i="30" s="1"/>
  <c r="IR68" i="30" s="1"/>
  <c r="IS68" i="30" s="1"/>
  <c r="IT68" i="30" s="1"/>
  <c r="IU68" i="30" s="1"/>
  <c r="IV68" i="30" s="1"/>
  <c r="IW68" i="30" s="1"/>
  <c r="IX68" i="30" s="1"/>
  <c r="IY68" i="30" s="1"/>
  <c r="IZ68" i="30" s="1"/>
  <c r="JA68" i="30" s="1"/>
  <c r="JB68" i="30" s="1"/>
  <c r="JC68" i="30" s="1"/>
  <c r="JD68" i="30" s="1"/>
  <c r="JE68" i="30" s="1"/>
  <c r="JF68" i="30" s="1"/>
  <c r="JG68" i="30" s="1"/>
  <c r="JH68" i="30" s="1"/>
  <c r="JI68" i="30" s="1"/>
  <c r="JJ68" i="30" s="1"/>
  <c r="JK68" i="30" s="1"/>
  <c r="JL68" i="30" s="1"/>
  <c r="JM68" i="30" s="1"/>
  <c r="JN68" i="30" s="1"/>
  <c r="JO68" i="30" s="1"/>
  <c r="JP68" i="30" s="1"/>
  <c r="JQ68" i="30" s="1"/>
  <c r="JR68" i="30" s="1"/>
  <c r="JS68" i="30" s="1"/>
  <c r="JT68" i="30" s="1"/>
  <c r="JU68" i="30" s="1"/>
  <c r="JV68" i="30" s="1"/>
  <c r="JW68" i="30" s="1"/>
  <c r="JX68" i="30" s="1"/>
  <c r="JY68" i="30" s="1"/>
  <c r="JZ68" i="30" s="1"/>
  <c r="KA68" i="30" s="1"/>
  <c r="KB68" i="30" s="1"/>
  <c r="KC68" i="30" s="1"/>
  <c r="KD68" i="30" s="1"/>
  <c r="KE68" i="30" s="1"/>
  <c r="KF68" i="30" s="1"/>
  <c r="KG68" i="30" s="1"/>
  <c r="KH68" i="30" s="1"/>
  <c r="KI68" i="30" s="1"/>
  <c r="KJ68" i="30" s="1"/>
  <c r="KK68" i="30" s="1"/>
  <c r="KL68" i="30" s="1"/>
  <c r="KM68" i="30" s="1"/>
  <c r="KN68" i="30" s="1"/>
  <c r="KO68" i="30" s="1"/>
  <c r="KP68" i="30" s="1"/>
  <c r="KQ68" i="30" s="1"/>
  <c r="KR68" i="30" s="1"/>
  <c r="KS68" i="30" s="1"/>
  <c r="KT68" i="30" s="1"/>
  <c r="KU68" i="30" s="1"/>
  <c r="KV68" i="30" s="1"/>
  <c r="KW68" i="30" s="1"/>
  <c r="KX68" i="30" s="1"/>
  <c r="KY68" i="30" s="1"/>
  <c r="KZ68" i="30" s="1"/>
  <c r="LA68" i="30" s="1"/>
  <c r="LB68" i="30" s="1"/>
  <c r="LC68" i="30" s="1"/>
  <c r="LD68" i="30" s="1"/>
  <c r="LE68" i="30" s="1"/>
  <c r="LF68" i="30" s="1"/>
  <c r="LG68" i="30" s="1"/>
  <c r="LH68" i="30" s="1"/>
  <c r="LI68" i="30" s="1"/>
  <c r="LJ68" i="30" s="1"/>
  <c r="W69" i="30"/>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BE69" i="30" s="1"/>
  <c r="BF69" i="30" s="1"/>
  <c r="BG69" i="30" s="1"/>
  <c r="BH69" i="30" s="1"/>
  <c r="BI69" i="30" s="1"/>
  <c r="BJ69" i="30" s="1"/>
  <c r="BK69" i="30" s="1"/>
  <c r="BL69" i="30" s="1"/>
  <c r="BM69" i="30" s="1"/>
  <c r="BN69" i="30" s="1"/>
  <c r="BO69" i="30" s="1"/>
  <c r="BP69" i="30" s="1"/>
  <c r="BQ69" i="30" s="1"/>
  <c r="BR69" i="30" s="1"/>
  <c r="BS69" i="30" s="1"/>
  <c r="BT69" i="30" s="1"/>
  <c r="BU69" i="30" s="1"/>
  <c r="BV69" i="30" s="1"/>
  <c r="BW69" i="30" s="1"/>
  <c r="BX69" i="30" s="1"/>
  <c r="BY69" i="30" s="1"/>
  <c r="BZ69" i="30" s="1"/>
  <c r="CA69" i="30" s="1"/>
  <c r="CB69" i="30" s="1"/>
  <c r="CC69" i="30" s="1"/>
  <c r="CD69" i="30" s="1"/>
  <c r="CE69" i="30" s="1"/>
  <c r="CF69" i="30" s="1"/>
  <c r="CG69" i="30" s="1"/>
  <c r="CH69" i="30" s="1"/>
  <c r="CI69" i="30" s="1"/>
  <c r="CJ69" i="30" s="1"/>
  <c r="CK69" i="30" s="1"/>
  <c r="CL69" i="30" s="1"/>
  <c r="CM69" i="30" s="1"/>
  <c r="CN69" i="30" s="1"/>
  <c r="CO69" i="30" s="1"/>
  <c r="CP69" i="30" s="1"/>
  <c r="CQ69" i="30" s="1"/>
  <c r="CR69" i="30" s="1"/>
  <c r="CS69" i="30" s="1"/>
  <c r="CT69" i="30" s="1"/>
  <c r="CU69" i="30" s="1"/>
  <c r="CV69" i="30" s="1"/>
  <c r="CW69" i="30" s="1"/>
  <c r="CX69" i="30" s="1"/>
  <c r="CY69" i="30" s="1"/>
  <c r="CZ69" i="30" s="1"/>
  <c r="DA69" i="30" s="1"/>
  <c r="DB69" i="30" s="1"/>
  <c r="DC69" i="30" s="1"/>
  <c r="DD69" i="30" s="1"/>
  <c r="DE69" i="30" s="1"/>
  <c r="DF69" i="30" s="1"/>
  <c r="DG69" i="30" s="1"/>
  <c r="DH69" i="30" s="1"/>
  <c r="DI69" i="30" s="1"/>
  <c r="DJ69" i="30" s="1"/>
  <c r="DK69" i="30" s="1"/>
  <c r="DL69" i="30" s="1"/>
  <c r="DM69" i="30" s="1"/>
  <c r="DN69" i="30" s="1"/>
  <c r="DO69" i="30" s="1"/>
  <c r="DP69" i="30" s="1"/>
  <c r="DQ69" i="30" s="1"/>
  <c r="DR69" i="30" s="1"/>
  <c r="DS69" i="30" s="1"/>
  <c r="DT69" i="30" s="1"/>
  <c r="DU69" i="30" s="1"/>
  <c r="DV69" i="30" s="1"/>
  <c r="DW69" i="30" s="1"/>
  <c r="DX69" i="30" s="1"/>
  <c r="DY69" i="30" s="1"/>
  <c r="DZ69" i="30" s="1"/>
  <c r="EA69" i="30" s="1"/>
  <c r="EB69" i="30" s="1"/>
  <c r="EC69" i="30" s="1"/>
  <c r="ED69" i="30" s="1"/>
  <c r="EE69" i="30" s="1"/>
  <c r="EF69" i="30" s="1"/>
  <c r="EG69" i="30" s="1"/>
  <c r="EH69" i="30" s="1"/>
  <c r="EI69" i="30" s="1"/>
  <c r="EJ69" i="30" s="1"/>
  <c r="EK69" i="30" s="1"/>
  <c r="EL69" i="30" s="1"/>
  <c r="EM69" i="30" s="1"/>
  <c r="EN69" i="30" s="1"/>
  <c r="EO69" i="30" s="1"/>
  <c r="EP69" i="30" s="1"/>
  <c r="EQ69" i="30" s="1"/>
  <c r="ER69" i="30" s="1"/>
  <c r="ES69" i="30" s="1"/>
  <c r="ET69" i="30" s="1"/>
  <c r="EU69" i="30" s="1"/>
  <c r="EV69" i="30" s="1"/>
  <c r="EW69" i="30" s="1"/>
  <c r="EX69" i="30" s="1"/>
  <c r="EY69" i="30" s="1"/>
  <c r="EZ69" i="30" s="1"/>
  <c r="FA69" i="30" s="1"/>
  <c r="FB69" i="30" s="1"/>
  <c r="FC69" i="30" s="1"/>
  <c r="FD69" i="30" s="1"/>
  <c r="FE69" i="30" s="1"/>
  <c r="FF69" i="30" s="1"/>
  <c r="FG69" i="30" s="1"/>
  <c r="FH69" i="30" s="1"/>
  <c r="FI69" i="30" s="1"/>
  <c r="FJ69" i="30" s="1"/>
  <c r="FK69" i="30" s="1"/>
  <c r="FL69" i="30" s="1"/>
  <c r="FM69" i="30" s="1"/>
  <c r="FN69" i="30" s="1"/>
  <c r="FO69" i="30" s="1"/>
  <c r="FP69" i="30" s="1"/>
  <c r="FQ69" i="30" s="1"/>
  <c r="FR69" i="30" s="1"/>
  <c r="FS69" i="30" s="1"/>
  <c r="FT69" i="30" s="1"/>
  <c r="FU69" i="30" s="1"/>
  <c r="FV69" i="30" s="1"/>
  <c r="FW69" i="30" s="1"/>
  <c r="FX69" i="30" s="1"/>
  <c r="FY69" i="30" s="1"/>
  <c r="FZ69" i="30" s="1"/>
  <c r="GA69" i="30" s="1"/>
  <c r="GB69" i="30" s="1"/>
  <c r="GC69" i="30" s="1"/>
  <c r="GD69" i="30" s="1"/>
  <c r="GE69" i="30" s="1"/>
  <c r="GF69" i="30" s="1"/>
  <c r="GG69" i="30" s="1"/>
  <c r="GH69" i="30" s="1"/>
  <c r="GI69" i="30" s="1"/>
  <c r="GJ69" i="30" s="1"/>
  <c r="GK69" i="30" s="1"/>
  <c r="GL69" i="30" s="1"/>
  <c r="GM69" i="30" s="1"/>
  <c r="GN69" i="30" s="1"/>
  <c r="GO69" i="30" s="1"/>
  <c r="GP69" i="30" s="1"/>
  <c r="GQ69" i="30" s="1"/>
  <c r="GR69" i="30" s="1"/>
  <c r="GS69" i="30" s="1"/>
  <c r="GT69" i="30" s="1"/>
  <c r="GU69" i="30" s="1"/>
  <c r="GV69" i="30" s="1"/>
  <c r="GW69" i="30" s="1"/>
  <c r="GX69" i="30" s="1"/>
  <c r="GY69" i="30" s="1"/>
  <c r="GZ69" i="30" s="1"/>
  <c r="HA69" i="30" s="1"/>
  <c r="HB69" i="30" s="1"/>
  <c r="HC69" i="30" s="1"/>
  <c r="HD69" i="30" s="1"/>
  <c r="HE69" i="30" s="1"/>
  <c r="HF69" i="30" s="1"/>
  <c r="HG69" i="30" s="1"/>
  <c r="HH69" i="30" s="1"/>
  <c r="HI69" i="30" s="1"/>
  <c r="HJ69" i="30" s="1"/>
  <c r="HK69" i="30" s="1"/>
  <c r="HL69" i="30" s="1"/>
  <c r="HM69" i="30" s="1"/>
  <c r="HN69" i="30" s="1"/>
  <c r="HO69" i="30" s="1"/>
  <c r="HP69" i="30" s="1"/>
  <c r="HQ69" i="30" s="1"/>
  <c r="HR69" i="30" s="1"/>
  <c r="HS69" i="30" s="1"/>
  <c r="HT69" i="30" s="1"/>
  <c r="HU69" i="30" s="1"/>
  <c r="HV69" i="30" s="1"/>
  <c r="HW69" i="30" s="1"/>
  <c r="HX69" i="30" s="1"/>
  <c r="HY69" i="30" s="1"/>
  <c r="HZ69" i="30" s="1"/>
  <c r="IA69" i="30" s="1"/>
  <c r="IB69" i="30" s="1"/>
  <c r="IC69" i="30" s="1"/>
  <c r="ID69" i="30" s="1"/>
  <c r="IE69" i="30" s="1"/>
  <c r="IF69" i="30" s="1"/>
  <c r="IG69" i="30" s="1"/>
  <c r="IH69" i="30" s="1"/>
  <c r="II69" i="30" s="1"/>
  <c r="IJ69" i="30" s="1"/>
  <c r="IK69" i="30" s="1"/>
  <c r="IL69" i="30" s="1"/>
  <c r="IM69" i="30" s="1"/>
  <c r="IN69" i="30" s="1"/>
  <c r="IO69" i="30" s="1"/>
  <c r="IP69" i="30" s="1"/>
  <c r="IQ69" i="30" s="1"/>
  <c r="IR69" i="30" s="1"/>
  <c r="IS69" i="30" s="1"/>
  <c r="IT69" i="30" s="1"/>
  <c r="IU69" i="30" s="1"/>
  <c r="IV69" i="30" s="1"/>
  <c r="IW69" i="30" s="1"/>
  <c r="IX69" i="30" s="1"/>
  <c r="IY69" i="30" s="1"/>
  <c r="IZ69" i="30" s="1"/>
  <c r="JA69" i="30" s="1"/>
  <c r="JB69" i="30" s="1"/>
  <c r="JC69" i="30" s="1"/>
  <c r="JD69" i="30" s="1"/>
  <c r="JE69" i="30" s="1"/>
  <c r="JF69" i="30" s="1"/>
  <c r="JG69" i="30" s="1"/>
  <c r="JH69" i="30" s="1"/>
  <c r="JI69" i="30" s="1"/>
  <c r="JJ69" i="30" s="1"/>
  <c r="JK69" i="30" s="1"/>
  <c r="JL69" i="30" s="1"/>
  <c r="JM69" i="30" s="1"/>
  <c r="JN69" i="30" s="1"/>
  <c r="JO69" i="30" s="1"/>
  <c r="JP69" i="30" s="1"/>
  <c r="JQ69" i="30" s="1"/>
  <c r="JR69" i="30" s="1"/>
  <c r="JS69" i="30" s="1"/>
  <c r="JT69" i="30" s="1"/>
  <c r="JU69" i="30" s="1"/>
  <c r="JV69" i="30" s="1"/>
  <c r="JW69" i="30" s="1"/>
  <c r="JX69" i="30" s="1"/>
  <c r="JY69" i="30" s="1"/>
  <c r="JZ69" i="30" s="1"/>
  <c r="KA69" i="30" s="1"/>
  <c r="KB69" i="30" s="1"/>
  <c r="KC69" i="30" s="1"/>
  <c r="KD69" i="30" s="1"/>
  <c r="KE69" i="30" s="1"/>
  <c r="KF69" i="30" s="1"/>
  <c r="KG69" i="30" s="1"/>
  <c r="KH69" i="30" s="1"/>
  <c r="KI69" i="30" s="1"/>
  <c r="KJ69" i="30" s="1"/>
  <c r="KK69" i="30" s="1"/>
  <c r="KL69" i="30" s="1"/>
  <c r="KM69" i="30" s="1"/>
  <c r="KN69" i="30" s="1"/>
  <c r="KO69" i="30" s="1"/>
  <c r="KP69" i="30" s="1"/>
  <c r="KQ69" i="30" s="1"/>
  <c r="KR69" i="30" s="1"/>
  <c r="KS69" i="30" s="1"/>
  <c r="KT69" i="30" s="1"/>
  <c r="KU69" i="30" s="1"/>
  <c r="KV69" i="30" s="1"/>
  <c r="KW69" i="30" s="1"/>
  <c r="KX69" i="30" s="1"/>
  <c r="KY69" i="30" s="1"/>
  <c r="KZ69" i="30" s="1"/>
  <c r="LA69" i="30" s="1"/>
  <c r="LB69" i="30" s="1"/>
  <c r="LC69" i="30" s="1"/>
  <c r="LD69" i="30" s="1"/>
  <c r="LE69" i="30" s="1"/>
  <c r="LF69" i="30" s="1"/>
  <c r="LG69" i="30" s="1"/>
  <c r="LH69" i="30" s="1"/>
  <c r="LI69" i="30" s="1"/>
  <c r="LJ69" i="30" s="1"/>
  <c r="W70" i="30"/>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BE70" i="30" s="1"/>
  <c r="BF70" i="30" s="1"/>
  <c r="BG70" i="30" s="1"/>
  <c r="BH70" i="30" s="1"/>
  <c r="BI70" i="30" s="1"/>
  <c r="BJ70" i="30" s="1"/>
  <c r="BK70" i="30" s="1"/>
  <c r="BL70" i="30" s="1"/>
  <c r="BM70" i="30" s="1"/>
  <c r="BN70" i="30" s="1"/>
  <c r="BO70" i="30" s="1"/>
  <c r="BP70" i="30" s="1"/>
  <c r="BQ70" i="30" s="1"/>
  <c r="BR70" i="30" s="1"/>
  <c r="BS70" i="30" s="1"/>
  <c r="BT70" i="30" s="1"/>
  <c r="BU70" i="30" s="1"/>
  <c r="BV70" i="30" s="1"/>
  <c r="BW70" i="30" s="1"/>
  <c r="BX70" i="30" s="1"/>
  <c r="BY70" i="30" s="1"/>
  <c r="BZ70" i="30" s="1"/>
  <c r="CA70" i="30" s="1"/>
  <c r="CB70" i="30" s="1"/>
  <c r="CC70" i="30" s="1"/>
  <c r="CD70" i="30" s="1"/>
  <c r="CE70" i="30" s="1"/>
  <c r="CF70" i="30" s="1"/>
  <c r="CG70" i="30" s="1"/>
  <c r="CH70" i="30" s="1"/>
  <c r="CI70" i="30" s="1"/>
  <c r="CJ70" i="30" s="1"/>
  <c r="CK70" i="30" s="1"/>
  <c r="CL70" i="30" s="1"/>
  <c r="CM70" i="30" s="1"/>
  <c r="CN70" i="30" s="1"/>
  <c r="CO70" i="30" s="1"/>
  <c r="CP70" i="30" s="1"/>
  <c r="CQ70" i="30" s="1"/>
  <c r="CR70" i="30" s="1"/>
  <c r="CS70" i="30" s="1"/>
  <c r="CT70" i="30" s="1"/>
  <c r="CU70" i="30" s="1"/>
  <c r="CV70" i="30" s="1"/>
  <c r="CW70" i="30" s="1"/>
  <c r="CX70" i="30" s="1"/>
  <c r="CY70" i="30" s="1"/>
  <c r="CZ70" i="30" s="1"/>
  <c r="DA70" i="30" s="1"/>
  <c r="DB70" i="30" s="1"/>
  <c r="DC70" i="30" s="1"/>
  <c r="DD70" i="30" s="1"/>
  <c r="DE70" i="30" s="1"/>
  <c r="DF70" i="30" s="1"/>
  <c r="DG70" i="30" s="1"/>
  <c r="DH70" i="30" s="1"/>
  <c r="DI70" i="30" s="1"/>
  <c r="DJ70" i="30" s="1"/>
  <c r="DK70" i="30" s="1"/>
  <c r="DL70" i="30" s="1"/>
  <c r="DM70" i="30" s="1"/>
  <c r="DN70" i="30" s="1"/>
  <c r="DO70" i="30" s="1"/>
  <c r="DP70" i="30" s="1"/>
  <c r="DQ70" i="30" s="1"/>
  <c r="DR70" i="30" s="1"/>
  <c r="DS70" i="30" s="1"/>
  <c r="DT70" i="30" s="1"/>
  <c r="DU70" i="30" s="1"/>
  <c r="DV70" i="30" s="1"/>
  <c r="DW70" i="30" s="1"/>
  <c r="DX70" i="30" s="1"/>
  <c r="DY70" i="30" s="1"/>
  <c r="DZ70" i="30" s="1"/>
  <c r="EA70" i="30" s="1"/>
  <c r="EB70" i="30" s="1"/>
  <c r="EC70" i="30" s="1"/>
  <c r="ED70" i="30" s="1"/>
  <c r="EE70" i="30" s="1"/>
  <c r="EF70" i="30" s="1"/>
  <c r="EG70" i="30" s="1"/>
  <c r="EH70" i="30" s="1"/>
  <c r="EI70" i="30" s="1"/>
  <c r="EJ70" i="30" s="1"/>
  <c r="EK70" i="30" s="1"/>
  <c r="EL70" i="30" s="1"/>
  <c r="EM70" i="30" s="1"/>
  <c r="EN70" i="30" s="1"/>
  <c r="EO70" i="30" s="1"/>
  <c r="EP70" i="30" s="1"/>
  <c r="EQ70" i="30" s="1"/>
  <c r="ER70" i="30" s="1"/>
  <c r="ES70" i="30" s="1"/>
  <c r="ET70" i="30" s="1"/>
  <c r="EU70" i="30" s="1"/>
  <c r="EV70" i="30" s="1"/>
  <c r="EW70" i="30" s="1"/>
  <c r="EX70" i="30" s="1"/>
  <c r="EY70" i="30" s="1"/>
  <c r="EZ70" i="30" s="1"/>
  <c r="FA70" i="30" s="1"/>
  <c r="FB70" i="30" s="1"/>
  <c r="FC70" i="30" s="1"/>
  <c r="FD70" i="30" s="1"/>
  <c r="FE70" i="30" s="1"/>
  <c r="FF70" i="30" s="1"/>
  <c r="FG70" i="30" s="1"/>
  <c r="FH70" i="30" s="1"/>
  <c r="FI70" i="30" s="1"/>
  <c r="FJ70" i="30" s="1"/>
  <c r="FK70" i="30" s="1"/>
  <c r="FL70" i="30" s="1"/>
  <c r="FM70" i="30" s="1"/>
  <c r="FN70" i="30" s="1"/>
  <c r="FO70" i="30" s="1"/>
  <c r="FP70" i="30" s="1"/>
  <c r="FQ70" i="30" s="1"/>
  <c r="FR70" i="30" s="1"/>
  <c r="FS70" i="30" s="1"/>
  <c r="FT70" i="30" s="1"/>
  <c r="FU70" i="30" s="1"/>
  <c r="FV70" i="30" s="1"/>
  <c r="FW70" i="30" s="1"/>
  <c r="FX70" i="30" s="1"/>
  <c r="FY70" i="30" s="1"/>
  <c r="FZ70" i="30" s="1"/>
  <c r="GA70" i="30" s="1"/>
  <c r="GB70" i="30" s="1"/>
  <c r="GC70" i="30" s="1"/>
  <c r="GD70" i="30" s="1"/>
  <c r="GE70" i="30" s="1"/>
  <c r="GF70" i="30" s="1"/>
  <c r="GG70" i="30" s="1"/>
  <c r="GH70" i="30" s="1"/>
  <c r="GI70" i="30" s="1"/>
  <c r="GJ70" i="30" s="1"/>
  <c r="GK70" i="30" s="1"/>
  <c r="GL70" i="30" s="1"/>
  <c r="GM70" i="30" s="1"/>
  <c r="GN70" i="30" s="1"/>
  <c r="GO70" i="30" s="1"/>
  <c r="GP70" i="30" s="1"/>
  <c r="GQ70" i="30" s="1"/>
  <c r="GR70" i="30" s="1"/>
  <c r="GS70" i="30" s="1"/>
  <c r="GT70" i="30" s="1"/>
  <c r="GU70" i="30" s="1"/>
  <c r="GV70" i="30" s="1"/>
  <c r="GW70" i="30" s="1"/>
  <c r="GX70" i="30" s="1"/>
  <c r="GY70" i="30" s="1"/>
  <c r="GZ70" i="30" s="1"/>
  <c r="HA70" i="30" s="1"/>
  <c r="HB70" i="30" s="1"/>
  <c r="HC70" i="30" s="1"/>
  <c r="HD70" i="30" s="1"/>
  <c r="HE70" i="30" s="1"/>
  <c r="HF70" i="30" s="1"/>
  <c r="HG70" i="30" s="1"/>
  <c r="HH70" i="30" s="1"/>
  <c r="HI70" i="30" s="1"/>
  <c r="HJ70" i="30" s="1"/>
  <c r="HK70" i="30" s="1"/>
  <c r="HL70" i="30" s="1"/>
  <c r="HM70" i="30" s="1"/>
  <c r="HN70" i="30" s="1"/>
  <c r="HO70" i="30" s="1"/>
  <c r="HP70" i="30" s="1"/>
  <c r="HQ70" i="30" s="1"/>
  <c r="HR70" i="30" s="1"/>
  <c r="HS70" i="30" s="1"/>
  <c r="HT70" i="30" s="1"/>
  <c r="HU70" i="30" s="1"/>
  <c r="HV70" i="30" s="1"/>
  <c r="HW70" i="30" s="1"/>
  <c r="HX70" i="30" s="1"/>
  <c r="HY70" i="30" s="1"/>
  <c r="HZ70" i="30" s="1"/>
  <c r="IA70" i="30" s="1"/>
  <c r="IB70" i="30" s="1"/>
  <c r="IC70" i="30" s="1"/>
  <c r="ID70" i="30" s="1"/>
  <c r="IE70" i="30" s="1"/>
  <c r="IF70" i="30" s="1"/>
  <c r="IG70" i="30" s="1"/>
  <c r="IH70" i="30" s="1"/>
  <c r="II70" i="30" s="1"/>
  <c r="IJ70" i="30" s="1"/>
  <c r="IK70" i="30" s="1"/>
  <c r="IL70" i="30" s="1"/>
  <c r="IM70" i="30" s="1"/>
  <c r="IN70" i="30" s="1"/>
  <c r="IO70" i="30" s="1"/>
  <c r="IP70" i="30" s="1"/>
  <c r="IQ70" i="30" s="1"/>
  <c r="IR70" i="30" s="1"/>
  <c r="IS70" i="30" s="1"/>
  <c r="IT70" i="30" s="1"/>
  <c r="IU70" i="30" s="1"/>
  <c r="IV70" i="30" s="1"/>
  <c r="IW70" i="30" s="1"/>
  <c r="IX70" i="30" s="1"/>
  <c r="IY70" i="30" s="1"/>
  <c r="IZ70" i="30" s="1"/>
  <c r="JA70" i="30" s="1"/>
  <c r="JB70" i="30" s="1"/>
  <c r="JC70" i="30" s="1"/>
  <c r="JD70" i="30" s="1"/>
  <c r="JE70" i="30" s="1"/>
  <c r="JF70" i="30" s="1"/>
  <c r="JG70" i="30" s="1"/>
  <c r="JH70" i="30" s="1"/>
  <c r="JI70" i="30" s="1"/>
  <c r="JJ70" i="30" s="1"/>
  <c r="JK70" i="30" s="1"/>
  <c r="JL70" i="30" s="1"/>
  <c r="JM70" i="30" s="1"/>
  <c r="JN70" i="30" s="1"/>
  <c r="JO70" i="30" s="1"/>
  <c r="JP70" i="30" s="1"/>
  <c r="JQ70" i="30" s="1"/>
  <c r="JR70" i="30" s="1"/>
  <c r="JS70" i="30" s="1"/>
  <c r="JT70" i="30" s="1"/>
  <c r="JU70" i="30" s="1"/>
  <c r="JV70" i="30" s="1"/>
  <c r="JW70" i="30" s="1"/>
  <c r="JX70" i="30" s="1"/>
  <c r="JY70" i="30" s="1"/>
  <c r="JZ70" i="30" s="1"/>
  <c r="KA70" i="30" s="1"/>
  <c r="KB70" i="30" s="1"/>
  <c r="KC70" i="30" s="1"/>
  <c r="KD70" i="30" s="1"/>
  <c r="KE70" i="30" s="1"/>
  <c r="KF70" i="30" s="1"/>
  <c r="KG70" i="30" s="1"/>
  <c r="KH70" i="30" s="1"/>
  <c r="KI70" i="30" s="1"/>
  <c r="KJ70" i="30" s="1"/>
  <c r="KK70" i="30" s="1"/>
  <c r="KL70" i="30" s="1"/>
  <c r="KM70" i="30" s="1"/>
  <c r="KN70" i="30" s="1"/>
  <c r="KO70" i="30" s="1"/>
  <c r="KP70" i="30" s="1"/>
  <c r="KQ70" i="30" s="1"/>
  <c r="KR70" i="30" s="1"/>
  <c r="KS70" i="30" s="1"/>
  <c r="KT70" i="30" s="1"/>
  <c r="KU70" i="30" s="1"/>
  <c r="KV70" i="30" s="1"/>
  <c r="KW70" i="30" s="1"/>
  <c r="KX70" i="30" s="1"/>
  <c r="KY70" i="30" s="1"/>
  <c r="KZ70" i="30" s="1"/>
  <c r="LA70" i="30" s="1"/>
  <c r="LB70" i="30" s="1"/>
  <c r="LC70" i="30" s="1"/>
  <c r="LD70" i="30" s="1"/>
  <c r="LE70" i="30" s="1"/>
  <c r="LF70" i="30" s="1"/>
  <c r="LG70" i="30" s="1"/>
  <c r="LH70" i="30" s="1"/>
  <c r="LI70" i="30" s="1"/>
  <c r="LJ70" i="30" s="1"/>
  <c r="W71" i="30"/>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BE71" i="30" s="1"/>
  <c r="BF71" i="30" s="1"/>
  <c r="BG71" i="30" s="1"/>
  <c r="BH71" i="30" s="1"/>
  <c r="BI71" i="30" s="1"/>
  <c r="BJ71" i="30" s="1"/>
  <c r="BK71" i="30" s="1"/>
  <c r="BL71" i="30" s="1"/>
  <c r="BM71" i="30" s="1"/>
  <c r="BN71" i="30" s="1"/>
  <c r="BO71" i="30" s="1"/>
  <c r="BP71" i="30" s="1"/>
  <c r="BQ71" i="30" s="1"/>
  <c r="BR71" i="30" s="1"/>
  <c r="BS71" i="30" s="1"/>
  <c r="BT71" i="30" s="1"/>
  <c r="BU71" i="30" s="1"/>
  <c r="BV71" i="30" s="1"/>
  <c r="BW71" i="30" s="1"/>
  <c r="BX71" i="30" s="1"/>
  <c r="BY71" i="30" s="1"/>
  <c r="BZ71" i="30" s="1"/>
  <c r="CA71" i="30" s="1"/>
  <c r="CB71" i="30" s="1"/>
  <c r="CC71" i="30" s="1"/>
  <c r="CD71" i="30" s="1"/>
  <c r="CE71" i="30" s="1"/>
  <c r="CF71" i="30" s="1"/>
  <c r="CG71" i="30" s="1"/>
  <c r="CH71" i="30" s="1"/>
  <c r="CI71" i="30" s="1"/>
  <c r="CJ71" i="30" s="1"/>
  <c r="CK71" i="30" s="1"/>
  <c r="CL71" i="30" s="1"/>
  <c r="CM71" i="30" s="1"/>
  <c r="CN71" i="30" s="1"/>
  <c r="CO71" i="30" s="1"/>
  <c r="CP71" i="30" s="1"/>
  <c r="CQ71" i="30" s="1"/>
  <c r="CR71" i="30" s="1"/>
  <c r="CS71" i="30" s="1"/>
  <c r="CT71" i="30" s="1"/>
  <c r="CU71" i="30" s="1"/>
  <c r="CV71" i="30" s="1"/>
  <c r="CW71" i="30" s="1"/>
  <c r="CX71" i="30" s="1"/>
  <c r="CY71" i="30" s="1"/>
  <c r="CZ71" i="30" s="1"/>
  <c r="DA71" i="30" s="1"/>
  <c r="DB71" i="30" s="1"/>
  <c r="DC71" i="30" s="1"/>
  <c r="DD71" i="30" s="1"/>
  <c r="DE71" i="30" s="1"/>
  <c r="DF71" i="30" s="1"/>
  <c r="DG71" i="30" s="1"/>
  <c r="DH71" i="30" s="1"/>
  <c r="DI71" i="30" s="1"/>
  <c r="DJ71" i="30" s="1"/>
  <c r="DK71" i="30" s="1"/>
  <c r="DL71" i="30" s="1"/>
  <c r="DM71" i="30" s="1"/>
  <c r="DN71" i="30" s="1"/>
  <c r="DO71" i="30" s="1"/>
  <c r="DP71" i="30" s="1"/>
  <c r="DQ71" i="30" s="1"/>
  <c r="DR71" i="30" s="1"/>
  <c r="DS71" i="30" s="1"/>
  <c r="DT71" i="30" s="1"/>
  <c r="DU71" i="30" s="1"/>
  <c r="DV71" i="30" s="1"/>
  <c r="DW71" i="30" s="1"/>
  <c r="DX71" i="30" s="1"/>
  <c r="DY71" i="30" s="1"/>
  <c r="DZ71" i="30" s="1"/>
  <c r="EA71" i="30" s="1"/>
  <c r="EB71" i="30" s="1"/>
  <c r="EC71" i="30" s="1"/>
  <c r="ED71" i="30" s="1"/>
  <c r="EE71" i="30" s="1"/>
  <c r="EF71" i="30" s="1"/>
  <c r="EG71" i="30" s="1"/>
  <c r="EH71" i="30" s="1"/>
  <c r="EI71" i="30" s="1"/>
  <c r="EJ71" i="30" s="1"/>
  <c r="EK71" i="30" s="1"/>
  <c r="EL71" i="30" s="1"/>
  <c r="EM71" i="30" s="1"/>
  <c r="EN71" i="30" s="1"/>
  <c r="EO71" i="30" s="1"/>
  <c r="EP71" i="30" s="1"/>
  <c r="EQ71" i="30" s="1"/>
  <c r="ER71" i="30" s="1"/>
  <c r="ES71" i="30" s="1"/>
  <c r="ET71" i="30" s="1"/>
  <c r="EU71" i="30" s="1"/>
  <c r="EV71" i="30" s="1"/>
  <c r="EW71" i="30" s="1"/>
  <c r="EX71" i="30" s="1"/>
  <c r="EY71" i="30" s="1"/>
  <c r="EZ71" i="30" s="1"/>
  <c r="FA71" i="30" s="1"/>
  <c r="FB71" i="30" s="1"/>
  <c r="FC71" i="30" s="1"/>
  <c r="FD71" i="30" s="1"/>
  <c r="FE71" i="30" s="1"/>
  <c r="FF71" i="30" s="1"/>
  <c r="FG71" i="30" s="1"/>
  <c r="FH71" i="30" s="1"/>
  <c r="FI71" i="30" s="1"/>
  <c r="FJ71" i="30" s="1"/>
  <c r="FK71" i="30" s="1"/>
  <c r="FL71" i="30" s="1"/>
  <c r="FM71" i="30" s="1"/>
  <c r="FN71" i="30" s="1"/>
  <c r="FO71" i="30" s="1"/>
  <c r="FP71" i="30" s="1"/>
  <c r="FQ71" i="30" s="1"/>
  <c r="FR71" i="30" s="1"/>
  <c r="FS71" i="30" s="1"/>
  <c r="FT71" i="30" s="1"/>
  <c r="FU71" i="30" s="1"/>
  <c r="FV71" i="30" s="1"/>
  <c r="FW71" i="30" s="1"/>
  <c r="FX71" i="30" s="1"/>
  <c r="FY71" i="30" s="1"/>
  <c r="FZ71" i="30" s="1"/>
  <c r="GA71" i="30" s="1"/>
  <c r="GB71" i="30" s="1"/>
  <c r="GC71" i="30" s="1"/>
  <c r="GD71" i="30" s="1"/>
  <c r="GE71" i="30" s="1"/>
  <c r="GF71" i="30" s="1"/>
  <c r="GG71" i="30" s="1"/>
  <c r="GH71" i="30" s="1"/>
  <c r="GI71" i="30" s="1"/>
  <c r="GJ71" i="30" s="1"/>
  <c r="GK71" i="30" s="1"/>
  <c r="GL71" i="30" s="1"/>
  <c r="GM71" i="30" s="1"/>
  <c r="GN71" i="30" s="1"/>
  <c r="GO71" i="30" s="1"/>
  <c r="GP71" i="30" s="1"/>
  <c r="GQ71" i="30" s="1"/>
  <c r="GR71" i="30" s="1"/>
  <c r="GS71" i="30" s="1"/>
  <c r="GT71" i="30" s="1"/>
  <c r="GU71" i="30" s="1"/>
  <c r="GV71" i="30" s="1"/>
  <c r="GW71" i="30" s="1"/>
  <c r="GX71" i="30" s="1"/>
  <c r="GY71" i="30" s="1"/>
  <c r="GZ71" i="30" s="1"/>
  <c r="HA71" i="30" s="1"/>
  <c r="HB71" i="30" s="1"/>
  <c r="HC71" i="30" s="1"/>
  <c r="HD71" i="30" s="1"/>
  <c r="HE71" i="30" s="1"/>
  <c r="HF71" i="30" s="1"/>
  <c r="HG71" i="30" s="1"/>
  <c r="HH71" i="30" s="1"/>
  <c r="HI71" i="30" s="1"/>
  <c r="HJ71" i="30" s="1"/>
  <c r="HK71" i="30" s="1"/>
  <c r="HL71" i="30" s="1"/>
  <c r="HM71" i="30" s="1"/>
  <c r="HN71" i="30" s="1"/>
  <c r="HO71" i="30" s="1"/>
  <c r="HP71" i="30" s="1"/>
  <c r="HQ71" i="30" s="1"/>
  <c r="HR71" i="30" s="1"/>
  <c r="HS71" i="30" s="1"/>
  <c r="HT71" i="30" s="1"/>
  <c r="HU71" i="30" s="1"/>
  <c r="HV71" i="30" s="1"/>
  <c r="HW71" i="30" s="1"/>
  <c r="HX71" i="30" s="1"/>
  <c r="HY71" i="30" s="1"/>
  <c r="HZ71" i="30" s="1"/>
  <c r="IA71" i="30" s="1"/>
  <c r="IB71" i="30" s="1"/>
  <c r="IC71" i="30" s="1"/>
  <c r="ID71" i="30" s="1"/>
  <c r="IE71" i="30" s="1"/>
  <c r="IF71" i="30" s="1"/>
  <c r="IG71" i="30" s="1"/>
  <c r="IH71" i="30" s="1"/>
  <c r="II71" i="30" s="1"/>
  <c r="IJ71" i="30" s="1"/>
  <c r="IK71" i="30" s="1"/>
  <c r="IL71" i="30" s="1"/>
  <c r="IM71" i="30" s="1"/>
  <c r="IN71" i="30" s="1"/>
  <c r="IO71" i="30" s="1"/>
  <c r="IP71" i="30" s="1"/>
  <c r="IQ71" i="30" s="1"/>
  <c r="IR71" i="30" s="1"/>
  <c r="IS71" i="30" s="1"/>
  <c r="IT71" i="30" s="1"/>
  <c r="IU71" i="30" s="1"/>
  <c r="IV71" i="30" s="1"/>
  <c r="IW71" i="30" s="1"/>
  <c r="IX71" i="30" s="1"/>
  <c r="IY71" i="30" s="1"/>
  <c r="IZ71" i="30" s="1"/>
  <c r="JA71" i="30" s="1"/>
  <c r="JB71" i="30" s="1"/>
  <c r="JC71" i="30" s="1"/>
  <c r="JD71" i="30" s="1"/>
  <c r="JE71" i="30" s="1"/>
  <c r="JF71" i="30" s="1"/>
  <c r="JG71" i="30" s="1"/>
  <c r="JH71" i="30" s="1"/>
  <c r="JI71" i="30" s="1"/>
  <c r="JJ71" i="30" s="1"/>
  <c r="JK71" i="30" s="1"/>
  <c r="JL71" i="30" s="1"/>
  <c r="JM71" i="30" s="1"/>
  <c r="JN71" i="30" s="1"/>
  <c r="JO71" i="30" s="1"/>
  <c r="JP71" i="30" s="1"/>
  <c r="JQ71" i="30" s="1"/>
  <c r="JR71" i="30" s="1"/>
  <c r="JS71" i="30" s="1"/>
  <c r="JT71" i="30" s="1"/>
  <c r="JU71" i="30" s="1"/>
  <c r="JV71" i="30" s="1"/>
  <c r="JW71" i="30" s="1"/>
  <c r="JX71" i="30" s="1"/>
  <c r="JY71" i="30" s="1"/>
  <c r="JZ71" i="30" s="1"/>
  <c r="KA71" i="30" s="1"/>
  <c r="KB71" i="30" s="1"/>
  <c r="KC71" i="30" s="1"/>
  <c r="KD71" i="30" s="1"/>
  <c r="KE71" i="30" s="1"/>
  <c r="KF71" i="30" s="1"/>
  <c r="KG71" i="30" s="1"/>
  <c r="KH71" i="30" s="1"/>
  <c r="KI71" i="30" s="1"/>
  <c r="KJ71" i="30" s="1"/>
  <c r="KK71" i="30" s="1"/>
  <c r="KL71" i="30" s="1"/>
  <c r="KM71" i="30" s="1"/>
  <c r="KN71" i="30" s="1"/>
  <c r="KO71" i="30" s="1"/>
  <c r="KP71" i="30" s="1"/>
  <c r="KQ71" i="30" s="1"/>
  <c r="KR71" i="30" s="1"/>
  <c r="KS71" i="30" s="1"/>
  <c r="KT71" i="30" s="1"/>
  <c r="KU71" i="30" s="1"/>
  <c r="KV71" i="30" s="1"/>
  <c r="KW71" i="30" s="1"/>
  <c r="KX71" i="30" s="1"/>
  <c r="KY71" i="30" s="1"/>
  <c r="KZ71" i="30" s="1"/>
  <c r="LA71" i="30" s="1"/>
  <c r="LB71" i="30" s="1"/>
  <c r="LC71" i="30" s="1"/>
  <c r="LD71" i="30" s="1"/>
  <c r="LE71" i="30" s="1"/>
  <c r="LF71" i="30" s="1"/>
  <c r="LG71" i="30" s="1"/>
  <c r="LH71" i="30" s="1"/>
  <c r="LI71" i="30" s="1"/>
  <c r="LJ71" i="30" s="1"/>
  <c r="W72" i="30"/>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BE72" i="30" s="1"/>
  <c r="BF72" i="30" s="1"/>
  <c r="BG72" i="30" s="1"/>
  <c r="BH72" i="30" s="1"/>
  <c r="BI72" i="30" s="1"/>
  <c r="BJ72" i="30" s="1"/>
  <c r="BK72" i="30" s="1"/>
  <c r="BL72" i="30" s="1"/>
  <c r="BM72" i="30" s="1"/>
  <c r="BN72" i="30" s="1"/>
  <c r="BO72" i="30" s="1"/>
  <c r="BP72" i="30" s="1"/>
  <c r="BQ72" i="30" s="1"/>
  <c r="BR72" i="30" s="1"/>
  <c r="BS72" i="30" s="1"/>
  <c r="BT72" i="30" s="1"/>
  <c r="BU72" i="30" s="1"/>
  <c r="BV72" i="30" s="1"/>
  <c r="BW72" i="30" s="1"/>
  <c r="BX72" i="30" s="1"/>
  <c r="BY72" i="30" s="1"/>
  <c r="BZ72" i="30" s="1"/>
  <c r="CA72" i="30" s="1"/>
  <c r="CB72" i="30" s="1"/>
  <c r="CC72" i="30" s="1"/>
  <c r="CD72" i="30" s="1"/>
  <c r="CE72" i="30" s="1"/>
  <c r="CF72" i="30" s="1"/>
  <c r="CG72" i="30" s="1"/>
  <c r="CH72" i="30" s="1"/>
  <c r="CI72" i="30" s="1"/>
  <c r="CJ72" i="30" s="1"/>
  <c r="CK72" i="30" s="1"/>
  <c r="CL72" i="30" s="1"/>
  <c r="CM72" i="30" s="1"/>
  <c r="CN72" i="30" s="1"/>
  <c r="CO72" i="30" s="1"/>
  <c r="CP72" i="30" s="1"/>
  <c r="CQ72" i="30" s="1"/>
  <c r="CR72" i="30" s="1"/>
  <c r="CS72" i="30" s="1"/>
  <c r="CT72" i="30" s="1"/>
  <c r="CU72" i="30" s="1"/>
  <c r="CV72" i="30" s="1"/>
  <c r="CW72" i="30" s="1"/>
  <c r="CX72" i="30" s="1"/>
  <c r="CY72" i="30" s="1"/>
  <c r="CZ72" i="30" s="1"/>
  <c r="DA72" i="30" s="1"/>
  <c r="DB72" i="30" s="1"/>
  <c r="DC72" i="30" s="1"/>
  <c r="DD72" i="30" s="1"/>
  <c r="DE72" i="30" s="1"/>
  <c r="DF72" i="30" s="1"/>
  <c r="DG72" i="30" s="1"/>
  <c r="DH72" i="30" s="1"/>
  <c r="DI72" i="30" s="1"/>
  <c r="DJ72" i="30" s="1"/>
  <c r="DK72" i="30" s="1"/>
  <c r="DL72" i="30" s="1"/>
  <c r="DM72" i="30" s="1"/>
  <c r="DN72" i="30" s="1"/>
  <c r="DO72" i="30" s="1"/>
  <c r="DP72" i="30" s="1"/>
  <c r="DQ72" i="30" s="1"/>
  <c r="DR72" i="30" s="1"/>
  <c r="DS72" i="30" s="1"/>
  <c r="DT72" i="30" s="1"/>
  <c r="DU72" i="30" s="1"/>
  <c r="DV72" i="30" s="1"/>
  <c r="DW72" i="30" s="1"/>
  <c r="DX72" i="30" s="1"/>
  <c r="DY72" i="30" s="1"/>
  <c r="DZ72" i="30" s="1"/>
  <c r="EA72" i="30" s="1"/>
  <c r="EB72" i="30" s="1"/>
  <c r="EC72" i="30" s="1"/>
  <c r="ED72" i="30" s="1"/>
  <c r="EE72" i="30" s="1"/>
  <c r="EF72" i="30" s="1"/>
  <c r="EG72" i="30" s="1"/>
  <c r="EH72" i="30" s="1"/>
  <c r="EI72" i="30" s="1"/>
  <c r="EJ72" i="30" s="1"/>
  <c r="EK72" i="30" s="1"/>
  <c r="EL72" i="30" s="1"/>
  <c r="EM72" i="30" s="1"/>
  <c r="EN72" i="30" s="1"/>
  <c r="EO72" i="30" s="1"/>
  <c r="EP72" i="30" s="1"/>
  <c r="EQ72" i="30" s="1"/>
  <c r="ER72" i="30" s="1"/>
  <c r="ES72" i="30" s="1"/>
  <c r="ET72" i="30" s="1"/>
  <c r="EU72" i="30" s="1"/>
  <c r="EV72" i="30" s="1"/>
  <c r="EW72" i="30" s="1"/>
  <c r="EX72" i="30" s="1"/>
  <c r="EY72" i="30" s="1"/>
  <c r="EZ72" i="30" s="1"/>
  <c r="FA72" i="30" s="1"/>
  <c r="FB72" i="30" s="1"/>
  <c r="FC72" i="30" s="1"/>
  <c r="FD72" i="30" s="1"/>
  <c r="FE72" i="30" s="1"/>
  <c r="FF72" i="30" s="1"/>
  <c r="FG72" i="30" s="1"/>
  <c r="FH72" i="30" s="1"/>
  <c r="FI72" i="30" s="1"/>
  <c r="FJ72" i="30" s="1"/>
  <c r="FK72" i="30" s="1"/>
  <c r="FL72" i="30" s="1"/>
  <c r="FM72" i="30" s="1"/>
  <c r="FN72" i="30" s="1"/>
  <c r="FO72" i="30" s="1"/>
  <c r="FP72" i="30" s="1"/>
  <c r="FQ72" i="30" s="1"/>
  <c r="FR72" i="30" s="1"/>
  <c r="FS72" i="30" s="1"/>
  <c r="FT72" i="30" s="1"/>
  <c r="FU72" i="30" s="1"/>
  <c r="FV72" i="30" s="1"/>
  <c r="FW72" i="30" s="1"/>
  <c r="FX72" i="30" s="1"/>
  <c r="FY72" i="30" s="1"/>
  <c r="FZ72" i="30" s="1"/>
  <c r="GA72" i="30" s="1"/>
  <c r="GB72" i="30" s="1"/>
  <c r="GC72" i="30" s="1"/>
  <c r="GD72" i="30" s="1"/>
  <c r="GE72" i="30" s="1"/>
  <c r="GF72" i="30" s="1"/>
  <c r="GG72" i="30" s="1"/>
  <c r="GH72" i="30" s="1"/>
  <c r="GI72" i="30" s="1"/>
  <c r="GJ72" i="30" s="1"/>
  <c r="GK72" i="30" s="1"/>
  <c r="GL72" i="30" s="1"/>
  <c r="GM72" i="30" s="1"/>
  <c r="GN72" i="30" s="1"/>
  <c r="GO72" i="30" s="1"/>
  <c r="GP72" i="30" s="1"/>
  <c r="GQ72" i="30" s="1"/>
  <c r="GR72" i="30" s="1"/>
  <c r="GS72" i="30" s="1"/>
  <c r="GT72" i="30" s="1"/>
  <c r="GU72" i="30" s="1"/>
  <c r="GV72" i="30" s="1"/>
  <c r="GW72" i="30" s="1"/>
  <c r="GX72" i="30" s="1"/>
  <c r="GY72" i="30" s="1"/>
  <c r="GZ72" i="30" s="1"/>
  <c r="HA72" i="30" s="1"/>
  <c r="HB72" i="30" s="1"/>
  <c r="HC72" i="30" s="1"/>
  <c r="HD72" i="30" s="1"/>
  <c r="HE72" i="30" s="1"/>
  <c r="HF72" i="30" s="1"/>
  <c r="HG72" i="30" s="1"/>
  <c r="HH72" i="30" s="1"/>
  <c r="HI72" i="30" s="1"/>
  <c r="HJ72" i="30" s="1"/>
  <c r="HK72" i="30" s="1"/>
  <c r="HL72" i="30" s="1"/>
  <c r="HM72" i="30" s="1"/>
  <c r="HN72" i="30" s="1"/>
  <c r="HO72" i="30" s="1"/>
  <c r="HP72" i="30" s="1"/>
  <c r="HQ72" i="30" s="1"/>
  <c r="HR72" i="30" s="1"/>
  <c r="HS72" i="30" s="1"/>
  <c r="HT72" i="30" s="1"/>
  <c r="HU72" i="30" s="1"/>
  <c r="HV72" i="30" s="1"/>
  <c r="HW72" i="30" s="1"/>
  <c r="HX72" i="30" s="1"/>
  <c r="HY72" i="30" s="1"/>
  <c r="HZ72" i="30" s="1"/>
  <c r="IA72" i="30" s="1"/>
  <c r="IB72" i="30" s="1"/>
  <c r="IC72" i="30" s="1"/>
  <c r="ID72" i="30" s="1"/>
  <c r="IE72" i="30" s="1"/>
  <c r="IF72" i="30" s="1"/>
  <c r="IG72" i="30" s="1"/>
  <c r="IH72" i="30" s="1"/>
  <c r="II72" i="30" s="1"/>
  <c r="IJ72" i="30" s="1"/>
  <c r="IK72" i="30" s="1"/>
  <c r="IL72" i="30" s="1"/>
  <c r="IM72" i="30" s="1"/>
  <c r="IN72" i="30" s="1"/>
  <c r="IO72" i="30" s="1"/>
  <c r="IP72" i="30" s="1"/>
  <c r="IQ72" i="30" s="1"/>
  <c r="IR72" i="30" s="1"/>
  <c r="IS72" i="30" s="1"/>
  <c r="IT72" i="30" s="1"/>
  <c r="IU72" i="30" s="1"/>
  <c r="IV72" i="30" s="1"/>
  <c r="IW72" i="30" s="1"/>
  <c r="IX72" i="30" s="1"/>
  <c r="IY72" i="30" s="1"/>
  <c r="IZ72" i="30" s="1"/>
  <c r="JA72" i="30" s="1"/>
  <c r="JB72" i="30" s="1"/>
  <c r="JC72" i="30" s="1"/>
  <c r="JD72" i="30" s="1"/>
  <c r="JE72" i="30" s="1"/>
  <c r="JF72" i="30" s="1"/>
  <c r="JG72" i="30" s="1"/>
  <c r="JH72" i="30" s="1"/>
  <c r="JI72" i="30" s="1"/>
  <c r="JJ72" i="30" s="1"/>
  <c r="JK72" i="30" s="1"/>
  <c r="JL72" i="30" s="1"/>
  <c r="JM72" i="30" s="1"/>
  <c r="JN72" i="30" s="1"/>
  <c r="JO72" i="30" s="1"/>
  <c r="JP72" i="30" s="1"/>
  <c r="JQ72" i="30" s="1"/>
  <c r="JR72" i="30" s="1"/>
  <c r="JS72" i="30" s="1"/>
  <c r="JT72" i="30" s="1"/>
  <c r="JU72" i="30" s="1"/>
  <c r="JV72" i="30" s="1"/>
  <c r="JW72" i="30" s="1"/>
  <c r="JX72" i="30" s="1"/>
  <c r="JY72" i="30" s="1"/>
  <c r="JZ72" i="30" s="1"/>
  <c r="KA72" i="30" s="1"/>
  <c r="KB72" i="30" s="1"/>
  <c r="KC72" i="30" s="1"/>
  <c r="KD72" i="30" s="1"/>
  <c r="KE72" i="30" s="1"/>
  <c r="KF72" i="30" s="1"/>
  <c r="KG72" i="30" s="1"/>
  <c r="KH72" i="30" s="1"/>
  <c r="KI72" i="30" s="1"/>
  <c r="KJ72" i="30" s="1"/>
  <c r="KK72" i="30" s="1"/>
  <c r="KL72" i="30" s="1"/>
  <c r="KM72" i="30" s="1"/>
  <c r="KN72" i="30" s="1"/>
  <c r="KO72" i="30" s="1"/>
  <c r="KP72" i="30" s="1"/>
  <c r="KQ72" i="30" s="1"/>
  <c r="KR72" i="30" s="1"/>
  <c r="KS72" i="30" s="1"/>
  <c r="KT72" i="30" s="1"/>
  <c r="KU72" i="30" s="1"/>
  <c r="KV72" i="30" s="1"/>
  <c r="KW72" i="30" s="1"/>
  <c r="KX72" i="30" s="1"/>
  <c r="KY72" i="30" s="1"/>
  <c r="KZ72" i="30" s="1"/>
  <c r="LA72" i="30" s="1"/>
  <c r="LB72" i="30" s="1"/>
  <c r="LC72" i="30" s="1"/>
  <c r="LD72" i="30" s="1"/>
  <c r="LE72" i="30" s="1"/>
  <c r="LF72" i="30" s="1"/>
  <c r="LG72" i="30" s="1"/>
  <c r="LH72" i="30" s="1"/>
  <c r="LI72" i="30" s="1"/>
  <c r="LJ72" i="30" s="1"/>
  <c r="W73" i="30"/>
  <c r="X73" i="30" s="1"/>
  <c r="Y73" i="30" s="1"/>
  <c r="Z73" i="30" s="1"/>
  <c r="AA73" i="30" s="1"/>
  <c r="AB73" i="30" s="1"/>
  <c r="AC73" i="30" s="1"/>
  <c r="AD73" i="30" s="1"/>
  <c r="AE73" i="30" s="1"/>
  <c r="AF73" i="30" s="1"/>
  <c r="AG73" i="30" s="1"/>
  <c r="AH73" i="30" s="1"/>
  <c r="AI73" i="30" s="1"/>
  <c r="AJ73" i="30" s="1"/>
  <c r="AK73" i="30" s="1"/>
  <c r="AL73" i="30" s="1"/>
  <c r="AM73" i="30" s="1"/>
  <c r="AN73" i="30" s="1"/>
  <c r="AO73" i="30" s="1"/>
  <c r="AP73" i="30" s="1"/>
  <c r="AQ73" i="30" s="1"/>
  <c r="AR73" i="30" s="1"/>
  <c r="AS73" i="30" s="1"/>
  <c r="AT73" i="30" s="1"/>
  <c r="AU73" i="30" s="1"/>
  <c r="AV73" i="30" s="1"/>
  <c r="AW73" i="30" s="1"/>
  <c r="AX73" i="30" s="1"/>
  <c r="AY73" i="30" s="1"/>
  <c r="AZ73" i="30" s="1"/>
  <c r="BA73" i="30" s="1"/>
  <c r="BB73" i="30" s="1"/>
  <c r="BC73" i="30" s="1"/>
  <c r="BD73" i="30" s="1"/>
  <c r="BE73" i="30" s="1"/>
  <c r="BF73" i="30" s="1"/>
  <c r="BG73" i="30" s="1"/>
  <c r="BH73" i="30" s="1"/>
  <c r="BI73" i="30" s="1"/>
  <c r="BJ73" i="30" s="1"/>
  <c r="BK73" i="30" s="1"/>
  <c r="BL73" i="30" s="1"/>
  <c r="BM73" i="30" s="1"/>
  <c r="BN73" i="30" s="1"/>
  <c r="BO73" i="30" s="1"/>
  <c r="BP73" i="30" s="1"/>
  <c r="BQ73" i="30" s="1"/>
  <c r="BR73" i="30" s="1"/>
  <c r="BS73" i="30" s="1"/>
  <c r="BT73" i="30" s="1"/>
  <c r="BU73" i="30" s="1"/>
  <c r="BV73" i="30" s="1"/>
  <c r="BW73" i="30" s="1"/>
  <c r="BX73" i="30" s="1"/>
  <c r="BY73" i="30" s="1"/>
  <c r="BZ73" i="30" s="1"/>
  <c r="CA73" i="30" s="1"/>
  <c r="CB73" i="30" s="1"/>
  <c r="CC73" i="30" s="1"/>
  <c r="CD73" i="30" s="1"/>
  <c r="CE73" i="30" s="1"/>
  <c r="CF73" i="30" s="1"/>
  <c r="CG73" i="30" s="1"/>
  <c r="CH73" i="30" s="1"/>
  <c r="CI73" i="30" s="1"/>
  <c r="CJ73" i="30" s="1"/>
  <c r="CK73" i="30" s="1"/>
  <c r="CL73" i="30" s="1"/>
  <c r="CM73" i="30" s="1"/>
  <c r="CN73" i="30" s="1"/>
  <c r="CO73" i="30" s="1"/>
  <c r="CP73" i="30" s="1"/>
  <c r="CQ73" i="30" s="1"/>
  <c r="CR73" i="30" s="1"/>
  <c r="CS73" i="30" s="1"/>
  <c r="CT73" i="30" s="1"/>
  <c r="CU73" i="30" s="1"/>
  <c r="CV73" i="30" s="1"/>
  <c r="CW73" i="30" s="1"/>
  <c r="CX73" i="30" s="1"/>
  <c r="CY73" i="30" s="1"/>
  <c r="CZ73" i="30" s="1"/>
  <c r="DA73" i="30" s="1"/>
  <c r="DB73" i="30" s="1"/>
  <c r="DC73" i="30" s="1"/>
  <c r="DD73" i="30" s="1"/>
  <c r="DE73" i="30" s="1"/>
  <c r="DF73" i="30" s="1"/>
  <c r="DG73" i="30" s="1"/>
  <c r="DH73" i="30" s="1"/>
  <c r="DI73" i="30" s="1"/>
  <c r="DJ73" i="30" s="1"/>
  <c r="DK73" i="30" s="1"/>
  <c r="DL73" i="30" s="1"/>
  <c r="DM73" i="30" s="1"/>
  <c r="DN73" i="30" s="1"/>
  <c r="DO73" i="30" s="1"/>
  <c r="DP73" i="30" s="1"/>
  <c r="DQ73" i="30" s="1"/>
  <c r="DR73" i="30" s="1"/>
  <c r="DS73" i="30" s="1"/>
  <c r="DT73" i="30" s="1"/>
  <c r="DU73" i="30" s="1"/>
  <c r="DV73" i="30" s="1"/>
  <c r="DW73" i="30" s="1"/>
  <c r="DX73" i="30" s="1"/>
  <c r="DY73" i="30" s="1"/>
  <c r="DZ73" i="30" s="1"/>
  <c r="EA73" i="30" s="1"/>
  <c r="EB73" i="30" s="1"/>
  <c r="EC73" i="30" s="1"/>
  <c r="ED73" i="30" s="1"/>
  <c r="EE73" i="30" s="1"/>
  <c r="EF73" i="30" s="1"/>
  <c r="EG73" i="30" s="1"/>
  <c r="EH73" i="30" s="1"/>
  <c r="EI73" i="30" s="1"/>
  <c r="EJ73" i="30" s="1"/>
  <c r="EK73" i="30" s="1"/>
  <c r="EL73" i="30" s="1"/>
  <c r="EM73" i="30" s="1"/>
  <c r="EN73" i="30" s="1"/>
  <c r="EO73" i="30" s="1"/>
  <c r="EP73" i="30" s="1"/>
  <c r="EQ73" i="30" s="1"/>
  <c r="ER73" i="30" s="1"/>
  <c r="ES73" i="30" s="1"/>
  <c r="ET73" i="30" s="1"/>
  <c r="EU73" i="30" s="1"/>
  <c r="EV73" i="30" s="1"/>
  <c r="EW73" i="30" s="1"/>
  <c r="EX73" i="30" s="1"/>
  <c r="EY73" i="30" s="1"/>
  <c r="EZ73" i="30" s="1"/>
  <c r="FA73" i="30" s="1"/>
  <c r="FB73" i="30" s="1"/>
  <c r="FC73" i="30" s="1"/>
  <c r="FD73" i="30" s="1"/>
  <c r="FE73" i="30" s="1"/>
  <c r="FF73" i="30" s="1"/>
  <c r="FG73" i="30" s="1"/>
  <c r="FH73" i="30" s="1"/>
  <c r="FI73" i="30" s="1"/>
  <c r="FJ73" i="30" s="1"/>
  <c r="FK73" i="30" s="1"/>
  <c r="FL73" i="30" s="1"/>
  <c r="FM73" i="30" s="1"/>
  <c r="FN73" i="30" s="1"/>
  <c r="FO73" i="30" s="1"/>
  <c r="FP73" i="30" s="1"/>
  <c r="FQ73" i="30" s="1"/>
  <c r="FR73" i="30" s="1"/>
  <c r="FS73" i="30" s="1"/>
  <c r="FT73" i="30" s="1"/>
  <c r="FU73" i="30" s="1"/>
  <c r="FV73" i="30" s="1"/>
  <c r="FW73" i="30" s="1"/>
  <c r="FX73" i="30" s="1"/>
  <c r="FY73" i="30" s="1"/>
  <c r="FZ73" i="30" s="1"/>
  <c r="GA73" i="30" s="1"/>
  <c r="GB73" i="30" s="1"/>
  <c r="GC73" i="30" s="1"/>
  <c r="GD73" i="30" s="1"/>
  <c r="GE73" i="30" s="1"/>
  <c r="GF73" i="30" s="1"/>
  <c r="GG73" i="30" s="1"/>
  <c r="GH73" i="30" s="1"/>
  <c r="GI73" i="30" s="1"/>
  <c r="GJ73" i="30" s="1"/>
  <c r="GK73" i="30" s="1"/>
  <c r="GL73" i="30" s="1"/>
  <c r="GM73" i="30" s="1"/>
  <c r="GN73" i="30" s="1"/>
  <c r="GO73" i="30" s="1"/>
  <c r="GP73" i="30" s="1"/>
  <c r="GQ73" i="30" s="1"/>
  <c r="GR73" i="30" s="1"/>
  <c r="GS73" i="30" s="1"/>
  <c r="GT73" i="30" s="1"/>
  <c r="GU73" i="30" s="1"/>
  <c r="GV73" i="30" s="1"/>
  <c r="GW73" i="30" s="1"/>
  <c r="GX73" i="30" s="1"/>
  <c r="GY73" i="30" s="1"/>
  <c r="GZ73" i="30" s="1"/>
  <c r="HA73" i="30" s="1"/>
  <c r="HB73" i="30" s="1"/>
  <c r="HC73" i="30" s="1"/>
  <c r="HD73" i="30" s="1"/>
  <c r="HE73" i="30" s="1"/>
  <c r="HF73" i="30" s="1"/>
  <c r="HG73" i="30" s="1"/>
  <c r="HH73" i="30" s="1"/>
  <c r="HI73" i="30" s="1"/>
  <c r="HJ73" i="30" s="1"/>
  <c r="HK73" i="30" s="1"/>
  <c r="HL73" i="30" s="1"/>
  <c r="HM73" i="30" s="1"/>
  <c r="HN73" i="30" s="1"/>
  <c r="HO73" i="30" s="1"/>
  <c r="HP73" i="30" s="1"/>
  <c r="HQ73" i="30" s="1"/>
  <c r="HR73" i="30" s="1"/>
  <c r="HS73" i="30" s="1"/>
  <c r="HT73" i="30" s="1"/>
  <c r="HU73" i="30" s="1"/>
  <c r="HV73" i="30" s="1"/>
  <c r="HW73" i="30" s="1"/>
  <c r="HX73" i="30" s="1"/>
  <c r="HY73" i="30" s="1"/>
  <c r="HZ73" i="30" s="1"/>
  <c r="IA73" i="30" s="1"/>
  <c r="IB73" i="30" s="1"/>
  <c r="IC73" i="30" s="1"/>
  <c r="ID73" i="30" s="1"/>
  <c r="IE73" i="30" s="1"/>
  <c r="IF73" i="30" s="1"/>
  <c r="IG73" i="30" s="1"/>
  <c r="IH73" i="30" s="1"/>
  <c r="II73" i="30" s="1"/>
  <c r="IJ73" i="30" s="1"/>
  <c r="IK73" i="30" s="1"/>
  <c r="IL73" i="30" s="1"/>
  <c r="IM73" i="30" s="1"/>
  <c r="IN73" i="30" s="1"/>
  <c r="IO73" i="30" s="1"/>
  <c r="IP73" i="30" s="1"/>
  <c r="IQ73" i="30" s="1"/>
  <c r="IR73" i="30" s="1"/>
  <c r="IS73" i="30" s="1"/>
  <c r="IT73" i="30" s="1"/>
  <c r="IU73" i="30" s="1"/>
  <c r="IV73" i="30" s="1"/>
  <c r="IW73" i="30" s="1"/>
  <c r="IX73" i="30" s="1"/>
  <c r="IY73" i="30" s="1"/>
  <c r="IZ73" i="30" s="1"/>
  <c r="JA73" i="30" s="1"/>
  <c r="JB73" i="30" s="1"/>
  <c r="JC73" i="30" s="1"/>
  <c r="JD73" i="30" s="1"/>
  <c r="JE73" i="30" s="1"/>
  <c r="JF73" i="30" s="1"/>
  <c r="JG73" i="30" s="1"/>
  <c r="JH73" i="30" s="1"/>
  <c r="JI73" i="30" s="1"/>
  <c r="JJ73" i="30" s="1"/>
  <c r="JK73" i="30" s="1"/>
  <c r="JL73" i="30" s="1"/>
  <c r="JM73" i="30" s="1"/>
  <c r="JN73" i="30" s="1"/>
  <c r="JO73" i="30" s="1"/>
  <c r="JP73" i="30" s="1"/>
  <c r="JQ73" i="30" s="1"/>
  <c r="JR73" i="30" s="1"/>
  <c r="JS73" i="30" s="1"/>
  <c r="JT73" i="30" s="1"/>
  <c r="JU73" i="30" s="1"/>
  <c r="JV73" i="30" s="1"/>
  <c r="JW73" i="30" s="1"/>
  <c r="JX73" i="30" s="1"/>
  <c r="JY73" i="30" s="1"/>
  <c r="JZ73" i="30" s="1"/>
  <c r="KA73" i="30" s="1"/>
  <c r="KB73" i="30" s="1"/>
  <c r="KC73" i="30" s="1"/>
  <c r="KD73" i="30" s="1"/>
  <c r="KE73" i="30" s="1"/>
  <c r="KF73" i="30" s="1"/>
  <c r="KG73" i="30" s="1"/>
  <c r="KH73" i="30" s="1"/>
  <c r="KI73" i="30" s="1"/>
  <c r="KJ73" i="30" s="1"/>
  <c r="KK73" i="30" s="1"/>
  <c r="KL73" i="30" s="1"/>
  <c r="KM73" i="30" s="1"/>
  <c r="KN73" i="30" s="1"/>
  <c r="KO73" i="30" s="1"/>
  <c r="KP73" i="30" s="1"/>
  <c r="KQ73" i="30" s="1"/>
  <c r="KR73" i="30" s="1"/>
  <c r="KS73" i="30" s="1"/>
  <c r="KT73" i="30" s="1"/>
  <c r="KU73" i="30" s="1"/>
  <c r="KV73" i="30" s="1"/>
  <c r="KW73" i="30" s="1"/>
  <c r="KX73" i="30" s="1"/>
  <c r="KY73" i="30" s="1"/>
  <c r="KZ73" i="30" s="1"/>
  <c r="LA73" i="30" s="1"/>
  <c r="LB73" i="30" s="1"/>
  <c r="LC73" i="30" s="1"/>
  <c r="LD73" i="30" s="1"/>
  <c r="LE73" i="30" s="1"/>
  <c r="LF73" i="30" s="1"/>
  <c r="LG73" i="30" s="1"/>
  <c r="LH73" i="30" s="1"/>
  <c r="LI73" i="30" s="1"/>
  <c r="LJ73" i="30" s="1"/>
  <c r="W74" i="30"/>
  <c r="X74" i="30" s="1"/>
  <c r="Y74" i="30" s="1"/>
  <c r="Z74" i="30" s="1"/>
  <c r="AA74" i="30" s="1"/>
  <c r="AB74" i="30" s="1"/>
  <c r="AC74" i="30" s="1"/>
  <c r="AD74" i="30" s="1"/>
  <c r="AE74" i="30" s="1"/>
  <c r="AF74" i="30" s="1"/>
  <c r="AG74" i="30" s="1"/>
  <c r="AH74" i="30" s="1"/>
  <c r="AI74" i="30" s="1"/>
  <c r="AJ74" i="30" s="1"/>
  <c r="AK74" i="30" s="1"/>
  <c r="AL74" i="30" s="1"/>
  <c r="AM74" i="30" s="1"/>
  <c r="AN74" i="30" s="1"/>
  <c r="AO74" i="30" s="1"/>
  <c r="AP74" i="30" s="1"/>
  <c r="AQ74" i="30" s="1"/>
  <c r="AR74" i="30" s="1"/>
  <c r="AS74" i="30" s="1"/>
  <c r="AT74" i="30" s="1"/>
  <c r="AU74" i="30" s="1"/>
  <c r="AV74" i="30" s="1"/>
  <c r="AW74" i="30" s="1"/>
  <c r="AX74" i="30" s="1"/>
  <c r="AY74" i="30" s="1"/>
  <c r="AZ74" i="30" s="1"/>
  <c r="BA74" i="30" s="1"/>
  <c r="BB74" i="30" s="1"/>
  <c r="BC74" i="30" s="1"/>
  <c r="BD74" i="30" s="1"/>
  <c r="BE74" i="30" s="1"/>
  <c r="BF74" i="30" s="1"/>
  <c r="BG74" i="30" s="1"/>
  <c r="BH74" i="30" s="1"/>
  <c r="BI74" i="30" s="1"/>
  <c r="BJ74" i="30" s="1"/>
  <c r="BK74" i="30" s="1"/>
  <c r="BL74" i="30" s="1"/>
  <c r="BM74" i="30" s="1"/>
  <c r="BN74" i="30" s="1"/>
  <c r="BO74" i="30" s="1"/>
  <c r="BP74" i="30" s="1"/>
  <c r="BQ74" i="30" s="1"/>
  <c r="BR74" i="30" s="1"/>
  <c r="BS74" i="30" s="1"/>
  <c r="BT74" i="30" s="1"/>
  <c r="BU74" i="30" s="1"/>
  <c r="BV74" i="30" s="1"/>
  <c r="BW74" i="30" s="1"/>
  <c r="BX74" i="30" s="1"/>
  <c r="BY74" i="30" s="1"/>
  <c r="BZ74" i="30" s="1"/>
  <c r="CA74" i="30" s="1"/>
  <c r="CB74" i="30" s="1"/>
  <c r="CC74" i="30" s="1"/>
  <c r="CD74" i="30" s="1"/>
  <c r="CE74" i="30" s="1"/>
  <c r="CF74" i="30" s="1"/>
  <c r="CG74" i="30" s="1"/>
  <c r="CH74" i="30" s="1"/>
  <c r="CI74" i="30" s="1"/>
  <c r="CJ74" i="30" s="1"/>
  <c r="CK74" i="30" s="1"/>
  <c r="CL74" i="30" s="1"/>
  <c r="CM74" i="30" s="1"/>
  <c r="CN74" i="30" s="1"/>
  <c r="CO74" i="30" s="1"/>
  <c r="CP74" i="30" s="1"/>
  <c r="CQ74" i="30" s="1"/>
  <c r="CR74" i="30" s="1"/>
  <c r="CS74" i="30" s="1"/>
  <c r="CT74" i="30" s="1"/>
  <c r="CU74" i="30" s="1"/>
  <c r="CV74" i="30" s="1"/>
  <c r="CW74" i="30" s="1"/>
  <c r="CX74" i="30" s="1"/>
  <c r="CY74" i="30" s="1"/>
  <c r="CZ74" i="30" s="1"/>
  <c r="DA74" i="30" s="1"/>
  <c r="DB74" i="30" s="1"/>
  <c r="DC74" i="30" s="1"/>
  <c r="DD74" i="30" s="1"/>
  <c r="DE74" i="30" s="1"/>
  <c r="DF74" i="30" s="1"/>
  <c r="DG74" i="30" s="1"/>
  <c r="DH74" i="30" s="1"/>
  <c r="DI74" i="30" s="1"/>
  <c r="DJ74" i="30" s="1"/>
  <c r="DK74" i="30" s="1"/>
  <c r="DL74" i="30" s="1"/>
  <c r="DM74" i="30" s="1"/>
  <c r="DN74" i="30" s="1"/>
  <c r="DO74" i="30" s="1"/>
  <c r="DP74" i="30" s="1"/>
  <c r="DQ74" i="30" s="1"/>
  <c r="DR74" i="30" s="1"/>
  <c r="DS74" i="30" s="1"/>
  <c r="DT74" i="30" s="1"/>
  <c r="DU74" i="30" s="1"/>
  <c r="DV74" i="30" s="1"/>
  <c r="DW74" i="30" s="1"/>
  <c r="DX74" i="30" s="1"/>
  <c r="DY74" i="30" s="1"/>
  <c r="DZ74" i="30" s="1"/>
  <c r="EA74" i="30" s="1"/>
  <c r="EB74" i="30" s="1"/>
  <c r="EC74" i="30" s="1"/>
  <c r="ED74" i="30" s="1"/>
  <c r="EE74" i="30" s="1"/>
  <c r="EF74" i="30" s="1"/>
  <c r="EG74" i="30" s="1"/>
  <c r="EH74" i="30" s="1"/>
  <c r="EI74" i="30" s="1"/>
  <c r="EJ74" i="30" s="1"/>
  <c r="EK74" i="30" s="1"/>
  <c r="EL74" i="30" s="1"/>
  <c r="EM74" i="30" s="1"/>
  <c r="EN74" i="30" s="1"/>
  <c r="EO74" i="30" s="1"/>
  <c r="EP74" i="30" s="1"/>
  <c r="EQ74" i="30" s="1"/>
  <c r="ER74" i="30" s="1"/>
  <c r="ES74" i="30" s="1"/>
  <c r="ET74" i="30" s="1"/>
  <c r="EU74" i="30" s="1"/>
  <c r="EV74" i="30" s="1"/>
  <c r="EW74" i="30" s="1"/>
  <c r="EX74" i="30" s="1"/>
  <c r="EY74" i="30" s="1"/>
  <c r="EZ74" i="30" s="1"/>
  <c r="FA74" i="30" s="1"/>
  <c r="FB74" i="30" s="1"/>
  <c r="FC74" i="30" s="1"/>
  <c r="FD74" i="30" s="1"/>
  <c r="FE74" i="30" s="1"/>
  <c r="FF74" i="30" s="1"/>
  <c r="FG74" i="30" s="1"/>
  <c r="FH74" i="30" s="1"/>
  <c r="FI74" i="30" s="1"/>
  <c r="FJ74" i="30" s="1"/>
  <c r="FK74" i="30" s="1"/>
  <c r="FL74" i="30" s="1"/>
  <c r="FM74" i="30" s="1"/>
  <c r="FN74" i="30" s="1"/>
  <c r="FO74" i="30" s="1"/>
  <c r="FP74" i="30" s="1"/>
  <c r="FQ74" i="30" s="1"/>
  <c r="FR74" i="30" s="1"/>
  <c r="FS74" i="30" s="1"/>
  <c r="FT74" i="30" s="1"/>
  <c r="FU74" i="30" s="1"/>
  <c r="FV74" i="30" s="1"/>
  <c r="FW74" i="30" s="1"/>
  <c r="FX74" i="30" s="1"/>
  <c r="FY74" i="30" s="1"/>
  <c r="FZ74" i="30" s="1"/>
  <c r="GA74" i="30" s="1"/>
  <c r="GB74" i="30" s="1"/>
  <c r="GC74" i="30" s="1"/>
  <c r="GD74" i="30" s="1"/>
  <c r="GE74" i="30" s="1"/>
  <c r="GF74" i="30" s="1"/>
  <c r="GG74" i="30" s="1"/>
  <c r="GH74" i="30" s="1"/>
  <c r="GI74" i="30" s="1"/>
  <c r="GJ74" i="30" s="1"/>
  <c r="GK74" i="30" s="1"/>
  <c r="GL74" i="30" s="1"/>
  <c r="GM74" i="30" s="1"/>
  <c r="GN74" i="30" s="1"/>
  <c r="GO74" i="30" s="1"/>
  <c r="GP74" i="30" s="1"/>
  <c r="GQ74" i="30" s="1"/>
  <c r="GR74" i="30" s="1"/>
  <c r="GS74" i="30" s="1"/>
  <c r="GT74" i="30" s="1"/>
  <c r="GU74" i="30" s="1"/>
  <c r="GV74" i="30" s="1"/>
  <c r="GW74" i="30" s="1"/>
  <c r="GX74" i="30" s="1"/>
  <c r="GY74" i="30" s="1"/>
  <c r="GZ74" i="30" s="1"/>
  <c r="HA74" i="30" s="1"/>
  <c r="HB74" i="30" s="1"/>
  <c r="HC74" i="30" s="1"/>
  <c r="HD74" i="30" s="1"/>
  <c r="HE74" i="30" s="1"/>
  <c r="HF74" i="30" s="1"/>
  <c r="HG74" i="30" s="1"/>
  <c r="HH74" i="30" s="1"/>
  <c r="HI74" i="30" s="1"/>
  <c r="HJ74" i="30" s="1"/>
  <c r="HK74" i="30" s="1"/>
  <c r="HL74" i="30" s="1"/>
  <c r="HM74" i="30" s="1"/>
  <c r="HN74" i="30" s="1"/>
  <c r="HO74" i="30" s="1"/>
  <c r="HP74" i="30" s="1"/>
  <c r="HQ74" i="30" s="1"/>
  <c r="HR74" i="30" s="1"/>
  <c r="HS74" i="30" s="1"/>
  <c r="HT74" i="30" s="1"/>
  <c r="HU74" i="30" s="1"/>
  <c r="HV74" i="30" s="1"/>
  <c r="HW74" i="30" s="1"/>
  <c r="HX74" i="30" s="1"/>
  <c r="HY74" i="30" s="1"/>
  <c r="HZ74" i="30" s="1"/>
  <c r="IA74" i="30" s="1"/>
  <c r="IB74" i="30" s="1"/>
  <c r="IC74" i="30" s="1"/>
  <c r="ID74" i="30" s="1"/>
  <c r="IE74" i="30" s="1"/>
  <c r="IF74" i="30" s="1"/>
  <c r="IG74" i="30" s="1"/>
  <c r="IH74" i="30" s="1"/>
  <c r="II74" i="30" s="1"/>
  <c r="IJ74" i="30" s="1"/>
  <c r="IK74" i="30" s="1"/>
  <c r="IL74" i="30" s="1"/>
  <c r="IM74" i="30" s="1"/>
  <c r="IN74" i="30" s="1"/>
  <c r="IO74" i="30" s="1"/>
  <c r="IP74" i="30" s="1"/>
  <c r="IQ74" i="30" s="1"/>
  <c r="IR74" i="30" s="1"/>
  <c r="IS74" i="30" s="1"/>
  <c r="IT74" i="30" s="1"/>
  <c r="IU74" i="30" s="1"/>
  <c r="IV74" i="30" s="1"/>
  <c r="IW74" i="30" s="1"/>
  <c r="IX74" i="30" s="1"/>
  <c r="IY74" i="30" s="1"/>
  <c r="IZ74" i="30" s="1"/>
  <c r="JA74" i="30" s="1"/>
  <c r="JB74" i="30" s="1"/>
  <c r="JC74" i="30" s="1"/>
  <c r="JD74" i="30" s="1"/>
  <c r="JE74" i="30" s="1"/>
  <c r="JF74" i="30" s="1"/>
  <c r="JG74" i="30" s="1"/>
  <c r="JH74" i="30" s="1"/>
  <c r="JI74" i="30" s="1"/>
  <c r="JJ74" i="30" s="1"/>
  <c r="JK74" i="30" s="1"/>
  <c r="JL74" i="30" s="1"/>
  <c r="JM74" i="30" s="1"/>
  <c r="JN74" i="30" s="1"/>
  <c r="JO74" i="30" s="1"/>
  <c r="JP74" i="30" s="1"/>
  <c r="JQ74" i="30" s="1"/>
  <c r="JR74" i="30" s="1"/>
  <c r="JS74" i="30" s="1"/>
  <c r="JT74" i="30" s="1"/>
  <c r="JU74" i="30" s="1"/>
  <c r="JV74" i="30" s="1"/>
  <c r="JW74" i="30" s="1"/>
  <c r="JX74" i="30" s="1"/>
  <c r="JY74" i="30" s="1"/>
  <c r="JZ74" i="30" s="1"/>
  <c r="KA74" i="30" s="1"/>
  <c r="KB74" i="30" s="1"/>
  <c r="KC74" i="30" s="1"/>
  <c r="KD74" i="30" s="1"/>
  <c r="KE74" i="30" s="1"/>
  <c r="KF74" i="30" s="1"/>
  <c r="KG74" i="30" s="1"/>
  <c r="KH74" i="30" s="1"/>
  <c r="KI74" i="30" s="1"/>
  <c r="KJ74" i="30" s="1"/>
  <c r="KK74" i="30" s="1"/>
  <c r="KL74" i="30" s="1"/>
  <c r="KM74" i="30" s="1"/>
  <c r="KN74" i="30" s="1"/>
  <c r="KO74" i="30" s="1"/>
  <c r="KP74" i="30" s="1"/>
  <c r="KQ74" i="30" s="1"/>
  <c r="KR74" i="30" s="1"/>
  <c r="KS74" i="30" s="1"/>
  <c r="KT74" i="30" s="1"/>
  <c r="KU74" i="30" s="1"/>
  <c r="KV74" i="30" s="1"/>
  <c r="KW74" i="30" s="1"/>
  <c r="KX74" i="30" s="1"/>
  <c r="KY74" i="30" s="1"/>
  <c r="KZ74" i="30" s="1"/>
  <c r="LA74" i="30" s="1"/>
  <c r="LB74" i="30" s="1"/>
  <c r="LC74" i="30" s="1"/>
  <c r="LD74" i="30" s="1"/>
  <c r="LE74" i="30" s="1"/>
  <c r="LF74" i="30" s="1"/>
  <c r="LG74" i="30" s="1"/>
  <c r="LH74" i="30" s="1"/>
  <c r="LI74" i="30" s="1"/>
  <c r="LJ74" i="30" s="1"/>
  <c r="W75" i="30"/>
  <c r="X75" i="30" s="1"/>
  <c r="Y75" i="30" s="1"/>
  <c r="Z75" i="30" s="1"/>
  <c r="AA75" i="30" s="1"/>
  <c r="AB75" i="30" s="1"/>
  <c r="AC75" i="30" s="1"/>
  <c r="AD75" i="30" s="1"/>
  <c r="AE75" i="30" s="1"/>
  <c r="AF75" i="30" s="1"/>
  <c r="AG75" i="30" s="1"/>
  <c r="AH75" i="30" s="1"/>
  <c r="AI75" i="30" s="1"/>
  <c r="AJ75" i="30" s="1"/>
  <c r="AK75" i="30" s="1"/>
  <c r="AL75" i="30" s="1"/>
  <c r="AM75" i="30" s="1"/>
  <c r="AN75" i="30" s="1"/>
  <c r="AO75" i="30" s="1"/>
  <c r="AP75" i="30" s="1"/>
  <c r="AQ75" i="30" s="1"/>
  <c r="AR75" i="30" s="1"/>
  <c r="AS75" i="30" s="1"/>
  <c r="AT75" i="30" s="1"/>
  <c r="AU75" i="30" s="1"/>
  <c r="AV75" i="30" s="1"/>
  <c r="AW75" i="30" s="1"/>
  <c r="AX75" i="30" s="1"/>
  <c r="AY75" i="30" s="1"/>
  <c r="AZ75" i="30" s="1"/>
  <c r="BA75" i="30" s="1"/>
  <c r="BB75" i="30" s="1"/>
  <c r="BC75" i="30" s="1"/>
  <c r="BD75" i="30" s="1"/>
  <c r="BE75" i="30" s="1"/>
  <c r="BF75" i="30" s="1"/>
  <c r="BG75" i="30" s="1"/>
  <c r="BH75" i="30" s="1"/>
  <c r="BI75" i="30" s="1"/>
  <c r="BJ75" i="30" s="1"/>
  <c r="BK75" i="30" s="1"/>
  <c r="BL75" i="30" s="1"/>
  <c r="BM75" i="30" s="1"/>
  <c r="BN75" i="30" s="1"/>
  <c r="BO75" i="30" s="1"/>
  <c r="BP75" i="30" s="1"/>
  <c r="BQ75" i="30" s="1"/>
  <c r="BR75" i="30" s="1"/>
  <c r="BS75" i="30" s="1"/>
  <c r="BT75" i="30" s="1"/>
  <c r="BU75" i="30" s="1"/>
  <c r="BV75" i="30" s="1"/>
  <c r="BW75" i="30" s="1"/>
  <c r="BX75" i="30" s="1"/>
  <c r="BY75" i="30" s="1"/>
  <c r="BZ75" i="30" s="1"/>
  <c r="CA75" i="30" s="1"/>
  <c r="CB75" i="30" s="1"/>
  <c r="CC75" i="30" s="1"/>
  <c r="CD75" i="30" s="1"/>
  <c r="CE75" i="30" s="1"/>
  <c r="CF75" i="30" s="1"/>
  <c r="CG75" i="30" s="1"/>
  <c r="CH75" i="30" s="1"/>
  <c r="CI75" i="30" s="1"/>
  <c r="CJ75" i="30" s="1"/>
  <c r="CK75" i="30" s="1"/>
  <c r="CL75" i="30" s="1"/>
  <c r="CM75" i="30" s="1"/>
  <c r="CN75" i="30" s="1"/>
  <c r="CO75" i="30" s="1"/>
  <c r="CP75" i="30" s="1"/>
  <c r="CQ75" i="30" s="1"/>
  <c r="CR75" i="30" s="1"/>
  <c r="CS75" i="30" s="1"/>
  <c r="CT75" i="30" s="1"/>
  <c r="CU75" i="30" s="1"/>
  <c r="CV75" i="30" s="1"/>
  <c r="CW75" i="30" s="1"/>
  <c r="CX75" i="30" s="1"/>
  <c r="CY75" i="30" s="1"/>
  <c r="CZ75" i="30" s="1"/>
  <c r="DA75" i="30" s="1"/>
  <c r="DB75" i="30" s="1"/>
  <c r="DC75" i="30" s="1"/>
  <c r="DD75" i="30" s="1"/>
  <c r="DE75" i="30" s="1"/>
  <c r="DF75" i="30" s="1"/>
  <c r="DG75" i="30" s="1"/>
  <c r="DH75" i="30" s="1"/>
  <c r="DI75" i="30" s="1"/>
  <c r="DJ75" i="30" s="1"/>
  <c r="DK75" i="30" s="1"/>
  <c r="DL75" i="30" s="1"/>
  <c r="DM75" i="30" s="1"/>
  <c r="DN75" i="30" s="1"/>
  <c r="DO75" i="30" s="1"/>
  <c r="DP75" i="30" s="1"/>
  <c r="DQ75" i="30" s="1"/>
  <c r="DR75" i="30" s="1"/>
  <c r="DS75" i="30" s="1"/>
  <c r="DT75" i="30" s="1"/>
  <c r="DU75" i="30" s="1"/>
  <c r="DV75" i="30" s="1"/>
  <c r="DW75" i="30" s="1"/>
  <c r="DX75" i="30" s="1"/>
  <c r="DY75" i="30" s="1"/>
  <c r="DZ75" i="30" s="1"/>
  <c r="EA75" i="30" s="1"/>
  <c r="EB75" i="30" s="1"/>
  <c r="EC75" i="30" s="1"/>
  <c r="ED75" i="30" s="1"/>
  <c r="EE75" i="30" s="1"/>
  <c r="EF75" i="30" s="1"/>
  <c r="EG75" i="30" s="1"/>
  <c r="EH75" i="30" s="1"/>
  <c r="EI75" i="30" s="1"/>
  <c r="EJ75" i="30" s="1"/>
  <c r="EK75" i="30" s="1"/>
  <c r="EL75" i="30" s="1"/>
  <c r="EM75" i="30" s="1"/>
  <c r="EN75" i="30" s="1"/>
  <c r="EO75" i="30" s="1"/>
  <c r="EP75" i="30" s="1"/>
  <c r="EQ75" i="30" s="1"/>
  <c r="ER75" i="30" s="1"/>
  <c r="ES75" i="30" s="1"/>
  <c r="ET75" i="30" s="1"/>
  <c r="EU75" i="30" s="1"/>
  <c r="EV75" i="30" s="1"/>
  <c r="EW75" i="30" s="1"/>
  <c r="EX75" i="30" s="1"/>
  <c r="EY75" i="30" s="1"/>
  <c r="EZ75" i="30" s="1"/>
  <c r="FA75" i="30" s="1"/>
  <c r="FB75" i="30" s="1"/>
  <c r="FC75" i="30" s="1"/>
  <c r="FD75" i="30" s="1"/>
  <c r="FE75" i="30" s="1"/>
  <c r="FF75" i="30" s="1"/>
  <c r="FG75" i="30" s="1"/>
  <c r="FH75" i="30" s="1"/>
  <c r="FI75" i="30" s="1"/>
  <c r="FJ75" i="30" s="1"/>
  <c r="FK75" i="30" s="1"/>
  <c r="FL75" i="30" s="1"/>
  <c r="FM75" i="30" s="1"/>
  <c r="FN75" i="30" s="1"/>
  <c r="FO75" i="30" s="1"/>
  <c r="FP75" i="30" s="1"/>
  <c r="FQ75" i="30" s="1"/>
  <c r="FR75" i="30" s="1"/>
  <c r="FS75" i="30" s="1"/>
  <c r="FT75" i="30" s="1"/>
  <c r="FU75" i="30" s="1"/>
  <c r="FV75" i="30" s="1"/>
  <c r="FW75" i="30" s="1"/>
  <c r="FX75" i="30" s="1"/>
  <c r="FY75" i="30" s="1"/>
  <c r="FZ75" i="30" s="1"/>
  <c r="GA75" i="30" s="1"/>
  <c r="GB75" i="30" s="1"/>
  <c r="GC75" i="30" s="1"/>
  <c r="GD75" i="30" s="1"/>
  <c r="GE75" i="30" s="1"/>
  <c r="GF75" i="30" s="1"/>
  <c r="GG75" i="30" s="1"/>
  <c r="GH75" i="30" s="1"/>
  <c r="GI75" i="30" s="1"/>
  <c r="GJ75" i="30" s="1"/>
  <c r="GK75" i="30" s="1"/>
  <c r="GL75" i="30" s="1"/>
  <c r="GM75" i="30" s="1"/>
  <c r="GN75" i="30" s="1"/>
  <c r="GO75" i="30" s="1"/>
  <c r="GP75" i="30" s="1"/>
  <c r="GQ75" i="30" s="1"/>
  <c r="GR75" i="30" s="1"/>
  <c r="GS75" i="30" s="1"/>
  <c r="GT75" i="30" s="1"/>
  <c r="GU75" i="30" s="1"/>
  <c r="GV75" i="30" s="1"/>
  <c r="GW75" i="30" s="1"/>
  <c r="GX75" i="30" s="1"/>
  <c r="GY75" i="30" s="1"/>
  <c r="GZ75" i="30" s="1"/>
  <c r="HA75" i="30" s="1"/>
  <c r="HB75" i="30" s="1"/>
  <c r="HC75" i="30" s="1"/>
  <c r="HD75" i="30" s="1"/>
  <c r="HE75" i="30" s="1"/>
  <c r="HF75" i="30" s="1"/>
  <c r="HG75" i="30" s="1"/>
  <c r="HH75" i="30" s="1"/>
  <c r="HI75" i="30" s="1"/>
  <c r="HJ75" i="30" s="1"/>
  <c r="HK75" i="30" s="1"/>
  <c r="HL75" i="30" s="1"/>
  <c r="HM75" i="30" s="1"/>
  <c r="HN75" i="30" s="1"/>
  <c r="HO75" i="30" s="1"/>
  <c r="HP75" i="30" s="1"/>
  <c r="HQ75" i="30" s="1"/>
  <c r="HR75" i="30" s="1"/>
  <c r="HS75" i="30" s="1"/>
  <c r="HT75" i="30" s="1"/>
  <c r="HU75" i="30" s="1"/>
  <c r="HV75" i="30" s="1"/>
  <c r="HW75" i="30" s="1"/>
  <c r="HX75" i="30" s="1"/>
  <c r="HY75" i="30" s="1"/>
  <c r="HZ75" i="30" s="1"/>
  <c r="IA75" i="30" s="1"/>
  <c r="IB75" i="30" s="1"/>
  <c r="IC75" i="30" s="1"/>
  <c r="ID75" i="30" s="1"/>
  <c r="IE75" i="30" s="1"/>
  <c r="IF75" i="30" s="1"/>
  <c r="IG75" i="30" s="1"/>
  <c r="IH75" i="30" s="1"/>
  <c r="II75" i="30" s="1"/>
  <c r="IJ75" i="30" s="1"/>
  <c r="IK75" i="30" s="1"/>
  <c r="IL75" i="30" s="1"/>
  <c r="IM75" i="30" s="1"/>
  <c r="IN75" i="30" s="1"/>
  <c r="IO75" i="30" s="1"/>
  <c r="IP75" i="30" s="1"/>
  <c r="IQ75" i="30" s="1"/>
  <c r="IR75" i="30" s="1"/>
  <c r="IS75" i="30" s="1"/>
  <c r="IT75" i="30" s="1"/>
  <c r="IU75" i="30" s="1"/>
  <c r="IV75" i="30" s="1"/>
  <c r="IW75" i="30" s="1"/>
  <c r="IX75" i="30" s="1"/>
  <c r="IY75" i="30" s="1"/>
  <c r="IZ75" i="30" s="1"/>
  <c r="JA75" i="30" s="1"/>
  <c r="JB75" i="30" s="1"/>
  <c r="JC75" i="30" s="1"/>
  <c r="JD75" i="30" s="1"/>
  <c r="JE75" i="30" s="1"/>
  <c r="JF75" i="30" s="1"/>
  <c r="JG75" i="30" s="1"/>
  <c r="JH75" i="30" s="1"/>
  <c r="JI75" i="30" s="1"/>
  <c r="JJ75" i="30" s="1"/>
  <c r="JK75" i="30" s="1"/>
  <c r="JL75" i="30" s="1"/>
  <c r="JM75" i="30" s="1"/>
  <c r="JN75" i="30" s="1"/>
  <c r="JO75" i="30" s="1"/>
  <c r="JP75" i="30" s="1"/>
  <c r="JQ75" i="30" s="1"/>
  <c r="JR75" i="30" s="1"/>
  <c r="JS75" i="30" s="1"/>
  <c r="JT75" i="30" s="1"/>
  <c r="JU75" i="30" s="1"/>
  <c r="JV75" i="30" s="1"/>
  <c r="JW75" i="30" s="1"/>
  <c r="JX75" i="30" s="1"/>
  <c r="JY75" i="30" s="1"/>
  <c r="JZ75" i="30" s="1"/>
  <c r="KA75" i="30" s="1"/>
  <c r="KB75" i="30" s="1"/>
  <c r="KC75" i="30" s="1"/>
  <c r="KD75" i="30" s="1"/>
  <c r="KE75" i="30" s="1"/>
  <c r="KF75" i="30" s="1"/>
  <c r="KG75" i="30" s="1"/>
  <c r="KH75" i="30" s="1"/>
  <c r="KI75" i="30" s="1"/>
  <c r="KJ75" i="30" s="1"/>
  <c r="KK75" i="30" s="1"/>
  <c r="KL75" i="30" s="1"/>
  <c r="KM75" i="30" s="1"/>
  <c r="KN75" i="30" s="1"/>
  <c r="KO75" i="30" s="1"/>
  <c r="KP75" i="30" s="1"/>
  <c r="KQ75" i="30" s="1"/>
  <c r="KR75" i="30" s="1"/>
  <c r="KS75" i="30" s="1"/>
  <c r="KT75" i="30" s="1"/>
  <c r="KU75" i="30" s="1"/>
  <c r="KV75" i="30" s="1"/>
  <c r="KW75" i="30" s="1"/>
  <c r="KX75" i="30" s="1"/>
  <c r="KY75" i="30" s="1"/>
  <c r="KZ75" i="30" s="1"/>
  <c r="LA75" i="30" s="1"/>
  <c r="LB75" i="30" s="1"/>
  <c r="LC75" i="30" s="1"/>
  <c r="LD75" i="30" s="1"/>
  <c r="LE75" i="30" s="1"/>
  <c r="LF75" i="30" s="1"/>
  <c r="LG75" i="30" s="1"/>
  <c r="LH75" i="30" s="1"/>
  <c r="LI75" i="30" s="1"/>
  <c r="LJ75" i="30" s="1"/>
  <c r="W76" i="30"/>
  <c r="X76" i="30" s="1"/>
  <c r="Y76" i="30" s="1"/>
  <c r="Z76" i="30" s="1"/>
  <c r="AA76" i="30" s="1"/>
  <c r="AB76" i="30" s="1"/>
  <c r="AC76" i="30" s="1"/>
  <c r="AD76" i="30" s="1"/>
  <c r="AE76" i="30" s="1"/>
  <c r="AF76" i="30" s="1"/>
  <c r="AG76" i="30" s="1"/>
  <c r="AH76" i="30" s="1"/>
  <c r="AI76" i="30" s="1"/>
  <c r="AJ76" i="30" s="1"/>
  <c r="AK76" i="30" s="1"/>
  <c r="AL76" i="30" s="1"/>
  <c r="AM76" i="30" s="1"/>
  <c r="AN76" i="30" s="1"/>
  <c r="AO76" i="30" s="1"/>
  <c r="AP76" i="30" s="1"/>
  <c r="AQ76" i="30" s="1"/>
  <c r="AR76" i="30" s="1"/>
  <c r="AS76" i="30" s="1"/>
  <c r="AT76" i="30" s="1"/>
  <c r="AU76" i="30" s="1"/>
  <c r="AV76" i="30" s="1"/>
  <c r="AW76" i="30" s="1"/>
  <c r="AX76" i="30" s="1"/>
  <c r="AY76" i="30" s="1"/>
  <c r="AZ76" i="30" s="1"/>
  <c r="BA76" i="30" s="1"/>
  <c r="BB76" i="30" s="1"/>
  <c r="BC76" i="30" s="1"/>
  <c r="BD76" i="30" s="1"/>
  <c r="BE76" i="30" s="1"/>
  <c r="BF76" i="30" s="1"/>
  <c r="BG76" i="30" s="1"/>
  <c r="BH76" i="30" s="1"/>
  <c r="BI76" i="30" s="1"/>
  <c r="BJ76" i="30" s="1"/>
  <c r="BK76" i="30" s="1"/>
  <c r="BL76" i="30" s="1"/>
  <c r="BM76" i="30" s="1"/>
  <c r="BN76" i="30" s="1"/>
  <c r="BO76" i="30" s="1"/>
  <c r="BP76" i="30" s="1"/>
  <c r="BQ76" i="30" s="1"/>
  <c r="BR76" i="30" s="1"/>
  <c r="BS76" i="30" s="1"/>
  <c r="BT76" i="30" s="1"/>
  <c r="BU76" i="30" s="1"/>
  <c r="BV76" i="30" s="1"/>
  <c r="BW76" i="30" s="1"/>
  <c r="BX76" i="30" s="1"/>
  <c r="BY76" i="30" s="1"/>
  <c r="BZ76" i="30" s="1"/>
  <c r="CA76" i="30" s="1"/>
  <c r="CB76" i="30" s="1"/>
  <c r="CC76" i="30" s="1"/>
  <c r="CD76" i="30" s="1"/>
  <c r="CE76" i="30" s="1"/>
  <c r="CF76" i="30" s="1"/>
  <c r="CG76" i="30" s="1"/>
  <c r="CH76" i="30" s="1"/>
  <c r="CI76" i="30" s="1"/>
  <c r="CJ76" i="30" s="1"/>
  <c r="CK76" i="30" s="1"/>
  <c r="CL76" i="30" s="1"/>
  <c r="CM76" i="30" s="1"/>
  <c r="CN76" i="30" s="1"/>
  <c r="CO76" i="30" s="1"/>
  <c r="CP76" i="30" s="1"/>
  <c r="CQ76" i="30" s="1"/>
  <c r="CR76" i="30" s="1"/>
  <c r="CS76" i="30" s="1"/>
  <c r="CT76" i="30" s="1"/>
  <c r="CU76" i="30" s="1"/>
  <c r="CV76" i="30" s="1"/>
  <c r="CW76" i="30" s="1"/>
  <c r="CX76" i="30" s="1"/>
  <c r="CY76" i="30" s="1"/>
  <c r="CZ76" i="30" s="1"/>
  <c r="DA76" i="30" s="1"/>
  <c r="DB76" i="30" s="1"/>
  <c r="DC76" i="30" s="1"/>
  <c r="DD76" i="30" s="1"/>
  <c r="DE76" i="30" s="1"/>
  <c r="DF76" i="30" s="1"/>
  <c r="DG76" i="30" s="1"/>
  <c r="DH76" i="30" s="1"/>
  <c r="DI76" i="30" s="1"/>
  <c r="DJ76" i="30" s="1"/>
  <c r="DK76" i="30" s="1"/>
  <c r="DL76" i="30" s="1"/>
  <c r="DM76" i="30" s="1"/>
  <c r="DN76" i="30" s="1"/>
  <c r="DO76" i="30" s="1"/>
  <c r="DP76" i="30" s="1"/>
  <c r="DQ76" i="30" s="1"/>
  <c r="DR76" i="30" s="1"/>
  <c r="DS76" i="30" s="1"/>
  <c r="DT76" i="30" s="1"/>
  <c r="DU76" i="30" s="1"/>
  <c r="DV76" i="30" s="1"/>
  <c r="DW76" i="30" s="1"/>
  <c r="DX76" i="30" s="1"/>
  <c r="DY76" i="30" s="1"/>
  <c r="DZ76" i="30" s="1"/>
  <c r="EA76" i="30" s="1"/>
  <c r="EB76" i="30" s="1"/>
  <c r="EC76" i="30" s="1"/>
  <c r="ED76" i="30" s="1"/>
  <c r="EE76" i="30" s="1"/>
  <c r="EF76" i="30" s="1"/>
  <c r="EG76" i="30" s="1"/>
  <c r="EH76" i="30" s="1"/>
  <c r="EI76" i="30" s="1"/>
  <c r="EJ76" i="30" s="1"/>
  <c r="EK76" i="30" s="1"/>
  <c r="EL76" i="30" s="1"/>
  <c r="EM76" i="30" s="1"/>
  <c r="EN76" i="30" s="1"/>
  <c r="EO76" i="30" s="1"/>
  <c r="EP76" i="30" s="1"/>
  <c r="EQ76" i="30" s="1"/>
  <c r="ER76" i="30" s="1"/>
  <c r="ES76" i="30" s="1"/>
  <c r="ET76" i="30" s="1"/>
  <c r="EU76" i="30" s="1"/>
  <c r="EV76" i="30" s="1"/>
  <c r="EW76" i="30" s="1"/>
  <c r="EX76" i="30" s="1"/>
  <c r="EY76" i="30" s="1"/>
  <c r="EZ76" i="30" s="1"/>
  <c r="FA76" i="30" s="1"/>
  <c r="FB76" i="30" s="1"/>
  <c r="FC76" i="30" s="1"/>
  <c r="FD76" i="30" s="1"/>
  <c r="FE76" i="30" s="1"/>
  <c r="FF76" i="30" s="1"/>
  <c r="FG76" i="30" s="1"/>
  <c r="FH76" i="30" s="1"/>
  <c r="FI76" i="30" s="1"/>
  <c r="FJ76" i="30" s="1"/>
  <c r="FK76" i="30" s="1"/>
  <c r="FL76" i="30" s="1"/>
  <c r="FM76" i="30" s="1"/>
  <c r="FN76" i="30" s="1"/>
  <c r="FO76" i="30" s="1"/>
  <c r="FP76" i="30" s="1"/>
  <c r="FQ76" i="30" s="1"/>
  <c r="FR76" i="30" s="1"/>
  <c r="FS76" i="30" s="1"/>
  <c r="FT76" i="30" s="1"/>
  <c r="FU76" i="30" s="1"/>
  <c r="FV76" i="30" s="1"/>
  <c r="FW76" i="30" s="1"/>
  <c r="FX76" i="30" s="1"/>
  <c r="FY76" i="30" s="1"/>
  <c r="FZ76" i="30" s="1"/>
  <c r="GA76" i="30" s="1"/>
  <c r="GB76" i="30" s="1"/>
  <c r="GC76" i="30" s="1"/>
  <c r="GD76" i="30" s="1"/>
  <c r="GE76" i="30" s="1"/>
  <c r="GF76" i="30" s="1"/>
  <c r="GG76" i="30" s="1"/>
  <c r="GH76" i="30" s="1"/>
  <c r="GI76" i="30" s="1"/>
  <c r="GJ76" i="30" s="1"/>
  <c r="GK76" i="30" s="1"/>
  <c r="GL76" i="30" s="1"/>
  <c r="GM76" i="30" s="1"/>
  <c r="GN76" i="30" s="1"/>
  <c r="GO76" i="30" s="1"/>
  <c r="GP76" i="30" s="1"/>
  <c r="GQ76" i="30" s="1"/>
  <c r="GR76" i="30" s="1"/>
  <c r="GS76" i="30" s="1"/>
  <c r="GT76" i="30" s="1"/>
  <c r="GU76" i="30" s="1"/>
  <c r="GV76" i="30" s="1"/>
  <c r="GW76" i="30" s="1"/>
  <c r="GX76" i="30" s="1"/>
  <c r="GY76" i="30" s="1"/>
  <c r="GZ76" i="30" s="1"/>
  <c r="HA76" i="30" s="1"/>
  <c r="HB76" i="30" s="1"/>
  <c r="HC76" i="30" s="1"/>
  <c r="HD76" i="30" s="1"/>
  <c r="HE76" i="30" s="1"/>
  <c r="HF76" i="30" s="1"/>
  <c r="HG76" i="30" s="1"/>
  <c r="HH76" i="30" s="1"/>
  <c r="HI76" i="30" s="1"/>
  <c r="HJ76" i="30" s="1"/>
  <c r="HK76" i="30" s="1"/>
  <c r="HL76" i="30" s="1"/>
  <c r="HM76" i="30" s="1"/>
  <c r="HN76" i="30" s="1"/>
  <c r="HO76" i="30" s="1"/>
  <c r="HP76" i="30" s="1"/>
  <c r="HQ76" i="30" s="1"/>
  <c r="HR76" i="30" s="1"/>
  <c r="HS76" i="30" s="1"/>
  <c r="HT76" i="30" s="1"/>
  <c r="HU76" i="30" s="1"/>
  <c r="HV76" i="30" s="1"/>
  <c r="HW76" i="30" s="1"/>
  <c r="HX76" i="30" s="1"/>
  <c r="HY76" i="30" s="1"/>
  <c r="HZ76" i="30" s="1"/>
  <c r="IA76" i="30" s="1"/>
  <c r="IB76" i="30" s="1"/>
  <c r="IC76" i="30" s="1"/>
  <c r="ID76" i="30" s="1"/>
  <c r="IE76" i="30" s="1"/>
  <c r="IF76" i="30" s="1"/>
  <c r="IG76" i="30" s="1"/>
  <c r="IH76" i="30" s="1"/>
  <c r="II76" i="30" s="1"/>
  <c r="IJ76" i="30" s="1"/>
  <c r="IK76" i="30" s="1"/>
  <c r="IL76" i="30" s="1"/>
  <c r="IM76" i="30" s="1"/>
  <c r="IN76" i="30" s="1"/>
  <c r="IO76" i="30" s="1"/>
  <c r="IP76" i="30" s="1"/>
  <c r="IQ76" i="30" s="1"/>
  <c r="IR76" i="30" s="1"/>
  <c r="IS76" i="30" s="1"/>
  <c r="IT76" i="30" s="1"/>
  <c r="IU76" i="30" s="1"/>
  <c r="IV76" i="30" s="1"/>
  <c r="IW76" i="30" s="1"/>
  <c r="IX76" i="30" s="1"/>
  <c r="IY76" i="30" s="1"/>
  <c r="IZ76" i="30" s="1"/>
  <c r="JA76" i="30" s="1"/>
  <c r="JB76" i="30" s="1"/>
  <c r="JC76" i="30" s="1"/>
  <c r="JD76" i="30" s="1"/>
  <c r="JE76" i="30" s="1"/>
  <c r="JF76" i="30" s="1"/>
  <c r="JG76" i="30" s="1"/>
  <c r="JH76" i="30" s="1"/>
  <c r="JI76" i="30" s="1"/>
  <c r="JJ76" i="30" s="1"/>
  <c r="JK76" i="30" s="1"/>
  <c r="JL76" i="30" s="1"/>
  <c r="JM76" i="30" s="1"/>
  <c r="JN76" i="30" s="1"/>
  <c r="JO76" i="30" s="1"/>
  <c r="JP76" i="30" s="1"/>
  <c r="JQ76" i="30" s="1"/>
  <c r="JR76" i="30" s="1"/>
  <c r="JS76" i="30" s="1"/>
  <c r="JT76" i="30" s="1"/>
  <c r="JU76" i="30" s="1"/>
  <c r="JV76" i="30" s="1"/>
  <c r="JW76" i="30" s="1"/>
  <c r="JX76" i="30" s="1"/>
  <c r="JY76" i="30" s="1"/>
  <c r="JZ76" i="30" s="1"/>
  <c r="KA76" i="30" s="1"/>
  <c r="KB76" i="30" s="1"/>
  <c r="KC76" i="30" s="1"/>
  <c r="KD76" i="30" s="1"/>
  <c r="KE76" i="30" s="1"/>
  <c r="KF76" i="30" s="1"/>
  <c r="KG76" i="30" s="1"/>
  <c r="KH76" i="30" s="1"/>
  <c r="KI76" i="30" s="1"/>
  <c r="KJ76" i="30" s="1"/>
  <c r="KK76" i="30" s="1"/>
  <c r="KL76" i="30" s="1"/>
  <c r="KM76" i="30" s="1"/>
  <c r="KN76" i="30" s="1"/>
  <c r="KO76" i="30" s="1"/>
  <c r="KP76" i="30" s="1"/>
  <c r="KQ76" i="30" s="1"/>
  <c r="KR76" i="30" s="1"/>
  <c r="KS76" i="30" s="1"/>
  <c r="KT76" i="30" s="1"/>
  <c r="KU76" i="30" s="1"/>
  <c r="KV76" i="30" s="1"/>
  <c r="KW76" i="30" s="1"/>
  <c r="KX76" i="30" s="1"/>
  <c r="KY76" i="30" s="1"/>
  <c r="KZ76" i="30" s="1"/>
  <c r="LA76" i="30" s="1"/>
  <c r="LB76" i="30" s="1"/>
  <c r="LC76" i="30" s="1"/>
  <c r="LD76" i="30" s="1"/>
  <c r="LE76" i="30" s="1"/>
  <c r="LF76" i="30" s="1"/>
  <c r="LG76" i="30" s="1"/>
  <c r="LH76" i="30" s="1"/>
  <c r="LI76" i="30" s="1"/>
  <c r="LJ76" i="30" s="1"/>
  <c r="W3" i="30"/>
  <c r="X3" i="30" s="1"/>
  <c r="Y3" i="30" s="1"/>
  <c r="Z3" i="30" s="1"/>
  <c r="AA3" i="30" s="1"/>
  <c r="AB3" i="30" s="1"/>
  <c r="AC3" i="30" s="1"/>
  <c r="AD3" i="30" s="1"/>
  <c r="AE3" i="30" s="1"/>
  <c r="AF3" i="30" s="1"/>
  <c r="AG3" i="30" s="1"/>
  <c r="AH3" i="30" s="1"/>
  <c r="AI3" i="30" s="1"/>
  <c r="AJ3" i="30" s="1"/>
  <c r="AK3" i="30" s="1"/>
  <c r="AL3" i="30" s="1"/>
  <c r="AM3" i="30" s="1"/>
  <c r="AN3" i="30" s="1"/>
  <c r="AO3" i="30" s="1"/>
  <c r="AP3" i="30" s="1"/>
  <c r="AQ3" i="30" s="1"/>
  <c r="AR3" i="30" s="1"/>
  <c r="AS3" i="30" s="1"/>
  <c r="AT3" i="30" s="1"/>
  <c r="AU3" i="30" s="1"/>
  <c r="AV3" i="30" s="1"/>
  <c r="AW3" i="30" s="1"/>
  <c r="AX3" i="30" s="1"/>
  <c r="AY3" i="30" s="1"/>
  <c r="AZ3" i="30" s="1"/>
  <c r="BA3" i="30" s="1"/>
  <c r="BB3" i="30" s="1"/>
  <c r="BC3" i="30" s="1"/>
  <c r="BD3" i="30" s="1"/>
  <c r="BE3" i="30" s="1"/>
  <c r="BF3" i="30" s="1"/>
  <c r="BG3" i="30" s="1"/>
  <c r="BH3" i="30" s="1"/>
  <c r="BI3" i="30" s="1"/>
  <c r="BJ3" i="30" s="1"/>
  <c r="BK3" i="30" s="1"/>
  <c r="BL3" i="30" s="1"/>
  <c r="BM3" i="30" s="1"/>
  <c r="BN3" i="30" s="1"/>
  <c r="BO3" i="30" s="1"/>
  <c r="BP3" i="30" s="1"/>
  <c r="BQ3" i="30" s="1"/>
  <c r="BR3" i="30" s="1"/>
  <c r="BS3" i="30" s="1"/>
  <c r="BT3" i="30" s="1"/>
  <c r="BU3" i="30" s="1"/>
  <c r="BV3" i="30" s="1"/>
  <c r="BW3" i="30" s="1"/>
  <c r="BX3" i="30" s="1"/>
  <c r="BY3" i="30" s="1"/>
  <c r="BZ3" i="30" s="1"/>
  <c r="CA3" i="30" s="1"/>
  <c r="CB3" i="30" s="1"/>
  <c r="CC3" i="30" s="1"/>
  <c r="CD3" i="30" s="1"/>
  <c r="CE3" i="30" s="1"/>
  <c r="CF3" i="30" s="1"/>
  <c r="CG3" i="30" s="1"/>
  <c r="CH3" i="30" s="1"/>
  <c r="CI3" i="30" s="1"/>
  <c r="CJ3" i="30" s="1"/>
  <c r="CK3" i="30" s="1"/>
  <c r="CL3" i="30" s="1"/>
  <c r="CM3" i="30" s="1"/>
  <c r="CN3" i="30" s="1"/>
  <c r="CO3" i="30" s="1"/>
  <c r="CP3" i="30" s="1"/>
  <c r="CQ3" i="30" s="1"/>
  <c r="CR3" i="30" s="1"/>
  <c r="CS3" i="30" s="1"/>
  <c r="CT3" i="30" s="1"/>
  <c r="CU3" i="30" s="1"/>
  <c r="CV3" i="30" s="1"/>
  <c r="CW3" i="30" s="1"/>
  <c r="CX3" i="30" s="1"/>
  <c r="CY3" i="30" s="1"/>
  <c r="CZ3" i="30" s="1"/>
  <c r="DA3" i="30" s="1"/>
  <c r="DB3" i="30" s="1"/>
  <c r="DC3" i="30" s="1"/>
  <c r="DD3" i="30" s="1"/>
  <c r="DE3" i="30" s="1"/>
  <c r="DF3" i="30" s="1"/>
  <c r="DG3" i="30" s="1"/>
  <c r="DH3" i="30" s="1"/>
  <c r="DI3" i="30" s="1"/>
  <c r="DJ3" i="30" s="1"/>
  <c r="DK3" i="30" s="1"/>
  <c r="DL3" i="30" s="1"/>
  <c r="DM3" i="30" s="1"/>
  <c r="DN3" i="30" s="1"/>
  <c r="DO3" i="30" s="1"/>
  <c r="DP3" i="30" s="1"/>
  <c r="DQ3" i="30" s="1"/>
  <c r="DR3" i="30" s="1"/>
  <c r="DS3" i="30" s="1"/>
  <c r="DT3" i="30" s="1"/>
  <c r="DU3" i="30" s="1"/>
  <c r="DV3" i="30" s="1"/>
  <c r="DW3" i="30" s="1"/>
  <c r="DX3" i="30" s="1"/>
  <c r="DY3" i="30" s="1"/>
  <c r="DZ3" i="30" s="1"/>
  <c r="EA3" i="30" s="1"/>
  <c r="EB3" i="30" s="1"/>
  <c r="EC3" i="30" s="1"/>
  <c r="ED3" i="30" s="1"/>
  <c r="EE3" i="30" s="1"/>
  <c r="EF3" i="30" s="1"/>
  <c r="EG3" i="30" s="1"/>
  <c r="EH3" i="30" s="1"/>
  <c r="EI3" i="30" s="1"/>
  <c r="EJ3" i="30" s="1"/>
  <c r="EK3" i="30" s="1"/>
  <c r="EL3" i="30" s="1"/>
  <c r="EM3" i="30" s="1"/>
  <c r="EN3" i="30" s="1"/>
  <c r="EO3" i="30" s="1"/>
  <c r="EP3" i="30" s="1"/>
  <c r="EQ3" i="30" s="1"/>
  <c r="ER3" i="30" s="1"/>
  <c r="ES3" i="30" s="1"/>
  <c r="ET3" i="30" s="1"/>
  <c r="EU3" i="30" s="1"/>
  <c r="EV3" i="30" s="1"/>
  <c r="EW3" i="30" s="1"/>
  <c r="EX3" i="30" s="1"/>
  <c r="EY3" i="30" s="1"/>
  <c r="EZ3" i="30" s="1"/>
  <c r="FA3" i="30" s="1"/>
  <c r="FB3" i="30" s="1"/>
  <c r="FC3" i="30" s="1"/>
  <c r="FD3" i="30" s="1"/>
  <c r="FE3" i="30" s="1"/>
  <c r="FF3" i="30" s="1"/>
  <c r="FG3" i="30" s="1"/>
  <c r="FH3" i="30" s="1"/>
  <c r="FI3" i="30" s="1"/>
  <c r="FJ3" i="30" s="1"/>
  <c r="FK3" i="30" s="1"/>
  <c r="FL3" i="30" s="1"/>
  <c r="FM3" i="30" s="1"/>
  <c r="FN3" i="30" s="1"/>
  <c r="FO3" i="30" s="1"/>
  <c r="FP3" i="30" s="1"/>
  <c r="FQ3" i="30" s="1"/>
  <c r="FR3" i="30" s="1"/>
  <c r="FS3" i="30" s="1"/>
  <c r="FT3" i="30" s="1"/>
  <c r="FU3" i="30" s="1"/>
  <c r="FV3" i="30" s="1"/>
  <c r="FW3" i="30" s="1"/>
  <c r="FX3" i="30" s="1"/>
  <c r="FY3" i="30" s="1"/>
  <c r="FZ3" i="30" s="1"/>
  <c r="GA3" i="30" s="1"/>
  <c r="GB3" i="30" s="1"/>
  <c r="GC3" i="30" s="1"/>
  <c r="GD3" i="30" s="1"/>
  <c r="GE3" i="30" s="1"/>
  <c r="GF3" i="30" s="1"/>
  <c r="GG3" i="30" s="1"/>
  <c r="GH3" i="30" s="1"/>
  <c r="GI3" i="30" s="1"/>
  <c r="GJ3" i="30" s="1"/>
  <c r="GK3" i="30" s="1"/>
  <c r="GL3" i="30" s="1"/>
  <c r="GM3" i="30" s="1"/>
  <c r="GN3" i="30" s="1"/>
  <c r="GO3" i="30" s="1"/>
  <c r="GP3" i="30" s="1"/>
  <c r="GQ3" i="30" s="1"/>
  <c r="GR3" i="30" s="1"/>
  <c r="GS3" i="30" s="1"/>
  <c r="GT3" i="30" s="1"/>
  <c r="GU3" i="30" s="1"/>
  <c r="GV3" i="30" s="1"/>
  <c r="GW3" i="30" s="1"/>
  <c r="GX3" i="30" s="1"/>
  <c r="GY3" i="30" s="1"/>
  <c r="GZ3" i="30" s="1"/>
  <c r="HA3" i="30" s="1"/>
  <c r="HB3" i="30" s="1"/>
  <c r="HC3" i="30" s="1"/>
  <c r="HD3" i="30" s="1"/>
  <c r="HE3" i="30" s="1"/>
  <c r="HF3" i="30" s="1"/>
  <c r="HG3" i="30" s="1"/>
  <c r="HH3" i="30" s="1"/>
  <c r="HI3" i="30" s="1"/>
  <c r="HJ3" i="30" s="1"/>
  <c r="HK3" i="30" s="1"/>
  <c r="HL3" i="30" s="1"/>
  <c r="HM3" i="30" s="1"/>
  <c r="HN3" i="30" s="1"/>
  <c r="HO3" i="30" s="1"/>
  <c r="HP3" i="30" s="1"/>
  <c r="HQ3" i="30" s="1"/>
  <c r="HR3" i="30" s="1"/>
  <c r="HS3" i="30" s="1"/>
  <c r="HT3" i="30" s="1"/>
  <c r="HU3" i="30" s="1"/>
  <c r="HV3" i="30" s="1"/>
  <c r="HW3" i="30" s="1"/>
  <c r="HX3" i="30" s="1"/>
  <c r="HY3" i="30" s="1"/>
  <c r="HZ3" i="30" s="1"/>
  <c r="IA3" i="30" s="1"/>
  <c r="IB3" i="30" s="1"/>
  <c r="IC3" i="30" s="1"/>
  <c r="ID3" i="30" s="1"/>
  <c r="IE3" i="30" s="1"/>
  <c r="IF3" i="30" s="1"/>
  <c r="IG3" i="30" s="1"/>
  <c r="IH3" i="30" s="1"/>
  <c r="II3" i="30" s="1"/>
  <c r="IJ3" i="30" s="1"/>
  <c r="IK3" i="30" s="1"/>
  <c r="IL3" i="30" s="1"/>
  <c r="IM3" i="30" s="1"/>
  <c r="IN3" i="30" s="1"/>
  <c r="IO3" i="30" s="1"/>
  <c r="IP3" i="30" s="1"/>
  <c r="IQ3" i="30" s="1"/>
  <c r="IR3" i="30" s="1"/>
  <c r="IS3" i="30" s="1"/>
  <c r="IT3" i="30" s="1"/>
  <c r="IU3" i="30" s="1"/>
  <c r="IV3" i="30" s="1"/>
  <c r="IW3" i="30" s="1"/>
  <c r="IX3" i="30" s="1"/>
  <c r="IY3" i="30" s="1"/>
  <c r="IZ3" i="30" s="1"/>
  <c r="JA3" i="30" s="1"/>
  <c r="JB3" i="30" s="1"/>
  <c r="JC3" i="30" s="1"/>
  <c r="JD3" i="30" s="1"/>
  <c r="JE3" i="30" s="1"/>
  <c r="JF3" i="30" s="1"/>
  <c r="JG3" i="30" s="1"/>
  <c r="JH3" i="30" s="1"/>
  <c r="JI3" i="30" s="1"/>
  <c r="JJ3" i="30" s="1"/>
  <c r="JK3" i="30" s="1"/>
  <c r="JL3" i="30" s="1"/>
  <c r="JM3" i="30" s="1"/>
  <c r="JN3" i="30" s="1"/>
  <c r="JO3" i="30" s="1"/>
  <c r="JP3" i="30" s="1"/>
  <c r="JQ3" i="30" s="1"/>
  <c r="JR3" i="30" s="1"/>
  <c r="JS3" i="30" s="1"/>
  <c r="JT3" i="30" s="1"/>
  <c r="JU3" i="30" s="1"/>
  <c r="JV3" i="30" s="1"/>
  <c r="JW3" i="30" s="1"/>
  <c r="JX3" i="30" s="1"/>
  <c r="JY3" i="30" s="1"/>
  <c r="JZ3" i="30" s="1"/>
  <c r="KA3" i="30" s="1"/>
  <c r="KB3" i="30" s="1"/>
  <c r="KC3" i="30" s="1"/>
  <c r="KD3" i="30" s="1"/>
  <c r="KE3" i="30" s="1"/>
  <c r="KF3" i="30" s="1"/>
  <c r="KG3" i="30" s="1"/>
  <c r="KH3" i="30" s="1"/>
  <c r="KI3" i="30" s="1"/>
  <c r="KJ3" i="30" s="1"/>
  <c r="KK3" i="30" s="1"/>
  <c r="KL3" i="30" s="1"/>
  <c r="KM3" i="30" s="1"/>
  <c r="KN3" i="30" s="1"/>
  <c r="KO3" i="30" s="1"/>
  <c r="KP3" i="30" s="1"/>
  <c r="KQ3" i="30" s="1"/>
  <c r="KR3" i="30" s="1"/>
  <c r="KS3" i="30" s="1"/>
  <c r="KT3" i="30" s="1"/>
  <c r="KU3" i="30" s="1"/>
  <c r="KV3" i="30" s="1"/>
  <c r="KW3" i="30" s="1"/>
  <c r="KX3" i="30" s="1"/>
  <c r="KY3" i="30" s="1"/>
  <c r="KZ3" i="30" s="1"/>
  <c r="LA3" i="30" s="1"/>
  <c r="LB3" i="30" s="1"/>
  <c r="LC3" i="30" s="1"/>
  <c r="LD3" i="30" s="1"/>
  <c r="LE3" i="30" s="1"/>
  <c r="LF3" i="30" s="1"/>
  <c r="LG3" i="30" s="1"/>
  <c r="LH3" i="30" s="1"/>
  <c r="LI3" i="30" s="1"/>
  <c r="LJ3" i="30" s="1"/>
  <c r="W2" i="30"/>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CI2" i="30" s="1"/>
  <c r="CJ2" i="30" s="1"/>
  <c r="CK2" i="30" s="1"/>
  <c r="CL2" i="30" s="1"/>
  <c r="CM2" i="30" s="1"/>
  <c r="CN2" i="30" s="1"/>
  <c r="CO2" i="30" s="1"/>
  <c r="CP2" i="30" s="1"/>
  <c r="CQ2" i="30" s="1"/>
  <c r="CR2" i="30" s="1"/>
  <c r="CS2" i="30" s="1"/>
  <c r="CT2" i="30" s="1"/>
  <c r="CU2" i="30" s="1"/>
  <c r="CV2" i="30" s="1"/>
  <c r="CW2" i="30" s="1"/>
  <c r="CX2" i="30" s="1"/>
  <c r="CY2" i="30" s="1"/>
  <c r="CZ2" i="30" s="1"/>
  <c r="DA2" i="30" s="1"/>
  <c r="DB2" i="30" s="1"/>
  <c r="DC2" i="30" s="1"/>
  <c r="DD2" i="30" s="1"/>
  <c r="DE2" i="30" s="1"/>
  <c r="DF2" i="30" s="1"/>
  <c r="DG2" i="30" s="1"/>
  <c r="DH2" i="30" s="1"/>
  <c r="DI2" i="30" s="1"/>
  <c r="DJ2" i="30" s="1"/>
  <c r="DK2" i="30" s="1"/>
  <c r="DL2" i="30" s="1"/>
  <c r="DM2" i="30" s="1"/>
  <c r="DN2" i="30" s="1"/>
  <c r="DO2" i="30" s="1"/>
  <c r="DP2" i="30" s="1"/>
  <c r="DQ2" i="30" s="1"/>
  <c r="DR2" i="30" s="1"/>
  <c r="DS2" i="30" s="1"/>
  <c r="DT2" i="30" s="1"/>
  <c r="DU2" i="30" s="1"/>
  <c r="DV2" i="30" s="1"/>
  <c r="DW2" i="30" s="1"/>
  <c r="DX2" i="30" s="1"/>
  <c r="DY2" i="30" s="1"/>
  <c r="DZ2" i="30" s="1"/>
  <c r="EA2" i="30" s="1"/>
  <c r="EB2" i="30" s="1"/>
  <c r="EC2" i="30" s="1"/>
  <c r="ED2" i="30" s="1"/>
  <c r="EE2" i="30" s="1"/>
  <c r="EF2" i="30" s="1"/>
  <c r="EG2" i="30" s="1"/>
  <c r="EH2" i="30" s="1"/>
  <c r="EI2" i="30" s="1"/>
  <c r="EJ2" i="30" s="1"/>
  <c r="EK2" i="30" s="1"/>
  <c r="EL2" i="30" s="1"/>
  <c r="EM2" i="30" s="1"/>
  <c r="EN2" i="30" s="1"/>
  <c r="EO2" i="30" s="1"/>
  <c r="EP2" i="30" s="1"/>
  <c r="EQ2" i="30" s="1"/>
  <c r="ER2" i="30" s="1"/>
  <c r="ES2" i="30" s="1"/>
  <c r="ET2" i="30" s="1"/>
  <c r="EU2" i="30" s="1"/>
  <c r="EV2" i="30" s="1"/>
  <c r="EW2" i="30" s="1"/>
  <c r="EX2" i="30" s="1"/>
  <c r="EY2" i="30" s="1"/>
  <c r="EZ2" i="30" s="1"/>
  <c r="FA2" i="30" s="1"/>
  <c r="FB2" i="30" s="1"/>
  <c r="FC2" i="30" s="1"/>
  <c r="FD2" i="30" s="1"/>
  <c r="FE2" i="30" s="1"/>
  <c r="FF2" i="30" s="1"/>
  <c r="FG2" i="30" s="1"/>
  <c r="FH2" i="30" s="1"/>
  <c r="FI2" i="30" s="1"/>
  <c r="FJ2" i="30" s="1"/>
  <c r="FK2" i="30" s="1"/>
  <c r="FL2" i="30" s="1"/>
  <c r="FM2" i="30" s="1"/>
  <c r="FN2" i="30" s="1"/>
  <c r="FO2" i="30" s="1"/>
  <c r="FP2" i="30" s="1"/>
  <c r="FQ2" i="30" s="1"/>
  <c r="FR2" i="30" s="1"/>
  <c r="FS2" i="30" s="1"/>
  <c r="FT2" i="30" s="1"/>
  <c r="FU2" i="30" s="1"/>
  <c r="FV2" i="30" s="1"/>
  <c r="FW2" i="30" s="1"/>
  <c r="FX2" i="30" s="1"/>
  <c r="FY2" i="30" s="1"/>
  <c r="FZ2" i="30" s="1"/>
  <c r="GA2" i="30" s="1"/>
  <c r="GB2" i="30" s="1"/>
  <c r="GC2" i="30" s="1"/>
  <c r="GD2" i="30" s="1"/>
  <c r="GE2" i="30" s="1"/>
  <c r="GF2" i="30" s="1"/>
  <c r="GG2" i="30" s="1"/>
  <c r="GH2" i="30" s="1"/>
  <c r="GI2" i="30" s="1"/>
  <c r="GJ2" i="30" s="1"/>
  <c r="GK2" i="30" s="1"/>
  <c r="GL2" i="30" s="1"/>
  <c r="GM2" i="30" s="1"/>
  <c r="GN2" i="30" s="1"/>
  <c r="GO2" i="30" s="1"/>
  <c r="GP2" i="30" s="1"/>
  <c r="GQ2" i="30" s="1"/>
  <c r="GR2" i="30" s="1"/>
  <c r="GS2" i="30" s="1"/>
  <c r="GT2" i="30" s="1"/>
  <c r="GU2" i="30" s="1"/>
  <c r="GV2" i="30" s="1"/>
  <c r="GW2" i="30" s="1"/>
  <c r="GX2" i="30" s="1"/>
  <c r="GY2" i="30" s="1"/>
  <c r="GZ2" i="30" s="1"/>
  <c r="HA2" i="30" s="1"/>
  <c r="HB2" i="30" s="1"/>
  <c r="HC2" i="30" s="1"/>
  <c r="HD2" i="30" s="1"/>
  <c r="HE2" i="30" s="1"/>
  <c r="HF2" i="30" s="1"/>
  <c r="HG2" i="30" s="1"/>
  <c r="HH2" i="30" s="1"/>
  <c r="HI2" i="30" s="1"/>
  <c r="HJ2" i="30" s="1"/>
  <c r="HK2" i="30" s="1"/>
  <c r="HL2" i="30" s="1"/>
  <c r="HM2" i="30" s="1"/>
  <c r="HN2" i="30" s="1"/>
  <c r="HO2" i="30" s="1"/>
  <c r="HP2" i="30" s="1"/>
  <c r="HQ2" i="30" s="1"/>
  <c r="HR2" i="30" s="1"/>
  <c r="HS2" i="30" s="1"/>
  <c r="HT2" i="30" s="1"/>
  <c r="HU2" i="30" s="1"/>
  <c r="HV2" i="30" s="1"/>
  <c r="HW2" i="30" s="1"/>
  <c r="HX2" i="30" s="1"/>
  <c r="HY2" i="30" s="1"/>
  <c r="HZ2" i="30" s="1"/>
  <c r="IA2" i="30" s="1"/>
  <c r="IB2" i="30" s="1"/>
  <c r="IC2" i="30" s="1"/>
  <c r="ID2" i="30" s="1"/>
  <c r="IE2" i="30" s="1"/>
  <c r="IF2" i="30" s="1"/>
  <c r="IG2" i="30" s="1"/>
  <c r="IH2" i="30" s="1"/>
  <c r="II2" i="30" s="1"/>
  <c r="IJ2" i="30" s="1"/>
  <c r="IK2" i="30" s="1"/>
  <c r="IL2" i="30" s="1"/>
  <c r="IM2" i="30" s="1"/>
  <c r="IN2" i="30" s="1"/>
  <c r="IO2" i="30" s="1"/>
  <c r="IP2" i="30" s="1"/>
  <c r="IQ2" i="30" s="1"/>
  <c r="IR2" i="30" s="1"/>
  <c r="IS2" i="30" s="1"/>
  <c r="IT2" i="30" s="1"/>
  <c r="IU2" i="30" s="1"/>
  <c r="IV2" i="30" s="1"/>
  <c r="IW2" i="30" s="1"/>
  <c r="IX2" i="30" s="1"/>
  <c r="IY2" i="30" s="1"/>
  <c r="IZ2" i="30" s="1"/>
  <c r="JA2" i="30" s="1"/>
  <c r="JB2" i="30" s="1"/>
  <c r="JC2" i="30" s="1"/>
  <c r="JD2" i="30" s="1"/>
  <c r="JE2" i="30" s="1"/>
  <c r="JF2" i="30" s="1"/>
  <c r="JG2" i="30" s="1"/>
  <c r="JH2" i="30" s="1"/>
  <c r="JI2" i="30" s="1"/>
  <c r="JJ2" i="30" s="1"/>
  <c r="JK2" i="30" s="1"/>
  <c r="JL2" i="30" s="1"/>
  <c r="JM2" i="30" s="1"/>
  <c r="JN2" i="30" s="1"/>
  <c r="JO2" i="30" s="1"/>
  <c r="JP2" i="30" s="1"/>
  <c r="JQ2" i="30" s="1"/>
  <c r="JR2" i="30" s="1"/>
  <c r="JS2" i="30" s="1"/>
  <c r="JT2" i="30" s="1"/>
  <c r="JU2" i="30" s="1"/>
  <c r="JV2" i="30" s="1"/>
  <c r="JW2" i="30" s="1"/>
  <c r="JX2" i="30" s="1"/>
  <c r="JY2" i="30" s="1"/>
  <c r="JZ2" i="30" s="1"/>
  <c r="KA2" i="30" s="1"/>
  <c r="KB2" i="30" s="1"/>
  <c r="KC2" i="30" s="1"/>
  <c r="KD2" i="30" s="1"/>
  <c r="KE2" i="30" s="1"/>
  <c r="KF2" i="30" s="1"/>
  <c r="KG2" i="30" s="1"/>
  <c r="KH2" i="30" s="1"/>
  <c r="KI2" i="30" s="1"/>
  <c r="KJ2" i="30" s="1"/>
  <c r="KK2" i="30" s="1"/>
  <c r="KL2" i="30" s="1"/>
  <c r="KM2" i="30" s="1"/>
  <c r="KN2" i="30" s="1"/>
  <c r="KO2" i="30" s="1"/>
  <c r="KP2" i="30" s="1"/>
  <c r="KQ2" i="30" s="1"/>
  <c r="KR2" i="30" s="1"/>
  <c r="KS2" i="30" s="1"/>
  <c r="KT2" i="30" s="1"/>
  <c r="KU2" i="30" s="1"/>
  <c r="KV2" i="30" s="1"/>
  <c r="KW2" i="30" s="1"/>
  <c r="KX2" i="30" s="1"/>
  <c r="KY2" i="30" s="1"/>
  <c r="KZ2" i="30" s="1"/>
  <c r="LA2" i="30" s="1"/>
  <c r="LB2" i="30" s="1"/>
  <c r="LC2" i="30" s="1"/>
  <c r="LD2" i="30" s="1"/>
  <c r="LE2" i="30" s="1"/>
  <c r="LF2" i="30" s="1"/>
  <c r="LG2" i="30" s="1"/>
  <c r="LH2" i="30" s="1"/>
  <c r="LI2" i="30" s="1"/>
  <c r="LJ2" i="30" s="1"/>
  <c r="C19" i="30"/>
  <c r="D19" i="30"/>
  <c r="C6" i="30"/>
  <c r="D6" i="30"/>
  <c r="C4" i="30"/>
  <c r="D4" i="30"/>
  <c r="C32" i="65"/>
  <c r="C33" i="65"/>
  <c r="C34" i="65"/>
  <c r="C16" i="65"/>
  <c r="C17" i="65"/>
  <c r="C18" i="65"/>
  <c r="C19" i="65"/>
  <c r="C20" i="65"/>
  <c r="C21" i="65"/>
  <c r="C22" i="65"/>
  <c r="C23" i="65"/>
  <c r="F4" i="65"/>
  <c r="J4" i="65" s="1"/>
  <c r="B6" i="65"/>
  <c r="U5" i="65"/>
  <c r="M5" i="65"/>
  <c r="AA9" i="65"/>
  <c r="AS10" i="42"/>
  <c r="AS10" i="44"/>
  <c r="AS10" i="46"/>
  <c r="AS10" i="48"/>
  <c r="AS10" i="50"/>
  <c r="AS10" i="52"/>
  <c r="AS10" i="54"/>
  <c r="AS10" i="56"/>
  <c r="AS10" i="58"/>
  <c r="AS10" i="60"/>
  <c r="AS10" i="40"/>
  <c r="M11" i="38"/>
  <c r="B2" i="32" s="1"/>
  <c r="U37" i="32" s="1"/>
  <c r="AA9" i="59"/>
  <c r="AA9" i="57"/>
  <c r="AA9" i="55"/>
  <c r="AA9" i="53"/>
  <c r="AA9" i="51"/>
  <c r="AA9" i="49"/>
  <c r="AA9" i="47"/>
  <c r="AA9" i="45"/>
  <c r="AA9" i="43"/>
  <c r="AA9" i="41"/>
  <c r="AA9" i="39"/>
  <c r="B2" i="59"/>
  <c r="U37" i="59" s="1"/>
  <c r="BE60" i="59" a="1"/>
  <c r="BE60" i="59" s="1"/>
  <c r="BF47" i="59" a="1"/>
  <c r="BF47" i="59" s="1"/>
  <c r="BG33" i="59" a="1"/>
  <c r="BG33" i="59" s="1"/>
  <c r="BH17" i="59" a="1"/>
  <c r="BH17" i="59" s="1"/>
  <c r="BG15" i="59"/>
  <c r="B15" i="59"/>
  <c r="BH14" i="59"/>
  <c r="T14" i="59"/>
  <c r="AD5" i="68" s="1"/>
  <c r="M14" i="59"/>
  <c r="B2" i="60" s="1"/>
  <c r="BI13" i="59"/>
  <c r="F13" i="59"/>
  <c r="BJ12" i="59"/>
  <c r="BJ6" i="59"/>
  <c r="O4" i="59"/>
  <c r="B2" i="57"/>
  <c r="U37" i="57" s="1"/>
  <c r="BE60" i="57" a="1"/>
  <c r="BE60" i="57" s="1"/>
  <c r="BF47" i="57" a="1"/>
  <c r="BF47" i="57" s="1"/>
  <c r="BG33" i="57" a="1"/>
  <c r="BG33" i="57" s="1"/>
  <c r="BH17" i="57" a="1"/>
  <c r="BH17" i="57" s="1"/>
  <c r="BG15" i="57"/>
  <c r="B15" i="57"/>
  <c r="BH14" i="57"/>
  <c r="T14" i="57"/>
  <c r="M14" i="57"/>
  <c r="B2" i="58" s="1"/>
  <c r="BI13" i="57"/>
  <c r="F13" i="57"/>
  <c r="BJ12" i="57"/>
  <c r="BJ6" i="57"/>
  <c r="O4" i="57"/>
  <c r="B2" i="55"/>
  <c r="U37" i="55" s="1"/>
  <c r="BE60" i="55" a="1"/>
  <c r="BE60" i="55" s="1"/>
  <c r="BF47" i="55" a="1"/>
  <c r="BF47" i="55" s="1"/>
  <c r="BG33" i="55" a="1"/>
  <c r="BG33" i="55" s="1"/>
  <c r="BH17" i="55" a="1"/>
  <c r="BH17" i="55" s="1"/>
  <c r="BG15" i="55"/>
  <c r="B15" i="55"/>
  <c r="BH14" i="55"/>
  <c r="T14" i="55"/>
  <c r="M14" i="55"/>
  <c r="B2" i="56" s="1"/>
  <c r="BI13" i="55"/>
  <c r="F13" i="55"/>
  <c r="BJ12" i="55"/>
  <c r="BJ6" i="55"/>
  <c r="O4" i="55"/>
  <c r="B2" i="53"/>
  <c r="U37" i="53" s="1"/>
  <c r="BE60" i="53" a="1"/>
  <c r="BE60" i="53" s="1"/>
  <c r="BF47" i="53" a="1"/>
  <c r="BF47" i="53" s="1"/>
  <c r="BG33" i="53" a="1"/>
  <c r="BG33" i="53" s="1"/>
  <c r="BH17" i="53" a="1"/>
  <c r="BH17" i="53" s="1"/>
  <c r="BG15" i="53"/>
  <c r="B15" i="53"/>
  <c r="BH14" i="53"/>
  <c r="T14" i="53"/>
  <c r="M14" i="53"/>
  <c r="B2" i="54" s="1"/>
  <c r="BI13" i="53"/>
  <c r="F13" i="53"/>
  <c r="BJ12" i="53"/>
  <c r="BJ6" i="53"/>
  <c r="O4" i="53"/>
  <c r="B2" i="51"/>
  <c r="U37" i="51" s="1"/>
  <c r="BE60" i="51" a="1"/>
  <c r="BE60" i="51" s="1"/>
  <c r="BF47" i="51" a="1"/>
  <c r="BF47" i="51" s="1"/>
  <c r="BG33" i="51" a="1"/>
  <c r="BG33" i="51" s="1"/>
  <c r="BH17" i="51" a="1"/>
  <c r="BH17" i="51" s="1"/>
  <c r="BG15" i="51"/>
  <c r="B15" i="51"/>
  <c r="BH14" i="51"/>
  <c r="T14" i="51"/>
  <c r="M14" i="51"/>
  <c r="B2" i="52" s="1"/>
  <c r="BI13" i="51"/>
  <c r="F13" i="51"/>
  <c r="BJ12" i="51"/>
  <c r="BJ6" i="51"/>
  <c r="O4" i="51"/>
  <c r="B2" i="49"/>
  <c r="U37" i="49" s="1"/>
  <c r="BE60" i="49" a="1"/>
  <c r="BE60" i="49" s="1"/>
  <c r="BF47" i="49" a="1"/>
  <c r="BF47" i="49" s="1"/>
  <c r="BG33" i="49" a="1"/>
  <c r="BG33" i="49" s="1"/>
  <c r="BH17" i="49" a="1"/>
  <c r="BH17" i="49" s="1"/>
  <c r="BG15" i="49"/>
  <c r="B15" i="49"/>
  <c r="BH14" i="49"/>
  <c r="T14" i="49"/>
  <c r="M14" i="49"/>
  <c r="B2" i="50" s="1"/>
  <c r="BI13" i="49"/>
  <c r="F13" i="49"/>
  <c r="BJ12" i="49"/>
  <c r="BJ6" i="49"/>
  <c r="O4" i="49"/>
  <c r="B2" i="47"/>
  <c r="U37" i="47" s="1"/>
  <c r="BE60" i="47" a="1"/>
  <c r="BE60" i="47" s="1"/>
  <c r="BF47" i="47" a="1"/>
  <c r="BF47" i="47" s="1"/>
  <c r="BG33" i="47" a="1"/>
  <c r="BG33" i="47" s="1"/>
  <c r="BH17" i="47" a="1"/>
  <c r="BH17" i="47" s="1"/>
  <c r="BG15" i="47"/>
  <c r="B15" i="47"/>
  <c r="BH14" i="47"/>
  <c r="T14" i="47"/>
  <c r="AJ5" i="48" s="1"/>
  <c r="M14" i="47"/>
  <c r="B2" i="48" s="1"/>
  <c r="BI13" i="47"/>
  <c r="F13" i="47"/>
  <c r="BJ12" i="47"/>
  <c r="BJ6" i="47"/>
  <c r="O4" i="47"/>
  <c r="B2" i="45"/>
  <c r="U37" i="45" s="1"/>
  <c r="BE60" i="45" a="1"/>
  <c r="BE60" i="45" s="1"/>
  <c r="BF47" i="45" a="1"/>
  <c r="BF47" i="45" s="1"/>
  <c r="BG33" i="45" a="1"/>
  <c r="BG33" i="45" s="1"/>
  <c r="BH17" i="45" a="1"/>
  <c r="BH17" i="45" s="1"/>
  <c r="BG15" i="45"/>
  <c r="B15" i="45"/>
  <c r="BH14" i="45"/>
  <c r="T14" i="45"/>
  <c r="M14" i="45"/>
  <c r="B2" i="46" s="1"/>
  <c r="BI13" i="45"/>
  <c r="F13" i="45"/>
  <c r="BJ12" i="45"/>
  <c r="BJ6" i="45"/>
  <c r="O4" i="45"/>
  <c r="B2" i="43"/>
  <c r="U37" i="43" s="1"/>
  <c r="BE60" i="43" a="1"/>
  <c r="BE60" i="43" s="1"/>
  <c r="BF47" i="43" a="1"/>
  <c r="BF47" i="43" s="1"/>
  <c r="BG33" i="43" a="1"/>
  <c r="BG33" i="43" s="1"/>
  <c r="BH17" i="43" a="1"/>
  <c r="BH17" i="43" s="1"/>
  <c r="BG15" i="43"/>
  <c r="B15" i="43"/>
  <c r="BH14" i="43"/>
  <c r="T14" i="43"/>
  <c r="M14" i="43"/>
  <c r="B2" i="44" s="1"/>
  <c r="BI13" i="43"/>
  <c r="F13" i="43"/>
  <c r="BJ12" i="43"/>
  <c r="BJ6" i="43"/>
  <c r="O4" i="43"/>
  <c r="B2" i="41"/>
  <c r="U37" i="41" s="1"/>
  <c r="BE60" i="41" a="1"/>
  <c r="BE60" i="41" s="1"/>
  <c r="BF47" i="41" a="1"/>
  <c r="BF47" i="41" s="1"/>
  <c r="BG33" i="41" a="1"/>
  <c r="BG33" i="41" s="1"/>
  <c r="BH17" i="41" a="1"/>
  <c r="BH17" i="41" s="1"/>
  <c r="BG15" i="41"/>
  <c r="B15" i="41"/>
  <c r="BH14" i="41"/>
  <c r="T14" i="41"/>
  <c r="M14" i="41"/>
  <c r="B2" i="42" s="1"/>
  <c r="BI13" i="41"/>
  <c r="F13" i="41"/>
  <c r="BJ12" i="41"/>
  <c r="BJ6" i="41"/>
  <c r="O4" i="41"/>
  <c r="B2" i="39"/>
  <c r="U37" i="39" s="1"/>
  <c r="BE60" i="39" a="1"/>
  <c r="BE60" i="39" s="1"/>
  <c r="BF47" i="39" a="1"/>
  <c r="BF47" i="39" s="1"/>
  <c r="BG33" i="39" a="1"/>
  <c r="BG33" i="39" s="1"/>
  <c r="BH17" i="39" a="1"/>
  <c r="BH17" i="39" s="1"/>
  <c r="BG15" i="39"/>
  <c r="B15" i="39"/>
  <c r="BH14" i="39"/>
  <c r="T14" i="39"/>
  <c r="M14" i="39"/>
  <c r="B2" i="40" s="1"/>
  <c r="BI13" i="39"/>
  <c r="F13" i="39"/>
  <c r="BJ12" i="39"/>
  <c r="BJ6" i="39"/>
  <c r="O4" i="39"/>
  <c r="AA9" i="32"/>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AS10" i="34"/>
  <c r="M14" i="32"/>
  <c r="J6" i="38"/>
  <c r="G6" i="38"/>
  <c r="E26" i="38"/>
  <c r="E27" i="38"/>
  <c r="E28" i="38"/>
  <c r="E29" i="38"/>
  <c r="E30" i="38"/>
  <c r="E31" i="38"/>
  <c r="E32" i="38"/>
  <c r="E33" i="38"/>
  <c r="E34" i="38"/>
  <c r="E35" i="38"/>
  <c r="E36" i="38"/>
  <c r="E37" i="38"/>
  <c r="E38" i="38"/>
  <c r="E39" i="38"/>
  <c r="E40" i="38"/>
  <c r="E41" i="38"/>
  <c r="E42" i="38"/>
  <c r="E43" i="38"/>
  <c r="E44" i="38"/>
  <c r="E45" i="38"/>
  <c r="E46" i="38"/>
  <c r="D26" i="38"/>
  <c r="D27" i="38"/>
  <c r="D28" i="38"/>
  <c r="D29" i="38"/>
  <c r="D30" i="38"/>
  <c r="D31" i="38"/>
  <c r="D32" i="38"/>
  <c r="D33" i="38"/>
  <c r="D34" i="38"/>
  <c r="D35" i="38"/>
  <c r="D36" i="38"/>
  <c r="D37" i="38"/>
  <c r="D38" i="38"/>
  <c r="D39" i="38"/>
  <c r="D40" i="38"/>
  <c r="D41" i="38"/>
  <c r="D42" i="38"/>
  <c r="D43" i="38"/>
  <c r="D44" i="38"/>
  <c r="D45" i="38"/>
  <c r="D46" i="38"/>
  <c r="C26" i="38"/>
  <c r="C27" i="38"/>
  <c r="C28" i="38"/>
  <c r="C29" i="38"/>
  <c r="C30" i="38"/>
  <c r="C31" i="38"/>
  <c r="C32" i="38"/>
  <c r="C33" i="38"/>
  <c r="C34" i="38"/>
  <c r="C35" i="38"/>
  <c r="C36" i="38"/>
  <c r="C37" i="38"/>
  <c r="C38" i="38"/>
  <c r="C39" i="38"/>
  <c r="C40" i="38"/>
  <c r="C41" i="38"/>
  <c r="C42" i="38"/>
  <c r="C43" i="38"/>
  <c r="C44" i="38"/>
  <c r="C45" i="38"/>
  <c r="C46" i="38"/>
  <c r="A3" i="22"/>
  <c r="A4" i="22"/>
  <c r="A5" i="22"/>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2" i="22"/>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670" i="37"/>
  <c r="A671" i="37"/>
  <c r="A672" i="37"/>
  <c r="A673" i="37"/>
  <c r="A674" i="37"/>
  <c r="A675" i="37"/>
  <c r="A676" i="37"/>
  <c r="A677" i="37"/>
  <c r="A678" i="37"/>
  <c r="A679" i="37"/>
  <c r="A680" i="37"/>
  <c r="A681" i="37"/>
  <c r="A682" i="37"/>
  <c r="A683" i="37"/>
  <c r="A684" i="37"/>
  <c r="A685" i="37"/>
  <c r="A686" i="37"/>
  <c r="A687" i="37"/>
  <c r="A688" i="37"/>
  <c r="A689" i="37"/>
  <c r="A337" i="36"/>
  <c r="A338" i="36"/>
  <c r="A339" i="36"/>
  <c r="A340" i="36"/>
  <c r="A341" i="36"/>
  <c r="A342" i="36"/>
  <c r="A343" i="36"/>
  <c r="A344" i="36"/>
  <c r="A345" i="36"/>
  <c r="A346" i="36"/>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B15" i="32"/>
  <c r="AS2" i="61" s="1"/>
  <c r="O4" i="32"/>
  <c r="H74" i="30"/>
  <c r="LL74" i="30" s="1"/>
  <c r="LM74" i="30" s="1"/>
  <c r="LN74" i="30" s="1"/>
  <c r="LO74" i="30" s="1"/>
  <c r="LP74" i="30" s="1"/>
  <c r="LQ74" i="30" s="1"/>
  <c r="LR74" i="30" s="1"/>
  <c r="LS74" i="30" s="1"/>
  <c r="LT74" i="30" s="1"/>
  <c r="LU74" i="30" s="1"/>
  <c r="LV74" i="30" s="1"/>
  <c r="LW74" i="30" s="1"/>
  <c r="LX74" i="30" s="1"/>
  <c r="LY74" i="30" s="1"/>
  <c r="LZ74" i="30" s="1"/>
  <c r="MA74" i="30" s="1"/>
  <c r="MB74" i="30" s="1"/>
  <c r="MC74" i="30" s="1"/>
  <c r="MD74" i="30" s="1"/>
  <c r="ME74" i="30" s="1"/>
  <c r="MF74" i="30" s="1"/>
  <c r="MG74" i="30" s="1"/>
  <c r="MH74" i="30" s="1"/>
  <c r="MI74" i="30" s="1"/>
  <c r="MJ74" i="30" s="1"/>
  <c r="MK74" i="30" s="1"/>
  <c r="ML74" i="30" s="1"/>
  <c r="MM74" i="30" s="1"/>
  <c r="MN74" i="30" s="1"/>
  <c r="MO74" i="30" s="1"/>
  <c r="MP74" i="30" s="1"/>
  <c r="MQ74" i="30" s="1"/>
  <c r="MR74" i="30" s="1"/>
  <c r="MS74" i="30" s="1"/>
  <c r="MT74" i="30" s="1"/>
  <c r="MU74" i="30" s="1"/>
  <c r="MV74" i="30" s="1"/>
  <c r="MW74" i="30" s="1"/>
  <c r="MX74" i="30" s="1"/>
  <c r="MY74" i="30" s="1"/>
  <c r="MZ74" i="30" s="1"/>
  <c r="NA74" i="30" s="1"/>
  <c r="NB74" i="30" s="1"/>
  <c r="NC74" i="30" s="1"/>
  <c r="ND74" i="30" s="1"/>
  <c r="NE74" i="30" s="1"/>
  <c r="NF74" i="30" s="1"/>
  <c r="NG74" i="30" s="1"/>
  <c r="NH74" i="30" s="1"/>
  <c r="NI74" i="30" s="1"/>
  <c r="NJ74" i="30" s="1"/>
  <c r="NK74" i="30" s="1"/>
  <c r="NL74" i="30" s="1"/>
  <c r="NM74" i="30" s="1"/>
  <c r="NN74" i="30" s="1"/>
  <c r="NO74" i="30" s="1"/>
  <c r="NP74" i="30" s="1"/>
  <c r="NQ74" i="30" s="1"/>
  <c r="NR74" i="30" s="1"/>
  <c r="NS74" i="30" s="1"/>
  <c r="NT74" i="30" s="1"/>
  <c r="NU74" i="30" s="1"/>
  <c r="NV74" i="30" s="1"/>
  <c r="NW74" i="30" s="1"/>
  <c r="NX74" i="30" s="1"/>
  <c r="NY74" i="30" s="1"/>
  <c r="NZ74" i="30" s="1"/>
  <c r="OA74" i="30" s="1"/>
  <c r="OB74" i="30" s="1"/>
  <c r="OC74" i="30" s="1"/>
  <c r="OD74" i="30" s="1"/>
  <c r="OE74" i="30" s="1"/>
  <c r="OF74" i="30" s="1"/>
  <c r="OG74" i="30" s="1"/>
  <c r="OH74" i="30" s="1"/>
  <c r="OI74" i="30" s="1"/>
  <c r="OJ74" i="30" s="1"/>
  <c r="OK74" i="30" s="1"/>
  <c r="OL74" i="30" s="1"/>
  <c r="OM74" i="30" s="1"/>
  <c r="ON74" i="30" s="1"/>
  <c r="OO74" i="30" s="1"/>
  <c r="OP74" i="30" s="1"/>
  <c r="OQ74" i="30" s="1"/>
  <c r="OR74" i="30" s="1"/>
  <c r="OS74" i="30" s="1"/>
  <c r="OT74" i="30" s="1"/>
  <c r="OU74" i="30" s="1"/>
  <c r="OV74" i="30" s="1"/>
  <c r="OW74" i="30" s="1"/>
  <c r="OX74" i="30" s="1"/>
  <c r="OY74" i="30" s="1"/>
  <c r="OZ74" i="30" s="1"/>
  <c r="PA74" i="30" s="1"/>
  <c r="PB74" i="30" s="1"/>
  <c r="PC74" i="30" s="1"/>
  <c r="PD74" i="30" s="1"/>
  <c r="PE74" i="30" s="1"/>
  <c r="PF74" i="30" s="1"/>
  <c r="PG74" i="30" s="1"/>
  <c r="H75" i="30"/>
  <c r="LL75" i="30" s="1"/>
  <c r="LM75" i="30" s="1"/>
  <c r="LN75" i="30" s="1"/>
  <c r="LO75" i="30" s="1"/>
  <c r="LP75" i="30" s="1"/>
  <c r="LQ75" i="30" s="1"/>
  <c r="LR75" i="30" s="1"/>
  <c r="LS75" i="30" s="1"/>
  <c r="LT75" i="30" s="1"/>
  <c r="LU75" i="30" s="1"/>
  <c r="LV75" i="30" s="1"/>
  <c r="LW75" i="30" s="1"/>
  <c r="LX75" i="30" s="1"/>
  <c r="LY75" i="30" s="1"/>
  <c r="LZ75" i="30" s="1"/>
  <c r="MA75" i="30" s="1"/>
  <c r="MB75" i="30" s="1"/>
  <c r="MC75" i="30" s="1"/>
  <c r="MD75" i="30" s="1"/>
  <c r="ME75" i="30" s="1"/>
  <c r="MF75" i="30" s="1"/>
  <c r="MG75" i="30" s="1"/>
  <c r="MH75" i="30" s="1"/>
  <c r="MI75" i="30" s="1"/>
  <c r="MJ75" i="30" s="1"/>
  <c r="MK75" i="30" s="1"/>
  <c r="ML75" i="30" s="1"/>
  <c r="MM75" i="30" s="1"/>
  <c r="MN75" i="30" s="1"/>
  <c r="MO75" i="30" s="1"/>
  <c r="MP75" i="30" s="1"/>
  <c r="MQ75" i="30" s="1"/>
  <c r="MR75" i="30" s="1"/>
  <c r="MS75" i="30" s="1"/>
  <c r="MT75" i="30" s="1"/>
  <c r="MU75" i="30" s="1"/>
  <c r="MV75" i="30" s="1"/>
  <c r="MW75" i="30" s="1"/>
  <c r="MX75" i="30" s="1"/>
  <c r="MY75" i="30" s="1"/>
  <c r="MZ75" i="30" s="1"/>
  <c r="NA75" i="30" s="1"/>
  <c r="NB75" i="30" s="1"/>
  <c r="NC75" i="30" s="1"/>
  <c r="ND75" i="30" s="1"/>
  <c r="NE75" i="30" s="1"/>
  <c r="NF75" i="30" s="1"/>
  <c r="NG75" i="30" s="1"/>
  <c r="NH75" i="30" s="1"/>
  <c r="NI75" i="30" s="1"/>
  <c r="NJ75" i="30" s="1"/>
  <c r="NK75" i="30" s="1"/>
  <c r="NL75" i="30" s="1"/>
  <c r="NM75" i="30" s="1"/>
  <c r="NN75" i="30" s="1"/>
  <c r="NO75" i="30" s="1"/>
  <c r="NP75" i="30" s="1"/>
  <c r="NQ75" i="30" s="1"/>
  <c r="NR75" i="30" s="1"/>
  <c r="NS75" i="30" s="1"/>
  <c r="NT75" i="30" s="1"/>
  <c r="NU75" i="30" s="1"/>
  <c r="NV75" i="30" s="1"/>
  <c r="NW75" i="30" s="1"/>
  <c r="NX75" i="30" s="1"/>
  <c r="NY75" i="30" s="1"/>
  <c r="NZ75" i="30" s="1"/>
  <c r="OA75" i="30" s="1"/>
  <c r="OB75" i="30" s="1"/>
  <c r="OC75" i="30" s="1"/>
  <c r="OD75" i="30" s="1"/>
  <c r="OE75" i="30" s="1"/>
  <c r="OF75" i="30" s="1"/>
  <c r="OG75" i="30" s="1"/>
  <c r="OH75" i="30" s="1"/>
  <c r="OI75" i="30" s="1"/>
  <c r="OJ75" i="30" s="1"/>
  <c r="OK75" i="30" s="1"/>
  <c r="OL75" i="30" s="1"/>
  <c r="OM75" i="30" s="1"/>
  <c r="ON75" i="30" s="1"/>
  <c r="OO75" i="30" s="1"/>
  <c r="OP75" i="30" s="1"/>
  <c r="OQ75" i="30" s="1"/>
  <c r="OR75" i="30" s="1"/>
  <c r="OS75" i="30" s="1"/>
  <c r="OT75" i="30" s="1"/>
  <c r="OU75" i="30" s="1"/>
  <c r="OV75" i="30" s="1"/>
  <c r="OW75" i="30" s="1"/>
  <c r="OX75" i="30" s="1"/>
  <c r="OY75" i="30" s="1"/>
  <c r="OZ75" i="30" s="1"/>
  <c r="PA75" i="30" s="1"/>
  <c r="PB75" i="30" s="1"/>
  <c r="PC75" i="30" s="1"/>
  <c r="PD75" i="30" s="1"/>
  <c r="PE75" i="30" s="1"/>
  <c r="PF75" i="30" s="1"/>
  <c r="PG75" i="30" s="1"/>
  <c r="H76" i="30"/>
  <c r="LL76" i="30" s="1"/>
  <c r="LM76" i="30" s="1"/>
  <c r="LN76" i="30" s="1"/>
  <c r="LO76" i="30" s="1"/>
  <c r="LP76" i="30" s="1"/>
  <c r="LQ76" i="30" s="1"/>
  <c r="LR76" i="30" s="1"/>
  <c r="LS76" i="30" s="1"/>
  <c r="LT76" i="30" s="1"/>
  <c r="LU76" i="30" s="1"/>
  <c r="LV76" i="30" s="1"/>
  <c r="LW76" i="30" s="1"/>
  <c r="LX76" i="30" s="1"/>
  <c r="LY76" i="30" s="1"/>
  <c r="LZ76" i="30" s="1"/>
  <c r="MA76" i="30" s="1"/>
  <c r="MB76" i="30" s="1"/>
  <c r="MC76" i="30" s="1"/>
  <c r="MD76" i="30" s="1"/>
  <c r="ME76" i="30" s="1"/>
  <c r="MF76" i="30" s="1"/>
  <c r="MG76" i="30" s="1"/>
  <c r="MH76" i="30" s="1"/>
  <c r="MI76" i="30" s="1"/>
  <c r="MJ76" i="30" s="1"/>
  <c r="MK76" i="30" s="1"/>
  <c r="ML76" i="30" s="1"/>
  <c r="MM76" i="30" s="1"/>
  <c r="MN76" i="30" s="1"/>
  <c r="MO76" i="30" s="1"/>
  <c r="MP76" i="30" s="1"/>
  <c r="MQ76" i="30" s="1"/>
  <c r="MR76" i="30" s="1"/>
  <c r="MS76" i="30" s="1"/>
  <c r="MT76" i="30" s="1"/>
  <c r="MU76" i="30" s="1"/>
  <c r="MV76" i="30" s="1"/>
  <c r="MW76" i="30" s="1"/>
  <c r="MX76" i="30" s="1"/>
  <c r="MY76" i="30" s="1"/>
  <c r="MZ76" i="30" s="1"/>
  <c r="NA76" i="30" s="1"/>
  <c r="NB76" i="30" s="1"/>
  <c r="NC76" i="30" s="1"/>
  <c r="ND76" i="30" s="1"/>
  <c r="NE76" i="30" s="1"/>
  <c r="NF76" i="30" s="1"/>
  <c r="NG76" i="30" s="1"/>
  <c r="NH76" i="30" s="1"/>
  <c r="NI76" i="30" s="1"/>
  <c r="NJ76" i="30" s="1"/>
  <c r="NK76" i="30" s="1"/>
  <c r="NL76" i="30" s="1"/>
  <c r="NM76" i="30" s="1"/>
  <c r="NN76" i="30" s="1"/>
  <c r="NO76" i="30" s="1"/>
  <c r="NP76" i="30" s="1"/>
  <c r="NQ76" i="30" s="1"/>
  <c r="NR76" i="30" s="1"/>
  <c r="NS76" i="30" s="1"/>
  <c r="NT76" i="30" s="1"/>
  <c r="NU76" i="30" s="1"/>
  <c r="NV76" i="30" s="1"/>
  <c r="NW76" i="30" s="1"/>
  <c r="NX76" i="30" s="1"/>
  <c r="NY76" i="30" s="1"/>
  <c r="NZ76" i="30" s="1"/>
  <c r="OA76" i="30" s="1"/>
  <c r="OB76" i="30" s="1"/>
  <c r="OC76" i="30" s="1"/>
  <c r="OD76" i="30" s="1"/>
  <c r="OE76" i="30" s="1"/>
  <c r="OF76" i="30" s="1"/>
  <c r="OG76" i="30" s="1"/>
  <c r="OH76" i="30" s="1"/>
  <c r="OI76" i="30" s="1"/>
  <c r="OJ76" i="30" s="1"/>
  <c r="OK76" i="30" s="1"/>
  <c r="OL76" i="30" s="1"/>
  <c r="OM76" i="30" s="1"/>
  <c r="ON76" i="30" s="1"/>
  <c r="OO76" i="30" s="1"/>
  <c r="OP76" i="30" s="1"/>
  <c r="OQ76" i="30" s="1"/>
  <c r="OR76" i="30" s="1"/>
  <c r="OS76" i="30" s="1"/>
  <c r="OT76" i="30" s="1"/>
  <c r="OU76" i="30" s="1"/>
  <c r="OV76" i="30" s="1"/>
  <c r="OW76" i="30" s="1"/>
  <c r="OX76" i="30" s="1"/>
  <c r="OY76" i="30" s="1"/>
  <c r="OZ76" i="30" s="1"/>
  <c r="PA76" i="30" s="1"/>
  <c r="PB76" i="30" s="1"/>
  <c r="PC76" i="30" s="1"/>
  <c r="PD76" i="30" s="1"/>
  <c r="PE76" i="30" s="1"/>
  <c r="PF76" i="30" s="1"/>
  <c r="PG76" i="30" s="1"/>
  <c r="H73" i="30"/>
  <c r="LL73" i="30" s="1"/>
  <c r="LM73" i="30" s="1"/>
  <c r="LN73" i="30" s="1"/>
  <c r="LO73" i="30" s="1"/>
  <c r="LP73" i="30" s="1"/>
  <c r="LQ73" i="30" s="1"/>
  <c r="LR73" i="30" s="1"/>
  <c r="LS73" i="30" s="1"/>
  <c r="LT73" i="30" s="1"/>
  <c r="LU73" i="30" s="1"/>
  <c r="LV73" i="30" s="1"/>
  <c r="LW73" i="30" s="1"/>
  <c r="LX73" i="30" s="1"/>
  <c r="LY73" i="30" s="1"/>
  <c r="LZ73" i="30" s="1"/>
  <c r="MA73" i="30" s="1"/>
  <c r="MB73" i="30" s="1"/>
  <c r="MC73" i="30" s="1"/>
  <c r="MD73" i="30" s="1"/>
  <c r="ME73" i="30" s="1"/>
  <c r="MF73" i="30" s="1"/>
  <c r="MG73" i="30" s="1"/>
  <c r="MH73" i="30" s="1"/>
  <c r="MI73" i="30" s="1"/>
  <c r="MJ73" i="30" s="1"/>
  <c r="MK73" i="30" s="1"/>
  <c r="ML73" i="30" s="1"/>
  <c r="MM73" i="30" s="1"/>
  <c r="MN73" i="30" s="1"/>
  <c r="MO73" i="30" s="1"/>
  <c r="MP73" i="30" s="1"/>
  <c r="MQ73" i="30" s="1"/>
  <c r="MR73" i="30" s="1"/>
  <c r="MS73" i="30" s="1"/>
  <c r="MT73" i="30" s="1"/>
  <c r="MU73" i="30" s="1"/>
  <c r="MV73" i="30" s="1"/>
  <c r="MW73" i="30" s="1"/>
  <c r="MX73" i="30" s="1"/>
  <c r="MY73" i="30" s="1"/>
  <c r="MZ73" i="30" s="1"/>
  <c r="NA73" i="30" s="1"/>
  <c r="NB73" i="30" s="1"/>
  <c r="NC73" i="30" s="1"/>
  <c r="ND73" i="30" s="1"/>
  <c r="NE73" i="30" s="1"/>
  <c r="NF73" i="30" s="1"/>
  <c r="NG73" i="30" s="1"/>
  <c r="NH73" i="30" s="1"/>
  <c r="NI73" i="30" s="1"/>
  <c r="NJ73" i="30" s="1"/>
  <c r="NK73" i="30" s="1"/>
  <c r="NL73" i="30" s="1"/>
  <c r="NM73" i="30" s="1"/>
  <c r="NN73" i="30" s="1"/>
  <c r="NO73" i="30" s="1"/>
  <c r="NP73" i="30" s="1"/>
  <c r="NQ73" i="30" s="1"/>
  <c r="NR73" i="30" s="1"/>
  <c r="NS73" i="30" s="1"/>
  <c r="NT73" i="30" s="1"/>
  <c r="NU73" i="30" s="1"/>
  <c r="NV73" i="30" s="1"/>
  <c r="NW73" i="30" s="1"/>
  <c r="NX73" i="30" s="1"/>
  <c r="NY73" i="30" s="1"/>
  <c r="NZ73" i="30" s="1"/>
  <c r="OA73" i="30" s="1"/>
  <c r="OB73" i="30" s="1"/>
  <c r="OC73" i="30" s="1"/>
  <c r="OD73" i="30" s="1"/>
  <c r="OE73" i="30" s="1"/>
  <c r="OF73" i="30" s="1"/>
  <c r="OG73" i="30" s="1"/>
  <c r="OH73" i="30" s="1"/>
  <c r="OI73" i="30" s="1"/>
  <c r="OJ73" i="30" s="1"/>
  <c r="OK73" i="30" s="1"/>
  <c r="OL73" i="30" s="1"/>
  <c r="OM73" i="30" s="1"/>
  <c r="ON73" i="30" s="1"/>
  <c r="OO73" i="30" s="1"/>
  <c r="OP73" i="30" s="1"/>
  <c r="OQ73" i="30" s="1"/>
  <c r="OR73" i="30" s="1"/>
  <c r="OS73" i="30" s="1"/>
  <c r="OT73" i="30" s="1"/>
  <c r="OU73" i="30" s="1"/>
  <c r="OV73" i="30" s="1"/>
  <c r="OW73" i="30" s="1"/>
  <c r="OX73" i="30" s="1"/>
  <c r="OY73" i="30" s="1"/>
  <c r="OZ73" i="30" s="1"/>
  <c r="PA73" i="30" s="1"/>
  <c r="PB73" i="30" s="1"/>
  <c r="PC73" i="30" s="1"/>
  <c r="PD73" i="30" s="1"/>
  <c r="PE73" i="30" s="1"/>
  <c r="PF73" i="30" s="1"/>
  <c r="PG73" i="30" s="1"/>
  <c r="C73" i="30"/>
  <c r="C76" i="30"/>
  <c r="C74" i="30"/>
  <c r="C75" i="30"/>
  <c r="C2" i="38"/>
  <c r="B2" i="65" s="1"/>
  <c r="V38" i="65" s="1"/>
  <c r="D72" i="30"/>
  <c r="C72" i="30"/>
  <c r="D71" i="30"/>
  <c r="C71" i="30"/>
  <c r="D57" i="30"/>
  <c r="C57" i="30"/>
  <c r="D56" i="30"/>
  <c r="C56" i="30"/>
  <c r="D52" i="30"/>
  <c r="C52" i="30"/>
  <c r="D44" i="30"/>
  <c r="C44" i="30"/>
  <c r="C36" i="30"/>
  <c r="D36" i="30"/>
  <c r="C37" i="30"/>
  <c r="D37" i="30"/>
  <c r="C35" i="30"/>
  <c r="D35" i="30"/>
  <c r="C28" i="30"/>
  <c r="D28" i="30"/>
  <c r="C27" i="30"/>
  <c r="D27" i="30"/>
  <c r="C22" i="30"/>
  <c r="D22" i="30"/>
  <c r="C13" i="30"/>
  <c r="D13" i="30"/>
  <c r="C32" i="30"/>
  <c r="D32" i="30"/>
  <c r="C17" i="30"/>
  <c r="D17" i="30"/>
  <c r="C25" i="30"/>
  <c r="D25" i="30"/>
  <c r="C23" i="30"/>
  <c r="D23" i="30"/>
  <c r="C10" i="30"/>
  <c r="D10" i="30"/>
  <c r="C8" i="30"/>
  <c r="D8" i="30"/>
  <c r="C12" i="30"/>
  <c r="D12" i="30"/>
  <c r="C67" i="30"/>
  <c r="D67" i="30"/>
  <c r="C68" i="30"/>
  <c r="D68" i="30"/>
  <c r="C69" i="30"/>
  <c r="D69" i="30"/>
  <c r="C70" i="30"/>
  <c r="D70" i="30"/>
  <c r="C77" i="30"/>
  <c r="C51" i="30"/>
  <c r="D51" i="30"/>
  <c r="C53" i="30"/>
  <c r="D53" i="30"/>
  <c r="C54" i="30"/>
  <c r="D54" i="30"/>
  <c r="C55" i="30"/>
  <c r="D55" i="30"/>
  <c r="C48" i="30"/>
  <c r="D48" i="30"/>
  <c r="C49" i="30"/>
  <c r="D49" i="30"/>
  <c r="C39" i="30"/>
  <c r="D39" i="30"/>
  <c r="C40" i="30"/>
  <c r="D40" i="30"/>
  <c r="C41" i="30"/>
  <c r="D41" i="30"/>
  <c r="C42" i="30"/>
  <c r="D42" i="30"/>
  <c r="C43" i="30"/>
  <c r="D43" i="30"/>
  <c r="C34" i="30"/>
  <c r="D34" i="30"/>
  <c r="C26" i="30"/>
  <c r="D26" i="30"/>
  <c r="C18" i="30"/>
  <c r="D18" i="30"/>
  <c r="C11" i="30"/>
  <c r="D11" i="30"/>
  <c r="T14" i="32"/>
  <c r="F13" i="32"/>
  <c r="K13" i="32" s="1"/>
  <c r="L13" i="32" s="1"/>
  <c r="AD11" i="38"/>
  <c r="AE11" i="38"/>
  <c r="AE12" i="38" s="1"/>
  <c r="AE13" i="38" s="1"/>
  <c r="AE14" i="38" s="1"/>
  <c r="AE15" i="38" s="1"/>
  <c r="AE16" i="38" s="1"/>
  <c r="AE17" i="38" s="1"/>
  <c r="AE18" i="38" s="1"/>
  <c r="AE19" i="38" s="1"/>
  <c r="AE20" i="38" s="1"/>
  <c r="AE21" i="38" s="1"/>
  <c r="AE22" i="38" s="1"/>
  <c r="AE23" i="38" s="1"/>
  <c r="AE24" i="38" s="1"/>
  <c r="AE25" i="38" s="1"/>
  <c r="AE26" i="38" s="1"/>
  <c r="AE27" i="38" s="1"/>
  <c r="AE28" i="38" s="1"/>
  <c r="AE29" i="38" s="1"/>
  <c r="AE30" i="38" s="1"/>
  <c r="AE31" i="38" s="1"/>
  <c r="AE32" i="38" s="1"/>
  <c r="AE33" i="38" s="1"/>
  <c r="AE34" i="38" s="1"/>
  <c r="AE35" i="38" s="1"/>
  <c r="AE36" i="38" s="1"/>
  <c r="AE37" i="38" s="1"/>
  <c r="AE38" i="38" s="1"/>
  <c r="AE39" i="38" s="1"/>
  <c r="AE40" i="38" s="1"/>
  <c r="AE41" i="38" s="1"/>
  <c r="AE42" i="38" s="1"/>
  <c r="AE43" i="38" s="1"/>
  <c r="AE44" i="38" s="1"/>
  <c r="AE45" i="38" s="1"/>
  <c r="AE46" i="38" s="1"/>
  <c r="B3"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2" i="29"/>
  <c r="A13" i="38" l="1"/>
  <c r="K13" i="43"/>
  <c r="L13" i="43" s="1"/>
  <c r="K13" i="51"/>
  <c r="L13" i="51" s="1"/>
  <c r="K13" i="59"/>
  <c r="L13" i="59" s="1"/>
  <c r="K13" i="45"/>
  <c r="L13" i="45" s="1"/>
  <c r="T4" i="66"/>
  <c r="A2" i="61"/>
  <c r="A2" i="67"/>
  <c r="A2" i="68"/>
  <c r="AI5" i="67"/>
  <c r="AS5" i="67" s="1"/>
  <c r="AL5" i="68"/>
  <c r="F1" i="68" s="1"/>
  <c r="AI5" i="61"/>
  <c r="AS5" i="61" s="1"/>
  <c r="H1" i="61" s="1"/>
  <c r="B2" i="66"/>
  <c r="V38" i="66" s="1"/>
  <c r="J4" i="66"/>
  <c r="T4" i="65"/>
  <c r="S13" i="55"/>
  <c r="B3" i="56" s="1"/>
  <c r="S13" i="39"/>
  <c r="B3" i="40" s="1"/>
  <c r="S13" i="41"/>
  <c r="B3" i="42" s="1"/>
  <c r="AT5" i="48"/>
  <c r="K13" i="47"/>
  <c r="L13" i="47" s="1"/>
  <c r="S13" i="43"/>
  <c r="B3" i="44" s="1"/>
  <c r="S13" i="53"/>
  <c r="B3" i="54" s="1"/>
  <c r="S13" i="59"/>
  <c r="S13" i="57"/>
  <c r="B3" i="58" s="1"/>
  <c r="K13" i="41"/>
  <c r="L13" i="41" s="1"/>
  <c r="S13" i="47"/>
  <c r="B3" i="48" s="1"/>
  <c r="S13" i="51"/>
  <c r="B3" i="52" s="1"/>
  <c r="S13" i="45"/>
  <c r="B3" i="46" s="1"/>
  <c r="S13" i="49"/>
  <c r="B3" i="50" s="1"/>
  <c r="AJ5" i="60"/>
  <c r="AT5" i="60" s="1"/>
  <c r="I1" i="60" s="1"/>
  <c r="AJ5" i="58"/>
  <c r="AT5" i="58" s="1"/>
  <c r="K13" i="57"/>
  <c r="L13" i="57" s="1"/>
  <c r="AJ5" i="56"/>
  <c r="AT5" i="56" s="1"/>
  <c r="K13" i="55"/>
  <c r="L13" i="55" s="1"/>
  <c r="K13" i="53"/>
  <c r="L13" i="53" s="1"/>
  <c r="AJ5" i="54"/>
  <c r="AT5" i="54" s="1"/>
  <c r="AJ5" i="52"/>
  <c r="AT5" i="52" s="1"/>
  <c r="I1" i="52" s="1"/>
  <c r="K13" i="49"/>
  <c r="L13" i="49" s="1"/>
  <c r="AJ5" i="50"/>
  <c r="AT5" i="50" s="1"/>
  <c r="I1" i="50" s="1"/>
  <c r="AJ5" i="46"/>
  <c r="AT5" i="46" s="1"/>
  <c r="I1" i="46" s="1"/>
  <c r="AJ5" i="44"/>
  <c r="AT5" i="44" s="1"/>
  <c r="I1" i="44" s="1"/>
  <c r="AJ5" i="42"/>
  <c r="AT5" i="42" s="1"/>
  <c r="I1" i="42" s="1"/>
  <c r="K13" i="39"/>
  <c r="L13" i="39" s="1"/>
  <c r="AJ5" i="40"/>
  <c r="AT5" i="40" s="1"/>
  <c r="S13" i="32"/>
  <c r="B3" i="34" s="1"/>
  <c r="B35" i="32"/>
  <c r="AG11" i="38"/>
  <c r="AC12" i="38"/>
  <c r="AD12" i="38" s="1"/>
  <c r="AG12" i="38" s="1"/>
  <c r="C57" i="6"/>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52" i="6"/>
  <c r="D78" i="6" s="1" a="1"/>
  <c r="D78" i="6" s="1"/>
  <c r="BE60" i="32" a="1"/>
  <c r="BE60" i="32" s="1"/>
  <c r="BG33" i="32" a="1"/>
  <c r="BG33" i="32" s="1"/>
  <c r="BF47" i="32" a="1"/>
  <c r="BF47" i="32" s="1"/>
  <c r="BG15" i="32"/>
  <c r="BH14" i="32"/>
  <c r="BI13" i="32"/>
  <c r="BH17" i="32" a="1"/>
  <c r="BH17" i="32" s="1"/>
  <c r="BJ12" i="32"/>
  <c r="A965" i="35"/>
  <c r="A964" i="35"/>
  <c r="A963" i="35"/>
  <c r="A962" i="35"/>
  <c r="A961" i="35"/>
  <c r="A960" i="35"/>
  <c r="A959" i="35"/>
  <c r="A958" i="35"/>
  <c r="A957" i="35"/>
  <c r="A956" i="35"/>
  <c r="A955" i="35"/>
  <c r="A954" i="35"/>
  <c r="A953" i="35"/>
  <c r="A952" i="35"/>
  <c r="A951" i="35"/>
  <c r="A950" i="35"/>
  <c r="A949" i="35"/>
  <c r="A948" i="35"/>
  <c r="A947" i="35"/>
  <c r="A946" i="35"/>
  <c r="A945" i="35"/>
  <c r="A944" i="35"/>
  <c r="A943" i="35"/>
  <c r="A942" i="35"/>
  <c r="A941" i="35"/>
  <c r="A940" i="35"/>
  <c r="A939" i="35"/>
  <c r="A938" i="35"/>
  <c r="A937" i="35"/>
  <c r="A936" i="35"/>
  <c r="A935" i="35"/>
  <c r="A934" i="35"/>
  <c r="A933" i="35"/>
  <c r="A932" i="35"/>
  <c r="A931" i="35"/>
  <c r="A930" i="35"/>
  <c r="A929" i="35"/>
  <c r="A928" i="35"/>
  <c r="A927" i="35"/>
  <c r="A926" i="35"/>
  <c r="A925" i="35"/>
  <c r="A924" i="35"/>
  <c r="A923" i="35"/>
  <c r="A922" i="35"/>
  <c r="A921" i="35"/>
  <c r="A920" i="35"/>
  <c r="A919" i="35"/>
  <c r="A918" i="35"/>
  <c r="A917" i="35"/>
  <c r="A916" i="35"/>
  <c r="A915" i="35"/>
  <c r="A914" i="35"/>
  <c r="A913" i="35"/>
  <c r="A912" i="35"/>
  <c r="A911" i="35"/>
  <c r="A910" i="35"/>
  <c r="A909" i="35"/>
  <c r="A908" i="35"/>
  <c r="A907" i="35"/>
  <c r="A906" i="35"/>
  <c r="A905" i="35"/>
  <c r="A904" i="35"/>
  <c r="A903" i="35"/>
  <c r="A902" i="35"/>
  <c r="A901" i="35"/>
  <c r="A900" i="35"/>
  <c r="A899" i="35"/>
  <c r="A898" i="35"/>
  <c r="A897" i="35"/>
  <c r="A896" i="35"/>
  <c r="A895" i="35"/>
  <c r="A894" i="35"/>
  <c r="A893" i="35"/>
  <c r="A892" i="35"/>
  <c r="A891" i="35"/>
  <c r="A890" i="35"/>
  <c r="A889" i="35"/>
  <c r="A888" i="35"/>
  <c r="A887" i="35"/>
  <c r="A886" i="35"/>
  <c r="A885" i="35"/>
  <c r="A884" i="35"/>
  <c r="A883" i="35"/>
  <c r="A882" i="35"/>
  <c r="A881" i="35"/>
  <c r="A880" i="35"/>
  <c r="A879" i="35"/>
  <c r="A878" i="35"/>
  <c r="A877" i="35"/>
  <c r="A876" i="35"/>
  <c r="A875" i="35"/>
  <c r="A874" i="35"/>
  <c r="A873" i="35"/>
  <c r="A872" i="35"/>
  <c r="A871" i="35"/>
  <c r="A870" i="35"/>
  <c r="A869" i="35"/>
  <c r="A868" i="35"/>
  <c r="A867" i="35"/>
  <c r="A866" i="35"/>
  <c r="A865" i="35"/>
  <c r="A864" i="35"/>
  <c r="A863" i="35"/>
  <c r="A862" i="35"/>
  <c r="A861" i="35"/>
  <c r="A860" i="35"/>
  <c r="A859" i="35"/>
  <c r="A858" i="35"/>
  <c r="A857" i="35"/>
  <c r="A856" i="35"/>
  <c r="A855" i="35"/>
  <c r="A854" i="35"/>
  <c r="A853" i="35"/>
  <c r="A852" i="35"/>
  <c r="A851" i="35"/>
  <c r="A850" i="35"/>
  <c r="A849" i="35"/>
  <c r="A848" i="35"/>
  <c r="A847" i="35"/>
  <c r="A846" i="35"/>
  <c r="A845" i="35"/>
  <c r="A844" i="35"/>
  <c r="A843" i="35"/>
  <c r="A842" i="35"/>
  <c r="A841" i="35"/>
  <c r="A840" i="35"/>
  <c r="A839" i="35"/>
  <c r="A838" i="35"/>
  <c r="A837" i="35"/>
  <c r="A836" i="35"/>
  <c r="A835" i="35"/>
  <c r="A834" i="35"/>
  <c r="A833" i="35"/>
  <c r="A832" i="35"/>
  <c r="A831" i="35"/>
  <c r="A830" i="35"/>
  <c r="A829" i="35"/>
  <c r="A828" i="35"/>
  <c r="A827" i="35"/>
  <c r="A826" i="35"/>
  <c r="A825" i="35"/>
  <c r="A824" i="35"/>
  <c r="A823" i="35"/>
  <c r="A822" i="35"/>
  <c r="A821" i="35"/>
  <c r="A820" i="35"/>
  <c r="A819" i="35"/>
  <c r="A818" i="35"/>
  <c r="A817" i="35"/>
  <c r="A816" i="35"/>
  <c r="A815" i="35"/>
  <c r="A814" i="35"/>
  <c r="A813" i="35"/>
  <c r="A812" i="35"/>
  <c r="A811" i="35"/>
  <c r="A810" i="35"/>
  <c r="A809" i="35"/>
  <c r="A808" i="35"/>
  <c r="A807" i="35"/>
  <c r="A806" i="35"/>
  <c r="A805" i="35"/>
  <c r="A804" i="35"/>
  <c r="A803" i="35"/>
  <c r="A802" i="35"/>
  <c r="A801" i="35"/>
  <c r="A800" i="35"/>
  <c r="A799" i="35"/>
  <c r="A798" i="35"/>
  <c r="A797" i="35"/>
  <c r="A796" i="35"/>
  <c r="A795" i="35"/>
  <c r="A794" i="35"/>
  <c r="A793" i="35"/>
  <c r="A792" i="35"/>
  <c r="A791" i="35"/>
  <c r="A790" i="35"/>
  <c r="A789" i="35"/>
  <c r="A788" i="35"/>
  <c r="A787" i="35"/>
  <c r="A786" i="35"/>
  <c r="A785" i="35"/>
  <c r="A784" i="35"/>
  <c r="A783" i="35"/>
  <c r="A782" i="35"/>
  <c r="A781" i="35"/>
  <c r="A780" i="35"/>
  <c r="A779" i="35"/>
  <c r="A778" i="35"/>
  <c r="A777" i="35"/>
  <c r="A776" i="35"/>
  <c r="A775" i="35"/>
  <c r="A774" i="35"/>
  <c r="A773" i="35"/>
  <c r="A772" i="35"/>
  <c r="A771" i="35"/>
  <c r="A770" i="35"/>
  <c r="A769" i="35"/>
  <c r="A768" i="35"/>
  <c r="A767" i="35"/>
  <c r="A766" i="35"/>
  <c r="A765" i="35"/>
  <c r="A764" i="35"/>
  <c r="A763" i="35"/>
  <c r="A762" i="35"/>
  <c r="A761" i="35"/>
  <c r="A760" i="35"/>
  <c r="A759" i="35"/>
  <c r="A758" i="35"/>
  <c r="A757" i="35"/>
  <c r="A756" i="35"/>
  <c r="A755" i="35"/>
  <c r="A754" i="35"/>
  <c r="A753" i="35"/>
  <c r="A752" i="35"/>
  <c r="A751" i="35"/>
  <c r="A750" i="35"/>
  <c r="A749" i="35"/>
  <c r="A748" i="35"/>
  <c r="A747" i="35"/>
  <c r="A746" i="35"/>
  <c r="A745" i="35"/>
  <c r="A744" i="35"/>
  <c r="A743" i="35"/>
  <c r="A742" i="35"/>
  <c r="A741" i="35"/>
  <c r="A740" i="35"/>
  <c r="A739" i="35"/>
  <c r="A738" i="35"/>
  <c r="A737" i="35"/>
  <c r="A736" i="35"/>
  <c r="A735" i="35"/>
  <c r="A734" i="35"/>
  <c r="A733" i="35"/>
  <c r="A732" i="35"/>
  <c r="A731" i="35"/>
  <c r="A730" i="35"/>
  <c r="A729" i="35"/>
  <c r="A728" i="35"/>
  <c r="A727" i="35"/>
  <c r="A726" i="35"/>
  <c r="A725" i="35"/>
  <c r="A724" i="35"/>
  <c r="A723" i="35"/>
  <c r="A722" i="35"/>
  <c r="A721" i="35"/>
  <c r="A720" i="35"/>
  <c r="A719" i="35"/>
  <c r="A718" i="35"/>
  <c r="A717" i="35"/>
  <c r="A716" i="35"/>
  <c r="A715" i="35"/>
  <c r="A714" i="35"/>
  <c r="A713" i="35"/>
  <c r="A712" i="35"/>
  <c r="A711" i="35"/>
  <c r="A710" i="35"/>
  <c r="A709" i="35"/>
  <c r="A708" i="35"/>
  <c r="A707" i="35"/>
  <c r="A706" i="35"/>
  <c r="A705" i="35"/>
  <c r="A704" i="35"/>
  <c r="A703" i="35"/>
  <c r="A702" i="35"/>
  <c r="A701" i="35"/>
  <c r="A700" i="35"/>
  <c r="A699" i="35"/>
  <c r="A698" i="35"/>
  <c r="A697" i="35"/>
  <c r="A696" i="35"/>
  <c r="A695" i="35"/>
  <c r="A694" i="35"/>
  <c r="A693" i="35"/>
  <c r="A692" i="35"/>
  <c r="A691" i="35"/>
  <c r="A690" i="35"/>
  <c r="A689" i="35"/>
  <c r="A688" i="35"/>
  <c r="A687" i="35"/>
  <c r="A686" i="35"/>
  <c r="A685" i="35"/>
  <c r="A684" i="35"/>
  <c r="A683" i="35"/>
  <c r="A682" i="35"/>
  <c r="A681" i="35"/>
  <c r="A680" i="35"/>
  <c r="A679" i="35"/>
  <c r="A678" i="35"/>
  <c r="A677" i="35"/>
  <c r="A676" i="35"/>
  <c r="A675" i="35"/>
  <c r="A674" i="35"/>
  <c r="A673" i="35"/>
  <c r="A672" i="35"/>
  <c r="A671" i="35"/>
  <c r="A670" i="35"/>
  <c r="A669" i="35"/>
  <c r="A668" i="35"/>
  <c r="A667" i="35"/>
  <c r="A666" i="35"/>
  <c r="A665" i="35"/>
  <c r="A664" i="35"/>
  <c r="A663" i="35"/>
  <c r="A662" i="35"/>
  <c r="A661" i="35"/>
  <c r="A660" i="35"/>
  <c r="A659" i="35"/>
  <c r="A658" i="35"/>
  <c r="A657" i="35"/>
  <c r="A656" i="35"/>
  <c r="A655" i="35"/>
  <c r="A654" i="35"/>
  <c r="A653" i="35"/>
  <c r="A652" i="35"/>
  <c r="A651" i="35"/>
  <c r="A650" i="35"/>
  <c r="A649" i="35"/>
  <c r="A648" i="35"/>
  <c r="A647" i="35"/>
  <c r="A646" i="35"/>
  <c r="A645" i="35"/>
  <c r="A644" i="35"/>
  <c r="A643" i="35"/>
  <c r="A642" i="35"/>
  <c r="A641" i="35"/>
  <c r="A640" i="35"/>
  <c r="A639" i="35"/>
  <c r="A638" i="35"/>
  <c r="A637" i="35"/>
  <c r="A636" i="35"/>
  <c r="A635" i="35"/>
  <c r="A634" i="35"/>
  <c r="A633" i="35"/>
  <c r="A632" i="35"/>
  <c r="A631" i="35"/>
  <c r="A630" i="35"/>
  <c r="A629" i="35"/>
  <c r="A628" i="35"/>
  <c r="A627" i="35"/>
  <c r="A626" i="35"/>
  <c r="A625" i="35"/>
  <c r="A624" i="35"/>
  <c r="A623" i="35"/>
  <c r="A622" i="35"/>
  <c r="A621" i="35"/>
  <c r="A620" i="35"/>
  <c r="A619" i="35"/>
  <c r="A618" i="35"/>
  <c r="A617" i="35"/>
  <c r="A616" i="35"/>
  <c r="A615" i="35"/>
  <c r="A614" i="35"/>
  <c r="A613" i="35"/>
  <c r="A612" i="35"/>
  <c r="A611" i="35"/>
  <c r="A610" i="35"/>
  <c r="A609" i="35"/>
  <c r="A608" i="35"/>
  <c r="A607" i="35"/>
  <c r="A606" i="35"/>
  <c r="A605" i="35"/>
  <c r="A604" i="35"/>
  <c r="A603" i="35"/>
  <c r="A602" i="35"/>
  <c r="A601" i="35"/>
  <c r="A600" i="35"/>
  <c r="A599" i="35"/>
  <c r="A598" i="35"/>
  <c r="A597" i="35"/>
  <c r="A596" i="35"/>
  <c r="A595" i="35"/>
  <c r="A594" i="35"/>
  <c r="A593" i="35"/>
  <c r="A592" i="35"/>
  <c r="A591" i="35"/>
  <c r="A590" i="35"/>
  <c r="A589" i="35"/>
  <c r="A588" i="35"/>
  <c r="A587" i="35"/>
  <c r="A586" i="35"/>
  <c r="A585" i="35"/>
  <c r="A584" i="35"/>
  <c r="A583" i="35"/>
  <c r="A582" i="35"/>
  <c r="A581" i="35"/>
  <c r="A580" i="35"/>
  <c r="A579" i="35"/>
  <c r="A578" i="35"/>
  <c r="A577" i="35"/>
  <c r="A576" i="35"/>
  <c r="A575" i="35"/>
  <c r="A574" i="35"/>
  <c r="A573" i="35"/>
  <c r="A572" i="35"/>
  <c r="A571" i="35"/>
  <c r="A570" i="35"/>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6" i="35"/>
  <c r="A505"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80" i="35"/>
  <c r="A479"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2" i="35"/>
  <c r="A411" i="35"/>
  <c r="A410"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7" i="35"/>
  <c r="A366"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20" i="35"/>
  <c r="A319"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90" i="35"/>
  <c r="A289"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A4" i="35"/>
  <c r="A3" i="35"/>
  <c r="A2" i="35"/>
  <c r="A336" i="36"/>
  <c r="A335" i="36"/>
  <c r="A334" i="36"/>
  <c r="A333" i="36"/>
  <c r="A332" i="36"/>
  <c r="A331" i="36"/>
  <c r="A330" i="36"/>
  <c r="A329" i="36"/>
  <c r="A328" i="36"/>
  <c r="A327" i="36"/>
  <c r="A326" i="36"/>
  <c r="A325" i="36"/>
  <c r="A324" i="36"/>
  <c r="A323" i="36"/>
  <c r="A322" i="36"/>
  <c r="A321" i="36"/>
  <c r="A320" i="36"/>
  <c r="A319" i="36"/>
  <c r="A318" i="36"/>
  <c r="A317" i="36"/>
  <c r="A316" i="36"/>
  <c r="A315" i="36"/>
  <c r="A314" i="36"/>
  <c r="A313" i="36"/>
  <c r="A312" i="36"/>
  <c r="A311" i="36"/>
  <c r="A310" i="36"/>
  <c r="A309" i="36"/>
  <c r="A308" i="36"/>
  <c r="A307" i="36"/>
  <c r="A306" i="36"/>
  <c r="A305" i="36"/>
  <c r="A304" i="36"/>
  <c r="A303" i="36"/>
  <c r="A302" i="36"/>
  <c r="A301" i="36"/>
  <c r="A300" i="36"/>
  <c r="A299" i="36"/>
  <c r="A298" i="36"/>
  <c r="A297" i="36"/>
  <c r="A296" i="36"/>
  <c r="A295" i="36"/>
  <c r="A294" i="36"/>
  <c r="A293" i="36"/>
  <c r="A292" i="36"/>
  <c r="A291" i="36"/>
  <c r="A290" i="36"/>
  <c r="A289" i="36"/>
  <c r="A288" i="36"/>
  <c r="A287" i="36"/>
  <c r="A286" i="36"/>
  <c r="A285" i="36"/>
  <c r="A284" i="36"/>
  <c r="A283" i="36"/>
  <c r="A282" i="36"/>
  <c r="A281" i="36"/>
  <c r="A280" i="36"/>
  <c r="A279" i="36"/>
  <c r="A278" i="36"/>
  <c r="A277" i="36"/>
  <c r="A276" i="36"/>
  <c r="A275" i="36"/>
  <c r="A274" i="36"/>
  <c r="A273" i="36"/>
  <c r="A272" i="36"/>
  <c r="A271" i="36"/>
  <c r="A270" i="36"/>
  <c r="A269" i="36"/>
  <c r="A268" i="36"/>
  <c r="A267" i="36"/>
  <c r="A266" i="36"/>
  <c r="A265" i="36"/>
  <c r="A264" i="36"/>
  <c r="A263" i="36"/>
  <c r="A262" i="36"/>
  <c r="A261" i="36"/>
  <c r="A260" i="36"/>
  <c r="A259" i="36"/>
  <c r="A258" i="36"/>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2" i="36"/>
  <c r="A669" i="37"/>
  <c r="A668" i="37"/>
  <c r="A667" i="37"/>
  <c r="A666" i="37"/>
  <c r="A665" i="37"/>
  <c r="A664" i="37"/>
  <c r="A663" i="37"/>
  <c r="A662" i="37"/>
  <c r="A661" i="37"/>
  <c r="A660" i="37"/>
  <c r="A659" i="37"/>
  <c r="A658" i="37"/>
  <c r="A657" i="37"/>
  <c r="A656" i="37"/>
  <c r="A655" i="37"/>
  <c r="A654" i="37"/>
  <c r="A653" i="37"/>
  <c r="A652" i="37"/>
  <c r="A651" i="37"/>
  <c r="A650" i="37"/>
  <c r="A649" i="37"/>
  <c r="A648" i="37"/>
  <c r="A647" i="37"/>
  <c r="A646" i="37"/>
  <c r="A645" i="37"/>
  <c r="A644" i="37"/>
  <c r="A643" i="37"/>
  <c r="A642" i="37"/>
  <c r="A641" i="37"/>
  <c r="A640" i="37"/>
  <c r="A639" i="37"/>
  <c r="A638" i="37"/>
  <c r="A637" i="37"/>
  <c r="A636" i="37"/>
  <c r="A635" i="37"/>
  <c r="A634" i="37"/>
  <c r="A633" i="37"/>
  <c r="A632" i="37"/>
  <c r="A631" i="37"/>
  <c r="A630" i="37"/>
  <c r="A629" i="37"/>
  <c r="A628" i="37"/>
  <c r="A627" i="37"/>
  <c r="A626" i="37"/>
  <c r="A625" i="37"/>
  <c r="A624" i="37"/>
  <c r="A623" i="37"/>
  <c r="A622" i="37"/>
  <c r="A621" i="37"/>
  <c r="A620" i="37"/>
  <c r="A619" i="37"/>
  <c r="A618" i="37"/>
  <c r="A617" i="37"/>
  <c r="A616" i="37"/>
  <c r="A615" i="37"/>
  <c r="A614" i="37"/>
  <c r="A613" i="37"/>
  <c r="A612" i="37"/>
  <c r="A611" i="37"/>
  <c r="A610" i="37"/>
  <c r="A609" i="37"/>
  <c r="A608" i="37"/>
  <c r="A607" i="37"/>
  <c r="A606" i="37"/>
  <c r="A605" i="37"/>
  <c r="A604" i="37"/>
  <c r="A603" i="37"/>
  <c r="A602" i="37"/>
  <c r="A601" i="37"/>
  <c r="A600" i="37"/>
  <c r="A599" i="37"/>
  <c r="A598" i="37"/>
  <c r="A597" i="37"/>
  <c r="A596" i="37"/>
  <c r="A595" i="37"/>
  <c r="A594" i="37"/>
  <c r="A593" i="37"/>
  <c r="A592" i="37"/>
  <c r="A591" i="37"/>
  <c r="A590" i="37"/>
  <c r="A589" i="37"/>
  <c r="A588" i="37"/>
  <c r="A587" i="37"/>
  <c r="A586" i="37"/>
  <c r="A585" i="37"/>
  <c r="A584" i="37"/>
  <c r="A583" i="37"/>
  <c r="A582" i="37"/>
  <c r="A581" i="37"/>
  <c r="A580" i="37"/>
  <c r="A579" i="37"/>
  <c r="A578" i="37"/>
  <c r="A577" i="37"/>
  <c r="A576" i="37"/>
  <c r="A575" i="37"/>
  <c r="A574" i="37"/>
  <c r="A573" i="37"/>
  <c r="A572" i="37"/>
  <c r="A571" i="37"/>
  <c r="A570" i="37"/>
  <c r="A569" i="37"/>
  <c r="A568" i="37"/>
  <c r="A567" i="37"/>
  <c r="A566" i="37"/>
  <c r="A565" i="37"/>
  <c r="A564" i="37"/>
  <c r="A563" i="37"/>
  <c r="A562" i="37"/>
  <c r="A561" i="37"/>
  <c r="A560" i="37"/>
  <c r="A559" i="37"/>
  <c r="A558" i="37"/>
  <c r="A557" i="37"/>
  <c r="A556" i="37"/>
  <c r="A555" i="37"/>
  <c r="A554" i="37"/>
  <c r="A553" i="37"/>
  <c r="A552" i="37"/>
  <c r="A551" i="37"/>
  <c r="A550" i="37"/>
  <c r="A549" i="37"/>
  <c r="A548" i="37"/>
  <c r="A547" i="37"/>
  <c r="A546" i="37"/>
  <c r="A545" i="37"/>
  <c r="A544" i="37"/>
  <c r="A543" i="37"/>
  <c r="A542" i="37"/>
  <c r="A541" i="37"/>
  <c r="A540" i="37"/>
  <c r="A539" i="37"/>
  <c r="A538" i="37"/>
  <c r="A537" i="37"/>
  <c r="A536" i="37"/>
  <c r="A535" i="37"/>
  <c r="A534" i="37"/>
  <c r="A533" i="37"/>
  <c r="A532" i="37"/>
  <c r="A531" i="37"/>
  <c r="A530" i="37"/>
  <c r="A529" i="37"/>
  <c r="A528" i="37"/>
  <c r="A527" i="37"/>
  <c r="A526" i="37"/>
  <c r="A525" i="37"/>
  <c r="A524" i="37"/>
  <c r="A523" i="37"/>
  <c r="A522" i="37"/>
  <c r="A521" i="37"/>
  <c r="A520" i="37"/>
  <c r="A519" i="37"/>
  <c r="A518" i="37"/>
  <c r="A517" i="37"/>
  <c r="A516" i="37"/>
  <c r="A515" i="37"/>
  <c r="A514" i="37"/>
  <c r="A513" i="37"/>
  <c r="A512" i="37"/>
  <c r="A511" i="37"/>
  <c r="A510" i="37"/>
  <c r="A509" i="37"/>
  <c r="A508" i="37"/>
  <c r="A507" i="37"/>
  <c r="A506" i="37"/>
  <c r="A505" i="37"/>
  <c r="A504" i="37"/>
  <c r="A503" i="37"/>
  <c r="A502" i="37"/>
  <c r="A501" i="37"/>
  <c r="A500" i="37"/>
  <c r="A499" i="37"/>
  <c r="A498" i="37"/>
  <c r="A497" i="37"/>
  <c r="A496" i="37"/>
  <c r="A495" i="37"/>
  <c r="A494" i="37"/>
  <c r="A493" i="37"/>
  <c r="A492" i="37"/>
  <c r="A491" i="37"/>
  <c r="A490" i="37"/>
  <c r="A489" i="37"/>
  <c r="A488" i="37"/>
  <c r="A487" i="37"/>
  <c r="A486" i="37"/>
  <c r="A485" i="37"/>
  <c r="A484" i="37"/>
  <c r="A483" i="37"/>
  <c r="A482" i="37"/>
  <c r="A481" i="37"/>
  <c r="A480" i="37"/>
  <c r="A479" i="37"/>
  <c r="A478" i="37"/>
  <c r="A477" i="37"/>
  <c r="A476" i="37"/>
  <c r="A475" i="37"/>
  <c r="A474" i="37"/>
  <c r="A473" i="37"/>
  <c r="A472" i="37"/>
  <c r="A471" i="37"/>
  <c r="A470" i="37"/>
  <c r="A469" i="37"/>
  <c r="A468" i="37"/>
  <c r="A467" i="37"/>
  <c r="A466" i="37"/>
  <c r="A465" i="37"/>
  <c r="A464" i="37"/>
  <c r="A463" i="37"/>
  <c r="A462" i="37"/>
  <c r="A461" i="37"/>
  <c r="A460" i="37"/>
  <c r="A459" i="37"/>
  <c r="A458" i="37"/>
  <c r="A457" i="37"/>
  <c r="A456" i="37"/>
  <c r="A455" i="37"/>
  <c r="A454" i="37"/>
  <c r="A453" i="37"/>
  <c r="A452" i="37"/>
  <c r="A451" i="37"/>
  <c r="A450" i="37"/>
  <c r="A449" i="37"/>
  <c r="A448" i="37"/>
  <c r="A447" i="37"/>
  <c r="A446" i="37"/>
  <c r="A445" i="37"/>
  <c r="A444" i="37"/>
  <c r="A443" i="37"/>
  <c r="A442" i="37"/>
  <c r="A441" i="37"/>
  <c r="A440" i="37"/>
  <c r="A439" i="37"/>
  <c r="A438" i="37"/>
  <c r="A437" i="37"/>
  <c r="A436" i="37"/>
  <c r="A435" i="37"/>
  <c r="A434" i="37"/>
  <c r="A433" i="37"/>
  <c r="A432" i="37"/>
  <c r="A431" i="37"/>
  <c r="A430" i="37"/>
  <c r="A429" i="37"/>
  <c r="A428" i="37"/>
  <c r="A427" i="37"/>
  <c r="A426" i="37"/>
  <c r="A425" i="37"/>
  <c r="A424" i="37"/>
  <c r="A423" i="37"/>
  <c r="A422" i="37"/>
  <c r="A421" i="37"/>
  <c r="A420" i="37"/>
  <c r="A419" i="37"/>
  <c r="A418" i="37"/>
  <c r="A417" i="37"/>
  <c r="A416" i="37"/>
  <c r="A415" i="37"/>
  <c r="A414" i="37"/>
  <c r="A413" i="37"/>
  <c r="A412" i="37"/>
  <c r="A411" i="37"/>
  <c r="A410" i="37"/>
  <c r="A409" i="37"/>
  <c r="A408" i="37"/>
  <c r="A407" i="37"/>
  <c r="A406" i="37"/>
  <c r="A405" i="37"/>
  <c r="A404" i="37"/>
  <c r="A403" i="37"/>
  <c r="A402" i="37"/>
  <c r="A401" i="37"/>
  <c r="A400" i="37"/>
  <c r="A399" i="37"/>
  <c r="A398" i="37"/>
  <c r="A397" i="37"/>
  <c r="A396" i="37"/>
  <c r="A395" i="37"/>
  <c r="A394" i="37"/>
  <c r="A393" i="37"/>
  <c r="A392" i="37"/>
  <c r="A391" i="37"/>
  <c r="A390" i="37"/>
  <c r="A389" i="37"/>
  <c r="A388" i="37"/>
  <c r="A387" i="37"/>
  <c r="A386" i="37"/>
  <c r="A385" i="37"/>
  <c r="A384" i="37"/>
  <c r="A383" i="37"/>
  <c r="A382" i="37"/>
  <c r="A381" i="37"/>
  <c r="A380" i="37"/>
  <c r="A379" i="37"/>
  <c r="A378" i="37"/>
  <c r="A377" i="37"/>
  <c r="A376" i="37"/>
  <c r="A375" i="37"/>
  <c r="A374" i="37"/>
  <c r="A373" i="37"/>
  <c r="A372" i="37"/>
  <c r="A371" i="37"/>
  <c r="A370" i="37"/>
  <c r="A369" i="37"/>
  <c r="A368" i="37"/>
  <c r="A367" i="37"/>
  <c r="A366" i="37"/>
  <c r="A365" i="37"/>
  <c r="A364" i="37"/>
  <c r="A363" i="37"/>
  <c r="A362" i="37"/>
  <c r="A361" i="37"/>
  <c r="A360" i="37"/>
  <c r="A359" i="37"/>
  <c r="A358" i="37"/>
  <c r="A357" i="37"/>
  <c r="A356" i="37"/>
  <c r="A355" i="37"/>
  <c r="A354" i="37"/>
  <c r="A353" i="37"/>
  <c r="A352" i="37"/>
  <c r="A351" i="37"/>
  <c r="A350" i="37"/>
  <c r="A349" i="37"/>
  <c r="A348" i="37"/>
  <c r="A347" i="37"/>
  <c r="A346" i="37"/>
  <c r="A345" i="37"/>
  <c r="A344" i="37"/>
  <c r="A343" i="37"/>
  <c r="A342" i="37"/>
  <c r="A341" i="37"/>
  <c r="A340" i="37"/>
  <c r="A339" i="37"/>
  <c r="A338" i="37"/>
  <c r="A337" i="37"/>
  <c r="A336" i="37"/>
  <c r="A335" i="37"/>
  <c r="A334" i="37"/>
  <c r="A333" i="37"/>
  <c r="A332" i="37"/>
  <c r="A331" i="37"/>
  <c r="A330" i="37"/>
  <c r="A329" i="37"/>
  <c r="A328" i="37"/>
  <c r="A327" i="37"/>
  <c r="A326" i="37"/>
  <c r="A325" i="37"/>
  <c r="A324" i="37"/>
  <c r="A323" i="37"/>
  <c r="A322" i="37"/>
  <c r="A321" i="37"/>
  <c r="A320" i="37"/>
  <c r="A319" i="37"/>
  <c r="A318" i="37"/>
  <c r="A317" i="37"/>
  <c r="A316" i="37"/>
  <c r="A315" i="37"/>
  <c r="A314" i="37"/>
  <c r="A313" i="37"/>
  <c r="A312" i="37"/>
  <c r="A311" i="37"/>
  <c r="A310" i="37"/>
  <c r="A309" i="37"/>
  <c r="A308" i="37"/>
  <c r="A307" i="37"/>
  <c r="A306" i="37"/>
  <c r="A305" i="37"/>
  <c r="A304" i="37"/>
  <c r="A303" i="37"/>
  <c r="A302" i="37"/>
  <c r="A301" i="37"/>
  <c r="A300" i="37"/>
  <c r="A299" i="37"/>
  <c r="A298" i="37"/>
  <c r="A297" i="37"/>
  <c r="A296" i="37"/>
  <c r="A295" i="37"/>
  <c r="A294" i="37"/>
  <c r="A293" i="37"/>
  <c r="A292" i="37"/>
  <c r="A291" i="37"/>
  <c r="A290" i="37"/>
  <c r="A289" i="37"/>
  <c r="A288" i="37"/>
  <c r="A287" i="37"/>
  <c r="A286" i="37"/>
  <c r="A285" i="37"/>
  <c r="A284" i="37"/>
  <c r="A283" i="37"/>
  <c r="A282" i="37"/>
  <c r="A281" i="37"/>
  <c r="A280" i="37"/>
  <c r="A279" i="37"/>
  <c r="A278" i="37"/>
  <c r="A277" i="37"/>
  <c r="A276" i="37"/>
  <c r="A275" i="37"/>
  <c r="A274" i="37"/>
  <c r="A273" i="37"/>
  <c r="A272" i="37"/>
  <c r="A271" i="37"/>
  <c r="A270" i="37"/>
  <c r="A269" i="37"/>
  <c r="A268" i="37"/>
  <c r="A267" i="37"/>
  <c r="A266" i="37"/>
  <c r="A265" i="37"/>
  <c r="A264" i="37"/>
  <c r="A263" i="37"/>
  <c r="A262" i="37"/>
  <c r="A261" i="37"/>
  <c r="A260" i="37"/>
  <c r="A259" i="37"/>
  <c r="A258" i="37"/>
  <c r="A257" i="37"/>
  <c r="A256" i="37"/>
  <c r="A255" i="37"/>
  <c r="A254" i="37"/>
  <c r="A253" i="37"/>
  <c r="A252" i="37"/>
  <c r="A251" i="37"/>
  <c r="A250" i="37"/>
  <c r="A249" i="37"/>
  <c r="A248" i="37"/>
  <c r="A247" i="37"/>
  <c r="A246" i="37"/>
  <c r="A245" i="37"/>
  <c r="A244" i="37"/>
  <c r="A243" i="37"/>
  <c r="A242" i="37"/>
  <c r="A241" i="37"/>
  <c r="A240" i="37"/>
  <c r="A239" i="37"/>
  <c r="A238" i="37"/>
  <c r="A237" i="37"/>
  <c r="A236" i="37"/>
  <c r="A235" i="37"/>
  <c r="A234" i="37"/>
  <c r="A233" i="37"/>
  <c r="A232" i="37"/>
  <c r="A231" i="37"/>
  <c r="A230" i="37"/>
  <c r="A229" i="37"/>
  <c r="A228" i="37"/>
  <c r="A227" i="37"/>
  <c r="A226" i="37"/>
  <c r="A225" i="37"/>
  <c r="A224" i="37"/>
  <c r="A223" i="37"/>
  <c r="A222" i="37"/>
  <c r="A221" i="37"/>
  <c r="A220" i="37"/>
  <c r="A219" i="37"/>
  <c r="A218" i="37"/>
  <c r="A217" i="37"/>
  <c r="A216" i="37"/>
  <c r="A215" i="37"/>
  <c r="A214" i="37"/>
  <c r="A213" i="37"/>
  <c r="A212" i="37"/>
  <c r="A211" i="37"/>
  <c r="A210" i="37"/>
  <c r="A209" i="37"/>
  <c r="A208" i="37"/>
  <c r="A207" i="37"/>
  <c r="A206" i="37"/>
  <c r="A205" i="37"/>
  <c r="A204" i="37"/>
  <c r="A203" i="37"/>
  <c r="A202" i="3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2" i="37"/>
  <c r="AJ5" i="34"/>
  <c r="AT5" i="34" s="1"/>
  <c r="I1" i="34" s="1"/>
  <c r="B2" i="34"/>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D59" i="30"/>
  <c r="C59" i="30"/>
  <c r="D58" i="30"/>
  <c r="C58" i="30"/>
  <c r="D50" i="30"/>
  <c r="C50" i="30"/>
  <c r="D46" i="30"/>
  <c r="C46" i="30"/>
  <c r="D45" i="30"/>
  <c r="C45" i="30"/>
  <c r="D38" i="30"/>
  <c r="C38" i="30"/>
  <c r="D33" i="30"/>
  <c r="C33" i="30"/>
  <c r="D31" i="30"/>
  <c r="C31" i="30"/>
  <c r="D30" i="30"/>
  <c r="C30" i="30"/>
  <c r="D29" i="30"/>
  <c r="C29" i="30"/>
  <c r="D24" i="30"/>
  <c r="C24" i="30"/>
  <c r="D21" i="30"/>
  <c r="C21" i="30"/>
  <c r="D20" i="30"/>
  <c r="C20" i="30"/>
  <c r="D47" i="30"/>
  <c r="C47" i="30"/>
  <c r="D16" i="30"/>
  <c r="C16" i="30"/>
  <c r="D15" i="30"/>
  <c r="C15" i="30"/>
  <c r="D14" i="30"/>
  <c r="C14" i="30"/>
  <c r="D9" i="30"/>
  <c r="C9" i="30"/>
  <c r="D7" i="30"/>
  <c r="C7" i="30"/>
  <c r="D5" i="30"/>
  <c r="C5" i="30"/>
  <c r="D3" i="30"/>
  <c r="C3" i="30"/>
  <c r="D2" i="30"/>
  <c r="C2" i="30"/>
  <c r="I1" i="58" l="1"/>
  <c r="I1" i="48"/>
  <c r="I1" i="54"/>
  <c r="I1" i="56"/>
  <c r="I1" i="40"/>
  <c r="A14" i="38"/>
  <c r="B35" i="59"/>
  <c r="B35" i="43"/>
  <c r="B35" i="45"/>
  <c r="B35" i="51"/>
  <c r="B82" i="30" a="1"/>
  <c r="B82" i="30" s="1"/>
  <c r="B81" i="30" a="1"/>
  <c r="B81" i="30" s="1"/>
  <c r="B80" i="30" a="1"/>
  <c r="B80" i="30" s="1"/>
  <c r="I5" i="65" s="1"/>
  <c r="B79" i="30" a="1"/>
  <c r="B88" i="30" a="1"/>
  <c r="B88" i="30" s="1"/>
  <c r="B89" i="30" a="1"/>
  <c r="B89" i="30" s="1"/>
  <c r="B86" i="30" a="1"/>
  <c r="B86" i="30" s="1"/>
  <c r="K4" i="38" s="1"/>
  <c r="B85" i="30" a="1"/>
  <c r="B85" i="30" s="1"/>
  <c r="W8" i="38"/>
  <c r="B3" i="60"/>
  <c r="A3" i="68"/>
  <c r="A3" i="67"/>
  <c r="A3" i="61"/>
  <c r="F5" i="61"/>
  <c r="AC5" i="61"/>
  <c r="Z5" i="68"/>
  <c r="AL2" i="68"/>
  <c r="A5" i="68" s="1"/>
  <c r="A5" i="61"/>
  <c r="AC5" i="67"/>
  <c r="F5" i="67"/>
  <c r="AS2" i="67"/>
  <c r="A5" i="67" s="1"/>
  <c r="D5" i="68"/>
  <c r="AT2" i="42"/>
  <c r="B5" i="42" s="1"/>
  <c r="AT2" i="44"/>
  <c r="B5" i="44" s="1"/>
  <c r="AT2" i="58"/>
  <c r="B5" i="58" s="1"/>
  <c r="AT2" i="46"/>
  <c r="B5" i="46" s="1"/>
  <c r="AT2" i="52"/>
  <c r="B5" i="52" s="1"/>
  <c r="AT2" i="60"/>
  <c r="B5" i="60" s="1"/>
  <c r="AT2" i="40"/>
  <c r="B5" i="40" s="1"/>
  <c r="AT2" i="54"/>
  <c r="B5" i="54" s="1"/>
  <c r="AT2" i="48"/>
  <c r="B5" i="48" s="1"/>
  <c r="AT2" i="50"/>
  <c r="B5" i="50" s="1"/>
  <c r="AT2" i="56"/>
  <c r="B5" i="56" s="1"/>
  <c r="AD5" i="48"/>
  <c r="AD5" i="44"/>
  <c r="B35" i="47"/>
  <c r="B35" i="41"/>
  <c r="G5" i="48"/>
  <c r="AD5" i="58"/>
  <c r="G5" i="46"/>
  <c r="AD5" i="46"/>
  <c r="G5" i="50"/>
  <c r="G5" i="44"/>
  <c r="AD5" i="50"/>
  <c r="G5" i="56"/>
  <c r="AD5" i="56"/>
  <c r="G5" i="60"/>
  <c r="G5" i="42"/>
  <c r="G5" i="54"/>
  <c r="AD5" i="60"/>
  <c r="AD5" i="42"/>
  <c r="AD5" i="52"/>
  <c r="AD5" i="54"/>
  <c r="G5" i="40"/>
  <c r="G5" i="52"/>
  <c r="AD5" i="40"/>
  <c r="G5" i="58"/>
  <c r="B35" i="55"/>
  <c r="B35" i="49"/>
  <c r="Y8" i="38"/>
  <c r="X8" i="38"/>
  <c r="AT2" i="34"/>
  <c r="B5" i="34" s="1"/>
  <c r="AD5" i="34"/>
  <c r="G5" i="34"/>
  <c r="AC13" i="38"/>
  <c r="AC14" i="38" s="1"/>
  <c r="D60" i="6" a="1"/>
  <c r="D60" i="6" s="1"/>
  <c r="D65" i="6" a="1"/>
  <c r="D65" i="6" s="1"/>
  <c r="D72" i="6" a="1"/>
  <c r="D72" i="6" s="1"/>
  <c r="D77" i="6" a="1"/>
  <c r="D77" i="6" s="1"/>
  <c r="D84" i="6" a="1"/>
  <c r="D84" i="6" s="1"/>
  <c r="B58" i="6"/>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D68" i="6" a="1"/>
  <c r="D68" i="6" s="1"/>
  <c r="D80" i="6" a="1"/>
  <c r="D80" i="6" s="1"/>
  <c r="D79" i="6" a="1"/>
  <c r="D79" i="6" s="1"/>
  <c r="D57" i="6" a="1"/>
  <c r="D57" i="6" s="1"/>
  <c r="D69" i="6" a="1"/>
  <c r="D69" i="6" s="1"/>
  <c r="D81" i="6" a="1"/>
  <c r="D81" i="6" s="1"/>
  <c r="D67" i="6" a="1"/>
  <c r="D67" i="6" s="1"/>
  <c r="D58" i="6" a="1"/>
  <c r="D58" i="6" s="1"/>
  <c r="D70" i="6" a="1"/>
  <c r="D70" i="6" s="1"/>
  <c r="D82" i="6" a="1"/>
  <c r="D82" i="6" s="1"/>
  <c r="D59" i="6" a="1"/>
  <c r="D59" i="6" s="1"/>
  <c r="D71" i="6" a="1"/>
  <c r="D71" i="6" s="1"/>
  <c r="D83" i="6" a="1"/>
  <c r="D83" i="6" s="1"/>
  <c r="D85" i="6" a="1"/>
  <c r="D85" i="6" s="1"/>
  <c r="D62" i="6" a="1"/>
  <c r="D62" i="6" s="1"/>
  <c r="D74" i="6" a="1"/>
  <c r="D74" i="6" s="1"/>
  <c r="D86" i="6" a="1"/>
  <c r="D86" i="6" s="1"/>
  <c r="D73" i="6" a="1"/>
  <c r="D73" i="6" s="1"/>
  <c r="D63" i="6" a="1"/>
  <c r="D63" i="6" s="1"/>
  <c r="D75" i="6" a="1"/>
  <c r="D75" i="6" s="1"/>
  <c r="D87" i="6" a="1"/>
  <c r="D87" i="6" s="1"/>
  <c r="D61" i="6" a="1"/>
  <c r="D61" i="6" s="1"/>
  <c r="D64" i="6" a="1"/>
  <c r="D64" i="6" s="1"/>
  <c r="D76" i="6" a="1"/>
  <c r="D76" i="6" s="1"/>
  <c r="D88" i="6" a="1"/>
  <c r="D88" i="6" s="1"/>
  <c r="D66" i="6" a="1"/>
  <c r="D66" i="6" s="1"/>
  <c r="A15" i="38" l="1"/>
  <c r="Y16" i="32"/>
  <c r="Y7" i="66"/>
  <c r="F28" i="38"/>
  <c r="O28" i="38" s="1"/>
  <c r="Q28" i="38" s="1"/>
  <c r="F40" i="38"/>
  <c r="O40" i="38" s="1"/>
  <c r="Q40" i="38" s="1"/>
  <c r="F29" i="38"/>
  <c r="O29" i="38" s="1"/>
  <c r="Q29" i="38" s="1"/>
  <c r="F41" i="38"/>
  <c r="O41" i="38" s="1"/>
  <c r="Q41" i="38" s="1"/>
  <c r="F30" i="38"/>
  <c r="O30" i="38" s="1"/>
  <c r="Q30" i="38" s="1"/>
  <c r="F42" i="38"/>
  <c r="O42" i="38" s="1"/>
  <c r="Q42" i="38" s="1"/>
  <c r="F31" i="38"/>
  <c r="O31" i="38" s="1"/>
  <c r="Q31" i="38" s="1"/>
  <c r="F43" i="38"/>
  <c r="O43" i="38" s="1"/>
  <c r="Q43" i="38" s="1"/>
  <c r="F32" i="38"/>
  <c r="O32" i="38" s="1"/>
  <c r="Q32" i="38" s="1"/>
  <c r="F44" i="38"/>
  <c r="O44" i="38" s="1"/>
  <c r="Q44" i="38" s="1"/>
  <c r="F33" i="38"/>
  <c r="O33" i="38" s="1"/>
  <c r="Q33" i="38" s="1"/>
  <c r="F45" i="38"/>
  <c r="O45" i="38" s="1"/>
  <c r="Q45" i="38" s="1"/>
  <c r="F34" i="38"/>
  <c r="O34" i="38" s="1"/>
  <c r="Q34" i="38" s="1"/>
  <c r="F46" i="38"/>
  <c r="O46" i="38" s="1"/>
  <c r="Q46" i="38" s="1"/>
  <c r="F35" i="38"/>
  <c r="O35" i="38" s="1"/>
  <c r="Q35" i="38" s="1"/>
  <c r="F36" i="38"/>
  <c r="O36" i="38" s="1"/>
  <c r="Q36" i="38" s="1"/>
  <c r="F37" i="38"/>
  <c r="O37" i="38" s="1"/>
  <c r="Q37" i="38" s="1"/>
  <c r="F26" i="38"/>
  <c r="O26" i="38" s="1"/>
  <c r="Q26" i="38" s="1"/>
  <c r="F38" i="38"/>
  <c r="O38" i="38" s="1"/>
  <c r="Q38" i="38" s="1"/>
  <c r="F27" i="38"/>
  <c r="O27" i="38" s="1"/>
  <c r="Q27" i="38" s="1"/>
  <c r="F39" i="38"/>
  <c r="O39" i="38" s="1"/>
  <c r="Q39" i="38" s="1"/>
  <c r="Y16" i="41"/>
  <c r="Y7" i="65"/>
  <c r="Y16" i="43"/>
  <c r="Y16" i="45"/>
  <c r="Y16" i="47"/>
  <c r="Y16" i="49"/>
  <c r="Y16" i="51"/>
  <c r="Y16" i="53"/>
  <c r="Y16" i="59"/>
  <c r="Y16" i="55"/>
  <c r="Y16" i="57"/>
  <c r="Y16" i="39"/>
  <c r="B79" i="30"/>
  <c r="E5" i="65"/>
  <c r="Y30" i="65"/>
  <c r="F22" i="38"/>
  <c r="F23" i="38"/>
  <c r="F24" i="38"/>
  <c r="F25" i="38"/>
  <c r="F20" i="38"/>
  <c r="F21" i="38"/>
  <c r="I5" i="66"/>
  <c r="F15" i="38"/>
  <c r="F16" i="38"/>
  <c r="F17" i="38"/>
  <c r="O17" i="38" s="1"/>
  <c r="F18" i="38"/>
  <c r="F19" i="38"/>
  <c r="F13" i="38"/>
  <c r="F11" i="38"/>
  <c r="O11" i="38" s="1"/>
  <c r="F12" i="38"/>
  <c r="F14" i="38"/>
  <c r="J14" i="57"/>
  <c r="V5" i="58" s="1"/>
  <c r="J14" i="53"/>
  <c r="V5" i="54" s="1"/>
  <c r="J14" i="59"/>
  <c r="J14" i="43"/>
  <c r="V5" i="44" s="1"/>
  <c r="J14" i="55"/>
  <c r="V5" i="56" s="1"/>
  <c r="J14" i="49"/>
  <c r="V5" i="50" s="1"/>
  <c r="J14" i="45"/>
  <c r="V5" i="46" s="1"/>
  <c r="J14" i="51"/>
  <c r="V5" i="52" s="1"/>
  <c r="J14" i="47"/>
  <c r="V5" i="48" s="1"/>
  <c r="B35" i="57"/>
  <c r="B35" i="53"/>
  <c r="J14" i="32"/>
  <c r="J14" i="39"/>
  <c r="V5" i="40" s="1"/>
  <c r="J14" i="41"/>
  <c r="V5" i="42" s="1"/>
  <c r="B35" i="39"/>
  <c r="Z8" i="38"/>
  <c r="I4" i="38"/>
  <c r="AD13" i="38"/>
  <c r="AG13" i="38" s="1"/>
  <c r="AC15" i="38"/>
  <c r="AD14" i="38"/>
  <c r="AG14" i="38" s="1"/>
  <c r="A16" i="38" l="1"/>
  <c r="O19" i="38"/>
  <c r="Q19" i="38" s="1"/>
  <c r="O21" i="38"/>
  <c r="Q21" i="38" s="1"/>
  <c r="O18" i="38"/>
  <c r="Q18" i="38" s="1"/>
  <c r="O20" i="38"/>
  <c r="Q20" i="38" s="1"/>
  <c r="O13" i="38"/>
  <c r="Q13" i="38" s="1"/>
  <c r="O25" i="38"/>
  <c r="Q25" i="38" s="1"/>
  <c r="O24" i="38"/>
  <c r="Q24" i="38" s="1"/>
  <c r="O15" i="38"/>
  <c r="Q15" i="38" s="1"/>
  <c r="O23" i="38"/>
  <c r="Q23" i="38" s="1"/>
  <c r="O16" i="38"/>
  <c r="Q16" i="38" s="1"/>
  <c r="O22" i="38"/>
  <c r="Q22" i="38" s="1"/>
  <c r="O14" i="38"/>
  <c r="Q14" i="38" s="1"/>
  <c r="O12" i="38"/>
  <c r="Q12" i="38" s="1"/>
  <c r="Q17" i="38"/>
  <c r="U5" i="67"/>
  <c r="S5" i="68"/>
  <c r="E5" i="66"/>
  <c r="V5" i="60"/>
  <c r="U5" i="61"/>
  <c r="E14" i="47"/>
  <c r="O5" i="48" s="1"/>
  <c r="E14" i="57"/>
  <c r="O5" i="58" s="1"/>
  <c r="E14" i="53"/>
  <c r="O5" i="54" s="1"/>
  <c r="E14" i="59"/>
  <c r="E14" i="43"/>
  <c r="O5" i="44" s="1"/>
  <c r="E14" i="55"/>
  <c r="O5" i="56" s="1"/>
  <c r="E14" i="49"/>
  <c r="O5" i="50" s="1"/>
  <c r="E14" i="45"/>
  <c r="O5" i="46" s="1"/>
  <c r="E14" i="51"/>
  <c r="O5" i="52" s="1"/>
  <c r="E14" i="32"/>
  <c r="O5" i="34" s="1"/>
  <c r="E14" i="39"/>
  <c r="O5" i="40" s="1"/>
  <c r="E14" i="41"/>
  <c r="O5" i="42" s="1"/>
  <c r="Q11" i="38"/>
  <c r="S11" i="38" a="1"/>
  <c r="AC16" i="38"/>
  <c r="AD15" i="38"/>
  <c r="AG15" i="38" s="1"/>
  <c r="DH43" i="65" l="1" a="1"/>
  <c r="DH43" i="65" s="1"/>
  <c r="A17" i="38"/>
  <c r="R12" i="38"/>
  <c r="R13" i="38" s="1"/>
  <c r="R14" i="38" s="1"/>
  <c r="R15" i="38" s="1"/>
  <c r="R16" i="38" s="1"/>
  <c r="R17" i="38" s="1"/>
  <c r="R18" i="38" s="1"/>
  <c r="R19" i="38" s="1"/>
  <c r="R20" i="38" s="1"/>
  <c r="R21" i="38" s="1"/>
  <c r="R22" i="38" s="1"/>
  <c r="R23" i="38" s="1"/>
  <c r="R24" i="38" s="1"/>
  <c r="R25" i="38" s="1"/>
  <c r="R26" i="38" s="1"/>
  <c r="R27" i="38" s="1"/>
  <c r="R28" i="38" s="1"/>
  <c r="R29" i="38" s="1"/>
  <c r="R30" i="38" s="1"/>
  <c r="R31" i="38" s="1"/>
  <c r="R32" i="38" s="1"/>
  <c r="R33" i="38" s="1"/>
  <c r="R34" i="38" s="1"/>
  <c r="R35" i="38" s="1"/>
  <c r="R36" i="38" s="1"/>
  <c r="R37" i="38" s="1"/>
  <c r="R38" i="38" s="1"/>
  <c r="R39" i="38" s="1"/>
  <c r="R40" i="38" s="1"/>
  <c r="R41" i="38" s="1"/>
  <c r="R42" i="38" s="1"/>
  <c r="R43" i="38" s="1"/>
  <c r="R44" i="38" s="1"/>
  <c r="R45" i="38" s="1"/>
  <c r="R46" i="38" s="1"/>
  <c r="N5" i="67"/>
  <c r="L5" i="68"/>
  <c r="O5" i="60"/>
  <c r="N5" i="61"/>
  <c r="S11" i="38"/>
  <c r="AC17" i="38"/>
  <c r="AD16" i="38"/>
  <c r="AG16" i="38" s="1"/>
  <c r="V5" i="34"/>
  <c r="CM27" i="66" l="1"/>
  <c r="DI43" i="65"/>
  <c r="CN27" i="66" s="1"/>
  <c r="A18" i="38"/>
  <c r="AC18" i="38"/>
  <c r="AD17" i="38"/>
  <c r="AG17" i="38" s="1"/>
  <c r="A19" i="38" l="1"/>
  <c r="AC19" i="38"/>
  <c r="AD18" i="38"/>
  <c r="AG18" i="38" s="1"/>
  <c r="A20" i="38" l="1"/>
  <c r="AC20" i="38"/>
  <c r="AD19" i="38"/>
  <c r="AG19" i="38" s="1"/>
  <c r="A21" i="38" l="1"/>
  <c r="AC21" i="38"/>
  <c r="AD20" i="38"/>
  <c r="AG20" i="38" s="1"/>
  <c r="A22" i="38" l="1"/>
  <c r="AC22" i="38"/>
  <c r="AD21" i="38"/>
  <c r="AG21" i="38" s="1"/>
  <c r="A23" i="38" l="1"/>
  <c r="AC23" i="38"/>
  <c r="AD22" i="38"/>
  <c r="AG22" i="38" s="1"/>
  <c r="A24" i="38" l="1"/>
  <c r="AC24" i="38"/>
  <c r="AD23" i="38"/>
  <c r="AG23" i="38" s="1"/>
  <c r="A25" i="38" l="1"/>
  <c r="AC25" i="38"/>
  <c r="AD24" i="38"/>
  <c r="AG24" i="38" s="1"/>
  <c r="A26" i="38" l="1"/>
  <c r="AC26" i="38"/>
  <c r="AD25" i="38"/>
  <c r="AG25" i="38" s="1"/>
  <c r="A27" i="38" l="1"/>
  <c r="AC27" i="38"/>
  <c r="AD26" i="38"/>
  <c r="AG26" i="38" s="1"/>
  <c r="A28" i="38" l="1"/>
  <c r="AC28" i="38"/>
  <c r="AD27" i="38"/>
  <c r="AG27" i="38" s="1"/>
  <c r="A29" i="38" l="1"/>
  <c r="AC29" i="38"/>
  <c r="AD28" i="38"/>
  <c r="AG28" i="38" s="1"/>
  <c r="A30" i="38" l="1"/>
  <c r="AC30" i="38"/>
  <c r="AD29" i="38"/>
  <c r="AG29" i="38" s="1"/>
  <c r="A31" i="38" l="1"/>
  <c r="AC31" i="38"/>
  <c r="AD30" i="38"/>
  <c r="AG30" i="38" s="1"/>
  <c r="A32" i="38" l="1"/>
  <c r="AC32" i="38"/>
  <c r="AD31" i="38"/>
  <c r="AG31" i="38" s="1"/>
  <c r="A33" i="38" l="1"/>
  <c r="AC33" i="38"/>
  <c r="AD32" i="38"/>
  <c r="AG32" i="38" s="1"/>
  <c r="A34" i="38" l="1"/>
  <c r="AC34" i="38"/>
  <c r="AD33" i="38"/>
  <c r="AG33" i="38" s="1"/>
  <c r="A35" i="38" l="1"/>
  <c r="AC35" i="38"/>
  <c r="AD34" i="38"/>
  <c r="AG34" i="38" s="1"/>
  <c r="A36" i="38" l="1"/>
  <c r="AC36" i="38"/>
  <c r="AD35" i="38"/>
  <c r="AG35" i="38" s="1"/>
  <c r="A37" i="38" l="1"/>
  <c r="AC37" i="38"/>
  <c r="AD36" i="38"/>
  <c r="AG36" i="38" s="1"/>
  <c r="A38" i="38" l="1"/>
  <c r="AC38" i="38"/>
  <c r="AD37" i="38"/>
  <c r="AG37" i="38" s="1"/>
  <c r="A39" i="38" l="1"/>
  <c r="AC39" i="38"/>
  <c r="AD38" i="38"/>
  <c r="AG38" i="38" s="1"/>
  <c r="A40" i="38" l="1"/>
  <c r="AC40" i="38"/>
  <c r="AD39" i="38"/>
  <c r="AG39" i="38" s="1"/>
  <c r="A41" i="38" l="1"/>
  <c r="AC41" i="38"/>
  <c r="AD40" i="38"/>
  <c r="AG40" i="38" s="1"/>
  <c r="A42" i="38" l="1"/>
  <c r="AC42" i="38"/>
  <c r="AD41" i="38"/>
  <c r="AG41" i="38" s="1"/>
  <c r="A43" i="38" l="1"/>
  <c r="AC43" i="38"/>
  <c r="AD42" i="38"/>
  <c r="AG42" i="38" s="1"/>
  <c r="A44" i="38" l="1"/>
  <c r="AC44" i="38"/>
  <c r="AD43" i="38"/>
  <c r="AG43" i="38" s="1"/>
  <c r="A45" i="38" l="1"/>
  <c r="AC45" i="38"/>
  <c r="AD44" i="38"/>
  <c r="AG44" i="38" s="1"/>
  <c r="A46" i="38" l="1"/>
  <c r="AC46" i="38"/>
  <c r="AD46" i="38" s="1"/>
  <c r="AG46" i="38" s="1"/>
  <c r="AD45" i="38"/>
  <c r="AG45" i="38" s="1"/>
  <c r="Q39" i="67" l="1"/>
  <c r="Q31" i="61"/>
  <c r="Q11" i="61"/>
  <c r="Q31" i="67"/>
  <c r="Q19" i="67"/>
  <c r="Q19" i="61"/>
  <c r="Q27" i="67"/>
  <c r="Q15" i="61"/>
  <c r="Q35" i="67"/>
  <c r="Q23" i="61"/>
  <c r="Q11" i="67"/>
  <c r="A8" i="68"/>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Q23" i="67"/>
  <c r="Q15" i="67"/>
  <c r="Q35" i="61"/>
  <c r="Q39" i="61"/>
  <c r="Q27" i="61"/>
  <c r="T8" i="38" l="1"/>
  <c r="C15" i="65"/>
  <c r="C11" i="65"/>
  <c r="C12" i="66"/>
  <c r="C14" i="66"/>
  <c r="C13" i="65"/>
  <c r="C13" i="66"/>
  <c r="C15" i="66"/>
  <c r="C9" i="65"/>
  <c r="C14" i="65"/>
  <c r="C10" i="65"/>
  <c r="C10" i="66"/>
  <c r="C9" i="66"/>
  <c r="C11" i="66"/>
  <c r="C12" i="65"/>
  <c r="AH27" i="38" l="1"/>
  <c r="AI27" i="38" s="1"/>
  <c r="B7" i="47" s="1"/>
  <c r="AH41" i="38"/>
  <c r="AI41" i="38" s="1"/>
  <c r="B6" i="57" s="1"/>
  <c r="AH16" i="38"/>
  <c r="AI16" i="38" s="1"/>
  <c r="B8" i="39" s="1"/>
  <c r="AH28" i="38"/>
  <c r="AI28" i="38" s="1"/>
  <c r="B8" i="47" s="1"/>
  <c r="AH40" i="38"/>
  <c r="AI40" i="38" s="1"/>
  <c r="B8" i="55" s="1"/>
  <c r="AH17" i="38"/>
  <c r="AI17" i="38" s="1"/>
  <c r="B6" i="41" s="1"/>
  <c r="AH37" i="38"/>
  <c r="AI37" i="38" s="1"/>
  <c r="B8" i="53" s="1"/>
  <c r="AH18" i="38"/>
  <c r="AI18" i="38" s="1"/>
  <c r="B7" i="41" s="1"/>
  <c r="AH30" i="38"/>
  <c r="AI30" i="38" s="1"/>
  <c r="B7" i="49" s="1"/>
  <c r="AH42" i="38"/>
  <c r="AI42" i="38" s="1"/>
  <c r="B7" i="57" s="1"/>
  <c r="AH19" i="38"/>
  <c r="AI19" i="38" s="1"/>
  <c r="B8" i="41" s="1"/>
  <c r="AH31" i="38"/>
  <c r="AI31" i="38" s="1"/>
  <c r="B8" i="49" s="1"/>
  <c r="AH43" i="38"/>
  <c r="AI43" i="38" s="1"/>
  <c r="B8" i="57" s="1"/>
  <c r="AH46" i="38"/>
  <c r="AI46" i="38" s="1"/>
  <c r="AH20" i="38"/>
  <c r="AI20" i="38" s="1"/>
  <c r="B6" i="43" s="1"/>
  <c r="AH32" i="38"/>
  <c r="AI32" i="38" s="1"/>
  <c r="B6" i="51" s="1"/>
  <c r="AH44" i="38"/>
  <c r="AI44" i="38" s="1"/>
  <c r="B6" i="59" s="1"/>
  <c r="AH34" i="38"/>
  <c r="AI34" i="38" s="1"/>
  <c r="B8" i="51" s="1"/>
  <c r="AH21" i="38"/>
  <c r="AI21" i="38" s="1"/>
  <c r="B7" i="43" s="1"/>
  <c r="AH33" i="38"/>
  <c r="AI33" i="38" s="1"/>
  <c r="B7" i="51" s="1"/>
  <c r="AD7" i="51" s="1" a="1"/>
  <c r="AD7" i="51" s="1"/>
  <c r="AE7" i="51" s="1"/>
  <c r="Y7" i="51" s="1"/>
  <c r="AH45" i="38"/>
  <c r="AI45" i="38" s="1"/>
  <c r="B7" i="59" s="1"/>
  <c r="AH22" i="38"/>
  <c r="AI22" i="38" s="1"/>
  <c r="B8" i="43" s="1"/>
  <c r="AD8" i="43" s="1" a="1"/>
  <c r="AD8" i="43" s="1"/>
  <c r="AE8" i="43" s="1"/>
  <c r="Y8" i="43" s="1"/>
  <c r="AH23" i="38"/>
  <c r="AI23" i="38" s="1"/>
  <c r="B6" i="45" s="1"/>
  <c r="AH35" i="38"/>
  <c r="AI35" i="38" s="1"/>
  <c r="B6" i="53" s="1"/>
  <c r="AH11" i="38"/>
  <c r="AI11" i="38" s="1"/>
  <c r="B6" i="32" s="1"/>
  <c r="AH25" i="38"/>
  <c r="AI25" i="38" s="1"/>
  <c r="B8" i="45" s="1"/>
  <c r="AH12" i="38"/>
  <c r="AI12" i="38" s="1"/>
  <c r="B7" i="32" s="1"/>
  <c r="AD7" i="32" s="1" a="1"/>
  <c r="AD7" i="32" s="1"/>
  <c r="AE7" i="32" s="1"/>
  <c r="Y7" i="32" s="1"/>
  <c r="AH24" i="38"/>
  <c r="AI24" i="38" s="1"/>
  <c r="B7" i="45" s="1"/>
  <c r="AH36" i="38"/>
  <c r="AI36" i="38" s="1"/>
  <c r="B7" i="53" s="1"/>
  <c r="AH13" i="38"/>
  <c r="AI13" i="38" s="1"/>
  <c r="B8" i="32" s="1"/>
  <c r="AH14" i="38"/>
  <c r="AI14" i="38" s="1"/>
  <c r="B6" i="39" s="1"/>
  <c r="AH26" i="38"/>
  <c r="AI26" i="38" s="1"/>
  <c r="B6" i="47" s="1"/>
  <c r="AH38" i="38"/>
  <c r="AI38" i="38" s="1"/>
  <c r="B6" i="55" s="1"/>
  <c r="AH15" i="38"/>
  <c r="AI15" i="38" s="1"/>
  <c r="B7" i="39" s="1"/>
  <c r="AH39" i="38"/>
  <c r="AI39" i="38" s="1"/>
  <c r="B7" i="55" s="1"/>
  <c r="AH29" i="38"/>
  <c r="AI29" i="38" s="1"/>
  <c r="B6" i="49" s="1"/>
  <c r="AD6" i="32" a="1"/>
  <c r="AD6" i="32" s="1"/>
  <c r="AD7" i="47" a="1"/>
  <c r="AD7" i="47" s="1"/>
  <c r="AE7" i="47" s="1"/>
  <c r="Y7" i="47" s="1"/>
  <c r="AD8" i="49" a="1"/>
  <c r="AD8" i="49" s="1"/>
  <c r="AE8" i="49" s="1"/>
  <c r="Y8" i="49" s="1"/>
  <c r="AD8" i="57" a="1"/>
  <c r="AD8" i="57" s="1"/>
  <c r="AE8" i="57" s="1"/>
  <c r="Y8" i="57" s="1"/>
  <c r="AD8" i="32" a="1"/>
  <c r="AD8" i="32" s="1"/>
  <c r="B8" i="59" l="1"/>
  <c r="B10" i="53"/>
  <c r="B9" i="53"/>
  <c r="B11" i="51"/>
  <c r="B9" i="45"/>
  <c r="B9" i="55"/>
  <c r="B9" i="39"/>
  <c r="B11" i="49"/>
  <c r="B11" i="47"/>
  <c r="B11" i="59"/>
  <c r="B11" i="32"/>
  <c r="B9" i="32"/>
  <c r="B10" i="51"/>
  <c r="B11" i="45"/>
  <c r="B9" i="47"/>
  <c r="B10" i="45"/>
  <c r="B10" i="47"/>
  <c r="B11" i="53"/>
  <c r="B9" i="49"/>
  <c r="B10" i="55"/>
  <c r="B10" i="43"/>
  <c r="B10" i="59"/>
  <c r="B11" i="43"/>
  <c r="B10" i="57"/>
  <c r="B10" i="32"/>
  <c r="B11" i="57"/>
  <c r="B10" i="49"/>
  <c r="B9" i="57"/>
  <c r="B11" i="41"/>
  <c r="B9" i="51"/>
  <c r="B11" i="55"/>
  <c r="B10" i="41"/>
  <c r="B11" i="39"/>
  <c r="B9" i="59"/>
  <c r="B10" i="39"/>
  <c r="B9" i="43"/>
  <c r="B9" i="41"/>
  <c r="AD6" i="57" a="1"/>
  <c r="AD6" i="57" s="1"/>
  <c r="AE6" i="57" s="1"/>
  <c r="Y6" i="57" s="1"/>
  <c r="AD6" i="55" a="1"/>
  <c r="AD6" i="55" s="1"/>
  <c r="AE6" i="55" s="1"/>
  <c r="Y6" i="55" s="1"/>
  <c r="AE6" i="32"/>
  <c r="Y6" i="32" s="1"/>
  <c r="AE8" i="32"/>
  <c r="Y8" i="32" s="1"/>
  <c r="E6" i="47"/>
  <c r="AD8" i="59" a="1"/>
  <c r="AD8" i="59" s="1"/>
  <c r="AE8" i="59" s="1"/>
  <c r="Y8" i="59" s="1"/>
  <c r="AD7" i="57" a="1"/>
  <c r="AD7" i="57" s="1"/>
  <c r="AE7" i="57" s="1"/>
  <c r="Y7" i="57" s="1"/>
  <c r="AD8" i="53" a="1"/>
  <c r="AD8" i="53" s="1"/>
  <c r="AE8" i="53" s="1"/>
  <c r="Y8" i="53" s="1"/>
  <c r="AD7" i="53" a="1"/>
  <c r="AD7" i="53" s="1"/>
  <c r="AE7" i="53" s="1"/>
  <c r="Y7" i="53" s="1"/>
  <c r="G6" i="45"/>
  <c r="AD8" i="51" a="1"/>
  <c r="AD8" i="51" s="1"/>
  <c r="AE8" i="51" s="1"/>
  <c r="Y8" i="51" s="1"/>
  <c r="AD7" i="49" a="1"/>
  <c r="AD7" i="49" s="1"/>
  <c r="AE7" i="49" s="1"/>
  <c r="Y7" i="49" s="1"/>
  <c r="AD7" i="55" a="1"/>
  <c r="AD7" i="55" s="1"/>
  <c r="AE7" i="55" s="1"/>
  <c r="Y7" i="55" s="1"/>
  <c r="AD7" i="41" a="1"/>
  <c r="AD7" i="41" s="1"/>
  <c r="AE7" i="41" s="1"/>
  <c r="Y7" i="41" s="1"/>
  <c r="AD7" i="59" a="1"/>
  <c r="AD7" i="59" s="1"/>
  <c r="AE7" i="59" s="1"/>
  <c r="Y7" i="59" s="1"/>
  <c r="AD8" i="45" a="1"/>
  <c r="AD8" i="45" s="1"/>
  <c r="AE8" i="45" s="1"/>
  <c r="Y8" i="45" s="1"/>
  <c r="AD7" i="43" a="1"/>
  <c r="AD7" i="43" s="1"/>
  <c r="AE7" i="43" s="1"/>
  <c r="Y7" i="43" s="1"/>
  <c r="AD8" i="55" a="1"/>
  <c r="AD8" i="55" s="1"/>
  <c r="AE8" i="55" s="1"/>
  <c r="Y8" i="55" s="1"/>
  <c r="AD7" i="45" a="1"/>
  <c r="AD7" i="45" s="1"/>
  <c r="AE7" i="45" s="1"/>
  <c r="Y7" i="45" s="1"/>
  <c r="AD7" i="39" a="1"/>
  <c r="AD7" i="39" s="1"/>
  <c r="AE7" i="39" s="1"/>
  <c r="Y7" i="39" s="1"/>
  <c r="J6" i="39"/>
  <c r="AS6" i="39" s="1"/>
  <c r="G8" i="39"/>
  <c r="C8" i="43"/>
  <c r="E8" i="43"/>
  <c r="I8" i="43"/>
  <c r="G8" i="43"/>
  <c r="J8" i="43"/>
  <c r="AS8" i="43" s="1"/>
  <c r="N8" i="43"/>
  <c r="AO8" i="43" s="1"/>
  <c r="J7" i="51"/>
  <c r="AS7" i="51" s="1"/>
  <c r="E7" i="51"/>
  <c r="N7" i="51"/>
  <c r="AO7" i="51" s="1"/>
  <c r="G7" i="51"/>
  <c r="C7" i="51"/>
  <c r="I7" i="51"/>
  <c r="C8" i="57"/>
  <c r="E8" i="57"/>
  <c r="J8" i="57"/>
  <c r="AS8" i="57" s="1"/>
  <c r="N8" i="57"/>
  <c r="AO8" i="57" s="1"/>
  <c r="I8" i="57"/>
  <c r="G8" i="57"/>
  <c r="G8" i="49"/>
  <c r="C8" i="49"/>
  <c r="J8" i="49"/>
  <c r="AS8" i="49" s="1"/>
  <c r="N8" i="49"/>
  <c r="AO8" i="49" s="1"/>
  <c r="E8" i="49"/>
  <c r="I8" i="49"/>
  <c r="N8" i="41"/>
  <c r="AO8" i="41" s="1"/>
  <c r="I8" i="41"/>
  <c r="N6" i="32"/>
  <c r="AO6" i="32" s="1"/>
  <c r="AT6" i="32" s="1"/>
  <c r="I6" i="32"/>
  <c r="J6" i="32"/>
  <c r="A6" i="32"/>
  <c r="E6" i="57"/>
  <c r="A6" i="57"/>
  <c r="G6" i="57"/>
  <c r="I6" i="57"/>
  <c r="J6" i="57"/>
  <c r="AS6" i="57" s="1"/>
  <c r="C6" i="57"/>
  <c r="N6" i="57"/>
  <c r="AO6" i="57" s="1"/>
  <c r="J7" i="47"/>
  <c r="AS7" i="47" s="1"/>
  <c r="G7" i="47"/>
  <c r="N7" i="47"/>
  <c r="AO7" i="47" s="1"/>
  <c r="I7" i="47"/>
  <c r="E7" i="47"/>
  <c r="C7" i="47"/>
  <c r="N6" i="55"/>
  <c r="AO6" i="55" s="1"/>
  <c r="A6" i="55"/>
  <c r="E6" i="55"/>
  <c r="C6" i="55"/>
  <c r="J6" i="55"/>
  <c r="AS6" i="55" s="1"/>
  <c r="G6" i="55"/>
  <c r="I6" i="55"/>
  <c r="N8" i="32"/>
  <c r="AO8" i="32" s="1"/>
  <c r="J8" i="32"/>
  <c r="I8" i="32"/>
  <c r="N7" i="32"/>
  <c r="AO7" i="32" s="1"/>
  <c r="J7" i="32"/>
  <c r="I7" i="32"/>
  <c r="N10" i="57" l="1"/>
  <c r="AO10" i="57" s="1"/>
  <c r="G10" i="57"/>
  <c r="I10" i="57"/>
  <c r="C10" i="57"/>
  <c r="E10" i="57"/>
  <c r="AD10" i="57" a="1"/>
  <c r="AD10" i="57" s="1"/>
  <c r="AE10" i="57" s="1"/>
  <c r="A10" i="57"/>
  <c r="Y10" i="57"/>
  <c r="J10" i="57"/>
  <c r="AS10" i="57" s="1"/>
  <c r="G11" i="43"/>
  <c r="E11" i="43"/>
  <c r="J11" i="43"/>
  <c r="AS11" i="43" s="1"/>
  <c r="AD11" i="43" a="1"/>
  <c r="AD11" i="43" s="1"/>
  <c r="AE11" i="43" s="1"/>
  <c r="N11" i="43"/>
  <c r="AO11" i="43" s="1"/>
  <c r="Y11" i="43"/>
  <c r="C11" i="43"/>
  <c r="I11" i="43"/>
  <c r="I9" i="59"/>
  <c r="C9" i="59"/>
  <c r="G9" i="59"/>
  <c r="AD9" i="59" a="1"/>
  <c r="AD9" i="59" s="1"/>
  <c r="AE9" i="59" s="1"/>
  <c r="A9" i="59"/>
  <c r="E9" i="59"/>
  <c r="Y9" i="59"/>
  <c r="J9" i="59"/>
  <c r="AS9" i="59" s="1"/>
  <c r="N9" i="59"/>
  <c r="AO9" i="59" s="1"/>
  <c r="G10" i="59"/>
  <c r="J10" i="59"/>
  <c r="AS10" i="59" s="1"/>
  <c r="AD10" i="59" a="1"/>
  <c r="AD10" i="59" s="1"/>
  <c r="AE10" i="59" s="1"/>
  <c r="N10" i="59"/>
  <c r="AO10" i="59" s="1"/>
  <c r="AQ10" i="59" s="1"/>
  <c r="C10" i="59"/>
  <c r="Y10" i="59"/>
  <c r="E10" i="59"/>
  <c r="I10" i="59"/>
  <c r="A10" i="59"/>
  <c r="N11" i="59"/>
  <c r="AO11" i="59" s="1"/>
  <c r="A11" i="59"/>
  <c r="AD11" i="59" a="1"/>
  <c r="AD11" i="59" s="1"/>
  <c r="AE11" i="59" s="1"/>
  <c r="Y11" i="59"/>
  <c r="J11" i="59"/>
  <c r="AS11" i="59" s="1"/>
  <c r="G11" i="59"/>
  <c r="C11" i="59"/>
  <c r="I11" i="59"/>
  <c r="E11" i="59"/>
  <c r="AD11" i="39" a="1"/>
  <c r="AD11" i="39" s="1"/>
  <c r="AE11" i="39" s="1"/>
  <c r="Y11" i="39"/>
  <c r="N11" i="39"/>
  <c r="AO11" i="39" s="1"/>
  <c r="I11" i="39"/>
  <c r="E11" i="39"/>
  <c r="C11" i="39"/>
  <c r="G11" i="39"/>
  <c r="J11" i="39"/>
  <c r="AS11" i="39" s="1"/>
  <c r="J11" i="47"/>
  <c r="AS11" i="47" s="1"/>
  <c r="N11" i="47"/>
  <c r="AO11" i="47" s="1"/>
  <c r="AD11" i="47" a="1"/>
  <c r="AD11" i="47" s="1"/>
  <c r="AE11" i="47" s="1"/>
  <c r="I11" i="47"/>
  <c r="G11" i="47"/>
  <c r="Y11" i="47"/>
  <c r="E11" i="47"/>
  <c r="C11" i="47"/>
  <c r="AD10" i="55" a="1"/>
  <c r="AD10" i="55" s="1"/>
  <c r="AE10" i="55" s="1"/>
  <c r="N10" i="55"/>
  <c r="AO10" i="55" s="1"/>
  <c r="Y10" i="55"/>
  <c r="G10" i="55"/>
  <c r="I10" i="55"/>
  <c r="E10" i="55"/>
  <c r="C10" i="55"/>
  <c r="A10" i="55"/>
  <c r="J10" i="55"/>
  <c r="AS10" i="55" s="1"/>
  <c r="G11" i="49"/>
  <c r="I11" i="49"/>
  <c r="A11" i="49"/>
  <c r="N11" i="49"/>
  <c r="AO11" i="49" s="1"/>
  <c r="AQ11" i="49" s="1"/>
  <c r="E11" i="49"/>
  <c r="J11" i="49"/>
  <c r="AS11" i="49" s="1"/>
  <c r="AD11" i="49" a="1"/>
  <c r="AD11" i="49" s="1"/>
  <c r="AE11" i="49" s="1"/>
  <c r="Y11" i="49"/>
  <c r="C11" i="49"/>
  <c r="AD11" i="55" a="1"/>
  <c r="AD11" i="55" s="1"/>
  <c r="AE11" i="55" s="1"/>
  <c r="N11" i="55"/>
  <c r="AO11" i="55" s="1"/>
  <c r="Y11" i="55"/>
  <c r="E11" i="55"/>
  <c r="J11" i="55"/>
  <c r="AS11" i="55" s="1"/>
  <c r="I11" i="55"/>
  <c r="A11" i="55"/>
  <c r="C11" i="55"/>
  <c r="G11" i="55"/>
  <c r="J11" i="53"/>
  <c r="AS11" i="53" s="1"/>
  <c r="A11" i="53"/>
  <c r="N11" i="53"/>
  <c r="AO11" i="53" s="1"/>
  <c r="AD11" i="53" a="1"/>
  <c r="AD11" i="53" s="1"/>
  <c r="AE11" i="53" s="1"/>
  <c r="Y11" i="53"/>
  <c r="E11" i="53"/>
  <c r="G11" i="53"/>
  <c r="I11" i="53"/>
  <c r="C11" i="53"/>
  <c r="AD9" i="55" a="1"/>
  <c r="AD9" i="55" s="1"/>
  <c r="AE9" i="55" s="1"/>
  <c r="Y9" i="55"/>
  <c r="J9" i="55"/>
  <c r="AS9" i="55" s="1"/>
  <c r="A9" i="55"/>
  <c r="N9" i="55"/>
  <c r="AO9" i="55" s="1"/>
  <c r="G9" i="55"/>
  <c r="E9" i="55"/>
  <c r="C9" i="55"/>
  <c r="I9" i="55"/>
  <c r="AD11" i="41" a="1"/>
  <c r="AD11" i="41" s="1"/>
  <c r="AE11" i="41" s="1"/>
  <c r="N11" i="41"/>
  <c r="AO11" i="41" s="1"/>
  <c r="Y11" i="41"/>
  <c r="E11" i="41"/>
  <c r="I11" i="41"/>
  <c r="G11" i="41"/>
  <c r="C11" i="41"/>
  <c r="J11" i="41"/>
  <c r="AS11" i="41" s="1"/>
  <c r="A9" i="57"/>
  <c r="AD9" i="57" a="1"/>
  <c r="AD9" i="57" s="1"/>
  <c r="AE9" i="57" s="1"/>
  <c r="Y9" i="57"/>
  <c r="G9" i="57"/>
  <c r="J9" i="57"/>
  <c r="AS9" i="57" s="1"/>
  <c r="C9" i="57"/>
  <c r="N9" i="57"/>
  <c r="AO9" i="57" s="1"/>
  <c r="AQ9" i="57" s="1"/>
  <c r="E9" i="57"/>
  <c r="I9" i="57"/>
  <c r="AD11" i="51" a="1"/>
  <c r="AD11" i="51" s="1"/>
  <c r="AE11" i="51" s="1"/>
  <c r="Y11" i="51"/>
  <c r="J11" i="51"/>
  <c r="AS11" i="51" s="1"/>
  <c r="C11" i="51"/>
  <c r="I11" i="51"/>
  <c r="N11" i="51"/>
  <c r="AO11" i="51" s="1"/>
  <c r="A11" i="51"/>
  <c r="E11" i="51"/>
  <c r="G11" i="51"/>
  <c r="C11" i="57"/>
  <c r="G11" i="57"/>
  <c r="I11" i="57"/>
  <c r="A11" i="57"/>
  <c r="J11" i="57"/>
  <c r="AS11" i="57" s="1"/>
  <c r="N11" i="57"/>
  <c r="AO11" i="57" s="1"/>
  <c r="AQ11" i="57" s="1"/>
  <c r="AD11" i="57" a="1"/>
  <c r="AD11" i="57" s="1"/>
  <c r="AE11" i="57" s="1"/>
  <c r="E11" i="57"/>
  <c r="Y11" i="57"/>
  <c r="AD11" i="45" a="1"/>
  <c r="AD11" i="45" s="1"/>
  <c r="AE11" i="45" s="1"/>
  <c r="Y11" i="45"/>
  <c r="J11" i="45"/>
  <c r="AS11" i="45" s="1"/>
  <c r="N11" i="45"/>
  <c r="AO11" i="45" s="1"/>
  <c r="E11" i="45"/>
  <c r="G11" i="45"/>
  <c r="C11" i="45"/>
  <c r="I11" i="45"/>
  <c r="AD10" i="53" a="1"/>
  <c r="AD10" i="53" s="1"/>
  <c r="AE10" i="53" s="1"/>
  <c r="Y10" i="53"/>
  <c r="N10" i="53"/>
  <c r="AO10" i="53" s="1"/>
  <c r="J10" i="53"/>
  <c r="AS10" i="53" s="1"/>
  <c r="C10" i="53"/>
  <c r="E10" i="53"/>
  <c r="G10" i="53"/>
  <c r="A10" i="53"/>
  <c r="I10" i="53"/>
  <c r="J10" i="51"/>
  <c r="AS10" i="51" s="1"/>
  <c r="N10" i="51"/>
  <c r="AO10" i="51" s="1"/>
  <c r="E10" i="51"/>
  <c r="I10" i="51"/>
  <c r="C10" i="51"/>
  <c r="A10" i="51"/>
  <c r="AD10" i="51" a="1"/>
  <c r="AD10" i="51" s="1"/>
  <c r="AE10" i="51" s="1"/>
  <c r="Y10" i="51"/>
  <c r="G10" i="51"/>
  <c r="AD10" i="49" a="1"/>
  <c r="AD10" i="49" s="1"/>
  <c r="AE10" i="49" s="1"/>
  <c r="Y10" i="49"/>
  <c r="AD9" i="41" a="1"/>
  <c r="AD9" i="41" s="1"/>
  <c r="AE9" i="41" s="1"/>
  <c r="Y9" i="41"/>
  <c r="AD10" i="45" a="1"/>
  <c r="AD10" i="45" s="1"/>
  <c r="AE10" i="45" s="1"/>
  <c r="Y10" i="45"/>
  <c r="AD10" i="47" a="1"/>
  <c r="AD10" i="47" s="1"/>
  <c r="AE10" i="47" s="1"/>
  <c r="Y10" i="47"/>
  <c r="AD9" i="47" a="1"/>
  <c r="AD9" i="47" s="1"/>
  <c r="AE9" i="47" s="1"/>
  <c r="Y9" i="47"/>
  <c r="AD10" i="39" a="1"/>
  <c r="AD10" i="39" s="1"/>
  <c r="AE10" i="39" s="1"/>
  <c r="Y10" i="39"/>
  <c r="AD10" i="43" a="1"/>
  <c r="AD10" i="43" s="1"/>
  <c r="AE10" i="43" s="1"/>
  <c r="Y10" i="43"/>
  <c r="AD11" i="32" a="1"/>
  <c r="AD11" i="32" s="1"/>
  <c r="Y11" i="32"/>
  <c r="AD9" i="45" a="1"/>
  <c r="AD9" i="45" s="1"/>
  <c r="AE9" i="45" s="1"/>
  <c r="Y9" i="45"/>
  <c r="AD9" i="32" a="1"/>
  <c r="AD9" i="32" s="1"/>
  <c r="Y9" i="32"/>
  <c r="AD10" i="41" a="1"/>
  <c r="AD10" i="41" s="1"/>
  <c r="AE10" i="41" s="1"/>
  <c r="Y10" i="41"/>
  <c r="AD9" i="51" a="1"/>
  <c r="AD9" i="51" s="1"/>
  <c r="AE9" i="51" s="1"/>
  <c r="Y9" i="51"/>
  <c r="AD9" i="49" a="1"/>
  <c r="AD9" i="49" s="1"/>
  <c r="AE9" i="49" s="1"/>
  <c r="Y9" i="49"/>
  <c r="AD10" i="32" a="1"/>
  <c r="AD10" i="32" s="1"/>
  <c r="Y10" i="32"/>
  <c r="AD9" i="43" a="1"/>
  <c r="AD9" i="43" s="1"/>
  <c r="AE9" i="43" s="1"/>
  <c r="Y9" i="43"/>
  <c r="AD9" i="53" a="1"/>
  <c r="AD9" i="53" s="1"/>
  <c r="AE9" i="53" s="1"/>
  <c r="Y9" i="53"/>
  <c r="AD9" i="39" a="1"/>
  <c r="AD9" i="39" s="1"/>
  <c r="AE9" i="39" s="1"/>
  <c r="Y9" i="39"/>
  <c r="A6" i="47"/>
  <c r="K6" i="47" s="1"/>
  <c r="G6" i="47"/>
  <c r="C8" i="45"/>
  <c r="I8" i="45"/>
  <c r="J8" i="53"/>
  <c r="AS8" i="53" s="1"/>
  <c r="I8" i="53"/>
  <c r="E8" i="53"/>
  <c r="C8" i="53"/>
  <c r="J6" i="47"/>
  <c r="AS6" i="47" s="1"/>
  <c r="J6" i="45"/>
  <c r="AS6" i="45" s="1"/>
  <c r="I7" i="57"/>
  <c r="J8" i="45"/>
  <c r="AS8" i="45" s="1"/>
  <c r="E7" i="57"/>
  <c r="E7" i="53"/>
  <c r="C7" i="53"/>
  <c r="G7" i="53"/>
  <c r="I7" i="53"/>
  <c r="J7" i="53"/>
  <c r="AS7" i="53" s="1"/>
  <c r="C6" i="39"/>
  <c r="C6" i="45"/>
  <c r="E6" i="45"/>
  <c r="AD6" i="47" a="1"/>
  <c r="AD6" i="47" s="1"/>
  <c r="AE6" i="47" s="1"/>
  <c r="AD6" i="53" a="1"/>
  <c r="AD6" i="53" s="1"/>
  <c r="AE6" i="53" s="1"/>
  <c r="Y6" i="53" s="1"/>
  <c r="AD6" i="51" a="1"/>
  <c r="AD6" i="51" s="1"/>
  <c r="AE6" i="51" s="1"/>
  <c r="Y6" i="51" s="1"/>
  <c r="AD6" i="41" a="1"/>
  <c r="AD6" i="41" s="1"/>
  <c r="AE6" i="41" s="1"/>
  <c r="Y6" i="41" s="1"/>
  <c r="AD6" i="45" a="1"/>
  <c r="AD6" i="45" s="1"/>
  <c r="AE6" i="45" s="1"/>
  <c r="Y6" i="45" s="1"/>
  <c r="AD6" i="43" a="1"/>
  <c r="AD6" i="43" s="1"/>
  <c r="AE6" i="43" s="1"/>
  <c r="Y6" i="43" s="1"/>
  <c r="AD6" i="39" a="1"/>
  <c r="AD6" i="39" s="1"/>
  <c r="AE6" i="39" s="1"/>
  <c r="Y6" i="39" s="1"/>
  <c r="AD6" i="59" a="1"/>
  <c r="AD6" i="59" s="1"/>
  <c r="AE6" i="59" s="1"/>
  <c r="Y6" i="59" s="1"/>
  <c r="K6" i="55"/>
  <c r="N8" i="39"/>
  <c r="AO8" i="39" s="1"/>
  <c r="AQ8" i="39" s="1"/>
  <c r="AD8" i="39" a="1"/>
  <c r="AD8" i="39" s="1"/>
  <c r="AE8" i="39" s="1"/>
  <c r="Y8" i="39" s="1"/>
  <c r="A6" i="49"/>
  <c r="A7" i="49" s="1"/>
  <c r="AD6" i="49" a="1"/>
  <c r="AD6" i="49" s="1"/>
  <c r="AE6" i="49" s="1"/>
  <c r="Y6" i="49" s="1"/>
  <c r="G8" i="47"/>
  <c r="AD8" i="47" a="1"/>
  <c r="AD8" i="47" s="1"/>
  <c r="AE8" i="47" s="1"/>
  <c r="Y8" i="47" s="1"/>
  <c r="C8" i="41"/>
  <c r="AD8" i="41" a="1"/>
  <c r="AD8" i="41" s="1"/>
  <c r="AE8" i="41" s="1"/>
  <c r="Y8" i="41" s="1"/>
  <c r="A7" i="32"/>
  <c r="J7" i="45"/>
  <c r="AS7" i="45" s="1"/>
  <c r="N8" i="45"/>
  <c r="AO8" i="45" s="1"/>
  <c r="G7" i="57"/>
  <c r="N6" i="45"/>
  <c r="AO6" i="45" s="1"/>
  <c r="AQ6" i="45" s="1"/>
  <c r="I6" i="39"/>
  <c r="N8" i="53"/>
  <c r="AO8" i="53" s="1"/>
  <c r="G6" i="39"/>
  <c r="G8" i="53"/>
  <c r="N6" i="47"/>
  <c r="AO6" i="47" s="1"/>
  <c r="AT6" i="47" s="1"/>
  <c r="AT7" i="47" s="1"/>
  <c r="I6" i="47"/>
  <c r="AE10" i="32"/>
  <c r="AE11" i="32"/>
  <c r="AE9" i="32"/>
  <c r="C6" i="53"/>
  <c r="N6" i="53"/>
  <c r="AO6" i="53" s="1"/>
  <c r="AT6" i="53" s="1"/>
  <c r="J6" i="53"/>
  <c r="AS6" i="53" s="1"/>
  <c r="E6" i="53"/>
  <c r="G6" i="53"/>
  <c r="J7" i="39"/>
  <c r="AS7" i="39" s="1"/>
  <c r="N6" i="39"/>
  <c r="AO6" i="39" s="1"/>
  <c r="AT6" i="39" s="1"/>
  <c r="G7" i="39"/>
  <c r="N7" i="57"/>
  <c r="AO7" i="57" s="1"/>
  <c r="G8" i="45"/>
  <c r="I7" i="39"/>
  <c r="J8" i="41"/>
  <c r="AS8" i="41" s="1"/>
  <c r="I6" i="45"/>
  <c r="C7" i="39"/>
  <c r="A6" i="41"/>
  <c r="K6" i="41" s="1"/>
  <c r="A6" i="45"/>
  <c r="I8" i="59"/>
  <c r="G8" i="55"/>
  <c r="C6" i="41"/>
  <c r="E6" i="41"/>
  <c r="C7" i="57"/>
  <c r="N7" i="45"/>
  <c r="AO7" i="45" s="1"/>
  <c r="I7" i="55"/>
  <c r="J7" i="55"/>
  <c r="AS7" i="55" s="1"/>
  <c r="A6" i="39"/>
  <c r="E7" i="55"/>
  <c r="I7" i="45"/>
  <c r="I8" i="39"/>
  <c r="E7" i="45"/>
  <c r="N6" i="41"/>
  <c r="AO6" i="41" s="1"/>
  <c r="AT6" i="41" s="1"/>
  <c r="E8" i="55"/>
  <c r="C6" i="47"/>
  <c r="A6" i="53"/>
  <c r="N7" i="53"/>
  <c r="AO7" i="53" s="1"/>
  <c r="AQ7" i="53" s="1"/>
  <c r="G8" i="59"/>
  <c r="J8" i="59"/>
  <c r="AS8" i="59" s="1"/>
  <c r="C8" i="39"/>
  <c r="I6" i="41"/>
  <c r="C7" i="55"/>
  <c r="I6" i="53"/>
  <c r="G7" i="45"/>
  <c r="G6" i="41"/>
  <c r="AQ6" i="41" s="1"/>
  <c r="G7" i="55"/>
  <c r="C6" i="49"/>
  <c r="E7" i="39"/>
  <c r="J6" i="41"/>
  <c r="AS6" i="41" s="1"/>
  <c r="C7" i="41"/>
  <c r="J7" i="41"/>
  <c r="AS7" i="41" s="1"/>
  <c r="I7" i="41"/>
  <c r="G6" i="49"/>
  <c r="N8" i="59"/>
  <c r="AO8" i="59" s="1"/>
  <c r="J8" i="55"/>
  <c r="AS8" i="55" s="1"/>
  <c r="C8" i="55"/>
  <c r="C7" i="45"/>
  <c r="E6" i="39"/>
  <c r="E8" i="45"/>
  <c r="N7" i="39"/>
  <c r="AO7" i="39" s="1"/>
  <c r="N7" i="41"/>
  <c r="AO7" i="41" s="1"/>
  <c r="E6" i="49"/>
  <c r="E8" i="59"/>
  <c r="N7" i="55"/>
  <c r="AO7" i="55" s="1"/>
  <c r="I8" i="55"/>
  <c r="J7" i="57"/>
  <c r="AS7" i="57" s="1"/>
  <c r="G7" i="41"/>
  <c r="C8" i="59"/>
  <c r="C7" i="59"/>
  <c r="J6" i="51"/>
  <c r="AS6" i="51" s="1"/>
  <c r="E7" i="41"/>
  <c r="N8" i="55"/>
  <c r="AO8" i="55" s="1"/>
  <c r="I6" i="43"/>
  <c r="G7" i="49"/>
  <c r="E8" i="39"/>
  <c r="I7" i="43"/>
  <c r="J8" i="51"/>
  <c r="AS8" i="51" s="1"/>
  <c r="A6" i="59"/>
  <c r="J6" i="49"/>
  <c r="AS6" i="49" s="1"/>
  <c r="C8" i="47"/>
  <c r="E8" i="41"/>
  <c r="C9" i="51"/>
  <c r="I9" i="51"/>
  <c r="E9" i="51"/>
  <c r="G9" i="51"/>
  <c r="J9" i="51"/>
  <c r="AS9" i="51" s="1"/>
  <c r="N9" i="51"/>
  <c r="AO9" i="51" s="1"/>
  <c r="I9" i="53"/>
  <c r="J9" i="53"/>
  <c r="AS9" i="53" s="1"/>
  <c r="N9" i="53"/>
  <c r="AO9" i="53" s="1"/>
  <c r="C9" i="53"/>
  <c r="E9" i="53"/>
  <c r="G9" i="53"/>
  <c r="G8" i="41"/>
  <c r="AQ8" i="41" s="1"/>
  <c r="E6" i="51"/>
  <c r="C6" i="51"/>
  <c r="I6" i="51"/>
  <c r="N6" i="51"/>
  <c r="A6" i="51"/>
  <c r="A7" i="51" s="1"/>
  <c r="I8" i="47"/>
  <c r="G6" i="51"/>
  <c r="N8" i="47"/>
  <c r="J8" i="47"/>
  <c r="AS8" i="47" s="1"/>
  <c r="E8" i="47"/>
  <c r="G6" i="59"/>
  <c r="I6" i="59"/>
  <c r="E6" i="59"/>
  <c r="C6" i="59"/>
  <c r="N6" i="59"/>
  <c r="J6" i="59"/>
  <c r="AS6" i="59" s="1"/>
  <c r="N7" i="59"/>
  <c r="AO7" i="59" s="1"/>
  <c r="E7" i="59"/>
  <c r="J7" i="59"/>
  <c r="AS7" i="59" s="1"/>
  <c r="G7" i="59"/>
  <c r="C7" i="43"/>
  <c r="I8" i="51"/>
  <c r="G8" i="51"/>
  <c r="I7" i="59"/>
  <c r="I6" i="49"/>
  <c r="N6" i="49"/>
  <c r="E8" i="51"/>
  <c r="J8" i="39"/>
  <c r="AS8" i="39" s="1"/>
  <c r="C8" i="51"/>
  <c r="N8" i="51"/>
  <c r="AO8" i="51" s="1"/>
  <c r="G6" i="43"/>
  <c r="N7" i="43"/>
  <c r="AO7" i="43" s="1"/>
  <c r="J7" i="43"/>
  <c r="AS7" i="43" s="1"/>
  <c r="C7" i="49"/>
  <c r="G7" i="43"/>
  <c r="E7" i="43"/>
  <c r="E7" i="49"/>
  <c r="E6" i="43"/>
  <c r="I7" i="49"/>
  <c r="C6" i="43"/>
  <c r="A6" i="43"/>
  <c r="N7" i="49"/>
  <c r="AO7" i="49" s="1"/>
  <c r="N6" i="43"/>
  <c r="AO6" i="43" s="1"/>
  <c r="J7" i="49"/>
  <c r="AS7" i="49" s="1"/>
  <c r="J6" i="43"/>
  <c r="AS6" i="43" s="1"/>
  <c r="J10" i="47"/>
  <c r="AS10" i="47" s="1"/>
  <c r="N10" i="47"/>
  <c r="AO10" i="47" s="1"/>
  <c r="I10" i="47"/>
  <c r="G10" i="47"/>
  <c r="E10" i="47"/>
  <c r="C10" i="47"/>
  <c r="I9" i="47"/>
  <c r="E9" i="47"/>
  <c r="G9" i="47"/>
  <c r="J9" i="47"/>
  <c r="AS9" i="47" s="1"/>
  <c r="C9" i="47"/>
  <c r="N9" i="47"/>
  <c r="AO9" i="47" s="1"/>
  <c r="I10" i="39"/>
  <c r="E10" i="39"/>
  <c r="C10" i="39"/>
  <c r="J10" i="39"/>
  <c r="AS10" i="39" s="1"/>
  <c r="N10" i="39"/>
  <c r="AO10" i="39" s="1"/>
  <c r="G10" i="39"/>
  <c r="G10" i="43"/>
  <c r="E10" i="43"/>
  <c r="C10" i="43"/>
  <c r="J10" i="43"/>
  <c r="AS10" i="43" s="1"/>
  <c r="N10" i="43"/>
  <c r="AO10" i="43" s="1"/>
  <c r="I10" i="43"/>
  <c r="C9" i="45"/>
  <c r="J9" i="45"/>
  <c r="AS9" i="45" s="1"/>
  <c r="N9" i="45"/>
  <c r="AO9" i="45" s="1"/>
  <c r="I9" i="45"/>
  <c r="G9" i="45"/>
  <c r="E9" i="45"/>
  <c r="J10" i="41"/>
  <c r="AS10" i="41" s="1"/>
  <c r="E10" i="41"/>
  <c r="N10" i="41"/>
  <c r="AO10" i="41" s="1"/>
  <c r="G10" i="41"/>
  <c r="C10" i="41"/>
  <c r="I10" i="41"/>
  <c r="E9" i="49"/>
  <c r="I9" i="49"/>
  <c r="G9" i="49"/>
  <c r="C9" i="49"/>
  <c r="J9" i="49"/>
  <c r="AS9" i="49" s="1"/>
  <c r="N9" i="49"/>
  <c r="AO9" i="49" s="1"/>
  <c r="E9" i="43"/>
  <c r="G9" i="43"/>
  <c r="I9" i="43"/>
  <c r="J9" i="43"/>
  <c r="AS9" i="43" s="1"/>
  <c r="N9" i="43"/>
  <c r="AO9" i="43" s="1"/>
  <c r="C9" i="43"/>
  <c r="N9" i="39"/>
  <c r="AO9" i="39" s="1"/>
  <c r="G9" i="39"/>
  <c r="I9" i="39"/>
  <c r="C9" i="39"/>
  <c r="E9" i="39"/>
  <c r="J9" i="39"/>
  <c r="AS9" i="39" s="1"/>
  <c r="E10" i="49"/>
  <c r="J10" i="49"/>
  <c r="AS10" i="49" s="1"/>
  <c r="N10" i="49"/>
  <c r="AO10" i="49" s="1"/>
  <c r="I10" i="49"/>
  <c r="G10" i="49"/>
  <c r="C10" i="49"/>
  <c r="J9" i="41"/>
  <c r="AS9" i="41" s="1"/>
  <c r="N9" i="41"/>
  <c r="AO9" i="41" s="1"/>
  <c r="E9" i="41"/>
  <c r="G9" i="41"/>
  <c r="C9" i="41"/>
  <c r="I9" i="41"/>
  <c r="I10" i="45"/>
  <c r="C10" i="45"/>
  <c r="E10" i="45"/>
  <c r="N10" i="45"/>
  <c r="AO10" i="45" s="1"/>
  <c r="J10" i="45"/>
  <c r="AS10" i="45" s="1"/>
  <c r="G10" i="45"/>
  <c r="N11" i="32"/>
  <c r="AO11" i="32" s="1"/>
  <c r="I11" i="32"/>
  <c r="J11" i="32"/>
  <c r="N9" i="32"/>
  <c r="AO9" i="32" s="1"/>
  <c r="J9" i="32"/>
  <c r="I9" i="32"/>
  <c r="N10" i="32"/>
  <c r="AO10" i="32" s="1"/>
  <c r="J10" i="32"/>
  <c r="I10" i="32"/>
  <c r="A7" i="55"/>
  <c r="AT7" i="32"/>
  <c r="AT8" i="32" s="1"/>
  <c r="AQ8" i="57"/>
  <c r="AT6" i="57"/>
  <c r="AQ6" i="57"/>
  <c r="A7" i="57"/>
  <c r="K6" i="57"/>
  <c r="AT6" i="55"/>
  <c r="AQ6" i="55"/>
  <c r="AQ7" i="47"/>
  <c r="AQ8" i="49"/>
  <c r="AQ7" i="51"/>
  <c r="AQ8" i="43"/>
  <c r="A7" i="41"/>
  <c r="AW27" i="59"/>
  <c r="AX28" i="59"/>
  <c r="AW29" i="59"/>
  <c r="AW24" i="59"/>
  <c r="AX28" i="57"/>
  <c r="AX30" i="57"/>
  <c r="AX31" i="57"/>
  <c r="AX32" i="59"/>
  <c r="AX24" i="57"/>
  <c r="AX29" i="57"/>
  <c r="AW31" i="59"/>
  <c r="AW32" i="59"/>
  <c r="AX26" i="57"/>
  <c r="AW32" i="57"/>
  <c r="AX30" i="59"/>
  <c r="AX24" i="59"/>
  <c r="AW30" i="59"/>
  <c r="AX31" i="59"/>
  <c r="AW29" i="57"/>
  <c r="AW24" i="57"/>
  <c r="AW27" i="57"/>
  <c r="AX23" i="59"/>
  <c r="AW28" i="59"/>
  <c r="AW30" i="57"/>
  <c r="AW25" i="59"/>
  <c r="AW26" i="57"/>
  <c r="AW28" i="57"/>
  <c r="AX27" i="59"/>
  <c r="AX27" i="57"/>
  <c r="AW31" i="57"/>
  <c r="AX23" i="57"/>
  <c r="AX25" i="59"/>
  <c r="AX32" i="57"/>
  <c r="AX26" i="59"/>
  <c r="AW26" i="59"/>
  <c r="AX29" i="59"/>
  <c r="AX25" i="57"/>
  <c r="AW25" i="57"/>
  <c r="AQ10" i="51" l="1"/>
  <c r="AQ11" i="45"/>
  <c r="AQ11" i="41"/>
  <c r="AQ9" i="55"/>
  <c r="AQ11" i="53"/>
  <c r="AQ11" i="39"/>
  <c r="AQ11" i="59"/>
  <c r="AQ10" i="57"/>
  <c r="AU10" i="53"/>
  <c r="AV10" i="53" s="1"/>
  <c r="L10" i="53"/>
  <c r="K10" i="53"/>
  <c r="L11" i="49"/>
  <c r="AU11" i="49"/>
  <c r="AV11" i="49" s="1"/>
  <c r="K11" i="49"/>
  <c r="AU10" i="59"/>
  <c r="AV10" i="59" s="1"/>
  <c r="L10" i="59"/>
  <c r="K10" i="59"/>
  <c r="AU9" i="59"/>
  <c r="AV9" i="59" s="1"/>
  <c r="L9" i="59"/>
  <c r="K9" i="59"/>
  <c r="AU11" i="51"/>
  <c r="AV11" i="51" s="1"/>
  <c r="L11" i="51"/>
  <c r="K11" i="51"/>
  <c r="AQ11" i="51"/>
  <c r="AQ11" i="55"/>
  <c r="L10" i="55"/>
  <c r="AU10" i="55"/>
  <c r="AV10" i="55" s="1"/>
  <c r="K10" i="55"/>
  <c r="K10" i="51"/>
  <c r="L10" i="51"/>
  <c r="AU10" i="51"/>
  <c r="AV10" i="51" s="1"/>
  <c r="AQ10" i="53"/>
  <c r="AU10" i="57"/>
  <c r="AV10" i="57" s="1"/>
  <c r="K10" i="57"/>
  <c r="L10" i="57"/>
  <c r="K9" i="57"/>
  <c r="L9" i="57"/>
  <c r="AU9" i="57"/>
  <c r="AV9" i="57" s="1"/>
  <c r="AQ11" i="47"/>
  <c r="L11" i="53"/>
  <c r="AU11" i="53"/>
  <c r="AV11" i="53" s="1"/>
  <c r="K11" i="53"/>
  <c r="L9" i="55"/>
  <c r="K9" i="55"/>
  <c r="AU9" i="55"/>
  <c r="AV9" i="55" s="1"/>
  <c r="L11" i="57"/>
  <c r="K11" i="57"/>
  <c r="AU11" i="57"/>
  <c r="AV11" i="57" s="1"/>
  <c r="AQ10" i="55"/>
  <c r="AQ9" i="59"/>
  <c r="AQ11" i="43"/>
  <c r="L11" i="55"/>
  <c r="K11" i="55"/>
  <c r="AU11" i="55"/>
  <c r="AV11" i="55" s="1"/>
  <c r="L11" i="59"/>
  <c r="K11" i="59"/>
  <c r="AU11" i="59"/>
  <c r="AV11" i="59" s="1"/>
  <c r="AT6" i="45"/>
  <c r="AQ7" i="55"/>
  <c r="A7" i="47"/>
  <c r="AU7" i="47" s="1"/>
  <c r="AT7" i="53"/>
  <c r="AT8" i="53" s="1"/>
  <c r="AT9" i="53" s="1"/>
  <c r="AT10" i="53" s="1"/>
  <c r="AT11" i="53" s="1"/>
  <c r="Y6" i="47"/>
  <c r="AT7" i="41"/>
  <c r="AT8" i="41" s="1"/>
  <c r="AT9" i="41" s="1"/>
  <c r="AT10" i="41" s="1"/>
  <c r="AT11" i="41" s="1"/>
  <c r="AQ8" i="53"/>
  <c r="AQ7" i="39"/>
  <c r="AQ8" i="45"/>
  <c r="AQ8" i="55"/>
  <c r="L7" i="55" s="1"/>
  <c r="K6" i="49"/>
  <c r="AQ6" i="47"/>
  <c r="AQ7" i="57"/>
  <c r="L6" i="57" s="1"/>
  <c r="AQ8" i="59"/>
  <c r="AT7" i="57"/>
  <c r="AT8" i="57" s="1"/>
  <c r="AT9" i="57" s="1"/>
  <c r="AT10" i="57" s="1"/>
  <c r="AT11" i="57" s="1"/>
  <c r="AQ7" i="45"/>
  <c r="AQ7" i="41"/>
  <c r="K6" i="53"/>
  <c r="A8" i="57"/>
  <c r="CL23" i="57" s="1"/>
  <c r="A7" i="45"/>
  <c r="A7" i="39"/>
  <c r="K6" i="39"/>
  <c r="AQ6" i="53"/>
  <c r="K6" i="45"/>
  <c r="AQ6" i="39"/>
  <c r="AT7" i="39"/>
  <c r="AT8" i="39" s="1"/>
  <c r="AT7" i="55"/>
  <c r="AU7" i="55" s="1"/>
  <c r="AW7" i="55" s="1"/>
  <c r="K6" i="43"/>
  <c r="K6" i="51"/>
  <c r="AO6" i="51"/>
  <c r="AT6" i="51" s="1"/>
  <c r="AT7" i="51" s="1"/>
  <c r="AO6" i="59"/>
  <c r="AT6" i="59" s="1"/>
  <c r="AT7" i="59" s="1"/>
  <c r="AT8" i="59" s="1"/>
  <c r="AT9" i="59" s="1"/>
  <c r="AT10" i="59" s="1"/>
  <c r="AT11" i="59" s="1"/>
  <c r="AO6" i="49"/>
  <c r="AT6" i="49" s="1"/>
  <c r="A7" i="53"/>
  <c r="AO8" i="47"/>
  <c r="AQ8" i="47" s="1"/>
  <c r="A7" i="59"/>
  <c r="A8" i="32"/>
  <c r="AQ7" i="59"/>
  <c r="AQ7" i="43"/>
  <c r="K6" i="59"/>
  <c r="AQ7" i="49"/>
  <c r="AQ9" i="53"/>
  <c r="AQ9" i="51"/>
  <c r="AQ8" i="51"/>
  <c r="AT9" i="32"/>
  <c r="AT10" i="32" s="1"/>
  <c r="AT11" i="32" s="1"/>
  <c r="AQ6" i="43"/>
  <c r="AT6" i="43"/>
  <c r="AU6" i="43" s="1"/>
  <c r="A7" i="43"/>
  <c r="AQ10" i="43"/>
  <c r="AQ9" i="39"/>
  <c r="AQ9" i="49"/>
  <c r="AQ10" i="41"/>
  <c r="AQ9" i="47"/>
  <c r="AQ9" i="43"/>
  <c r="AQ10" i="49"/>
  <c r="AQ10" i="45"/>
  <c r="AQ10" i="39"/>
  <c r="AQ9" i="41"/>
  <c r="AQ9" i="45"/>
  <c r="AQ10" i="47"/>
  <c r="AU6" i="57"/>
  <c r="AV6" i="57" s="1"/>
  <c r="AU6" i="55"/>
  <c r="AV6" i="55" s="1"/>
  <c r="K7" i="55"/>
  <c r="A8" i="55"/>
  <c r="A8" i="49"/>
  <c r="AU6" i="47"/>
  <c r="AW6" i="47" s="1"/>
  <c r="A8" i="51"/>
  <c r="K7" i="51"/>
  <c r="AU6" i="53"/>
  <c r="AU6" i="41"/>
  <c r="AW6" i="41" s="1"/>
  <c r="AU6" i="39"/>
  <c r="AW6" i="39" s="1"/>
  <c r="K7" i="57"/>
  <c r="A8" i="41"/>
  <c r="K7" i="41"/>
  <c r="AT7" i="45"/>
  <c r="AU6" i="45"/>
  <c r="K7" i="49"/>
  <c r="CL29" i="57" l="1"/>
  <c r="AU7" i="41"/>
  <c r="K7" i="47"/>
  <c r="A8" i="47"/>
  <c r="L8" i="47" s="1"/>
  <c r="CL35" i="57"/>
  <c r="CL34" i="57"/>
  <c r="CL19" i="57"/>
  <c r="CL24" i="57"/>
  <c r="CL30" i="57"/>
  <c r="CL20" i="57"/>
  <c r="CL15" i="57"/>
  <c r="CL10" i="57"/>
  <c r="CL25" i="57"/>
  <c r="L7" i="57"/>
  <c r="K8" i="57"/>
  <c r="CL33" i="57"/>
  <c r="L6" i="55"/>
  <c r="CL16" i="57"/>
  <c r="CL8" i="57"/>
  <c r="CL12" i="57"/>
  <c r="CL27" i="57"/>
  <c r="A8" i="45"/>
  <c r="CL7" i="57"/>
  <c r="CL13" i="57"/>
  <c r="CL26" i="57"/>
  <c r="AO4" i="57"/>
  <c r="U23" i="57" s="1"/>
  <c r="CL22" i="57"/>
  <c r="A8" i="39"/>
  <c r="K7" i="45"/>
  <c r="CL9" i="57"/>
  <c r="AU7" i="57"/>
  <c r="AV7" i="57" s="1"/>
  <c r="CL32" i="57"/>
  <c r="CL18" i="57"/>
  <c r="CL14" i="57"/>
  <c r="AU6" i="51"/>
  <c r="AW6" i="51" s="1"/>
  <c r="CL17" i="57"/>
  <c r="L8" i="57"/>
  <c r="AQ6" i="51"/>
  <c r="L6" i="51" s="1"/>
  <c r="CL28" i="57"/>
  <c r="CL21" i="57"/>
  <c r="CL11" i="57"/>
  <c r="AU7" i="59"/>
  <c r="AW7" i="59" s="1"/>
  <c r="AT8" i="55"/>
  <c r="AT9" i="55" s="1"/>
  <c r="AT10" i="55" s="1"/>
  <c r="AT11" i="55" s="1"/>
  <c r="AU8" i="57"/>
  <c r="AV8" i="57" s="1"/>
  <c r="CL6" i="57"/>
  <c r="CL31" i="57"/>
  <c r="K7" i="39"/>
  <c r="AQ6" i="59"/>
  <c r="L7" i="59" s="1"/>
  <c r="K7" i="43"/>
  <c r="AU7" i="39"/>
  <c r="AV7" i="39" s="1"/>
  <c r="CL10" i="55"/>
  <c r="A9" i="47"/>
  <c r="K9" i="47" s="1"/>
  <c r="A9" i="49"/>
  <c r="L9" i="49" s="1"/>
  <c r="A9" i="39"/>
  <c r="L9" i="39" s="1"/>
  <c r="A8" i="59"/>
  <c r="CL28" i="59" s="1"/>
  <c r="K7" i="59"/>
  <c r="AU6" i="59"/>
  <c r="AW6" i="59" s="1"/>
  <c r="AU7" i="53"/>
  <c r="AW7" i="53" s="1"/>
  <c r="AQ6" i="49"/>
  <c r="L6" i="49" s="1"/>
  <c r="K7" i="53"/>
  <c r="A8" i="53"/>
  <c r="L8" i="53" s="1"/>
  <c r="AT8" i="47"/>
  <c r="AT9" i="47" s="1"/>
  <c r="AT10" i="47" s="1"/>
  <c r="AT11" i="47" s="1"/>
  <c r="CL29" i="55"/>
  <c r="CL25" i="55"/>
  <c r="AU6" i="49"/>
  <c r="AT7" i="49"/>
  <c r="AT8" i="49" s="1"/>
  <c r="AT9" i="49" s="1"/>
  <c r="AT10" i="49" s="1"/>
  <c r="CL24" i="55"/>
  <c r="CL33" i="55"/>
  <c r="CL21" i="55"/>
  <c r="CL35" i="55"/>
  <c r="CL22" i="55"/>
  <c r="CL18" i="55"/>
  <c r="CL26" i="55"/>
  <c r="CL32" i="55"/>
  <c r="CL23" i="55"/>
  <c r="CL34" i="55"/>
  <c r="CL19" i="55"/>
  <c r="CL27" i="55"/>
  <c r="CL28" i="55"/>
  <c r="CL14" i="55"/>
  <c r="CL17" i="55"/>
  <c r="CL20" i="55"/>
  <c r="CL7" i="55"/>
  <c r="CL15" i="55"/>
  <c r="CL6" i="55"/>
  <c r="CL16" i="55"/>
  <c r="CL9" i="55"/>
  <c r="CL12" i="55"/>
  <c r="CL11" i="55"/>
  <c r="CL30" i="55"/>
  <c r="CL8" i="55"/>
  <c r="CL31" i="55"/>
  <c r="CL13" i="55"/>
  <c r="A9" i="32"/>
  <c r="L7" i="53"/>
  <c r="L6" i="53"/>
  <c r="A10" i="47"/>
  <c r="L10" i="47" s="1"/>
  <c r="A9" i="51"/>
  <c r="CL19" i="51" s="1"/>
  <c r="L6" i="43"/>
  <c r="A8" i="43"/>
  <c r="L7" i="45"/>
  <c r="L6" i="41"/>
  <c r="L7" i="41"/>
  <c r="AT7" i="43"/>
  <c r="AT8" i="43" s="1"/>
  <c r="AT9" i="43" s="1"/>
  <c r="AT10" i="43" s="1"/>
  <c r="AT11" i="43" s="1"/>
  <c r="L6" i="47"/>
  <c r="L7" i="43"/>
  <c r="L7" i="47"/>
  <c r="L6" i="39"/>
  <c r="L7" i="39"/>
  <c r="L6" i="45"/>
  <c r="A10" i="39"/>
  <c r="A10" i="49"/>
  <c r="A9" i="41"/>
  <c r="AW6" i="57"/>
  <c r="AV6" i="47"/>
  <c r="AW6" i="55"/>
  <c r="AV7" i="55"/>
  <c r="K8" i="51"/>
  <c r="AW7" i="47"/>
  <c r="AV7" i="47"/>
  <c r="AT8" i="51"/>
  <c r="AT9" i="51" s="1"/>
  <c r="AT10" i="51" s="1"/>
  <c r="AT11" i="51" s="1"/>
  <c r="AU7" i="51"/>
  <c r="K8" i="49"/>
  <c r="AW6" i="53"/>
  <c r="AV6" i="53"/>
  <c r="K8" i="55"/>
  <c r="AO4" i="55"/>
  <c r="L8" i="55"/>
  <c r="AV6" i="39"/>
  <c r="AV6" i="41"/>
  <c r="A9" i="45"/>
  <c r="B23" i="57"/>
  <c r="F25" i="57"/>
  <c r="AT9" i="39"/>
  <c r="AT10" i="39" s="1"/>
  <c r="AT11" i="39" s="1"/>
  <c r="AW6" i="43"/>
  <c r="AV6" i="43"/>
  <c r="AW6" i="45"/>
  <c r="AV6" i="45"/>
  <c r="AU7" i="45"/>
  <c r="AT8" i="45"/>
  <c r="AT9" i="45" s="1"/>
  <c r="AT10" i="45" s="1"/>
  <c r="AT11" i="45" s="1"/>
  <c r="AV7" i="41"/>
  <c r="AW7" i="41"/>
  <c r="K8" i="41"/>
  <c r="AU8" i="41"/>
  <c r="AV8" i="41" s="1"/>
  <c r="L8" i="41"/>
  <c r="A11" i="47"/>
  <c r="AX30" i="55"/>
  <c r="AX24" i="55"/>
  <c r="AW28" i="55"/>
  <c r="AX25" i="55"/>
  <c r="AX29" i="55"/>
  <c r="AX31" i="55"/>
  <c r="AW29" i="55"/>
  <c r="AW27" i="55"/>
  <c r="AX28" i="55"/>
  <c r="AX26" i="55"/>
  <c r="AW32" i="55"/>
  <c r="AW30" i="55"/>
  <c r="AX32" i="55"/>
  <c r="AX23" i="55"/>
  <c r="AW31" i="55"/>
  <c r="AW26" i="55"/>
  <c r="AW24" i="55"/>
  <c r="AW25" i="55"/>
  <c r="AX27" i="55"/>
  <c r="AW27" i="53"/>
  <c r="AW31" i="53"/>
  <c r="AX32" i="53"/>
  <c r="AX30" i="53"/>
  <c r="AU24" i="53" a="1"/>
  <c r="AU24" i="53" s="1"/>
  <c r="AW24" i="53"/>
  <c r="AV24" i="53" a="1"/>
  <c r="AV24" i="53" s="1"/>
  <c r="AW32" i="53"/>
  <c r="AW30" i="53"/>
  <c r="AW29" i="53"/>
  <c r="AX25" i="53"/>
  <c r="AX28" i="53"/>
  <c r="AX24" i="53"/>
  <c r="AX29" i="53"/>
  <c r="AX27" i="53"/>
  <c r="AX31" i="53"/>
  <c r="AW25" i="53"/>
  <c r="AU25" i="53" a="1"/>
  <c r="AU25" i="53" s="1"/>
  <c r="AV26" i="53" a="1"/>
  <c r="AV26" i="53" s="1"/>
  <c r="AW26" i="53"/>
  <c r="AW28" i="53"/>
  <c r="AX26" i="53"/>
  <c r="AP28" i="58" l="1" a="1"/>
  <c r="AP28" i="58" s="1"/>
  <c r="B28" i="57"/>
  <c r="K8" i="47"/>
  <c r="CL25" i="59"/>
  <c r="CL15" i="59"/>
  <c r="CL30" i="59"/>
  <c r="CL20" i="59"/>
  <c r="CL29" i="59"/>
  <c r="CL35" i="59"/>
  <c r="CL33" i="49"/>
  <c r="CL24" i="59"/>
  <c r="CL10" i="59"/>
  <c r="CL34" i="59"/>
  <c r="CL19" i="47"/>
  <c r="CL20" i="47"/>
  <c r="CL35" i="47"/>
  <c r="CL15" i="47"/>
  <c r="CL34" i="47"/>
  <c r="CL28" i="47"/>
  <c r="CL14" i="47"/>
  <c r="CL9" i="47"/>
  <c r="CL23" i="47"/>
  <c r="CL19" i="59"/>
  <c r="CL25" i="47"/>
  <c r="CL33" i="47"/>
  <c r="CL10" i="47"/>
  <c r="CL24" i="47"/>
  <c r="CL30" i="47"/>
  <c r="CL29" i="47"/>
  <c r="F32" i="57"/>
  <c r="K32" i="57" s="1"/>
  <c r="Y30" i="58"/>
  <c r="Q39" i="57"/>
  <c r="F23" i="57"/>
  <c r="AW23" i="57" s="1"/>
  <c r="B25" i="57"/>
  <c r="A28" i="57"/>
  <c r="D28" i="57" s="1"/>
  <c r="E28" i="57" s="1"/>
  <c r="AP21" i="58"/>
  <c r="C33" i="58"/>
  <c r="B19" i="57"/>
  <c r="C31" i="58"/>
  <c r="A23" i="57"/>
  <c r="D23" i="57" s="1"/>
  <c r="E23" i="57" s="1"/>
  <c r="AP16" i="58"/>
  <c r="F29" i="57"/>
  <c r="H29" i="57" s="1"/>
  <c r="AP22" i="58"/>
  <c r="B26" i="57"/>
  <c r="AW7" i="57"/>
  <c r="AW8" i="57" s="1"/>
  <c r="AW9" i="57" s="1"/>
  <c r="AW10" i="57" s="1"/>
  <c r="AW11" i="57" s="1"/>
  <c r="F27" i="57"/>
  <c r="B22" i="57"/>
  <c r="F31" i="57"/>
  <c r="B32" i="57"/>
  <c r="F30" i="57"/>
  <c r="H30" i="57" s="1"/>
  <c r="Q42" i="57"/>
  <c r="U31" i="57"/>
  <c r="R31" i="57" s="1"/>
  <c r="U28" i="57"/>
  <c r="T28" i="57" s="1"/>
  <c r="U30" i="57"/>
  <c r="T30" i="57" s="1"/>
  <c r="AP31" i="58"/>
  <c r="F24" i="57"/>
  <c r="H24" i="57" s="1"/>
  <c r="AP11" i="58"/>
  <c r="K8" i="45"/>
  <c r="AW7" i="39"/>
  <c r="B20" i="57"/>
  <c r="AK8" i="58"/>
  <c r="BK6" i="57" a="1"/>
  <c r="BG11" i="57" s="1"/>
  <c r="A19" i="57"/>
  <c r="D19" i="57" s="1"/>
  <c r="E19" i="57" s="1"/>
  <c r="C38" i="58"/>
  <c r="C36" i="58"/>
  <c r="AP37" i="58"/>
  <c r="F28" i="57"/>
  <c r="H28" i="57" s="1"/>
  <c r="B29" i="57"/>
  <c r="A31" i="57"/>
  <c r="D31" i="57" s="1"/>
  <c r="E31" i="57" s="1"/>
  <c r="AP32" i="58"/>
  <c r="A25" i="57"/>
  <c r="D25" i="57" s="1"/>
  <c r="E25" i="57" s="1"/>
  <c r="B21" i="57"/>
  <c r="A20" i="57"/>
  <c r="Q40" i="57"/>
  <c r="AU8" i="47"/>
  <c r="AV8" i="47" s="1"/>
  <c r="AV6" i="51"/>
  <c r="L8" i="39"/>
  <c r="AP26" i="58"/>
  <c r="F26" i="57"/>
  <c r="K26" i="57" s="1"/>
  <c r="B30" i="57"/>
  <c r="A29" i="57"/>
  <c r="D29" i="57" s="1"/>
  <c r="E29" i="57" s="1"/>
  <c r="U27" i="57"/>
  <c r="T27" i="57" s="1"/>
  <c r="A32" i="57"/>
  <c r="D32" i="57" s="1"/>
  <c r="E32" i="57" s="1"/>
  <c r="U25" i="57"/>
  <c r="R25" i="57" s="1"/>
  <c r="B24" i="57"/>
  <c r="B31" i="57"/>
  <c r="A22" i="57"/>
  <c r="AD35" i="58"/>
  <c r="AP36" i="58"/>
  <c r="C35" i="58"/>
  <c r="AD8" i="58" s="1"/>
  <c r="A18" i="57"/>
  <c r="AP17" i="58"/>
  <c r="B18" i="57"/>
  <c r="AR18" i="57" s="1"/>
  <c r="C18" i="57" s="1"/>
  <c r="L8" i="45"/>
  <c r="AU8" i="39"/>
  <c r="AV8" i="39" s="1"/>
  <c r="K8" i="39"/>
  <c r="L8" i="59"/>
  <c r="L7" i="51"/>
  <c r="Q38" i="57"/>
  <c r="C37" i="58"/>
  <c r="AM38" i="58" s="1" a="1"/>
  <c r="AM38" i="58" s="1"/>
  <c r="C30" i="58"/>
  <c r="Y8" i="58" s="1"/>
  <c r="A24" i="57"/>
  <c r="D24" i="57" s="1"/>
  <c r="E24" i="57" s="1"/>
  <c r="AP12" i="58"/>
  <c r="A27" i="57"/>
  <c r="D27" i="57" s="1"/>
  <c r="E27" i="57" s="1"/>
  <c r="AP27" i="58"/>
  <c r="C32" i="58"/>
  <c r="AK30" i="58" s="1" a="1"/>
  <c r="AK30" i="58" s="1"/>
  <c r="U24" i="57"/>
  <c r="R24" i="57" s="1"/>
  <c r="B27" i="57"/>
  <c r="U29" i="57"/>
  <c r="V29" i="57" s="1"/>
  <c r="A30" i="57"/>
  <c r="D30" i="57" s="1"/>
  <c r="E30" i="57" s="1"/>
  <c r="AU8" i="55"/>
  <c r="AV8" i="55" s="1"/>
  <c r="CL18" i="59"/>
  <c r="Q41" i="57"/>
  <c r="A21" i="57"/>
  <c r="D21" i="57" s="1"/>
  <c r="E21" i="57" s="1"/>
  <c r="A26" i="57"/>
  <c r="D26" i="57" s="1"/>
  <c r="E26" i="57" s="1"/>
  <c r="U26" i="57"/>
  <c r="R26" i="57" s="1"/>
  <c r="U32" i="57"/>
  <c r="V32" i="57" s="1"/>
  <c r="C8" i="58"/>
  <c r="K9" i="39"/>
  <c r="L8" i="51"/>
  <c r="L8" i="49"/>
  <c r="L9" i="47"/>
  <c r="AV7" i="59"/>
  <c r="CL9" i="59"/>
  <c r="CL26" i="59"/>
  <c r="AU9" i="47"/>
  <c r="AV9" i="47" s="1"/>
  <c r="K9" i="49"/>
  <c r="CL27" i="59"/>
  <c r="K8" i="59"/>
  <c r="AU9" i="49"/>
  <c r="AV9" i="49" s="1"/>
  <c r="L7" i="49"/>
  <c r="CL16" i="59"/>
  <c r="CL14" i="59"/>
  <c r="CL17" i="59"/>
  <c r="AU8" i="59"/>
  <c r="AV8" i="59" s="1"/>
  <c r="AV7" i="53"/>
  <c r="CL6" i="59"/>
  <c r="CL23" i="59"/>
  <c r="CL33" i="59"/>
  <c r="L6" i="59"/>
  <c r="CL7" i="59"/>
  <c r="CL21" i="59"/>
  <c r="CL11" i="59"/>
  <c r="CL32" i="59"/>
  <c r="CL31" i="59"/>
  <c r="CL13" i="59"/>
  <c r="CL22" i="59"/>
  <c r="CL8" i="59"/>
  <c r="CL12" i="59"/>
  <c r="AO4" i="47"/>
  <c r="Q41" i="47" s="1"/>
  <c r="AO4" i="59"/>
  <c r="AV6" i="59"/>
  <c r="CL34" i="51"/>
  <c r="K10" i="47"/>
  <c r="AO4" i="49"/>
  <c r="Q41" i="49" s="1"/>
  <c r="AU7" i="49"/>
  <c r="AW7" i="49" s="1"/>
  <c r="AU8" i="49"/>
  <c r="AV8" i="49" s="1"/>
  <c r="CL18" i="47"/>
  <c r="CL13" i="47"/>
  <c r="CL17" i="51"/>
  <c r="CL16" i="51"/>
  <c r="CL13" i="49"/>
  <c r="A9" i="53"/>
  <c r="CL9" i="53" s="1"/>
  <c r="K8" i="53"/>
  <c r="AU8" i="53"/>
  <c r="AV8" i="53" s="1"/>
  <c r="CL27" i="47"/>
  <c r="CL32" i="47"/>
  <c r="CL8" i="47"/>
  <c r="CL27" i="51"/>
  <c r="AU10" i="47"/>
  <c r="AV10" i="47" s="1"/>
  <c r="CL15" i="51"/>
  <c r="CL11" i="47"/>
  <c r="CL22" i="49"/>
  <c r="CL20" i="49"/>
  <c r="CL18" i="51"/>
  <c r="A9" i="43"/>
  <c r="CL11" i="49"/>
  <c r="CL12" i="47"/>
  <c r="CL20" i="51"/>
  <c r="CL26" i="49"/>
  <c r="CL17" i="47"/>
  <c r="CL18" i="49"/>
  <c r="CL29" i="51"/>
  <c r="CL12" i="51"/>
  <c r="CL15" i="49"/>
  <c r="CL31" i="47"/>
  <c r="CL30" i="51"/>
  <c r="CL35" i="51"/>
  <c r="CL24" i="51"/>
  <c r="CL24" i="49"/>
  <c r="CL16" i="49"/>
  <c r="CL13" i="51"/>
  <c r="CL16" i="47"/>
  <c r="CL32" i="49"/>
  <c r="CL23" i="49"/>
  <c r="CL7" i="47"/>
  <c r="CL17" i="49"/>
  <c r="CL14" i="51"/>
  <c r="CL21" i="47"/>
  <c r="CL7" i="49"/>
  <c r="CL11" i="51"/>
  <c r="CL26" i="51"/>
  <c r="CL19" i="49"/>
  <c r="CL10" i="51"/>
  <c r="CL29" i="49"/>
  <c r="CL26" i="47"/>
  <c r="CL6" i="47"/>
  <c r="CL22" i="47"/>
  <c r="CL34" i="49"/>
  <c r="CL21" i="49"/>
  <c r="CL8" i="51"/>
  <c r="CL12" i="49"/>
  <c r="CL25" i="49"/>
  <c r="CL25" i="51"/>
  <c r="CL32" i="51"/>
  <c r="CL6" i="49"/>
  <c r="CL7" i="51"/>
  <c r="CL8" i="49"/>
  <c r="CL31" i="51"/>
  <c r="CL33" i="51"/>
  <c r="CL6" i="51"/>
  <c r="CL31" i="49"/>
  <c r="CL23" i="51"/>
  <c r="CL28" i="51"/>
  <c r="CL22" i="51"/>
  <c r="CL28" i="49"/>
  <c r="CL35" i="49"/>
  <c r="CL21" i="51"/>
  <c r="AV6" i="49"/>
  <c r="AW6" i="49"/>
  <c r="CL14" i="49"/>
  <c r="CL9" i="51"/>
  <c r="CL9" i="49"/>
  <c r="CL27" i="49"/>
  <c r="CL30" i="49"/>
  <c r="CL10" i="49"/>
  <c r="X29" i="57"/>
  <c r="W29" i="57" s="1"/>
  <c r="A10" i="32"/>
  <c r="L8" i="43"/>
  <c r="K8" i="43"/>
  <c r="AV31" i="53" a="1"/>
  <c r="AV31" i="53" s="1"/>
  <c r="AT31" i="53" s="1"/>
  <c r="L9" i="51"/>
  <c r="K9" i="51"/>
  <c r="AU9" i="51"/>
  <c r="AV9" i="51" s="1"/>
  <c r="AO4" i="51"/>
  <c r="AU31" i="53" a="1"/>
  <c r="AU31" i="53" s="1"/>
  <c r="AS31" i="53" s="1"/>
  <c r="AU7" i="43"/>
  <c r="AW7" i="43" s="1"/>
  <c r="AU8" i="43"/>
  <c r="AV8" i="43" s="1"/>
  <c r="AU26" i="53" a="1"/>
  <c r="AU26" i="53" s="1"/>
  <c r="AS26" i="53" s="1"/>
  <c r="AU27" i="53" a="1"/>
  <c r="AU27" i="53" s="1"/>
  <c r="AS27" i="53" s="1"/>
  <c r="AV27" i="53" a="1"/>
  <c r="AV27" i="53" s="1"/>
  <c r="AT27" i="53" s="1"/>
  <c r="AV25" i="53" a="1"/>
  <c r="AV25" i="53" s="1"/>
  <c r="AT25" i="53" s="1"/>
  <c r="AU30" i="53" a="1"/>
  <c r="AU30" i="53" s="1"/>
  <c r="AS30" i="53" s="1"/>
  <c r="AV30" i="53" a="1"/>
  <c r="AV30" i="53" s="1"/>
  <c r="AT30" i="53" s="1"/>
  <c r="AV29" i="53" a="1"/>
  <c r="AV29" i="53" s="1"/>
  <c r="AT29" i="53" s="1"/>
  <c r="AV28" i="53" a="1"/>
  <c r="AV28" i="53" s="1"/>
  <c r="AT28" i="53" s="1"/>
  <c r="AU28" i="53" a="1"/>
  <c r="AU28" i="53" s="1"/>
  <c r="AS28" i="53" s="1"/>
  <c r="AV32" i="53" a="1"/>
  <c r="AV32" i="53" s="1"/>
  <c r="AT32" i="53" s="1"/>
  <c r="AU32" i="53" a="1"/>
  <c r="AU32" i="53" s="1"/>
  <c r="AS32" i="53" s="1"/>
  <c r="AU29" i="53" a="1"/>
  <c r="AU29" i="53" s="1"/>
  <c r="AS29" i="53" s="1"/>
  <c r="AU32" i="57" a="1"/>
  <c r="AU32" i="57" s="1"/>
  <c r="AS32" i="57" s="1"/>
  <c r="AV32" i="57" a="1"/>
  <c r="AV32" i="57" s="1"/>
  <c r="AT32" i="57" s="1"/>
  <c r="AU29" i="59" a="1"/>
  <c r="AU29" i="59" s="1"/>
  <c r="AS29" i="59" s="1"/>
  <c r="AV29" i="59" a="1"/>
  <c r="AV29" i="59" s="1"/>
  <c r="AT29" i="59" s="1"/>
  <c r="AU28" i="57" a="1"/>
  <c r="AU28" i="57" s="1"/>
  <c r="AS28" i="57" s="1"/>
  <c r="AV28" i="57" a="1"/>
  <c r="AV28" i="57" s="1"/>
  <c r="AT28" i="57" s="1"/>
  <c r="AV32" i="59" a="1"/>
  <c r="AV32" i="59" s="1"/>
  <c r="AT32" i="59" s="1"/>
  <c r="AU32" i="59" a="1"/>
  <c r="AU32" i="59" s="1"/>
  <c r="AS32" i="59" s="1"/>
  <c r="AU31" i="59" a="1"/>
  <c r="AU31" i="59" s="1"/>
  <c r="AS31" i="59" s="1"/>
  <c r="AV31" i="59" a="1"/>
  <c r="AV31" i="59" s="1"/>
  <c r="AT31" i="59" s="1"/>
  <c r="AU24" i="59" a="1"/>
  <c r="AU24" i="59" s="1"/>
  <c r="AS24" i="59" s="1"/>
  <c r="AV24" i="59" a="1"/>
  <c r="AV24" i="59" s="1"/>
  <c r="AT24" i="59" s="1"/>
  <c r="AU26" i="57" a="1"/>
  <c r="AU26" i="57" s="1"/>
  <c r="AS26" i="57" s="1"/>
  <c r="AV26" i="57" a="1"/>
  <c r="AV26" i="57" s="1"/>
  <c r="AT26" i="57" s="1"/>
  <c r="AU24" i="57" a="1"/>
  <c r="AU24" i="57" s="1"/>
  <c r="AS24" i="57" s="1"/>
  <c r="AV24" i="57" a="1"/>
  <c r="AV24" i="57" s="1"/>
  <c r="AT24" i="57" s="1"/>
  <c r="AV25" i="57" a="1"/>
  <c r="AV25" i="57" s="1"/>
  <c r="AT25" i="57" s="1"/>
  <c r="AU25" i="57" a="1"/>
  <c r="AU25" i="57" s="1"/>
  <c r="AS25" i="57" s="1"/>
  <c r="AV29" i="57" a="1"/>
  <c r="AV29" i="57" s="1"/>
  <c r="AT29" i="57" s="1"/>
  <c r="AU29" i="57" a="1"/>
  <c r="AU29" i="57" s="1"/>
  <c r="AS29" i="57" s="1"/>
  <c r="AU31" i="57" a="1"/>
  <c r="AU31" i="57" s="1"/>
  <c r="AS31" i="57" s="1"/>
  <c r="AV31" i="57" a="1"/>
  <c r="AV31" i="57" s="1"/>
  <c r="AT31" i="57" s="1"/>
  <c r="AU27" i="57" a="1"/>
  <c r="AU27" i="57" s="1"/>
  <c r="AS27" i="57" s="1"/>
  <c r="AV27" i="57" a="1"/>
  <c r="AV27" i="57" s="1"/>
  <c r="AT27" i="57" s="1"/>
  <c r="AU23" i="57" a="1"/>
  <c r="AU23" i="57" s="1"/>
  <c r="AV23" i="57" a="1"/>
  <c r="AV23" i="57" s="1"/>
  <c r="AT23" i="57" s="1"/>
  <c r="AU25" i="59" a="1"/>
  <c r="AU25" i="59" s="1"/>
  <c r="AS25" i="59" s="1"/>
  <c r="AV25" i="59" a="1"/>
  <c r="AV25" i="59" s="1"/>
  <c r="AT25" i="59" s="1"/>
  <c r="AV30" i="57" a="1"/>
  <c r="AV30" i="57" s="1"/>
  <c r="AT30" i="57" s="1"/>
  <c r="AU30" i="57" a="1"/>
  <c r="AU30" i="57" s="1"/>
  <c r="AS30" i="57" s="1"/>
  <c r="AV28" i="59" a="1"/>
  <c r="AV28" i="59" s="1"/>
  <c r="AT28" i="59" s="1"/>
  <c r="AU28" i="59" a="1"/>
  <c r="AU28" i="59" s="1"/>
  <c r="AS28" i="59" s="1"/>
  <c r="AV23" i="59" a="1"/>
  <c r="AV23" i="59" s="1"/>
  <c r="AT23" i="59" s="1"/>
  <c r="AU23" i="59" a="1"/>
  <c r="AU23" i="59" s="1"/>
  <c r="AU27" i="59" a="1"/>
  <c r="AU27" i="59" s="1"/>
  <c r="AS27" i="59" s="1"/>
  <c r="AV27" i="59" a="1"/>
  <c r="AV27" i="59" s="1"/>
  <c r="AT27" i="59" s="1"/>
  <c r="AU30" i="59" a="1"/>
  <c r="AU30" i="59" s="1"/>
  <c r="AS30" i="59" s="1"/>
  <c r="AV30" i="59" a="1"/>
  <c r="AV30" i="59" s="1"/>
  <c r="AT30" i="59" s="1"/>
  <c r="AU26" i="59" a="1"/>
  <c r="AU26" i="59" s="1"/>
  <c r="AS26" i="59" s="1"/>
  <c r="AV26" i="59" a="1"/>
  <c r="AV26" i="59" s="1"/>
  <c r="AT26" i="59" s="1"/>
  <c r="A10" i="41"/>
  <c r="K9" i="41"/>
  <c r="L9" i="41"/>
  <c r="AU9" i="41"/>
  <c r="AV9" i="41" s="1"/>
  <c r="A10" i="43"/>
  <c r="K10" i="49"/>
  <c r="L10" i="49"/>
  <c r="AU9" i="39"/>
  <c r="AV9" i="39" s="1"/>
  <c r="A11" i="39"/>
  <c r="CL20" i="39" s="1"/>
  <c r="K10" i="39"/>
  <c r="L10" i="39"/>
  <c r="AU10" i="39"/>
  <c r="AV10" i="39" s="1"/>
  <c r="Q40" i="55"/>
  <c r="Q38" i="55"/>
  <c r="Q41" i="55"/>
  <c r="Q42" i="55"/>
  <c r="Q39" i="55"/>
  <c r="AW8" i="47"/>
  <c r="AU8" i="51"/>
  <c r="C36" i="56"/>
  <c r="U27" i="55"/>
  <c r="F25" i="55"/>
  <c r="B25" i="55"/>
  <c r="A18" i="55"/>
  <c r="B27" i="55"/>
  <c r="AP36" i="56"/>
  <c r="B24" i="55"/>
  <c r="A21" i="55"/>
  <c r="D21" i="55" s="1"/>
  <c r="E21" i="55" s="1"/>
  <c r="A23" i="55"/>
  <c r="D23" i="55" s="1"/>
  <c r="E23" i="55" s="1"/>
  <c r="U29" i="55"/>
  <c r="U32" i="55"/>
  <c r="AP32" i="56"/>
  <c r="C32" i="56"/>
  <c r="A29" i="55"/>
  <c r="D29" i="55" s="1"/>
  <c r="E29" i="55" s="1"/>
  <c r="B26" i="55"/>
  <c r="AP16" i="56"/>
  <c r="C8" i="56"/>
  <c r="F26" i="55"/>
  <c r="AK8" i="56"/>
  <c r="A27" i="55"/>
  <c r="D27" i="55" s="1"/>
  <c r="E27" i="55" s="1"/>
  <c r="B19" i="55"/>
  <c r="Y30" i="56"/>
  <c r="B20" i="55"/>
  <c r="U23" i="55"/>
  <c r="F32" i="55"/>
  <c r="AP12" i="56"/>
  <c r="A20" i="55"/>
  <c r="F31" i="55"/>
  <c r="F29" i="55"/>
  <c r="A25" i="55"/>
  <c r="D25" i="55" s="1"/>
  <c r="E25" i="55" s="1"/>
  <c r="A32" i="55"/>
  <c r="D32" i="55" s="1"/>
  <c r="E32" i="55" s="1"/>
  <c r="U28" i="55"/>
  <c r="C33" i="56"/>
  <c r="AD35" i="56"/>
  <c r="AP11" i="56"/>
  <c r="B29" i="55"/>
  <c r="F30" i="55"/>
  <c r="AP28" i="56" a="1"/>
  <c r="AP28" i="56" s="1"/>
  <c r="B22" i="55"/>
  <c r="B32" i="55"/>
  <c r="U24" i="55"/>
  <c r="U26" i="55"/>
  <c r="B18" i="55"/>
  <c r="AR18" i="55" s="1"/>
  <c r="C18" i="55" s="1"/>
  <c r="AP22" i="56"/>
  <c r="B31" i="55"/>
  <c r="A26" i="55"/>
  <c r="D26" i="55" s="1"/>
  <c r="E26" i="55" s="1"/>
  <c r="A24" i="55"/>
  <c r="D24" i="55" s="1"/>
  <c r="E24" i="55" s="1"/>
  <c r="A30" i="55"/>
  <c r="D30" i="55" s="1"/>
  <c r="E30" i="55" s="1"/>
  <c r="AP17" i="56"/>
  <c r="A19" i="55"/>
  <c r="D19" i="55" s="1"/>
  <c r="E19" i="55" s="1"/>
  <c r="C38" i="56"/>
  <c r="A31" i="55"/>
  <c r="D31" i="55" s="1"/>
  <c r="E31" i="55" s="1"/>
  <c r="C31" i="56"/>
  <c r="U25" i="55"/>
  <c r="F24" i="55"/>
  <c r="F27" i="55"/>
  <c r="C30" i="56"/>
  <c r="Y8" i="56" s="1"/>
  <c r="U31" i="55"/>
  <c r="F28" i="55"/>
  <c r="C37" i="56"/>
  <c r="AP26" i="56"/>
  <c r="B30" i="55"/>
  <c r="F23" i="55"/>
  <c r="AW23" i="55" s="1"/>
  <c r="B28" i="55"/>
  <c r="B23" i="55"/>
  <c r="C35" i="56"/>
  <c r="AD8" i="56" s="1"/>
  <c r="B21" i="55"/>
  <c r="AP37" i="56"/>
  <c r="U30" i="55"/>
  <c r="A22" i="55"/>
  <c r="AP21" i="56"/>
  <c r="A28" i="55"/>
  <c r="D28" i="55" s="1"/>
  <c r="E28" i="55" s="1"/>
  <c r="AP27" i="56"/>
  <c r="AV7" i="51"/>
  <c r="AW7" i="51"/>
  <c r="AP31" i="56"/>
  <c r="AW8" i="41"/>
  <c r="V23" i="57"/>
  <c r="T23" i="57"/>
  <c r="R23" i="57"/>
  <c r="AW7" i="45"/>
  <c r="AV7" i="45"/>
  <c r="G32" i="57"/>
  <c r="V28" i="57"/>
  <c r="H26" i="57"/>
  <c r="G25" i="57"/>
  <c r="J25" i="57"/>
  <c r="K25" i="57"/>
  <c r="H25" i="57"/>
  <c r="AU8" i="45"/>
  <c r="K29" i="57"/>
  <c r="J31" i="57"/>
  <c r="K31" i="57"/>
  <c r="H31" i="57"/>
  <c r="G31" i="57"/>
  <c r="H27" i="57"/>
  <c r="G27" i="57"/>
  <c r="K27" i="57"/>
  <c r="K23" i="57"/>
  <c r="G23" i="57"/>
  <c r="A10" i="45"/>
  <c r="K9" i="45"/>
  <c r="L9" i="45"/>
  <c r="AU9" i="45"/>
  <c r="AV9" i="45" s="1"/>
  <c r="AW28" i="51"/>
  <c r="AX32" i="51"/>
  <c r="AW26" i="51"/>
  <c r="AW24" i="51"/>
  <c r="AX28" i="51"/>
  <c r="AX30" i="51"/>
  <c r="AW31" i="51"/>
  <c r="AX29" i="51"/>
  <c r="AX26" i="51"/>
  <c r="AX24" i="51"/>
  <c r="AW32" i="51"/>
  <c r="AW29" i="51"/>
  <c r="AX27" i="51"/>
  <c r="AX31" i="51"/>
  <c r="AW25" i="51"/>
  <c r="AW27" i="51"/>
  <c r="AW30" i="51"/>
  <c r="AX25" i="51"/>
  <c r="AT11" i="49"/>
  <c r="AU10" i="49"/>
  <c r="K11" i="47"/>
  <c r="L11" i="47"/>
  <c r="AU11" i="47"/>
  <c r="AV11" i="47" s="1"/>
  <c r="AT24" i="53"/>
  <c r="AT26" i="53"/>
  <c r="AS24" i="53"/>
  <c r="AS25" i="53"/>
  <c r="AW8" i="53" l="1"/>
  <c r="K28" i="57"/>
  <c r="X28" i="57"/>
  <c r="W28" i="57" s="1"/>
  <c r="AW9" i="47"/>
  <c r="AW10" i="47" s="1"/>
  <c r="AW11" i="47" s="1"/>
  <c r="BE11" i="57"/>
  <c r="BF10" i="57"/>
  <c r="H23" i="57"/>
  <c r="AW8" i="59"/>
  <c r="AW9" i="59" s="1"/>
  <c r="BK6" i="59" a="1"/>
  <c r="BE8" i="59" s="1"/>
  <c r="BF15" i="59" s="1"/>
  <c r="AW8" i="55"/>
  <c r="AW9" i="55" s="1"/>
  <c r="AW10" i="55" s="1"/>
  <c r="AW11" i="55" s="1"/>
  <c r="AW9" i="41"/>
  <c r="G29" i="57"/>
  <c r="H32" i="57"/>
  <c r="J32" i="57"/>
  <c r="R30" i="57"/>
  <c r="V30" i="57"/>
  <c r="CL28" i="53"/>
  <c r="CL14" i="53"/>
  <c r="CL33" i="53"/>
  <c r="CL35" i="39"/>
  <c r="CL29" i="39"/>
  <c r="AW8" i="43"/>
  <c r="CL15" i="39"/>
  <c r="CL25" i="39"/>
  <c r="CL23" i="39"/>
  <c r="CL30" i="39"/>
  <c r="CL19" i="39"/>
  <c r="CL24" i="39"/>
  <c r="CL23" i="53"/>
  <c r="AW8" i="39"/>
  <c r="AW9" i="39" s="1"/>
  <c r="CL33" i="39"/>
  <c r="CL28" i="39"/>
  <c r="CL9" i="39"/>
  <c r="CL34" i="39"/>
  <c r="CL10" i="39"/>
  <c r="CL29" i="53"/>
  <c r="CL19" i="53"/>
  <c r="CL10" i="53"/>
  <c r="CL30" i="53"/>
  <c r="CL34" i="53"/>
  <c r="CL15" i="53"/>
  <c r="CL35" i="53"/>
  <c r="CL24" i="53"/>
  <c r="CL14" i="39"/>
  <c r="CL25" i="53"/>
  <c r="CL20" i="53"/>
  <c r="X23" i="57"/>
  <c r="W23" i="57" s="1"/>
  <c r="BE10" i="57"/>
  <c r="T32" i="57"/>
  <c r="AR19" i="57"/>
  <c r="C19" i="57" s="1"/>
  <c r="J30" i="57"/>
  <c r="AS23" i="57"/>
  <c r="B24" i="47"/>
  <c r="B32" i="47"/>
  <c r="A25" i="47"/>
  <c r="D25" i="47" s="1"/>
  <c r="E25" i="47" s="1"/>
  <c r="T31" i="57"/>
  <c r="A28" i="47"/>
  <c r="D28" i="47" s="1"/>
  <c r="E28" i="47" s="1"/>
  <c r="AP21" i="48"/>
  <c r="T25" i="57"/>
  <c r="V25" i="57"/>
  <c r="AP32" i="48"/>
  <c r="AP37" i="48"/>
  <c r="A24" i="47"/>
  <c r="D24" i="47" s="1"/>
  <c r="E24" i="47" s="1"/>
  <c r="A27" i="47"/>
  <c r="D27" i="47" s="1"/>
  <c r="E27" i="47" s="1"/>
  <c r="A30" i="47"/>
  <c r="D30" i="47" s="1"/>
  <c r="E30" i="47" s="1"/>
  <c r="V31" i="57"/>
  <c r="AM30" i="58" a="1"/>
  <c r="AM30" i="58" s="1"/>
  <c r="Q42" i="47"/>
  <c r="AP30" i="58" a="1"/>
  <c r="AP30" i="58" s="1"/>
  <c r="AP22" i="48"/>
  <c r="AP16" i="48"/>
  <c r="AK33" i="58" a="1"/>
  <c r="AK33" i="58" s="1"/>
  <c r="B23" i="47"/>
  <c r="A22" i="47"/>
  <c r="AP33" i="58" a="1"/>
  <c r="AP33" i="58" s="1"/>
  <c r="A32" i="47"/>
  <c r="D32" i="47" s="1"/>
  <c r="E32" i="47" s="1"/>
  <c r="B19" i="47"/>
  <c r="C30" i="48"/>
  <c r="Y8" i="48" s="1"/>
  <c r="A19" i="47"/>
  <c r="D19" i="47" s="1"/>
  <c r="E19" i="47" s="1"/>
  <c r="A21" i="47"/>
  <c r="D21" i="47" s="1"/>
  <c r="E21" i="47" s="1"/>
  <c r="AP11" i="48"/>
  <c r="C36" i="48"/>
  <c r="C33" i="48"/>
  <c r="Y30" i="48" s="1"/>
  <c r="C31" i="48"/>
  <c r="AP31" i="48"/>
  <c r="R32" i="57"/>
  <c r="AM33" i="58" a="1"/>
  <c r="AM33" i="58" s="1"/>
  <c r="B20" i="47"/>
  <c r="A20" i="47"/>
  <c r="R28" i="57"/>
  <c r="G24" i="57"/>
  <c r="K24" i="57"/>
  <c r="AM35" i="58" a="1"/>
  <c r="AM35" i="58" s="1"/>
  <c r="X19" i="57"/>
  <c r="W19" i="57" s="1"/>
  <c r="G26" i="57"/>
  <c r="X25" i="57"/>
  <c r="W25" i="57" s="1"/>
  <c r="AK38" i="58" a="1"/>
  <c r="AK38" i="58" s="1"/>
  <c r="AP38" i="58" a="1"/>
  <c r="AP38" i="58" s="1"/>
  <c r="T26" i="57"/>
  <c r="V26" i="57"/>
  <c r="BG10" i="57"/>
  <c r="BF17" i="57" s="1" a="1"/>
  <c r="BF17" i="57" s="1"/>
  <c r="BF9" i="57"/>
  <c r="BE33" i="57" s="1" a="1"/>
  <c r="BE33" i="57" s="1"/>
  <c r="BF11" i="57"/>
  <c r="G30" i="57"/>
  <c r="BE8" i="57"/>
  <c r="BF15" i="57" s="1"/>
  <c r="K30" i="57"/>
  <c r="BE9" i="57"/>
  <c r="BK6" i="57"/>
  <c r="BD7" i="57" s="1"/>
  <c r="C30" i="50"/>
  <c r="Y8" i="50" s="1"/>
  <c r="BH11" i="57"/>
  <c r="BG17" i="57" s="1" a="1"/>
  <c r="BG17" i="57" s="1"/>
  <c r="BK6" i="55" a="1"/>
  <c r="BK6" i="55" s="1"/>
  <c r="BD10" i="55" s="1"/>
  <c r="AP35" i="58" a="1"/>
  <c r="AP35" i="58" s="1"/>
  <c r="AK35" i="58" a="1"/>
  <c r="AK35" i="58" s="1"/>
  <c r="R29" i="57"/>
  <c r="T29" i="57"/>
  <c r="G28" i="57"/>
  <c r="A27" i="49"/>
  <c r="D27" i="49" s="1"/>
  <c r="E27" i="49" s="1"/>
  <c r="AD35" i="50"/>
  <c r="B18" i="47"/>
  <c r="AR18" i="47" s="1"/>
  <c r="C18" i="47" s="1"/>
  <c r="AK8" i="48"/>
  <c r="B25" i="47"/>
  <c r="A29" i="47"/>
  <c r="D29" i="47" s="1"/>
  <c r="E29" i="47" s="1"/>
  <c r="AP36" i="48"/>
  <c r="B26" i="47"/>
  <c r="C35" i="48"/>
  <c r="AD8" i="48" s="1"/>
  <c r="A26" i="47"/>
  <c r="D26" i="47" s="1"/>
  <c r="E26" i="47" s="1"/>
  <c r="A31" i="47"/>
  <c r="D31" i="47" s="1"/>
  <c r="E31" i="47" s="1"/>
  <c r="AP27" i="48"/>
  <c r="Q38" i="49"/>
  <c r="B20" i="49"/>
  <c r="AP12" i="48"/>
  <c r="A23" i="47"/>
  <c r="D23" i="47" s="1"/>
  <c r="E23" i="47" s="1"/>
  <c r="B30" i="47"/>
  <c r="B28" i="47"/>
  <c r="A18" i="47"/>
  <c r="C38" i="48"/>
  <c r="AD35" i="48" s="1"/>
  <c r="C32" i="48"/>
  <c r="C37" i="48"/>
  <c r="B27" i="47"/>
  <c r="B31" i="47"/>
  <c r="C38" i="50"/>
  <c r="B29" i="47"/>
  <c r="C8" i="48"/>
  <c r="B21" i="47"/>
  <c r="AP17" i="48"/>
  <c r="B22" i="47"/>
  <c r="AV7" i="43"/>
  <c r="B21" i="49"/>
  <c r="R27" i="57"/>
  <c r="V27" i="57"/>
  <c r="X21" i="57"/>
  <c r="W21" i="57" s="1"/>
  <c r="AP36" i="50"/>
  <c r="AP17" i="50"/>
  <c r="X31" i="57"/>
  <c r="W31" i="57" s="1"/>
  <c r="Q42" i="49"/>
  <c r="X32" i="57"/>
  <c r="W32" i="57" s="1"/>
  <c r="A28" i="49"/>
  <c r="D28" i="49" s="1"/>
  <c r="E28" i="49" s="1"/>
  <c r="B27" i="49"/>
  <c r="AP22" i="50"/>
  <c r="A30" i="49"/>
  <c r="D30" i="49" s="1"/>
  <c r="E30" i="49" s="1"/>
  <c r="Q40" i="47"/>
  <c r="V24" i="57"/>
  <c r="A31" i="49"/>
  <c r="D31" i="49" s="1"/>
  <c r="E31" i="49" s="1"/>
  <c r="T24" i="57"/>
  <c r="A18" i="49"/>
  <c r="Q38" i="47"/>
  <c r="X30" i="57"/>
  <c r="W30" i="57" s="1"/>
  <c r="C37" i="50"/>
  <c r="AM35" i="50" s="1" a="1"/>
  <c r="AM35" i="50" s="1"/>
  <c r="AP12" i="50"/>
  <c r="X24" i="57"/>
  <c r="W24" i="57" s="1"/>
  <c r="X26" i="57"/>
  <c r="W26" i="57" s="1"/>
  <c r="X27" i="57"/>
  <c r="W27" i="57" s="1"/>
  <c r="C35" i="50"/>
  <c r="AD8" i="50" s="1"/>
  <c r="A29" i="49"/>
  <c r="D29" i="49" s="1"/>
  <c r="E29" i="49" s="1"/>
  <c r="C33" i="50"/>
  <c r="Y30" i="50" s="1"/>
  <c r="AP26" i="48"/>
  <c r="AP26" i="50"/>
  <c r="B31" i="49"/>
  <c r="AP21" i="50"/>
  <c r="A19" i="49"/>
  <c r="D19" i="49" s="1"/>
  <c r="E19" i="49" s="1"/>
  <c r="AP31" i="50"/>
  <c r="A23" i="49"/>
  <c r="D23" i="49" s="1"/>
  <c r="E23" i="49" s="1"/>
  <c r="A25" i="49"/>
  <c r="D25" i="49" s="1"/>
  <c r="E25" i="49" s="1"/>
  <c r="A26" i="49"/>
  <c r="D26" i="49" s="1"/>
  <c r="E26" i="49" s="1"/>
  <c r="AP32" i="50"/>
  <c r="A21" i="49"/>
  <c r="D21" i="49" s="1"/>
  <c r="E21" i="49" s="1"/>
  <c r="C32" i="50"/>
  <c r="AP16" i="50"/>
  <c r="AP11" i="50"/>
  <c r="B30" i="49"/>
  <c r="A32" i="49"/>
  <c r="D32" i="49" s="1"/>
  <c r="E32" i="49" s="1"/>
  <c r="B28" i="49"/>
  <c r="Q39" i="47"/>
  <c r="B19" i="49"/>
  <c r="A20" i="49"/>
  <c r="B29" i="49"/>
  <c r="AP37" i="50"/>
  <c r="A22" i="49"/>
  <c r="AK8" i="50"/>
  <c r="B24" i="49"/>
  <c r="B18" i="49"/>
  <c r="AR18" i="49" s="1"/>
  <c r="C18" i="49" s="1"/>
  <c r="C36" i="50"/>
  <c r="B23" i="49"/>
  <c r="AP27" i="50"/>
  <c r="B25" i="49"/>
  <c r="C31" i="50"/>
  <c r="Q40" i="49"/>
  <c r="AV7" i="49"/>
  <c r="A24" i="49"/>
  <c r="D24" i="49" s="1"/>
  <c r="E24" i="49" s="1"/>
  <c r="B32" i="49"/>
  <c r="C8" i="50"/>
  <c r="B26" i="49"/>
  <c r="B22" i="49"/>
  <c r="Q39" i="49"/>
  <c r="CL31" i="39"/>
  <c r="CL26" i="53"/>
  <c r="AP11" i="60"/>
  <c r="F25" i="59"/>
  <c r="B31" i="59"/>
  <c r="B23" i="59"/>
  <c r="AK8" i="60"/>
  <c r="B24" i="59"/>
  <c r="B18" i="59"/>
  <c r="AR18" i="59" s="1"/>
  <c r="C18" i="59" s="1"/>
  <c r="C31" i="60"/>
  <c r="AP36" i="60"/>
  <c r="AP22" i="60"/>
  <c r="A32" i="59"/>
  <c r="C38" i="60"/>
  <c r="A26" i="59"/>
  <c r="U29" i="59"/>
  <c r="AP16" i="60"/>
  <c r="A20" i="59"/>
  <c r="A27" i="59"/>
  <c r="AP12" i="60"/>
  <c r="Q39" i="59"/>
  <c r="B30" i="59"/>
  <c r="C30" i="60"/>
  <c r="Y8" i="60" s="1"/>
  <c r="U28" i="59"/>
  <c r="U23" i="59"/>
  <c r="A24" i="59"/>
  <c r="U27" i="59"/>
  <c r="AP21" i="60"/>
  <c r="Q42" i="59"/>
  <c r="AP28" i="60" a="1"/>
  <c r="AP28" i="60" s="1"/>
  <c r="B19" i="59"/>
  <c r="A23" i="59"/>
  <c r="B28" i="59"/>
  <c r="C35" i="60"/>
  <c r="AD8" i="60" s="1"/>
  <c r="A30" i="59"/>
  <c r="U32" i="59"/>
  <c r="Q40" i="59"/>
  <c r="B32" i="59"/>
  <c r="F24" i="59"/>
  <c r="F31" i="59"/>
  <c r="A19" i="59"/>
  <c r="U25" i="59"/>
  <c r="F32" i="59"/>
  <c r="U31" i="59"/>
  <c r="Q41" i="59"/>
  <c r="A22" i="59"/>
  <c r="C36" i="60"/>
  <c r="AP37" i="60"/>
  <c r="C33" i="60"/>
  <c r="A21" i="59"/>
  <c r="A31" i="59"/>
  <c r="C8" i="60"/>
  <c r="A18" i="59"/>
  <c r="AP32" i="60"/>
  <c r="Q38" i="59"/>
  <c r="B29" i="59"/>
  <c r="B27" i="59"/>
  <c r="U26" i="59"/>
  <c r="F29" i="59"/>
  <c r="A28" i="59"/>
  <c r="Y30" i="60"/>
  <c r="B22" i="59"/>
  <c r="A25" i="59"/>
  <c r="AP26" i="60"/>
  <c r="C32" i="60"/>
  <c r="B26" i="59"/>
  <c r="AP31" i="60"/>
  <c r="AD35" i="60"/>
  <c r="U30" i="59"/>
  <c r="B25" i="59"/>
  <c r="C37" i="60"/>
  <c r="U24" i="59"/>
  <c r="F26" i="59"/>
  <c r="B21" i="59"/>
  <c r="AP27" i="60"/>
  <c r="F30" i="59"/>
  <c r="F28" i="59"/>
  <c r="F27" i="59"/>
  <c r="F23" i="59"/>
  <c r="B20" i="59"/>
  <c r="AP17" i="60"/>
  <c r="A29" i="59"/>
  <c r="A11" i="43"/>
  <c r="CL34" i="43" s="1"/>
  <c r="AW8" i="49"/>
  <c r="AW9" i="49" s="1"/>
  <c r="AW10" i="49" s="1"/>
  <c r="AW11" i="49" s="1"/>
  <c r="AU9" i="43"/>
  <c r="AV9" i="43" s="1"/>
  <c r="K9" i="43"/>
  <c r="L9" i="43"/>
  <c r="K9" i="53"/>
  <c r="CL21" i="53"/>
  <c r="L9" i="53"/>
  <c r="CL27" i="53"/>
  <c r="CL31" i="53"/>
  <c r="CL16" i="53"/>
  <c r="CL18" i="53"/>
  <c r="CL12" i="53"/>
  <c r="CL22" i="53"/>
  <c r="AU9" i="53"/>
  <c r="AW9" i="53" s="1"/>
  <c r="AW10" i="53" s="1"/>
  <c r="AW11" i="53" s="1"/>
  <c r="CL17" i="53"/>
  <c r="CL32" i="53"/>
  <c r="CL11" i="53"/>
  <c r="CL8" i="53"/>
  <c r="CL7" i="39"/>
  <c r="CL17" i="39"/>
  <c r="CL12" i="39"/>
  <c r="CL16" i="39"/>
  <c r="CL32" i="39"/>
  <c r="CL8" i="39"/>
  <c r="CL6" i="53"/>
  <c r="CL7" i="53"/>
  <c r="CL13" i="39"/>
  <c r="CL22" i="39"/>
  <c r="AO4" i="53"/>
  <c r="AP32" i="54" s="1"/>
  <c r="CL18" i="39"/>
  <c r="CL13" i="53"/>
  <c r="CL27" i="39"/>
  <c r="CL11" i="39"/>
  <c r="CL26" i="39"/>
  <c r="CL6" i="39"/>
  <c r="CL21" i="39"/>
  <c r="X26" i="55"/>
  <c r="W26" i="55" s="1"/>
  <c r="X28" i="55"/>
  <c r="W28" i="55" s="1"/>
  <c r="X23" i="55"/>
  <c r="W23" i="55" s="1"/>
  <c r="X30" i="55"/>
  <c r="W30" i="55" s="1"/>
  <c r="X27" i="55"/>
  <c r="W27" i="55" s="1"/>
  <c r="X21" i="55"/>
  <c r="W21" i="55" s="1"/>
  <c r="X32" i="55"/>
  <c r="W32" i="55" s="1"/>
  <c r="X25" i="55"/>
  <c r="W25" i="55" s="1"/>
  <c r="X31" i="55"/>
  <c r="W31" i="55" s="1"/>
  <c r="X24" i="55"/>
  <c r="W24" i="55" s="1"/>
  <c r="X19" i="55"/>
  <c r="W19" i="55" s="1"/>
  <c r="X29" i="55"/>
  <c r="W29" i="55" s="1"/>
  <c r="A11" i="32"/>
  <c r="CL24" i="32" s="1"/>
  <c r="Q42" i="51"/>
  <c r="AP16" i="52"/>
  <c r="F29" i="51"/>
  <c r="A31" i="51"/>
  <c r="D31" i="51" s="1"/>
  <c r="E31" i="51" s="1"/>
  <c r="C38" i="52"/>
  <c r="F31" i="51"/>
  <c r="A23" i="51"/>
  <c r="D23" i="51" s="1"/>
  <c r="E23" i="51" s="1"/>
  <c r="Q41" i="51"/>
  <c r="AP11" i="52"/>
  <c r="B18" i="51"/>
  <c r="AR18" i="51" s="1"/>
  <c r="C18" i="51" s="1"/>
  <c r="F32" i="51"/>
  <c r="F27" i="51"/>
  <c r="C32" i="52"/>
  <c r="U30" i="51"/>
  <c r="Q40" i="51"/>
  <c r="C31" i="52"/>
  <c r="U24" i="51"/>
  <c r="AP32" i="52"/>
  <c r="AP21" i="52"/>
  <c r="B31" i="51"/>
  <c r="A30" i="51"/>
  <c r="D30" i="51" s="1"/>
  <c r="E30" i="51" s="1"/>
  <c r="Q39" i="51"/>
  <c r="F25" i="51"/>
  <c r="B23" i="51"/>
  <c r="F26" i="51"/>
  <c r="U29" i="51"/>
  <c r="C35" i="52"/>
  <c r="AD8" i="52" s="1"/>
  <c r="F28" i="51"/>
  <c r="Q38" i="51"/>
  <c r="AP26" i="52"/>
  <c r="AP31" i="52"/>
  <c r="U32" i="51"/>
  <c r="A29" i="51"/>
  <c r="D29" i="51" s="1"/>
  <c r="E29" i="51" s="1"/>
  <c r="B21" i="51"/>
  <c r="AD35" i="52"/>
  <c r="AP37" i="52"/>
  <c r="AP27" i="52"/>
  <c r="AP36" i="52"/>
  <c r="A32" i="51"/>
  <c r="D32" i="51" s="1"/>
  <c r="E32" i="51" s="1"/>
  <c r="C33" i="52"/>
  <c r="B24" i="51"/>
  <c r="Y30" i="52"/>
  <c r="B28" i="51"/>
  <c r="B19" i="51"/>
  <c r="F30" i="51"/>
  <c r="AP17" i="52"/>
  <c r="A19" i="51"/>
  <c r="D19" i="51" s="1"/>
  <c r="E19" i="51" s="1"/>
  <c r="B20" i="51"/>
  <c r="F24" i="51"/>
  <c r="A24" i="51"/>
  <c r="D24" i="51" s="1"/>
  <c r="E24" i="51" s="1"/>
  <c r="B27" i="51"/>
  <c r="A28" i="51"/>
  <c r="D28" i="51" s="1"/>
  <c r="E28" i="51" s="1"/>
  <c r="A27" i="51"/>
  <c r="D27" i="51" s="1"/>
  <c r="E27" i="51" s="1"/>
  <c r="A20" i="51"/>
  <c r="A21" i="51"/>
  <c r="D21" i="51" s="1"/>
  <c r="E21" i="51" s="1"/>
  <c r="AP22" i="52"/>
  <c r="A26" i="51"/>
  <c r="D26" i="51" s="1"/>
  <c r="E26" i="51" s="1"/>
  <c r="A18" i="51"/>
  <c r="C30" i="52"/>
  <c r="Y8" i="52" s="1"/>
  <c r="B30" i="51"/>
  <c r="U25" i="51"/>
  <c r="AP12" i="52"/>
  <c r="U26" i="51"/>
  <c r="U31" i="51"/>
  <c r="AK8" i="52"/>
  <c r="B25" i="51"/>
  <c r="A22" i="51"/>
  <c r="B22" i="51"/>
  <c r="C37" i="52"/>
  <c r="C8" i="52"/>
  <c r="U27" i="51"/>
  <c r="U28" i="51"/>
  <c r="B29" i="51"/>
  <c r="A25" i="51"/>
  <c r="D25" i="51" s="1"/>
  <c r="E25" i="51" s="1"/>
  <c r="C36" i="52"/>
  <c r="B32" i="51"/>
  <c r="B26" i="51"/>
  <c r="AV25" i="55" a="1"/>
  <c r="AV25" i="55" s="1"/>
  <c r="AT25" i="55" s="1"/>
  <c r="AU25" i="55" a="1"/>
  <c r="AU25" i="55" s="1"/>
  <c r="AS25" i="55" s="1"/>
  <c r="AU30" i="55" a="1"/>
  <c r="AU30" i="55" s="1"/>
  <c r="AS30" i="55" s="1"/>
  <c r="AV30" i="55" a="1"/>
  <c r="AV30" i="55" s="1"/>
  <c r="AT30" i="55" s="1"/>
  <c r="AV32" i="55" a="1"/>
  <c r="AV32" i="55" s="1"/>
  <c r="AT32" i="55" s="1"/>
  <c r="AU32" i="55" a="1"/>
  <c r="AU32" i="55" s="1"/>
  <c r="AS32" i="55" s="1"/>
  <c r="AU28" i="55" a="1"/>
  <c r="AU28" i="55" s="1"/>
  <c r="AS28" i="55" s="1"/>
  <c r="AV28" i="55" a="1"/>
  <c r="AV28" i="55" s="1"/>
  <c r="AT28" i="55" s="1"/>
  <c r="AU27" i="55" a="1"/>
  <c r="AU27" i="55" s="1"/>
  <c r="AS27" i="55" s="1"/>
  <c r="AV27" i="55" a="1"/>
  <c r="AV27" i="55" s="1"/>
  <c r="AT27" i="55" s="1"/>
  <c r="AU24" i="55" a="1"/>
  <c r="AU24" i="55" s="1"/>
  <c r="AS24" i="55" s="1"/>
  <c r="AV24" i="55" a="1"/>
  <c r="AV24" i="55" s="1"/>
  <c r="AT24" i="55" s="1"/>
  <c r="AU26" i="55" a="1"/>
  <c r="AU26" i="55" s="1"/>
  <c r="AS26" i="55" s="1"/>
  <c r="AV26" i="55" a="1"/>
  <c r="AV26" i="55" s="1"/>
  <c r="AT26" i="55" s="1"/>
  <c r="AV29" i="55" a="1"/>
  <c r="AV29" i="55" s="1"/>
  <c r="AT29" i="55" s="1"/>
  <c r="AU29" i="55" a="1"/>
  <c r="AU29" i="55" s="1"/>
  <c r="AS29" i="55" s="1"/>
  <c r="AU31" i="55" a="1"/>
  <c r="AU31" i="55" s="1"/>
  <c r="AS31" i="55" s="1"/>
  <c r="AV31" i="55" a="1"/>
  <c r="AV31" i="55" s="1"/>
  <c r="AT31" i="55" s="1"/>
  <c r="AV23" i="55" a="1"/>
  <c r="AV23" i="55" s="1"/>
  <c r="AT23" i="55" s="1"/>
  <c r="AU23" i="55" a="1"/>
  <c r="AU23" i="55" s="1"/>
  <c r="AS23" i="55" s="1"/>
  <c r="K11" i="39"/>
  <c r="L11" i="39"/>
  <c r="AO4" i="39"/>
  <c r="K10" i="43"/>
  <c r="AU10" i="43"/>
  <c r="AV10" i="43" s="1"/>
  <c r="L10" i="43"/>
  <c r="AU11" i="39"/>
  <c r="A11" i="41"/>
  <c r="CL23" i="41" s="1"/>
  <c r="L10" i="41"/>
  <c r="AU10" i="41"/>
  <c r="K10" i="41"/>
  <c r="AW8" i="51"/>
  <c r="AW9" i="51" s="1"/>
  <c r="AW10" i="51" s="1"/>
  <c r="AW11" i="51" s="1"/>
  <c r="BG11" i="59"/>
  <c r="AR19" i="55"/>
  <c r="T25" i="55"/>
  <c r="V25" i="55"/>
  <c r="R25" i="55"/>
  <c r="V26" i="55"/>
  <c r="T26" i="55"/>
  <c r="R26" i="55"/>
  <c r="G26" i="55"/>
  <c r="K26" i="55"/>
  <c r="H26" i="55"/>
  <c r="V24" i="55"/>
  <c r="T24" i="55"/>
  <c r="R24" i="55"/>
  <c r="K29" i="55"/>
  <c r="H29" i="55"/>
  <c r="G29" i="55"/>
  <c r="G31" i="55"/>
  <c r="H31" i="55"/>
  <c r="K31" i="55"/>
  <c r="J31" i="55"/>
  <c r="K23" i="55"/>
  <c r="H23" i="55"/>
  <c r="G23" i="55"/>
  <c r="BF10" i="59"/>
  <c r="G25" i="55"/>
  <c r="K25" i="55"/>
  <c r="J25" i="55"/>
  <c r="H25" i="55"/>
  <c r="G30" i="55"/>
  <c r="H30" i="55"/>
  <c r="K30" i="55"/>
  <c r="J30" i="55"/>
  <c r="G32" i="55"/>
  <c r="H32" i="55"/>
  <c r="K32" i="55"/>
  <c r="J32" i="55"/>
  <c r="AM30" i="56" a="1"/>
  <c r="AM30" i="56" s="1"/>
  <c r="AK33" i="56" a="1"/>
  <c r="AK33" i="56" s="1"/>
  <c r="AP33" i="56" a="1"/>
  <c r="AP33" i="56" s="1"/>
  <c r="AK30" i="56" a="1"/>
  <c r="AK30" i="56" s="1"/>
  <c r="AP30" i="56" a="1"/>
  <c r="AP30" i="56" s="1"/>
  <c r="AM33" i="56" a="1"/>
  <c r="AM33" i="56" s="1"/>
  <c r="V27" i="55"/>
  <c r="R27" i="55"/>
  <c r="T27" i="55"/>
  <c r="AK35" i="56" a="1"/>
  <c r="AK35" i="56" s="1"/>
  <c r="AM35" i="56" a="1"/>
  <c r="AM35" i="56" s="1"/>
  <c r="AK38" i="56" a="1"/>
  <c r="AK38" i="56" s="1"/>
  <c r="AP35" i="56" a="1"/>
  <c r="AP35" i="56" s="1"/>
  <c r="AP38" i="56" a="1"/>
  <c r="AP38" i="56" s="1"/>
  <c r="AM38" i="56" a="1"/>
  <c r="AM38" i="56" s="1"/>
  <c r="V23" i="55"/>
  <c r="R23" i="55"/>
  <c r="T23" i="55"/>
  <c r="G28" i="55"/>
  <c r="K28" i="55"/>
  <c r="H28" i="55"/>
  <c r="V32" i="55"/>
  <c r="T32" i="55"/>
  <c r="R32" i="55"/>
  <c r="V31" i="55"/>
  <c r="T31" i="55"/>
  <c r="R31" i="55"/>
  <c r="T29" i="55"/>
  <c r="V29" i="55"/>
  <c r="R29" i="55"/>
  <c r="T30" i="55"/>
  <c r="V30" i="55"/>
  <c r="R30" i="55"/>
  <c r="H27" i="55"/>
  <c r="K27" i="55"/>
  <c r="G27" i="55"/>
  <c r="T28" i="55"/>
  <c r="R28" i="55"/>
  <c r="V28" i="55"/>
  <c r="AV8" i="51"/>
  <c r="BK6" i="51" a="1"/>
  <c r="H24" i="55"/>
  <c r="K24" i="55"/>
  <c r="G24" i="55"/>
  <c r="AW10" i="59"/>
  <c r="AW11" i="59" s="1"/>
  <c r="BD11" i="57"/>
  <c r="A11" i="45"/>
  <c r="CL35" i="45" s="1"/>
  <c r="K10" i="45"/>
  <c r="L10" i="45"/>
  <c r="AU10" i="45"/>
  <c r="AW8" i="45"/>
  <c r="AV8" i="45"/>
  <c r="AV10" i="49"/>
  <c r="BK6" i="49" a="1"/>
  <c r="BK6" i="47" a="1"/>
  <c r="AW10" i="39" l="1"/>
  <c r="AW11" i="39" s="1"/>
  <c r="BG13" i="57"/>
  <c r="CL15" i="32"/>
  <c r="CL20" i="32"/>
  <c r="CL35" i="32"/>
  <c r="CL25" i="32"/>
  <c r="CL30" i="32"/>
  <c r="BH11" i="59"/>
  <c r="BG17" i="59" s="1" a="1"/>
  <c r="BG17" i="59" s="1"/>
  <c r="BE9" i="59"/>
  <c r="BF14" i="59" s="1"/>
  <c r="BE10" i="59"/>
  <c r="BG10" i="59"/>
  <c r="BF33" i="59" s="1" a="1"/>
  <c r="BF33" i="59" s="1"/>
  <c r="BD60" i="59" a="1"/>
  <c r="BD60" i="59" s="1"/>
  <c r="BE11" i="59"/>
  <c r="BF9" i="59"/>
  <c r="BE47" i="59" s="1" a="1"/>
  <c r="BE47" i="59" s="1"/>
  <c r="BK6" i="59"/>
  <c r="BD9" i="59" s="1"/>
  <c r="BF11" i="59"/>
  <c r="BD10" i="57"/>
  <c r="BJ10" i="57" s="1"/>
  <c r="BD9" i="57"/>
  <c r="BD8" i="57"/>
  <c r="AW10" i="41"/>
  <c r="BG14" i="57"/>
  <c r="BE47" i="57" a="1"/>
  <c r="BE47" i="57" s="1"/>
  <c r="AR20" i="57"/>
  <c r="C20" i="57" s="1"/>
  <c r="BE17" i="57" a="1"/>
  <c r="BE17" i="57" s="1"/>
  <c r="CL28" i="43"/>
  <c r="CL33" i="43"/>
  <c r="CL29" i="43"/>
  <c r="CL35" i="41"/>
  <c r="CL23" i="45"/>
  <c r="CL9" i="32"/>
  <c r="CL23" i="32"/>
  <c r="CL14" i="32"/>
  <c r="CL28" i="32"/>
  <c r="CL10" i="45"/>
  <c r="CL28" i="45"/>
  <c r="CL27" i="43"/>
  <c r="CL9" i="43"/>
  <c r="CL15" i="43"/>
  <c r="CL10" i="32"/>
  <c r="CL29" i="45"/>
  <c r="CL20" i="43"/>
  <c r="AW9" i="43"/>
  <c r="AW10" i="43" s="1"/>
  <c r="CL19" i="43"/>
  <c r="CL24" i="45"/>
  <c r="CL19" i="32"/>
  <c r="CL10" i="43"/>
  <c r="CL15" i="41"/>
  <c r="CL20" i="41"/>
  <c r="CL34" i="32"/>
  <c r="CL33" i="32"/>
  <c r="CL20" i="45"/>
  <c r="CL14" i="43"/>
  <c r="CL30" i="41"/>
  <c r="CL28" i="41"/>
  <c r="CL33" i="41"/>
  <c r="CL19" i="45"/>
  <c r="CL24" i="43"/>
  <c r="CL35" i="43"/>
  <c r="CL9" i="45"/>
  <c r="CL30" i="45"/>
  <c r="CL29" i="32"/>
  <c r="CL34" i="41"/>
  <c r="CL24" i="41"/>
  <c r="CL14" i="41"/>
  <c r="CL33" i="45"/>
  <c r="CL29" i="41"/>
  <c r="CL23" i="43"/>
  <c r="CL14" i="45"/>
  <c r="CL34" i="45"/>
  <c r="CL9" i="41"/>
  <c r="CL15" i="45"/>
  <c r="CL25" i="41"/>
  <c r="CL25" i="43"/>
  <c r="CL30" i="43"/>
  <c r="CL25" i="45"/>
  <c r="CL19" i="41"/>
  <c r="CL10" i="41"/>
  <c r="X25" i="47"/>
  <c r="W25" i="47" s="1"/>
  <c r="X28" i="47"/>
  <c r="W28" i="47" s="1"/>
  <c r="X26" i="47"/>
  <c r="W26" i="47" s="1"/>
  <c r="X30" i="47"/>
  <c r="W30" i="47" s="1"/>
  <c r="X24" i="47"/>
  <c r="W24" i="47" s="1"/>
  <c r="BG12" i="57"/>
  <c r="X27" i="47"/>
  <c r="W27" i="47" s="1"/>
  <c r="X32" i="47"/>
  <c r="W32" i="47" s="1"/>
  <c r="X21" i="47"/>
  <c r="W21" i="47" s="1"/>
  <c r="X19" i="47"/>
  <c r="W19" i="47" s="1"/>
  <c r="BI12" i="57"/>
  <c r="BE8" i="55"/>
  <c r="BF15" i="55" s="1"/>
  <c r="BG11" i="55"/>
  <c r="BF9" i="55"/>
  <c r="BE47" i="55" s="1" a="1"/>
  <c r="BE47" i="55" s="1"/>
  <c r="BF11" i="55"/>
  <c r="BE11" i="55"/>
  <c r="BG10" i="55"/>
  <c r="BE10" i="55"/>
  <c r="BE9" i="55"/>
  <c r="BF10" i="55"/>
  <c r="BH11" i="55"/>
  <c r="BG17" i="55" s="1" a="1"/>
  <c r="BG17" i="55" s="1"/>
  <c r="BH13" i="57"/>
  <c r="BH12" i="57"/>
  <c r="BF33" i="57" a="1"/>
  <c r="BF33" i="57" s="1"/>
  <c r="BD60" i="57" a="1"/>
  <c r="BD60" i="57" s="1"/>
  <c r="X27" i="49"/>
  <c r="W27" i="49" s="1"/>
  <c r="BJ8" i="57"/>
  <c r="BD33" i="57" a="1"/>
  <c r="BD33" i="57" s="1"/>
  <c r="BF14" i="57"/>
  <c r="BE53" i="57" s="1"/>
  <c r="BJ9" i="57"/>
  <c r="BD47" i="57" a="1"/>
  <c r="BD47" i="57" s="1"/>
  <c r="AR19" i="47"/>
  <c r="C19" i="47" s="1"/>
  <c r="BF13" i="57"/>
  <c r="BF12" i="57"/>
  <c r="BD17" i="57" a="1"/>
  <c r="BD17" i="57" s="1"/>
  <c r="BJ11" i="57"/>
  <c r="X32" i="49"/>
  <c r="W32" i="49" s="1"/>
  <c r="X31" i="47"/>
  <c r="W31" i="47" s="1"/>
  <c r="AP38" i="50" a="1"/>
  <c r="AP38" i="50" s="1"/>
  <c r="AP35" i="50" a="1"/>
  <c r="AP35" i="50" s="1"/>
  <c r="X28" i="49"/>
  <c r="W28" i="49" s="1"/>
  <c r="AK38" i="50" a="1"/>
  <c r="AK38" i="50" s="1"/>
  <c r="AM38" i="50" a="1"/>
  <c r="AM38" i="50" s="1"/>
  <c r="AK35" i="50" a="1"/>
  <c r="AK35" i="50" s="1"/>
  <c r="X29" i="47"/>
  <c r="W29" i="47" s="1"/>
  <c r="X23" i="47"/>
  <c r="W23" i="47" s="1"/>
  <c r="X30" i="49"/>
  <c r="W30" i="49" s="1"/>
  <c r="AR19" i="49"/>
  <c r="C19" i="49" s="1"/>
  <c r="X29" i="49"/>
  <c r="W29" i="49" s="1"/>
  <c r="X25" i="49"/>
  <c r="W25" i="49" s="1"/>
  <c r="X31" i="49"/>
  <c r="W31" i="49" s="1"/>
  <c r="X19" i="49"/>
  <c r="W19" i="49" s="1"/>
  <c r="X23" i="49"/>
  <c r="W23" i="49" s="1"/>
  <c r="X26" i="49"/>
  <c r="W26" i="49" s="1"/>
  <c r="X21" i="49"/>
  <c r="W21" i="49" s="1"/>
  <c r="X24" i="49"/>
  <c r="W24" i="49" s="1"/>
  <c r="AO4" i="43"/>
  <c r="A28" i="43" s="1"/>
  <c r="D28" i="43" s="1"/>
  <c r="E28" i="43" s="1"/>
  <c r="CL16" i="43"/>
  <c r="CL8" i="43"/>
  <c r="CL11" i="43"/>
  <c r="L11" i="43"/>
  <c r="K11" i="43"/>
  <c r="AU11" i="43"/>
  <c r="AV11" i="43" s="1"/>
  <c r="CL26" i="43"/>
  <c r="CL17" i="43"/>
  <c r="CL31" i="43"/>
  <c r="CL7" i="43"/>
  <c r="CL12" i="43"/>
  <c r="CL22" i="43"/>
  <c r="CL6" i="43"/>
  <c r="CL18" i="43"/>
  <c r="CL32" i="43"/>
  <c r="CL21" i="43"/>
  <c r="H27" i="59"/>
  <c r="K27" i="59"/>
  <c r="G27" i="59"/>
  <c r="V25" i="59"/>
  <c r="T25" i="59"/>
  <c r="R25" i="59"/>
  <c r="H28" i="59"/>
  <c r="G28" i="59"/>
  <c r="K28" i="59"/>
  <c r="AK30" i="60" a="1"/>
  <c r="AK30" i="60" s="1"/>
  <c r="AK33" i="60" a="1"/>
  <c r="AK33" i="60" s="1"/>
  <c r="AP30" i="60" a="1"/>
  <c r="AP30" i="60" s="1"/>
  <c r="AP33" i="60" a="1"/>
  <c r="AP33" i="60" s="1"/>
  <c r="AM33" i="60" a="1"/>
  <c r="AM33" i="60" s="1"/>
  <c r="AM30" i="60" a="1"/>
  <c r="AM30" i="60" s="1"/>
  <c r="D19" i="59"/>
  <c r="E19" i="59" s="1"/>
  <c r="X19" i="59"/>
  <c r="W19" i="59" s="1"/>
  <c r="K30" i="59"/>
  <c r="H30" i="59"/>
  <c r="G30" i="59"/>
  <c r="J30" i="59"/>
  <c r="G31" i="59"/>
  <c r="K31" i="59"/>
  <c r="J31" i="59"/>
  <c r="H31" i="59"/>
  <c r="R29" i="59"/>
  <c r="V29" i="59"/>
  <c r="T29" i="59"/>
  <c r="H25" i="59"/>
  <c r="G25" i="59"/>
  <c r="K25" i="59"/>
  <c r="J25" i="59"/>
  <c r="CL6" i="41"/>
  <c r="D25" i="59"/>
  <c r="E25" i="59" s="1"/>
  <c r="X25" i="59"/>
  <c r="W25" i="59" s="1"/>
  <c r="D31" i="59"/>
  <c r="E31" i="59" s="1"/>
  <c r="X31" i="59"/>
  <c r="W31" i="59" s="1"/>
  <c r="K24" i="59"/>
  <c r="G24" i="59"/>
  <c r="H24" i="59"/>
  <c r="V27" i="59"/>
  <c r="R27" i="59"/>
  <c r="T27" i="59"/>
  <c r="D26" i="59"/>
  <c r="E26" i="59" s="1"/>
  <c r="X26" i="59"/>
  <c r="W26" i="59" s="1"/>
  <c r="D21" i="59"/>
  <c r="E21" i="59" s="1"/>
  <c r="X21" i="59"/>
  <c r="W21" i="59" s="1"/>
  <c r="D24" i="59"/>
  <c r="E24" i="59" s="1"/>
  <c r="X24" i="59"/>
  <c r="W24" i="59" s="1"/>
  <c r="G26" i="59"/>
  <c r="H26" i="59"/>
  <c r="K26" i="59"/>
  <c r="V23" i="59"/>
  <c r="R23" i="59"/>
  <c r="T23" i="59"/>
  <c r="D32" i="59"/>
  <c r="E32" i="59" s="1"/>
  <c r="X32" i="59"/>
  <c r="W32" i="59" s="1"/>
  <c r="T24" i="59"/>
  <c r="R24" i="59"/>
  <c r="V24" i="59"/>
  <c r="D28" i="59"/>
  <c r="E28" i="59" s="1"/>
  <c r="X28" i="59"/>
  <c r="W28" i="59" s="1"/>
  <c r="V32" i="59"/>
  <c r="T32" i="59"/>
  <c r="R32" i="59"/>
  <c r="R28" i="59"/>
  <c r="T28" i="59"/>
  <c r="V28" i="59"/>
  <c r="CL11" i="45"/>
  <c r="AK35" i="60" a="1"/>
  <c r="AK35" i="60" s="1"/>
  <c r="AP35" i="60" a="1"/>
  <c r="AP35" i="60" s="1"/>
  <c r="AP38" i="60" a="1"/>
  <c r="AP38" i="60" s="1"/>
  <c r="AM38" i="60" a="1"/>
  <c r="AM38" i="60" s="1"/>
  <c r="AK38" i="60" a="1"/>
  <c r="AK38" i="60" s="1"/>
  <c r="AM35" i="60" a="1"/>
  <c r="AM35" i="60" s="1"/>
  <c r="K29" i="59"/>
  <c r="G29" i="59"/>
  <c r="H29" i="59"/>
  <c r="D30" i="59"/>
  <c r="E30" i="59" s="1"/>
  <c r="X30" i="59"/>
  <c r="W30" i="59" s="1"/>
  <c r="D29" i="59"/>
  <c r="E29" i="59" s="1"/>
  <c r="X29" i="59"/>
  <c r="W29" i="59" s="1"/>
  <c r="V26" i="59"/>
  <c r="T26" i="59"/>
  <c r="R26" i="59"/>
  <c r="T30" i="59"/>
  <c r="R30" i="59"/>
  <c r="V30" i="59"/>
  <c r="R31" i="59"/>
  <c r="T31" i="59"/>
  <c r="V31" i="59"/>
  <c r="D23" i="59"/>
  <c r="E23" i="59" s="1"/>
  <c r="X23" i="59"/>
  <c r="W23" i="59" s="1"/>
  <c r="CL13" i="43"/>
  <c r="AW23" i="59"/>
  <c r="AS23" i="59" s="1"/>
  <c r="G23" i="59"/>
  <c r="H23" i="59"/>
  <c r="K23" i="59"/>
  <c r="K32" i="59"/>
  <c r="G32" i="59"/>
  <c r="H32" i="59"/>
  <c r="J32" i="59"/>
  <c r="AR19" i="59"/>
  <c r="D27" i="59"/>
  <c r="E27" i="59" s="1"/>
  <c r="X27" i="59"/>
  <c r="W27" i="59" s="1"/>
  <c r="CL32" i="32"/>
  <c r="CL22" i="32"/>
  <c r="CL13" i="32"/>
  <c r="AP31" i="54"/>
  <c r="AP37" i="54"/>
  <c r="CL22" i="41"/>
  <c r="CL12" i="45"/>
  <c r="CL31" i="41"/>
  <c r="CL32" i="41"/>
  <c r="CL12" i="32"/>
  <c r="CL17" i="32"/>
  <c r="AP27" i="54"/>
  <c r="CL22" i="45"/>
  <c r="CL31" i="32"/>
  <c r="CL8" i="45"/>
  <c r="CL7" i="32"/>
  <c r="CL27" i="45"/>
  <c r="AP26" i="54"/>
  <c r="AP36" i="54"/>
  <c r="CL12" i="41"/>
  <c r="CL31" i="45"/>
  <c r="CL18" i="41"/>
  <c r="CL18" i="45"/>
  <c r="CL8" i="41"/>
  <c r="CL17" i="45"/>
  <c r="CL8" i="32"/>
  <c r="CL13" i="41"/>
  <c r="AV9" i="53"/>
  <c r="BK6" i="53" a="1"/>
  <c r="CL7" i="41"/>
  <c r="Q42" i="53"/>
  <c r="A20" i="53"/>
  <c r="F31" i="53"/>
  <c r="C30" i="54"/>
  <c r="Y8" i="54" s="1"/>
  <c r="U26" i="53"/>
  <c r="B24" i="53"/>
  <c r="B18" i="53"/>
  <c r="AR18" i="53" s="1"/>
  <c r="C18" i="53" s="1"/>
  <c r="B29" i="53"/>
  <c r="F25" i="53"/>
  <c r="B19" i="53"/>
  <c r="B25" i="53"/>
  <c r="C35" i="54"/>
  <c r="AD8" i="54" s="1"/>
  <c r="C38" i="54"/>
  <c r="C31" i="54"/>
  <c r="A22" i="53"/>
  <c r="AP17" i="54"/>
  <c r="U27" i="53"/>
  <c r="U30" i="53"/>
  <c r="U32" i="53"/>
  <c r="A25" i="53"/>
  <c r="D25" i="53" s="1"/>
  <c r="E25" i="53" s="1"/>
  <c r="U31" i="53"/>
  <c r="A29" i="53"/>
  <c r="D29" i="53" s="1"/>
  <c r="E29" i="53" s="1"/>
  <c r="F29" i="53"/>
  <c r="AD35" i="54"/>
  <c r="B27" i="53"/>
  <c r="B20" i="53"/>
  <c r="Y30" i="54"/>
  <c r="U24" i="53"/>
  <c r="F28" i="53"/>
  <c r="C37" i="54"/>
  <c r="AM35" i="54" s="1" a="1"/>
  <c r="AM35" i="54" s="1"/>
  <c r="B26" i="53"/>
  <c r="A27" i="53"/>
  <c r="D27" i="53" s="1"/>
  <c r="E27" i="53" s="1"/>
  <c r="A31" i="53"/>
  <c r="D31" i="53" s="1"/>
  <c r="E31" i="53" s="1"/>
  <c r="A19" i="53"/>
  <c r="D19" i="53" s="1"/>
  <c r="E19" i="53" s="1"/>
  <c r="B30" i="53"/>
  <c r="A26" i="53"/>
  <c r="D26" i="53" s="1"/>
  <c r="E26" i="53" s="1"/>
  <c r="AP16" i="54"/>
  <c r="AK8" i="54"/>
  <c r="A18" i="53"/>
  <c r="A24" i="53"/>
  <c r="D24" i="53" s="1"/>
  <c r="E24" i="53" s="1"/>
  <c r="B22" i="53"/>
  <c r="AP12" i="54"/>
  <c r="A28" i="53"/>
  <c r="D28" i="53" s="1"/>
  <c r="E28" i="53" s="1"/>
  <c r="B23" i="53"/>
  <c r="A30" i="53"/>
  <c r="D30" i="53" s="1"/>
  <c r="E30" i="53" s="1"/>
  <c r="C32" i="54"/>
  <c r="AK30" i="54" s="1" a="1"/>
  <c r="AK30" i="54" s="1"/>
  <c r="Q38" i="53"/>
  <c r="AP22" i="54"/>
  <c r="B21" i="53"/>
  <c r="B31" i="53"/>
  <c r="C36" i="54"/>
  <c r="F24" i="53"/>
  <c r="Q39" i="53"/>
  <c r="A32" i="53"/>
  <c r="D32" i="53" s="1"/>
  <c r="E32" i="53" s="1"/>
  <c r="B32" i="53"/>
  <c r="F26" i="53"/>
  <c r="AP21" i="54"/>
  <c r="C8" i="54"/>
  <c r="Q40" i="53"/>
  <c r="B28" i="53"/>
  <c r="A21" i="53"/>
  <c r="D21" i="53" s="1"/>
  <c r="E21" i="53" s="1"/>
  <c r="U29" i="53"/>
  <c r="A23" i="53"/>
  <c r="D23" i="53" s="1"/>
  <c r="E23" i="53" s="1"/>
  <c r="F32" i="53"/>
  <c r="U28" i="53"/>
  <c r="Q41" i="53"/>
  <c r="U25" i="53"/>
  <c r="F27" i="53"/>
  <c r="F30" i="53"/>
  <c r="C33" i="54"/>
  <c r="AP11" i="54"/>
  <c r="CL32" i="45"/>
  <c r="CL6" i="32"/>
  <c r="CL27" i="32"/>
  <c r="CL18" i="32"/>
  <c r="CL7" i="45"/>
  <c r="CL27" i="41"/>
  <c r="CL13" i="45"/>
  <c r="CL21" i="41"/>
  <c r="CL17" i="41"/>
  <c r="CL16" i="45"/>
  <c r="CL11" i="41"/>
  <c r="CL26" i="41"/>
  <c r="CL21" i="45"/>
  <c r="CL16" i="41"/>
  <c r="CL6" i="45"/>
  <c r="CL26" i="45"/>
  <c r="X31" i="51"/>
  <c r="W31" i="51" s="1"/>
  <c r="X27" i="51"/>
  <c r="W27" i="51" s="1"/>
  <c r="X32" i="51"/>
  <c r="W32" i="51" s="1"/>
  <c r="X19" i="51"/>
  <c r="W19" i="51" s="1"/>
  <c r="X25" i="51"/>
  <c r="W25" i="51" s="1"/>
  <c r="X26" i="51"/>
  <c r="W26" i="51" s="1"/>
  <c r="X29" i="51"/>
  <c r="W29" i="51" s="1"/>
  <c r="X30" i="51"/>
  <c r="W30" i="51" s="1"/>
  <c r="X28" i="51"/>
  <c r="W28" i="51" s="1"/>
  <c r="X24" i="51"/>
  <c r="W24" i="51" s="1"/>
  <c r="X21" i="51"/>
  <c r="W21" i="51" s="1"/>
  <c r="X23" i="51"/>
  <c r="W23" i="51" s="1"/>
  <c r="CL21" i="32"/>
  <c r="CL26" i="32"/>
  <c r="CL16" i="32"/>
  <c r="CL11" i="32"/>
  <c r="V31" i="51"/>
  <c r="T31" i="51"/>
  <c r="R31" i="51"/>
  <c r="K28" i="51"/>
  <c r="H28" i="51"/>
  <c r="G28" i="51"/>
  <c r="AU28" i="51" a="1"/>
  <c r="AU28" i="51" s="1"/>
  <c r="AS28" i="51" s="1"/>
  <c r="AV28" i="51" a="1"/>
  <c r="AV28" i="51" s="1"/>
  <c r="AT28" i="51" s="1"/>
  <c r="T27" i="51"/>
  <c r="V27" i="51"/>
  <c r="R27" i="51"/>
  <c r="T26" i="51"/>
  <c r="V26" i="51"/>
  <c r="R26" i="51"/>
  <c r="K29" i="51"/>
  <c r="H29" i="51"/>
  <c r="AU29" i="51" a="1"/>
  <c r="AU29" i="51" s="1"/>
  <c r="AS29" i="51" s="1"/>
  <c r="AV29" i="51" a="1"/>
  <c r="AV29" i="51" s="1"/>
  <c r="AT29" i="51" s="1"/>
  <c r="G29" i="51"/>
  <c r="V29" i="51"/>
  <c r="T29" i="51"/>
  <c r="R29" i="51"/>
  <c r="V30" i="51"/>
  <c r="R30" i="51"/>
  <c r="T30" i="51"/>
  <c r="T25" i="51"/>
  <c r="V25" i="51"/>
  <c r="R25" i="51"/>
  <c r="H24" i="51"/>
  <c r="G24" i="51"/>
  <c r="K24" i="51"/>
  <c r="AV24" i="51" a="1"/>
  <c r="AV24" i="51" s="1"/>
  <c r="AT24" i="51" s="1"/>
  <c r="AU24" i="51" a="1"/>
  <c r="AU24" i="51" s="1"/>
  <c r="AS24" i="51" s="1"/>
  <c r="H26" i="51"/>
  <c r="AU26" i="51" a="1"/>
  <c r="AU26" i="51" s="1"/>
  <c r="AS26" i="51" s="1"/>
  <c r="G26" i="51"/>
  <c r="AV26" i="51" a="1"/>
  <c r="AV26" i="51" s="1"/>
  <c r="AT26" i="51" s="1"/>
  <c r="K26" i="51"/>
  <c r="AK30" i="52" a="1"/>
  <c r="AK30" i="52" s="1"/>
  <c r="AM33" i="52" a="1"/>
  <c r="AM33" i="52" s="1"/>
  <c r="AK33" i="52" a="1"/>
  <c r="AK33" i="52" s="1"/>
  <c r="AM30" i="52" a="1"/>
  <c r="AM30" i="52" s="1"/>
  <c r="AP30" i="52" a="1"/>
  <c r="AP30" i="52" s="1"/>
  <c r="AP33" i="52" a="1"/>
  <c r="AP33" i="52" s="1"/>
  <c r="V28" i="51"/>
  <c r="T28" i="51"/>
  <c r="R28" i="51"/>
  <c r="AV27" i="51" a="1"/>
  <c r="AV27" i="51" s="1"/>
  <c r="AT27" i="51" s="1"/>
  <c r="K27" i="51"/>
  <c r="H27" i="51"/>
  <c r="G27" i="51"/>
  <c r="AU27" i="51" a="1"/>
  <c r="AU27" i="51" s="1"/>
  <c r="AS27" i="51" s="1"/>
  <c r="AU25" i="51" a="1"/>
  <c r="AU25" i="51" s="1"/>
  <c r="AS25" i="51" s="1"/>
  <c r="AV25" i="51" a="1"/>
  <c r="AV25" i="51" s="1"/>
  <c r="AT25" i="51" s="1"/>
  <c r="G25" i="51"/>
  <c r="J25" i="51"/>
  <c r="K25" i="51"/>
  <c r="H25" i="51"/>
  <c r="AU32" i="51" a="1"/>
  <c r="AU32" i="51" s="1"/>
  <c r="AS32" i="51" s="1"/>
  <c r="J32" i="51"/>
  <c r="AV32" i="51" a="1"/>
  <c r="AV32" i="51" s="1"/>
  <c r="AT32" i="51" s="1"/>
  <c r="K32" i="51"/>
  <c r="H32" i="51"/>
  <c r="G32" i="51"/>
  <c r="AK38" i="52" a="1"/>
  <c r="AK38" i="52" s="1"/>
  <c r="AK35" i="52" a="1"/>
  <c r="AK35" i="52" s="1"/>
  <c r="AM35" i="52" a="1"/>
  <c r="AM35" i="52" s="1"/>
  <c r="AP38" i="52" a="1"/>
  <c r="AP38" i="52" s="1"/>
  <c r="AP35" i="52" a="1"/>
  <c r="AP35" i="52" s="1"/>
  <c r="AM38" i="52" a="1"/>
  <c r="AM38" i="52" s="1"/>
  <c r="H30" i="51"/>
  <c r="J30" i="51"/>
  <c r="AU30" i="51" a="1"/>
  <c r="AU30" i="51" s="1"/>
  <c r="AS30" i="51" s="1"/>
  <c r="G30" i="51"/>
  <c r="AV30" i="51" a="1"/>
  <c r="AV30" i="51" s="1"/>
  <c r="AT30" i="51" s="1"/>
  <c r="K30" i="51"/>
  <c r="AR19" i="51"/>
  <c r="R32" i="51"/>
  <c r="V32" i="51"/>
  <c r="T32" i="51"/>
  <c r="G31" i="51"/>
  <c r="AU31" i="51" a="1"/>
  <c r="AU31" i="51" s="1"/>
  <c r="AS31" i="51" s="1"/>
  <c r="AV31" i="51" a="1"/>
  <c r="AV31" i="51" s="1"/>
  <c r="AT31" i="51" s="1"/>
  <c r="J31" i="51"/>
  <c r="H31" i="51"/>
  <c r="K31" i="51"/>
  <c r="T24" i="51"/>
  <c r="V24" i="51"/>
  <c r="R24" i="51"/>
  <c r="AV10" i="41"/>
  <c r="K11" i="41"/>
  <c r="AU11" i="41"/>
  <c r="AV11" i="41" s="1"/>
  <c r="L11" i="41"/>
  <c r="AO4" i="41"/>
  <c r="AP36" i="42" s="1"/>
  <c r="AV11" i="39"/>
  <c r="BK6" i="39" a="1"/>
  <c r="AP37" i="40"/>
  <c r="A23" i="39"/>
  <c r="D23" i="39" s="1"/>
  <c r="E23" i="39" s="1"/>
  <c r="B26" i="39"/>
  <c r="B18" i="39"/>
  <c r="AR18" i="39" s="1"/>
  <c r="C18" i="39" s="1"/>
  <c r="B27" i="39"/>
  <c r="Q42" i="39"/>
  <c r="C35" i="40"/>
  <c r="AD8" i="40" s="1"/>
  <c r="C37" i="40"/>
  <c r="B21" i="39"/>
  <c r="B23" i="39"/>
  <c r="Q41" i="39"/>
  <c r="AP32" i="40"/>
  <c r="B25" i="39"/>
  <c r="A29" i="39"/>
  <c r="D29" i="39" s="1"/>
  <c r="E29" i="39" s="1"/>
  <c r="AP16" i="40"/>
  <c r="C36" i="40"/>
  <c r="Q40" i="39"/>
  <c r="AP12" i="40"/>
  <c r="A30" i="39"/>
  <c r="D30" i="39" s="1"/>
  <c r="E30" i="39" s="1"/>
  <c r="A28" i="39"/>
  <c r="D28" i="39" s="1"/>
  <c r="E28" i="39" s="1"/>
  <c r="B19" i="39"/>
  <c r="Q39" i="39"/>
  <c r="A31" i="39"/>
  <c r="D31" i="39" s="1"/>
  <c r="E31" i="39" s="1"/>
  <c r="A32" i="39"/>
  <c r="D32" i="39" s="1"/>
  <c r="E32" i="39" s="1"/>
  <c r="A25" i="39"/>
  <c r="D25" i="39" s="1"/>
  <c r="E25" i="39" s="1"/>
  <c r="B32" i="39"/>
  <c r="Q38" i="39"/>
  <c r="A20" i="39"/>
  <c r="AP17" i="40"/>
  <c r="A18" i="39"/>
  <c r="AP36" i="40"/>
  <c r="AP27" i="40"/>
  <c r="C33" i="40"/>
  <c r="Y30" i="40" s="1"/>
  <c r="A26" i="39"/>
  <c r="D26" i="39" s="1"/>
  <c r="E26" i="39" s="1"/>
  <c r="B30" i="39"/>
  <c r="A22" i="39"/>
  <c r="A19" i="39"/>
  <c r="D19" i="39" s="1"/>
  <c r="E19" i="39" s="1"/>
  <c r="AP22" i="40"/>
  <c r="AP21" i="40"/>
  <c r="A27" i="39"/>
  <c r="D27" i="39" s="1"/>
  <c r="E27" i="39" s="1"/>
  <c r="B28" i="39"/>
  <c r="B24" i="39"/>
  <c r="B29" i="39"/>
  <c r="AP31" i="40"/>
  <c r="A24" i="39"/>
  <c r="D24" i="39" s="1"/>
  <c r="E24" i="39" s="1"/>
  <c r="B20" i="39"/>
  <c r="AP11" i="40"/>
  <c r="C38" i="40"/>
  <c r="AD35" i="40" s="1"/>
  <c r="C8" i="40"/>
  <c r="A21" i="39"/>
  <c r="D21" i="39" s="1"/>
  <c r="E21" i="39" s="1"/>
  <c r="C32" i="40"/>
  <c r="AK8" i="40"/>
  <c r="AP26" i="40"/>
  <c r="B31" i="39"/>
  <c r="B22" i="39"/>
  <c r="C30" i="40"/>
  <c r="Y8" i="40" s="1"/>
  <c r="C31" i="40"/>
  <c r="BD33" i="59" a="1"/>
  <c r="BD33" i="59" s="1"/>
  <c r="BF13" i="59"/>
  <c r="BG14" i="59"/>
  <c r="BE53" i="59" s="1"/>
  <c r="BE33" i="59" a="1"/>
  <c r="BE33" i="59" s="1"/>
  <c r="BG12" i="59"/>
  <c r="BD17" i="59" a="1"/>
  <c r="BD17" i="59" s="1"/>
  <c r="BD10" i="59"/>
  <c r="BJ10" i="59" s="1"/>
  <c r="BG13" i="59"/>
  <c r="BJ9" i="59"/>
  <c r="BD11" i="59"/>
  <c r="BJ11" i="59" s="1"/>
  <c r="BD7" i="59"/>
  <c r="BJ7" i="59" s="1"/>
  <c r="BI12" i="59"/>
  <c r="BE17" i="59" a="1"/>
  <c r="BE17" i="59" s="1"/>
  <c r="BD47" i="59" a="1"/>
  <c r="BD47" i="59" s="1"/>
  <c r="BD8" i="59"/>
  <c r="BJ8" i="59" s="1"/>
  <c r="BF12" i="59"/>
  <c r="BD11" i="55"/>
  <c r="C19" i="55"/>
  <c r="AR20" i="55"/>
  <c r="BD8" i="55"/>
  <c r="BD7" i="55"/>
  <c r="BD9" i="55"/>
  <c r="BF9" i="51"/>
  <c r="BK6" i="51"/>
  <c r="BE8" i="51"/>
  <c r="BE11" i="51"/>
  <c r="BG11" i="51"/>
  <c r="BF11" i="51"/>
  <c r="BH11" i="51"/>
  <c r="BF10" i="51"/>
  <c r="BG10" i="51"/>
  <c r="BE10" i="51"/>
  <c r="BE9" i="51"/>
  <c r="AO4" i="45"/>
  <c r="BJ7" i="57"/>
  <c r="BE15" i="57"/>
  <c r="BC60" i="57" a="1"/>
  <c r="BC60" i="57" s="1"/>
  <c r="BC33" i="57" a="1"/>
  <c r="BC33" i="57" s="1"/>
  <c r="BC17" i="57" a="1"/>
  <c r="BC17" i="57" s="1"/>
  <c r="BE12" i="57"/>
  <c r="BC26" i="57" s="1"/>
  <c r="BE13" i="57"/>
  <c r="BE14" i="57"/>
  <c r="BD53" i="57" s="1"/>
  <c r="BC47" i="57" a="1"/>
  <c r="BC47" i="57" s="1"/>
  <c r="AV10" i="45"/>
  <c r="K11" i="45"/>
  <c r="L11" i="45"/>
  <c r="AU11" i="45"/>
  <c r="AV11" i="45" s="1"/>
  <c r="AW9" i="45"/>
  <c r="AW10" i="45" s="1"/>
  <c r="BF9" i="49"/>
  <c r="BE8" i="49"/>
  <c r="BE10" i="49"/>
  <c r="BH11" i="49"/>
  <c r="BE11" i="49"/>
  <c r="BK6" i="49"/>
  <c r="BE9" i="49"/>
  <c r="BG10" i="49"/>
  <c r="BF10" i="49"/>
  <c r="BF11" i="49"/>
  <c r="BG11" i="49"/>
  <c r="BG10" i="47"/>
  <c r="BK6" i="47"/>
  <c r="BD8" i="47" s="1"/>
  <c r="BH11" i="47"/>
  <c r="BE8" i="47"/>
  <c r="BE10" i="47"/>
  <c r="BF9" i="47"/>
  <c r="BF10" i="47"/>
  <c r="BG11" i="47"/>
  <c r="BF11" i="47"/>
  <c r="BE11" i="47"/>
  <c r="BE9" i="47"/>
  <c r="BF17" i="59" l="1" a="1"/>
  <c r="BF17" i="59" s="1"/>
  <c r="BH13" i="59"/>
  <c r="AR21" i="57"/>
  <c r="BH12" i="59"/>
  <c r="BF14" i="55"/>
  <c r="BE40" i="57"/>
  <c r="AP17" i="44"/>
  <c r="Q38" i="43"/>
  <c r="AW11" i="43"/>
  <c r="BD60" i="55" a="1"/>
  <c r="BD60" i="55" s="1"/>
  <c r="BJ8" i="55"/>
  <c r="BJ9" i="55"/>
  <c r="BG14" i="55"/>
  <c r="BE33" i="55" a="1"/>
  <c r="BE33" i="55" s="1"/>
  <c r="BD47" i="55" a="1"/>
  <c r="BD47" i="55" s="1"/>
  <c r="BG13" i="55"/>
  <c r="BD17" i="55" a="1"/>
  <c r="BD17" i="55" s="1"/>
  <c r="BF13" i="55"/>
  <c r="BD33" i="55" a="1"/>
  <c r="BD33" i="55" s="1"/>
  <c r="AR20" i="49"/>
  <c r="C20" i="49" s="1"/>
  <c r="BH12" i="55"/>
  <c r="BD26" i="57"/>
  <c r="BD27" i="57" s="1"/>
  <c r="BF12" i="55"/>
  <c r="BE26" i="57"/>
  <c r="BE27" i="57" s="1"/>
  <c r="BF17" i="55" a="1"/>
  <c r="BF17" i="55" s="1"/>
  <c r="BF33" i="55" a="1"/>
  <c r="BF33" i="55" s="1"/>
  <c r="BJ10" i="55"/>
  <c r="BH13" i="55"/>
  <c r="BE17" i="55" a="1"/>
  <c r="BE17" i="55" s="1"/>
  <c r="BI12" i="55"/>
  <c r="AR20" i="47"/>
  <c r="C20" i="47" s="1"/>
  <c r="BG12" i="55"/>
  <c r="BJ11" i="55"/>
  <c r="AP11" i="44"/>
  <c r="AP27" i="44"/>
  <c r="A25" i="43"/>
  <c r="D25" i="43" s="1"/>
  <c r="E25" i="43" s="1"/>
  <c r="A24" i="43"/>
  <c r="D24" i="43" s="1"/>
  <c r="E24" i="43" s="1"/>
  <c r="Q40" i="43"/>
  <c r="AP16" i="44"/>
  <c r="Q41" i="43"/>
  <c r="B23" i="43"/>
  <c r="A30" i="43"/>
  <c r="D30" i="43" s="1"/>
  <c r="E30" i="43" s="1"/>
  <c r="B20" i="43"/>
  <c r="A22" i="43"/>
  <c r="AP26" i="44"/>
  <c r="B30" i="43"/>
  <c r="C38" i="44"/>
  <c r="AD35" i="44" s="1"/>
  <c r="A27" i="43"/>
  <c r="D27" i="43" s="1"/>
  <c r="E27" i="43" s="1"/>
  <c r="A20" i="43"/>
  <c r="AP21" i="44"/>
  <c r="AP22" i="44"/>
  <c r="C35" i="44"/>
  <c r="AD8" i="44" s="1"/>
  <c r="C33" i="44"/>
  <c r="Y30" i="44" s="1"/>
  <c r="B21" i="43"/>
  <c r="A31" i="43"/>
  <c r="D31" i="43" s="1"/>
  <c r="E31" i="43" s="1"/>
  <c r="B27" i="43"/>
  <c r="B29" i="43"/>
  <c r="A32" i="43"/>
  <c r="D32" i="43" s="1"/>
  <c r="E32" i="43" s="1"/>
  <c r="B22" i="43"/>
  <c r="Q42" i="43"/>
  <c r="A19" i="43"/>
  <c r="D19" i="43" s="1"/>
  <c r="E19" i="43" s="1"/>
  <c r="B19" i="43"/>
  <c r="AP32" i="44"/>
  <c r="C36" i="44"/>
  <c r="AP31" i="44"/>
  <c r="B24" i="43"/>
  <c r="AP36" i="44"/>
  <c r="C30" i="44"/>
  <c r="Y8" i="44" s="1"/>
  <c r="AP12" i="44"/>
  <c r="A21" i="43"/>
  <c r="D21" i="43" s="1"/>
  <c r="E21" i="43" s="1"/>
  <c r="B31" i="43"/>
  <c r="B26" i="43"/>
  <c r="C37" i="44"/>
  <c r="AK8" i="44"/>
  <c r="A29" i="43"/>
  <c r="D29" i="43" s="1"/>
  <c r="E29" i="43" s="1"/>
  <c r="B28" i="43"/>
  <c r="A23" i="43"/>
  <c r="D23" i="43" s="1"/>
  <c r="E23" i="43" s="1"/>
  <c r="AP37" i="44"/>
  <c r="C8" i="44"/>
  <c r="C32" i="44"/>
  <c r="A18" i="43"/>
  <c r="A26" i="43"/>
  <c r="D26" i="43" s="1"/>
  <c r="E26" i="43" s="1"/>
  <c r="B18" i="43"/>
  <c r="AR18" i="43" s="1"/>
  <c r="C18" i="43" s="1"/>
  <c r="Q39" i="43"/>
  <c r="C31" i="44"/>
  <c r="B32" i="43"/>
  <c r="B25" i="43"/>
  <c r="BK6" i="43" a="1"/>
  <c r="BG10" i="43" s="1"/>
  <c r="BH13" i="43" s="1"/>
  <c r="C19" i="59"/>
  <c r="AR20" i="59"/>
  <c r="AM30" i="54" a="1"/>
  <c r="AM30" i="54" s="1"/>
  <c r="AK38" i="54" a="1"/>
  <c r="AK38" i="54" s="1"/>
  <c r="AM38" i="54" a="1"/>
  <c r="AM38" i="54" s="1"/>
  <c r="AR19" i="53"/>
  <c r="C19" i="53" s="1"/>
  <c r="H29" i="53"/>
  <c r="G29" i="53"/>
  <c r="K29" i="53"/>
  <c r="BG10" i="53"/>
  <c r="BE10" i="53"/>
  <c r="BF9" i="53"/>
  <c r="BF10" i="53"/>
  <c r="BH11" i="53"/>
  <c r="BE8" i="53"/>
  <c r="BG11" i="53"/>
  <c r="BE11" i="53"/>
  <c r="BF11" i="53"/>
  <c r="BE9" i="53"/>
  <c r="BK6" i="53"/>
  <c r="BD11" i="53" s="1"/>
  <c r="AP33" i="54" a="1"/>
  <c r="AP33" i="54" s="1"/>
  <c r="AP30" i="54" a="1"/>
  <c r="AP30" i="54" s="1"/>
  <c r="X19" i="53"/>
  <c r="W19" i="53" s="1"/>
  <c r="X29" i="53"/>
  <c r="W29" i="53" s="1"/>
  <c r="G30" i="53"/>
  <c r="K30" i="53"/>
  <c r="H30" i="53"/>
  <c r="J30" i="53"/>
  <c r="X30" i="53"/>
  <c r="W30" i="53" s="1"/>
  <c r="X31" i="53"/>
  <c r="W31" i="53" s="1"/>
  <c r="R31" i="53"/>
  <c r="V31" i="53"/>
  <c r="T31" i="53"/>
  <c r="G25" i="53"/>
  <c r="K25" i="53"/>
  <c r="J25" i="53"/>
  <c r="H25" i="53"/>
  <c r="H27" i="53"/>
  <c r="G27" i="53"/>
  <c r="K27" i="53"/>
  <c r="G26" i="53"/>
  <c r="H26" i="53"/>
  <c r="K26" i="53"/>
  <c r="X27" i="53"/>
  <c r="W27" i="53" s="1"/>
  <c r="X25" i="53"/>
  <c r="W25" i="53" s="1"/>
  <c r="V25" i="53"/>
  <c r="R25" i="53"/>
  <c r="T25" i="53"/>
  <c r="X28" i="53"/>
  <c r="W28" i="53" s="1"/>
  <c r="V32" i="53"/>
  <c r="R32" i="53"/>
  <c r="T32" i="53"/>
  <c r="AM33" i="54" a="1"/>
  <c r="AM33" i="54" s="1"/>
  <c r="X32" i="53"/>
  <c r="W32" i="53" s="1"/>
  <c r="AK35" i="54" a="1"/>
  <c r="AK35" i="54" s="1"/>
  <c r="AP35" i="54" a="1"/>
  <c r="AP35" i="54" s="1"/>
  <c r="AP38" i="54" a="1"/>
  <c r="AP38" i="54" s="1"/>
  <c r="T30" i="53"/>
  <c r="V30" i="53"/>
  <c r="R30" i="53"/>
  <c r="R28" i="53"/>
  <c r="V28" i="53"/>
  <c r="T28" i="53"/>
  <c r="G28" i="53"/>
  <c r="K28" i="53"/>
  <c r="H28" i="53"/>
  <c r="R27" i="53"/>
  <c r="T27" i="53"/>
  <c r="V27" i="53"/>
  <c r="V26" i="53"/>
  <c r="R26" i="53"/>
  <c r="T26" i="53"/>
  <c r="AK33" i="54" a="1"/>
  <c r="AK33" i="54" s="1"/>
  <c r="J32" i="53"/>
  <c r="K32" i="53"/>
  <c r="G32" i="53"/>
  <c r="H32" i="53"/>
  <c r="K24" i="53"/>
  <c r="G24" i="53"/>
  <c r="H24" i="53"/>
  <c r="X24" i="53"/>
  <c r="W24" i="53" s="1"/>
  <c r="V24" i="53"/>
  <c r="T24" i="53"/>
  <c r="R24" i="53"/>
  <c r="X23" i="53"/>
  <c r="W23" i="53" s="1"/>
  <c r="G31" i="53"/>
  <c r="J31" i="53"/>
  <c r="K31" i="53"/>
  <c r="H31" i="53"/>
  <c r="V29" i="53"/>
  <c r="R29" i="53"/>
  <c r="T29" i="53"/>
  <c r="X21" i="53"/>
  <c r="W21" i="53" s="1"/>
  <c r="X26" i="53"/>
  <c r="W26" i="53" s="1"/>
  <c r="X19" i="39"/>
  <c r="W19" i="39" s="1"/>
  <c r="X25" i="39"/>
  <c r="W25" i="39" s="1"/>
  <c r="X26" i="39"/>
  <c r="W26" i="39" s="1"/>
  <c r="X31" i="39"/>
  <c r="W31" i="39" s="1"/>
  <c r="X24" i="39"/>
  <c r="W24" i="39" s="1"/>
  <c r="X30" i="39"/>
  <c r="W30" i="39" s="1"/>
  <c r="X28" i="43"/>
  <c r="W28" i="43" s="1"/>
  <c r="X27" i="39"/>
  <c r="W27" i="39" s="1"/>
  <c r="X28" i="39"/>
  <c r="W28" i="39" s="1"/>
  <c r="X32" i="39"/>
  <c r="W32" i="39" s="1"/>
  <c r="X21" i="39"/>
  <c r="W21" i="39" s="1"/>
  <c r="X29" i="39"/>
  <c r="W29" i="39" s="1"/>
  <c r="X23" i="39"/>
  <c r="W23" i="39" s="1"/>
  <c r="AP32" i="42"/>
  <c r="C19" i="51"/>
  <c r="AR20" i="51"/>
  <c r="AP31" i="42"/>
  <c r="AP27" i="42"/>
  <c r="AW11" i="41"/>
  <c r="BK6" i="39"/>
  <c r="BD9" i="39" s="1"/>
  <c r="BE11" i="39"/>
  <c r="BH11" i="39"/>
  <c r="BG10" i="39"/>
  <c r="BE8" i="39"/>
  <c r="BE9" i="39"/>
  <c r="BE10" i="39"/>
  <c r="BG11" i="39"/>
  <c r="BF10" i="39"/>
  <c r="BF11" i="39"/>
  <c r="BF9" i="39"/>
  <c r="A32" i="41"/>
  <c r="D32" i="41" s="1"/>
  <c r="E32" i="41" s="1"/>
  <c r="C38" i="42"/>
  <c r="AD35" i="42" s="1"/>
  <c r="B29" i="41"/>
  <c r="A25" i="41"/>
  <c r="D25" i="41" s="1"/>
  <c r="E25" i="41" s="1"/>
  <c r="C35" i="42"/>
  <c r="AD8" i="42" s="1"/>
  <c r="A28" i="41"/>
  <c r="D28" i="41" s="1"/>
  <c r="E28" i="41" s="1"/>
  <c r="C33" i="42"/>
  <c r="Y30" i="42" s="1"/>
  <c r="A22" i="41"/>
  <c r="AP21" i="42"/>
  <c r="B25" i="41"/>
  <c r="B27" i="41"/>
  <c r="B24" i="41"/>
  <c r="A21" i="41"/>
  <c r="D21" i="41" s="1"/>
  <c r="E21" i="41" s="1"/>
  <c r="C36" i="42"/>
  <c r="B22" i="41"/>
  <c r="AP16" i="42"/>
  <c r="Q42" i="41"/>
  <c r="B23" i="41"/>
  <c r="C31" i="42"/>
  <c r="B18" i="41"/>
  <c r="AR18" i="41" s="1"/>
  <c r="C18" i="41" s="1"/>
  <c r="C32" i="42"/>
  <c r="AP11" i="42"/>
  <c r="B32" i="41"/>
  <c r="Q41" i="41"/>
  <c r="C30" i="42"/>
  <c r="Y8" i="42" s="1"/>
  <c r="Q40" i="41"/>
  <c r="B31" i="41"/>
  <c r="B19" i="41"/>
  <c r="C37" i="42"/>
  <c r="C8" i="42"/>
  <c r="Q39" i="41"/>
  <c r="A31" i="41"/>
  <c r="D31" i="41" s="1"/>
  <c r="E31" i="41" s="1"/>
  <c r="AP22" i="42"/>
  <c r="A27" i="41"/>
  <c r="D27" i="41" s="1"/>
  <c r="E27" i="41" s="1"/>
  <c r="B28" i="41"/>
  <c r="Q38" i="41"/>
  <c r="A26" i="41"/>
  <c r="D26" i="41" s="1"/>
  <c r="E26" i="41" s="1"/>
  <c r="B30" i="41"/>
  <c r="B20" i="41"/>
  <c r="A24" i="41"/>
  <c r="D24" i="41" s="1"/>
  <c r="E24" i="41" s="1"/>
  <c r="AP17" i="42"/>
  <c r="A30" i="41"/>
  <c r="D30" i="41" s="1"/>
  <c r="E30" i="41" s="1"/>
  <c r="A18" i="41"/>
  <c r="B26" i="41"/>
  <c r="A29" i="41"/>
  <c r="D29" i="41" s="1"/>
  <c r="E29" i="41" s="1"/>
  <c r="A20" i="41"/>
  <c r="A19" i="41"/>
  <c r="D19" i="41" s="1"/>
  <c r="E19" i="41" s="1"/>
  <c r="AK8" i="42"/>
  <c r="A23" i="41"/>
  <c r="D23" i="41" s="1"/>
  <c r="E23" i="41" s="1"/>
  <c r="AP12" i="42"/>
  <c r="B21" i="41"/>
  <c r="AP37" i="42"/>
  <c r="AP26" i="42"/>
  <c r="AR19" i="39"/>
  <c r="BK6" i="41" a="1"/>
  <c r="BD26" i="59"/>
  <c r="AP31" i="46"/>
  <c r="Q42" i="45"/>
  <c r="Q40" i="45"/>
  <c r="Q39" i="45"/>
  <c r="Q38" i="45"/>
  <c r="Q41" i="45"/>
  <c r="BE53" i="55"/>
  <c r="BC47" i="59" a="1"/>
  <c r="BC47" i="59" s="1"/>
  <c r="BE54" i="59" s="1"/>
  <c r="BC60" i="59" a="1"/>
  <c r="BC60" i="59" s="1"/>
  <c r="BE26" i="59"/>
  <c r="BE13" i="59"/>
  <c r="BD40" i="59" s="1"/>
  <c r="BE15" i="59"/>
  <c r="BD65" i="59" s="1"/>
  <c r="BE40" i="59"/>
  <c r="BE12" i="59"/>
  <c r="BC26" i="59" s="1"/>
  <c r="BG26" i="59" s="1"/>
  <c r="BG25" i="59" s="1"/>
  <c r="BC33" i="59" a="1"/>
  <c r="BC33" i="59" s="1"/>
  <c r="BC17" i="59" a="1"/>
  <c r="BC17" i="59" s="1"/>
  <c r="BE14" i="59"/>
  <c r="BD53" i="59" s="1"/>
  <c r="BD52" i="59" s="1"/>
  <c r="BE52" i="59" s="1"/>
  <c r="BE15" i="55"/>
  <c r="BD65" i="55" s="1"/>
  <c r="BE14" i="55"/>
  <c r="BD53" i="55" s="1"/>
  <c r="BD52" i="55" s="1"/>
  <c r="BE12" i="55"/>
  <c r="BC26" i="55" s="1"/>
  <c r="BG26" i="55" s="1"/>
  <c r="BG25" i="55" s="1"/>
  <c r="BC33" i="55" a="1"/>
  <c r="BC33" i="55" s="1"/>
  <c r="BJ7" i="55"/>
  <c r="BC47" i="55" a="1"/>
  <c r="BC47" i="55" s="1"/>
  <c r="BE13" i="55"/>
  <c r="BC40" i="55" s="1"/>
  <c r="BG40" i="55" s="1"/>
  <c r="BG39" i="55" s="1"/>
  <c r="BC17" i="55" a="1"/>
  <c r="BC17" i="55" s="1"/>
  <c r="BC60" i="55" a="1"/>
  <c r="BC60" i="55" s="1"/>
  <c r="AR21" i="55"/>
  <c r="C20" i="55"/>
  <c r="BD60" i="51" a="1"/>
  <c r="BD60" i="51" s="1"/>
  <c r="BF14" i="51"/>
  <c r="BD33" i="51" a="1"/>
  <c r="BD33" i="51" s="1"/>
  <c r="BF12" i="51"/>
  <c r="BD47" i="51" a="1"/>
  <c r="BD47" i="51" s="1"/>
  <c r="BF15" i="51"/>
  <c r="BF13" i="51"/>
  <c r="BD17" i="51" a="1"/>
  <c r="BD17" i="51" s="1"/>
  <c r="BD10" i="51"/>
  <c r="BJ10" i="51" s="1"/>
  <c r="BD11" i="51"/>
  <c r="BJ11" i="51" s="1"/>
  <c r="BD7" i="51"/>
  <c r="BD8" i="51"/>
  <c r="BJ8" i="51" s="1"/>
  <c r="BD9" i="51"/>
  <c r="BJ9" i="51" s="1"/>
  <c r="BE47" i="51" a="1"/>
  <c r="BE47" i="51" s="1"/>
  <c r="BG14" i="51"/>
  <c r="BG12" i="51"/>
  <c r="BE17" i="51" a="1"/>
  <c r="BE17" i="51" s="1"/>
  <c r="BG13" i="51"/>
  <c r="BE33" i="51" a="1"/>
  <c r="BE33" i="51" s="1"/>
  <c r="BF33" i="51" a="1"/>
  <c r="BF33" i="51" s="1"/>
  <c r="BH13" i="51"/>
  <c r="BH12" i="51"/>
  <c r="BF17" i="51" a="1"/>
  <c r="BF17" i="51" s="1"/>
  <c r="BI12" i="51"/>
  <c r="BG17" i="51" a="1"/>
  <c r="BG17" i="51" s="1"/>
  <c r="BE54" i="57"/>
  <c r="BE41" i="57"/>
  <c r="AP27" i="46"/>
  <c r="AP32" i="46"/>
  <c r="AP26" i="46"/>
  <c r="C21" i="57"/>
  <c r="AR22" i="57"/>
  <c r="AW11" i="45"/>
  <c r="BG26" i="57"/>
  <c r="BG25" i="57" s="1"/>
  <c r="BC27" i="57"/>
  <c r="BE65" i="57"/>
  <c r="BE66" i="57" s="1"/>
  <c r="BD65" i="57"/>
  <c r="AP37" i="46"/>
  <c r="C38" i="46"/>
  <c r="AD35" i="46" s="1"/>
  <c r="B31" i="45"/>
  <c r="C35" i="46"/>
  <c r="AD8" i="46" s="1"/>
  <c r="AP21" i="46"/>
  <c r="C30" i="46"/>
  <c r="Y8" i="46" s="1"/>
  <c r="A23" i="45"/>
  <c r="D23" i="45" s="1"/>
  <c r="E23" i="45" s="1"/>
  <c r="A27" i="45"/>
  <c r="D27" i="45" s="1"/>
  <c r="E27" i="45" s="1"/>
  <c r="AP12" i="46"/>
  <c r="A30" i="45"/>
  <c r="D30" i="45" s="1"/>
  <c r="E30" i="45" s="1"/>
  <c r="A26" i="45"/>
  <c r="D26" i="45" s="1"/>
  <c r="E26" i="45" s="1"/>
  <c r="C37" i="46"/>
  <c r="C31" i="46"/>
  <c r="C32" i="46"/>
  <c r="A25" i="45"/>
  <c r="D25" i="45" s="1"/>
  <c r="E25" i="45" s="1"/>
  <c r="AP22" i="46"/>
  <c r="B26" i="45"/>
  <c r="A32" i="45"/>
  <c r="D32" i="45" s="1"/>
  <c r="E32" i="45" s="1"/>
  <c r="C8" i="46"/>
  <c r="AP17" i="46"/>
  <c r="A22" i="45"/>
  <c r="A19" i="45"/>
  <c r="D19" i="45" s="1"/>
  <c r="E19" i="45" s="1"/>
  <c r="B21" i="45"/>
  <c r="B27" i="45"/>
  <c r="B20" i="45"/>
  <c r="C36" i="46"/>
  <c r="C33" i="46"/>
  <c r="Y30" i="46" s="1"/>
  <c r="B19" i="45"/>
  <c r="A29" i="45"/>
  <c r="D29" i="45" s="1"/>
  <c r="E29" i="45" s="1"/>
  <c r="B23" i="45"/>
  <c r="B18" i="45"/>
  <c r="AR18" i="45" s="1"/>
  <c r="C18" i="45" s="1"/>
  <c r="AP16" i="46"/>
  <c r="AP11" i="46"/>
  <c r="A24" i="45"/>
  <c r="D24" i="45" s="1"/>
  <c r="E24" i="45" s="1"/>
  <c r="B24" i="45"/>
  <c r="A31" i="45"/>
  <c r="D31" i="45" s="1"/>
  <c r="E31" i="45" s="1"/>
  <c r="B29" i="45"/>
  <c r="A28" i="45"/>
  <c r="D28" i="45" s="1"/>
  <c r="E28" i="45" s="1"/>
  <c r="A20" i="45"/>
  <c r="AK8" i="46"/>
  <c r="A18" i="45"/>
  <c r="B22" i="45"/>
  <c r="B25" i="45"/>
  <c r="B32" i="45"/>
  <c r="B28" i="45"/>
  <c r="A21" i="45"/>
  <c r="D21" i="45" s="1"/>
  <c r="E21" i="45" s="1"/>
  <c r="B30" i="45"/>
  <c r="BK6" i="45" a="1"/>
  <c r="BD52" i="57"/>
  <c r="BE52" i="57" s="1"/>
  <c r="BD54" i="57"/>
  <c r="BD40" i="57"/>
  <c r="BC40" i="57"/>
  <c r="BG40" i="57" s="1"/>
  <c r="AP36" i="46"/>
  <c r="BD11" i="47"/>
  <c r="BJ11" i="47" s="1"/>
  <c r="BF33" i="49" a="1"/>
  <c r="BF33" i="49" s="1"/>
  <c r="BH13" i="49"/>
  <c r="BF17" i="49" a="1"/>
  <c r="BF17" i="49" s="1"/>
  <c r="BH12" i="49"/>
  <c r="BD11" i="49"/>
  <c r="BJ11" i="49" s="1"/>
  <c r="BD10" i="49"/>
  <c r="BJ10" i="49" s="1"/>
  <c r="BD7" i="49"/>
  <c r="BD9" i="49"/>
  <c r="BJ9" i="49" s="1"/>
  <c r="BD8" i="49"/>
  <c r="BJ8" i="49" s="1"/>
  <c r="BG17" i="49" a="1"/>
  <c r="BG17" i="49" s="1"/>
  <c r="BI12" i="49"/>
  <c r="BF13" i="49"/>
  <c r="BF14" i="49"/>
  <c r="BF15" i="49"/>
  <c r="BF12" i="49"/>
  <c r="BD17" i="49" a="1"/>
  <c r="BD17" i="49" s="1"/>
  <c r="BD60" i="49" a="1"/>
  <c r="BD60" i="49" s="1"/>
  <c r="BD47" i="49" a="1"/>
  <c r="BD47" i="49" s="1"/>
  <c r="BD33" i="49" a="1"/>
  <c r="BD33" i="49" s="1"/>
  <c r="BE47" i="49" a="1"/>
  <c r="BE47" i="49" s="1"/>
  <c r="BE17" i="49" a="1"/>
  <c r="BE17" i="49" s="1"/>
  <c r="BG14" i="49"/>
  <c r="BG12" i="49"/>
  <c r="BG13" i="49"/>
  <c r="BE33" i="49" a="1"/>
  <c r="BE33" i="49" s="1"/>
  <c r="BD10" i="47"/>
  <c r="BJ10" i="47" s="1"/>
  <c r="BD9" i="47"/>
  <c r="BD7" i="47"/>
  <c r="BD33" i="47" a="1"/>
  <c r="BD33" i="47" s="1"/>
  <c r="BD60" i="47" a="1"/>
  <c r="BD60" i="47" s="1"/>
  <c r="BF12" i="47"/>
  <c r="BF15" i="47"/>
  <c r="BF14" i="47"/>
  <c r="BD17" i="47" a="1"/>
  <c r="BD17" i="47" s="1"/>
  <c r="BF13" i="47"/>
  <c r="BD47" i="47" a="1"/>
  <c r="BD47" i="47" s="1"/>
  <c r="BI12" i="47"/>
  <c r="BG17" i="47" a="1"/>
  <c r="BG17" i="47" s="1"/>
  <c r="BJ8" i="47"/>
  <c r="BH13" i="47"/>
  <c r="BF17" i="47" a="1"/>
  <c r="BF17" i="47" s="1"/>
  <c r="BF33" i="47" a="1"/>
  <c r="BF33" i="47" s="1"/>
  <c r="BH12" i="47"/>
  <c r="BG13" i="47"/>
  <c r="BG14" i="47"/>
  <c r="BE47" i="47" a="1"/>
  <c r="BE47" i="47" s="1"/>
  <c r="BG12" i="47"/>
  <c r="BE17" i="47" a="1"/>
  <c r="BE17" i="47" s="1"/>
  <c r="BE33" i="47" a="1"/>
  <c r="BE33" i="47" s="1"/>
  <c r="BE40" i="55" l="1"/>
  <c r="BE26" i="55"/>
  <c r="BD26" i="55"/>
  <c r="BD27" i="55" s="1"/>
  <c r="AR21" i="49"/>
  <c r="C21" i="49" s="1"/>
  <c r="AR21" i="47"/>
  <c r="C21" i="47" s="1"/>
  <c r="X31" i="43"/>
  <c r="W31" i="43" s="1"/>
  <c r="AR19" i="43"/>
  <c r="C19" i="43" s="1"/>
  <c r="X25" i="43"/>
  <c r="W25" i="43" s="1"/>
  <c r="X24" i="43"/>
  <c r="W24" i="43" s="1"/>
  <c r="X19" i="43"/>
  <c r="W19" i="43" s="1"/>
  <c r="X29" i="43"/>
  <c r="W29" i="43" s="1"/>
  <c r="X23" i="43"/>
  <c r="W23" i="43" s="1"/>
  <c r="X30" i="43"/>
  <c r="W30" i="43" s="1"/>
  <c r="X27" i="43"/>
  <c r="W27" i="43" s="1"/>
  <c r="X32" i="43"/>
  <c r="W32" i="43" s="1"/>
  <c r="X26" i="43"/>
  <c r="W26" i="43" s="1"/>
  <c r="X21" i="43"/>
  <c r="W21" i="43" s="1"/>
  <c r="BE8" i="43"/>
  <c r="BD60" i="43" s="1" a="1"/>
  <c r="BD60" i="43" s="1"/>
  <c r="BF33" i="43" a="1"/>
  <c r="BF33" i="43" s="1"/>
  <c r="AR20" i="53"/>
  <c r="C20" i="53" s="1"/>
  <c r="BE11" i="43"/>
  <c r="BG11" i="43"/>
  <c r="BH12" i="43" s="1"/>
  <c r="BE9" i="43"/>
  <c r="BF11" i="43"/>
  <c r="BE10" i="43"/>
  <c r="BH11" i="43"/>
  <c r="BI12" i="43" s="1"/>
  <c r="BK6" i="43"/>
  <c r="BD8" i="43" s="1"/>
  <c r="BF10" i="43"/>
  <c r="BF9" i="43"/>
  <c r="BE47" i="43" s="1" a="1"/>
  <c r="BE47" i="43" s="1"/>
  <c r="C20" i="59"/>
  <c r="AR21" i="59"/>
  <c r="BD9" i="53"/>
  <c r="BJ9" i="53" s="1"/>
  <c r="BJ11" i="53"/>
  <c r="BH12" i="53"/>
  <c r="BD60" i="53" a="1"/>
  <c r="BD60" i="53" s="1"/>
  <c r="BD47" i="53" a="1"/>
  <c r="BD47" i="53" s="1"/>
  <c r="BF15" i="53"/>
  <c r="BF14" i="53"/>
  <c r="BF13" i="53"/>
  <c r="BD33" i="53" a="1"/>
  <c r="BD33" i="53" s="1"/>
  <c r="BD17" i="53" a="1"/>
  <c r="BD17" i="53" s="1"/>
  <c r="BF12" i="53"/>
  <c r="BI12" i="53"/>
  <c r="BG17" i="53" a="1"/>
  <c r="BG17" i="53" s="1"/>
  <c r="BE47" i="53" a="1"/>
  <c r="BE47" i="53" s="1"/>
  <c r="BG14" i="53"/>
  <c r="BG13" i="53"/>
  <c r="BE33" i="53" a="1"/>
  <c r="BE33" i="53" s="1"/>
  <c r="BG12" i="53"/>
  <c r="BD8" i="53"/>
  <c r="BJ8" i="53" s="1"/>
  <c r="BD10" i="53"/>
  <c r="BJ10" i="53" s="1"/>
  <c r="BH13" i="53"/>
  <c r="BF17" i="53" a="1"/>
  <c r="BF17" i="53" s="1"/>
  <c r="BF33" i="53" a="1"/>
  <c r="BF33" i="53" s="1"/>
  <c r="BD7" i="53"/>
  <c r="BE17" i="53" a="1"/>
  <c r="BE17" i="53" s="1"/>
  <c r="X31" i="41"/>
  <c r="W31" i="41" s="1"/>
  <c r="X28" i="41"/>
  <c r="W28" i="41" s="1"/>
  <c r="X21" i="45"/>
  <c r="W21" i="45" s="1"/>
  <c r="X24" i="45"/>
  <c r="W24" i="45" s="1"/>
  <c r="X19" i="45"/>
  <c r="W19" i="45" s="1"/>
  <c r="X30" i="45"/>
  <c r="W30" i="45" s="1"/>
  <c r="X24" i="41"/>
  <c r="W24" i="41" s="1"/>
  <c r="X25" i="41"/>
  <c r="W25" i="41" s="1"/>
  <c r="X30" i="41"/>
  <c r="W30" i="41" s="1"/>
  <c r="X27" i="45"/>
  <c r="W27" i="45" s="1"/>
  <c r="X23" i="45"/>
  <c r="W23" i="45" s="1"/>
  <c r="X31" i="45"/>
  <c r="W31" i="45" s="1"/>
  <c r="X32" i="41"/>
  <c r="W32" i="41" s="1"/>
  <c r="X26" i="45"/>
  <c r="W26" i="45" s="1"/>
  <c r="X26" i="41"/>
  <c r="W26" i="41" s="1"/>
  <c r="X29" i="45"/>
  <c r="W29" i="45" s="1"/>
  <c r="X19" i="41"/>
  <c r="W19" i="41" s="1"/>
  <c r="X32" i="45"/>
  <c r="W32" i="45" s="1"/>
  <c r="X21" i="41"/>
  <c r="W21" i="41" s="1"/>
  <c r="X25" i="45"/>
  <c r="W25" i="45" s="1"/>
  <c r="X27" i="41"/>
  <c r="W27" i="41" s="1"/>
  <c r="X23" i="41"/>
  <c r="W23" i="41" s="1"/>
  <c r="X28" i="45"/>
  <c r="W28" i="45" s="1"/>
  <c r="X29" i="41"/>
  <c r="W29" i="41" s="1"/>
  <c r="AR21" i="51"/>
  <c r="C20" i="51"/>
  <c r="BD10" i="39"/>
  <c r="BJ10" i="39" s="1"/>
  <c r="BD8" i="39"/>
  <c r="BJ8" i="39" s="1"/>
  <c r="BD11" i="39"/>
  <c r="BJ11" i="39" s="1"/>
  <c r="BD7" i="39"/>
  <c r="BJ7" i="39" s="1"/>
  <c r="BK6" i="41"/>
  <c r="BD7" i="41" s="1"/>
  <c r="BG11" i="41"/>
  <c r="BF11" i="41"/>
  <c r="BE8" i="41"/>
  <c r="BH11" i="41"/>
  <c r="BG10" i="41"/>
  <c r="BE9" i="41"/>
  <c r="BE10" i="41"/>
  <c r="BF10" i="41"/>
  <c r="BF9" i="41"/>
  <c r="BE11" i="41"/>
  <c r="C19" i="39"/>
  <c r="AR20" i="39"/>
  <c r="AR19" i="41"/>
  <c r="C19" i="41" s="1"/>
  <c r="BF15" i="39"/>
  <c r="BD17" i="39" a="1"/>
  <c r="BD17" i="39" s="1"/>
  <c r="BD60" i="39" a="1"/>
  <c r="BD60" i="39" s="1"/>
  <c r="BD33" i="39" a="1"/>
  <c r="BD33" i="39" s="1"/>
  <c r="BF13" i="39"/>
  <c r="BF12" i="39"/>
  <c r="BF14" i="39"/>
  <c r="BD47" i="39" a="1"/>
  <c r="BD47" i="39" s="1"/>
  <c r="BH13" i="39"/>
  <c r="BF17" i="39" a="1"/>
  <c r="BF17" i="39" s="1"/>
  <c r="BF33" i="39" a="1"/>
  <c r="BF33" i="39" s="1"/>
  <c r="BH12" i="39"/>
  <c r="BG12" i="39"/>
  <c r="BE17" i="39" a="1"/>
  <c r="BE17" i="39" s="1"/>
  <c r="BG13" i="39"/>
  <c r="BE33" i="39" a="1"/>
  <c r="BE33" i="39" s="1"/>
  <c r="BE47" i="39" a="1"/>
  <c r="BE47" i="39" s="1"/>
  <c r="BG14" i="39"/>
  <c r="BG17" i="39" a="1"/>
  <c r="BG17" i="39" s="1"/>
  <c r="BI12" i="39"/>
  <c r="BJ9" i="39"/>
  <c r="BD27" i="59"/>
  <c r="BE54" i="55"/>
  <c r="BE52" i="55"/>
  <c r="BE65" i="59"/>
  <c r="BE66" i="59" s="1"/>
  <c r="BL60" i="59" s="1"/>
  <c r="BC40" i="59"/>
  <c r="BG40" i="59" s="1"/>
  <c r="BC44" i="59" s="1"/>
  <c r="BC69" i="55" a="1"/>
  <c r="BC69" i="55" s="1"/>
  <c r="BE41" i="59"/>
  <c r="BI41" i="59" s="1"/>
  <c r="BE27" i="59"/>
  <c r="BC27" i="59"/>
  <c r="BD54" i="59"/>
  <c r="BL49" i="59" s="1"/>
  <c r="BE41" i="55"/>
  <c r="BE65" i="55"/>
  <c r="BE66" i="55" s="1"/>
  <c r="BL62" i="55" s="1"/>
  <c r="BD54" i="55"/>
  <c r="BD40" i="55"/>
  <c r="BD41" i="55" s="1"/>
  <c r="BH41" i="55" s="1"/>
  <c r="BC27" i="55"/>
  <c r="BG27" i="55" s="1"/>
  <c r="C21" i="55"/>
  <c r="AR22" i="55"/>
  <c r="BE40" i="51"/>
  <c r="BC44" i="55"/>
  <c r="BD26" i="51"/>
  <c r="BE53" i="51"/>
  <c r="BE26" i="51"/>
  <c r="BJ7" i="51"/>
  <c r="BE12" i="51"/>
  <c r="BC26" i="51" s="1"/>
  <c r="BC33" i="51" a="1"/>
  <c r="BC33" i="51" s="1"/>
  <c r="BE13" i="51"/>
  <c r="BE15" i="51"/>
  <c r="BC60" i="51" a="1"/>
  <c r="BC60" i="51" s="1"/>
  <c r="BC17" i="51" a="1"/>
  <c r="BC17" i="51" s="1"/>
  <c r="BE14" i="51"/>
  <c r="BD53" i="51" s="1"/>
  <c r="BC47" i="51" a="1"/>
  <c r="BC47" i="51" s="1"/>
  <c r="BE27" i="55"/>
  <c r="BD64" i="55"/>
  <c r="BE55" i="59"/>
  <c r="BE55" i="57"/>
  <c r="BD55" i="57" s="1"/>
  <c r="C22" i="57"/>
  <c r="AR23" i="57"/>
  <c r="BL60" i="57"/>
  <c r="BL62" i="57"/>
  <c r="BC69" i="57" a="1"/>
  <c r="BC69" i="57" s="1"/>
  <c r="BD64" i="57"/>
  <c r="BE64" i="57" s="1"/>
  <c r="BE67" i="57" s="1"/>
  <c r="BL61" i="57"/>
  <c r="BC69" i="59" a="1"/>
  <c r="BC69" i="59" s="1"/>
  <c r="BD64" i="59"/>
  <c r="BG39" i="57"/>
  <c r="BC44" i="57"/>
  <c r="AR19" i="45"/>
  <c r="C19" i="45" s="1"/>
  <c r="BD41" i="57"/>
  <c r="BH41" i="57" s="1"/>
  <c r="BI40" i="57"/>
  <c r="BH40" i="57"/>
  <c r="BI41" i="57"/>
  <c r="BG10" i="45"/>
  <c r="BH11" i="45"/>
  <c r="BF10" i="45"/>
  <c r="BE10" i="45"/>
  <c r="BG11" i="45"/>
  <c r="BE11" i="45"/>
  <c r="BE9" i="45"/>
  <c r="BE8" i="45"/>
  <c r="BF11" i="45"/>
  <c r="BF9" i="45"/>
  <c r="BK6" i="45"/>
  <c r="BD7" i="45" s="1"/>
  <c r="BL50" i="57"/>
  <c r="BL49" i="57"/>
  <c r="BL48" i="57"/>
  <c r="BL47" i="57"/>
  <c r="BI40" i="59"/>
  <c r="BH40" i="59"/>
  <c r="BD41" i="59"/>
  <c r="BH41" i="59" s="1"/>
  <c r="BI26" i="57"/>
  <c r="BH27" i="57"/>
  <c r="BH26" i="57"/>
  <c r="BG27" i="57"/>
  <c r="BI27" i="57"/>
  <c r="BE14" i="47"/>
  <c r="BD53" i="47" s="1"/>
  <c r="BD52" i="47" s="1"/>
  <c r="BC47" i="47" a="1"/>
  <c r="BC47" i="47" s="1"/>
  <c r="BE15" i="47"/>
  <c r="BD26" i="49"/>
  <c r="BE53" i="49"/>
  <c r="BE26" i="49"/>
  <c r="BE14" i="49"/>
  <c r="BD53" i="49" s="1"/>
  <c r="BC47" i="49" a="1"/>
  <c r="BC47" i="49" s="1"/>
  <c r="BE15" i="49"/>
  <c r="BC17" i="49" a="1"/>
  <c r="BC17" i="49" s="1"/>
  <c r="BJ7" i="49"/>
  <c r="BC33" i="49" a="1"/>
  <c r="BC33" i="49" s="1"/>
  <c r="BE13" i="49"/>
  <c r="BC60" i="49" a="1"/>
  <c r="BC60" i="49" s="1"/>
  <c r="BE12" i="49"/>
  <c r="BC26" i="49" s="1"/>
  <c r="BE40" i="49"/>
  <c r="BE13" i="47"/>
  <c r="BD40" i="47" s="1"/>
  <c r="BJ7" i="47"/>
  <c r="BE12" i="47"/>
  <c r="BC26" i="47" s="1"/>
  <c r="BG26" i="47" s="1"/>
  <c r="BG25" i="47" s="1"/>
  <c r="BC60" i="47" a="1"/>
  <c r="BC60" i="47" s="1"/>
  <c r="BC33" i="47" a="1"/>
  <c r="BC33" i="47" s="1"/>
  <c r="BC17" i="47" a="1"/>
  <c r="BC17" i="47" s="1"/>
  <c r="BJ9" i="47"/>
  <c r="BE40" i="47"/>
  <c r="BD26" i="47"/>
  <c r="BE26" i="47"/>
  <c r="BE53" i="47"/>
  <c r="AR22" i="49" l="1"/>
  <c r="AR23" i="49" s="1"/>
  <c r="AR22" i="47"/>
  <c r="AR20" i="43"/>
  <c r="C20" i="43" s="1"/>
  <c r="BD26" i="53"/>
  <c r="BF12" i="43"/>
  <c r="BE53" i="53"/>
  <c r="BF14" i="43"/>
  <c r="BF15" i="43"/>
  <c r="BJ8" i="43"/>
  <c r="BD7" i="43"/>
  <c r="BE15" i="43" s="1"/>
  <c r="BD10" i="43"/>
  <c r="BJ10" i="43" s="1"/>
  <c r="BD47" i="43" a="1"/>
  <c r="BD47" i="43" s="1"/>
  <c r="BD33" i="43" a="1"/>
  <c r="BD33" i="43" s="1"/>
  <c r="AR21" i="53"/>
  <c r="AR22" i="53" s="1"/>
  <c r="BF17" i="43" a="1"/>
  <c r="BF17" i="43" s="1"/>
  <c r="BG17" i="43" a="1"/>
  <c r="BG17" i="43" s="1"/>
  <c r="BD17" i="43" a="1"/>
  <c r="BD17" i="43" s="1"/>
  <c r="BD11" i="43"/>
  <c r="BJ11" i="43" s="1"/>
  <c r="BF13" i="43"/>
  <c r="BD9" i="43"/>
  <c r="BJ9" i="43" s="1"/>
  <c r="BE17" i="43" a="1"/>
  <c r="BE17" i="43" s="1"/>
  <c r="BG13" i="43"/>
  <c r="BG12" i="43"/>
  <c r="BE26" i="43" s="1"/>
  <c r="BG14" i="43"/>
  <c r="BE33" i="43" a="1"/>
  <c r="BE33" i="43" s="1"/>
  <c r="C21" i="59"/>
  <c r="AR22" i="59"/>
  <c r="BE40" i="53"/>
  <c r="BE15" i="53"/>
  <c r="BC33" i="53" a="1"/>
  <c r="BC33" i="53" s="1"/>
  <c r="BC17" i="53" a="1"/>
  <c r="BC17" i="53" s="1"/>
  <c r="BJ7" i="53"/>
  <c r="BC60" i="53" a="1"/>
  <c r="BC60" i="53" s="1"/>
  <c r="BC47" i="53" a="1"/>
  <c r="BC47" i="53" s="1"/>
  <c r="BE13" i="53"/>
  <c r="BE12" i="53"/>
  <c r="BC26" i="53" s="1"/>
  <c r="BE14" i="53"/>
  <c r="BD53" i="53" s="1"/>
  <c r="BE26" i="53"/>
  <c r="AR22" i="51"/>
  <c r="C21" i="51"/>
  <c r="BE13" i="39"/>
  <c r="BD40" i="39" s="1"/>
  <c r="BC60" i="39" a="1"/>
  <c r="BC60" i="39" s="1"/>
  <c r="BC17" i="39" a="1"/>
  <c r="BC17" i="39" s="1"/>
  <c r="BE14" i="39"/>
  <c r="BD53" i="39" s="1"/>
  <c r="BE12" i="39"/>
  <c r="BC26" i="39" s="1"/>
  <c r="BG26" i="39" s="1"/>
  <c r="BG25" i="39" s="1"/>
  <c r="BC33" i="39" a="1"/>
  <c r="BC33" i="39" s="1"/>
  <c r="BC47" i="39" a="1"/>
  <c r="BC47" i="39" s="1"/>
  <c r="BE15" i="39"/>
  <c r="BD65" i="39" s="1"/>
  <c r="BD10" i="41"/>
  <c r="BJ10" i="41" s="1"/>
  <c r="BD11" i="41"/>
  <c r="BJ11" i="41" s="1"/>
  <c r="BD8" i="41"/>
  <c r="BJ8" i="41" s="1"/>
  <c r="BD9" i="41"/>
  <c r="BE26" i="39"/>
  <c r="BE40" i="39"/>
  <c r="BE53" i="39"/>
  <c r="BD26" i="39"/>
  <c r="BF33" i="41" a="1"/>
  <c r="BF33" i="41" s="1"/>
  <c r="BF17" i="41" a="1"/>
  <c r="BF17" i="41" s="1"/>
  <c r="BH12" i="41"/>
  <c r="BH13" i="41"/>
  <c r="BI12" i="41"/>
  <c r="BG17" i="41" a="1"/>
  <c r="BG17" i="41" s="1"/>
  <c r="AR20" i="41"/>
  <c r="C20" i="39"/>
  <c r="AR21" i="39"/>
  <c r="BD60" i="41" a="1"/>
  <c r="BD60" i="41" s="1"/>
  <c r="BD33" i="41" a="1"/>
  <c r="BD33" i="41" s="1"/>
  <c r="BD17" i="41" a="1"/>
  <c r="BD17" i="41" s="1"/>
  <c r="BF15" i="41"/>
  <c r="BF12" i="41"/>
  <c r="BF14" i="41"/>
  <c r="BD47" i="41" a="1"/>
  <c r="BD47" i="41" s="1"/>
  <c r="BF13" i="41"/>
  <c r="BJ7" i="41"/>
  <c r="BG14" i="41"/>
  <c r="BE33" i="41" a="1"/>
  <c r="BE33" i="41" s="1"/>
  <c r="BG13" i="41"/>
  <c r="BE47" i="41" a="1"/>
  <c r="BE47" i="41" s="1"/>
  <c r="BG12" i="41"/>
  <c r="BE17" i="41" a="1"/>
  <c r="BE17" i="41" s="1"/>
  <c r="BH27" i="59"/>
  <c r="BL50" i="59"/>
  <c r="BG39" i="59"/>
  <c r="BH39" i="59" s="1"/>
  <c r="BI39" i="59" s="1"/>
  <c r="BI42" i="59" s="1"/>
  <c r="BH42" i="59" s="1"/>
  <c r="BL49" i="55"/>
  <c r="BE55" i="55"/>
  <c r="BD55" i="55" s="1"/>
  <c r="BL61" i="59"/>
  <c r="BL62" i="59"/>
  <c r="BE64" i="59"/>
  <c r="BE67" i="59" s="1"/>
  <c r="BI26" i="59"/>
  <c r="BG27" i="59"/>
  <c r="BH26" i="59"/>
  <c r="BH25" i="59" s="1"/>
  <c r="BI27" i="59"/>
  <c r="BL47" i="59"/>
  <c r="BL48" i="59"/>
  <c r="BD55" i="59"/>
  <c r="BL50" i="55"/>
  <c r="BE41" i="51"/>
  <c r="BL47" i="55"/>
  <c r="BI41" i="55"/>
  <c r="BL48" i="55"/>
  <c r="BE64" i="55"/>
  <c r="BE67" i="55" s="1"/>
  <c r="BI26" i="55"/>
  <c r="BH27" i="55"/>
  <c r="BH26" i="55"/>
  <c r="BH25" i="55" s="1"/>
  <c r="BL61" i="55"/>
  <c r="BH40" i="55"/>
  <c r="BI40" i="55"/>
  <c r="BI27" i="55"/>
  <c r="C22" i="49"/>
  <c r="BE54" i="51"/>
  <c r="C22" i="55"/>
  <c r="AR23" i="55"/>
  <c r="BL60" i="55"/>
  <c r="BD52" i="51"/>
  <c r="BE52" i="51" s="1"/>
  <c r="BD54" i="51"/>
  <c r="BD27" i="51"/>
  <c r="BE27" i="51"/>
  <c r="BD65" i="51"/>
  <c r="BC69" i="51" s="1" a="1"/>
  <c r="BC69" i="51" s="1"/>
  <c r="BE65" i="51"/>
  <c r="BD40" i="51"/>
  <c r="BC40" i="51"/>
  <c r="BG40" i="51" s="1"/>
  <c r="BG26" i="51"/>
  <c r="BG25" i="51" s="1"/>
  <c r="BC27" i="51"/>
  <c r="BD11" i="45"/>
  <c r="BJ11" i="45" s="1"/>
  <c r="BM47" i="57" a="1"/>
  <c r="BM47" i="57" s="1"/>
  <c r="BC57" i="57" s="1"/>
  <c r="BD10" i="45"/>
  <c r="BJ10" i="45" s="1"/>
  <c r="BL36" i="57"/>
  <c r="BD9" i="45"/>
  <c r="BJ9" i="45" s="1"/>
  <c r="AR24" i="57"/>
  <c r="C23" i="57"/>
  <c r="AR20" i="45"/>
  <c r="BJ7" i="45"/>
  <c r="BH25" i="57"/>
  <c r="BI25" i="57" s="1"/>
  <c r="BI28" i="57" s="1"/>
  <c r="BH28" i="57" s="1"/>
  <c r="BG28" i="57" s="1"/>
  <c r="BL21" i="57"/>
  <c r="BL19" i="57"/>
  <c r="BL20" i="57"/>
  <c r="BL18" i="57"/>
  <c r="BL22" i="57"/>
  <c r="BL17" i="57"/>
  <c r="BL35" i="59"/>
  <c r="BL36" i="59"/>
  <c r="BL34" i="59"/>
  <c r="BL37" i="59"/>
  <c r="BL33" i="59"/>
  <c r="BM60" i="57" a="1"/>
  <c r="BM60" i="57" s="1"/>
  <c r="BD8" i="45"/>
  <c r="BJ8" i="45" s="1"/>
  <c r="BI12" i="45"/>
  <c r="BG17" i="45" a="1"/>
  <c r="BG17" i="45" s="1"/>
  <c r="BH12" i="45"/>
  <c r="BF17" i="45" a="1"/>
  <c r="BF17" i="45" s="1"/>
  <c r="BF33" i="45" a="1"/>
  <c r="BF33" i="45" s="1"/>
  <c r="BH13" i="45"/>
  <c r="BL37" i="57"/>
  <c r="BL33" i="57"/>
  <c r="BL34" i="57"/>
  <c r="BH39" i="57"/>
  <c r="BI39" i="57" s="1"/>
  <c r="BI42" i="57" s="1"/>
  <c r="BH42" i="57" s="1"/>
  <c r="BG14" i="45"/>
  <c r="BG13" i="45"/>
  <c r="BE17" i="45" a="1"/>
  <c r="BE17" i="45" s="1"/>
  <c r="BG12" i="45"/>
  <c r="BE33" i="45" a="1"/>
  <c r="BE33" i="45" s="1"/>
  <c r="BE47" i="45" a="1"/>
  <c r="BE47" i="45" s="1"/>
  <c r="BF15" i="45"/>
  <c r="BD17" i="45" a="1"/>
  <c r="BD17" i="45" s="1"/>
  <c r="BF14" i="45"/>
  <c r="BD47" i="45" a="1"/>
  <c r="BD47" i="45" s="1"/>
  <c r="BD33" i="45" a="1"/>
  <c r="BD33" i="45" s="1"/>
  <c r="BF13" i="45"/>
  <c r="BD60" i="45" a="1"/>
  <c r="BD60" i="45" s="1"/>
  <c r="BF12" i="45"/>
  <c r="BL35" i="57"/>
  <c r="BD65" i="47"/>
  <c r="BD64" i="47" s="1"/>
  <c r="C13" i="60"/>
  <c r="C11" i="60" a="1"/>
  <c r="C11" i="60" s="1"/>
  <c r="C12" i="60"/>
  <c r="C22" i="60" s="1"/>
  <c r="C10" i="60" a="1"/>
  <c r="C10" i="60" s="1"/>
  <c r="C21" i="60" a="1"/>
  <c r="C21" i="60" s="1"/>
  <c r="BE65" i="47"/>
  <c r="BE66" i="47" s="1"/>
  <c r="BD54" i="47"/>
  <c r="BD27" i="49"/>
  <c r="BE54" i="49"/>
  <c r="BE41" i="47"/>
  <c r="BI41" i="47" s="1"/>
  <c r="BD40" i="49"/>
  <c r="BC40" i="49"/>
  <c r="BG40" i="49" s="1"/>
  <c r="BE65" i="49"/>
  <c r="BE66" i="49" s="1"/>
  <c r="BD65" i="49"/>
  <c r="BC27" i="47"/>
  <c r="BG27" i="47" s="1"/>
  <c r="BD54" i="49"/>
  <c r="BD52" i="49"/>
  <c r="BE52" i="49" s="1"/>
  <c r="BC27" i="49"/>
  <c r="BG26" i="49"/>
  <c r="BG25" i="49" s="1"/>
  <c r="BE41" i="49"/>
  <c r="BE27" i="49"/>
  <c r="BC40" i="47"/>
  <c r="BG40" i="47" s="1"/>
  <c r="BG39" i="47" s="1"/>
  <c r="BE27" i="47"/>
  <c r="C22" i="47"/>
  <c r="AR23" i="47"/>
  <c r="BD41" i="47"/>
  <c r="BH41" i="47" s="1"/>
  <c r="BH40" i="47"/>
  <c r="BI40" i="47"/>
  <c r="BE54" i="47"/>
  <c r="BE52" i="47"/>
  <c r="BD27" i="47"/>
  <c r="AR21" i="43" l="1"/>
  <c r="AR22" i="43" s="1"/>
  <c r="BE54" i="53"/>
  <c r="BJ7" i="43"/>
  <c r="BE53" i="43"/>
  <c r="BE65" i="43"/>
  <c r="BC60" i="43" a="1"/>
  <c r="BC60" i="43" s="1"/>
  <c r="C21" i="53"/>
  <c r="BD65" i="43"/>
  <c r="BD64" i="43" s="1"/>
  <c r="BE40" i="43"/>
  <c r="BC33" i="43" a="1"/>
  <c r="BC33" i="43" s="1"/>
  <c r="BC17" i="43" a="1"/>
  <c r="BC17" i="43" s="1"/>
  <c r="BE27" i="43" s="1"/>
  <c r="BE14" i="43"/>
  <c r="BD53" i="43" s="1"/>
  <c r="BD52" i="43" s="1"/>
  <c r="BC47" i="43" a="1"/>
  <c r="BC47" i="43" s="1"/>
  <c r="BE12" i="43"/>
  <c r="BC26" i="43" s="1"/>
  <c r="BG26" i="43" s="1"/>
  <c r="BG25" i="43" s="1"/>
  <c r="BE13" i="43"/>
  <c r="BD26" i="43"/>
  <c r="BE27" i="53"/>
  <c r="BE41" i="53"/>
  <c r="AR23" i="59"/>
  <c r="C22" i="59"/>
  <c r="BD27" i="53"/>
  <c r="BD52" i="53"/>
  <c r="BE52" i="53" s="1"/>
  <c r="BD54" i="53"/>
  <c r="BG26" i="53"/>
  <c r="BC27" i="53"/>
  <c r="BG27" i="53" s="1"/>
  <c r="BD40" i="53"/>
  <c r="BC40" i="53"/>
  <c r="BG40" i="53" s="1"/>
  <c r="BD65" i="53"/>
  <c r="BC69" i="53" s="1" a="1"/>
  <c r="BC69" i="53" s="1"/>
  <c r="BE65" i="53"/>
  <c r="C22" i="53"/>
  <c r="AR23" i="53"/>
  <c r="C22" i="51"/>
  <c r="AR23" i="51"/>
  <c r="BD54" i="39"/>
  <c r="BE65" i="39"/>
  <c r="BE66" i="39" s="1"/>
  <c r="BE15" i="41"/>
  <c r="BE65" i="41" s="1"/>
  <c r="BE13" i="41"/>
  <c r="BD40" i="41" s="1"/>
  <c r="BC40" i="39"/>
  <c r="BG40" i="39" s="1"/>
  <c r="BG39" i="39" s="1"/>
  <c r="BC47" i="41" a="1"/>
  <c r="BC47" i="41" s="1"/>
  <c r="BD52" i="39"/>
  <c r="BE52" i="39" s="1"/>
  <c r="BE27" i="39"/>
  <c r="BD27" i="39"/>
  <c r="BC27" i="39"/>
  <c r="BG27" i="39" s="1"/>
  <c r="BE54" i="39"/>
  <c r="BJ9" i="41"/>
  <c r="BE41" i="39"/>
  <c r="BI41" i="39" s="1"/>
  <c r="BC60" i="41" a="1"/>
  <c r="BC60" i="41" s="1"/>
  <c r="BE12" i="41"/>
  <c r="BC26" i="41" s="1"/>
  <c r="BG26" i="41" s="1"/>
  <c r="BE14" i="41"/>
  <c r="BD53" i="41" s="1"/>
  <c r="BC17" i="41" a="1"/>
  <c r="BC17" i="41" s="1"/>
  <c r="BC33" i="41" a="1"/>
  <c r="BC33" i="41" s="1"/>
  <c r="BE26" i="41"/>
  <c r="BE40" i="41"/>
  <c r="BD26" i="41"/>
  <c r="AR22" i="39"/>
  <c r="C21" i="39"/>
  <c r="C20" i="41"/>
  <c r="AR21" i="41"/>
  <c r="BC69" i="39" a="1"/>
  <c r="BC69" i="39" s="1"/>
  <c r="BD64" i="39"/>
  <c r="BE53" i="41"/>
  <c r="C21" i="43"/>
  <c r="BD41" i="39"/>
  <c r="BH41" i="39" s="1"/>
  <c r="BH40" i="39"/>
  <c r="BI40" i="39"/>
  <c r="BM60" i="59" a="1"/>
  <c r="BM60" i="59" s="1"/>
  <c r="BE69" i="59" s="1" a="1"/>
  <c r="BE69" i="59" s="1"/>
  <c r="BI25" i="59"/>
  <c r="BI28" i="59" s="1"/>
  <c r="BH28" i="59" s="1"/>
  <c r="BG28" i="59" s="1"/>
  <c r="BL17" i="59"/>
  <c r="BL21" i="59"/>
  <c r="BL19" i="59"/>
  <c r="BL18" i="59"/>
  <c r="BL22" i="59"/>
  <c r="BL20" i="59"/>
  <c r="BM47" i="59" a="1"/>
  <c r="BE57" i="59" s="1"/>
  <c r="BM47" i="55" a="1"/>
  <c r="BD57" i="55" s="1"/>
  <c r="BI25" i="55"/>
  <c r="BI28" i="55" s="1"/>
  <c r="BL19" i="55"/>
  <c r="BM60" i="55" a="1"/>
  <c r="BM60" i="55" s="1"/>
  <c r="BD69" i="55" s="1" a="1"/>
  <c r="BD69" i="55" s="1"/>
  <c r="BL33" i="55"/>
  <c r="BL37" i="55"/>
  <c r="BL21" i="55"/>
  <c r="BL34" i="55"/>
  <c r="BL35" i="55"/>
  <c r="BL36" i="55"/>
  <c r="BH39" i="55"/>
  <c r="BI39" i="55" s="1"/>
  <c r="BI42" i="55" s="1"/>
  <c r="BH42" i="55" s="1"/>
  <c r="BL20" i="55"/>
  <c r="BL22" i="55"/>
  <c r="BL18" i="55"/>
  <c r="BE55" i="51"/>
  <c r="BD55" i="51" s="1"/>
  <c r="BL17" i="55"/>
  <c r="C23" i="49"/>
  <c r="AR24" i="49"/>
  <c r="C23" i="55"/>
  <c r="AR24" i="55"/>
  <c r="BD41" i="51"/>
  <c r="BH41" i="51" s="1"/>
  <c r="BI40" i="51"/>
  <c r="BH40" i="51"/>
  <c r="BE66" i="51"/>
  <c r="BL62" i="51" s="1"/>
  <c r="BD64" i="51"/>
  <c r="BE64" i="51" s="1"/>
  <c r="BL49" i="51"/>
  <c r="BL50" i="51"/>
  <c r="BL47" i="51"/>
  <c r="BG27" i="51"/>
  <c r="BH26" i="51"/>
  <c r="BI27" i="51"/>
  <c r="BH27" i="51"/>
  <c r="BI26" i="51"/>
  <c r="BI41" i="51"/>
  <c r="BG39" i="51"/>
  <c r="BC44" i="51"/>
  <c r="BL48" i="51"/>
  <c r="BE57" i="57"/>
  <c r="BD57" i="57"/>
  <c r="BF57" i="57"/>
  <c r="BE53" i="45"/>
  <c r="BD26" i="45"/>
  <c r="C20" i="45"/>
  <c r="AR21" i="45"/>
  <c r="BE26" i="45"/>
  <c r="C24" i="57"/>
  <c r="AR25" i="57"/>
  <c r="BM33" i="59" a="1"/>
  <c r="BC60" i="45" a="1"/>
  <c r="BC60" i="45" s="1"/>
  <c r="BM33" i="57" a="1"/>
  <c r="BE15" i="45"/>
  <c r="BC17" i="45" a="1"/>
  <c r="BC17" i="45" s="1"/>
  <c r="BC47" i="45" a="1"/>
  <c r="BC47" i="45" s="1"/>
  <c r="BD69" i="57" a="1"/>
  <c r="BD69" i="57" s="1"/>
  <c r="BE69" i="57" a="1"/>
  <c r="BE69" i="57" s="1"/>
  <c r="BC33" i="45" a="1"/>
  <c r="BC33" i="45" s="1"/>
  <c r="BE40" i="45"/>
  <c r="BM17" i="57" a="1"/>
  <c r="BH30" i="57" s="1"/>
  <c r="BE12" i="45"/>
  <c r="BC26" i="45" s="1"/>
  <c r="BE14" i="45"/>
  <c r="BD53" i="45" s="1"/>
  <c r="BE13" i="45"/>
  <c r="BL62" i="47"/>
  <c r="BC69" i="47" a="1"/>
  <c r="BC69" i="47" s="1"/>
  <c r="C21" i="56" a="1"/>
  <c r="C21" i="56" s="1"/>
  <c r="C12" i="56"/>
  <c r="C22" i="56" s="1"/>
  <c r="C18" i="56"/>
  <c r="C16" i="56" a="1"/>
  <c r="C16" i="56" s="1"/>
  <c r="C13" i="56"/>
  <c r="C26" i="56" a="1"/>
  <c r="C26" i="56" s="1"/>
  <c r="C17" i="56"/>
  <c r="C27" i="56" s="1"/>
  <c r="C10" i="56" a="1"/>
  <c r="C10" i="56" s="1"/>
  <c r="C11" i="56" a="1"/>
  <c r="C11" i="56" s="1"/>
  <c r="C15" i="56" a="1"/>
  <c r="C15" i="56" s="1"/>
  <c r="C11" i="58" a="1"/>
  <c r="C11" i="58" s="1"/>
  <c r="C26" i="58" a="1"/>
  <c r="C26" i="58" s="1"/>
  <c r="C18" i="58"/>
  <c r="C16" i="58" a="1"/>
  <c r="C16" i="58" s="1"/>
  <c r="C13" i="58"/>
  <c r="C15" i="58" a="1"/>
  <c r="C15" i="58" s="1"/>
  <c r="C17" i="58"/>
  <c r="C27" i="58" s="1"/>
  <c r="C12" i="58"/>
  <c r="C22" i="58" s="1"/>
  <c r="C10" i="58" a="1"/>
  <c r="C10" i="58" s="1"/>
  <c r="C21" i="58" a="1"/>
  <c r="C21" i="58" s="1"/>
  <c r="BE64" i="47"/>
  <c r="BE67" i="47" s="1"/>
  <c r="C17" i="60"/>
  <c r="C27" i="60" s="1"/>
  <c r="C26" i="60" a="1"/>
  <c r="C26" i="60" s="1"/>
  <c r="C25" i="60"/>
  <c r="T8" i="60" s="1"/>
  <c r="E8" i="60"/>
  <c r="C20" i="60"/>
  <c r="O8" i="60" s="1"/>
  <c r="C18" i="60"/>
  <c r="C16" i="60" a="1"/>
  <c r="C16" i="60" s="1"/>
  <c r="E10" i="60"/>
  <c r="C23" i="60"/>
  <c r="O20" i="60" s="1"/>
  <c r="BL48" i="47"/>
  <c r="BE55" i="49"/>
  <c r="BD55" i="49" s="1"/>
  <c r="BI26" i="47"/>
  <c r="BC44" i="47"/>
  <c r="BL61" i="47"/>
  <c r="BL60" i="47"/>
  <c r="BH27" i="47"/>
  <c r="BH26" i="47"/>
  <c r="BI27" i="47"/>
  <c r="BL48" i="49"/>
  <c r="BL47" i="49"/>
  <c r="BL50" i="49"/>
  <c r="BL49" i="49"/>
  <c r="BG27" i="49"/>
  <c r="BH26" i="49"/>
  <c r="BH25" i="49" s="1"/>
  <c r="BI26" i="49"/>
  <c r="BI27" i="49"/>
  <c r="BH27" i="49"/>
  <c r="BL60" i="49"/>
  <c r="BL62" i="49"/>
  <c r="BC69" i="49" a="1"/>
  <c r="BC69" i="49" s="1"/>
  <c r="BL61" i="49"/>
  <c r="BD64" i="49"/>
  <c r="BE64" i="49" s="1"/>
  <c r="BE67" i="49" s="1"/>
  <c r="BC44" i="49"/>
  <c r="BG39" i="49"/>
  <c r="BI40" i="49"/>
  <c r="BD41" i="49"/>
  <c r="BH41" i="49" s="1"/>
  <c r="BH40" i="49"/>
  <c r="BI41" i="49"/>
  <c r="BL47" i="47"/>
  <c r="BL50" i="47"/>
  <c r="BL49" i="47"/>
  <c r="C23" i="47"/>
  <c r="AR24" i="47"/>
  <c r="BL37" i="47"/>
  <c r="BL36" i="47"/>
  <c r="BL34" i="47"/>
  <c r="BL35" i="47"/>
  <c r="BL33" i="47"/>
  <c r="BH39" i="47"/>
  <c r="BI39" i="47" s="1"/>
  <c r="BI42" i="47" s="1"/>
  <c r="BH42" i="47" s="1"/>
  <c r="BE55" i="47"/>
  <c r="BE55" i="53" l="1"/>
  <c r="BD55" i="53" s="1"/>
  <c r="BL48" i="53"/>
  <c r="BE54" i="43"/>
  <c r="BE52" i="43"/>
  <c r="BE64" i="43"/>
  <c r="BC69" i="43" a="1"/>
  <c r="BC69" i="43" s="1"/>
  <c r="BE66" i="43"/>
  <c r="BL62" i="43" s="1"/>
  <c r="BE41" i="43"/>
  <c r="BD54" i="43"/>
  <c r="BC27" i="43"/>
  <c r="BH26" i="43" s="1"/>
  <c r="BH25" i="43" s="1"/>
  <c r="BD27" i="43"/>
  <c r="BD40" i="43"/>
  <c r="BC40" i="43"/>
  <c r="BG40" i="43" s="1"/>
  <c r="AR24" i="59"/>
  <c r="C23" i="59"/>
  <c r="BL49" i="53"/>
  <c r="BL47" i="53"/>
  <c r="BL50" i="53"/>
  <c r="BH40" i="53"/>
  <c r="BD41" i="53"/>
  <c r="BH41" i="53" s="1"/>
  <c r="BI40" i="53"/>
  <c r="C23" i="53"/>
  <c r="AR24" i="53"/>
  <c r="BG25" i="53"/>
  <c r="BE66" i="53"/>
  <c r="BD64" i="53"/>
  <c r="BE64" i="53" s="1"/>
  <c r="BH27" i="53"/>
  <c r="BI26" i="53"/>
  <c r="BH26" i="53"/>
  <c r="BI27" i="53"/>
  <c r="BI41" i="53"/>
  <c r="BC44" i="53"/>
  <c r="BG39" i="53"/>
  <c r="BD69" i="59" a="1"/>
  <c r="BD69" i="59" s="1"/>
  <c r="AX7" i="59" s="1"/>
  <c r="M7" i="59" s="1"/>
  <c r="C15" i="60" s="1" a="1"/>
  <c r="C15" i="60" s="1"/>
  <c r="J8" i="60" s="1"/>
  <c r="AR24" i="51"/>
  <c r="C23" i="51"/>
  <c r="BL48" i="39"/>
  <c r="BE64" i="39"/>
  <c r="BE67" i="39" s="1"/>
  <c r="BL60" i="39"/>
  <c r="BD65" i="41"/>
  <c r="BD64" i="41" s="1"/>
  <c r="BE64" i="41" s="1"/>
  <c r="BL61" i="39"/>
  <c r="BL62" i="39"/>
  <c r="BC44" i="39"/>
  <c r="BL49" i="39"/>
  <c r="BL50" i="39"/>
  <c r="BE27" i="41"/>
  <c r="BH26" i="39"/>
  <c r="BH25" i="39" s="1"/>
  <c r="BD54" i="41"/>
  <c r="BC40" i="41"/>
  <c r="BG40" i="41" s="1"/>
  <c r="BC44" i="41" s="1"/>
  <c r="BI27" i="39"/>
  <c r="BI26" i="39"/>
  <c r="BH27" i="39"/>
  <c r="BE55" i="39"/>
  <c r="BD55" i="39" s="1"/>
  <c r="BL47" i="39"/>
  <c r="BD52" i="41"/>
  <c r="BE52" i="41" s="1"/>
  <c r="BD27" i="41"/>
  <c r="BC27" i="41"/>
  <c r="BG27" i="41" s="1"/>
  <c r="BE41" i="41"/>
  <c r="BI41" i="41" s="1"/>
  <c r="C21" i="41"/>
  <c r="AR22" i="41"/>
  <c r="BE54" i="41"/>
  <c r="BD41" i="41"/>
  <c r="BH41" i="41" s="1"/>
  <c r="BI40" i="41"/>
  <c r="BH40" i="41"/>
  <c r="BL35" i="39"/>
  <c r="BL37" i="39"/>
  <c r="BH39" i="39"/>
  <c r="BI39" i="39" s="1"/>
  <c r="BI42" i="39" s="1"/>
  <c r="BH42" i="39" s="1"/>
  <c r="BL36" i="39"/>
  <c r="BL34" i="39"/>
  <c r="BL33" i="39"/>
  <c r="BE66" i="41"/>
  <c r="C22" i="39"/>
  <c r="AR23" i="39"/>
  <c r="C22" i="43"/>
  <c r="AR23" i="43"/>
  <c r="BG25" i="41"/>
  <c r="BM47" i="59"/>
  <c r="BC57" i="59" s="1"/>
  <c r="BM17" i="59" a="1"/>
  <c r="BG30" i="59" s="1"/>
  <c r="BF57" i="59"/>
  <c r="BE69" i="55" a="1"/>
  <c r="BE69" i="55" s="1"/>
  <c r="AX11" i="55" s="1"/>
  <c r="M11" i="55" s="1"/>
  <c r="BE57" i="55"/>
  <c r="BM47" i="55"/>
  <c r="BC57" i="55" s="1"/>
  <c r="BF57" i="55"/>
  <c r="BM33" i="55" a="1"/>
  <c r="BM33" i="55" s="1"/>
  <c r="BD44" i="55" s="1"/>
  <c r="BM17" i="55" a="1"/>
  <c r="BE30" i="55" s="1"/>
  <c r="BL60" i="51"/>
  <c r="AR25" i="49"/>
  <c r="C24" i="49"/>
  <c r="BL21" i="51"/>
  <c r="BL33" i="51"/>
  <c r="C24" i="55"/>
  <c r="AR25" i="55"/>
  <c r="BM47" i="51" a="1"/>
  <c r="BE57" i="51" s="1"/>
  <c r="BL37" i="51"/>
  <c r="BL36" i="51"/>
  <c r="BL18" i="51"/>
  <c r="BL61" i="51"/>
  <c r="BE67" i="51"/>
  <c r="BL34" i="51"/>
  <c r="BL35" i="51"/>
  <c r="BH39" i="51"/>
  <c r="BI39" i="51" s="1"/>
  <c r="BI42" i="51" s="1"/>
  <c r="BL17" i="51"/>
  <c r="BH28" i="55"/>
  <c r="BH25" i="51"/>
  <c r="BI25" i="51" s="1"/>
  <c r="BL19" i="51"/>
  <c r="BL20" i="51"/>
  <c r="BL22" i="51"/>
  <c r="BE54" i="45"/>
  <c r="AY10" i="57"/>
  <c r="AY6" i="57"/>
  <c r="AY8" i="57"/>
  <c r="AY7" i="57"/>
  <c r="AY11" i="57"/>
  <c r="AY9" i="57"/>
  <c r="AX9" i="57"/>
  <c r="M9" i="57" s="1"/>
  <c r="BE27" i="45"/>
  <c r="C21" i="45"/>
  <c r="AR22" i="45"/>
  <c r="AR26" i="57"/>
  <c r="C25" i="57"/>
  <c r="BM33" i="59"/>
  <c r="BD44" i="59" s="1"/>
  <c r="BG44" i="59"/>
  <c r="BF44" i="59"/>
  <c r="BG26" i="45"/>
  <c r="BC27" i="45"/>
  <c r="BD27" i="45"/>
  <c r="BM17" i="57"/>
  <c r="BC30" i="57" s="1"/>
  <c r="BG30" i="57"/>
  <c r="BF30" i="57"/>
  <c r="BD30" i="57"/>
  <c r="BE41" i="45"/>
  <c r="BD65" i="45"/>
  <c r="BC69" i="45" s="1" a="1"/>
  <c r="BC69" i="45" s="1"/>
  <c r="BE65" i="45"/>
  <c r="BE66" i="45" s="1"/>
  <c r="BF44" i="57"/>
  <c r="BM33" i="57"/>
  <c r="BD44" i="57" s="1"/>
  <c r="BG44" i="57"/>
  <c r="BD40" i="45"/>
  <c r="BC40" i="45"/>
  <c r="BG40" i="45" s="1"/>
  <c r="BC44" i="45" s="1"/>
  <c r="AX11" i="57"/>
  <c r="M11" i="57" s="1"/>
  <c r="AX8" i="57"/>
  <c r="M8" i="57" s="1"/>
  <c r="AX6" i="57"/>
  <c r="M6" i="57" s="1"/>
  <c r="AX7" i="57"/>
  <c r="M7" i="57" s="1"/>
  <c r="AX10" i="57"/>
  <c r="M10" i="57" s="1"/>
  <c r="BD54" i="45"/>
  <c r="BD52" i="45"/>
  <c r="BE52" i="45" s="1"/>
  <c r="BE30" i="57"/>
  <c r="AP25" i="60" a="1"/>
  <c r="AP25" i="60" s="1"/>
  <c r="AM25" i="60" a="1"/>
  <c r="AM25" i="60" s="1"/>
  <c r="AM28" i="60" a="1"/>
  <c r="AM28" i="60" s="1"/>
  <c r="AK25" i="60" a="1"/>
  <c r="AK25" i="60" s="1"/>
  <c r="AK28" i="60" a="1"/>
  <c r="AK28" i="60" s="1"/>
  <c r="C21" i="54" a="1"/>
  <c r="C21" i="54" s="1"/>
  <c r="C13" i="54"/>
  <c r="C11" i="54" a="1"/>
  <c r="C11" i="54" s="1"/>
  <c r="C10" i="54" a="1"/>
  <c r="C10" i="54" s="1"/>
  <c r="C12" i="54"/>
  <c r="C22" i="54" s="1"/>
  <c r="AK25" i="58" a="1"/>
  <c r="AK25" i="58" s="1"/>
  <c r="AM25" i="58" a="1"/>
  <c r="AM25" i="58" s="1"/>
  <c r="AM28" i="58" a="1"/>
  <c r="AM28" i="58" s="1"/>
  <c r="AP25" i="58" a="1"/>
  <c r="AP25" i="58" s="1"/>
  <c r="AK28" i="58" a="1"/>
  <c r="AK28" i="58" s="1"/>
  <c r="AM28" i="56" a="1"/>
  <c r="AM28" i="56" s="1"/>
  <c r="AP25" i="56" a="1"/>
  <c r="AP25" i="56" s="1"/>
  <c r="AM25" i="56" a="1"/>
  <c r="AM25" i="56" s="1"/>
  <c r="AK28" i="56" a="1"/>
  <c r="AK28" i="56" s="1"/>
  <c r="AK25" i="56" a="1"/>
  <c r="AK25" i="56" s="1"/>
  <c r="J8" i="56"/>
  <c r="C25" i="56"/>
  <c r="T8" i="56" s="1"/>
  <c r="J8" i="58"/>
  <c r="C25" i="58"/>
  <c r="T8" i="58" s="1"/>
  <c r="E8" i="56"/>
  <c r="C20" i="56"/>
  <c r="O8" i="56" s="1"/>
  <c r="E8" i="58"/>
  <c r="C20" i="58"/>
  <c r="O8" i="58" s="1"/>
  <c r="E10" i="58"/>
  <c r="C23" i="58"/>
  <c r="O20" i="58" s="1"/>
  <c r="J15" i="58"/>
  <c r="C28" i="58"/>
  <c r="T25" i="58" s="1"/>
  <c r="E10" i="56"/>
  <c r="C23" i="56"/>
  <c r="O20" i="56" s="1"/>
  <c r="J15" i="56"/>
  <c r="C28" i="56"/>
  <c r="T25" i="56" s="1"/>
  <c r="J15" i="60"/>
  <c r="C28" i="60"/>
  <c r="T25" i="60" s="1"/>
  <c r="AW26" i="39"/>
  <c r="BM60" i="47" a="1"/>
  <c r="BM60" i="47" s="1"/>
  <c r="BD69" i="47" s="1" a="1"/>
  <c r="BD69" i="47" s="1"/>
  <c r="AX19" i="57"/>
  <c r="AW19" i="57"/>
  <c r="AW28" i="39"/>
  <c r="BL22" i="47"/>
  <c r="AW29" i="39"/>
  <c r="BL17" i="47"/>
  <c r="BL21" i="47"/>
  <c r="BL18" i="47"/>
  <c r="BH25" i="47"/>
  <c r="BI25" i="47" s="1"/>
  <c r="BI28" i="47" s="1"/>
  <c r="BH28" i="47" s="1"/>
  <c r="BG28" i="47" s="1"/>
  <c r="BL20" i="47"/>
  <c r="BL19" i="47"/>
  <c r="AX19" i="59"/>
  <c r="BL21" i="49"/>
  <c r="BL18" i="49"/>
  <c r="BM47" i="49" a="1"/>
  <c r="BE57" i="49" s="1"/>
  <c r="BL22" i="49"/>
  <c r="BL20" i="49"/>
  <c r="BM60" i="49" a="1"/>
  <c r="BM60" i="49" s="1"/>
  <c r="BL17" i="49"/>
  <c r="BL33" i="49"/>
  <c r="BL34" i="49"/>
  <c r="BL35" i="49"/>
  <c r="BL36" i="49"/>
  <c r="BH39" i="49"/>
  <c r="BI39" i="49" s="1"/>
  <c r="BL37" i="49"/>
  <c r="BL19" i="49"/>
  <c r="BI25" i="49"/>
  <c r="BM47" i="47" a="1"/>
  <c r="BE57" i="47" s="1"/>
  <c r="AX31" i="39"/>
  <c r="AW19" i="39"/>
  <c r="BM33" i="47" a="1"/>
  <c r="BM33" i="47" s="1"/>
  <c r="BD44" i="47" s="1"/>
  <c r="C24" i="47"/>
  <c r="AR25" i="47"/>
  <c r="BD55" i="47"/>
  <c r="AW19" i="55"/>
  <c r="AW32" i="39"/>
  <c r="AW19" i="59"/>
  <c r="AX28" i="39"/>
  <c r="AX19" i="55"/>
  <c r="BL48" i="43" l="1"/>
  <c r="BE55" i="43"/>
  <c r="BD55" i="43" s="1"/>
  <c r="BL61" i="53"/>
  <c r="BL60" i="43"/>
  <c r="BE67" i="43"/>
  <c r="BL61" i="43"/>
  <c r="BG27" i="43"/>
  <c r="BL50" i="43"/>
  <c r="BL47" i="43"/>
  <c r="BL49" i="43"/>
  <c r="BI26" i="43"/>
  <c r="BI25" i="43" s="1"/>
  <c r="BI27" i="43"/>
  <c r="BH27" i="43"/>
  <c r="BG39" i="43"/>
  <c r="BC44" i="43"/>
  <c r="BI40" i="43"/>
  <c r="BH40" i="43"/>
  <c r="BD41" i="43"/>
  <c r="BH41" i="43" s="1"/>
  <c r="BI41" i="43"/>
  <c r="BH39" i="53"/>
  <c r="BI39" i="53" s="1"/>
  <c r="BI42" i="53" s="1"/>
  <c r="BH42" i="53" s="1"/>
  <c r="BC69" i="41" a="1"/>
  <c r="BC69" i="41" s="1"/>
  <c r="C24" i="59"/>
  <c r="AR25" i="59"/>
  <c r="BM47" i="53" a="1"/>
  <c r="BM47" i="53" s="1"/>
  <c r="AX8" i="59"/>
  <c r="M8" i="59" s="1"/>
  <c r="BL18" i="53"/>
  <c r="BL62" i="53"/>
  <c r="BH25" i="53"/>
  <c r="BI25" i="53" s="1"/>
  <c r="BI28" i="53" s="1"/>
  <c r="BL20" i="53"/>
  <c r="BL19" i="53"/>
  <c r="BL22" i="53"/>
  <c r="BL21" i="53"/>
  <c r="BL35" i="53"/>
  <c r="C24" i="53"/>
  <c r="AR25" i="53"/>
  <c r="BL33" i="53"/>
  <c r="BL34" i="53"/>
  <c r="BL60" i="53"/>
  <c r="BE67" i="53"/>
  <c r="BL36" i="53"/>
  <c r="BL37" i="53"/>
  <c r="BL17" i="53"/>
  <c r="AX10" i="59"/>
  <c r="M10" i="59" s="1"/>
  <c r="AX11" i="59"/>
  <c r="M11" i="59" s="1"/>
  <c r="AX6" i="59"/>
  <c r="M6" i="59" s="1"/>
  <c r="AX9" i="59"/>
  <c r="M9" i="59" s="1"/>
  <c r="AR25" i="51"/>
  <c r="C24" i="51"/>
  <c r="BL62" i="41"/>
  <c r="BM60" i="39" a="1"/>
  <c r="BM60" i="39" s="1"/>
  <c r="BE69" i="39" s="1" a="1"/>
  <c r="BE69" i="39" s="1"/>
  <c r="BM47" i="39" a="1"/>
  <c r="BL48" i="41"/>
  <c r="BG39" i="41"/>
  <c r="BH39" i="41" s="1"/>
  <c r="BI39" i="41" s="1"/>
  <c r="BI42" i="41" s="1"/>
  <c r="BH42" i="41" s="1"/>
  <c r="BL19" i="39"/>
  <c r="BI25" i="39"/>
  <c r="BI28" i="39" s="1"/>
  <c r="BH28" i="39" s="1"/>
  <c r="BG28" i="39" s="1"/>
  <c r="BL21" i="39"/>
  <c r="BL20" i="39"/>
  <c r="BL18" i="39"/>
  <c r="BI27" i="41"/>
  <c r="BL22" i="39"/>
  <c r="BL17" i="39"/>
  <c r="BH27" i="41"/>
  <c r="BH26" i="41"/>
  <c r="BH25" i="41" s="1"/>
  <c r="BI26" i="41"/>
  <c r="BL49" i="41"/>
  <c r="BL50" i="41"/>
  <c r="BL47" i="41"/>
  <c r="BL60" i="41"/>
  <c r="BE55" i="41"/>
  <c r="BD55" i="41" s="1"/>
  <c r="BL35" i="41"/>
  <c r="AR24" i="43"/>
  <c r="C23" i="43"/>
  <c r="BL37" i="41"/>
  <c r="C23" i="39"/>
  <c r="AR24" i="39"/>
  <c r="BL34" i="41"/>
  <c r="BL36" i="41"/>
  <c r="BL33" i="41"/>
  <c r="BL61" i="41"/>
  <c r="BE67" i="41"/>
  <c r="AR23" i="41"/>
  <c r="C22" i="41"/>
  <c r="BM33" i="39" a="1"/>
  <c r="BD57" i="59"/>
  <c r="AY7" i="59" s="1"/>
  <c r="AX6" i="55"/>
  <c r="M6" i="55" s="1"/>
  <c r="AX7" i="55"/>
  <c r="M7" i="55" s="1"/>
  <c r="BM17" i="59"/>
  <c r="BC30" i="59" s="1"/>
  <c r="BH30" i="59"/>
  <c r="BF30" i="59"/>
  <c r="BE30" i="59"/>
  <c r="AX10" i="55"/>
  <c r="M10" i="55" s="1"/>
  <c r="AX9" i="55"/>
  <c r="M9" i="55" s="1"/>
  <c r="AY8" i="55"/>
  <c r="AX8" i="55"/>
  <c r="M8" i="55" s="1"/>
  <c r="BD30" i="55"/>
  <c r="AY7" i="55"/>
  <c r="BG44" i="55"/>
  <c r="AY10" i="55"/>
  <c r="AY9" i="55"/>
  <c r="AY6" i="55"/>
  <c r="AY11" i="55"/>
  <c r="BM60" i="51" a="1"/>
  <c r="BM60" i="51" s="1"/>
  <c r="BD69" i="51" s="1" a="1"/>
  <c r="BD69" i="51" s="1"/>
  <c r="BF44" i="55"/>
  <c r="BE44" i="55"/>
  <c r="BE44" i="59"/>
  <c r="AZ11" i="59" s="1"/>
  <c r="BF30" i="55"/>
  <c r="BM17" i="55"/>
  <c r="BC30" i="55" s="1"/>
  <c r="C25" i="49"/>
  <c r="AR26" i="49"/>
  <c r="C25" i="55"/>
  <c r="AR26" i="55"/>
  <c r="BM47" i="51"/>
  <c r="BC57" i="51" s="1"/>
  <c r="BM33" i="51" a="1"/>
  <c r="BM33" i="51" s="1"/>
  <c r="BF57" i="51"/>
  <c r="BG28" i="55"/>
  <c r="BH30" i="55" s="1"/>
  <c r="BG30" i="55"/>
  <c r="BI28" i="51"/>
  <c r="BH42" i="51"/>
  <c r="BE44" i="57"/>
  <c r="AZ8" i="57" s="1"/>
  <c r="BM17" i="51" a="1"/>
  <c r="BE55" i="45"/>
  <c r="BD55" i="45" s="1"/>
  <c r="BL49" i="45"/>
  <c r="BL48" i="45"/>
  <c r="BL50" i="45"/>
  <c r="BL47" i="45"/>
  <c r="AR23" i="45"/>
  <c r="C22" i="45"/>
  <c r="C26" i="57"/>
  <c r="AR27" i="57"/>
  <c r="AQ26" i="57"/>
  <c r="AQ24" i="57"/>
  <c r="AP27" i="57"/>
  <c r="AP25" i="57"/>
  <c r="AQ25" i="57"/>
  <c r="AQ32" i="57"/>
  <c r="AP30" i="57"/>
  <c r="AQ23" i="57"/>
  <c r="AQ27" i="57"/>
  <c r="AQ28" i="57"/>
  <c r="AP23" i="57"/>
  <c r="AQ29" i="57"/>
  <c r="AP28" i="57"/>
  <c r="F18" i="57"/>
  <c r="AP24" i="57"/>
  <c r="AP29" i="57"/>
  <c r="AQ30" i="57"/>
  <c r="F19" i="57"/>
  <c r="U18" i="57"/>
  <c r="AP26" i="57"/>
  <c r="AP32" i="57"/>
  <c r="U19" i="57"/>
  <c r="AP31" i="57"/>
  <c r="AQ31" i="57"/>
  <c r="BL61" i="45"/>
  <c r="BD64" i="45"/>
  <c r="BE64" i="45" s="1"/>
  <c r="BL60" i="45"/>
  <c r="BL62" i="45"/>
  <c r="BG39" i="45"/>
  <c r="BG25" i="45"/>
  <c r="BH40" i="45"/>
  <c r="BI40" i="45"/>
  <c r="BI41" i="45"/>
  <c r="BD41" i="45"/>
  <c r="BH41" i="45" s="1"/>
  <c r="BA6" i="57"/>
  <c r="BA7" i="57"/>
  <c r="BA8" i="57"/>
  <c r="BA9" i="57"/>
  <c r="BA10" i="57"/>
  <c r="BA11" i="57"/>
  <c r="BG27" i="45"/>
  <c r="BI26" i="45"/>
  <c r="BH27" i="45"/>
  <c r="BH26" i="45"/>
  <c r="BI27" i="45"/>
  <c r="C15" i="54" a="1"/>
  <c r="C15" i="54" s="1"/>
  <c r="C16" i="54" a="1"/>
  <c r="C16" i="54" s="1"/>
  <c r="E8" i="54"/>
  <c r="C20" i="54"/>
  <c r="O8" i="54" s="1"/>
  <c r="C26" i="54" a="1"/>
  <c r="C26" i="54" s="1"/>
  <c r="C18" i="54"/>
  <c r="E10" i="54"/>
  <c r="C23" i="54"/>
  <c r="O20" i="54" s="1"/>
  <c r="C26" i="52" a="1"/>
  <c r="C26" i="52" s="1"/>
  <c r="C15" i="52" a="1"/>
  <c r="C15" i="52" s="1"/>
  <c r="C10" i="52" a="1"/>
  <c r="C10" i="52" s="1"/>
  <c r="C18" i="52"/>
  <c r="C21" i="52" a="1"/>
  <c r="C21" i="52" s="1"/>
  <c r="C16" i="52" a="1"/>
  <c r="C16" i="52" s="1"/>
  <c r="C13" i="52"/>
  <c r="C11" i="52" a="1"/>
  <c r="C11" i="52" s="1"/>
  <c r="C17" i="52"/>
  <c r="C27" i="52" s="1"/>
  <c r="C12" i="52"/>
  <c r="C22" i="52" s="1"/>
  <c r="AX24" i="39"/>
  <c r="BE69" i="47" a="1"/>
  <c r="BE69" i="47" s="1"/>
  <c r="AX11" i="47" s="1"/>
  <c r="AX25" i="39"/>
  <c r="BM17" i="47" a="1"/>
  <c r="BF30" i="47" s="1"/>
  <c r="BM47" i="47"/>
  <c r="BC57" i="47" s="1"/>
  <c r="AX29" i="39"/>
  <c r="AX32" i="39"/>
  <c r="AX26" i="39"/>
  <c r="AX19" i="39"/>
  <c r="AW25" i="39"/>
  <c r="AX23" i="39"/>
  <c r="BM17" i="49" a="1"/>
  <c r="BE44" i="47"/>
  <c r="BD69" i="49" a="1"/>
  <c r="BD69" i="49" s="1"/>
  <c r="BE69" i="49" a="1"/>
  <c r="BE69" i="49" s="1"/>
  <c r="BI42" i="49"/>
  <c r="BI28" i="49"/>
  <c r="BD57" i="49"/>
  <c r="BM47" i="49"/>
  <c r="BC57" i="49" s="1"/>
  <c r="BF57" i="49"/>
  <c r="BM33" i="49" a="1"/>
  <c r="BM33" i="49" s="1"/>
  <c r="BD44" i="49" s="1"/>
  <c r="BF44" i="47"/>
  <c r="BF57" i="47"/>
  <c r="BG44" i="47"/>
  <c r="C25" i="47"/>
  <c r="AR26" i="47"/>
  <c r="AX19" i="41"/>
  <c r="AW32" i="41"/>
  <c r="AW25" i="41"/>
  <c r="AX30" i="41"/>
  <c r="AW27" i="41"/>
  <c r="AX24" i="41"/>
  <c r="AX26" i="41"/>
  <c r="AW26" i="41"/>
  <c r="AW29" i="41"/>
  <c r="AW19" i="41"/>
  <c r="AW31" i="41"/>
  <c r="AX29" i="41"/>
  <c r="AX23" i="41"/>
  <c r="AW24" i="41"/>
  <c r="AW30" i="41"/>
  <c r="AX31" i="41"/>
  <c r="AX27" i="41"/>
  <c r="AX25" i="41"/>
  <c r="AX32" i="41"/>
  <c r="AW28" i="41"/>
  <c r="AX28" i="41"/>
  <c r="AP26" i="59" l="1"/>
  <c r="F18" i="59"/>
  <c r="D18" i="57"/>
  <c r="E18" i="57" s="1"/>
  <c r="AW18" i="57"/>
  <c r="AW18" i="59"/>
  <c r="X18" i="57"/>
  <c r="W18" i="57" s="1"/>
  <c r="AX18" i="57"/>
  <c r="BM60" i="43" a="1"/>
  <c r="BM60" i="43" s="1"/>
  <c r="BE57" i="53"/>
  <c r="BC57" i="53"/>
  <c r="BD57" i="53"/>
  <c r="BD57" i="51"/>
  <c r="AY10" i="51" s="1"/>
  <c r="BM47" i="43" a="1"/>
  <c r="BM47" i="43" s="1"/>
  <c r="BC57" i="43" s="1"/>
  <c r="BL18" i="43"/>
  <c r="BL17" i="43"/>
  <c r="BI28" i="43"/>
  <c r="BH28" i="43" s="1"/>
  <c r="BG28" i="43" s="1"/>
  <c r="BM60" i="53" a="1"/>
  <c r="BM60" i="53" s="1"/>
  <c r="BD69" i="53" s="1" a="1"/>
  <c r="BD69" i="53" s="1"/>
  <c r="BL21" i="43"/>
  <c r="BL20" i="43"/>
  <c r="BL22" i="43"/>
  <c r="BL19" i="43"/>
  <c r="BL33" i="43"/>
  <c r="BH39" i="43"/>
  <c r="BI39" i="43" s="1"/>
  <c r="BL36" i="43"/>
  <c r="BL37" i="43"/>
  <c r="BL34" i="43"/>
  <c r="BL35" i="43"/>
  <c r="BD69" i="39" a="1"/>
  <c r="BD69" i="39" s="1"/>
  <c r="AX9" i="39" s="1"/>
  <c r="BF57" i="53"/>
  <c r="C25" i="59"/>
  <c r="AR26" i="59"/>
  <c r="F19" i="59"/>
  <c r="U20" i="59" s="1"/>
  <c r="AQ28" i="59"/>
  <c r="AP25" i="59"/>
  <c r="AQ29" i="59"/>
  <c r="AP29" i="59"/>
  <c r="BM17" i="53" a="1"/>
  <c r="BM17" i="53" s="1"/>
  <c r="BC30" i="53" s="1"/>
  <c r="AP27" i="59"/>
  <c r="AQ25" i="59"/>
  <c r="U19" i="59"/>
  <c r="R19" i="59" s="1"/>
  <c r="AP31" i="59"/>
  <c r="AQ23" i="59"/>
  <c r="AQ32" i="59"/>
  <c r="BM33" i="53" a="1"/>
  <c r="BM33" i="53" s="1"/>
  <c r="BD44" i="53" s="1"/>
  <c r="C25" i="53"/>
  <c r="AR26" i="53"/>
  <c r="BH28" i="53"/>
  <c r="BE57" i="39"/>
  <c r="BD57" i="39"/>
  <c r="AP23" i="59"/>
  <c r="AQ26" i="59"/>
  <c r="AQ31" i="59"/>
  <c r="AQ27" i="59"/>
  <c r="AQ24" i="59"/>
  <c r="AP28" i="59"/>
  <c r="AP30" i="59"/>
  <c r="AQ30" i="59"/>
  <c r="AP24" i="59"/>
  <c r="U18" i="59"/>
  <c r="AP32" i="59"/>
  <c r="AR26" i="51"/>
  <c r="C25" i="51"/>
  <c r="AU18" i="53" a="1"/>
  <c r="AU18" i="53" s="1"/>
  <c r="AV19" i="53" a="1"/>
  <c r="AV19" i="53" s="1"/>
  <c r="BM47" i="39"/>
  <c r="BC57" i="39" s="1"/>
  <c r="BF57" i="39"/>
  <c r="AV18" i="53" a="1"/>
  <c r="AV18" i="53" s="1"/>
  <c r="BM17" i="39" a="1"/>
  <c r="AU19" i="53" a="1"/>
  <c r="AU19" i="53" s="1"/>
  <c r="BL19" i="41"/>
  <c r="AV19" i="59" a="1"/>
  <c r="AV19" i="59" s="1"/>
  <c r="AT19" i="59" s="1"/>
  <c r="AV18" i="59" a="1"/>
  <c r="AV18" i="59" s="1"/>
  <c r="AU18" i="59" a="1"/>
  <c r="AU18" i="59" s="1"/>
  <c r="BI25" i="41"/>
  <c r="BI28" i="41" s="1"/>
  <c r="BH28" i="41" s="1"/>
  <c r="AV18" i="57" a="1"/>
  <c r="AV18" i="57" s="1"/>
  <c r="AU18" i="57" a="1"/>
  <c r="AU18" i="57" s="1"/>
  <c r="BL21" i="41"/>
  <c r="BL18" i="41"/>
  <c r="AU19" i="57" a="1"/>
  <c r="AU19" i="57" s="1"/>
  <c r="AS19" i="57" s="1"/>
  <c r="AV19" i="57" a="1"/>
  <c r="AV19" i="57" s="1"/>
  <c r="AT19" i="57" s="1"/>
  <c r="BL17" i="41"/>
  <c r="BL22" i="41"/>
  <c r="BM60" i="41" a="1"/>
  <c r="BM60" i="41" s="1"/>
  <c r="BD69" i="41" s="1" a="1"/>
  <c r="BD69" i="41" s="1"/>
  <c r="BL20" i="41"/>
  <c r="BM47" i="41" a="1"/>
  <c r="BM33" i="39"/>
  <c r="BD44" i="39" s="1"/>
  <c r="BF44" i="39"/>
  <c r="BG44" i="39"/>
  <c r="C23" i="41"/>
  <c r="AR24" i="41"/>
  <c r="AR25" i="43"/>
  <c r="C24" i="43"/>
  <c r="BM33" i="41" a="1"/>
  <c r="BG44" i="41" s="1"/>
  <c r="AP30" i="55"/>
  <c r="C24" i="39"/>
  <c r="AR25" i="39"/>
  <c r="AY6" i="59"/>
  <c r="AY9" i="59"/>
  <c r="AY10" i="59"/>
  <c r="AY8" i="59"/>
  <c r="AY11" i="59"/>
  <c r="BD30" i="59"/>
  <c r="BA7" i="59" s="1"/>
  <c r="AZ6" i="59"/>
  <c r="AZ7" i="59"/>
  <c r="F18" i="55"/>
  <c r="U18" i="55"/>
  <c r="F19" i="55"/>
  <c r="AQ23" i="55"/>
  <c r="AZ8" i="59"/>
  <c r="AP28" i="55"/>
  <c r="AP24" i="55"/>
  <c r="AQ26" i="55"/>
  <c r="AQ32" i="55"/>
  <c r="AP27" i="55"/>
  <c r="AP29" i="55"/>
  <c r="U19" i="55"/>
  <c r="V19" i="55" s="1"/>
  <c r="AP25" i="55"/>
  <c r="AQ28" i="55"/>
  <c r="AQ27" i="55"/>
  <c r="AQ29" i="55"/>
  <c r="AP31" i="55"/>
  <c r="AQ30" i="55"/>
  <c r="AP23" i="55"/>
  <c r="AP32" i="55"/>
  <c r="AQ31" i="55"/>
  <c r="AQ24" i="55"/>
  <c r="AQ25" i="55"/>
  <c r="AP26" i="55"/>
  <c r="BE69" i="51" a="1"/>
  <c r="BE69" i="51" s="1"/>
  <c r="AX11" i="51" s="1"/>
  <c r="AZ7" i="55"/>
  <c r="AZ6" i="55"/>
  <c r="BA7" i="55"/>
  <c r="BG44" i="51"/>
  <c r="BA6" i="55"/>
  <c r="AZ10" i="55"/>
  <c r="AZ9" i="59"/>
  <c r="AZ10" i="59"/>
  <c r="AZ11" i="55"/>
  <c r="AZ8" i="55"/>
  <c r="AZ9" i="55"/>
  <c r="BF44" i="51"/>
  <c r="AZ9" i="57"/>
  <c r="AZ7" i="57"/>
  <c r="AZ11" i="57"/>
  <c r="AZ10" i="57"/>
  <c r="AZ6" i="57"/>
  <c r="C26" i="49"/>
  <c r="AR27" i="49"/>
  <c r="BA11" i="55"/>
  <c r="BA10" i="55"/>
  <c r="BA8" i="55"/>
  <c r="C26" i="55"/>
  <c r="AR27" i="55"/>
  <c r="BA9" i="55"/>
  <c r="BM17" i="51"/>
  <c r="BC30" i="51" s="1"/>
  <c r="U22" i="57"/>
  <c r="AX22" i="57" s="1"/>
  <c r="U20" i="57"/>
  <c r="AX20" i="57" s="1"/>
  <c r="BD44" i="51"/>
  <c r="BE44" i="51"/>
  <c r="BH28" i="51"/>
  <c r="BG28" i="51" s="1"/>
  <c r="BH30" i="51" s="1"/>
  <c r="BF30" i="51"/>
  <c r="BM47" i="45" a="1"/>
  <c r="BM47" i="45" s="1"/>
  <c r="BC57" i="45" s="1"/>
  <c r="BL34" i="45"/>
  <c r="BL37" i="45"/>
  <c r="BM60" i="45" a="1"/>
  <c r="BM60" i="45" s="1"/>
  <c r="BD69" i="45" s="1" a="1"/>
  <c r="BD69" i="45" s="1"/>
  <c r="BE67" i="45"/>
  <c r="C27" i="57"/>
  <c r="AR28" i="57"/>
  <c r="BL18" i="45"/>
  <c r="BH39" i="45"/>
  <c r="BI39" i="45" s="1"/>
  <c r="BI42" i="45" s="1"/>
  <c r="C23" i="45"/>
  <c r="AR24" i="45"/>
  <c r="BH25" i="45"/>
  <c r="BI25" i="45" s="1"/>
  <c r="BL21" i="45"/>
  <c r="R19" i="57"/>
  <c r="V19" i="57"/>
  <c r="T19" i="57"/>
  <c r="AQ19" i="57"/>
  <c r="AU19" i="59" a="1"/>
  <c r="AU19" i="59" s="1"/>
  <c r="AS19" i="59" s="1"/>
  <c r="BL33" i="45"/>
  <c r="BL35" i="45"/>
  <c r="V18" i="57"/>
  <c r="T18" i="57"/>
  <c r="AQ18" i="57"/>
  <c r="R18" i="57"/>
  <c r="BL36" i="45"/>
  <c r="AP19" i="57"/>
  <c r="H19" i="57"/>
  <c r="G19" i="57"/>
  <c r="K19" i="57"/>
  <c r="BL19" i="45"/>
  <c r="BL22" i="45"/>
  <c r="H18" i="59"/>
  <c r="AP18" i="59"/>
  <c r="G18" i="59"/>
  <c r="K18" i="59"/>
  <c r="BL17" i="45"/>
  <c r="H18" i="57"/>
  <c r="K18" i="57"/>
  <c r="G18" i="57"/>
  <c r="AP18" i="57"/>
  <c r="BL20" i="45"/>
  <c r="C25" i="54"/>
  <c r="T8" i="54" s="1"/>
  <c r="J8" i="54"/>
  <c r="J15" i="54"/>
  <c r="C28" i="54"/>
  <c r="T25" i="54" s="1"/>
  <c r="E8" i="52"/>
  <c r="C20" i="52"/>
  <c r="O8" i="52" s="1"/>
  <c r="J8" i="52"/>
  <c r="C25" i="52"/>
  <c r="T8" i="52" s="1"/>
  <c r="E10" i="52"/>
  <c r="C23" i="52"/>
  <c r="O20" i="52" s="1"/>
  <c r="J15" i="52"/>
  <c r="C28" i="52"/>
  <c r="T25" i="52" s="1"/>
  <c r="BD57" i="47"/>
  <c r="AY9" i="47" s="1"/>
  <c r="AW19" i="53"/>
  <c r="AX19" i="53"/>
  <c r="AX23" i="53"/>
  <c r="AX6" i="47"/>
  <c r="AX7" i="47"/>
  <c r="AX6" i="49"/>
  <c r="BM17" i="47"/>
  <c r="BC30" i="47" s="1"/>
  <c r="BG30" i="47"/>
  <c r="AX10" i="47"/>
  <c r="AX9" i="47"/>
  <c r="AX8" i="47"/>
  <c r="BH30" i="47"/>
  <c r="AZ11" i="47"/>
  <c r="AX19" i="51"/>
  <c r="AW19" i="51"/>
  <c r="AZ9" i="47"/>
  <c r="AZ8" i="47"/>
  <c r="BM17" i="49"/>
  <c r="BC30" i="49" s="1"/>
  <c r="BD30" i="49"/>
  <c r="BE44" i="49"/>
  <c r="BH42" i="49"/>
  <c r="BG44" i="49" s="1"/>
  <c r="BF44" i="49"/>
  <c r="AX9" i="49"/>
  <c r="AX7" i="49"/>
  <c r="AX11" i="49"/>
  <c r="AX10" i="49"/>
  <c r="AX8" i="49"/>
  <c r="AY11" i="49"/>
  <c r="AY6" i="49"/>
  <c r="AY7" i="49"/>
  <c r="AY10" i="49"/>
  <c r="AY8" i="49"/>
  <c r="AY9" i="49"/>
  <c r="AZ10" i="47"/>
  <c r="BH28" i="49"/>
  <c r="BF30" i="49"/>
  <c r="AZ6" i="47"/>
  <c r="AZ7" i="47"/>
  <c r="C26" i="47"/>
  <c r="AR27" i="47"/>
  <c r="AY6" i="51" l="1"/>
  <c r="AY6" i="53"/>
  <c r="AX6" i="39"/>
  <c r="BG44" i="53"/>
  <c r="BE69" i="53" a="1"/>
  <c r="BE69" i="53" s="1"/>
  <c r="AX8" i="53" s="1"/>
  <c r="M8" i="53" s="1"/>
  <c r="AY7" i="51"/>
  <c r="F20" i="57"/>
  <c r="AP20" i="57" s="1"/>
  <c r="AS18" i="59"/>
  <c r="X18" i="55"/>
  <c r="W18" i="55" s="1"/>
  <c r="AX18" i="55"/>
  <c r="X18" i="59"/>
  <c r="W18" i="59" s="1"/>
  <c r="AX18" i="59"/>
  <c r="AT18" i="59" s="1"/>
  <c r="AY8" i="51"/>
  <c r="D18" i="55"/>
  <c r="E18" i="55" s="1"/>
  <c r="AW18" i="55"/>
  <c r="AY11" i="51"/>
  <c r="AS18" i="57"/>
  <c r="D18" i="59"/>
  <c r="E18" i="59" s="1"/>
  <c r="AT18" i="57"/>
  <c r="AW20" i="57"/>
  <c r="D20" i="57"/>
  <c r="E20" i="57" s="1"/>
  <c r="X20" i="57"/>
  <c r="W20" i="57" s="1"/>
  <c r="AY9" i="51"/>
  <c r="AY10" i="53"/>
  <c r="BD30" i="53"/>
  <c r="AY8" i="53"/>
  <c r="BD69" i="43" a="1"/>
  <c r="BD69" i="43" s="1"/>
  <c r="BE69" i="43" a="1"/>
  <c r="BE69" i="43" s="1"/>
  <c r="AX11" i="53"/>
  <c r="M11" i="53" s="1"/>
  <c r="BG28" i="53"/>
  <c r="BH30" i="53" s="1"/>
  <c r="BG30" i="53"/>
  <c r="AY7" i="53"/>
  <c r="BD30" i="51"/>
  <c r="BE57" i="43"/>
  <c r="BD57" i="43"/>
  <c r="BF57" i="43"/>
  <c r="H19" i="59"/>
  <c r="G19" i="59"/>
  <c r="U22" i="59"/>
  <c r="K19" i="59"/>
  <c r="AP19" i="59"/>
  <c r="BM17" i="43" a="1"/>
  <c r="BG30" i="43" s="1"/>
  <c r="BM33" i="43" a="1"/>
  <c r="BM33" i="43" s="1"/>
  <c r="BD44" i="43" s="1"/>
  <c r="BI42" i="43"/>
  <c r="AY9" i="53"/>
  <c r="AY11" i="53"/>
  <c r="AX8" i="39"/>
  <c r="AX7" i="39"/>
  <c r="BE69" i="41" a="1"/>
  <c r="BE69" i="41" s="1"/>
  <c r="AX6" i="41" s="1"/>
  <c r="AX10" i="39"/>
  <c r="AX11" i="39"/>
  <c r="BM47" i="41"/>
  <c r="BC57" i="41" s="1"/>
  <c r="BE57" i="41"/>
  <c r="AT19" i="53"/>
  <c r="T19" i="59"/>
  <c r="V19" i="59"/>
  <c r="AQ19" i="59"/>
  <c r="C26" i="59"/>
  <c r="AR27" i="59"/>
  <c r="BF30" i="53"/>
  <c r="BE44" i="53"/>
  <c r="BE30" i="53"/>
  <c r="AY8" i="39"/>
  <c r="BF44" i="53"/>
  <c r="AR27" i="53"/>
  <c r="C26" i="53"/>
  <c r="AU20" i="59" a="1"/>
  <c r="AU20" i="59" s="1"/>
  <c r="AX20" i="59"/>
  <c r="R18" i="59"/>
  <c r="BX35" i="57" a="1"/>
  <c r="BX35" i="57" s="1"/>
  <c r="BX30" i="57" a="1"/>
  <c r="BX30" i="57" s="1"/>
  <c r="BX25" i="57" a="1"/>
  <c r="BX25" i="57" s="1"/>
  <c r="BW35" i="57" a="1"/>
  <c r="BW35" i="57" s="1"/>
  <c r="BW25" i="57" a="1"/>
  <c r="BW25" i="57" s="1"/>
  <c r="BX8" i="57" a="1"/>
  <c r="BX8" i="57" s="1"/>
  <c r="BW30" i="57" a="1"/>
  <c r="BW30" i="57" s="1"/>
  <c r="BW8" i="57" a="1"/>
  <c r="BW8" i="57" s="1"/>
  <c r="BX7" i="57" a="1"/>
  <c r="BX7" i="57" s="1"/>
  <c r="BW7" i="57" a="1"/>
  <c r="BW7" i="57" s="1"/>
  <c r="BX6" i="57" a="1"/>
  <c r="BX6" i="57" s="1"/>
  <c r="BW6" i="57" a="1"/>
  <c r="BW6" i="57" s="1"/>
  <c r="V18" i="59"/>
  <c r="AQ18" i="59"/>
  <c r="T18" i="59"/>
  <c r="BH30" i="39"/>
  <c r="BD30" i="39"/>
  <c r="BG30" i="39"/>
  <c r="AS19" i="53"/>
  <c r="BE30" i="51"/>
  <c r="BE30" i="47"/>
  <c r="M11" i="51"/>
  <c r="C26" i="51"/>
  <c r="AR27" i="51"/>
  <c r="BE30" i="49"/>
  <c r="AV20" i="53" a="1"/>
  <c r="AV20" i="53" s="1"/>
  <c r="AY7" i="39"/>
  <c r="AY6" i="39"/>
  <c r="AY9" i="39"/>
  <c r="BM17" i="39"/>
  <c r="BC30" i="39" s="1"/>
  <c r="AY11" i="39"/>
  <c r="AY10" i="39"/>
  <c r="BF30" i="39"/>
  <c r="BM17" i="41" a="1"/>
  <c r="BF30" i="41" s="1"/>
  <c r="AU20" i="53" a="1"/>
  <c r="AU20" i="53" s="1"/>
  <c r="U22" i="55"/>
  <c r="AU19" i="55" a="1"/>
  <c r="AU19" i="55" s="1"/>
  <c r="AS19" i="55" s="1"/>
  <c r="AV19" i="55" a="1"/>
  <c r="AV19" i="55" s="1"/>
  <c r="AT19" i="55" s="1"/>
  <c r="G18" i="55"/>
  <c r="AU18" i="55" a="1"/>
  <c r="AU18" i="55" s="1"/>
  <c r="AV18" i="55" a="1"/>
  <c r="AV18" i="55" s="1"/>
  <c r="F21" i="57"/>
  <c r="AU20" i="57" a="1"/>
  <c r="AU20" i="57" s="1"/>
  <c r="AV20" i="57" a="1"/>
  <c r="AV20" i="57" s="1"/>
  <c r="AT20" i="57" s="1"/>
  <c r="BF57" i="41"/>
  <c r="BE44" i="39"/>
  <c r="AZ8" i="39" s="1"/>
  <c r="BM33" i="41"/>
  <c r="BD44" i="41" s="1"/>
  <c r="BF44" i="41"/>
  <c r="BG28" i="41"/>
  <c r="AX7" i="41"/>
  <c r="C24" i="41"/>
  <c r="AR25" i="41"/>
  <c r="AW31" i="39"/>
  <c r="AW27" i="39"/>
  <c r="AW30" i="39"/>
  <c r="AW24" i="39"/>
  <c r="AX30" i="39"/>
  <c r="AX27" i="39"/>
  <c r="C25" i="39"/>
  <c r="AR26" i="39"/>
  <c r="C25" i="43"/>
  <c r="AR26" i="43"/>
  <c r="AX6" i="51"/>
  <c r="M6" i="51" s="1"/>
  <c r="BA6" i="59"/>
  <c r="AX7" i="51"/>
  <c r="M7" i="51" s="1"/>
  <c r="BA8" i="59"/>
  <c r="BA9" i="59"/>
  <c r="BA10" i="59"/>
  <c r="BA11" i="59"/>
  <c r="K19" i="55"/>
  <c r="H18" i="55"/>
  <c r="AP19" i="55"/>
  <c r="R19" i="55"/>
  <c r="AQ18" i="55"/>
  <c r="AP18" i="55"/>
  <c r="U20" i="55"/>
  <c r="R18" i="55"/>
  <c r="K18" i="55"/>
  <c r="V18" i="55"/>
  <c r="G19" i="55"/>
  <c r="H19" i="55"/>
  <c r="T18" i="55"/>
  <c r="AZ6" i="51"/>
  <c r="AQ19" i="55"/>
  <c r="AX8" i="51"/>
  <c r="M8" i="51" s="1"/>
  <c r="T19" i="55"/>
  <c r="AX10" i="51"/>
  <c r="M10" i="51" s="1"/>
  <c r="AX9" i="51"/>
  <c r="M9" i="51" s="1"/>
  <c r="AR28" i="49"/>
  <c r="C27" i="49"/>
  <c r="AR28" i="55"/>
  <c r="C27" i="55"/>
  <c r="BG30" i="51"/>
  <c r="AZ10" i="51"/>
  <c r="AZ11" i="51"/>
  <c r="AZ9" i="51"/>
  <c r="AZ7" i="51"/>
  <c r="AV20" i="59" a="1"/>
  <c r="AV20" i="59" s="1"/>
  <c r="U21" i="59"/>
  <c r="AQ20" i="59"/>
  <c r="V20" i="59"/>
  <c r="R20" i="59"/>
  <c r="T20" i="59"/>
  <c r="R20" i="57"/>
  <c r="V20" i="57"/>
  <c r="AQ20" i="57"/>
  <c r="T20" i="57"/>
  <c r="U21" i="57"/>
  <c r="AX21" i="57" s="1"/>
  <c r="V22" i="57"/>
  <c r="R22" i="57"/>
  <c r="AQ22" i="57"/>
  <c r="T22" i="57"/>
  <c r="AZ8" i="51"/>
  <c r="BE57" i="45"/>
  <c r="BF57" i="45"/>
  <c r="BD57" i="45"/>
  <c r="C24" i="45"/>
  <c r="AR25" i="45"/>
  <c r="C28" i="57"/>
  <c r="AR29" i="57"/>
  <c r="BE69" i="45" a="1"/>
  <c r="BE69" i="45" s="1"/>
  <c r="AX10" i="45" s="1"/>
  <c r="BM17" i="45" a="1"/>
  <c r="BM17" i="45" s="1"/>
  <c r="BC30" i="45" s="1"/>
  <c r="BM33" i="45" a="1"/>
  <c r="BI28" i="45"/>
  <c r="BH42" i="45"/>
  <c r="AY6" i="47"/>
  <c r="AY7" i="47"/>
  <c r="AY8" i="47"/>
  <c r="AY10" i="47"/>
  <c r="AY11" i="47"/>
  <c r="BD30" i="47"/>
  <c r="AX23" i="51"/>
  <c r="CB30" i="57" a="1"/>
  <c r="CB30" i="57" s="1"/>
  <c r="BY35" i="57" a="1"/>
  <c r="BY35" i="57" s="1"/>
  <c r="BZ7" i="57" a="1"/>
  <c r="BZ7" i="57" s="1"/>
  <c r="CB35" i="57" a="1"/>
  <c r="CB35" i="57" s="1"/>
  <c r="BZ6" i="57" a="1"/>
  <c r="BZ6" i="57" s="1"/>
  <c r="BZ35" i="57" a="1"/>
  <c r="BZ35" i="57" s="1"/>
  <c r="CA35" i="57" a="1"/>
  <c r="CA35" i="57" s="1"/>
  <c r="BY7" i="57" a="1"/>
  <c r="BY7" i="57" s="1"/>
  <c r="BY25" i="57" a="1"/>
  <c r="BY25" i="57" s="1"/>
  <c r="BZ30" i="57" a="1"/>
  <c r="BZ30" i="57" s="1"/>
  <c r="CB7" i="57" a="1"/>
  <c r="CB7" i="57" s="1"/>
  <c r="BY8" i="57" a="1"/>
  <c r="BY8" i="57" s="1"/>
  <c r="CA30" i="57" a="1"/>
  <c r="CA30" i="57" s="1"/>
  <c r="CB8" i="57" a="1"/>
  <c r="CB8" i="57" s="1"/>
  <c r="CA6" i="57" a="1"/>
  <c r="CA6" i="57" s="1"/>
  <c r="BZ25" i="57" a="1"/>
  <c r="BZ25" i="57" s="1"/>
  <c r="CA25" i="57" a="1"/>
  <c r="CA25" i="57" s="1"/>
  <c r="BZ8" i="57" a="1"/>
  <c r="BZ8" i="57" s="1"/>
  <c r="CA8" i="57" a="1"/>
  <c r="CA8" i="57" s="1"/>
  <c r="CB25" i="57" a="1"/>
  <c r="CB25" i="57" s="1"/>
  <c r="CB6" i="57" a="1"/>
  <c r="CB6" i="57" s="1"/>
  <c r="BY6" i="57" a="1"/>
  <c r="BY6" i="57" s="1"/>
  <c r="CA7" i="57" a="1"/>
  <c r="CA7" i="57" s="1"/>
  <c r="BY30" i="57" a="1"/>
  <c r="BY30" i="57" s="1"/>
  <c r="BG28" i="49"/>
  <c r="BH30" i="49" s="1"/>
  <c r="BG30" i="49"/>
  <c r="AZ7" i="49"/>
  <c r="M7" i="49" s="1"/>
  <c r="AZ6" i="49"/>
  <c r="M6" i="49" s="1"/>
  <c r="AZ8" i="49"/>
  <c r="M8" i="49" s="1"/>
  <c r="AZ10" i="49"/>
  <c r="M10" i="49" s="1"/>
  <c r="AZ11" i="49"/>
  <c r="M11" i="49" s="1"/>
  <c r="AZ9" i="49"/>
  <c r="M9" i="49" s="1"/>
  <c r="AR28" i="47"/>
  <c r="C27" i="47"/>
  <c r="AX21" i="53"/>
  <c r="AW21" i="53"/>
  <c r="AX6" i="53" l="1"/>
  <c r="M6" i="53" s="1"/>
  <c r="K20" i="57"/>
  <c r="H20" i="57"/>
  <c r="G20" i="57"/>
  <c r="BD57" i="41"/>
  <c r="AY7" i="41" s="1"/>
  <c r="AX6" i="43"/>
  <c r="AX10" i="53"/>
  <c r="M10" i="53" s="1"/>
  <c r="BA6" i="47"/>
  <c r="AX7" i="53"/>
  <c r="M7" i="53" s="1"/>
  <c r="C17" i="54" s="1"/>
  <c r="C27" i="54" s="1"/>
  <c r="AX9" i="53"/>
  <c r="M9" i="53" s="1"/>
  <c r="AQ24" i="53" s="1"/>
  <c r="AY6" i="43"/>
  <c r="BA6" i="53"/>
  <c r="AZ6" i="53"/>
  <c r="AZ6" i="39"/>
  <c r="AY7" i="43"/>
  <c r="AT18" i="55"/>
  <c r="AS18" i="55"/>
  <c r="T22" i="59"/>
  <c r="AX22" i="59"/>
  <c r="F20" i="59"/>
  <c r="R22" i="55"/>
  <c r="AX22" i="55"/>
  <c r="F20" i="55"/>
  <c r="AS20" i="57"/>
  <c r="AQ22" i="59"/>
  <c r="R22" i="59"/>
  <c r="V22" i="59"/>
  <c r="AZ7" i="53"/>
  <c r="BA7" i="53"/>
  <c r="AX8" i="43"/>
  <c r="AX7" i="43"/>
  <c r="AX9" i="43"/>
  <c r="AX11" i="43"/>
  <c r="AX10" i="43"/>
  <c r="BF30" i="43"/>
  <c r="BM17" i="43"/>
  <c r="BD30" i="43" s="1"/>
  <c r="AX8" i="41"/>
  <c r="BE30" i="43"/>
  <c r="AY11" i="43"/>
  <c r="AY10" i="43"/>
  <c r="AY9" i="43"/>
  <c r="AY8" i="43"/>
  <c r="BH30" i="43"/>
  <c r="BE44" i="43"/>
  <c r="BH42" i="43"/>
  <c r="BG44" i="43" s="1"/>
  <c r="BF44" i="43"/>
  <c r="AX9" i="41"/>
  <c r="AX11" i="41"/>
  <c r="AX10" i="41"/>
  <c r="AZ10" i="53"/>
  <c r="BG30" i="41"/>
  <c r="BA8" i="53"/>
  <c r="C27" i="59"/>
  <c r="AR28" i="59"/>
  <c r="BA10" i="53"/>
  <c r="AZ9" i="53"/>
  <c r="BA9" i="53"/>
  <c r="BA11" i="53"/>
  <c r="AZ8" i="53"/>
  <c r="AZ11" i="53"/>
  <c r="BA9" i="51"/>
  <c r="AT20" i="59"/>
  <c r="U23" i="53"/>
  <c r="C27" i="53"/>
  <c r="AR28" i="53"/>
  <c r="BW8" i="59" a="1"/>
  <c r="BW8" i="59" s="1"/>
  <c r="BW6" i="59" a="1"/>
  <c r="BW6" i="59" s="1"/>
  <c r="BW35" i="59" a="1"/>
  <c r="BW35" i="59" s="1"/>
  <c r="BW25" i="59" a="1"/>
  <c r="BW25" i="59" s="1"/>
  <c r="K21" i="57"/>
  <c r="AW21" i="57"/>
  <c r="G21" i="57"/>
  <c r="U21" i="55"/>
  <c r="AX21" i="55" s="1"/>
  <c r="AX20" i="55"/>
  <c r="AU21" i="59" a="1"/>
  <c r="AU21" i="59" s="1"/>
  <c r="AX21" i="59"/>
  <c r="AP21" i="57"/>
  <c r="H21" i="57"/>
  <c r="BX6" i="59" a="1"/>
  <c r="BX6" i="59" s="1"/>
  <c r="BX8" i="59" a="1"/>
  <c r="BX8" i="59" s="1"/>
  <c r="BX30" i="59" a="1"/>
  <c r="BX30" i="59" s="1"/>
  <c r="BX35" i="59" a="1"/>
  <c r="BX35" i="59" s="1"/>
  <c r="BW7" i="55" a="1"/>
  <c r="BW7" i="55" s="1"/>
  <c r="CC7" i="55" s="1"/>
  <c r="BX6" i="55" a="1"/>
  <c r="BX6" i="55" s="1"/>
  <c r="BW6" i="55" a="1"/>
  <c r="BW6" i="55" s="1"/>
  <c r="CC6" i="55" s="1"/>
  <c r="BX30" i="55" a="1"/>
  <c r="BX30" i="55" s="1"/>
  <c r="BX25" i="55" a="1"/>
  <c r="BX25" i="55" s="1"/>
  <c r="BX35" i="55" a="1"/>
  <c r="BX35" i="55" s="1"/>
  <c r="BW30" i="55" a="1"/>
  <c r="BW30" i="55" s="1"/>
  <c r="CC30" i="55" s="1"/>
  <c r="BW25" i="55" a="1"/>
  <c r="BW25" i="55" s="1"/>
  <c r="CC25" i="55" s="1"/>
  <c r="BW35" i="55" a="1"/>
  <c r="BW35" i="55" s="1"/>
  <c r="CC35" i="55" s="1"/>
  <c r="BW8" i="55" a="1"/>
  <c r="BW8" i="55" s="1"/>
  <c r="CC8" i="55" s="1"/>
  <c r="BX8" i="55" a="1"/>
  <c r="BX8" i="55" s="1"/>
  <c r="BX7" i="55" a="1"/>
  <c r="BX7" i="55" s="1"/>
  <c r="BW7" i="59" a="1"/>
  <c r="BW7" i="59" s="1"/>
  <c r="BX7" i="59" a="1"/>
  <c r="BX7" i="59" s="1"/>
  <c r="BW30" i="59" a="1"/>
  <c r="BW30" i="59" s="1"/>
  <c r="BX25" i="59" a="1"/>
  <c r="BX25" i="59" s="1"/>
  <c r="M6" i="47"/>
  <c r="F31" i="47" s="1"/>
  <c r="G31" i="47" s="1"/>
  <c r="AR28" i="51"/>
  <c r="C27" i="51"/>
  <c r="AZ7" i="39"/>
  <c r="BE30" i="39"/>
  <c r="BA9" i="39" s="1"/>
  <c r="AV21" i="53" a="1"/>
  <c r="AV21" i="53" s="1"/>
  <c r="AT21" i="53" s="1"/>
  <c r="T22" i="55"/>
  <c r="AQ22" i="55"/>
  <c r="V22" i="55"/>
  <c r="BH30" i="41"/>
  <c r="BM17" i="41"/>
  <c r="BC30" i="41" s="1"/>
  <c r="AZ10" i="39"/>
  <c r="BE44" i="41"/>
  <c r="AZ10" i="41" s="1"/>
  <c r="AV20" i="55" a="1"/>
  <c r="AV20" i="55" s="1"/>
  <c r="AV21" i="57" a="1"/>
  <c r="AV21" i="57" s="1"/>
  <c r="AT21" i="57" s="1"/>
  <c r="AU21" i="57" a="1"/>
  <c r="AU21" i="57" s="1"/>
  <c r="AV21" i="55" a="1"/>
  <c r="AV21" i="55" s="1"/>
  <c r="AU21" i="55" a="1"/>
  <c r="AU21" i="55" s="1"/>
  <c r="AU21" i="53" a="1"/>
  <c r="AU21" i="53" s="1"/>
  <c r="AS21" i="53" s="1"/>
  <c r="AV21" i="59" a="1"/>
  <c r="AV21" i="59" s="1"/>
  <c r="AU22" i="59" a="1"/>
  <c r="AU22" i="59" s="1"/>
  <c r="AV22" i="59" a="1"/>
  <c r="AV22" i="59" s="1"/>
  <c r="AU20" i="55" a="1"/>
  <c r="AU20" i="55" s="1"/>
  <c r="AY11" i="41"/>
  <c r="AZ9" i="39"/>
  <c r="AZ11" i="39"/>
  <c r="AP30" i="51"/>
  <c r="C26" i="39"/>
  <c r="AR27" i="39"/>
  <c r="C26" i="43"/>
  <c r="AR27" i="43"/>
  <c r="C25" i="41"/>
  <c r="AR26" i="41"/>
  <c r="AQ20" i="55"/>
  <c r="BZ35" i="55" a="1"/>
  <c r="BZ35" i="55" s="1"/>
  <c r="T20" i="55"/>
  <c r="BZ25" i="55" a="1"/>
  <c r="BZ25" i="55" s="1"/>
  <c r="V20" i="55"/>
  <c r="BZ8" i="55" a="1"/>
  <c r="BZ8" i="55" s="1"/>
  <c r="BY25" i="55" a="1"/>
  <c r="BY25" i="55" s="1"/>
  <c r="CB35" i="55" a="1"/>
  <c r="CB35" i="55" s="1"/>
  <c r="BY35" i="55" a="1"/>
  <c r="BY35" i="55" s="1"/>
  <c r="BY7" i="55" a="1"/>
  <c r="BY7" i="55" s="1"/>
  <c r="CB8" i="55" a="1"/>
  <c r="CB8" i="55" s="1"/>
  <c r="BZ6" i="55" a="1"/>
  <c r="BZ6" i="55" s="1"/>
  <c r="CA7" i="55" a="1"/>
  <c r="CA7" i="55" s="1"/>
  <c r="BZ7" i="55" a="1"/>
  <c r="BZ7" i="55" s="1"/>
  <c r="BY8" i="55" a="1"/>
  <c r="BY8" i="55" s="1"/>
  <c r="CB30" i="55" a="1"/>
  <c r="CB30" i="55" s="1"/>
  <c r="BY6" i="55" a="1"/>
  <c r="BY6" i="55" s="1"/>
  <c r="CB25" i="55" a="1"/>
  <c r="CB25" i="55" s="1"/>
  <c r="BY30" i="55" a="1"/>
  <c r="BY30" i="55" s="1"/>
  <c r="CA35" i="55" a="1"/>
  <c r="CA35" i="55" s="1"/>
  <c r="CA6" i="55" a="1"/>
  <c r="CA6" i="55" s="1"/>
  <c r="CB6" i="55" a="1"/>
  <c r="CB6" i="55" s="1"/>
  <c r="CB7" i="55" a="1"/>
  <c r="CB7" i="55" s="1"/>
  <c r="BZ30" i="55" a="1"/>
  <c r="BZ30" i="55" s="1"/>
  <c r="CA8" i="55" a="1"/>
  <c r="CA8" i="55" s="1"/>
  <c r="CA25" i="55" a="1"/>
  <c r="CA25" i="55" s="1"/>
  <c r="R20" i="55"/>
  <c r="CA30" i="55" a="1"/>
  <c r="CA30" i="55" s="1"/>
  <c r="AQ28" i="51"/>
  <c r="AP26" i="51"/>
  <c r="AP28" i="51"/>
  <c r="AQ26" i="51"/>
  <c r="AQ32" i="51"/>
  <c r="AQ24" i="51"/>
  <c r="AP32" i="51"/>
  <c r="AQ27" i="51"/>
  <c r="AP27" i="51"/>
  <c r="AQ25" i="51"/>
  <c r="AQ31" i="51"/>
  <c r="AQ29" i="51"/>
  <c r="AP29" i="51"/>
  <c r="AP24" i="51"/>
  <c r="AQ30" i="51"/>
  <c r="AP31" i="51"/>
  <c r="AP25" i="51"/>
  <c r="U19" i="51"/>
  <c r="R19" i="51" s="1"/>
  <c r="BA7" i="51"/>
  <c r="BA6" i="51"/>
  <c r="F19" i="51"/>
  <c r="U23" i="51" s="1"/>
  <c r="BA11" i="51"/>
  <c r="BA8" i="51"/>
  <c r="F18" i="51"/>
  <c r="BA10" i="51"/>
  <c r="U18" i="51"/>
  <c r="C28" i="49"/>
  <c r="AR29" i="49"/>
  <c r="C28" i="55"/>
  <c r="AR29" i="55"/>
  <c r="V21" i="59"/>
  <c r="BY30" i="59" s="1" a="1"/>
  <c r="BY30" i="59" s="1"/>
  <c r="R21" i="59"/>
  <c r="T21" i="59"/>
  <c r="AQ21" i="59"/>
  <c r="V21" i="57"/>
  <c r="AQ21" i="57"/>
  <c r="T21" i="57"/>
  <c r="R21" i="57"/>
  <c r="F22" i="57"/>
  <c r="CF25" i="57"/>
  <c r="E25" i="58" s="1"/>
  <c r="BA7" i="47"/>
  <c r="M7" i="47" s="1"/>
  <c r="BA9" i="47"/>
  <c r="M9" i="47" s="1"/>
  <c r="BA11" i="47"/>
  <c r="M11" i="47" s="1"/>
  <c r="BA8" i="47"/>
  <c r="M8" i="47" s="1"/>
  <c r="AY9" i="45"/>
  <c r="BA10" i="47"/>
  <c r="M10" i="47" s="1"/>
  <c r="AY11" i="45"/>
  <c r="AY8" i="45"/>
  <c r="AY7" i="45"/>
  <c r="AY10" i="45"/>
  <c r="AY6" i="45"/>
  <c r="BD30" i="45"/>
  <c r="BE30" i="45"/>
  <c r="C25" i="45"/>
  <c r="AR26" i="45"/>
  <c r="AX7" i="45"/>
  <c r="AX6" i="45"/>
  <c r="AX11" i="45"/>
  <c r="AX8" i="45"/>
  <c r="AX9" i="45"/>
  <c r="C29" i="57"/>
  <c r="AR30" i="57"/>
  <c r="BG44" i="45"/>
  <c r="BM33" i="45"/>
  <c r="BF44" i="45"/>
  <c r="BF30" i="45"/>
  <c r="BH28" i="45"/>
  <c r="CF6" i="57"/>
  <c r="C15" i="50" a="1"/>
  <c r="C15" i="50" s="1"/>
  <c r="C21" i="50" a="1"/>
  <c r="C21" i="50" s="1"/>
  <c r="C13" i="50"/>
  <c r="C26" i="50" a="1"/>
  <c r="C26" i="50" s="1"/>
  <c r="C11" i="50" a="1"/>
  <c r="C11" i="50" s="1"/>
  <c r="C16" i="50" a="1"/>
  <c r="C16" i="50" s="1"/>
  <c r="C17" i="50"/>
  <c r="C27" i="50" s="1"/>
  <c r="C18" i="50"/>
  <c r="C12" i="50"/>
  <c r="C22" i="50" s="1"/>
  <c r="C10" i="50" a="1"/>
  <c r="C10" i="50" s="1"/>
  <c r="BA8" i="49"/>
  <c r="BA6" i="49"/>
  <c r="BA7" i="49"/>
  <c r="CF7" i="57"/>
  <c r="CC8" i="57"/>
  <c r="CD8" i="57" s="1"/>
  <c r="CC35" i="57"/>
  <c r="CD35" i="57" s="1"/>
  <c r="CC25" i="57"/>
  <c r="CE25" i="57" s="1"/>
  <c r="CC30" i="57"/>
  <c r="CF35" i="57"/>
  <c r="CC7" i="57"/>
  <c r="CC6" i="57"/>
  <c r="CF8" i="57"/>
  <c r="CF30" i="57"/>
  <c r="C10" i="48" a="1"/>
  <c r="C10" i="48" s="1"/>
  <c r="C21" i="48" a="1"/>
  <c r="C21" i="48" s="1"/>
  <c r="C18" i="48"/>
  <c r="C12" i="48"/>
  <c r="C22" i="48" s="1"/>
  <c r="C11" i="48" a="1"/>
  <c r="C11" i="48" s="1"/>
  <c r="C26" i="48" a="1"/>
  <c r="C26" i="48" s="1"/>
  <c r="C15" i="48" a="1"/>
  <c r="C15" i="48" s="1"/>
  <c r="C17" i="48"/>
  <c r="C27" i="48" s="1"/>
  <c r="C16" i="48" a="1"/>
  <c r="C16" i="48" s="1"/>
  <c r="C13" i="48"/>
  <c r="BA9" i="49"/>
  <c r="BA10" i="49"/>
  <c r="AX31" i="45"/>
  <c r="AW31" i="45"/>
  <c r="AW26" i="45"/>
  <c r="AW24" i="45"/>
  <c r="AW28" i="45"/>
  <c r="AW29" i="45"/>
  <c r="BA11" i="49"/>
  <c r="F26" i="49"/>
  <c r="F31" i="49"/>
  <c r="F29" i="49"/>
  <c r="F24" i="49"/>
  <c r="F32" i="49"/>
  <c r="U31" i="49"/>
  <c r="F28" i="49"/>
  <c r="U28" i="49"/>
  <c r="R28" i="49" s="1"/>
  <c r="F25" i="49"/>
  <c r="F19" i="49"/>
  <c r="F18" i="49"/>
  <c r="D18" i="49" s="1"/>
  <c r="E18" i="49" s="1"/>
  <c r="U19" i="49"/>
  <c r="U32" i="49"/>
  <c r="U27" i="49"/>
  <c r="U26" i="49"/>
  <c r="F27" i="49"/>
  <c r="U30" i="49"/>
  <c r="U24" i="49"/>
  <c r="U18" i="49"/>
  <c r="U29" i="49"/>
  <c r="AX29" i="49" s="1"/>
  <c r="U25" i="49"/>
  <c r="F30" i="49"/>
  <c r="AR29" i="47"/>
  <c r="C28" i="47"/>
  <c r="AW25" i="47"/>
  <c r="AW29" i="47"/>
  <c r="U29" i="43"/>
  <c r="F25" i="43"/>
  <c r="F28" i="43"/>
  <c r="F31" i="43"/>
  <c r="U25" i="43"/>
  <c r="F24" i="43"/>
  <c r="F32" i="43"/>
  <c r="U30" i="43"/>
  <c r="U27" i="43"/>
  <c r="F29" i="43"/>
  <c r="F27" i="43"/>
  <c r="F26" i="43"/>
  <c r="U32" i="43"/>
  <c r="U31" i="43"/>
  <c r="U24" i="43"/>
  <c r="U26" i="43"/>
  <c r="U28" i="43"/>
  <c r="F30" i="43"/>
  <c r="AX25" i="47"/>
  <c r="AW24" i="47"/>
  <c r="AW28" i="47"/>
  <c r="AW31" i="47"/>
  <c r="AX31" i="47"/>
  <c r="AY10" i="41" l="1"/>
  <c r="AY6" i="41"/>
  <c r="AQ28" i="53"/>
  <c r="AQ31" i="53"/>
  <c r="AP26" i="53"/>
  <c r="AQ26" i="53"/>
  <c r="AP24" i="53"/>
  <c r="AQ27" i="53"/>
  <c r="F18" i="53"/>
  <c r="H18" i="53" s="1"/>
  <c r="U19" i="53"/>
  <c r="R19" i="53" s="1"/>
  <c r="U18" i="53"/>
  <c r="V18" i="53" s="1"/>
  <c r="AY8" i="41"/>
  <c r="AY9" i="41"/>
  <c r="F19" i="53"/>
  <c r="H19" i="53" s="1"/>
  <c r="AP31" i="53"/>
  <c r="AQ32" i="53"/>
  <c r="AQ25" i="53"/>
  <c r="AP32" i="53"/>
  <c r="AP28" i="53"/>
  <c r="AQ30" i="53"/>
  <c r="AP25" i="53"/>
  <c r="AP27" i="53"/>
  <c r="AQ29" i="53"/>
  <c r="AP30" i="53"/>
  <c r="AP29" i="53"/>
  <c r="BD30" i="41"/>
  <c r="AZ7" i="41"/>
  <c r="AZ6" i="41"/>
  <c r="BA6" i="39"/>
  <c r="M6" i="39" s="1"/>
  <c r="AZ7" i="43"/>
  <c r="AZ6" i="43"/>
  <c r="AZ8" i="43"/>
  <c r="V18" i="51"/>
  <c r="X18" i="51"/>
  <c r="W18" i="51" s="1"/>
  <c r="AX18" i="51"/>
  <c r="X18" i="53"/>
  <c r="W18" i="53" s="1"/>
  <c r="AX18" i="53"/>
  <c r="AT18" i="53" s="1"/>
  <c r="D18" i="51"/>
  <c r="E18" i="51" s="1"/>
  <c r="AX18" i="49"/>
  <c r="X18" i="49"/>
  <c r="W18" i="49" s="1"/>
  <c r="K20" i="55"/>
  <c r="D20" i="55"/>
  <c r="E20" i="55" s="1"/>
  <c r="F21" i="55"/>
  <c r="AW20" i="55"/>
  <c r="AS20" i="55" s="1"/>
  <c r="AP20" i="55"/>
  <c r="F22" i="55" s="1"/>
  <c r="G20" i="55"/>
  <c r="H20" i="55"/>
  <c r="AW18" i="51"/>
  <c r="H20" i="59"/>
  <c r="G20" i="59"/>
  <c r="AP20" i="59"/>
  <c r="F22" i="59" s="1"/>
  <c r="D22" i="59" s="1"/>
  <c r="E22" i="59" s="1"/>
  <c r="F21" i="59"/>
  <c r="AW20" i="59"/>
  <c r="AS20" i="59" s="1"/>
  <c r="D20" i="59"/>
  <c r="E20" i="59" s="1"/>
  <c r="X20" i="59"/>
  <c r="W20" i="59" s="1"/>
  <c r="K20" i="59"/>
  <c r="D18" i="53"/>
  <c r="E18" i="53" s="1"/>
  <c r="AW18" i="53"/>
  <c r="AS18" i="53" s="1"/>
  <c r="AT22" i="59"/>
  <c r="X20" i="55"/>
  <c r="W20" i="55" s="1"/>
  <c r="AW22" i="57"/>
  <c r="X22" i="57"/>
  <c r="W22" i="57" s="1"/>
  <c r="D22" i="57"/>
  <c r="E22" i="57" s="1"/>
  <c r="BC30" i="43"/>
  <c r="BA11" i="43" s="1"/>
  <c r="M11" i="43" s="1"/>
  <c r="AZ11" i="43"/>
  <c r="AZ9" i="43"/>
  <c r="AZ10" i="43"/>
  <c r="AR29" i="59"/>
  <c r="C28" i="59"/>
  <c r="R21" i="55"/>
  <c r="AS21" i="57"/>
  <c r="V21" i="55"/>
  <c r="AT21" i="55"/>
  <c r="AQ21" i="55"/>
  <c r="T21" i="55"/>
  <c r="AE11" i="58"/>
  <c r="AD12" i="58" s="1"/>
  <c r="AQ23" i="53"/>
  <c r="V23" i="53"/>
  <c r="T23" i="53"/>
  <c r="R23" i="53"/>
  <c r="C28" i="53"/>
  <c r="AR29" i="53"/>
  <c r="M9" i="39"/>
  <c r="AT20" i="55"/>
  <c r="AT21" i="59"/>
  <c r="F19" i="47"/>
  <c r="AP19" i="47" s="1"/>
  <c r="U31" i="47"/>
  <c r="V31" i="47" s="1"/>
  <c r="F28" i="47"/>
  <c r="AP28" i="47" s="1"/>
  <c r="F24" i="47"/>
  <c r="G24" i="47" s="1"/>
  <c r="F18" i="47"/>
  <c r="AW18" i="47" s="1"/>
  <c r="BA11" i="39"/>
  <c r="M11" i="39" s="1"/>
  <c r="BA8" i="39"/>
  <c r="M8" i="39" s="1"/>
  <c r="F29" i="47"/>
  <c r="H29" i="47" s="1"/>
  <c r="F26" i="47"/>
  <c r="H26" i="47" s="1"/>
  <c r="U24" i="47"/>
  <c r="AQ24" i="47" s="1"/>
  <c r="F27" i="47"/>
  <c r="G27" i="47" s="1"/>
  <c r="F25" i="47"/>
  <c r="K25" i="47" s="1"/>
  <c r="F30" i="47"/>
  <c r="G30" i="47" s="1"/>
  <c r="U28" i="47"/>
  <c r="T28" i="47" s="1"/>
  <c r="U25" i="47"/>
  <c r="T25" i="47" s="1"/>
  <c r="U29" i="47"/>
  <c r="R29" i="47" s="1"/>
  <c r="F32" i="47"/>
  <c r="K32" i="47" s="1"/>
  <c r="U30" i="47"/>
  <c r="T30" i="47" s="1"/>
  <c r="U19" i="47"/>
  <c r="AX19" i="47" s="1"/>
  <c r="F28" i="39"/>
  <c r="K28" i="39" s="1"/>
  <c r="F31" i="39"/>
  <c r="F24" i="39"/>
  <c r="G24" i="39" s="1"/>
  <c r="U32" i="47"/>
  <c r="T32" i="47" s="1"/>
  <c r="U18" i="47"/>
  <c r="U26" i="47"/>
  <c r="V26" i="47" s="1"/>
  <c r="U27" i="47"/>
  <c r="AX27" i="47" s="1"/>
  <c r="BA10" i="39"/>
  <c r="M10" i="39" s="1"/>
  <c r="BA7" i="39"/>
  <c r="M7" i="39" s="1"/>
  <c r="BE30" i="41"/>
  <c r="V23" i="51"/>
  <c r="T23" i="51"/>
  <c r="R23" i="51"/>
  <c r="AQ23" i="51"/>
  <c r="F23" i="53"/>
  <c r="AR29" i="51"/>
  <c r="C28" i="51"/>
  <c r="AZ11" i="41"/>
  <c r="AZ8" i="41"/>
  <c r="AZ9" i="41"/>
  <c r="AU32" i="47" a="1"/>
  <c r="AU32" i="47" s="1"/>
  <c r="AU24" i="47" a="1"/>
  <c r="AU24" i="47" s="1"/>
  <c r="AS24" i="47" s="1"/>
  <c r="AV29" i="47" a="1"/>
  <c r="AV29" i="47" s="1"/>
  <c r="AV31" i="47" a="1"/>
  <c r="AV31" i="47" s="1"/>
  <c r="AT31" i="47" s="1"/>
  <c r="AU27" i="47" a="1"/>
  <c r="AU27" i="47" s="1"/>
  <c r="AU31" i="47" a="1"/>
  <c r="AU31" i="47" s="1"/>
  <c r="AS31" i="47" s="1"/>
  <c r="AU18" i="47" a="1"/>
  <c r="AU18" i="47" s="1"/>
  <c r="AU26" i="47" a="1"/>
  <c r="AU26" i="47" s="1"/>
  <c r="AU28" i="47" a="1"/>
  <c r="AU28" i="47" s="1"/>
  <c r="AS28" i="47" s="1"/>
  <c r="AV30" i="47" a="1"/>
  <c r="AV30" i="47" s="1"/>
  <c r="AU19" i="47" a="1"/>
  <c r="AU19" i="47" s="1"/>
  <c r="AU30" i="47" a="1"/>
  <c r="AU30" i="47" s="1"/>
  <c r="AV24" i="47" a="1"/>
  <c r="AV24" i="47" s="1"/>
  <c r="AV28" i="49" a="1"/>
  <c r="AV28" i="49" s="1"/>
  <c r="AU28" i="49" a="1"/>
  <c r="AU28" i="49" s="1"/>
  <c r="AV26" i="47" a="1"/>
  <c r="AV26" i="47" s="1"/>
  <c r="AU27" i="49" a="1"/>
  <c r="AU27" i="49" s="1"/>
  <c r="AV27" i="49" a="1"/>
  <c r="AV27" i="49" s="1"/>
  <c r="AV32" i="49" a="1"/>
  <c r="AV32" i="49" s="1"/>
  <c r="AU32" i="49" a="1"/>
  <c r="AU32" i="49" s="1"/>
  <c r="AV23" i="53" a="1"/>
  <c r="AV23" i="53" s="1"/>
  <c r="AT23" i="53" s="1"/>
  <c r="AV19" i="47" a="1"/>
  <c r="AV19" i="47" s="1"/>
  <c r="AW24" i="49"/>
  <c r="AV24" i="49" a="1"/>
  <c r="AV24" i="49" s="1"/>
  <c r="AU24" i="49" a="1"/>
  <c r="AU24" i="49" s="1"/>
  <c r="AW29" i="49"/>
  <c r="AU29" i="49" a="1"/>
  <c r="AU29" i="49" s="1"/>
  <c r="AV29" i="49" a="1"/>
  <c r="AV29" i="49" s="1"/>
  <c r="AT29" i="49" s="1"/>
  <c r="K19" i="51"/>
  <c r="AV19" i="51" a="1"/>
  <c r="AV19" i="51" s="1"/>
  <c r="AT19" i="51" s="1"/>
  <c r="AU19" i="51" a="1"/>
  <c r="AU19" i="51" s="1"/>
  <c r="AS19" i="51" s="1"/>
  <c r="AV31" i="49" a="1"/>
  <c r="AV31" i="49" s="1"/>
  <c r="AU31" i="49" a="1"/>
  <c r="AU31" i="49" s="1"/>
  <c r="AV28" i="47" a="1"/>
  <c r="AV28" i="47" s="1"/>
  <c r="AV27" i="47" a="1"/>
  <c r="AV27" i="47" s="1"/>
  <c r="AU29" i="47" a="1"/>
  <c r="AU29" i="47" s="1"/>
  <c r="AS29" i="47" s="1"/>
  <c r="AW26" i="49"/>
  <c r="AV26" i="49" a="1"/>
  <c r="AV26" i="49" s="1"/>
  <c r="AU26" i="49" a="1"/>
  <c r="AU26" i="49" s="1"/>
  <c r="AV18" i="49" a="1"/>
  <c r="AV18" i="49" s="1"/>
  <c r="AP18" i="51"/>
  <c r="AV18" i="51" a="1"/>
  <c r="AV18" i="51" s="1"/>
  <c r="AU18" i="51" a="1"/>
  <c r="AU18" i="51" s="1"/>
  <c r="AU22" i="55" a="1"/>
  <c r="AU22" i="55" s="1"/>
  <c r="AV22" i="55" a="1"/>
  <c r="AV22" i="55" s="1"/>
  <c r="AT22" i="55" s="1"/>
  <c r="AV32" i="47" a="1"/>
  <c r="AV32" i="47" s="1"/>
  <c r="AV25" i="47" a="1"/>
  <c r="AV25" i="47" s="1"/>
  <c r="AT25" i="47" s="1"/>
  <c r="AU30" i="49" a="1"/>
  <c r="AU30" i="49" s="1"/>
  <c r="AV30" i="49" a="1"/>
  <c r="AV30" i="49" s="1"/>
  <c r="U23" i="49"/>
  <c r="AQ23" i="49" s="1"/>
  <c r="AV19" i="49" a="1"/>
  <c r="AV19" i="49" s="1"/>
  <c r="AV22" i="57" a="1"/>
  <c r="AV22" i="57" s="1"/>
  <c r="AT22" i="57" s="1"/>
  <c r="AU22" i="57" a="1"/>
  <c r="AU22" i="57" s="1"/>
  <c r="AV22" i="53" a="1"/>
  <c r="AV22" i="53" s="1"/>
  <c r="AU22" i="53" a="1"/>
  <c r="AU22" i="53" s="1"/>
  <c r="AU25" i="47" a="1"/>
  <c r="AU25" i="47" s="1"/>
  <c r="AS25" i="47" s="1"/>
  <c r="AW25" i="49"/>
  <c r="AU25" i="49" a="1"/>
  <c r="AU25" i="49" s="1"/>
  <c r="AV25" i="49" a="1"/>
  <c r="AV25" i="49" s="1"/>
  <c r="C26" i="41"/>
  <c r="AR27" i="41"/>
  <c r="C27" i="43"/>
  <c r="AR28" i="43"/>
  <c r="C27" i="39"/>
  <c r="AR28" i="39"/>
  <c r="CA7" i="59" a="1"/>
  <c r="CA7" i="59" s="1"/>
  <c r="BY8" i="59" a="1"/>
  <c r="BY8" i="59" s="1"/>
  <c r="BY25" i="59" a="1"/>
  <c r="BY25" i="59" s="1"/>
  <c r="CC6" i="59"/>
  <c r="CC7" i="59"/>
  <c r="BZ7" i="59" a="1"/>
  <c r="BZ7" i="59" s="1"/>
  <c r="BZ30" i="59" a="1"/>
  <c r="BZ30" i="59" s="1"/>
  <c r="CB7" i="59" a="1"/>
  <c r="CB7" i="59" s="1"/>
  <c r="CB8" i="59" a="1"/>
  <c r="CB8" i="59" s="1"/>
  <c r="CA35" i="59" a="1"/>
  <c r="CA35" i="59" s="1"/>
  <c r="BZ35" i="59" a="1"/>
  <c r="BZ35" i="59" s="1"/>
  <c r="CC25" i="59"/>
  <c r="BZ8" i="59" a="1"/>
  <c r="BZ8" i="59" s="1"/>
  <c r="CB30" i="59" a="1"/>
  <c r="CB30" i="59" s="1"/>
  <c r="BY6" i="59" a="1"/>
  <c r="BY6" i="59" s="1"/>
  <c r="BY7" i="59" a="1"/>
  <c r="BY7" i="59" s="1"/>
  <c r="BZ6" i="59" a="1"/>
  <c r="BZ6" i="59" s="1"/>
  <c r="BZ25" i="59" a="1"/>
  <c r="BZ25" i="59" s="1"/>
  <c r="CA30" i="59" a="1"/>
  <c r="CA30" i="59" s="1"/>
  <c r="CB35" i="59" a="1"/>
  <c r="CB35" i="59" s="1"/>
  <c r="CA8" i="59" a="1"/>
  <c r="CA8" i="59" s="1"/>
  <c r="CC30" i="59"/>
  <c r="CD30" i="59" s="1"/>
  <c r="CA25" i="59" a="1"/>
  <c r="CA25" i="59" s="1"/>
  <c r="CB6" i="59" a="1"/>
  <c r="CB6" i="59" s="1"/>
  <c r="CC8" i="59"/>
  <c r="CA6" i="59" a="1"/>
  <c r="CA6" i="59" s="1"/>
  <c r="BY35" i="59" a="1"/>
  <c r="BY35" i="59" s="1"/>
  <c r="CC35" i="59"/>
  <c r="CB25" i="59" a="1"/>
  <c r="CB25" i="59" s="1"/>
  <c r="CF6" i="55"/>
  <c r="CE6" i="55"/>
  <c r="CE7" i="55"/>
  <c r="CF30" i="55"/>
  <c r="G33" i="56" s="1"/>
  <c r="CF8" i="55"/>
  <c r="V13" i="56" s="1"/>
  <c r="CF35" i="55"/>
  <c r="G35" i="56" s="1"/>
  <c r="CD6" i="55"/>
  <c r="CD7" i="55"/>
  <c r="CF7" i="55"/>
  <c r="Z11" i="56" s="1"/>
  <c r="CE8" i="55"/>
  <c r="CF25" i="55"/>
  <c r="G28" i="56" s="1"/>
  <c r="CD30" i="55"/>
  <c r="V19" i="51"/>
  <c r="AQ19" i="51"/>
  <c r="T19" i="51"/>
  <c r="H19" i="51"/>
  <c r="U20" i="51"/>
  <c r="U21" i="51" s="1"/>
  <c r="AX21" i="51" s="1"/>
  <c r="U22" i="51"/>
  <c r="G19" i="51"/>
  <c r="AP19" i="51"/>
  <c r="H18" i="51"/>
  <c r="G18" i="51"/>
  <c r="K18" i="51"/>
  <c r="AQ18" i="51"/>
  <c r="R18" i="51"/>
  <c r="T18" i="51"/>
  <c r="AR30" i="49"/>
  <c r="C29" i="49"/>
  <c r="AR30" i="55"/>
  <c r="C29" i="55"/>
  <c r="AP22" i="57"/>
  <c r="H22" i="57"/>
  <c r="G22" i="57"/>
  <c r="Q7" i="57" s="1"/>
  <c r="K22" i="57"/>
  <c r="G25" i="58"/>
  <c r="G28" i="58"/>
  <c r="F26" i="58"/>
  <c r="E28" i="58" s="1"/>
  <c r="C30" i="57"/>
  <c r="AR31" i="57"/>
  <c r="AR27" i="45"/>
  <c r="C26" i="45"/>
  <c r="BG28" i="45"/>
  <c r="BH30" i="45" s="1"/>
  <c r="BG30" i="45"/>
  <c r="BD44" i="45"/>
  <c r="BE44" i="45"/>
  <c r="CE30" i="55"/>
  <c r="AF10" i="58"/>
  <c r="AF13" i="58"/>
  <c r="AD10" i="58"/>
  <c r="CD8" i="55"/>
  <c r="E8" i="50"/>
  <c r="C20" i="50"/>
  <c r="O8" i="50" s="1"/>
  <c r="J8" i="50"/>
  <c r="C25" i="50"/>
  <c r="T8" i="50" s="1"/>
  <c r="J15" i="50"/>
  <c r="C28" i="50"/>
  <c r="T25" i="50" s="1"/>
  <c r="E10" i="50"/>
  <c r="C23" i="50"/>
  <c r="O20" i="50" s="1"/>
  <c r="U23" i="47"/>
  <c r="AX23" i="47" s="1"/>
  <c r="AA13" i="58"/>
  <c r="Z11" i="58"/>
  <c r="Y10" i="58"/>
  <c r="AA10" i="58"/>
  <c r="CD25" i="57"/>
  <c r="CE8" i="57"/>
  <c r="G33" i="58"/>
  <c r="F31" i="58"/>
  <c r="E30" i="58"/>
  <c r="G30" i="58"/>
  <c r="V10" i="58"/>
  <c r="V13" i="58"/>
  <c r="U11" i="58"/>
  <c r="T10" i="58"/>
  <c r="F36" i="58"/>
  <c r="E37" i="58" s="1"/>
  <c r="G38" i="58"/>
  <c r="G35" i="58"/>
  <c r="E35" i="58"/>
  <c r="CE35" i="57"/>
  <c r="CE30" i="57"/>
  <c r="CD30" i="57"/>
  <c r="CE7" i="57"/>
  <c r="CD7" i="57"/>
  <c r="CE25" i="55"/>
  <c r="CD25" i="55"/>
  <c r="CE6" i="57"/>
  <c r="CD6" i="57"/>
  <c r="CD35" i="55"/>
  <c r="CE35" i="55"/>
  <c r="U22" i="49"/>
  <c r="AX22" i="49" s="1"/>
  <c r="K31" i="47"/>
  <c r="AP31" i="47"/>
  <c r="E8" i="48"/>
  <c r="C20" i="48"/>
  <c r="O8" i="48" s="1"/>
  <c r="J8" i="48"/>
  <c r="C25" i="48"/>
  <c r="T8" i="48" s="1"/>
  <c r="J15" i="48"/>
  <c r="C28" i="48"/>
  <c r="T25" i="48" s="1"/>
  <c r="J15" i="44"/>
  <c r="E10" i="48"/>
  <c r="C23" i="48"/>
  <c r="O20" i="48" s="1"/>
  <c r="J31" i="47"/>
  <c r="H31" i="47"/>
  <c r="U23" i="43"/>
  <c r="R23" i="43" s="1"/>
  <c r="AX28" i="45"/>
  <c r="AX30" i="47"/>
  <c r="U20" i="49"/>
  <c r="AX20" i="49" s="1"/>
  <c r="F20" i="49"/>
  <c r="AX18" i="47"/>
  <c r="AX32" i="47"/>
  <c r="AW30" i="47"/>
  <c r="AX24" i="47"/>
  <c r="AW26" i="47"/>
  <c r="AW19" i="47"/>
  <c r="AW32" i="47"/>
  <c r="AW32" i="45"/>
  <c r="AX26" i="47"/>
  <c r="AX28" i="49"/>
  <c r="AW27" i="47"/>
  <c r="AX29" i="47"/>
  <c r="AX28" i="47"/>
  <c r="T28" i="49"/>
  <c r="V28" i="49"/>
  <c r="AW25" i="45"/>
  <c r="H25" i="49"/>
  <c r="K25" i="49"/>
  <c r="G25" i="49"/>
  <c r="AP25" i="49"/>
  <c r="AQ28" i="49"/>
  <c r="K24" i="49"/>
  <c r="G24" i="49"/>
  <c r="H24" i="49"/>
  <c r="AP24" i="49"/>
  <c r="H29" i="49"/>
  <c r="G29" i="49"/>
  <c r="AP29" i="49"/>
  <c r="K29" i="49"/>
  <c r="K31" i="49"/>
  <c r="G31" i="49"/>
  <c r="AW31" i="49"/>
  <c r="J31" i="49"/>
  <c r="H31" i="49"/>
  <c r="AP31" i="49"/>
  <c r="K26" i="49"/>
  <c r="G26" i="49"/>
  <c r="H26" i="49"/>
  <c r="AP26" i="49"/>
  <c r="J25" i="49"/>
  <c r="K28" i="49"/>
  <c r="G28" i="49"/>
  <c r="AP28" i="49"/>
  <c r="AW28" i="49"/>
  <c r="H28" i="49"/>
  <c r="V31" i="49"/>
  <c r="T31" i="49"/>
  <c r="R31" i="49"/>
  <c r="AX31" i="49"/>
  <c r="AQ31" i="49"/>
  <c r="G32" i="49"/>
  <c r="AP32" i="49"/>
  <c r="AW32" i="49"/>
  <c r="J32" i="49"/>
  <c r="H32" i="49"/>
  <c r="K32" i="49"/>
  <c r="AW18" i="49"/>
  <c r="G18" i="49"/>
  <c r="H18" i="49"/>
  <c r="AP18" i="49"/>
  <c r="K18" i="49"/>
  <c r="G19" i="49"/>
  <c r="AW19" i="49"/>
  <c r="K19" i="49"/>
  <c r="H19" i="49"/>
  <c r="AP19" i="49"/>
  <c r="R25" i="49"/>
  <c r="V25" i="49"/>
  <c r="T25" i="49"/>
  <c r="AX25" i="49"/>
  <c r="AQ25" i="49"/>
  <c r="T29" i="49"/>
  <c r="R29" i="49"/>
  <c r="V29" i="49"/>
  <c r="AQ29" i="49"/>
  <c r="AU18" i="49" a="1"/>
  <c r="AU18" i="49" s="1"/>
  <c r="V18" i="49"/>
  <c r="AQ18" i="49"/>
  <c r="T18" i="49"/>
  <c r="R18" i="49"/>
  <c r="V24" i="49"/>
  <c r="T24" i="49"/>
  <c r="R24" i="49"/>
  <c r="AX24" i="49"/>
  <c r="AQ24" i="49"/>
  <c r="V30" i="49"/>
  <c r="R30" i="49"/>
  <c r="T30" i="49"/>
  <c r="AX30" i="49"/>
  <c r="AQ30" i="49"/>
  <c r="K27" i="49"/>
  <c r="H27" i="49"/>
  <c r="G27" i="49"/>
  <c r="AW27" i="49"/>
  <c r="AP27" i="49"/>
  <c r="R26" i="49"/>
  <c r="AX26" i="49"/>
  <c r="T26" i="49"/>
  <c r="V26" i="49"/>
  <c r="AQ26" i="49"/>
  <c r="V27" i="49"/>
  <c r="AX27" i="49"/>
  <c r="T27" i="49"/>
  <c r="R27" i="49"/>
  <c r="AQ27" i="49"/>
  <c r="V32" i="49"/>
  <c r="T32" i="49"/>
  <c r="R32" i="49"/>
  <c r="AX32" i="49"/>
  <c r="AQ32" i="49"/>
  <c r="AX23" i="49"/>
  <c r="AU19" i="49" a="1"/>
  <c r="AU19" i="49" s="1"/>
  <c r="AQ19" i="49"/>
  <c r="AX19" i="49"/>
  <c r="R19" i="49"/>
  <c r="T19" i="49"/>
  <c r="V19" i="49"/>
  <c r="G30" i="49"/>
  <c r="AW30" i="49"/>
  <c r="H30" i="49"/>
  <c r="J30" i="49"/>
  <c r="K30" i="49"/>
  <c r="AP30" i="49"/>
  <c r="C29" i="47"/>
  <c r="AR30" i="47"/>
  <c r="V26" i="43"/>
  <c r="T26" i="43"/>
  <c r="AX26" i="43"/>
  <c r="R26" i="43"/>
  <c r="AU31" i="43" a="1"/>
  <c r="AU31" i="43" s="1"/>
  <c r="H31" i="43"/>
  <c r="K31" i="43"/>
  <c r="G31" i="43"/>
  <c r="J31" i="43"/>
  <c r="AW31" i="43"/>
  <c r="AV31" i="43" a="1"/>
  <c r="AV31" i="43" s="1"/>
  <c r="AW27" i="45"/>
  <c r="V24" i="43"/>
  <c r="T24" i="43"/>
  <c r="R24" i="43"/>
  <c r="AX24" i="43"/>
  <c r="AU28" i="43" a="1"/>
  <c r="AU28" i="43" s="1"/>
  <c r="AV28" i="43" a="1"/>
  <c r="AV28" i="43" s="1"/>
  <c r="AW28" i="43"/>
  <c r="H28" i="43"/>
  <c r="K28" i="43"/>
  <c r="G28" i="43"/>
  <c r="AW30" i="45"/>
  <c r="R31" i="43"/>
  <c r="AX31" i="43"/>
  <c r="T31" i="43"/>
  <c r="V31" i="43"/>
  <c r="G25" i="43"/>
  <c r="AV25" i="43" a="1"/>
  <c r="AV25" i="43" s="1"/>
  <c r="AU25" i="43" a="1"/>
  <c r="AU25" i="43" s="1"/>
  <c r="K25" i="43"/>
  <c r="AW25" i="43"/>
  <c r="H25" i="43"/>
  <c r="J25" i="43"/>
  <c r="T32" i="43"/>
  <c r="R32" i="43"/>
  <c r="AX32" i="43"/>
  <c r="V32" i="43"/>
  <c r="V29" i="43"/>
  <c r="T29" i="43"/>
  <c r="R29" i="43"/>
  <c r="AX29" i="43"/>
  <c r="AW26" i="43"/>
  <c r="G26" i="43"/>
  <c r="AU26" i="43" a="1"/>
  <c r="AU26" i="43" s="1"/>
  <c r="H26" i="43"/>
  <c r="K26" i="43"/>
  <c r="AV26" i="43" a="1"/>
  <c r="AV26" i="43" s="1"/>
  <c r="AU19" i="43" a="1"/>
  <c r="AU19" i="43" s="1"/>
  <c r="AV19" i="43" a="1"/>
  <c r="AV19" i="43" s="1"/>
  <c r="AV27" i="43" a="1"/>
  <c r="AV27" i="43" s="1"/>
  <c r="K27" i="43"/>
  <c r="H27" i="43"/>
  <c r="G27" i="43"/>
  <c r="AU27" i="43" a="1"/>
  <c r="AU27" i="43" s="1"/>
  <c r="AW27" i="43"/>
  <c r="H29" i="43"/>
  <c r="K29" i="43"/>
  <c r="G29" i="43"/>
  <c r="AV29" i="43" a="1"/>
  <c r="AV29" i="43" s="1"/>
  <c r="AW29" i="43"/>
  <c r="AU29" i="43" a="1"/>
  <c r="AU29" i="43" s="1"/>
  <c r="AX23" i="45"/>
  <c r="AV18" i="43" a="1"/>
  <c r="AV18" i="43" s="1"/>
  <c r="AU18" i="43" a="1"/>
  <c r="AU18" i="43" s="1"/>
  <c r="V27" i="43"/>
  <c r="AX27" i="43"/>
  <c r="R27" i="43"/>
  <c r="T27" i="43"/>
  <c r="R30" i="43"/>
  <c r="T30" i="43"/>
  <c r="V30" i="43"/>
  <c r="AX30" i="43"/>
  <c r="AX23" i="43"/>
  <c r="J32" i="43"/>
  <c r="H32" i="43"/>
  <c r="AW32" i="43"/>
  <c r="AV32" i="43" a="1"/>
  <c r="AV32" i="43" s="1"/>
  <c r="AU32" i="43" a="1"/>
  <c r="AU32" i="43" s="1"/>
  <c r="K32" i="43"/>
  <c r="G32" i="43"/>
  <c r="J30" i="43"/>
  <c r="G30" i="43"/>
  <c r="H30" i="43"/>
  <c r="K30" i="43"/>
  <c r="AU30" i="43" a="1"/>
  <c r="AU30" i="43" s="1"/>
  <c r="AV30" i="43" a="1"/>
  <c r="AV30" i="43" s="1"/>
  <c r="AW30" i="43"/>
  <c r="AW24" i="43"/>
  <c r="AV24" i="43" a="1"/>
  <c r="AV24" i="43" s="1"/>
  <c r="AU24" i="43" a="1"/>
  <c r="AU24" i="43" s="1"/>
  <c r="G24" i="43"/>
  <c r="K24" i="43"/>
  <c r="H24" i="43"/>
  <c r="AX30" i="45"/>
  <c r="T28" i="43"/>
  <c r="AX28" i="43"/>
  <c r="R28" i="43"/>
  <c r="V28" i="43"/>
  <c r="V25" i="43"/>
  <c r="AX25" i="43"/>
  <c r="T25" i="43"/>
  <c r="R25" i="43"/>
  <c r="AX25" i="45"/>
  <c r="T19" i="53" l="1"/>
  <c r="AP18" i="53"/>
  <c r="K18" i="53"/>
  <c r="G18" i="53"/>
  <c r="AQ18" i="53"/>
  <c r="T18" i="53"/>
  <c r="R18" i="53"/>
  <c r="U22" i="53"/>
  <c r="U20" i="53"/>
  <c r="R20" i="53" s="1"/>
  <c r="K19" i="53"/>
  <c r="G19" i="53"/>
  <c r="AQ19" i="53"/>
  <c r="V19" i="53"/>
  <c r="AP19" i="53"/>
  <c r="BA8" i="41"/>
  <c r="F20" i="51"/>
  <c r="K20" i="51" s="1"/>
  <c r="C21" i="40" a="1"/>
  <c r="C21" i="40" s="1"/>
  <c r="C26" i="40" a="1"/>
  <c r="C26" i="40" s="1"/>
  <c r="C16" i="40" a="1"/>
  <c r="C16" i="40" s="1"/>
  <c r="C15" i="40" a="1"/>
  <c r="C15" i="40" s="1"/>
  <c r="C18" i="40"/>
  <c r="C11" i="40" a="1"/>
  <c r="C11" i="40" s="1"/>
  <c r="C13" i="40"/>
  <c r="C12" i="40"/>
  <c r="C22" i="40" s="1"/>
  <c r="C10" i="40" a="1"/>
  <c r="C10" i="40" s="1"/>
  <c r="C17" i="40"/>
  <c r="C27" i="40" s="1"/>
  <c r="F18" i="39"/>
  <c r="K18" i="39" s="1"/>
  <c r="BA6" i="41"/>
  <c r="M6" i="41" s="1"/>
  <c r="H18" i="47"/>
  <c r="G18" i="47"/>
  <c r="K18" i="47"/>
  <c r="J32" i="47"/>
  <c r="T19" i="47"/>
  <c r="H32" i="47"/>
  <c r="G32" i="47"/>
  <c r="AP32" i="47"/>
  <c r="AP22" i="59"/>
  <c r="G22" i="59"/>
  <c r="K22" i="59"/>
  <c r="X22" i="59"/>
  <c r="W22" i="59" s="1"/>
  <c r="AW22" i="59"/>
  <c r="AS22" i="59" s="1"/>
  <c r="AT18" i="51"/>
  <c r="G22" i="55"/>
  <c r="H22" i="55"/>
  <c r="K22" i="55"/>
  <c r="AP22" i="55"/>
  <c r="AW22" i="55"/>
  <c r="AS22" i="55" s="1"/>
  <c r="D22" i="55"/>
  <c r="E22" i="55" s="1"/>
  <c r="X22" i="55"/>
  <c r="W22" i="55" s="1"/>
  <c r="AS18" i="51"/>
  <c r="F20" i="53"/>
  <c r="D20" i="53" s="1"/>
  <c r="E20" i="53" s="1"/>
  <c r="AX20" i="53"/>
  <c r="AT20" i="53" s="1"/>
  <c r="AW21" i="55"/>
  <c r="AS21" i="55" s="1"/>
  <c r="G21" i="55"/>
  <c r="K21" i="55"/>
  <c r="H21" i="55"/>
  <c r="AP21" i="55"/>
  <c r="AW21" i="59"/>
  <c r="AS21" i="59" s="1"/>
  <c r="G21" i="59"/>
  <c r="K21" i="59"/>
  <c r="AP21" i="59"/>
  <c r="H21" i="59"/>
  <c r="AT18" i="49"/>
  <c r="T22" i="53"/>
  <c r="AX22" i="53"/>
  <c r="AT22" i="53" s="1"/>
  <c r="H22" i="59"/>
  <c r="AP18" i="47"/>
  <c r="D18" i="47"/>
  <c r="E18" i="47" s="1"/>
  <c r="AQ22" i="51"/>
  <c r="AX22" i="51"/>
  <c r="V18" i="47"/>
  <c r="X18" i="47"/>
  <c r="W18" i="47" s="1"/>
  <c r="AS22" i="57"/>
  <c r="CH20" i="57" s="1" a="1"/>
  <c r="CH20" i="57" s="1"/>
  <c r="AW20" i="51"/>
  <c r="X20" i="51"/>
  <c r="W20" i="51" s="1"/>
  <c r="D20" i="51"/>
  <c r="E20" i="51" s="1"/>
  <c r="X20" i="53"/>
  <c r="W20" i="53" s="1"/>
  <c r="X20" i="49"/>
  <c r="W20" i="49" s="1"/>
  <c r="D20" i="49"/>
  <c r="E20" i="49" s="1"/>
  <c r="AD13" i="58"/>
  <c r="U20" i="47"/>
  <c r="T20" i="47" s="1"/>
  <c r="G19" i="47"/>
  <c r="H25" i="47"/>
  <c r="K19" i="47"/>
  <c r="K30" i="47"/>
  <c r="AP30" i="47"/>
  <c r="T26" i="47"/>
  <c r="U22" i="47"/>
  <c r="J30" i="47"/>
  <c r="H30" i="47"/>
  <c r="AQ26" i="47"/>
  <c r="R26" i="47"/>
  <c r="H19" i="47"/>
  <c r="AQ22" i="53"/>
  <c r="V22" i="53"/>
  <c r="R22" i="53"/>
  <c r="U21" i="53"/>
  <c r="V21" i="53" s="1"/>
  <c r="V30" i="47"/>
  <c r="AQ30" i="47"/>
  <c r="BA10" i="43"/>
  <c r="M10" i="43" s="1"/>
  <c r="R30" i="47"/>
  <c r="BA7" i="43"/>
  <c r="M7" i="43" s="1"/>
  <c r="BA9" i="43"/>
  <c r="M9" i="43" s="1"/>
  <c r="BA6" i="43"/>
  <c r="M6" i="43" s="1"/>
  <c r="BA8" i="43"/>
  <c r="M8" i="43" s="1"/>
  <c r="T31" i="47"/>
  <c r="R28" i="47"/>
  <c r="R31" i="47"/>
  <c r="V28" i="47"/>
  <c r="AQ28" i="47"/>
  <c r="AQ31" i="47"/>
  <c r="K24" i="47"/>
  <c r="K26" i="47"/>
  <c r="AP26" i="47"/>
  <c r="G26" i="47"/>
  <c r="R32" i="47"/>
  <c r="AQ32" i="47"/>
  <c r="V32" i="47"/>
  <c r="AT32" i="49"/>
  <c r="Q11" i="57"/>
  <c r="Q8" i="57"/>
  <c r="C29" i="59"/>
  <c r="AR30" i="59"/>
  <c r="T29" i="47"/>
  <c r="AW18" i="39"/>
  <c r="AQ29" i="47"/>
  <c r="Q10" i="57"/>
  <c r="Q6" i="57"/>
  <c r="H24" i="47"/>
  <c r="V29" i="47"/>
  <c r="AP24" i="47"/>
  <c r="Q9" i="57"/>
  <c r="AS18" i="47"/>
  <c r="CA21" i="57" a="1"/>
  <c r="CA21" i="57" s="1"/>
  <c r="T23" i="49"/>
  <c r="V19" i="47"/>
  <c r="K29" i="47"/>
  <c r="AP29" i="47"/>
  <c r="G29" i="47"/>
  <c r="R23" i="49"/>
  <c r="J25" i="47"/>
  <c r="V23" i="49"/>
  <c r="G25" i="47"/>
  <c r="R19" i="47"/>
  <c r="AP25" i="47"/>
  <c r="AQ19" i="47"/>
  <c r="AG11" i="58"/>
  <c r="AG12" i="58"/>
  <c r="AD11" i="58"/>
  <c r="T24" i="47"/>
  <c r="V24" i="47"/>
  <c r="G38" i="56"/>
  <c r="R24" i="47"/>
  <c r="AQ25" i="47"/>
  <c r="K28" i="47"/>
  <c r="H28" i="47"/>
  <c r="R25" i="47"/>
  <c r="V25" i="47"/>
  <c r="G28" i="47"/>
  <c r="AD10" i="56"/>
  <c r="AS30" i="49"/>
  <c r="CB21" i="55" a="1"/>
  <c r="CB21" i="55" s="1"/>
  <c r="BW11" i="57" a="1"/>
  <c r="BW11" i="57" s="1"/>
  <c r="BX34" i="57" a="1"/>
  <c r="BX34" i="57" s="1"/>
  <c r="BX21" i="57" a="1"/>
  <c r="BX21" i="57" s="1"/>
  <c r="BW20" i="57" a="1"/>
  <c r="BW20" i="57" s="1"/>
  <c r="BX23" i="57" a="1"/>
  <c r="BX23" i="57" s="1"/>
  <c r="BW31" i="57" a="1"/>
  <c r="BW31" i="57" s="1"/>
  <c r="CC31" i="57" s="1"/>
  <c r="BW33" i="57" a="1"/>
  <c r="BW33" i="57" s="1"/>
  <c r="BW13" i="57" a="1"/>
  <c r="BW13" i="57" s="1"/>
  <c r="BW14" i="57" a="1"/>
  <c r="BW14" i="57" s="1"/>
  <c r="BW24" i="57" a="1"/>
  <c r="BW24" i="57" s="1"/>
  <c r="BX16" i="57" a="1"/>
  <c r="BX16" i="57" s="1"/>
  <c r="BX15" i="57" a="1"/>
  <c r="BX15" i="57" s="1"/>
  <c r="BX27" i="57" a="1"/>
  <c r="BX27" i="57" s="1"/>
  <c r="BX29" i="57" a="1"/>
  <c r="BX29" i="57" s="1"/>
  <c r="BX13" i="57" a="1"/>
  <c r="BX13" i="57" s="1"/>
  <c r="BX20" i="57" a="1"/>
  <c r="BX20" i="57" s="1"/>
  <c r="BW12" i="57" a="1"/>
  <c r="BW12" i="57" s="1"/>
  <c r="BW22" i="57" a="1"/>
  <c r="BW22" i="57" s="1"/>
  <c r="CC22" i="57" s="1"/>
  <c r="BW32" i="57" a="1"/>
  <c r="BW32" i="57" s="1"/>
  <c r="CC32" i="57" s="1"/>
  <c r="BW19" i="57" a="1"/>
  <c r="BW19" i="57" s="1"/>
  <c r="BX24" i="57" a="1"/>
  <c r="BX24" i="57" s="1"/>
  <c r="C29" i="53"/>
  <c r="AR30" i="53"/>
  <c r="BX26" i="57" a="1"/>
  <c r="BX26" i="57" s="1"/>
  <c r="BW21" i="57" a="1"/>
  <c r="BW21" i="57" s="1"/>
  <c r="CC21" i="57" s="1"/>
  <c r="BX11" i="57" a="1"/>
  <c r="BX11" i="57" s="1"/>
  <c r="BX18" i="57" a="1"/>
  <c r="BX18" i="57" s="1"/>
  <c r="BW18" i="57" a="1"/>
  <c r="BW18" i="57" s="1"/>
  <c r="BW17" i="57" a="1"/>
  <c r="BW17" i="57" s="1"/>
  <c r="BW23" i="57" a="1"/>
  <c r="BW23" i="57" s="1"/>
  <c r="BW15" i="57" a="1"/>
  <c r="BW15" i="57" s="1"/>
  <c r="AP28" i="39"/>
  <c r="BX17" i="57" a="1"/>
  <c r="BX17" i="57" s="1"/>
  <c r="BX32" i="57" a="1"/>
  <c r="BX32" i="57" s="1"/>
  <c r="BX22" i="57" a="1"/>
  <c r="BX22" i="57" s="1"/>
  <c r="BX9" i="57" a="1"/>
  <c r="BX9" i="57" s="1"/>
  <c r="BX10" i="57" a="1"/>
  <c r="BX10" i="57" s="1"/>
  <c r="BW29" i="57" a="1"/>
  <c r="BW29" i="57" s="1"/>
  <c r="BW34" i="57" a="1"/>
  <c r="BW34" i="57" s="1"/>
  <c r="BW28" i="57" a="1"/>
  <c r="BW28" i="57" s="1"/>
  <c r="BX33" i="57" a="1"/>
  <c r="BX33" i="57" s="1"/>
  <c r="BX28" i="57" a="1"/>
  <c r="BX28" i="57" s="1"/>
  <c r="BX14" i="57" a="1"/>
  <c r="BX14" i="57" s="1"/>
  <c r="BW27" i="57" a="1"/>
  <c r="BW27" i="57" s="1"/>
  <c r="CC27" i="57" s="1"/>
  <c r="BW26" i="57" a="1"/>
  <c r="BW26" i="57" s="1"/>
  <c r="CC26" i="57" s="1"/>
  <c r="BX19" i="57" a="1"/>
  <c r="BX19" i="57" s="1"/>
  <c r="BW10" i="57" a="1"/>
  <c r="BW10" i="57" s="1"/>
  <c r="BW9" i="57" a="1"/>
  <c r="BW9" i="57" s="1"/>
  <c r="BW16" i="57" a="1"/>
  <c r="BW16" i="57" s="1"/>
  <c r="BX31" i="57" a="1"/>
  <c r="BX31" i="57" s="1"/>
  <c r="BX12" i="57" a="1"/>
  <c r="BX12" i="57" s="1"/>
  <c r="AQ20" i="51"/>
  <c r="AX20" i="51"/>
  <c r="AT29" i="47"/>
  <c r="AS28" i="49"/>
  <c r="G23" i="53"/>
  <c r="AW23" i="53"/>
  <c r="AS27" i="47"/>
  <c r="BX35" i="49" a="1"/>
  <c r="BX35" i="49" s="1"/>
  <c r="BW30" i="49" a="1"/>
  <c r="BW30" i="49" s="1"/>
  <c r="BW25" i="49" a="1"/>
  <c r="BW25" i="49" s="1"/>
  <c r="BW35" i="49" a="1"/>
  <c r="BW35" i="49" s="1"/>
  <c r="BX8" i="49" a="1"/>
  <c r="BX8" i="49" s="1"/>
  <c r="BW8" i="49" a="1"/>
  <c r="BW8" i="49" s="1"/>
  <c r="BX7" i="49" a="1"/>
  <c r="BX7" i="49" s="1"/>
  <c r="BW7" i="49" a="1"/>
  <c r="BW7" i="49" s="1"/>
  <c r="BX6" i="49" a="1"/>
  <c r="BX6" i="49" s="1"/>
  <c r="BX30" i="49" a="1"/>
  <c r="BX30" i="49" s="1"/>
  <c r="BW6" i="49" a="1"/>
  <c r="BW6" i="49" s="1"/>
  <c r="BX25" i="49" a="1"/>
  <c r="BX25" i="49" s="1"/>
  <c r="H27" i="47"/>
  <c r="AP27" i="47"/>
  <c r="AT27" i="49"/>
  <c r="K27" i="47"/>
  <c r="T10" i="56"/>
  <c r="AP23" i="53"/>
  <c r="V10" i="56"/>
  <c r="U11" i="56"/>
  <c r="T12" i="56" s="1"/>
  <c r="CE7" i="59"/>
  <c r="M8" i="41"/>
  <c r="H28" i="39"/>
  <c r="F36" i="56"/>
  <c r="E38" i="56" s="1"/>
  <c r="G28" i="39"/>
  <c r="E35" i="56"/>
  <c r="AT26" i="47"/>
  <c r="AP24" i="39"/>
  <c r="AT19" i="47"/>
  <c r="K24" i="39"/>
  <c r="H24" i="39"/>
  <c r="AT28" i="47"/>
  <c r="AT27" i="47"/>
  <c r="R27" i="47"/>
  <c r="T27" i="47"/>
  <c r="AQ27" i="47"/>
  <c r="V27" i="47"/>
  <c r="AV18" i="47" a="1"/>
  <c r="AV18" i="47" s="1"/>
  <c r="AT18" i="47" s="1"/>
  <c r="AP31" i="39"/>
  <c r="BA7" i="41"/>
  <c r="M7" i="41" s="1"/>
  <c r="F26" i="41" s="1"/>
  <c r="K26" i="41" s="1"/>
  <c r="AS26" i="47"/>
  <c r="BA9" i="41"/>
  <c r="M9" i="41" s="1"/>
  <c r="BA10" i="41"/>
  <c r="M10" i="41" s="1"/>
  <c r="BA11" i="41"/>
  <c r="M11" i="41" s="1"/>
  <c r="AT30" i="49"/>
  <c r="CD25" i="59"/>
  <c r="U28" i="39"/>
  <c r="U26" i="39"/>
  <c r="U31" i="39"/>
  <c r="U24" i="39"/>
  <c r="U30" i="39"/>
  <c r="U32" i="39"/>
  <c r="F32" i="39"/>
  <c r="U29" i="39"/>
  <c r="F26" i="39"/>
  <c r="F29" i="39"/>
  <c r="F30" i="39"/>
  <c r="F25" i="39"/>
  <c r="F27" i="39"/>
  <c r="U25" i="39"/>
  <c r="U19" i="39"/>
  <c r="U27" i="39"/>
  <c r="U18" i="39"/>
  <c r="AX18" i="39" s="1"/>
  <c r="F19" i="39"/>
  <c r="F28" i="41"/>
  <c r="H28" i="41" s="1"/>
  <c r="F31" i="41"/>
  <c r="J31" i="41" s="1"/>
  <c r="F24" i="41"/>
  <c r="AQ18" i="47"/>
  <c r="AS32" i="49"/>
  <c r="R18" i="47"/>
  <c r="AT28" i="49"/>
  <c r="T18" i="47"/>
  <c r="K31" i="39"/>
  <c r="J31" i="39"/>
  <c r="G31" i="39"/>
  <c r="H31" i="39"/>
  <c r="AT25" i="49"/>
  <c r="AT19" i="49"/>
  <c r="AS19" i="47"/>
  <c r="CE8" i="59"/>
  <c r="AT26" i="49"/>
  <c r="AS30" i="47"/>
  <c r="AT24" i="49"/>
  <c r="AU23" i="53" a="1"/>
  <c r="AU23" i="53" s="1"/>
  <c r="K23" i="53"/>
  <c r="H23" i="53"/>
  <c r="AS31" i="49"/>
  <c r="AS27" i="49"/>
  <c r="AT31" i="49"/>
  <c r="C29" i="51"/>
  <c r="AR30" i="51"/>
  <c r="AU20" i="43" a="1"/>
  <c r="AU20" i="43" s="1"/>
  <c r="AT32" i="47"/>
  <c r="AT30" i="47"/>
  <c r="AS32" i="47"/>
  <c r="AS24" i="49"/>
  <c r="AT24" i="47"/>
  <c r="AS25" i="49"/>
  <c r="AV20" i="43" a="1"/>
  <c r="AV20" i="43" s="1"/>
  <c r="AS29" i="49"/>
  <c r="AS26" i="49"/>
  <c r="AV20" i="51" a="1"/>
  <c r="AV20" i="51" s="1"/>
  <c r="AU20" i="51" a="1"/>
  <c r="AU20" i="51" s="1"/>
  <c r="AV20" i="47" a="1"/>
  <c r="AV20" i="47" s="1"/>
  <c r="AU20" i="47" a="1"/>
  <c r="AU20" i="47" s="1"/>
  <c r="G20" i="49"/>
  <c r="AU20" i="49" a="1"/>
  <c r="AU20" i="49" s="1"/>
  <c r="AV20" i="49" a="1"/>
  <c r="AV20" i="49" s="1"/>
  <c r="AT20" i="49" s="1"/>
  <c r="AU26" i="41" a="1"/>
  <c r="AU26" i="41" s="1"/>
  <c r="AS26" i="41" s="1"/>
  <c r="AV26" i="41" a="1"/>
  <c r="AV26" i="41" s="1"/>
  <c r="AT26" i="41" s="1"/>
  <c r="T22" i="51"/>
  <c r="V22" i="51"/>
  <c r="R22" i="51"/>
  <c r="CE25" i="59"/>
  <c r="G30" i="56"/>
  <c r="E30" i="56"/>
  <c r="F31" i="56"/>
  <c r="E31" i="56" s="1"/>
  <c r="C28" i="43"/>
  <c r="AR29" i="43"/>
  <c r="C28" i="39"/>
  <c r="AR29" i="39"/>
  <c r="C27" i="41"/>
  <c r="AR28" i="41"/>
  <c r="CD35" i="59"/>
  <c r="CE30" i="59"/>
  <c r="AE11" i="56"/>
  <c r="AG12" i="56" s="1"/>
  <c r="AF10" i="56"/>
  <c r="AF13" i="56"/>
  <c r="CF25" i="59"/>
  <c r="E25" i="60" s="1"/>
  <c r="AA10" i="56"/>
  <c r="CD8" i="59"/>
  <c r="CF30" i="59"/>
  <c r="CE35" i="59"/>
  <c r="CF6" i="59"/>
  <c r="CF8" i="59"/>
  <c r="CF7" i="59"/>
  <c r="CD7" i="59"/>
  <c r="CD6" i="59"/>
  <c r="CE6" i="59"/>
  <c r="CF35" i="59"/>
  <c r="Y10" i="56"/>
  <c r="AA13" i="56"/>
  <c r="E25" i="56"/>
  <c r="G25" i="56"/>
  <c r="F26" i="56"/>
  <c r="E28" i="56" s="1"/>
  <c r="T20" i="51"/>
  <c r="R20" i="51"/>
  <c r="V20" i="51"/>
  <c r="C30" i="49"/>
  <c r="AR31" i="49"/>
  <c r="CA32" i="57" a="1"/>
  <c r="CA32" i="57" s="1"/>
  <c r="CB34" i="57" a="1"/>
  <c r="CB34" i="57" s="1"/>
  <c r="CA16" i="57" a="1"/>
  <c r="CA16" i="57" s="1"/>
  <c r="BZ21" i="57" a="1"/>
  <c r="BZ21" i="57" s="1"/>
  <c r="BY24" i="57" a="1"/>
  <c r="BY24" i="57" s="1"/>
  <c r="V21" i="51"/>
  <c r="AQ21" i="51"/>
  <c r="R21" i="51"/>
  <c r="T21" i="51"/>
  <c r="CA15" i="57" a="1"/>
  <c r="CA15" i="57" s="1"/>
  <c r="BY13" i="57" a="1"/>
  <c r="BY13" i="57" s="1"/>
  <c r="CA18" i="57" a="1"/>
  <c r="CA18" i="57" s="1"/>
  <c r="BZ33" i="57" a="1"/>
  <c r="BZ33" i="57" s="1"/>
  <c r="C30" i="55"/>
  <c r="AR31" i="55"/>
  <c r="BZ32" i="57" a="1"/>
  <c r="BZ32" i="57" s="1"/>
  <c r="CA20" i="57" a="1"/>
  <c r="CA20" i="57" s="1"/>
  <c r="BZ29" i="57" a="1"/>
  <c r="BZ29" i="57" s="1"/>
  <c r="CA17" i="57" a="1"/>
  <c r="CA17" i="57" s="1"/>
  <c r="BZ11" i="57" a="1"/>
  <c r="BZ11" i="57" s="1"/>
  <c r="CB29" i="57" a="1"/>
  <c r="CB29" i="57" s="1"/>
  <c r="CA19" i="57" a="1"/>
  <c r="CA19" i="57" s="1"/>
  <c r="CB20" i="57" a="1"/>
  <c r="CB20" i="57" s="1"/>
  <c r="CA29" i="57" a="1"/>
  <c r="CA29" i="57" s="1"/>
  <c r="BZ15" i="57" a="1"/>
  <c r="BZ15" i="57" s="1"/>
  <c r="BY18" i="57" a="1"/>
  <c r="BY18" i="57" s="1"/>
  <c r="CA31" i="57" a="1"/>
  <c r="CA31" i="57" s="1"/>
  <c r="CB23" i="57" a="1"/>
  <c r="CB23" i="57" s="1"/>
  <c r="CB27" i="57" a="1"/>
  <c r="CB27" i="57" s="1"/>
  <c r="BY29" i="57" a="1"/>
  <c r="BY29" i="57" s="1"/>
  <c r="CB11" i="57" a="1"/>
  <c r="CB11" i="57" s="1"/>
  <c r="BZ19" i="57" a="1"/>
  <c r="BZ19" i="57" s="1"/>
  <c r="CB12" i="57" a="1"/>
  <c r="CB12" i="57" s="1"/>
  <c r="CB31" i="57" a="1"/>
  <c r="CB31" i="57" s="1"/>
  <c r="BY28" i="57" a="1"/>
  <c r="BY28" i="57" s="1"/>
  <c r="BY10" i="57" a="1"/>
  <c r="BY10" i="57" s="1"/>
  <c r="CG15" i="57" a="1"/>
  <c r="CG15" i="57" s="1"/>
  <c r="CG17" i="57" a="1"/>
  <c r="CG17" i="57" s="1"/>
  <c r="CG16" i="57" a="1"/>
  <c r="CG16" i="57" s="1"/>
  <c r="CG26" i="57" a="1"/>
  <c r="CG26" i="57" s="1"/>
  <c r="CH32" i="57" a="1"/>
  <c r="CH32" i="57" s="1"/>
  <c r="P9" i="57"/>
  <c r="CH10" i="57" a="1"/>
  <c r="CH10" i="57" s="1"/>
  <c r="CH15" i="57" a="1"/>
  <c r="CH15" i="57" s="1"/>
  <c r="P6" i="57"/>
  <c r="CG22" i="57" a="1"/>
  <c r="CG22" i="57" s="1"/>
  <c r="CG30" i="57" a="1"/>
  <c r="CG30" i="57" s="1"/>
  <c r="CH22" i="57" a="1"/>
  <c r="CH22" i="57" s="1"/>
  <c r="CH6" i="57" a="1"/>
  <c r="CH6" i="57" s="1"/>
  <c r="CH24" i="57" a="1"/>
  <c r="CH24" i="57" s="1"/>
  <c r="CH33" i="57" a="1"/>
  <c r="CH33" i="57" s="1"/>
  <c r="CG24" i="57" a="1"/>
  <c r="CG24" i="57" s="1"/>
  <c r="CG14" i="57" a="1"/>
  <c r="CG14" i="57" s="1"/>
  <c r="CH25" i="57" a="1"/>
  <c r="CH25" i="57" s="1"/>
  <c r="CG10" i="57" a="1"/>
  <c r="CG10" i="57" s="1"/>
  <c r="CG8" i="57" a="1"/>
  <c r="CG8" i="57" s="1"/>
  <c r="CH26" i="57" a="1"/>
  <c r="CH26" i="57" s="1"/>
  <c r="CH16" i="57" a="1"/>
  <c r="CH16" i="57" s="1"/>
  <c r="CH21" i="57" a="1"/>
  <c r="CH21" i="57" s="1"/>
  <c r="CH28" i="57" a="1"/>
  <c r="CH28" i="57" s="1"/>
  <c r="CG6" i="57" a="1"/>
  <c r="CG6" i="57" s="1"/>
  <c r="CG33" i="57" a="1"/>
  <c r="CG33" i="57" s="1"/>
  <c r="CH27" i="57" a="1"/>
  <c r="CH27" i="57" s="1"/>
  <c r="CG9" i="57" a="1"/>
  <c r="CG9" i="57" s="1"/>
  <c r="CG35" i="57" a="1"/>
  <c r="CG35" i="57" s="1"/>
  <c r="CH17" i="57" a="1"/>
  <c r="CH17" i="57" s="1"/>
  <c r="CG31" i="57" a="1"/>
  <c r="CG31" i="57" s="1"/>
  <c r="CH23" i="57" a="1"/>
  <c r="CH23" i="57" s="1"/>
  <c r="CG23" i="57" a="1"/>
  <c r="CG23" i="57" s="1"/>
  <c r="CH14" i="57" a="1"/>
  <c r="CH14" i="57" s="1"/>
  <c r="CG21" i="57" a="1"/>
  <c r="CG21" i="57" s="1"/>
  <c r="CH11" i="57" a="1"/>
  <c r="CH11" i="57" s="1"/>
  <c r="CG20" i="57" a="1"/>
  <c r="CG20" i="57" s="1"/>
  <c r="CH7" i="57" a="1"/>
  <c r="CH7" i="57" s="1"/>
  <c r="CG18" i="57" a="1"/>
  <c r="CG18" i="57" s="1"/>
  <c r="CH18" i="57" a="1"/>
  <c r="CH18" i="57" s="1"/>
  <c r="CH8" i="57" a="1"/>
  <c r="CH8" i="57" s="1"/>
  <c r="CG19" i="57" a="1"/>
  <c r="CG19" i="57" s="1"/>
  <c r="CG7" i="57" a="1"/>
  <c r="CG7" i="57" s="1"/>
  <c r="P8" i="57"/>
  <c r="CG34" i="57" a="1"/>
  <c r="CG34" i="57" s="1"/>
  <c r="CH19" i="57" a="1"/>
  <c r="CH19" i="57" s="1"/>
  <c r="CH35" i="57" a="1"/>
  <c r="CH35" i="57" s="1"/>
  <c r="CG13" i="57" a="1"/>
  <c r="CG13" i="57" s="1"/>
  <c r="CH34" i="57" a="1"/>
  <c r="CH34" i="57" s="1"/>
  <c r="CG12" i="57" a="1"/>
  <c r="CG12" i="57" s="1"/>
  <c r="CH9" i="57" a="1"/>
  <c r="CH9" i="57" s="1"/>
  <c r="P11" i="57"/>
  <c r="CG11" i="57" a="1"/>
  <c r="CG11" i="57" s="1"/>
  <c r="P7" i="57"/>
  <c r="CG27" i="57" a="1"/>
  <c r="CG27" i="57" s="1"/>
  <c r="CG25" i="57" a="1"/>
  <c r="CG25" i="57" s="1"/>
  <c r="CH31" i="57" a="1"/>
  <c r="CH31" i="57" s="1"/>
  <c r="CH30" i="57" a="1"/>
  <c r="CH30" i="57" s="1"/>
  <c r="CH12" i="57" a="1"/>
  <c r="CH12" i="57" s="1"/>
  <c r="P10" i="57"/>
  <c r="CH29" i="57" a="1"/>
  <c r="CH29" i="57" s="1"/>
  <c r="CG32" i="57" a="1"/>
  <c r="CG32" i="57" s="1"/>
  <c r="CG29" i="57" a="1"/>
  <c r="CG29" i="57" s="1"/>
  <c r="CG28" i="57" a="1"/>
  <c r="CG28" i="57" s="1"/>
  <c r="CH13" i="57" a="1"/>
  <c r="CH13" i="57" s="1"/>
  <c r="BZ12" i="57" a="1"/>
  <c r="BZ12" i="57" s="1"/>
  <c r="CB22" i="57" a="1"/>
  <c r="CB22" i="57" s="1"/>
  <c r="BZ18" i="57" a="1"/>
  <c r="BZ18" i="57" s="1"/>
  <c r="CB32" i="57" a="1"/>
  <c r="CB32" i="57" s="1"/>
  <c r="BY32" i="57" a="1"/>
  <c r="BY32" i="57" s="1"/>
  <c r="CB26" i="57" a="1"/>
  <c r="CB26" i="57" s="1"/>
  <c r="BZ34" i="57" a="1"/>
  <c r="BZ34" i="57" s="1"/>
  <c r="CB10" i="57" a="1"/>
  <c r="CB10" i="57" s="1"/>
  <c r="CA23" i="57" a="1"/>
  <c r="CA23" i="57" s="1"/>
  <c r="CB18" i="57" a="1"/>
  <c r="CB18" i="57" s="1"/>
  <c r="CB9" i="57" a="1"/>
  <c r="CB9" i="57" s="1"/>
  <c r="CA12" i="57" a="1"/>
  <c r="CA12" i="57" s="1"/>
  <c r="CB16" i="57" a="1"/>
  <c r="CB16" i="57" s="1"/>
  <c r="BY16" i="57" a="1"/>
  <c r="BY16" i="57" s="1"/>
  <c r="BZ13" i="57" a="1"/>
  <c r="BZ13" i="57" s="1"/>
  <c r="BZ17" i="57" a="1"/>
  <c r="BZ17" i="57" s="1"/>
  <c r="CA9" i="57" a="1"/>
  <c r="CA9" i="57" s="1"/>
  <c r="BY31" i="57" a="1"/>
  <c r="BY31" i="57" s="1"/>
  <c r="BZ31" i="57" a="1"/>
  <c r="BZ31" i="57" s="1"/>
  <c r="BZ26" i="57" a="1"/>
  <c r="BZ26" i="57" s="1"/>
  <c r="CB17" i="57" a="1"/>
  <c r="CB17" i="57" s="1"/>
  <c r="BZ27" i="57" a="1"/>
  <c r="BZ27" i="57" s="1"/>
  <c r="CA28" i="57" a="1"/>
  <c r="CA28" i="57" s="1"/>
  <c r="BY17" i="57" a="1"/>
  <c r="BY17" i="57" s="1"/>
  <c r="CA34" i="57" a="1"/>
  <c r="CA34" i="57" s="1"/>
  <c r="CA26" i="57" a="1"/>
  <c r="CA26" i="57" s="1"/>
  <c r="CA10" i="57" a="1"/>
  <c r="CA10" i="57" s="1"/>
  <c r="CA11" i="57" a="1"/>
  <c r="CA11" i="57" s="1"/>
  <c r="BY27" i="57" a="1"/>
  <c r="BY27" i="57" s="1"/>
  <c r="BY26" i="57" a="1"/>
  <c r="BY26" i="57" s="1"/>
  <c r="BZ20" i="57" a="1"/>
  <c r="BZ20" i="57" s="1"/>
  <c r="CA27" i="57" a="1"/>
  <c r="CA27" i="57" s="1"/>
  <c r="BZ10" i="57" a="1"/>
  <c r="BZ10" i="57" s="1"/>
  <c r="CA14" i="57" a="1"/>
  <c r="CA14" i="57" s="1"/>
  <c r="CA13" i="57" a="1"/>
  <c r="CA13" i="57" s="1"/>
  <c r="CB13" i="57" a="1"/>
  <c r="CB13" i="57" s="1"/>
  <c r="BY22" i="57" a="1"/>
  <c r="BY22" i="57" s="1"/>
  <c r="BZ14" i="57" a="1"/>
  <c r="BZ14" i="57" s="1"/>
  <c r="CB19" i="57" a="1"/>
  <c r="CB19" i="57" s="1"/>
  <c r="BY12" i="57" a="1"/>
  <c r="BY12" i="57" s="1"/>
  <c r="BZ23" i="57" a="1"/>
  <c r="BZ23" i="57" s="1"/>
  <c r="CA24" i="57" a="1"/>
  <c r="CA24" i="57" s="1"/>
  <c r="BY34" i="57" a="1"/>
  <c r="BY34" i="57" s="1"/>
  <c r="BZ16" i="57" a="1"/>
  <c r="BZ16" i="57" s="1"/>
  <c r="BY15" i="57" a="1"/>
  <c r="BY15" i="57" s="1"/>
  <c r="CB28" i="57" a="1"/>
  <c r="CB28" i="57" s="1"/>
  <c r="BZ22" i="57" a="1"/>
  <c r="BZ22" i="57" s="1"/>
  <c r="BY33" i="57" a="1"/>
  <c r="BY33" i="57" s="1"/>
  <c r="CB14" i="57" a="1"/>
  <c r="CB14" i="57" s="1"/>
  <c r="CB15" i="57" a="1"/>
  <c r="CB15" i="57" s="1"/>
  <c r="CA33" i="57" a="1"/>
  <c r="CA33" i="57" s="1"/>
  <c r="CB33" i="57" a="1"/>
  <c r="CB33" i="57" s="1"/>
  <c r="BZ9" i="57" a="1"/>
  <c r="BZ9" i="57" s="1"/>
  <c r="BY21" i="57" a="1"/>
  <c r="BY21" i="57" s="1"/>
  <c r="CB24" i="57" a="1"/>
  <c r="CB24" i="57" s="1"/>
  <c r="CB21" i="57" a="1"/>
  <c r="CB21" i="57" s="1"/>
  <c r="CA22" i="57" a="1"/>
  <c r="CA22" i="57" s="1"/>
  <c r="BY23" i="57" a="1"/>
  <c r="BY23" i="57" s="1"/>
  <c r="BY14" i="57" a="1"/>
  <c r="BY14" i="57" s="1"/>
  <c r="BY11" i="57" a="1"/>
  <c r="BY11" i="57" s="1"/>
  <c r="BY9" i="57" a="1"/>
  <c r="BY9" i="57" s="1"/>
  <c r="BZ28" i="57" a="1"/>
  <c r="BZ28" i="57" s="1"/>
  <c r="BY20" i="57" a="1"/>
  <c r="BY20" i="57" s="1"/>
  <c r="BY19" i="57" a="1"/>
  <c r="BY19" i="57" s="1"/>
  <c r="BZ24" i="57" a="1"/>
  <c r="BZ24" i="57" s="1"/>
  <c r="E26" i="58"/>
  <c r="H26" i="58"/>
  <c r="E27" i="58"/>
  <c r="H27" i="58"/>
  <c r="AZ9" i="45"/>
  <c r="AZ8" i="45"/>
  <c r="BA8" i="45"/>
  <c r="BA6" i="45"/>
  <c r="C27" i="45"/>
  <c r="AR28" i="45"/>
  <c r="C31" i="57"/>
  <c r="AR32" i="57"/>
  <c r="C32" i="57" s="1"/>
  <c r="AZ11" i="45"/>
  <c r="AZ7" i="45"/>
  <c r="AZ6" i="45"/>
  <c r="AZ10" i="45"/>
  <c r="BA7" i="45"/>
  <c r="BA11" i="45"/>
  <c r="BA9" i="45"/>
  <c r="BA10" i="45"/>
  <c r="AQ23" i="47"/>
  <c r="AW20" i="49"/>
  <c r="T22" i="47"/>
  <c r="V22" i="47"/>
  <c r="E36" i="58"/>
  <c r="V23" i="47"/>
  <c r="R23" i="47"/>
  <c r="T23" i="47"/>
  <c r="E38" i="58"/>
  <c r="H36" i="58"/>
  <c r="R22" i="47"/>
  <c r="H37" i="58"/>
  <c r="Y13" i="58"/>
  <c r="Y12" i="58"/>
  <c r="AB12" i="58"/>
  <c r="Y11" i="58"/>
  <c r="AB11" i="58"/>
  <c r="H32" i="58"/>
  <c r="H31" i="58"/>
  <c r="E31" i="58"/>
  <c r="E32" i="58"/>
  <c r="E33" i="58"/>
  <c r="T11" i="58"/>
  <c r="W12" i="58"/>
  <c r="T13" i="58"/>
  <c r="T12" i="58"/>
  <c r="W11" i="58"/>
  <c r="Y13" i="56"/>
  <c r="AB12" i="56"/>
  <c r="AB11" i="56"/>
  <c r="Y11" i="56"/>
  <c r="Y12" i="56"/>
  <c r="V23" i="43"/>
  <c r="V20" i="49"/>
  <c r="R20" i="49"/>
  <c r="T20" i="49"/>
  <c r="U21" i="49"/>
  <c r="R21" i="49" s="1"/>
  <c r="AQ20" i="49"/>
  <c r="T22" i="49"/>
  <c r="V22" i="49"/>
  <c r="R22" i="49"/>
  <c r="AQ22" i="49"/>
  <c r="T23" i="43"/>
  <c r="AP20" i="49"/>
  <c r="F21" i="49"/>
  <c r="H20" i="49"/>
  <c r="K20" i="49"/>
  <c r="AX24" i="45"/>
  <c r="AX29" i="45"/>
  <c r="AX27" i="45"/>
  <c r="AX26" i="45"/>
  <c r="AX32" i="45"/>
  <c r="AT24" i="43"/>
  <c r="AS18" i="49"/>
  <c r="AS19" i="49"/>
  <c r="AT26" i="43"/>
  <c r="AT32" i="43"/>
  <c r="AT30" i="43"/>
  <c r="C30" i="47"/>
  <c r="AR31" i="47"/>
  <c r="AT29" i="43"/>
  <c r="AX21" i="43"/>
  <c r="AS25" i="43"/>
  <c r="AT31" i="43"/>
  <c r="AS29" i="43"/>
  <c r="AW21" i="43"/>
  <c r="AT25" i="43"/>
  <c r="AS24" i="43"/>
  <c r="AT27" i="43"/>
  <c r="AS31" i="43"/>
  <c r="AS32" i="43"/>
  <c r="AS26" i="43"/>
  <c r="AS30" i="43"/>
  <c r="AT28" i="43"/>
  <c r="AS27" i="43"/>
  <c r="AS28" i="43"/>
  <c r="CG18" i="55" l="1" a="1"/>
  <c r="CG18" i="55" s="1"/>
  <c r="V20" i="53"/>
  <c r="T20" i="53"/>
  <c r="AQ20" i="53"/>
  <c r="C21" i="44" a="1"/>
  <c r="C21" i="44" s="1"/>
  <c r="C26" i="44" a="1"/>
  <c r="C26" i="44" s="1"/>
  <c r="C13" i="44"/>
  <c r="C17" i="44"/>
  <c r="C27" i="44" s="1"/>
  <c r="C18" i="44"/>
  <c r="C28" i="44" s="1"/>
  <c r="T25" i="44" s="1"/>
  <c r="C11" i="44" a="1"/>
  <c r="C11" i="44" s="1"/>
  <c r="C15" i="44" a="1"/>
  <c r="C15" i="44" s="1"/>
  <c r="C12" i="44"/>
  <c r="C22" i="44" s="1"/>
  <c r="C16" i="44" a="1"/>
  <c r="C16" i="44" s="1"/>
  <c r="C10" i="44" a="1"/>
  <c r="C10" i="44" s="1"/>
  <c r="G20" i="51"/>
  <c r="AP20" i="51"/>
  <c r="F21" i="51"/>
  <c r="AW21" i="51" s="1"/>
  <c r="H20" i="51"/>
  <c r="BW32" i="55" a="1"/>
  <c r="BW32" i="55" s="1"/>
  <c r="CC32" i="55" s="1"/>
  <c r="CG32" i="55" a="1"/>
  <c r="CG32" i="55" s="1"/>
  <c r="BX31" i="55" a="1"/>
  <c r="BX31" i="55" s="1"/>
  <c r="CG21" i="55" a="1"/>
  <c r="CG21" i="55" s="1"/>
  <c r="BY28" i="55" a="1"/>
  <c r="BY28" i="55" s="1"/>
  <c r="CB15" i="55" a="1"/>
  <c r="CB15" i="55" s="1"/>
  <c r="Q7" i="55"/>
  <c r="V7" i="55" s="1"/>
  <c r="CG34" i="55" a="1"/>
  <c r="CG34" i="55" s="1"/>
  <c r="CB28" i="55" a="1"/>
  <c r="CB28" i="55" s="1"/>
  <c r="BW11" i="55" a="1"/>
  <c r="BW11" i="55" s="1"/>
  <c r="CA20" i="55" a="1"/>
  <c r="CA20" i="55" s="1"/>
  <c r="BW27" i="55" a="1"/>
  <c r="BW27" i="55" s="1"/>
  <c r="CC27" i="55" s="1"/>
  <c r="BY22" i="55" a="1"/>
  <c r="BY22" i="55" s="1"/>
  <c r="BX21" i="55" a="1"/>
  <c r="BX21" i="55" s="1"/>
  <c r="BW15" i="55" a="1"/>
  <c r="BW15" i="55" s="1"/>
  <c r="CB22" i="55" a="1"/>
  <c r="CB22" i="55" s="1"/>
  <c r="BW24" i="55" a="1"/>
  <c r="BW24" i="55" s="1"/>
  <c r="CC24" i="55" s="1"/>
  <c r="BW10" i="55" a="1"/>
  <c r="BW10" i="55" s="1"/>
  <c r="BX32" i="55" a="1"/>
  <c r="BX32" i="55" s="1"/>
  <c r="CH16" i="55" a="1"/>
  <c r="CH16" i="55" s="1"/>
  <c r="BZ23" i="55" a="1"/>
  <c r="BZ23" i="55" s="1"/>
  <c r="CB19" i="55" a="1"/>
  <c r="CB19" i="55" s="1"/>
  <c r="CB10" i="55" a="1"/>
  <c r="CB10" i="55" s="1"/>
  <c r="BZ18" i="55" a="1"/>
  <c r="BZ18" i="55" s="1"/>
  <c r="CH30" i="55" a="1"/>
  <c r="CH30" i="55" s="1"/>
  <c r="CA18" i="55" a="1"/>
  <c r="CA18" i="55" s="1"/>
  <c r="BZ28" i="55" a="1"/>
  <c r="BZ28" i="55" s="1"/>
  <c r="CA13" i="55" a="1"/>
  <c r="CA13" i="55" s="1"/>
  <c r="CB18" i="55" a="1"/>
  <c r="CB18" i="55" s="1"/>
  <c r="Q9" i="55"/>
  <c r="S9" i="55" s="1"/>
  <c r="Q8" i="55"/>
  <c r="U8" i="55" s="1"/>
  <c r="BW33" i="55" a="1"/>
  <c r="BW33" i="55" s="1"/>
  <c r="BX34" i="55" a="1"/>
  <c r="BX34" i="55" s="1"/>
  <c r="BW14" i="55" a="1"/>
  <c r="BW14" i="55" s="1"/>
  <c r="BX15" i="55" a="1"/>
  <c r="BX15" i="55" s="1"/>
  <c r="BX14" i="55" a="1"/>
  <c r="BX14" i="55" s="1"/>
  <c r="BZ34" i="55" a="1"/>
  <c r="BZ34" i="55" s="1"/>
  <c r="BY19" i="55" a="1"/>
  <c r="BY19" i="55" s="1"/>
  <c r="CG23" i="55" a="1"/>
  <c r="CG23" i="55" s="1"/>
  <c r="CG31" i="55" a="1"/>
  <c r="CG31" i="55" s="1"/>
  <c r="CH11" i="55" a="1"/>
  <c r="CH11" i="55" s="1"/>
  <c r="BY32" i="55" a="1"/>
  <c r="BY32" i="55" s="1"/>
  <c r="CD32" i="55" s="1"/>
  <c r="CH10" i="55" a="1"/>
  <c r="CH10" i="55" s="1"/>
  <c r="BY15" i="55" a="1"/>
  <c r="BY15" i="55" s="1"/>
  <c r="BY10" i="55" a="1"/>
  <c r="BY10" i="55" s="1"/>
  <c r="CB17" i="55" a="1"/>
  <c r="CB17" i="55" s="1"/>
  <c r="BW21" i="55" a="1"/>
  <c r="BW21" i="55" s="1"/>
  <c r="CC21" i="55" s="1"/>
  <c r="BX16" i="55" a="1"/>
  <c r="BX16" i="55" s="1"/>
  <c r="BX11" i="55" a="1"/>
  <c r="BX11" i="55" s="1"/>
  <c r="BW9" i="55" a="1"/>
  <c r="BW9" i="55" s="1"/>
  <c r="BX22" i="55" a="1"/>
  <c r="BX22" i="55" s="1"/>
  <c r="BX12" i="55" a="1"/>
  <c r="BX12" i="55" s="1"/>
  <c r="BW34" i="55" a="1"/>
  <c r="BW34" i="55" s="1"/>
  <c r="CC34" i="55" s="1"/>
  <c r="BY33" i="55" a="1"/>
  <c r="BY33" i="55" s="1"/>
  <c r="BZ19" i="55" a="1"/>
  <c r="BZ19" i="55" s="1"/>
  <c r="BZ33" i="55" a="1"/>
  <c r="BZ33" i="55" s="1"/>
  <c r="CB33" i="55" a="1"/>
  <c r="CB33" i="55" s="1"/>
  <c r="BY18" i="55" a="1"/>
  <c r="BY18" i="55" s="1"/>
  <c r="CB23" i="55" a="1"/>
  <c r="CB23" i="55" s="1"/>
  <c r="BY20" i="55" a="1"/>
  <c r="BY20" i="55" s="1"/>
  <c r="BY21" i="55" a="1"/>
  <c r="BY21" i="55" s="1"/>
  <c r="BZ29" i="55" a="1"/>
  <c r="BZ29" i="55" s="1"/>
  <c r="CB11" i="55" a="1"/>
  <c r="CB11" i="55" s="1"/>
  <c r="BY29" i="55" a="1"/>
  <c r="BY29" i="55" s="1"/>
  <c r="BZ16" i="55" a="1"/>
  <c r="BZ16" i="55" s="1"/>
  <c r="BX10" i="55" a="1"/>
  <c r="BX10" i="55" s="1"/>
  <c r="BW20" i="55" a="1"/>
  <c r="BW20" i="55" s="1"/>
  <c r="CC20" i="55" s="1"/>
  <c r="CE20" i="55" s="1"/>
  <c r="CH19" i="55" a="1"/>
  <c r="CH19" i="55" s="1"/>
  <c r="CH18" i="55" a="1"/>
  <c r="CH18" i="55" s="1"/>
  <c r="CG13" i="55" a="1"/>
  <c r="CG13" i="55" s="1"/>
  <c r="CB31" i="55" a="1"/>
  <c r="CB31" i="55" s="1"/>
  <c r="CA22" i="55" a="1"/>
  <c r="CA22" i="55" s="1"/>
  <c r="CA19" i="55" a="1"/>
  <c r="CA19" i="55" s="1"/>
  <c r="CB27" i="55" a="1"/>
  <c r="CB27" i="55" s="1"/>
  <c r="CG29" i="55" a="1"/>
  <c r="CG29" i="55" s="1"/>
  <c r="BZ31" i="55" a="1"/>
  <c r="BZ31" i="55" s="1"/>
  <c r="CG14" i="55" a="1"/>
  <c r="CG14" i="55" s="1"/>
  <c r="CB13" i="55" a="1"/>
  <c r="CB13" i="55" s="1"/>
  <c r="BY12" i="55" a="1"/>
  <c r="BY12" i="55" s="1"/>
  <c r="CG10" i="55" a="1"/>
  <c r="CG10" i="55" s="1"/>
  <c r="BZ10" i="55" a="1"/>
  <c r="BZ10" i="55" s="1"/>
  <c r="BX9" i="55" a="1"/>
  <c r="BX9" i="55" s="1"/>
  <c r="CH26" i="55" a="1"/>
  <c r="CH26" i="55" s="1"/>
  <c r="CB20" i="55" a="1"/>
  <c r="CB20" i="55" s="1"/>
  <c r="P10" i="55"/>
  <c r="CB14" i="55" a="1"/>
  <c r="CB14" i="55" s="1"/>
  <c r="CG6" i="55" a="1"/>
  <c r="CG6" i="55" s="1"/>
  <c r="CH6" i="55" a="1"/>
  <c r="CH6" i="55" s="1"/>
  <c r="CH32" i="55" a="1"/>
  <c r="CH32" i="55" s="1"/>
  <c r="CG11" i="55" a="1"/>
  <c r="CG11" i="55" s="1"/>
  <c r="P7" i="55"/>
  <c r="CA28" i="55" a="1"/>
  <c r="CA28" i="55" s="1"/>
  <c r="CA27" i="55" a="1"/>
  <c r="CA27" i="55" s="1"/>
  <c r="BY27" i="55" a="1"/>
  <c r="BY27" i="55" s="1"/>
  <c r="Q6" i="55"/>
  <c r="S6" i="55" s="1"/>
  <c r="AM13" i="56" s="1" a="1"/>
  <c r="AM13" i="56" s="1"/>
  <c r="CB32" i="55" a="1"/>
  <c r="CB32" i="55" s="1"/>
  <c r="BW12" i="55" a="1"/>
  <c r="BW12" i="55" s="1"/>
  <c r="BW23" i="55" a="1"/>
  <c r="BW23" i="55" s="1"/>
  <c r="BW16" i="55" a="1"/>
  <c r="BW16" i="55" s="1"/>
  <c r="BX23" i="55" a="1"/>
  <c r="BX23" i="55" s="1"/>
  <c r="BW18" i="55" a="1"/>
  <c r="BW18" i="55" s="1"/>
  <c r="CC18" i="55" s="1"/>
  <c r="CD18" i="55" s="1"/>
  <c r="BW19" i="55" a="1"/>
  <c r="BW19" i="55" s="1"/>
  <c r="CC19" i="55" s="1"/>
  <c r="CE19" i="55" s="1"/>
  <c r="CH12" i="55" a="1"/>
  <c r="CH12" i="55" s="1"/>
  <c r="CG16" i="55" a="1"/>
  <c r="CG16" i="55" s="1"/>
  <c r="CG24" i="55" a="1"/>
  <c r="CG24" i="55" s="1"/>
  <c r="CH31" i="55" a="1"/>
  <c r="CH31" i="55" s="1"/>
  <c r="CB26" i="55" a="1"/>
  <c r="CB26" i="55" s="1"/>
  <c r="BY26" i="55" a="1"/>
  <c r="BY26" i="55" s="1"/>
  <c r="BZ17" i="55" a="1"/>
  <c r="BZ17" i="55" s="1"/>
  <c r="CH34" i="55" a="1"/>
  <c r="CH34" i="55" s="1"/>
  <c r="CG33" i="55" a="1"/>
  <c r="CG33" i="55" s="1"/>
  <c r="CA24" i="55" a="1"/>
  <c r="CA24" i="55" s="1"/>
  <c r="CA31" i="55" a="1"/>
  <c r="CA31" i="55" s="1"/>
  <c r="CH23" i="55" a="1"/>
  <c r="CH23" i="55" s="1"/>
  <c r="CH9" i="55" a="1"/>
  <c r="CH9" i="55" s="1"/>
  <c r="BZ9" i="55" a="1"/>
  <c r="BZ9" i="55" s="1"/>
  <c r="BW13" i="55" a="1"/>
  <c r="BW13" i="55" s="1"/>
  <c r="BX19" i="55" a="1"/>
  <c r="BX19" i="55" s="1"/>
  <c r="BX28" i="55" a="1"/>
  <c r="BX28" i="55" s="1"/>
  <c r="BW31" i="55" a="1"/>
  <c r="BW31" i="55" s="1"/>
  <c r="CC31" i="55" s="1"/>
  <c r="BX29" i="55" a="1"/>
  <c r="BX29" i="55" s="1"/>
  <c r="BZ27" i="55" a="1"/>
  <c r="BZ27" i="55" s="1"/>
  <c r="CG17" i="55" a="1"/>
  <c r="CG17" i="55" s="1"/>
  <c r="CA26" i="55" a="1"/>
  <c r="CA26" i="55" s="1"/>
  <c r="CH13" i="55" a="1"/>
  <c r="CH13" i="55" s="1"/>
  <c r="CH14" i="55" a="1"/>
  <c r="CH14" i="55" s="1"/>
  <c r="CH22" i="55" a="1"/>
  <c r="CH22" i="55" s="1"/>
  <c r="CG27" i="55" a="1"/>
  <c r="CG27" i="55" s="1"/>
  <c r="CH29" i="55" a="1"/>
  <c r="CH29" i="55" s="1"/>
  <c r="P9" i="55"/>
  <c r="CA17" i="55" a="1"/>
  <c r="CA17" i="55" s="1"/>
  <c r="CH25" i="55" a="1"/>
  <c r="CH25" i="55" s="1"/>
  <c r="CB24" i="55" a="1"/>
  <c r="CB24" i="55" s="1"/>
  <c r="BY11" i="55" a="1"/>
  <c r="BY11" i="55" s="1"/>
  <c r="BY34" i="55" a="1"/>
  <c r="BY34" i="55" s="1"/>
  <c r="CH33" i="55" a="1"/>
  <c r="CH33" i="55" s="1"/>
  <c r="BX24" i="55" a="1"/>
  <c r="BX24" i="55" s="1"/>
  <c r="BX33" i="55" a="1"/>
  <c r="BX33" i="55" s="1"/>
  <c r="BX26" i="55" a="1"/>
  <c r="BX26" i="55" s="1"/>
  <c r="BX18" i="55" a="1"/>
  <c r="BX18" i="55" s="1"/>
  <c r="BW26" i="55" a="1"/>
  <c r="BW26" i="55" s="1"/>
  <c r="CC26" i="55" s="1"/>
  <c r="CA14" i="55" a="1"/>
  <c r="CA14" i="55" s="1"/>
  <c r="CA32" i="55" a="1"/>
  <c r="CA32" i="55" s="1"/>
  <c r="BY31" i="55" a="1"/>
  <c r="BY31" i="55" s="1"/>
  <c r="CG30" i="55" a="1"/>
  <c r="CG30" i="55" s="1"/>
  <c r="CG19" i="55" a="1"/>
  <c r="CG19" i="55" s="1"/>
  <c r="CH8" i="55" a="1"/>
  <c r="CH8" i="55" s="1"/>
  <c r="BZ22" i="55" a="1"/>
  <c r="BZ22" i="55" s="1"/>
  <c r="CG8" i="55" a="1"/>
  <c r="CG8" i="55" s="1"/>
  <c r="BY24" i="55" a="1"/>
  <c r="BY24" i="55" s="1"/>
  <c r="BZ26" i="55" a="1"/>
  <c r="BZ26" i="55" s="1"/>
  <c r="CA15" i="55" a="1"/>
  <c r="CA15" i="55" s="1"/>
  <c r="BZ15" i="55" a="1"/>
  <c r="BZ15" i="55" s="1"/>
  <c r="CB12" i="55" a="1"/>
  <c r="CB12" i="55" s="1"/>
  <c r="Q11" i="55"/>
  <c r="V11" i="55" s="1"/>
  <c r="CA34" i="55" a="1"/>
  <c r="CA34" i="55" s="1"/>
  <c r="CH7" i="55" a="1"/>
  <c r="CH7" i="55" s="1"/>
  <c r="BX20" i="55" a="1"/>
  <c r="BX20" i="55" s="1"/>
  <c r="BX17" i="55" a="1"/>
  <c r="BX17" i="55" s="1"/>
  <c r="BX13" i="55" a="1"/>
  <c r="BX13" i="55" s="1"/>
  <c r="CB16" i="55" a="1"/>
  <c r="CB16" i="55" s="1"/>
  <c r="CF33" i="55" s="1"/>
  <c r="O35" i="56" s="1"/>
  <c r="CA10" i="55" a="1"/>
  <c r="CA10" i="55" s="1"/>
  <c r="CG25" i="55" a="1"/>
  <c r="CG25" i="55" s="1"/>
  <c r="CA9" i="55" a="1"/>
  <c r="CA9" i="55" s="1"/>
  <c r="P11" i="55"/>
  <c r="CG12" i="55" a="1"/>
  <c r="CG12" i="55" s="1"/>
  <c r="BZ14" i="55" a="1"/>
  <c r="BZ14" i="55" s="1"/>
  <c r="CH21" i="55" a="1"/>
  <c r="CH21" i="55" s="1"/>
  <c r="CB29" i="55" a="1"/>
  <c r="CB29" i="55" s="1"/>
  <c r="BY13" i="55" a="1"/>
  <c r="BY13" i="55" s="1"/>
  <c r="BZ13" i="55" a="1"/>
  <c r="BZ13" i="55" s="1"/>
  <c r="BZ24" i="55" a="1"/>
  <c r="BZ24" i="55" s="1"/>
  <c r="CH15" i="55" a="1"/>
  <c r="CH15" i="55" s="1"/>
  <c r="CA16" i="55" a="1"/>
  <c r="CA16" i="55" s="1"/>
  <c r="CH27" i="55" a="1"/>
  <c r="CH27" i="55" s="1"/>
  <c r="BW29" i="55" a="1"/>
  <c r="BW29" i="55" s="1"/>
  <c r="BW22" i="55" a="1"/>
  <c r="BW22" i="55" s="1"/>
  <c r="CC22" i="55" s="1"/>
  <c r="BY17" i="55" a="1"/>
  <c r="BY17" i="55" s="1"/>
  <c r="CA21" i="55" a="1"/>
  <c r="CA21" i="55" s="1"/>
  <c r="BZ21" i="55" a="1"/>
  <c r="BZ21" i="55" s="1"/>
  <c r="CA33" i="55" a="1"/>
  <c r="CA33" i="55" s="1"/>
  <c r="CH35" i="55" a="1"/>
  <c r="CH35" i="55" s="1"/>
  <c r="CH17" i="55" a="1"/>
  <c r="CH17" i="55" s="1"/>
  <c r="BY16" i="55" a="1"/>
  <c r="BY16" i="55" s="1"/>
  <c r="CA11" i="55" a="1"/>
  <c r="CA11" i="55" s="1"/>
  <c r="CA29" i="55" a="1"/>
  <c r="CA29" i="55" s="1"/>
  <c r="P8" i="55"/>
  <c r="BY9" i="55" a="1"/>
  <c r="BY9" i="55" s="1"/>
  <c r="CH28" i="55" a="1"/>
  <c r="CH28" i="55" s="1"/>
  <c r="BW17" i="55" a="1"/>
  <c r="BW17" i="55" s="1"/>
  <c r="BX27" i="55" a="1"/>
  <c r="BX27" i="55" s="1"/>
  <c r="BW28" i="55" a="1"/>
  <c r="BW28" i="55" s="1"/>
  <c r="CA23" i="55" a="1"/>
  <c r="CA23" i="55" s="1"/>
  <c r="P6" i="55"/>
  <c r="BY14" i="55" a="1"/>
  <c r="BY14" i="55" s="1"/>
  <c r="BY23" i="55" a="1"/>
  <c r="BY23" i="55" s="1"/>
  <c r="CG26" i="55" a="1"/>
  <c r="CG26" i="55" s="1"/>
  <c r="CG28" i="55" a="1"/>
  <c r="CG28" i="55" s="1"/>
  <c r="BZ32" i="55" a="1"/>
  <c r="BZ32" i="55" s="1"/>
  <c r="CG22" i="55" a="1"/>
  <c r="CG22" i="55" s="1"/>
  <c r="CG35" i="55" a="1"/>
  <c r="CG35" i="55" s="1"/>
  <c r="CH24" i="55" a="1"/>
  <c r="CH24" i="55" s="1"/>
  <c r="CA12" i="55" a="1"/>
  <c r="CA12" i="55" s="1"/>
  <c r="Q10" i="55"/>
  <c r="V10" i="55" s="1"/>
  <c r="C17" i="42"/>
  <c r="C27" i="42" s="1"/>
  <c r="C11" i="42" a="1"/>
  <c r="C11" i="42" s="1"/>
  <c r="C18" i="42"/>
  <c r="C12" i="42"/>
  <c r="C22" i="42" s="1"/>
  <c r="C10" i="42" a="1"/>
  <c r="C10" i="42" s="1"/>
  <c r="C16" i="42" a="1"/>
  <c r="C16" i="42" s="1"/>
  <c r="C21" i="42" a="1"/>
  <c r="C21" i="42" s="1"/>
  <c r="C13" i="42"/>
  <c r="C26" i="42" a="1"/>
  <c r="C26" i="42" s="1"/>
  <c r="C15" i="42" a="1"/>
  <c r="C15" i="42" s="1"/>
  <c r="H18" i="39"/>
  <c r="G18" i="39"/>
  <c r="AP18" i="39"/>
  <c r="C28" i="40"/>
  <c r="T25" i="40" s="1"/>
  <c r="J15" i="40"/>
  <c r="C20" i="40"/>
  <c r="O8" i="40" s="1"/>
  <c r="E8" i="40"/>
  <c r="J8" i="40"/>
  <c r="C25" i="40"/>
  <c r="T8" i="40" s="1"/>
  <c r="E10" i="40"/>
  <c r="C23" i="40"/>
  <c r="O20" i="40" s="1"/>
  <c r="AQ23" i="43"/>
  <c r="F19" i="43"/>
  <c r="CB34" i="55" a="1"/>
  <c r="CB34" i="55" s="1"/>
  <c r="R21" i="53"/>
  <c r="T21" i="53"/>
  <c r="AQ21" i="53"/>
  <c r="AS20" i="51"/>
  <c r="CB15" i="59" a="1"/>
  <c r="CB15" i="59" s="1"/>
  <c r="BZ15" i="59" a="1"/>
  <c r="BZ15" i="59" s="1"/>
  <c r="CB14" i="59" a="1"/>
  <c r="CB14" i="59" s="1"/>
  <c r="BY14" i="59" a="1"/>
  <c r="BY14" i="59" s="1"/>
  <c r="BY15" i="59" a="1"/>
  <c r="BY15" i="59" s="1"/>
  <c r="BZ14" i="59" a="1"/>
  <c r="BZ14" i="59" s="1"/>
  <c r="CG7" i="55" a="1"/>
  <c r="CG7" i="55" s="1"/>
  <c r="CB9" i="55" a="1"/>
  <c r="CB9" i="55" s="1"/>
  <c r="CF20" i="55" s="1"/>
  <c r="V20" i="47"/>
  <c r="G20" i="53"/>
  <c r="CG9" i="55" a="1"/>
  <c r="CG9" i="55" s="1"/>
  <c r="U21" i="47"/>
  <c r="R21" i="47" s="1"/>
  <c r="H20" i="53"/>
  <c r="P11" i="59"/>
  <c r="F18" i="41"/>
  <c r="H18" i="41" s="1"/>
  <c r="AP20" i="53"/>
  <c r="F22" i="53" s="1"/>
  <c r="BZ12" i="55" a="1"/>
  <c r="BZ12" i="55" s="1"/>
  <c r="AW20" i="53"/>
  <c r="AS20" i="53" s="1"/>
  <c r="K20" i="53"/>
  <c r="F21" i="53"/>
  <c r="K21" i="53" s="1"/>
  <c r="BZ11" i="55" a="1"/>
  <c r="BZ11" i="55" s="1"/>
  <c r="BZ20" i="55" a="1"/>
  <c r="BZ20" i="55" s="1"/>
  <c r="CH20" i="55" a="1"/>
  <c r="CH20" i="55" s="1"/>
  <c r="BW20" i="59" a="1"/>
  <c r="BW20" i="59" s="1"/>
  <c r="CG19" i="59" a="1"/>
  <c r="CG19" i="59" s="1"/>
  <c r="BW12" i="59" a="1"/>
  <c r="BW12" i="59" s="1"/>
  <c r="CC12" i="59" s="1"/>
  <c r="CG20" i="55" a="1"/>
  <c r="CG20" i="55" s="1"/>
  <c r="Q10" i="59"/>
  <c r="U10" i="59" s="1"/>
  <c r="BX15" i="59" a="1"/>
  <c r="BX15" i="59" s="1"/>
  <c r="BX32" i="59" a="1"/>
  <c r="BX32" i="59" s="1"/>
  <c r="BX16" i="59" a="1"/>
  <c r="BX16" i="59" s="1"/>
  <c r="BX34" i="59" a="1"/>
  <c r="BX34" i="59" s="1"/>
  <c r="CB21" i="59" a="1"/>
  <c r="CB21" i="59" s="1"/>
  <c r="BX22" i="59" a="1"/>
  <c r="BX22" i="59" s="1"/>
  <c r="BX27" i="59" a="1"/>
  <c r="BX27" i="59" s="1"/>
  <c r="BX10" i="59" a="1"/>
  <c r="BX10" i="59" s="1"/>
  <c r="BW22" i="59" a="1"/>
  <c r="BW22" i="59" s="1"/>
  <c r="CC22" i="59" s="1"/>
  <c r="CH25" i="59" a="1"/>
  <c r="CH25" i="59" s="1"/>
  <c r="BW10" i="59" a="1"/>
  <c r="BW10" i="59" s="1"/>
  <c r="CC10" i="59" s="1"/>
  <c r="BX31" i="59" a="1"/>
  <c r="BX31" i="59" s="1"/>
  <c r="BX29" i="59" a="1"/>
  <c r="BX29" i="59" s="1"/>
  <c r="BW19" i="59" a="1"/>
  <c r="BW19" i="59" s="1"/>
  <c r="Q8" i="59"/>
  <c r="BW15" i="59" a="1"/>
  <c r="BW15" i="59" s="1"/>
  <c r="BW32" i="59" a="1"/>
  <c r="BW32" i="59" s="1"/>
  <c r="CC32" i="59" s="1"/>
  <c r="Q9" i="59"/>
  <c r="V9" i="59" s="1"/>
  <c r="BX18" i="59" a="1"/>
  <c r="BX18" i="59" s="1"/>
  <c r="BW21" i="59" a="1"/>
  <c r="BW21" i="59" s="1"/>
  <c r="CC21" i="59" s="1"/>
  <c r="BW29" i="59" a="1"/>
  <c r="BW29" i="59" s="1"/>
  <c r="CC29" i="59" s="1"/>
  <c r="BW27" i="59" a="1"/>
  <c r="BW27" i="59" s="1"/>
  <c r="CC27" i="59" s="1"/>
  <c r="BW23" i="59" a="1"/>
  <c r="BW23" i="59" s="1"/>
  <c r="CC23" i="59" s="1"/>
  <c r="BW34" i="59" a="1"/>
  <c r="BW34" i="59" s="1"/>
  <c r="BX14" i="59" a="1"/>
  <c r="BX14" i="59" s="1"/>
  <c r="BW14" i="59" a="1"/>
  <c r="BW14" i="59" s="1"/>
  <c r="Q7" i="59"/>
  <c r="S7" i="59" s="1"/>
  <c r="BX19" i="59" a="1"/>
  <c r="BX19" i="59" s="1"/>
  <c r="BW28" i="59" a="1"/>
  <c r="BW28" i="59" s="1"/>
  <c r="BW16" i="59" a="1"/>
  <c r="BW16" i="59" s="1"/>
  <c r="P10" i="59"/>
  <c r="BX28" i="59" a="1"/>
  <c r="BX28" i="59" s="1"/>
  <c r="BW13" i="59" a="1"/>
  <c r="BW13" i="59" s="1"/>
  <c r="BX13" i="59" a="1"/>
  <c r="BX13" i="59" s="1"/>
  <c r="BX11" i="59" a="1"/>
  <c r="BX11" i="59" s="1"/>
  <c r="BY20" i="59" a="1"/>
  <c r="BY20" i="59" s="1"/>
  <c r="BX24" i="59" a="1"/>
  <c r="BX24" i="59" s="1"/>
  <c r="Q11" i="59"/>
  <c r="BW31" i="59" a="1"/>
  <c r="BW31" i="59" s="1"/>
  <c r="CC31" i="59" s="1"/>
  <c r="BX12" i="59" a="1"/>
  <c r="BX12" i="59" s="1"/>
  <c r="BX23" i="59" a="1"/>
  <c r="BX23" i="59" s="1"/>
  <c r="BW11" i="59" a="1"/>
  <c r="BW11" i="59" s="1"/>
  <c r="BW26" i="59" a="1"/>
  <c r="BW26" i="59" s="1"/>
  <c r="CC26" i="59" s="1"/>
  <c r="BW24" i="59" a="1"/>
  <c r="BW24" i="59" s="1"/>
  <c r="BW18" i="59" a="1"/>
  <c r="BW18" i="59" s="1"/>
  <c r="BX17" i="59" a="1"/>
  <c r="BX17" i="59" s="1"/>
  <c r="BW33" i="59" a="1"/>
  <c r="BW33" i="59" s="1"/>
  <c r="BW17" i="59" a="1"/>
  <c r="BW17" i="59" s="1"/>
  <c r="BW9" i="59" a="1"/>
  <c r="BW9" i="59" s="1"/>
  <c r="BX20" i="59" a="1"/>
  <c r="BX20" i="59" s="1"/>
  <c r="BX21" i="59" a="1"/>
  <c r="BX21" i="59" s="1"/>
  <c r="BX26" i="59" a="1"/>
  <c r="BX26" i="59" s="1"/>
  <c r="Q6" i="59"/>
  <c r="V6" i="59" s="1"/>
  <c r="AK10" i="60" s="1" a="1"/>
  <c r="AK10" i="60" s="1"/>
  <c r="BX9" i="59" a="1"/>
  <c r="BX9" i="59" s="1"/>
  <c r="BX33" i="59" a="1"/>
  <c r="BX33" i="59" s="1"/>
  <c r="BY26" i="59" a="1"/>
  <c r="BY26" i="59" s="1"/>
  <c r="AQ20" i="47"/>
  <c r="CG9" i="59" a="1"/>
  <c r="CG9" i="59" s="1"/>
  <c r="R20" i="47"/>
  <c r="AW18" i="41"/>
  <c r="CH20" i="59" a="1"/>
  <c r="CH20" i="59" s="1"/>
  <c r="AQ22" i="47"/>
  <c r="AX22" i="47"/>
  <c r="BY24" i="59" a="1"/>
  <c r="BY24" i="59" s="1"/>
  <c r="BY18" i="59" a="1"/>
  <c r="BY18" i="59" s="1"/>
  <c r="CB16" i="59" a="1"/>
  <c r="CB16" i="59" s="1"/>
  <c r="CH16" i="59" a="1"/>
  <c r="CH16" i="59" s="1"/>
  <c r="CH18" i="59" a="1"/>
  <c r="CH18" i="59" s="1"/>
  <c r="CG11" i="59" a="1"/>
  <c r="CG11" i="59" s="1"/>
  <c r="CG13" i="59" a="1"/>
  <c r="CG13" i="59" s="1"/>
  <c r="CA15" i="59" a="1"/>
  <c r="CA15" i="59" s="1"/>
  <c r="CA27" i="59" a="1"/>
  <c r="CA27" i="59" s="1"/>
  <c r="BZ32" i="59" a="1"/>
  <c r="BZ32" i="59" s="1"/>
  <c r="BY34" i="59" a="1"/>
  <c r="BY34" i="59" s="1"/>
  <c r="CB12" i="59" a="1"/>
  <c r="CB12" i="59" s="1"/>
  <c r="BZ18" i="59" a="1"/>
  <c r="BZ18" i="59" s="1"/>
  <c r="BY12" i="59" a="1"/>
  <c r="BY12" i="59" s="1"/>
  <c r="BZ27" i="59" a="1"/>
  <c r="BZ27" i="59" s="1"/>
  <c r="CA26" i="59" a="1"/>
  <c r="CA26" i="59" s="1"/>
  <c r="CH29" i="59" a="1"/>
  <c r="CH29" i="59" s="1"/>
  <c r="CG8" i="59" a="1"/>
  <c r="CG8" i="59" s="1"/>
  <c r="BY11" i="59" a="1"/>
  <c r="BY11" i="59" s="1"/>
  <c r="CA22" i="59" a="1"/>
  <c r="CA22" i="59" s="1"/>
  <c r="CG28" i="59" a="1"/>
  <c r="CG28" i="59" s="1"/>
  <c r="CA20" i="59" a="1"/>
  <c r="CA20" i="59" s="1"/>
  <c r="BZ13" i="59" a="1"/>
  <c r="BZ13" i="59" s="1"/>
  <c r="CG22" i="59" a="1"/>
  <c r="CG22" i="59" s="1"/>
  <c r="CG34" i="59" a="1"/>
  <c r="CG34" i="59" s="1"/>
  <c r="BY32" i="59" a="1"/>
  <c r="BY32" i="59" s="1"/>
  <c r="P7" i="59"/>
  <c r="BZ9" i="59" a="1"/>
  <c r="BZ9" i="59" s="1"/>
  <c r="BY10" i="59" a="1"/>
  <c r="BY10" i="59" s="1"/>
  <c r="CB24" i="59" a="1"/>
  <c r="CB24" i="59" s="1"/>
  <c r="CB27" i="59" a="1"/>
  <c r="CB27" i="59" s="1"/>
  <c r="BY27" i="59" a="1"/>
  <c r="BY27" i="59" s="1"/>
  <c r="CG15" i="59" a="1"/>
  <c r="CG15" i="59" s="1"/>
  <c r="CH26" i="59" a="1"/>
  <c r="CH26" i="59" s="1"/>
  <c r="CG21" i="59" a="1"/>
  <c r="CG21" i="59" s="1"/>
  <c r="BZ11" i="59" a="1"/>
  <c r="BZ11" i="59" s="1"/>
  <c r="CG33" i="59" a="1"/>
  <c r="CG33" i="59" s="1"/>
  <c r="CA34" i="59" a="1"/>
  <c r="CA34" i="59" s="1"/>
  <c r="CA14" i="59" a="1"/>
  <c r="CA14" i="59" s="1"/>
  <c r="CA9" i="59" a="1"/>
  <c r="CA9" i="59" s="1"/>
  <c r="CB10" i="59" a="1"/>
  <c r="CB10" i="59" s="1"/>
  <c r="CB17" i="59" a="1"/>
  <c r="CB17" i="59" s="1"/>
  <c r="CG23" i="59" a="1"/>
  <c r="CG23" i="59" s="1"/>
  <c r="CH14" i="59" a="1"/>
  <c r="CH14" i="59" s="1"/>
  <c r="CG25" i="59" a="1"/>
  <c r="CG25" i="59" s="1"/>
  <c r="BZ24" i="59" a="1"/>
  <c r="BZ24" i="59" s="1"/>
  <c r="CB20" i="59" a="1"/>
  <c r="CB20" i="59" s="1"/>
  <c r="CA11" i="59" a="1"/>
  <c r="CA11" i="59" s="1"/>
  <c r="CG10" i="59" a="1"/>
  <c r="CG10" i="59" s="1"/>
  <c r="CH28" i="59" a="1"/>
  <c r="CH28" i="59" s="1"/>
  <c r="CH34" i="59" a="1"/>
  <c r="CH34" i="59" s="1"/>
  <c r="BZ19" i="59" a="1"/>
  <c r="BZ19" i="59" s="1"/>
  <c r="CG16" i="59" a="1"/>
  <c r="CG16" i="59" s="1"/>
  <c r="BZ20" i="59" a="1"/>
  <c r="BZ20" i="59" s="1"/>
  <c r="BY9" i="59" a="1"/>
  <c r="BY9" i="59" s="1"/>
  <c r="CG31" i="59" a="1"/>
  <c r="CG31" i="59" s="1"/>
  <c r="P6" i="59"/>
  <c r="BY19" i="59" a="1"/>
  <c r="BY19" i="59" s="1"/>
  <c r="BY29" i="59" a="1"/>
  <c r="BY29" i="59" s="1"/>
  <c r="CB32" i="59" a="1"/>
  <c r="CB32" i="59" s="1"/>
  <c r="BY33" i="59" a="1"/>
  <c r="BY33" i="59" s="1"/>
  <c r="CH10" i="59" a="1"/>
  <c r="CH10" i="59" s="1"/>
  <c r="CH30" i="59" a="1"/>
  <c r="CH30" i="59" s="1"/>
  <c r="CH27" i="59" a="1"/>
  <c r="CH27" i="59" s="1"/>
  <c r="P8" i="59"/>
  <c r="CH24" i="59" a="1"/>
  <c r="CH24" i="59" s="1"/>
  <c r="CA24" i="59" a="1"/>
  <c r="CA24" i="59" s="1"/>
  <c r="CH7" i="59" a="1"/>
  <c r="CH7" i="59" s="1"/>
  <c r="CA13" i="59" a="1"/>
  <c r="CA13" i="59" s="1"/>
  <c r="CA12" i="59" a="1"/>
  <c r="CA12" i="59" s="1"/>
  <c r="BY23" i="59" a="1"/>
  <c r="BY23" i="59" s="1"/>
  <c r="CA23" i="59" a="1"/>
  <c r="CA23" i="59" s="1"/>
  <c r="CB23" i="59" a="1"/>
  <c r="CB23" i="59" s="1"/>
  <c r="CG29" i="59" a="1"/>
  <c r="CG29" i="59" s="1"/>
  <c r="CH21" i="59" a="1"/>
  <c r="CH21" i="59" s="1"/>
  <c r="CG35" i="59" a="1"/>
  <c r="CG35" i="59" s="1"/>
  <c r="CG24" i="59" a="1"/>
  <c r="CG24" i="59" s="1"/>
  <c r="CH19" i="59" a="1"/>
  <c r="CH19" i="59" s="1"/>
  <c r="CA29" i="59" a="1"/>
  <c r="CA29" i="59" s="1"/>
  <c r="CH31" i="59" a="1"/>
  <c r="CH31" i="59" s="1"/>
  <c r="BZ29" i="59" a="1"/>
  <c r="BZ29" i="59" s="1"/>
  <c r="CB29" i="59" a="1"/>
  <c r="CB29" i="59" s="1"/>
  <c r="CB18" i="59" a="1"/>
  <c r="CB18" i="59" s="1"/>
  <c r="BY21" i="59" a="1"/>
  <c r="BY21" i="59" s="1"/>
  <c r="BY16" i="59" a="1"/>
  <c r="BY16" i="59" s="1"/>
  <c r="CG14" i="59" a="1"/>
  <c r="CG14" i="59" s="1"/>
  <c r="CH12" i="59" a="1"/>
  <c r="CH12" i="59" s="1"/>
  <c r="CH11" i="59" a="1"/>
  <c r="CH11" i="59" s="1"/>
  <c r="CG20" i="59" a="1"/>
  <c r="CG20" i="59" s="1"/>
  <c r="CH9" i="59" a="1"/>
  <c r="CH9" i="59" s="1"/>
  <c r="CA17" i="59" a="1"/>
  <c r="CA17" i="59" s="1"/>
  <c r="BY22" i="59" a="1"/>
  <c r="BY22" i="59" s="1"/>
  <c r="P9" i="59"/>
  <c r="CG32" i="59" a="1"/>
  <c r="CG32" i="59" s="1"/>
  <c r="CB19" i="59" a="1"/>
  <c r="CB19" i="59" s="1"/>
  <c r="CG18" i="59" a="1"/>
  <c r="CG18" i="59" s="1"/>
  <c r="BZ34" i="59" a="1"/>
  <c r="BZ34" i="59" s="1"/>
  <c r="CA19" i="59" a="1"/>
  <c r="CA19" i="59" s="1"/>
  <c r="BZ26" i="59" a="1"/>
  <c r="BZ26" i="59" s="1"/>
  <c r="BZ22" i="59" a="1"/>
  <c r="BZ22" i="59" s="1"/>
  <c r="CA28" i="59" a="1"/>
  <c r="CA28" i="59" s="1"/>
  <c r="CG30" i="59" a="1"/>
  <c r="CG30" i="59" s="1"/>
  <c r="BZ33" i="59" a="1"/>
  <c r="BZ33" i="59" s="1"/>
  <c r="CG27" i="59" a="1"/>
  <c r="CG27" i="59" s="1"/>
  <c r="BY31" i="59" a="1"/>
  <c r="BY31" i="59" s="1"/>
  <c r="CG26" i="59" a="1"/>
  <c r="CG26" i="59" s="1"/>
  <c r="CA32" i="59" a="1"/>
  <c r="CA32" i="59" s="1"/>
  <c r="CE32" i="59" s="1"/>
  <c r="CB33" i="59" a="1"/>
  <c r="CB33" i="59" s="1"/>
  <c r="CB28" i="59" a="1"/>
  <c r="CB28" i="59" s="1"/>
  <c r="CH35" i="59" a="1"/>
  <c r="CH35" i="59" s="1"/>
  <c r="CH22" i="59" a="1"/>
  <c r="CH22" i="59" s="1"/>
  <c r="CH8" i="59" a="1"/>
  <c r="CH8" i="59" s="1"/>
  <c r="CB34" i="59" a="1"/>
  <c r="CB34" i="59" s="1"/>
  <c r="BZ10" i="59" a="1"/>
  <c r="BZ10" i="59" s="1"/>
  <c r="BY13" i="59" a="1"/>
  <c r="BY13" i="59" s="1"/>
  <c r="BZ23" i="59" a="1"/>
  <c r="BZ23" i="59" s="1"/>
  <c r="CG17" i="59" a="1"/>
  <c r="CG17" i="59" s="1"/>
  <c r="BZ17" i="59" a="1"/>
  <c r="BZ17" i="59" s="1"/>
  <c r="CA33" i="59" a="1"/>
  <c r="CA33" i="59" s="1"/>
  <c r="CA31" i="59" a="1"/>
  <c r="CA31" i="59" s="1"/>
  <c r="BY28" i="59" a="1"/>
  <c r="BY28" i="59" s="1"/>
  <c r="CA16" i="59" a="1"/>
  <c r="CA16" i="59" s="1"/>
  <c r="CG6" i="59" a="1"/>
  <c r="CG6" i="59" s="1"/>
  <c r="CH6" i="59" a="1"/>
  <c r="CH6" i="59" s="1"/>
  <c r="CH32" i="59" a="1"/>
  <c r="CH32" i="59" s="1"/>
  <c r="CB9" i="59" a="1"/>
  <c r="CB9" i="59" s="1"/>
  <c r="BZ12" i="59" a="1"/>
  <c r="BZ12" i="59" s="1"/>
  <c r="CB13" i="59" a="1"/>
  <c r="CB13" i="59" s="1"/>
  <c r="BZ31" i="59" a="1"/>
  <c r="BZ31" i="59" s="1"/>
  <c r="BY17" i="59" a="1"/>
  <c r="BY17" i="59" s="1"/>
  <c r="CB22" i="59" a="1"/>
  <c r="CB22" i="59" s="1"/>
  <c r="CH15" i="59" a="1"/>
  <c r="CH15" i="59" s="1"/>
  <c r="CA10" i="59" a="1"/>
  <c r="CA10" i="59" s="1"/>
  <c r="BZ16" i="59" a="1"/>
  <c r="BZ16" i="59" s="1"/>
  <c r="BZ28" i="59" a="1"/>
  <c r="BZ28" i="59" s="1"/>
  <c r="CA18" i="59" a="1"/>
  <c r="CA18" i="59" s="1"/>
  <c r="CH33" i="59" a="1"/>
  <c r="CH33" i="59" s="1"/>
  <c r="CH23" i="59" a="1"/>
  <c r="CH23" i="59" s="1"/>
  <c r="CH17" i="59" a="1"/>
  <c r="CH17" i="59" s="1"/>
  <c r="CH13" i="59" a="1"/>
  <c r="CH13" i="59" s="1"/>
  <c r="CB31" i="59" a="1"/>
  <c r="CB31" i="59" s="1"/>
  <c r="CA21" i="59" a="1"/>
  <c r="CA21" i="59" s="1"/>
  <c r="BZ21" i="59" a="1"/>
  <c r="BZ21" i="59" s="1"/>
  <c r="CB26" i="59" a="1"/>
  <c r="CB26" i="59" s="1"/>
  <c r="CB11" i="59" a="1"/>
  <c r="CB11" i="59" s="1"/>
  <c r="CG7" i="59" a="1"/>
  <c r="CG7" i="59" s="1"/>
  <c r="F20" i="47"/>
  <c r="G20" i="47" s="1"/>
  <c r="AX20" i="47"/>
  <c r="AT20" i="47" s="1"/>
  <c r="CG12" i="59" a="1"/>
  <c r="CG12" i="59" s="1"/>
  <c r="CG15" i="55" a="1"/>
  <c r="CG15" i="55" s="1"/>
  <c r="CE22" i="55"/>
  <c r="CF27" i="55"/>
  <c r="V30" i="56" s="1"/>
  <c r="CF29" i="55"/>
  <c r="L30" i="56" s="1"/>
  <c r="W11" i="56"/>
  <c r="CF22" i="55"/>
  <c r="Y25" i="56" s="1"/>
  <c r="CF12" i="55"/>
  <c r="AA15" i="56" s="1"/>
  <c r="H31" i="56"/>
  <c r="T11" i="56"/>
  <c r="CD26" i="55"/>
  <c r="T13" i="56"/>
  <c r="W12" i="56"/>
  <c r="T11" i="55"/>
  <c r="X11" i="55" s="1"/>
  <c r="U18" i="43"/>
  <c r="F18" i="43"/>
  <c r="U19" i="43"/>
  <c r="AP32" i="43"/>
  <c r="AP27" i="43"/>
  <c r="AP31" i="43"/>
  <c r="AQ26" i="43"/>
  <c r="AQ24" i="43"/>
  <c r="AP29" i="43"/>
  <c r="AP30" i="43"/>
  <c r="AQ27" i="43"/>
  <c r="AP28" i="43"/>
  <c r="AQ29" i="43"/>
  <c r="AQ30" i="43"/>
  <c r="AP24" i="43"/>
  <c r="AP25" i="43"/>
  <c r="AQ31" i="43"/>
  <c r="AQ28" i="43"/>
  <c r="AQ32" i="43"/>
  <c r="AP26" i="43"/>
  <c r="AQ25" i="43"/>
  <c r="CF17" i="55"/>
  <c r="Z21" i="56" s="1"/>
  <c r="V9" i="55"/>
  <c r="CF28" i="55"/>
  <c r="O30" i="56" s="1"/>
  <c r="CC29" i="55"/>
  <c r="D18" i="39"/>
  <c r="E18" i="39" s="1"/>
  <c r="CD27" i="55"/>
  <c r="AR31" i="59"/>
  <c r="C30" i="59"/>
  <c r="S11" i="55"/>
  <c r="CD22" i="55"/>
  <c r="CE21" i="55"/>
  <c r="U10" i="55"/>
  <c r="S10" i="55"/>
  <c r="T10" i="55"/>
  <c r="X10" i="55" s="1"/>
  <c r="H32" i="56"/>
  <c r="F22" i="51"/>
  <c r="K28" i="41"/>
  <c r="CC9" i="55"/>
  <c r="CE9" i="55" s="1"/>
  <c r="AU18" i="39" a="1"/>
  <c r="AU18" i="39" s="1"/>
  <c r="AS18" i="39" s="1"/>
  <c r="X18" i="39"/>
  <c r="W18" i="39" s="1"/>
  <c r="U22" i="39"/>
  <c r="CC33" i="55"/>
  <c r="CC11" i="55"/>
  <c r="CD11" i="55" s="1"/>
  <c r="CC23" i="55"/>
  <c r="CD23" i="55" s="1"/>
  <c r="CE26" i="55"/>
  <c r="CE27" i="55"/>
  <c r="CC14" i="55"/>
  <c r="CF31" i="55"/>
  <c r="Y35" i="56" s="1"/>
  <c r="CF26" i="55"/>
  <c r="AE31" i="56" s="1"/>
  <c r="CF19" i="55"/>
  <c r="K21" i="56" s="1"/>
  <c r="CC28" i="55"/>
  <c r="CF14" i="55"/>
  <c r="CC12" i="55"/>
  <c r="CC15" i="55"/>
  <c r="CD15" i="55" s="1"/>
  <c r="CE32" i="55"/>
  <c r="CC13" i="55"/>
  <c r="CD13" i="55" s="1"/>
  <c r="V6" i="55"/>
  <c r="AK10" i="56" s="1" a="1"/>
  <c r="AK10" i="56" s="1"/>
  <c r="U6" i="55"/>
  <c r="AK13" i="56" s="1" a="1"/>
  <c r="AK13" i="56" s="1"/>
  <c r="T6" i="55"/>
  <c r="CC17" i="55"/>
  <c r="CD31" i="55"/>
  <c r="CF32" i="55"/>
  <c r="V38" i="56" s="1"/>
  <c r="AP24" i="41"/>
  <c r="AP21" i="53"/>
  <c r="AR31" i="53"/>
  <c r="C30" i="53"/>
  <c r="AT20" i="51"/>
  <c r="AX21" i="47"/>
  <c r="AS23" i="53"/>
  <c r="AW21" i="47"/>
  <c r="H36" i="56"/>
  <c r="H37" i="56"/>
  <c r="E37" i="56"/>
  <c r="E36" i="56"/>
  <c r="M8" i="45"/>
  <c r="F25" i="41"/>
  <c r="G25" i="41" s="1"/>
  <c r="U28" i="41"/>
  <c r="R28" i="41" s="1"/>
  <c r="U31" i="41"/>
  <c r="V31" i="41" s="1"/>
  <c r="AP28" i="41"/>
  <c r="F32" i="41"/>
  <c r="G28" i="41"/>
  <c r="F19" i="41"/>
  <c r="F29" i="41"/>
  <c r="G29" i="41" s="1"/>
  <c r="G24" i="41"/>
  <c r="H24" i="41"/>
  <c r="K24" i="41"/>
  <c r="U26" i="41"/>
  <c r="T26" i="41" s="1"/>
  <c r="M6" i="45"/>
  <c r="T8" i="57"/>
  <c r="CF21" i="55"/>
  <c r="AD25" i="56" s="1"/>
  <c r="AP26" i="41"/>
  <c r="G26" i="41"/>
  <c r="H26" i="41"/>
  <c r="G31" i="41"/>
  <c r="U20" i="39"/>
  <c r="T20" i="39" s="1"/>
  <c r="AU19" i="39" a="1"/>
  <c r="AU19" i="39" s="1"/>
  <c r="AS19" i="39" s="1"/>
  <c r="AV19" i="39" a="1"/>
  <c r="AV19" i="39" s="1"/>
  <c r="AT19" i="39" s="1"/>
  <c r="AV32" i="39" a="1"/>
  <c r="AV32" i="39" s="1"/>
  <c r="AT32" i="39" s="1"/>
  <c r="AU32" i="39" a="1"/>
  <c r="AU32" i="39" s="1"/>
  <c r="AS32" i="39" s="1"/>
  <c r="AU24" i="39" a="1"/>
  <c r="AU24" i="39" s="1"/>
  <c r="AS24" i="39" s="1"/>
  <c r="AV24" i="39" a="1"/>
  <c r="AV24" i="39" s="1"/>
  <c r="AT24" i="39" s="1"/>
  <c r="AU31" i="39" a="1"/>
  <c r="AU31" i="39" s="1"/>
  <c r="AS31" i="39" s="1"/>
  <c r="AV31" i="39" a="1"/>
  <c r="AV31" i="39" s="1"/>
  <c r="AT31" i="39" s="1"/>
  <c r="AV27" i="39" a="1"/>
  <c r="AV27" i="39" s="1"/>
  <c r="AT27" i="39" s="1"/>
  <c r="AU27" i="39" a="1"/>
  <c r="AU27" i="39" s="1"/>
  <c r="AS27" i="39" s="1"/>
  <c r="AV25" i="39" a="1"/>
  <c r="AV25" i="39" s="1"/>
  <c r="AT25" i="39" s="1"/>
  <c r="AU25" i="39" a="1"/>
  <c r="AU25" i="39" s="1"/>
  <c r="AS25" i="39" s="1"/>
  <c r="AU28" i="39" a="1"/>
  <c r="AU28" i="39" s="1"/>
  <c r="AS28" i="39" s="1"/>
  <c r="AV28" i="39" a="1"/>
  <c r="AV28" i="39" s="1"/>
  <c r="AT28" i="39" s="1"/>
  <c r="AU30" i="39" a="1"/>
  <c r="AU30" i="39" s="1"/>
  <c r="AS30" i="39" s="1"/>
  <c r="AV30" i="39" a="1"/>
  <c r="AV30" i="39" s="1"/>
  <c r="AT30" i="39" s="1"/>
  <c r="AV29" i="39" a="1"/>
  <c r="AV29" i="39" s="1"/>
  <c r="AT29" i="39" s="1"/>
  <c r="AU29" i="39" a="1"/>
  <c r="AU29" i="39" s="1"/>
  <c r="AS29" i="39" s="1"/>
  <c r="AV26" i="39" a="1"/>
  <c r="AV26" i="39" s="1"/>
  <c r="AT26" i="39" s="1"/>
  <c r="AU26" i="39" a="1"/>
  <c r="AU26" i="39" s="1"/>
  <c r="AS26" i="39" s="1"/>
  <c r="AV18" i="39" a="1"/>
  <c r="AV18" i="39" s="1"/>
  <c r="AT18" i="39" s="1"/>
  <c r="U30" i="41"/>
  <c r="U24" i="41"/>
  <c r="T24" i="41" s="1"/>
  <c r="U32" i="41"/>
  <c r="T32" i="41" s="1"/>
  <c r="U19" i="41"/>
  <c r="V19" i="41" s="1"/>
  <c r="F27" i="41"/>
  <c r="G27" i="41" s="1"/>
  <c r="U18" i="41"/>
  <c r="D18" i="41" s="1"/>
  <c r="E18" i="41" s="1"/>
  <c r="AP30" i="39"/>
  <c r="H30" i="39"/>
  <c r="K30" i="39"/>
  <c r="J30" i="39"/>
  <c r="G30" i="39"/>
  <c r="AP31" i="41"/>
  <c r="U27" i="41"/>
  <c r="H29" i="39"/>
  <c r="AP29" i="39"/>
  <c r="K29" i="39"/>
  <c r="G29" i="39"/>
  <c r="K26" i="39"/>
  <c r="AP26" i="39"/>
  <c r="G26" i="39"/>
  <c r="H26" i="39"/>
  <c r="U29" i="41"/>
  <c r="F30" i="41"/>
  <c r="U23" i="39"/>
  <c r="K19" i="39"/>
  <c r="AP19" i="39"/>
  <c r="G19" i="39"/>
  <c r="H19" i="39"/>
  <c r="AQ29" i="39"/>
  <c r="V29" i="39"/>
  <c r="R29" i="39"/>
  <c r="T29" i="39"/>
  <c r="M7" i="45"/>
  <c r="U25" i="41"/>
  <c r="AQ18" i="39"/>
  <c r="T18" i="39"/>
  <c r="V18" i="39"/>
  <c r="R18" i="39"/>
  <c r="J32" i="39"/>
  <c r="H32" i="39"/>
  <c r="K32" i="39"/>
  <c r="AP32" i="39"/>
  <c r="G32" i="39"/>
  <c r="AQ27" i="39"/>
  <c r="R27" i="39"/>
  <c r="V27" i="39"/>
  <c r="T27" i="39"/>
  <c r="AQ32" i="39"/>
  <c r="V32" i="39"/>
  <c r="T32" i="39"/>
  <c r="R32" i="39"/>
  <c r="AQ30" i="39"/>
  <c r="V30" i="39"/>
  <c r="T30" i="39"/>
  <c r="R30" i="39"/>
  <c r="U23" i="41"/>
  <c r="T19" i="39"/>
  <c r="V19" i="39"/>
  <c r="R19" i="39"/>
  <c r="AQ19" i="39"/>
  <c r="AQ24" i="39"/>
  <c r="T24" i="39"/>
  <c r="R24" i="39"/>
  <c r="V24" i="39"/>
  <c r="K31" i="41"/>
  <c r="T25" i="39"/>
  <c r="V25" i="39"/>
  <c r="R25" i="39"/>
  <c r="AQ25" i="39"/>
  <c r="V31" i="39"/>
  <c r="AQ31" i="39"/>
  <c r="R31" i="39"/>
  <c r="T31" i="39"/>
  <c r="H31" i="41"/>
  <c r="AP27" i="39"/>
  <c r="K27" i="39"/>
  <c r="G27" i="39"/>
  <c r="H27" i="39"/>
  <c r="T26" i="39"/>
  <c r="AQ26" i="39"/>
  <c r="R26" i="39"/>
  <c r="V26" i="39"/>
  <c r="K25" i="39"/>
  <c r="AP25" i="39"/>
  <c r="J25" i="39"/>
  <c r="G25" i="39"/>
  <c r="H25" i="39"/>
  <c r="T28" i="39"/>
  <c r="V28" i="39"/>
  <c r="R28" i="39"/>
  <c r="AQ28" i="39"/>
  <c r="AD12" i="56"/>
  <c r="AD13" i="56"/>
  <c r="AD11" i="56"/>
  <c r="AG11" i="56"/>
  <c r="C30" i="51"/>
  <c r="AR31" i="51"/>
  <c r="AS20" i="49"/>
  <c r="AV18" i="41" a="1"/>
  <c r="AV18" i="41" s="1"/>
  <c r="AV21" i="43" a="1"/>
  <c r="AV21" i="43" s="1"/>
  <c r="AT21" i="43" s="1"/>
  <c r="AU21" i="43" a="1"/>
  <c r="AU21" i="43" s="1"/>
  <c r="AS21" i="43" s="1"/>
  <c r="AU32" i="41" a="1"/>
  <c r="AU32" i="41" s="1"/>
  <c r="AS32" i="41" s="1"/>
  <c r="AU31" i="41" a="1"/>
  <c r="AU31" i="41" s="1"/>
  <c r="AS31" i="41" s="1"/>
  <c r="AU24" i="41" a="1"/>
  <c r="AU24" i="41" s="1"/>
  <c r="AS24" i="41" s="1"/>
  <c r="AV24" i="41" a="1"/>
  <c r="AV24" i="41" s="1"/>
  <c r="AT24" i="41" s="1"/>
  <c r="AU19" i="41" a="1"/>
  <c r="AU19" i="41" s="1"/>
  <c r="AS19" i="41" s="1"/>
  <c r="AV25" i="41" a="1"/>
  <c r="AV25" i="41" s="1"/>
  <c r="AT25" i="41" s="1"/>
  <c r="AU25" i="41" a="1"/>
  <c r="AU25" i="41" s="1"/>
  <c r="AS25" i="41" s="1"/>
  <c r="AV28" i="41" a="1"/>
  <c r="AV28" i="41" s="1"/>
  <c r="AT28" i="41" s="1"/>
  <c r="AV19" i="41" a="1"/>
  <c r="AV19" i="41" s="1"/>
  <c r="AT19" i="41" s="1"/>
  <c r="AU28" i="41" a="1"/>
  <c r="AU28" i="41" s="1"/>
  <c r="AS28" i="41" s="1"/>
  <c r="AU22" i="51" a="1"/>
  <c r="AU22" i="51" s="1"/>
  <c r="AV22" i="51" a="1"/>
  <c r="AV22" i="51" s="1"/>
  <c r="AT22" i="51" s="1"/>
  <c r="K21" i="51"/>
  <c r="AV21" i="51" a="1"/>
  <c r="AV21" i="51" s="1"/>
  <c r="AT21" i="51" s="1"/>
  <c r="AU21" i="51" a="1"/>
  <c r="AU21" i="51" s="1"/>
  <c r="AS21" i="51" s="1"/>
  <c r="AV32" i="41" a="1"/>
  <c r="AV32" i="41" s="1"/>
  <c r="AT32" i="41" s="1"/>
  <c r="AV31" i="41" a="1"/>
  <c r="AV31" i="41" s="1"/>
  <c r="AT31" i="41" s="1"/>
  <c r="AU27" i="41" a="1"/>
  <c r="AU27" i="41" s="1"/>
  <c r="AS27" i="41" s="1"/>
  <c r="AV27" i="41" a="1"/>
  <c r="AV27" i="41" s="1"/>
  <c r="AT27" i="41" s="1"/>
  <c r="H21" i="49"/>
  <c r="AV21" i="49" a="1"/>
  <c r="AV21" i="49" s="1"/>
  <c r="AU21" i="49" a="1"/>
  <c r="AU21" i="49" s="1"/>
  <c r="AU21" i="47" a="1"/>
  <c r="AU21" i="47" s="1"/>
  <c r="AV21" i="47" a="1"/>
  <c r="AV21" i="47" s="1"/>
  <c r="M10" i="45"/>
  <c r="E33" i="56"/>
  <c r="E32" i="56"/>
  <c r="C28" i="41"/>
  <c r="AR29" i="41"/>
  <c r="M9" i="45"/>
  <c r="M11" i="45"/>
  <c r="U31" i="45"/>
  <c r="AR30" i="39"/>
  <c r="C29" i="39"/>
  <c r="AR30" i="43"/>
  <c r="C29" i="43"/>
  <c r="E26" i="56"/>
  <c r="H26" i="56"/>
  <c r="H27" i="56"/>
  <c r="E27" i="56"/>
  <c r="G28" i="60"/>
  <c r="G25" i="60"/>
  <c r="F26" i="60"/>
  <c r="G33" i="60"/>
  <c r="G30" i="60"/>
  <c r="E30" i="60"/>
  <c r="F31" i="60"/>
  <c r="AD10" i="60"/>
  <c r="AF13" i="60"/>
  <c r="AE11" i="60"/>
  <c r="AF10" i="60"/>
  <c r="F36" i="60"/>
  <c r="G35" i="60"/>
  <c r="G38" i="60"/>
  <c r="E35" i="60"/>
  <c r="Z11" i="60"/>
  <c r="Y10" i="60"/>
  <c r="AA10" i="60"/>
  <c r="AA13" i="60"/>
  <c r="U11" i="60"/>
  <c r="V10" i="60"/>
  <c r="T10" i="60"/>
  <c r="V13" i="60"/>
  <c r="AP21" i="51"/>
  <c r="F23" i="51" s="1"/>
  <c r="AW23" i="51" s="1"/>
  <c r="G21" i="51"/>
  <c r="H21" i="51"/>
  <c r="CF9" i="57"/>
  <c r="CC16" i="57"/>
  <c r="CE16" i="57" s="1"/>
  <c r="CF22" i="57"/>
  <c r="Z26" i="58" s="1"/>
  <c r="CC17" i="57"/>
  <c r="CD17" i="57" s="1"/>
  <c r="CC10" i="57"/>
  <c r="CD10" i="57" s="1"/>
  <c r="CF18" i="57"/>
  <c r="V20" i="58" s="1"/>
  <c r="CF15" i="57"/>
  <c r="F16" i="58" s="1"/>
  <c r="CF21" i="57"/>
  <c r="CC11" i="57"/>
  <c r="CD11" i="57" s="1"/>
  <c r="CC33" i="57"/>
  <c r="CD33" i="57" s="1"/>
  <c r="CC15" i="57"/>
  <c r="CD15" i="57" s="1"/>
  <c r="CC12" i="57"/>
  <c r="CE12" i="57" s="1"/>
  <c r="CC9" i="57"/>
  <c r="CE9" i="57" s="1"/>
  <c r="CC18" i="57"/>
  <c r="CE18" i="57" s="1"/>
  <c r="T7" i="57"/>
  <c r="C13" i="46"/>
  <c r="C18" i="46"/>
  <c r="C11" i="46" a="1"/>
  <c r="C11" i="46" s="1"/>
  <c r="C16" i="46" a="1"/>
  <c r="C16" i="46" s="1"/>
  <c r="C17" i="46"/>
  <c r="C27" i="46" s="1"/>
  <c r="C10" i="46" a="1"/>
  <c r="C10" i="46" s="1"/>
  <c r="C12" i="46"/>
  <c r="C22" i="46" s="1"/>
  <c r="C26" i="46" a="1"/>
  <c r="C26" i="46" s="1"/>
  <c r="C21" i="46" a="1"/>
  <c r="C21" i="46" s="1"/>
  <c r="C15" i="46" a="1"/>
  <c r="C15" i="46" s="1"/>
  <c r="CF26" i="57"/>
  <c r="CF12" i="57"/>
  <c r="AA15" i="58" s="1"/>
  <c r="CF11" i="57"/>
  <c r="T10" i="57"/>
  <c r="X10" i="57" s="1"/>
  <c r="CF33" i="57"/>
  <c r="Q38" i="58" s="1"/>
  <c r="T11" i="57"/>
  <c r="X11" i="57" s="1"/>
  <c r="CF24" i="57"/>
  <c r="K26" i="58" s="1"/>
  <c r="C31" i="49"/>
  <c r="AR32" i="49"/>
  <c r="C32" i="49" s="1"/>
  <c r="C31" i="55"/>
  <c r="AR32" i="55"/>
  <c r="C32" i="55" s="1"/>
  <c r="CF17" i="57"/>
  <c r="Z21" i="58" s="1"/>
  <c r="CF19" i="57"/>
  <c r="K21" i="58" s="1"/>
  <c r="CD31" i="57"/>
  <c r="CE31" i="57"/>
  <c r="CE22" i="57"/>
  <c r="CD22" i="57"/>
  <c r="CC34" i="57"/>
  <c r="CC28" i="57"/>
  <c r="V10" i="57"/>
  <c r="S10" i="57"/>
  <c r="U10" i="57"/>
  <c r="V8" i="57"/>
  <c r="S8" i="57"/>
  <c r="U8" i="57"/>
  <c r="CC29" i="57"/>
  <c r="CF32" i="57"/>
  <c r="CC14" i="57"/>
  <c r="CD26" i="57"/>
  <c r="CE26" i="57"/>
  <c r="U9" i="57"/>
  <c r="S9" i="57"/>
  <c r="V9" i="57"/>
  <c r="CF31" i="57"/>
  <c r="T6" i="57"/>
  <c r="CF29" i="57"/>
  <c r="CF13" i="57"/>
  <c r="V7" i="57"/>
  <c r="U7" i="57"/>
  <c r="S7" i="57"/>
  <c r="CF20" i="57"/>
  <c r="CC23" i="57"/>
  <c r="U6" i="57"/>
  <c r="AK13" i="58" s="1" a="1"/>
  <c r="AK13" i="58" s="1"/>
  <c r="S6" i="57"/>
  <c r="AM13" i="58" s="1" a="1"/>
  <c r="AM13" i="58" s="1"/>
  <c r="V6" i="57"/>
  <c r="U11" i="57"/>
  <c r="V11" i="57"/>
  <c r="S11" i="57"/>
  <c r="CF34" i="57"/>
  <c r="CC19" i="57"/>
  <c r="CC13" i="57"/>
  <c r="CF14" i="57"/>
  <c r="CE21" i="57"/>
  <c r="CD21" i="57"/>
  <c r="T9" i="57"/>
  <c r="X9" i="57" s="1"/>
  <c r="CD27" i="57"/>
  <c r="CE27" i="57"/>
  <c r="CF16" i="57"/>
  <c r="CF10" i="57"/>
  <c r="CC20" i="57"/>
  <c r="CF28" i="57"/>
  <c r="CC24" i="57"/>
  <c r="CD32" i="57"/>
  <c r="CE32" i="57"/>
  <c r="CF27" i="57"/>
  <c r="CF23" i="57"/>
  <c r="BU5" i="57"/>
  <c r="BR5" i="57" s="1"/>
  <c r="AR29" i="45"/>
  <c r="C28" i="45"/>
  <c r="V21" i="49"/>
  <c r="T21" i="49"/>
  <c r="AQ21" i="49"/>
  <c r="AX21" i="49"/>
  <c r="F22" i="49"/>
  <c r="AP21" i="49"/>
  <c r="K21" i="49"/>
  <c r="AW21" i="49"/>
  <c r="G21" i="49"/>
  <c r="F23" i="43"/>
  <c r="G23" i="43" s="1"/>
  <c r="C31" i="47"/>
  <c r="AR32" i="47"/>
  <c r="C32" i="47" s="1"/>
  <c r="AU22" i="43" a="1"/>
  <c r="AU22" i="43" s="1"/>
  <c r="AV22" i="43" a="1"/>
  <c r="AV22" i="43" s="1"/>
  <c r="U20" i="41" l="1"/>
  <c r="V19" i="43"/>
  <c r="AX19" i="43"/>
  <c r="AT19" i="43" s="1"/>
  <c r="K19" i="43"/>
  <c r="AW19" i="43"/>
  <c r="AS19" i="43" s="1"/>
  <c r="CE31" i="55"/>
  <c r="CF23" i="55"/>
  <c r="O25" i="56" s="1"/>
  <c r="CC20" i="59"/>
  <c r="CD28" i="55"/>
  <c r="CF18" i="55"/>
  <c r="U21" i="56" s="1"/>
  <c r="W21" i="56" s="1"/>
  <c r="CF16" i="55"/>
  <c r="AD20" i="56" s="1"/>
  <c r="CD22" i="59"/>
  <c r="U11" i="55"/>
  <c r="C20" i="44"/>
  <c r="O8" i="44" s="1"/>
  <c r="E8" i="44"/>
  <c r="J8" i="44"/>
  <c r="C25" i="44"/>
  <c r="T8" i="44" s="1"/>
  <c r="E10" i="44"/>
  <c r="C23" i="44"/>
  <c r="O20" i="44" s="1"/>
  <c r="CF13" i="55"/>
  <c r="U16" i="56" s="1"/>
  <c r="W17" i="56" s="1"/>
  <c r="CC10" i="55"/>
  <c r="CD10" i="55" s="1"/>
  <c r="CF15" i="55"/>
  <c r="CF10" i="55"/>
  <c r="CD33" i="55"/>
  <c r="CF24" i="55"/>
  <c r="K26" i="56" s="1"/>
  <c r="T9" i="55"/>
  <c r="X9" i="55" s="1"/>
  <c r="U9" i="55"/>
  <c r="T8" i="55"/>
  <c r="T7" i="55"/>
  <c r="V8" i="55"/>
  <c r="CD12" i="55"/>
  <c r="S8" i="55"/>
  <c r="AM23" i="56" s="1" a="1"/>
  <c r="AM23" i="56" s="1"/>
  <c r="S7" i="55"/>
  <c r="AM18" i="56" s="1" a="1"/>
  <c r="AM18" i="56" s="1"/>
  <c r="U7" i="55"/>
  <c r="CC11" i="59"/>
  <c r="CE11" i="59" s="1"/>
  <c r="CC16" i="55"/>
  <c r="CD16" i="55" s="1"/>
  <c r="CF11" i="55"/>
  <c r="AD15" i="56" s="1"/>
  <c r="CD21" i="55"/>
  <c r="CD34" i="55"/>
  <c r="CD17" i="55"/>
  <c r="CF34" i="55"/>
  <c r="L35" i="56" s="1"/>
  <c r="P26" i="56"/>
  <c r="O26" i="56" s="1"/>
  <c r="Q28" i="56"/>
  <c r="Q25" i="56"/>
  <c r="CD24" i="55"/>
  <c r="CD14" i="55"/>
  <c r="H21" i="53"/>
  <c r="CF9" i="55"/>
  <c r="O10" i="56" s="1"/>
  <c r="T11" i="59"/>
  <c r="X11" i="59" s="1"/>
  <c r="CE22" i="59"/>
  <c r="C28" i="42"/>
  <c r="T25" i="42" s="1"/>
  <c r="J15" i="42"/>
  <c r="C25" i="42"/>
  <c r="T8" i="42" s="1"/>
  <c r="J8" i="42"/>
  <c r="C20" i="42"/>
  <c r="O8" i="42" s="1"/>
  <c r="E8" i="42"/>
  <c r="E10" i="42"/>
  <c r="C23" i="42"/>
  <c r="O20" i="42" s="1"/>
  <c r="CE29" i="59"/>
  <c r="CD29" i="55"/>
  <c r="G18" i="41"/>
  <c r="K18" i="41"/>
  <c r="AP18" i="41"/>
  <c r="CF19" i="59"/>
  <c r="K21" i="60" s="1"/>
  <c r="J22" i="60" s="1"/>
  <c r="CE27" i="59"/>
  <c r="U20" i="43"/>
  <c r="AX20" i="43" s="1"/>
  <c r="AT20" i="43" s="1"/>
  <c r="AP19" i="43"/>
  <c r="G19" i="43"/>
  <c r="U22" i="43"/>
  <c r="AX22" i="43" s="1"/>
  <c r="AT22" i="43" s="1"/>
  <c r="H19" i="43"/>
  <c r="CC24" i="59"/>
  <c r="CE24" i="59" s="1"/>
  <c r="CC34" i="59"/>
  <c r="CD34" i="59" s="1"/>
  <c r="CC13" i="59"/>
  <c r="CD13" i="59" s="1"/>
  <c r="CC17" i="59"/>
  <c r="CE17" i="59" s="1"/>
  <c r="CF33" i="59"/>
  <c r="P36" i="60" s="1"/>
  <c r="O36" i="60" s="1"/>
  <c r="CF10" i="59"/>
  <c r="K11" i="60" s="1"/>
  <c r="J11" i="60" s="1"/>
  <c r="CE26" i="59"/>
  <c r="CD21" i="59"/>
  <c r="CE21" i="59"/>
  <c r="CC15" i="59"/>
  <c r="CE15" i="59" s="1"/>
  <c r="V21" i="47"/>
  <c r="AQ21" i="47"/>
  <c r="F23" i="47" s="1"/>
  <c r="AU23" i="47" s="1" a="1"/>
  <c r="AU23" i="47" s="1"/>
  <c r="T21" i="47"/>
  <c r="CC14" i="59"/>
  <c r="CE14" i="59" s="1"/>
  <c r="CF34" i="59"/>
  <c r="L38" i="60" s="1"/>
  <c r="CF20" i="59"/>
  <c r="F21" i="60" s="1"/>
  <c r="E21" i="60" s="1"/>
  <c r="CC9" i="59"/>
  <c r="CD9" i="59" s="1"/>
  <c r="CC19" i="59"/>
  <c r="CE19" i="59" s="1"/>
  <c r="CF14" i="59"/>
  <c r="P16" i="60" s="1"/>
  <c r="O18" i="60" s="1"/>
  <c r="CF15" i="59"/>
  <c r="F16" i="60" s="1"/>
  <c r="T10" i="59"/>
  <c r="X10" i="59" s="1"/>
  <c r="S10" i="59"/>
  <c r="V10" i="59"/>
  <c r="CF13" i="59"/>
  <c r="U16" i="60" s="1"/>
  <c r="CC16" i="59"/>
  <c r="CD16" i="59" s="1"/>
  <c r="CF22" i="59"/>
  <c r="AA28" i="60" s="1"/>
  <c r="G21" i="53"/>
  <c r="U9" i="59"/>
  <c r="CF28" i="59"/>
  <c r="S9" i="59"/>
  <c r="S6" i="59"/>
  <c r="AM13" i="60" s="1" a="1"/>
  <c r="AM13" i="60" s="1"/>
  <c r="T9" i="59"/>
  <c r="X9" i="59" s="1"/>
  <c r="U6" i="59"/>
  <c r="AK13" i="60" s="1" a="1"/>
  <c r="AK13" i="60" s="1"/>
  <c r="AW20" i="47"/>
  <c r="AS20" i="47" s="1"/>
  <c r="T6" i="59"/>
  <c r="AM10" i="60" s="1" a="1"/>
  <c r="AM10" i="60" s="1"/>
  <c r="CE23" i="59"/>
  <c r="U11" i="59"/>
  <c r="V11" i="59"/>
  <c r="S11" i="59"/>
  <c r="CD10" i="59"/>
  <c r="CC28" i="59"/>
  <c r="CD28" i="59" s="1"/>
  <c r="CD32" i="59"/>
  <c r="AA18" i="56"/>
  <c r="CE20" i="59"/>
  <c r="CF9" i="59"/>
  <c r="CD23" i="59"/>
  <c r="CC18" i="59"/>
  <c r="CD18" i="59" s="1"/>
  <c r="K20" i="47"/>
  <c r="CD29" i="59"/>
  <c r="CF23" i="59"/>
  <c r="CF12" i="59"/>
  <c r="AA15" i="60" s="1"/>
  <c r="CD31" i="59"/>
  <c r="CC33" i="59"/>
  <c r="CE33" i="59" s="1"/>
  <c r="CD27" i="59"/>
  <c r="CE12" i="59"/>
  <c r="CD26" i="59"/>
  <c r="S8" i="59"/>
  <c r="U8" i="59"/>
  <c r="V8" i="59"/>
  <c r="AK20" i="60" s="1" a="1"/>
  <c r="AK20" i="60" s="1"/>
  <c r="T7" i="59"/>
  <c r="U7" i="59"/>
  <c r="T8" i="59"/>
  <c r="H20" i="47"/>
  <c r="CE31" i="59"/>
  <c r="CJ6" i="55"/>
  <c r="AG6" i="55" s="1"/>
  <c r="X6" i="55" s="1"/>
  <c r="AP13" i="56" s="1" a="1"/>
  <c r="AP13" i="56" s="1"/>
  <c r="CF26" i="59"/>
  <c r="AE31" i="60" s="1"/>
  <c r="T21" i="56"/>
  <c r="V7" i="59"/>
  <c r="AK15" i="60" s="1" a="1"/>
  <c r="AK15" i="60" s="1"/>
  <c r="H18" i="43"/>
  <c r="D18" i="43"/>
  <c r="E18" i="43" s="1"/>
  <c r="AW18" i="43"/>
  <c r="AS18" i="43" s="1"/>
  <c r="X18" i="43"/>
  <c r="W18" i="43" s="1"/>
  <c r="AX18" i="43"/>
  <c r="AT18" i="43" s="1"/>
  <c r="CF27" i="59"/>
  <c r="CF17" i="59"/>
  <c r="CF24" i="59"/>
  <c r="V22" i="39"/>
  <c r="AX22" i="39"/>
  <c r="AP20" i="47"/>
  <c r="F22" i="47" s="1"/>
  <c r="AW22" i="47" s="1"/>
  <c r="CF16" i="59"/>
  <c r="Y15" i="56"/>
  <c r="X20" i="47"/>
  <c r="W20" i="47" s="1"/>
  <c r="Z16" i="56"/>
  <c r="Y16" i="56" s="1"/>
  <c r="D20" i="47"/>
  <c r="E20" i="47" s="1"/>
  <c r="CF11" i="59"/>
  <c r="CF32" i="59"/>
  <c r="CF21" i="59"/>
  <c r="AU18" i="41" a="1"/>
  <c r="AU18" i="41" s="1"/>
  <c r="AS18" i="41" s="1"/>
  <c r="X18" i="41"/>
  <c r="W18" i="41" s="1"/>
  <c r="AX18" i="41"/>
  <c r="AT18" i="41" s="1"/>
  <c r="CF18" i="59"/>
  <c r="F21" i="47"/>
  <c r="AP21" i="47" s="1"/>
  <c r="CF29" i="59"/>
  <c r="CI26" i="59" s="1"/>
  <c r="AF10" i="59" s="1"/>
  <c r="CF31" i="59"/>
  <c r="D22" i="53"/>
  <c r="E22" i="53" s="1"/>
  <c r="X22" i="53"/>
  <c r="W22" i="53" s="1"/>
  <c r="AW22" i="49"/>
  <c r="D22" i="49"/>
  <c r="E22" i="49" s="1"/>
  <c r="X22" i="49"/>
  <c r="W22" i="49" s="1"/>
  <c r="T30" i="56"/>
  <c r="V33" i="56"/>
  <c r="U31" i="56"/>
  <c r="T31" i="56" s="1"/>
  <c r="AV22" i="47" a="1"/>
  <c r="AV22" i="47" s="1"/>
  <c r="AT22" i="47" s="1"/>
  <c r="AW22" i="51"/>
  <c r="AS22" i="51" s="1"/>
  <c r="D22" i="51"/>
  <c r="E22" i="51" s="1"/>
  <c r="X22" i="51"/>
  <c r="W22" i="51" s="1"/>
  <c r="G22" i="53"/>
  <c r="CA6" i="53" s="1" a="1"/>
  <c r="CA6" i="53" s="1"/>
  <c r="AW22" i="53"/>
  <c r="AS22" i="53" s="1"/>
  <c r="CD12" i="59"/>
  <c r="CE13" i="59"/>
  <c r="G20" i="56"/>
  <c r="CE24" i="55"/>
  <c r="E20" i="56"/>
  <c r="F21" i="56"/>
  <c r="H22" i="56" s="1"/>
  <c r="H22" i="53"/>
  <c r="AP22" i="53"/>
  <c r="CD20" i="59"/>
  <c r="L28" i="56"/>
  <c r="W22" i="56"/>
  <c r="T22" i="56"/>
  <c r="T23" i="56"/>
  <c r="AA25" i="56"/>
  <c r="T20" i="56"/>
  <c r="K22" i="53"/>
  <c r="Z26" i="56"/>
  <c r="AB27" i="56" s="1"/>
  <c r="V23" i="56"/>
  <c r="AA28" i="56"/>
  <c r="V20" i="56"/>
  <c r="CD19" i="55"/>
  <c r="L23" i="56" s="1"/>
  <c r="Q30" i="56"/>
  <c r="P31" i="56"/>
  <c r="O31" i="56" s="1"/>
  <c r="Q33" i="56"/>
  <c r="K31" i="56"/>
  <c r="J33" i="56" s="1"/>
  <c r="L33" i="56"/>
  <c r="J30" i="56"/>
  <c r="CE10" i="59"/>
  <c r="CE29" i="55"/>
  <c r="AF18" i="56"/>
  <c r="L13" i="56"/>
  <c r="K11" i="56"/>
  <c r="J11" i="56" s="1"/>
  <c r="J10" i="56"/>
  <c r="CD20" i="55"/>
  <c r="G23" i="56" s="1"/>
  <c r="AP18" i="43"/>
  <c r="AA20" i="56"/>
  <c r="Y20" i="56"/>
  <c r="AA23" i="56"/>
  <c r="CE15" i="55"/>
  <c r="G15" i="56" s="1"/>
  <c r="CB8" i="53" a="1"/>
  <c r="CB8" i="53" s="1"/>
  <c r="BY30" i="53" a="1"/>
  <c r="BY30" i="53" s="1"/>
  <c r="CB30" i="53" a="1"/>
  <c r="CB30" i="53" s="1"/>
  <c r="BZ6" i="53" a="1"/>
  <c r="BZ6" i="53" s="1"/>
  <c r="BY8" i="53" a="1"/>
  <c r="BY8" i="53" s="1"/>
  <c r="V18" i="43"/>
  <c r="BX25" i="53" a="1"/>
  <c r="BX25" i="53" s="1"/>
  <c r="AQ18" i="43"/>
  <c r="BW25" i="53" a="1"/>
  <c r="BW25" i="53" s="1"/>
  <c r="K18" i="43"/>
  <c r="T18" i="43"/>
  <c r="R19" i="43"/>
  <c r="G18" i="43"/>
  <c r="R18" i="43"/>
  <c r="AQ22" i="39"/>
  <c r="AQ19" i="43"/>
  <c r="T19" i="43"/>
  <c r="R22" i="39"/>
  <c r="T22" i="39"/>
  <c r="AF15" i="56"/>
  <c r="AE16" i="56"/>
  <c r="AG16" i="56" s="1"/>
  <c r="CD9" i="55"/>
  <c r="Q13" i="56" s="1"/>
  <c r="CI6" i="55"/>
  <c r="AF6" i="55" s="1"/>
  <c r="G22" i="51"/>
  <c r="K22" i="51"/>
  <c r="AF23" i="56"/>
  <c r="H22" i="51"/>
  <c r="AP22" i="51"/>
  <c r="T17" i="56"/>
  <c r="CE23" i="55"/>
  <c r="CE28" i="55"/>
  <c r="K25" i="41"/>
  <c r="AP25" i="41"/>
  <c r="CE17" i="55"/>
  <c r="L25" i="56"/>
  <c r="J25" i="56"/>
  <c r="CE33" i="55"/>
  <c r="J25" i="41"/>
  <c r="H25" i="41"/>
  <c r="R31" i="41"/>
  <c r="T31" i="41"/>
  <c r="AQ31" i="41"/>
  <c r="J20" i="56"/>
  <c r="L20" i="56"/>
  <c r="C31" i="59"/>
  <c r="AR32" i="59"/>
  <c r="C32" i="59" s="1"/>
  <c r="AK15" i="56" a="1"/>
  <c r="AK15" i="56" s="1"/>
  <c r="AK20" i="56" a="1"/>
  <c r="AK20" i="56" s="1"/>
  <c r="Q18" i="56"/>
  <c r="AK23" i="56" a="1"/>
  <c r="AK23" i="56" s="1"/>
  <c r="AK18" i="56" a="1"/>
  <c r="AK18" i="56" s="1"/>
  <c r="P16" i="56"/>
  <c r="O16" i="56" s="1"/>
  <c r="O15" i="56"/>
  <c r="CE12" i="55"/>
  <c r="AM15" i="56" a="1"/>
  <c r="AM15" i="56" s="1"/>
  <c r="CE14" i="55"/>
  <c r="Q15" i="56" s="1"/>
  <c r="AE21" i="56"/>
  <c r="AG22" i="56" s="1"/>
  <c r="F20" i="39"/>
  <c r="AF20" i="56"/>
  <c r="CI16" i="55"/>
  <c r="AF8" i="55" s="1"/>
  <c r="V28" i="41"/>
  <c r="T28" i="41"/>
  <c r="AQ28" i="41"/>
  <c r="CI26" i="55"/>
  <c r="AF10" i="55" s="1"/>
  <c r="CJ16" i="55"/>
  <c r="AG8" i="55" s="1"/>
  <c r="X8" i="55" s="1"/>
  <c r="CI11" i="55"/>
  <c r="AF7" i="55" s="1"/>
  <c r="AE26" i="56"/>
  <c r="AD26" i="56" s="1"/>
  <c r="CE10" i="55"/>
  <c r="L10" i="56" s="1"/>
  <c r="AA35" i="56"/>
  <c r="AA38" i="56"/>
  <c r="Z36" i="56"/>
  <c r="AB37" i="56" s="1"/>
  <c r="CJ11" i="55"/>
  <c r="AG7" i="55" s="1"/>
  <c r="X7" i="55" s="1"/>
  <c r="F16" i="56"/>
  <c r="H17" i="56" s="1"/>
  <c r="G18" i="56"/>
  <c r="E15" i="56"/>
  <c r="Q38" i="56"/>
  <c r="Q35" i="56"/>
  <c r="P36" i="56"/>
  <c r="O38" i="56" s="1"/>
  <c r="CE18" i="55"/>
  <c r="CE11" i="55"/>
  <c r="CJ31" i="55"/>
  <c r="AG11" i="55" s="1"/>
  <c r="CE34" i="55"/>
  <c r="CJ26" i="55"/>
  <c r="AG10" i="55" s="1"/>
  <c r="CI31" i="55"/>
  <c r="AF11" i="55" s="1"/>
  <c r="AF33" i="56"/>
  <c r="AD30" i="56"/>
  <c r="AF30" i="56"/>
  <c r="AM20" i="56" a="1"/>
  <c r="AM20" i="56" s="1"/>
  <c r="U36" i="56"/>
  <c r="W36" i="56" s="1"/>
  <c r="AM10" i="56" a="1"/>
  <c r="AM10" i="56" s="1"/>
  <c r="CE13" i="55"/>
  <c r="T35" i="56"/>
  <c r="V35" i="56"/>
  <c r="AS21" i="47"/>
  <c r="CJ31" i="57"/>
  <c r="AG11" i="57" s="1"/>
  <c r="CI31" i="57"/>
  <c r="AF11" i="57" s="1"/>
  <c r="AF25" i="56"/>
  <c r="CJ21" i="55"/>
  <c r="AG9" i="55" s="1"/>
  <c r="CI21" i="55"/>
  <c r="AF9" i="55" s="1"/>
  <c r="CJ16" i="57"/>
  <c r="AG8" i="57" s="1"/>
  <c r="X8" i="57" s="1"/>
  <c r="CI16" i="57"/>
  <c r="AF8" i="57" s="1"/>
  <c r="AE16" i="58"/>
  <c r="AD16" i="58" s="1"/>
  <c r="CI11" i="57"/>
  <c r="AF7" i="57" s="1"/>
  <c r="CJ11" i="57"/>
  <c r="AG7" i="57" s="1"/>
  <c r="X7" i="57" s="1"/>
  <c r="Q10" i="58"/>
  <c r="CJ6" i="57"/>
  <c r="AG6" i="57" s="1"/>
  <c r="X6" i="57" s="1"/>
  <c r="CI6" i="57"/>
  <c r="AF6" i="57" s="1"/>
  <c r="AF30" i="58"/>
  <c r="CJ26" i="57"/>
  <c r="AG10" i="57" s="1"/>
  <c r="CI26" i="57"/>
  <c r="AF10" i="57" s="1"/>
  <c r="AD25" i="58"/>
  <c r="CJ21" i="57"/>
  <c r="AG9" i="57" s="1"/>
  <c r="CI21" i="57"/>
  <c r="AF9" i="57" s="1"/>
  <c r="C31" i="53"/>
  <c r="AR32" i="53"/>
  <c r="C32" i="53" s="1"/>
  <c r="F19" i="45"/>
  <c r="G19" i="45" s="1"/>
  <c r="AW23" i="47"/>
  <c r="AU20" i="41" a="1"/>
  <c r="AU20" i="41" s="1"/>
  <c r="AX20" i="41"/>
  <c r="AX20" i="39"/>
  <c r="AT21" i="47"/>
  <c r="AF28" i="56"/>
  <c r="F18" i="45"/>
  <c r="AW18" i="45" s="1"/>
  <c r="R24" i="41"/>
  <c r="U21" i="39"/>
  <c r="H29" i="41"/>
  <c r="AQ26" i="41"/>
  <c r="H32" i="41"/>
  <c r="K32" i="41"/>
  <c r="G32" i="41"/>
  <c r="J32" i="41"/>
  <c r="AP32" i="41"/>
  <c r="F26" i="45"/>
  <c r="G26" i="45" s="1"/>
  <c r="F30" i="45"/>
  <c r="G30" i="45" s="1"/>
  <c r="U28" i="45"/>
  <c r="V28" i="45" s="1"/>
  <c r="F32" i="45"/>
  <c r="AP32" i="45" s="1"/>
  <c r="F25" i="45"/>
  <c r="J25" i="45" s="1"/>
  <c r="F28" i="45"/>
  <c r="K28" i="45" s="1"/>
  <c r="F31" i="45"/>
  <c r="G31" i="45" s="1"/>
  <c r="F24" i="45"/>
  <c r="H24" i="45" s="1"/>
  <c r="F29" i="45"/>
  <c r="H29" i="45" s="1"/>
  <c r="V26" i="41"/>
  <c r="R26" i="41"/>
  <c r="K29" i="41"/>
  <c r="AP29" i="41"/>
  <c r="G19" i="41"/>
  <c r="AP19" i="41"/>
  <c r="H19" i="41"/>
  <c r="K19" i="41"/>
  <c r="U32" i="45"/>
  <c r="AQ32" i="45" s="1"/>
  <c r="V24" i="41"/>
  <c r="AQ24" i="41"/>
  <c r="R20" i="39"/>
  <c r="T19" i="41"/>
  <c r="AQ32" i="41"/>
  <c r="AQ19" i="41"/>
  <c r="R32" i="41"/>
  <c r="V32" i="41"/>
  <c r="V20" i="39"/>
  <c r="R19" i="41"/>
  <c r="AQ20" i="39"/>
  <c r="U22" i="41"/>
  <c r="AP27" i="41"/>
  <c r="K27" i="41"/>
  <c r="H27" i="41"/>
  <c r="V18" i="41"/>
  <c r="AQ18" i="41"/>
  <c r="T18" i="41"/>
  <c r="R18" i="41"/>
  <c r="AK28" i="54" a="1"/>
  <c r="AK28" i="54" s="1"/>
  <c r="U21" i="41"/>
  <c r="AQ21" i="41" s="1"/>
  <c r="AQ20" i="41"/>
  <c r="T20" i="41"/>
  <c r="V20" i="41"/>
  <c r="R20" i="41"/>
  <c r="AT21" i="49"/>
  <c r="AU29" i="41" a="1"/>
  <c r="AU29" i="41" s="1"/>
  <c r="AS29" i="41" s="1"/>
  <c r="AV29" i="41" a="1"/>
  <c r="AV29" i="41" s="1"/>
  <c r="AT29" i="41" s="1"/>
  <c r="AV20" i="39" a="1"/>
  <c r="AV20" i="39" s="1"/>
  <c r="AU20" i="39" a="1"/>
  <c r="AU20" i="39" s="1"/>
  <c r="AU30" i="41" a="1"/>
  <c r="AU30" i="41" s="1"/>
  <c r="AS30" i="41" s="1"/>
  <c r="AV30" i="41" a="1"/>
  <c r="AV30" i="41" s="1"/>
  <c r="AT30" i="41" s="1"/>
  <c r="U18" i="45"/>
  <c r="U26" i="45"/>
  <c r="AQ26" i="45" s="1"/>
  <c r="R30" i="41"/>
  <c r="V30" i="41"/>
  <c r="T30" i="41"/>
  <c r="AQ30" i="41"/>
  <c r="F27" i="45"/>
  <c r="H27" i="45" s="1"/>
  <c r="U27" i="45"/>
  <c r="T27" i="45" s="1"/>
  <c r="T23" i="39"/>
  <c r="V23" i="39"/>
  <c r="AQ23" i="39"/>
  <c r="R23" i="39"/>
  <c r="T27" i="41"/>
  <c r="R27" i="41"/>
  <c r="V27" i="41"/>
  <c r="AQ27" i="41"/>
  <c r="K30" i="41"/>
  <c r="J30" i="41"/>
  <c r="G30" i="41"/>
  <c r="H30" i="41"/>
  <c r="AP30" i="41"/>
  <c r="T23" i="41"/>
  <c r="V23" i="41"/>
  <c r="R23" i="41"/>
  <c r="AQ23" i="41"/>
  <c r="T25" i="41"/>
  <c r="V25" i="41"/>
  <c r="R25" i="41"/>
  <c r="AQ25" i="41"/>
  <c r="V29" i="41"/>
  <c r="T29" i="41"/>
  <c r="R29" i="41"/>
  <c r="AQ29" i="41"/>
  <c r="AS21" i="49"/>
  <c r="F23" i="49"/>
  <c r="H23" i="49" s="1"/>
  <c r="C31" i="51"/>
  <c r="AR32" i="51"/>
  <c r="C32" i="51" s="1"/>
  <c r="G23" i="51"/>
  <c r="AU23" i="51" a="1"/>
  <c r="AU23" i="51" s="1"/>
  <c r="AS23" i="51" s="1"/>
  <c r="AV23" i="51" a="1"/>
  <c r="AV23" i="51" s="1"/>
  <c r="AT23" i="51" s="1"/>
  <c r="K23" i="51"/>
  <c r="H23" i="51"/>
  <c r="AP23" i="51"/>
  <c r="AM28" i="54" a="1"/>
  <c r="AM28" i="54" s="1"/>
  <c r="AV20" i="41" a="1"/>
  <c r="AV20" i="41" s="1"/>
  <c r="AU23" i="43" a="1"/>
  <c r="AU23" i="43" s="1"/>
  <c r="AV23" i="43" a="1"/>
  <c r="AV23" i="43" s="1"/>
  <c r="AT23" i="43" s="1"/>
  <c r="AU18" i="45" a="1"/>
  <c r="AU18" i="45" s="1"/>
  <c r="AV18" i="45" a="1"/>
  <c r="AV18" i="45" s="1"/>
  <c r="AU28" i="45" a="1"/>
  <c r="AU28" i="45" s="1"/>
  <c r="AS28" i="45" s="1"/>
  <c r="AV28" i="45" a="1"/>
  <c r="AV28" i="45" s="1"/>
  <c r="AT28" i="45" s="1"/>
  <c r="AW19" i="45"/>
  <c r="AU31" i="45" a="1"/>
  <c r="AU31" i="45" s="1"/>
  <c r="AS31" i="45" s="1"/>
  <c r="AV31" i="45" a="1"/>
  <c r="AV31" i="45" s="1"/>
  <c r="AT31" i="45" s="1"/>
  <c r="AV26" i="45" a="1"/>
  <c r="AV26" i="45" s="1"/>
  <c r="AT26" i="45" s="1"/>
  <c r="AU26" i="45" a="1"/>
  <c r="AU26" i="45" s="1"/>
  <c r="AS26" i="45" s="1"/>
  <c r="AW23" i="49"/>
  <c r="AU23" i="49" a="1"/>
  <c r="AU23" i="49" s="1"/>
  <c r="AV23" i="49" a="1"/>
  <c r="AV23" i="49" s="1"/>
  <c r="AT23" i="49" s="1"/>
  <c r="G22" i="49"/>
  <c r="AU22" i="49" a="1"/>
  <c r="AU22" i="49" s="1"/>
  <c r="AV22" i="49" a="1"/>
  <c r="AV22" i="49" s="1"/>
  <c r="AT22" i="49" s="1"/>
  <c r="AU21" i="41" a="1"/>
  <c r="AU21" i="41" s="1"/>
  <c r="AV21" i="41" a="1"/>
  <c r="AV21" i="41" s="1"/>
  <c r="AU22" i="47" a="1"/>
  <c r="AU22" i="47" s="1"/>
  <c r="AV27" i="45" a="1"/>
  <c r="AV27" i="45" s="1"/>
  <c r="AT27" i="45" s="1"/>
  <c r="AU27" i="45" a="1"/>
  <c r="AU27" i="45" s="1"/>
  <c r="AS27" i="45" s="1"/>
  <c r="AV23" i="47" a="1"/>
  <c r="AV23" i="47" s="1"/>
  <c r="AT23" i="47" s="1"/>
  <c r="AV32" i="45" a="1"/>
  <c r="AV32" i="45" s="1"/>
  <c r="AT32" i="45" s="1"/>
  <c r="AU32" i="45" a="1"/>
  <c r="AU32" i="45" s="1"/>
  <c r="AS32" i="45" s="1"/>
  <c r="AQ31" i="45"/>
  <c r="U19" i="45"/>
  <c r="AX19" i="45" s="1"/>
  <c r="U25" i="45"/>
  <c r="AQ25" i="45" s="1"/>
  <c r="U24" i="45"/>
  <c r="AQ24" i="45" s="1"/>
  <c r="U30" i="45"/>
  <c r="AQ30" i="45" s="1"/>
  <c r="AM15" i="58" a="1"/>
  <c r="AM15" i="58" s="1"/>
  <c r="AR31" i="43"/>
  <c r="C30" i="43"/>
  <c r="T31" i="45"/>
  <c r="V31" i="45"/>
  <c r="R31" i="45"/>
  <c r="C30" i="39"/>
  <c r="AR31" i="39"/>
  <c r="U29" i="45"/>
  <c r="AV29" i="45" s="1" a="1"/>
  <c r="AV29" i="45" s="1"/>
  <c r="AT29" i="45" s="1"/>
  <c r="AR30" i="41"/>
  <c r="C29" i="41"/>
  <c r="H26" i="60"/>
  <c r="E28" i="60"/>
  <c r="H27" i="60"/>
  <c r="E26" i="60"/>
  <c r="E27" i="60"/>
  <c r="E32" i="60"/>
  <c r="E31" i="60"/>
  <c r="H32" i="60"/>
  <c r="E33" i="60"/>
  <c r="H31" i="60"/>
  <c r="AD11" i="60"/>
  <c r="AG11" i="60"/>
  <c r="AD12" i="60"/>
  <c r="AG12" i="60"/>
  <c r="AD13" i="60"/>
  <c r="W12" i="60"/>
  <c r="W11" i="60"/>
  <c r="T11" i="60"/>
  <c r="T13" i="60"/>
  <c r="T12" i="60"/>
  <c r="Y13" i="60"/>
  <c r="AB12" i="60"/>
  <c r="Y11" i="60"/>
  <c r="Y12" i="60"/>
  <c r="AB11" i="60"/>
  <c r="H36" i="60"/>
  <c r="E36" i="60"/>
  <c r="E38" i="60"/>
  <c r="E37" i="60"/>
  <c r="H37" i="60"/>
  <c r="CD16" i="57"/>
  <c r="O10" i="58"/>
  <c r="P11" i="58"/>
  <c r="R12" i="58" s="1"/>
  <c r="V23" i="58"/>
  <c r="Y25" i="58"/>
  <c r="AA28" i="58"/>
  <c r="AA25" i="58"/>
  <c r="CE17" i="57"/>
  <c r="CD12" i="57"/>
  <c r="T20" i="58"/>
  <c r="U21" i="58"/>
  <c r="W22" i="58" s="1"/>
  <c r="CE15" i="57"/>
  <c r="G15" i="58" s="1"/>
  <c r="CD9" i="57"/>
  <c r="Q13" i="58" s="1"/>
  <c r="AF18" i="58"/>
  <c r="CE10" i="57"/>
  <c r="L10" i="58" s="1"/>
  <c r="L25" i="58"/>
  <c r="P36" i="58"/>
  <c r="R37" i="58" s="1"/>
  <c r="O35" i="58"/>
  <c r="Q35" i="58"/>
  <c r="L28" i="58"/>
  <c r="J25" i="58"/>
  <c r="Y15" i="58"/>
  <c r="C28" i="46"/>
  <c r="T25" i="46" s="1"/>
  <c r="J15" i="46"/>
  <c r="Y20" i="58"/>
  <c r="Z16" i="58"/>
  <c r="AB16" i="58" s="1"/>
  <c r="AA18" i="58"/>
  <c r="G18" i="58"/>
  <c r="AE31" i="58"/>
  <c r="AD33" i="58" s="1"/>
  <c r="AD30" i="58"/>
  <c r="E15" i="58"/>
  <c r="AF25" i="58"/>
  <c r="AE26" i="58"/>
  <c r="AG27" i="58" s="1"/>
  <c r="AF28" i="58"/>
  <c r="CD18" i="57"/>
  <c r="AA23" i="58"/>
  <c r="CE33" i="57"/>
  <c r="CE11" i="57"/>
  <c r="AF15" i="58"/>
  <c r="AD15" i="58"/>
  <c r="AA20" i="58"/>
  <c r="BU5" i="49"/>
  <c r="BR5" i="49" s="1"/>
  <c r="J8" i="46"/>
  <c r="C25" i="46"/>
  <c r="T8" i="46" s="1"/>
  <c r="C20" i="46"/>
  <c r="O8" i="46" s="1"/>
  <c r="E8" i="46"/>
  <c r="E10" i="46"/>
  <c r="C23" i="46"/>
  <c r="O20" i="46" s="1"/>
  <c r="AF33" i="58"/>
  <c r="AD31" i="56"/>
  <c r="AG31" i="56"/>
  <c r="AG32" i="56"/>
  <c r="AD32" i="56"/>
  <c r="AD33" i="56"/>
  <c r="Y21" i="56"/>
  <c r="Y22" i="56"/>
  <c r="AB21" i="56"/>
  <c r="Y23" i="56"/>
  <c r="AB22" i="56"/>
  <c r="AK15" i="58" a="1"/>
  <c r="AK15" i="58" s="1"/>
  <c r="M11" i="60"/>
  <c r="AM23" i="58" a="1"/>
  <c r="AM23" i="58" s="1"/>
  <c r="J20" i="58"/>
  <c r="J21" i="56"/>
  <c r="J22" i="56"/>
  <c r="M21" i="56"/>
  <c r="M22" i="56"/>
  <c r="AK20" i="58" a="1"/>
  <c r="AK20" i="58" s="1"/>
  <c r="AM18" i="58" a="1"/>
  <c r="AM18" i="58" s="1"/>
  <c r="BU5" i="55"/>
  <c r="J26" i="56"/>
  <c r="M26" i="56"/>
  <c r="M27" i="56"/>
  <c r="J28" i="56"/>
  <c r="J27" i="56"/>
  <c r="M21" i="60"/>
  <c r="J21" i="60"/>
  <c r="CE13" i="57"/>
  <c r="CD13" i="57"/>
  <c r="V15" i="58"/>
  <c r="T15" i="58"/>
  <c r="V18" i="58"/>
  <c r="U16" i="58"/>
  <c r="V35" i="58"/>
  <c r="T35" i="58"/>
  <c r="V38" i="58"/>
  <c r="U36" i="58"/>
  <c r="AK23" i="58" a="1"/>
  <c r="AK23" i="58" s="1"/>
  <c r="CD23" i="57"/>
  <c r="CE23" i="57"/>
  <c r="AA35" i="58"/>
  <c r="Y35" i="58"/>
  <c r="AA38" i="58"/>
  <c r="Z36" i="58"/>
  <c r="CD29" i="57"/>
  <c r="CE29" i="57"/>
  <c r="CD24" i="57"/>
  <c r="CE24" i="57"/>
  <c r="CE20" i="57"/>
  <c r="G20" i="58" s="1"/>
  <c r="CD20" i="57"/>
  <c r="G23" i="58" s="1"/>
  <c r="AK10" i="58" a="1"/>
  <c r="AK10" i="58" s="1"/>
  <c r="M26" i="58"/>
  <c r="M27" i="58"/>
  <c r="J28" i="58"/>
  <c r="J26" i="58"/>
  <c r="J27" i="58"/>
  <c r="CE34" i="57"/>
  <c r="CD34" i="57"/>
  <c r="K11" i="58"/>
  <c r="J10" i="58"/>
  <c r="L13" i="58"/>
  <c r="AK18" i="58" a="1"/>
  <c r="AK18" i="58" s="1"/>
  <c r="M21" i="58"/>
  <c r="M22" i="58"/>
  <c r="J21" i="58"/>
  <c r="J22" i="58"/>
  <c r="Q25" i="58"/>
  <c r="O25" i="58"/>
  <c r="Q28" i="58"/>
  <c r="P26" i="58"/>
  <c r="AF23" i="58"/>
  <c r="AD20" i="58"/>
  <c r="AF20" i="58"/>
  <c r="AE21" i="58"/>
  <c r="H16" i="58"/>
  <c r="E17" i="58"/>
  <c r="H17" i="58"/>
  <c r="E16" i="58"/>
  <c r="L33" i="58"/>
  <c r="L30" i="58"/>
  <c r="K31" i="58"/>
  <c r="J30" i="58"/>
  <c r="P31" i="58"/>
  <c r="Q33" i="58"/>
  <c r="Q30" i="58"/>
  <c r="O30" i="58"/>
  <c r="AM20" i="58" a="1"/>
  <c r="AM20" i="58" s="1"/>
  <c r="AM10" i="58" a="1"/>
  <c r="AM10" i="58" s="1"/>
  <c r="CD14" i="57"/>
  <c r="Q18" i="58" s="1"/>
  <c r="CE14" i="57"/>
  <c r="Q15" i="58" s="1"/>
  <c r="CD28" i="57"/>
  <c r="CE28" i="57"/>
  <c r="CE19" i="57"/>
  <c r="L20" i="58" s="1"/>
  <c r="CD19" i="57"/>
  <c r="L23" i="58" s="1"/>
  <c r="F21" i="58"/>
  <c r="E20" i="58"/>
  <c r="V33" i="58"/>
  <c r="U31" i="58"/>
  <c r="T30" i="58"/>
  <c r="V30" i="58"/>
  <c r="AB22" i="58"/>
  <c r="Y22" i="58"/>
  <c r="AB21" i="58"/>
  <c r="Y23" i="58"/>
  <c r="Y21" i="58"/>
  <c r="O15" i="58"/>
  <c r="P16" i="58"/>
  <c r="K36" i="58"/>
  <c r="J35" i="58"/>
  <c r="L35" i="58"/>
  <c r="L38" i="58"/>
  <c r="AB27" i="58"/>
  <c r="AB26" i="58"/>
  <c r="Y27" i="58"/>
  <c r="Y26" i="58"/>
  <c r="Y28" i="58"/>
  <c r="W17" i="60"/>
  <c r="T17" i="60"/>
  <c r="T18" i="60"/>
  <c r="T16" i="60"/>
  <c r="W16" i="60"/>
  <c r="AR30" i="45"/>
  <c r="C29" i="45"/>
  <c r="U23" i="45"/>
  <c r="AP22" i="49"/>
  <c r="K22" i="49"/>
  <c r="H22" i="49"/>
  <c r="K23" i="43"/>
  <c r="H23" i="43"/>
  <c r="AW23" i="43"/>
  <c r="AP23" i="43"/>
  <c r="BU5" i="47"/>
  <c r="O27" i="56" l="1"/>
  <c r="R27" i="56"/>
  <c r="J35" i="56"/>
  <c r="O28" i="56"/>
  <c r="T16" i="56"/>
  <c r="T18" i="56"/>
  <c r="T15" i="56"/>
  <c r="V18" i="56"/>
  <c r="W16" i="56"/>
  <c r="V15" i="56"/>
  <c r="CE16" i="55"/>
  <c r="R26" i="56"/>
  <c r="U21" i="43"/>
  <c r="CD15" i="59"/>
  <c r="G18" i="60" s="1"/>
  <c r="CB17" i="53" a="1"/>
  <c r="CB17" i="53" s="1"/>
  <c r="CD11" i="59"/>
  <c r="E15" i="60"/>
  <c r="R37" i="60"/>
  <c r="J10" i="60"/>
  <c r="J12" i="60"/>
  <c r="M22" i="60"/>
  <c r="M12" i="60"/>
  <c r="K36" i="56"/>
  <c r="J38" i="56" s="1"/>
  <c r="L10" i="60"/>
  <c r="L38" i="56"/>
  <c r="Q10" i="56"/>
  <c r="P11" i="56"/>
  <c r="O11" i="56" s="1"/>
  <c r="CE34" i="59"/>
  <c r="CB16" i="53" a="1"/>
  <c r="CB16" i="53" s="1"/>
  <c r="O38" i="60"/>
  <c r="Q38" i="60"/>
  <c r="O35" i="60"/>
  <c r="J20" i="60"/>
  <c r="CD24" i="59"/>
  <c r="L20" i="60"/>
  <c r="V22" i="43"/>
  <c r="AQ20" i="43"/>
  <c r="AQ22" i="43"/>
  <c r="T22" i="43"/>
  <c r="R22" i="43"/>
  <c r="T20" i="43"/>
  <c r="V20" i="43"/>
  <c r="R20" i="43"/>
  <c r="O37" i="60"/>
  <c r="G23" i="47"/>
  <c r="BX23" i="53" a="1"/>
  <c r="BX23" i="53" s="1"/>
  <c r="CD17" i="59"/>
  <c r="CA33" i="53" a="1"/>
  <c r="CA33" i="53" s="1"/>
  <c r="CB10" i="53" a="1"/>
  <c r="CB10" i="53" s="1"/>
  <c r="AM15" i="60" a="1"/>
  <c r="AM15" i="60" s="1"/>
  <c r="BX16" i="53" a="1"/>
  <c r="BX16" i="53" s="1"/>
  <c r="L13" i="60"/>
  <c r="R36" i="60"/>
  <c r="CD14" i="59"/>
  <c r="G15" i="60"/>
  <c r="CE9" i="59"/>
  <c r="Q35" i="60"/>
  <c r="BY10" i="53" a="1"/>
  <c r="BY10" i="53" s="1"/>
  <c r="Z26" i="60"/>
  <c r="Y27" i="60" s="1"/>
  <c r="CD19" i="59"/>
  <c r="L23" i="60" s="1"/>
  <c r="AP23" i="47"/>
  <c r="H23" i="47"/>
  <c r="AS23" i="47"/>
  <c r="CD33" i="59"/>
  <c r="AM23" i="60" a="1"/>
  <c r="AM23" i="60" s="1"/>
  <c r="K23" i="47"/>
  <c r="BY17" i="53" a="1"/>
  <c r="BY17" i="53" s="1"/>
  <c r="BY23" i="53" a="1"/>
  <c r="BY23" i="53" s="1"/>
  <c r="BZ23" i="53" a="1"/>
  <c r="BZ23" i="53" s="1"/>
  <c r="BX33" i="53" a="1"/>
  <c r="BX33" i="53" s="1"/>
  <c r="BY18" i="53" a="1"/>
  <c r="BY18" i="53" s="1"/>
  <c r="BZ18" i="53" a="1"/>
  <c r="BZ18" i="53" s="1"/>
  <c r="CA18" i="53" a="1"/>
  <c r="CA18" i="53" s="1"/>
  <c r="BX17" i="53" a="1"/>
  <c r="BX17" i="53" s="1"/>
  <c r="CA23" i="53" a="1"/>
  <c r="CA23" i="53" s="1"/>
  <c r="CG6" i="53" a="1"/>
  <c r="CG6" i="53" s="1"/>
  <c r="CB33" i="53" a="1"/>
  <c r="CB33" i="53" s="1"/>
  <c r="CF33" i="53" s="1"/>
  <c r="CA28" i="53" a="1"/>
  <c r="CA28" i="53" s="1"/>
  <c r="BZ28" i="53" a="1"/>
  <c r="BZ28" i="53" s="1"/>
  <c r="BW16" i="53" a="1"/>
  <c r="BW16" i="53" s="1"/>
  <c r="AP23" i="56" a="1"/>
  <c r="AP23" i="56" s="1"/>
  <c r="AK18" i="60" a="1"/>
  <c r="AK18" i="60" s="1"/>
  <c r="G20" i="60"/>
  <c r="CB23" i="53" a="1"/>
  <c r="CB23" i="53" s="1"/>
  <c r="CA17" i="53" a="1"/>
  <c r="CA17" i="53" s="1"/>
  <c r="BZ10" i="53" a="1"/>
  <c r="BZ10" i="53" s="1"/>
  <c r="BZ17" i="53" a="1"/>
  <c r="BZ17" i="53" s="1"/>
  <c r="BY9" i="53" a="1"/>
  <c r="BY9" i="53" s="1"/>
  <c r="BY16" i="53" a="1"/>
  <c r="BY16" i="53" s="1"/>
  <c r="BW17" i="53" a="1"/>
  <c r="BW17" i="53" s="1"/>
  <c r="BZ33" i="53" a="1"/>
  <c r="BZ33" i="53" s="1"/>
  <c r="CG34" i="53" a="1"/>
  <c r="CG34" i="53" s="1"/>
  <c r="BX18" i="53" a="1"/>
  <c r="BX18" i="53" s="1"/>
  <c r="E20" i="60"/>
  <c r="BY33" i="53" a="1"/>
  <c r="BY33" i="53" s="1"/>
  <c r="CB28" i="53" a="1"/>
  <c r="CB28" i="53" s="1"/>
  <c r="BW23" i="53" a="1"/>
  <c r="BW23" i="53" s="1"/>
  <c r="BW28" i="53" a="1"/>
  <c r="BW28" i="53" s="1"/>
  <c r="CC28" i="53" s="1"/>
  <c r="AP18" i="56" a="1"/>
  <c r="AP18" i="56" s="1"/>
  <c r="AK23" i="60" a="1"/>
  <c r="AK23" i="60" s="1"/>
  <c r="Y25" i="60"/>
  <c r="CB18" i="53" a="1"/>
  <c r="CB18" i="53" s="1"/>
  <c r="BZ9" i="53" a="1"/>
  <c r="BZ9" i="53" s="1"/>
  <c r="BW18" i="53" a="1"/>
  <c r="BW18" i="53" s="1"/>
  <c r="CC18" i="53" s="1"/>
  <c r="G23" i="60"/>
  <c r="BY28" i="53" a="1"/>
  <c r="BY28" i="53" s="1"/>
  <c r="Q18" i="60"/>
  <c r="O17" i="60"/>
  <c r="R16" i="60"/>
  <c r="O16" i="60"/>
  <c r="R17" i="60"/>
  <c r="BW33" i="53" a="1"/>
  <c r="BW33" i="53" s="1"/>
  <c r="CC33" i="53" s="1"/>
  <c r="CA16" i="53" a="1"/>
  <c r="CA16" i="53" s="1"/>
  <c r="BZ16" i="53" a="1"/>
  <c r="BZ16" i="53" s="1"/>
  <c r="BX28" i="53" a="1"/>
  <c r="BX28" i="53" s="1"/>
  <c r="AM20" i="60" a="1"/>
  <c r="AM20" i="60" s="1"/>
  <c r="K36" i="60"/>
  <c r="J35" i="60"/>
  <c r="L35" i="60"/>
  <c r="E16" i="60"/>
  <c r="E17" i="60"/>
  <c r="H17" i="60"/>
  <c r="H16" i="60"/>
  <c r="E18" i="60"/>
  <c r="O15" i="60"/>
  <c r="AM18" i="60" a="1"/>
  <c r="AM18" i="60" s="1"/>
  <c r="Q15" i="60"/>
  <c r="H21" i="60"/>
  <c r="V18" i="60"/>
  <c r="CE28" i="59"/>
  <c r="CE16" i="59"/>
  <c r="V15" i="60"/>
  <c r="T15" i="60"/>
  <c r="CE18" i="59"/>
  <c r="AA25" i="60"/>
  <c r="Q13" i="60"/>
  <c r="E22" i="56"/>
  <c r="AS22" i="49"/>
  <c r="E21" i="56"/>
  <c r="H21" i="56"/>
  <c r="H22" i="60"/>
  <c r="CA22" i="53" a="1"/>
  <c r="CA22" i="53" s="1"/>
  <c r="CH12" i="53" a="1"/>
  <c r="CH12" i="53" s="1"/>
  <c r="CB13" i="53" a="1"/>
  <c r="CB13" i="53" s="1"/>
  <c r="CG23" i="53" a="1"/>
  <c r="CG23" i="53" s="1"/>
  <c r="BW24" i="53" a="1"/>
  <c r="BW24" i="53" s="1"/>
  <c r="BX19" i="53" a="1"/>
  <c r="BX19" i="53" s="1"/>
  <c r="Q10" i="60"/>
  <c r="P9" i="53"/>
  <c r="CB32" i="53" a="1"/>
  <c r="CB32" i="53" s="1"/>
  <c r="BZ34" i="53" a="1"/>
  <c r="BZ34" i="53" s="1"/>
  <c r="BZ31" i="53" a="1"/>
  <c r="BZ31" i="53" s="1"/>
  <c r="BY31" i="53" a="1"/>
  <c r="BY31" i="53" s="1"/>
  <c r="BW15" i="53" a="1"/>
  <c r="BW15" i="53" s="1"/>
  <c r="BX12" i="53" a="1"/>
  <c r="BX12" i="53" s="1"/>
  <c r="BX13" i="53" a="1"/>
  <c r="BX13" i="53" s="1"/>
  <c r="CG21" i="53" a="1"/>
  <c r="CG21" i="53" s="1"/>
  <c r="CG10" i="53" a="1"/>
  <c r="CG10" i="53" s="1"/>
  <c r="CH32" i="53" a="1"/>
  <c r="CH32" i="53" s="1"/>
  <c r="CA14" i="53" a="1"/>
  <c r="CA14" i="53" s="1"/>
  <c r="CG12" i="53" a="1"/>
  <c r="CG12" i="53" s="1"/>
  <c r="CA11" i="53" a="1"/>
  <c r="CA11" i="53" s="1"/>
  <c r="BZ22" i="53" a="1"/>
  <c r="BZ22" i="53" s="1"/>
  <c r="BW27" i="53" a="1"/>
  <c r="BW27" i="53" s="1"/>
  <c r="CC27" i="53" s="1"/>
  <c r="CH11" i="53" a="1"/>
  <c r="CH11" i="53" s="1"/>
  <c r="CH8" i="53" a="1"/>
  <c r="CH8" i="53" s="1"/>
  <c r="CA20" i="53" a="1"/>
  <c r="CA20" i="53" s="1"/>
  <c r="BW32" i="53" a="1"/>
  <c r="BW32" i="53" s="1"/>
  <c r="CC32" i="53" s="1"/>
  <c r="BX34" i="53" a="1"/>
  <c r="BX34" i="53" s="1"/>
  <c r="Q9" i="53"/>
  <c r="V9" i="53" s="1"/>
  <c r="AK25" i="54" s="1" a="1"/>
  <c r="AK25" i="54" s="1"/>
  <c r="CG15" i="53" a="1"/>
  <c r="CG15" i="53" s="1"/>
  <c r="CH30" i="53" a="1"/>
  <c r="CH30" i="53" s="1"/>
  <c r="CG20" i="53" a="1"/>
  <c r="CG20" i="53" s="1"/>
  <c r="CG28" i="53" a="1"/>
  <c r="CG28" i="53" s="1"/>
  <c r="BZ27" i="53" a="1"/>
  <c r="BZ27" i="53" s="1"/>
  <c r="CB24" i="53" a="1"/>
  <c r="CB24" i="53" s="1"/>
  <c r="BZ24" i="53" a="1"/>
  <c r="BZ24" i="53" s="1"/>
  <c r="BW20" i="53" a="1"/>
  <c r="BW20" i="53" s="1"/>
  <c r="CG33" i="53" a="1"/>
  <c r="CG33" i="53" s="1"/>
  <c r="CH19" i="53" a="1"/>
  <c r="CH19" i="53" s="1"/>
  <c r="BY19" i="53" a="1"/>
  <c r="BY19" i="53" s="1"/>
  <c r="CG17" i="53" a="1"/>
  <c r="CG17" i="53" s="1"/>
  <c r="CH20" i="53" a="1"/>
  <c r="CH20" i="53" s="1"/>
  <c r="CA29" i="53" a="1"/>
  <c r="CA29" i="53" s="1"/>
  <c r="CA12" i="53" a="1"/>
  <c r="CA12" i="53" s="1"/>
  <c r="CA9" i="53" a="1"/>
  <c r="CA9" i="53" s="1"/>
  <c r="BY11" i="53" a="1"/>
  <c r="BY11" i="53" s="1"/>
  <c r="BY13" i="53" a="1"/>
  <c r="BY13" i="53" s="1"/>
  <c r="BX9" i="53" a="1"/>
  <c r="BX9" i="53" s="1"/>
  <c r="BW31" i="53" a="1"/>
  <c r="BW31" i="53" s="1"/>
  <c r="CC31" i="53" s="1"/>
  <c r="CG32" i="53" a="1"/>
  <c r="CG32" i="53" s="1"/>
  <c r="CA32" i="53" a="1"/>
  <c r="CA32" i="53" s="1"/>
  <c r="CB19" i="53" a="1"/>
  <c r="CB19" i="53" s="1"/>
  <c r="CH24" i="53" a="1"/>
  <c r="CH24" i="53" s="1"/>
  <c r="BZ32" i="53" a="1"/>
  <c r="BZ32" i="53" s="1"/>
  <c r="BZ15" i="53" a="1"/>
  <c r="BZ15" i="53" s="1"/>
  <c r="CB29" i="53" a="1"/>
  <c r="CB29" i="53" s="1"/>
  <c r="CB34" i="53" a="1"/>
  <c r="CB34" i="53" s="1"/>
  <c r="BZ14" i="53" a="1"/>
  <c r="BZ14" i="53" s="1"/>
  <c r="BW10" i="53" a="1"/>
  <c r="BW10" i="53" s="1"/>
  <c r="BW19" i="53" a="1"/>
  <c r="BW19" i="53" s="1"/>
  <c r="BW14" i="53" a="1"/>
  <c r="BW14" i="53" s="1"/>
  <c r="BX11" i="53" a="1"/>
  <c r="BX11" i="53" s="1"/>
  <c r="CA34" i="53" a="1"/>
  <c r="CA34" i="53" s="1"/>
  <c r="CG25" i="53" a="1"/>
  <c r="CG25" i="53" s="1"/>
  <c r="BZ12" i="53" a="1"/>
  <c r="BZ12" i="53" s="1"/>
  <c r="BZ21" i="53" a="1"/>
  <c r="BZ21" i="53" s="1"/>
  <c r="CB21" i="53" a="1"/>
  <c r="CB21" i="53" s="1"/>
  <c r="CA26" i="53" a="1"/>
  <c r="CA26" i="53" s="1"/>
  <c r="CA10" i="53" a="1"/>
  <c r="CA10" i="53" s="1"/>
  <c r="CA19" i="53" a="1"/>
  <c r="CA19" i="53" s="1"/>
  <c r="CH35" i="53" a="1"/>
  <c r="CH35" i="53" s="1"/>
  <c r="CA13" i="53" a="1"/>
  <c r="CA13" i="53" s="1"/>
  <c r="BW29" i="53" a="1"/>
  <c r="BW29" i="53" s="1"/>
  <c r="CC29" i="53" s="1"/>
  <c r="BY12" i="53" a="1"/>
  <c r="BY12" i="53" s="1"/>
  <c r="BY34" i="53" a="1"/>
  <c r="BY34" i="53" s="1"/>
  <c r="BY15" i="53" a="1"/>
  <c r="BY15" i="53" s="1"/>
  <c r="CB15" i="53" a="1"/>
  <c r="CB15" i="53" s="1"/>
  <c r="CF15" i="53" s="1"/>
  <c r="CG8" i="53" a="1"/>
  <c r="CG8" i="53" s="1"/>
  <c r="CA27" i="53" a="1"/>
  <c r="CA27" i="53" s="1"/>
  <c r="CH18" i="53" a="1"/>
  <c r="CH18" i="53" s="1"/>
  <c r="CG35" i="53" a="1"/>
  <c r="CG35" i="53" s="1"/>
  <c r="CH27" i="53" a="1"/>
  <c r="CH27" i="53" s="1"/>
  <c r="CH23" i="53" a="1"/>
  <c r="CH23" i="53" s="1"/>
  <c r="CH10" i="53" a="1"/>
  <c r="CH10" i="53" s="1"/>
  <c r="BW34" i="53" a="1"/>
  <c r="BW34" i="53" s="1"/>
  <c r="BX24" i="53" a="1"/>
  <c r="BX24" i="53" s="1"/>
  <c r="BX27" i="53" a="1"/>
  <c r="BX27" i="53" s="1"/>
  <c r="BX10" i="53" a="1"/>
  <c r="BX10" i="53" s="1"/>
  <c r="BZ29" i="53" a="1"/>
  <c r="BZ29" i="53" s="1"/>
  <c r="BY26" i="53" a="1"/>
  <c r="BY26" i="53" s="1"/>
  <c r="CA24" i="53" a="1"/>
  <c r="CA24" i="53" s="1"/>
  <c r="CG30" i="53" a="1"/>
  <c r="CG30" i="53" s="1"/>
  <c r="P11" i="53"/>
  <c r="CH6" i="53" a="1"/>
  <c r="CH6" i="53" s="1"/>
  <c r="P10" i="53"/>
  <c r="BY32" i="53" a="1"/>
  <c r="BY32" i="53" s="1"/>
  <c r="CB31" i="53" a="1"/>
  <c r="CB31" i="53" s="1"/>
  <c r="CH26" i="53" a="1"/>
  <c r="CH26" i="53" s="1"/>
  <c r="CG18" i="53" a="1"/>
  <c r="CG18" i="53" s="1"/>
  <c r="BX22" i="53" a="1"/>
  <c r="BX22" i="53" s="1"/>
  <c r="BW11" i="53" a="1"/>
  <c r="BW11" i="53" s="1"/>
  <c r="Q11" i="53"/>
  <c r="V11" i="53" s="1"/>
  <c r="BZ26" i="53" a="1"/>
  <c r="BZ26" i="53" s="1"/>
  <c r="CH16" i="53" a="1"/>
  <c r="CH16" i="53" s="1"/>
  <c r="CB12" i="53" a="1"/>
  <c r="CB12" i="53" s="1"/>
  <c r="CB14" i="53" a="1"/>
  <c r="CB14" i="53" s="1"/>
  <c r="CG13" i="53" a="1"/>
  <c r="CG13" i="53" s="1"/>
  <c r="CG31" i="53" a="1"/>
  <c r="CG31" i="53" s="1"/>
  <c r="P8" i="53"/>
  <c r="CG26" i="53" a="1"/>
  <c r="CG26" i="53" s="1"/>
  <c r="BZ20" i="53" a="1"/>
  <c r="BZ20" i="53" s="1"/>
  <c r="CG24" i="53" a="1"/>
  <c r="CG24" i="53" s="1"/>
  <c r="BW12" i="53" a="1"/>
  <c r="BW12" i="53" s="1"/>
  <c r="CG16" i="53" a="1"/>
  <c r="CG16" i="53" s="1"/>
  <c r="CB11" i="53" a="1"/>
  <c r="CB11" i="53" s="1"/>
  <c r="BY29" i="53" a="1"/>
  <c r="BY29" i="53" s="1"/>
  <c r="CG9" i="53" a="1"/>
  <c r="CG9" i="53" s="1"/>
  <c r="CG22" i="53" a="1"/>
  <c r="CG22" i="53" s="1"/>
  <c r="P7" i="53"/>
  <c r="CA21" i="53" a="1"/>
  <c r="CA21" i="53" s="1"/>
  <c r="CH7" i="53" a="1"/>
  <c r="CH7" i="53" s="1"/>
  <c r="CH13" i="53" a="1"/>
  <c r="CH13" i="53" s="1"/>
  <c r="CB22" i="53" a="1"/>
  <c r="CB22" i="53" s="1"/>
  <c r="CH33" i="53" a="1"/>
  <c r="CH33" i="53" s="1"/>
  <c r="CH28" i="53" a="1"/>
  <c r="CH28" i="53" s="1"/>
  <c r="BY27" i="53" a="1"/>
  <c r="BY27" i="53" s="1"/>
  <c r="CH21" i="53" a="1"/>
  <c r="CH21" i="53" s="1"/>
  <c r="CB27" i="53" a="1"/>
  <c r="CB27" i="53" s="1"/>
  <c r="BY14" i="53" a="1"/>
  <c r="BY14" i="53" s="1"/>
  <c r="CH31" i="53" a="1"/>
  <c r="CH31" i="53" s="1"/>
  <c r="BZ13" i="53" a="1"/>
  <c r="BZ13" i="53" s="1"/>
  <c r="BY22" i="53" a="1"/>
  <c r="BY22" i="53" s="1"/>
  <c r="BY21" i="53" a="1"/>
  <c r="BY21" i="53" s="1"/>
  <c r="CG27" i="53" a="1"/>
  <c r="CG27" i="53" s="1"/>
  <c r="BZ19" i="53" a="1"/>
  <c r="BZ19" i="53" s="1"/>
  <c r="CA15" i="53" a="1"/>
  <c r="CA15" i="53" s="1"/>
  <c r="BW21" i="53" a="1"/>
  <c r="BW21" i="53" s="1"/>
  <c r="CC21" i="53" s="1"/>
  <c r="BX15" i="53" a="1"/>
  <c r="BX15" i="53" s="1"/>
  <c r="Q30" i="60"/>
  <c r="O30" i="60"/>
  <c r="Q33" i="60"/>
  <c r="P31" i="60"/>
  <c r="CG11" i="53" a="1"/>
  <c r="CG11" i="53" s="1"/>
  <c r="CH25" i="53" a="1"/>
  <c r="CH25" i="53" s="1"/>
  <c r="BY20" i="53" a="1"/>
  <c r="BY20" i="53" s="1"/>
  <c r="P6" i="53"/>
  <c r="CH15" i="53" a="1"/>
  <c r="CH15" i="53" s="1"/>
  <c r="CB20" i="53" a="1"/>
  <c r="CB20" i="53" s="1"/>
  <c r="BZ11" i="53" a="1"/>
  <c r="BZ11" i="53" s="1"/>
  <c r="CH22" i="53" a="1"/>
  <c r="CH22" i="53" s="1"/>
  <c r="CH17" i="53" a="1"/>
  <c r="CH17" i="53" s="1"/>
  <c r="BY24" i="53" a="1"/>
  <c r="BY24" i="53" s="1"/>
  <c r="CH34" i="53" a="1"/>
  <c r="CH34" i="53" s="1"/>
  <c r="BX26" i="53" a="1"/>
  <c r="BX26" i="53" s="1"/>
  <c r="Q8" i="53"/>
  <c r="S8" i="53" s="1"/>
  <c r="BX14" i="53" a="1"/>
  <c r="BX14" i="53" s="1"/>
  <c r="BX21" i="53" a="1"/>
  <c r="BX21" i="53" s="1"/>
  <c r="Q7" i="53"/>
  <c r="S7" i="53" s="1"/>
  <c r="BW13" i="53" a="1"/>
  <c r="BW13" i="53" s="1"/>
  <c r="CC13" i="53" s="1"/>
  <c r="BX29" i="53" a="1"/>
  <c r="BX29" i="53" s="1"/>
  <c r="E22" i="60"/>
  <c r="E23" i="60"/>
  <c r="AD33" i="60"/>
  <c r="AG31" i="60"/>
  <c r="AG32" i="60"/>
  <c r="AD32" i="60"/>
  <c r="AD31" i="60"/>
  <c r="CG19" i="53" a="1"/>
  <c r="CG19" i="53" s="1"/>
  <c r="Y27" i="56"/>
  <c r="AB16" i="56"/>
  <c r="Z16" i="60"/>
  <c r="Y17" i="60" s="1"/>
  <c r="CG14" i="53" a="1"/>
  <c r="CG14" i="53" s="1"/>
  <c r="J23" i="60"/>
  <c r="F20" i="41"/>
  <c r="K20" i="41" s="1"/>
  <c r="H22" i="47"/>
  <c r="K22" i="47"/>
  <c r="G21" i="47"/>
  <c r="CI6" i="59"/>
  <c r="AF6" i="59" s="1"/>
  <c r="P11" i="60"/>
  <c r="O10" i="60"/>
  <c r="CJ6" i="59"/>
  <c r="AG6" i="59" s="1"/>
  <c r="X6" i="59" s="1"/>
  <c r="AP13" i="60" s="1" a="1"/>
  <c r="AP13" i="60" s="1"/>
  <c r="AP22" i="47"/>
  <c r="AS22" i="47"/>
  <c r="Q28" i="60"/>
  <c r="Q25" i="60"/>
  <c r="P26" i="60"/>
  <c r="O25" i="60"/>
  <c r="G22" i="47"/>
  <c r="Y15" i="60"/>
  <c r="AA18" i="60"/>
  <c r="BZ25" i="53" a="1"/>
  <c r="BZ25" i="53" s="1"/>
  <c r="CG7" i="53" a="1"/>
  <c r="CG7" i="53" s="1"/>
  <c r="CG29" i="53" a="1"/>
  <c r="CG29" i="53" s="1"/>
  <c r="CB9" i="53" a="1"/>
  <c r="CB9" i="53" s="1"/>
  <c r="BW22" i="53" a="1"/>
  <c r="BW22" i="53" s="1"/>
  <c r="CC22" i="53" s="1"/>
  <c r="H21" i="47"/>
  <c r="BZ7" i="53" a="1"/>
  <c r="BZ7" i="53" s="1"/>
  <c r="CB25" i="53" a="1"/>
  <c r="CB25" i="53" s="1"/>
  <c r="CF8" i="53" s="1"/>
  <c r="CH14" i="53" a="1"/>
  <c r="CH14" i="53" s="1"/>
  <c r="E23" i="56"/>
  <c r="BX32" i="53" a="1"/>
  <c r="BX32" i="53" s="1"/>
  <c r="BW26" i="53" a="1"/>
  <c r="BW26" i="53" s="1"/>
  <c r="CC26" i="53" s="1"/>
  <c r="Q6" i="53"/>
  <c r="U6" i="53" s="1"/>
  <c r="BX35" i="53" a="1"/>
  <c r="BX35" i="53" s="1"/>
  <c r="BX30" i="53" a="1"/>
  <c r="BX30" i="53" s="1"/>
  <c r="Q10" i="53"/>
  <c r="V10" i="53" s="1"/>
  <c r="BZ30" i="53" a="1"/>
  <c r="BZ30" i="53" s="1"/>
  <c r="AF30" i="60"/>
  <c r="AD30" i="60"/>
  <c r="AF33" i="60"/>
  <c r="CA31" i="53" a="1"/>
  <c r="CA31" i="53" s="1"/>
  <c r="CH29" i="53" a="1"/>
  <c r="CH29" i="53" s="1"/>
  <c r="CB26" i="53" a="1"/>
  <c r="CB26" i="53" s="1"/>
  <c r="BX31" i="53" a="1"/>
  <c r="BX31" i="53" s="1"/>
  <c r="BX20" i="53" a="1"/>
  <c r="BX20" i="53" s="1"/>
  <c r="BW9" i="53" a="1"/>
  <c r="BW9" i="53" s="1"/>
  <c r="BX6" i="53" a="1"/>
  <c r="BX6" i="53" s="1"/>
  <c r="CB35" i="53" a="1"/>
  <c r="CB35" i="53" s="1"/>
  <c r="K21" i="47"/>
  <c r="BX7" i="53" a="1"/>
  <c r="BX7" i="53" s="1"/>
  <c r="BY25" i="53" a="1"/>
  <c r="BY25" i="53" s="1"/>
  <c r="V38" i="60"/>
  <c r="T35" i="60"/>
  <c r="U36" i="60"/>
  <c r="V35" i="60"/>
  <c r="Y20" i="60"/>
  <c r="Z21" i="60"/>
  <c r="AA23" i="60"/>
  <c r="AA20" i="60"/>
  <c r="CJ31" i="59"/>
  <c r="AG11" i="59" s="1"/>
  <c r="AA38" i="60"/>
  <c r="Z36" i="60"/>
  <c r="Y35" i="60"/>
  <c r="CI31" i="59"/>
  <c r="AF11" i="59" s="1"/>
  <c r="AA35" i="60"/>
  <c r="Y18" i="56"/>
  <c r="K18" i="45"/>
  <c r="D18" i="45"/>
  <c r="E18" i="45" s="1"/>
  <c r="CJ11" i="59"/>
  <c r="AG7" i="59" s="1"/>
  <c r="X7" i="59" s="1"/>
  <c r="AP18" i="60" s="1" a="1"/>
  <c r="AP18" i="60" s="1"/>
  <c r="AF18" i="60"/>
  <c r="CI11" i="59"/>
  <c r="AF7" i="59" s="1"/>
  <c r="AD15" i="60"/>
  <c r="AF15" i="60"/>
  <c r="AE16" i="60"/>
  <c r="V30" i="60"/>
  <c r="V33" i="60"/>
  <c r="U31" i="60"/>
  <c r="T30" i="60"/>
  <c r="J30" i="60"/>
  <c r="L33" i="60"/>
  <c r="K31" i="60"/>
  <c r="L30" i="60"/>
  <c r="F20" i="43"/>
  <c r="R22" i="41"/>
  <c r="AX22" i="41"/>
  <c r="AF20" i="60"/>
  <c r="CJ16" i="59"/>
  <c r="AG8" i="59" s="1"/>
  <c r="X8" i="59" s="1"/>
  <c r="AF23" i="60"/>
  <c r="CI16" i="59"/>
  <c r="AF8" i="59" s="1"/>
  <c r="AE21" i="60"/>
  <c r="AD20" i="60"/>
  <c r="V20" i="60"/>
  <c r="V23" i="60"/>
  <c r="U21" i="60"/>
  <c r="T20" i="60"/>
  <c r="AB17" i="56"/>
  <c r="Y17" i="56"/>
  <c r="AX18" i="45"/>
  <c r="AT18" i="45" s="1"/>
  <c r="X18" i="45"/>
  <c r="W18" i="45" s="1"/>
  <c r="BW35" i="53" a="1"/>
  <c r="BW35" i="53" s="1"/>
  <c r="CC35" i="53" s="1"/>
  <c r="D22" i="47"/>
  <c r="E22" i="47" s="1"/>
  <c r="X22" i="47"/>
  <c r="W22" i="47" s="1"/>
  <c r="AD25" i="60"/>
  <c r="AE26" i="60"/>
  <c r="AF25" i="60"/>
  <c r="AF28" i="60"/>
  <c r="CJ21" i="59"/>
  <c r="AG9" i="59" s="1"/>
  <c r="CI21" i="59"/>
  <c r="AF9" i="59" s="1"/>
  <c r="L28" i="60"/>
  <c r="J25" i="60"/>
  <c r="L25" i="60"/>
  <c r="K26" i="60"/>
  <c r="CJ26" i="59"/>
  <c r="AG10" i="59" s="1"/>
  <c r="BY6" i="53" a="1"/>
  <c r="BY6" i="53" s="1"/>
  <c r="CA7" i="53" a="1"/>
  <c r="CA7" i="53" s="1"/>
  <c r="BY35" i="53" a="1"/>
  <c r="BY35" i="53" s="1"/>
  <c r="CA8" i="53" a="1"/>
  <c r="CA8" i="53" s="1"/>
  <c r="BW7" i="53" a="1"/>
  <c r="BW7" i="53" s="1"/>
  <c r="CC7" i="53" s="1"/>
  <c r="CA25" i="53" a="1"/>
  <c r="CA25" i="53" s="1"/>
  <c r="CB7" i="53" a="1"/>
  <c r="CB7" i="53" s="1"/>
  <c r="CF7" i="53" s="1"/>
  <c r="BX8" i="53" a="1"/>
  <c r="BX8" i="53" s="1"/>
  <c r="CC25" i="53" s="1"/>
  <c r="BW6" i="53" a="1"/>
  <c r="BW6" i="53" s="1"/>
  <c r="CC6" i="53" s="1"/>
  <c r="CE6" i="53" s="1"/>
  <c r="CB6" i="53" a="1"/>
  <c r="CB6" i="53" s="1"/>
  <c r="CA35" i="53" a="1"/>
  <c r="CA35" i="53" s="1"/>
  <c r="BW30" i="53" a="1"/>
  <c r="BW30" i="53" s="1"/>
  <c r="CA30" i="53" a="1"/>
  <c r="CA30" i="53" s="1"/>
  <c r="BZ8" i="53" a="1"/>
  <c r="BZ8" i="53" s="1"/>
  <c r="BW8" i="53" a="1"/>
  <c r="BW8" i="53" s="1"/>
  <c r="CC8" i="53" s="1"/>
  <c r="BZ35" i="53" a="1"/>
  <c r="BZ35" i="53" s="1"/>
  <c r="BY7" i="53" a="1"/>
  <c r="BY7" i="53" s="1"/>
  <c r="J23" i="56"/>
  <c r="T33" i="56"/>
  <c r="T32" i="56"/>
  <c r="M31" i="56"/>
  <c r="AG27" i="56"/>
  <c r="W31" i="56"/>
  <c r="AW20" i="41"/>
  <c r="AS20" i="41" s="1"/>
  <c r="X20" i="41"/>
  <c r="W20" i="41" s="1"/>
  <c r="D20" i="41"/>
  <c r="E20" i="41" s="1"/>
  <c r="M32" i="56"/>
  <c r="AD28" i="56"/>
  <c r="J32" i="56"/>
  <c r="AD27" i="56"/>
  <c r="CH9" i="53" a="1"/>
  <c r="CH9" i="53" s="1"/>
  <c r="AG26" i="56"/>
  <c r="AW20" i="39"/>
  <c r="AS20" i="39" s="1"/>
  <c r="D20" i="39"/>
  <c r="E20" i="39" s="1"/>
  <c r="X20" i="39"/>
  <c r="W20" i="39" s="1"/>
  <c r="J13" i="60"/>
  <c r="W32" i="56"/>
  <c r="J31" i="56"/>
  <c r="E18" i="58"/>
  <c r="J23" i="58"/>
  <c r="AG17" i="56"/>
  <c r="M11" i="56"/>
  <c r="O33" i="56"/>
  <c r="O32" i="56"/>
  <c r="R32" i="56"/>
  <c r="R31" i="56"/>
  <c r="J13" i="56"/>
  <c r="J12" i="56"/>
  <c r="O18" i="56"/>
  <c r="AD16" i="56"/>
  <c r="M12" i="56"/>
  <c r="R17" i="56"/>
  <c r="Y28" i="56"/>
  <c r="AB26" i="56"/>
  <c r="Y26" i="56"/>
  <c r="CH17" i="51" a="1"/>
  <c r="CH17" i="51" s="1"/>
  <c r="AD17" i="56"/>
  <c r="AD18" i="56"/>
  <c r="O17" i="56"/>
  <c r="Y37" i="56"/>
  <c r="R16" i="56"/>
  <c r="Y38" i="56"/>
  <c r="H20" i="39"/>
  <c r="AP20" i="39"/>
  <c r="F22" i="39" s="1"/>
  <c r="G20" i="39"/>
  <c r="F21" i="39"/>
  <c r="AW21" i="39" s="1"/>
  <c r="K20" i="39"/>
  <c r="CA30" i="51" a="1"/>
  <c r="CA30" i="51" s="1"/>
  <c r="BW25" i="51" a="1"/>
  <c r="BW25" i="51" s="1"/>
  <c r="BW35" i="51" a="1"/>
  <c r="BW35" i="51" s="1"/>
  <c r="BW7" i="51" a="1"/>
  <c r="BW7" i="51" s="1"/>
  <c r="BX7" i="51" a="1"/>
  <c r="BX7" i="51" s="1"/>
  <c r="BW8" i="51" a="1"/>
  <c r="BW8" i="51" s="1"/>
  <c r="BX8" i="51" a="1"/>
  <c r="BX8" i="51" s="1"/>
  <c r="BW30" i="51" a="1"/>
  <c r="BW30" i="51" s="1"/>
  <c r="BX25" i="51" a="1"/>
  <c r="BX25" i="51" s="1"/>
  <c r="BX30" i="51" a="1"/>
  <c r="BX30" i="51" s="1"/>
  <c r="BW6" i="51" a="1"/>
  <c r="BW6" i="51" s="1"/>
  <c r="BX35" i="51" a="1"/>
  <c r="BX35" i="51" s="1"/>
  <c r="BX6" i="51" a="1"/>
  <c r="BX6" i="51" s="1"/>
  <c r="AQ21" i="43"/>
  <c r="T21" i="43"/>
  <c r="R21" i="43"/>
  <c r="V21" i="43"/>
  <c r="AP24" i="45"/>
  <c r="AP18" i="45"/>
  <c r="U20" i="45"/>
  <c r="AX20" i="45" s="1"/>
  <c r="AP19" i="45"/>
  <c r="H19" i="45"/>
  <c r="K19" i="45"/>
  <c r="AG21" i="56"/>
  <c r="AD22" i="56"/>
  <c r="AD21" i="56"/>
  <c r="G18" i="45"/>
  <c r="AD23" i="56"/>
  <c r="H18" i="45"/>
  <c r="G24" i="45"/>
  <c r="K24" i="45"/>
  <c r="Q8" i="51"/>
  <c r="S8" i="51" s="1"/>
  <c r="E18" i="56"/>
  <c r="E16" i="56"/>
  <c r="H16" i="56"/>
  <c r="Q10" i="51"/>
  <c r="V10" i="51" s="1"/>
  <c r="Q6" i="51"/>
  <c r="Q9" i="51"/>
  <c r="BU5" i="59"/>
  <c r="BR5" i="59" s="1"/>
  <c r="Q11" i="51"/>
  <c r="S11" i="51" s="1"/>
  <c r="Q7" i="51"/>
  <c r="U7" i="51" s="1"/>
  <c r="Y36" i="56"/>
  <c r="AB36" i="56"/>
  <c r="E17" i="56"/>
  <c r="H28" i="45"/>
  <c r="AT20" i="41"/>
  <c r="AQ18" i="45"/>
  <c r="T18" i="45"/>
  <c r="R32" i="45"/>
  <c r="AP26" i="45"/>
  <c r="B37" i="55" a="1"/>
  <c r="T32" i="45"/>
  <c r="AP28" i="45"/>
  <c r="K31" i="45"/>
  <c r="CA29" i="51" a="1"/>
  <c r="CA29" i="51" s="1"/>
  <c r="CA17" i="51" a="1"/>
  <c r="CA17" i="51" s="1"/>
  <c r="AT20" i="39"/>
  <c r="G28" i="45"/>
  <c r="R21" i="41"/>
  <c r="AQ28" i="45"/>
  <c r="O37" i="56"/>
  <c r="R37" i="56"/>
  <c r="O36" i="56"/>
  <c r="CB26" i="51" a="1"/>
  <c r="CB26" i="51" s="1"/>
  <c r="R36" i="56"/>
  <c r="H26" i="45"/>
  <c r="AD18" i="58"/>
  <c r="AD17" i="58"/>
  <c r="AG17" i="58"/>
  <c r="AG16" i="58"/>
  <c r="K26" i="45"/>
  <c r="R27" i="45"/>
  <c r="K25" i="45"/>
  <c r="AP29" i="45"/>
  <c r="T38" i="56"/>
  <c r="BU5" i="53"/>
  <c r="BR5" i="53" s="1"/>
  <c r="T36" i="56"/>
  <c r="T37" i="56"/>
  <c r="W37" i="56"/>
  <c r="AP25" i="45"/>
  <c r="K29" i="45"/>
  <c r="G25" i="45"/>
  <c r="G29" i="45"/>
  <c r="H25" i="45"/>
  <c r="BZ19" i="51" a="1"/>
  <c r="BZ19" i="51" s="1"/>
  <c r="CB9" i="51" a="1"/>
  <c r="CB9" i="51" s="1"/>
  <c r="BY9" i="51" a="1"/>
  <c r="BY9" i="51" s="1"/>
  <c r="BZ17" i="51" a="1"/>
  <c r="BZ17" i="51" s="1"/>
  <c r="CB24" i="51" a="1"/>
  <c r="CB24" i="51" s="1"/>
  <c r="CB15" i="51" a="1"/>
  <c r="CB15" i="51" s="1"/>
  <c r="G23" i="49"/>
  <c r="BW16" i="49" s="1" a="1"/>
  <c r="BW16" i="49" s="1"/>
  <c r="BY22" i="51" a="1"/>
  <c r="BY22" i="51" s="1"/>
  <c r="BZ13" i="51" a="1"/>
  <c r="BZ13" i="51" s="1"/>
  <c r="AP23" i="49"/>
  <c r="BY12" i="51" a="1"/>
  <c r="BY12" i="51" s="1"/>
  <c r="CG24" i="51" a="1"/>
  <c r="CG24" i="51" s="1"/>
  <c r="BY15" i="51" a="1"/>
  <c r="BY15" i="51" s="1"/>
  <c r="CA12" i="51" a="1"/>
  <c r="CA12" i="51" s="1"/>
  <c r="BZ18" i="51" a="1"/>
  <c r="BZ18" i="51" s="1"/>
  <c r="BY10" i="51" a="1"/>
  <c r="BY10" i="51" s="1"/>
  <c r="BY13" i="51" a="1"/>
  <c r="BY13" i="51" s="1"/>
  <c r="BZ20" i="51" a="1"/>
  <c r="BZ20" i="51" s="1"/>
  <c r="K23" i="49"/>
  <c r="CA11" i="51" a="1"/>
  <c r="CA11" i="51" s="1"/>
  <c r="BY18" i="51" a="1"/>
  <c r="BY18" i="51" s="1"/>
  <c r="BY24" i="51" a="1"/>
  <c r="BY24" i="51" s="1"/>
  <c r="BZ16" i="51" a="1"/>
  <c r="BZ16" i="51" s="1"/>
  <c r="CA31" i="51" a="1"/>
  <c r="CA31" i="51" s="1"/>
  <c r="BY32" i="51" a="1"/>
  <c r="BY32" i="51" s="1"/>
  <c r="BY26" i="51" a="1"/>
  <c r="BY26" i="51" s="1"/>
  <c r="CB14" i="51" a="1"/>
  <c r="CB14" i="51" s="1"/>
  <c r="BZ23" i="51" a="1"/>
  <c r="BZ23" i="51" s="1"/>
  <c r="BY28" i="51" a="1"/>
  <c r="BY28" i="51" s="1"/>
  <c r="CA34" i="51" a="1"/>
  <c r="CA34" i="51" s="1"/>
  <c r="CB20" i="51" a="1"/>
  <c r="CB20" i="51" s="1"/>
  <c r="BY33" i="51" a="1"/>
  <c r="BY33" i="51" s="1"/>
  <c r="BZ9" i="51" a="1"/>
  <c r="BZ9" i="51" s="1"/>
  <c r="CB21" i="51" a="1"/>
  <c r="CB21" i="51" s="1"/>
  <c r="BZ29" i="51" a="1"/>
  <c r="BZ29" i="51" s="1"/>
  <c r="CA21" i="51" a="1"/>
  <c r="CA21" i="51" s="1"/>
  <c r="CA24" i="51" a="1"/>
  <c r="CA24" i="51" s="1"/>
  <c r="CA14" i="51" a="1"/>
  <c r="CA14" i="51" s="1"/>
  <c r="CH15" i="51" a="1"/>
  <c r="CH15" i="51" s="1"/>
  <c r="CB18" i="51" a="1"/>
  <c r="CB18" i="51" s="1"/>
  <c r="CA18" i="51" a="1"/>
  <c r="CA18" i="51" s="1"/>
  <c r="BZ15" i="51" a="1"/>
  <c r="BZ15" i="51" s="1"/>
  <c r="CA13" i="51" a="1"/>
  <c r="CA13" i="51" s="1"/>
  <c r="CA22" i="51" a="1"/>
  <c r="CA22" i="51" s="1"/>
  <c r="BY29" i="51" a="1"/>
  <c r="BY29" i="51" s="1"/>
  <c r="CA32" i="51" a="1"/>
  <c r="CA32" i="51" s="1"/>
  <c r="BY17" i="51" a="1"/>
  <c r="BY17" i="51" s="1"/>
  <c r="CH23" i="51" a="1"/>
  <c r="CH23" i="51" s="1"/>
  <c r="CB34" i="51" a="1"/>
  <c r="CB34" i="51" s="1"/>
  <c r="CA15" i="51" a="1"/>
  <c r="CA15" i="51" s="1"/>
  <c r="CA10" i="51" a="1"/>
  <c r="CA10" i="51" s="1"/>
  <c r="CB11" i="51" a="1"/>
  <c r="CB11" i="51" s="1"/>
  <c r="CB10" i="51" a="1"/>
  <c r="CB10" i="51" s="1"/>
  <c r="CB12" i="51" a="1"/>
  <c r="CB12" i="51" s="1"/>
  <c r="BZ24" i="51" a="1"/>
  <c r="BZ24" i="51" s="1"/>
  <c r="BZ21" i="51" a="1"/>
  <c r="BZ21" i="51" s="1"/>
  <c r="CA20" i="51" a="1"/>
  <c r="CA20" i="51" s="1"/>
  <c r="CA28" i="51" a="1"/>
  <c r="CA28" i="51" s="1"/>
  <c r="CA33" i="51" a="1"/>
  <c r="CA33" i="51" s="1"/>
  <c r="BY21" i="51" a="1"/>
  <c r="BY21" i="51" s="1"/>
  <c r="CB27" i="51" a="1"/>
  <c r="CB27" i="51" s="1"/>
  <c r="BZ33" i="51" a="1"/>
  <c r="BZ33" i="51" s="1"/>
  <c r="BZ10" i="51" a="1"/>
  <c r="BZ10" i="51" s="1"/>
  <c r="CA27" i="51" a="1"/>
  <c r="CA27" i="51" s="1"/>
  <c r="BZ32" i="51" a="1"/>
  <c r="BZ32" i="51" s="1"/>
  <c r="CA26" i="51" a="1"/>
  <c r="CA26" i="51" s="1"/>
  <c r="CB23" i="51" a="1"/>
  <c r="CB23" i="51" s="1"/>
  <c r="CA19" i="51" a="1"/>
  <c r="CA19" i="51" s="1"/>
  <c r="CB31" i="51" a="1"/>
  <c r="CB31" i="51" s="1"/>
  <c r="CB32" i="51" a="1"/>
  <c r="CB32" i="51" s="1"/>
  <c r="BZ26" i="51" a="1"/>
  <c r="BZ26" i="51" s="1"/>
  <c r="BY23" i="51" a="1"/>
  <c r="BY23" i="51" s="1"/>
  <c r="BZ34" i="51" a="1"/>
  <c r="BZ34" i="51" s="1"/>
  <c r="BY31" i="51" a="1"/>
  <c r="BY31" i="51" s="1"/>
  <c r="CB16" i="51" a="1"/>
  <c r="CB16" i="51" s="1"/>
  <c r="CA16" i="51" a="1"/>
  <c r="CA16" i="51" s="1"/>
  <c r="BY14" i="51" a="1"/>
  <c r="BY14" i="51" s="1"/>
  <c r="BY20" i="51" a="1"/>
  <c r="BY20" i="51" s="1"/>
  <c r="CB29" i="51" a="1"/>
  <c r="CB29" i="51" s="1"/>
  <c r="CB28" i="51" a="1"/>
  <c r="CB28" i="51" s="1"/>
  <c r="BZ28" i="51" a="1"/>
  <c r="BZ28" i="51" s="1"/>
  <c r="BZ22" i="51" a="1"/>
  <c r="BZ22" i="51" s="1"/>
  <c r="BZ11" i="51" a="1"/>
  <c r="BZ11" i="51" s="1"/>
  <c r="B37" i="57" a="1"/>
  <c r="AM25" i="54" a="1"/>
  <c r="AM25" i="54" s="1"/>
  <c r="BW12" i="51" a="1"/>
  <c r="BW12" i="51" s="1"/>
  <c r="BX17" i="51" a="1"/>
  <c r="BX17" i="51" s="1"/>
  <c r="BX18" i="51" a="1"/>
  <c r="BX18" i="51" s="1"/>
  <c r="BX16" i="51" a="1"/>
  <c r="BX16" i="51" s="1"/>
  <c r="BW28" i="51" a="1"/>
  <c r="BW28" i="51" s="1"/>
  <c r="BX33" i="51" a="1"/>
  <c r="BX33" i="51" s="1"/>
  <c r="BX24" i="51" a="1"/>
  <c r="BX24" i="51" s="1"/>
  <c r="BX20" i="51" a="1"/>
  <c r="BX20" i="51" s="1"/>
  <c r="BW11" i="51" a="1"/>
  <c r="BW11" i="51" s="1"/>
  <c r="BX34" i="51" a="1"/>
  <c r="BX34" i="51" s="1"/>
  <c r="BW23" i="51" a="1"/>
  <c r="BW23" i="51" s="1"/>
  <c r="BW22" i="51" a="1"/>
  <c r="BW22" i="51" s="1"/>
  <c r="CC22" i="51" s="1"/>
  <c r="BW27" i="51" a="1"/>
  <c r="BW27" i="51" s="1"/>
  <c r="CC27" i="51" s="1"/>
  <c r="BW33" i="51" a="1"/>
  <c r="BW33" i="51" s="1"/>
  <c r="BW19" i="51" a="1"/>
  <c r="BW19" i="51" s="1"/>
  <c r="BX15" i="51" a="1"/>
  <c r="BX15" i="51" s="1"/>
  <c r="BW26" i="51" a="1"/>
  <c r="BW26" i="51" s="1"/>
  <c r="CC26" i="51" s="1"/>
  <c r="BW13" i="51" a="1"/>
  <c r="BW13" i="51" s="1"/>
  <c r="BX22" i="51" a="1"/>
  <c r="BX22" i="51" s="1"/>
  <c r="BW10" i="51" a="1"/>
  <c r="BW10" i="51" s="1"/>
  <c r="BW17" i="51" a="1"/>
  <c r="BW17" i="51" s="1"/>
  <c r="BW16" i="51" a="1"/>
  <c r="BW16" i="51" s="1"/>
  <c r="BX23" i="51" a="1"/>
  <c r="BX23" i="51" s="1"/>
  <c r="BX31" i="51" a="1"/>
  <c r="BX31" i="51" s="1"/>
  <c r="BX32" i="51" a="1"/>
  <c r="BX32" i="51" s="1"/>
  <c r="BW20" i="51" a="1"/>
  <c r="BW20" i="51" s="1"/>
  <c r="BX11" i="51" a="1"/>
  <c r="BX11" i="51" s="1"/>
  <c r="BX27" i="51" a="1"/>
  <c r="BX27" i="51" s="1"/>
  <c r="BX26" i="51" a="1"/>
  <c r="BX26" i="51" s="1"/>
  <c r="BW14" i="51" a="1"/>
  <c r="BW14" i="51" s="1"/>
  <c r="BX21" i="51" a="1"/>
  <c r="BX21" i="51" s="1"/>
  <c r="BX10" i="51" a="1"/>
  <c r="BX10" i="51" s="1"/>
  <c r="BW9" i="51" a="1"/>
  <c r="BW9" i="51" s="1"/>
  <c r="BX9" i="51" a="1"/>
  <c r="BX9" i="51" s="1"/>
  <c r="BW18" i="51" a="1"/>
  <c r="BW18" i="51" s="1"/>
  <c r="BW24" i="51" a="1"/>
  <c r="BW24" i="51" s="1"/>
  <c r="BX14" i="51" a="1"/>
  <c r="BX14" i="51" s="1"/>
  <c r="BW31" i="51" a="1"/>
  <c r="BW31" i="51" s="1"/>
  <c r="CC31" i="51" s="1"/>
  <c r="BX29" i="51" a="1"/>
  <c r="BX29" i="51" s="1"/>
  <c r="BX19" i="51" a="1"/>
  <c r="BX19" i="51" s="1"/>
  <c r="BX28" i="51" a="1"/>
  <c r="BX28" i="51" s="1"/>
  <c r="BW34" i="51" a="1"/>
  <c r="BW34" i="51" s="1"/>
  <c r="BW21" i="51" a="1"/>
  <c r="BW21" i="51" s="1"/>
  <c r="CC21" i="51" s="1"/>
  <c r="BW32" i="51" a="1"/>
  <c r="BW32" i="51" s="1"/>
  <c r="CC32" i="51" s="1"/>
  <c r="BW29" i="51" a="1"/>
  <c r="BW29" i="51" s="1"/>
  <c r="BX12" i="51" a="1"/>
  <c r="BX12" i="51" s="1"/>
  <c r="BX13" i="51" a="1"/>
  <c r="BX13" i="51" s="1"/>
  <c r="BW15" i="51" a="1"/>
  <c r="BW15" i="51" s="1"/>
  <c r="CG29" i="51" a="1"/>
  <c r="CG29" i="51" s="1"/>
  <c r="T21" i="41"/>
  <c r="AX21" i="41"/>
  <c r="AT21" i="41" s="1"/>
  <c r="AW21" i="41"/>
  <c r="AS21" i="41" s="1"/>
  <c r="AQ21" i="39"/>
  <c r="AX21" i="39"/>
  <c r="V32" i="45"/>
  <c r="BW30" i="47" a="1"/>
  <c r="BW30" i="47" s="1"/>
  <c r="BW7" i="47" a="1"/>
  <c r="BW7" i="47" s="1"/>
  <c r="BW8" i="47" a="1"/>
  <c r="BW8" i="47" s="1"/>
  <c r="BX8" i="47" a="1"/>
  <c r="BX8" i="47" s="1"/>
  <c r="BX30" i="47" a="1"/>
  <c r="BX30" i="47" s="1"/>
  <c r="BX25" i="47" a="1"/>
  <c r="BX25" i="47" s="1"/>
  <c r="R21" i="39"/>
  <c r="BW35" i="47" a="1"/>
  <c r="BW35" i="47" s="1"/>
  <c r="AP30" i="45"/>
  <c r="BX35" i="47" a="1"/>
  <c r="BX35" i="47" s="1"/>
  <c r="K32" i="45"/>
  <c r="J30" i="45"/>
  <c r="V21" i="41"/>
  <c r="V21" i="39"/>
  <c r="R28" i="45"/>
  <c r="K30" i="45"/>
  <c r="T21" i="39"/>
  <c r="T28" i="45"/>
  <c r="H30" i="45"/>
  <c r="BW25" i="47" a="1"/>
  <c r="BW25" i="47" s="1"/>
  <c r="BX6" i="47" a="1"/>
  <c r="BX6" i="47" s="1"/>
  <c r="BX7" i="47" a="1"/>
  <c r="BX7" i="47" s="1"/>
  <c r="BW6" i="47" a="1"/>
  <c r="BW6" i="47" s="1"/>
  <c r="AP31" i="45"/>
  <c r="H31" i="45"/>
  <c r="J31" i="45"/>
  <c r="H32" i="45"/>
  <c r="G32" i="45"/>
  <c r="J32" i="45"/>
  <c r="BY19" i="51" a="1"/>
  <c r="BY19" i="51" s="1"/>
  <c r="V27" i="45"/>
  <c r="AQ27" i="45"/>
  <c r="CB19" i="51" a="1"/>
  <c r="CB19" i="51" s="1"/>
  <c r="CB22" i="51" a="1"/>
  <c r="CB22" i="51" s="1"/>
  <c r="CH25" i="51" a="1"/>
  <c r="CH25" i="51" s="1"/>
  <c r="BY16" i="51" a="1"/>
  <c r="BY16" i="51" s="1"/>
  <c r="BZ12" i="51" a="1"/>
  <c r="BZ12" i="51" s="1"/>
  <c r="BY34" i="51" a="1"/>
  <c r="BY34" i="51" s="1"/>
  <c r="CG19" i="51" a="1"/>
  <c r="CG19" i="51" s="1"/>
  <c r="BY11" i="51" a="1"/>
  <c r="BY11" i="51" s="1"/>
  <c r="BZ14" i="51" a="1"/>
  <c r="BZ14" i="51" s="1"/>
  <c r="CB17" i="51" a="1"/>
  <c r="CB17" i="51" s="1"/>
  <c r="BY27" i="51" a="1"/>
  <c r="BY27" i="51" s="1"/>
  <c r="CA9" i="51" a="1"/>
  <c r="CA9" i="51" s="1"/>
  <c r="BZ31" i="51" a="1"/>
  <c r="BZ31" i="51" s="1"/>
  <c r="CB13" i="51" a="1"/>
  <c r="CB13" i="51" s="1"/>
  <c r="CB33" i="51" a="1"/>
  <c r="CB33" i="51" s="1"/>
  <c r="CB8" i="49" a="1"/>
  <c r="CB8" i="49" s="1"/>
  <c r="AQ22" i="41"/>
  <c r="AP27" i="45"/>
  <c r="K27" i="45"/>
  <c r="G27" i="45"/>
  <c r="V22" i="41"/>
  <c r="T22" i="41"/>
  <c r="V18" i="45"/>
  <c r="R18" i="45"/>
  <c r="U22" i="45"/>
  <c r="AX22" i="45" s="1"/>
  <c r="AP28" i="54" a="1"/>
  <c r="AP28" i="54" s="1"/>
  <c r="T26" i="45"/>
  <c r="CA23" i="51" a="1"/>
  <c r="CA23" i="51" s="1"/>
  <c r="V26" i="45"/>
  <c r="R26" i="45"/>
  <c r="AV21" i="39" a="1"/>
  <c r="AV21" i="39" s="1"/>
  <c r="AU21" i="39" a="1"/>
  <c r="AU21" i="39" s="1"/>
  <c r="AV22" i="39" a="1"/>
  <c r="AV22" i="39" s="1"/>
  <c r="AT22" i="39" s="1"/>
  <c r="AU22" i="39" a="1"/>
  <c r="AU22" i="39" s="1"/>
  <c r="CA35" i="51" a="1"/>
  <c r="CA35" i="51" s="1"/>
  <c r="CA8" i="51" a="1"/>
  <c r="CA8" i="51" s="1"/>
  <c r="CG26" i="51" a="1"/>
  <c r="CG26" i="51" s="1"/>
  <c r="CH12" i="51" a="1"/>
  <c r="CH12" i="51" s="1"/>
  <c r="CG14" i="51" a="1"/>
  <c r="CG14" i="51" s="1"/>
  <c r="CG12" i="51" a="1"/>
  <c r="CG12" i="51" s="1"/>
  <c r="CG17" i="51" a="1"/>
  <c r="CG17" i="51" s="1"/>
  <c r="CG35" i="51" a="1"/>
  <c r="CG35" i="51" s="1"/>
  <c r="CH21" i="51" a="1"/>
  <c r="CH21" i="51" s="1"/>
  <c r="CH29" i="51" a="1"/>
  <c r="CH29" i="51" s="1"/>
  <c r="CG8" i="51" a="1"/>
  <c r="CG8" i="51" s="1"/>
  <c r="P7" i="51"/>
  <c r="CG9" i="51" a="1"/>
  <c r="CG9" i="51" s="1"/>
  <c r="P10" i="51"/>
  <c r="CH8" i="51" a="1"/>
  <c r="CH8" i="51" s="1"/>
  <c r="CH24" i="51" a="1"/>
  <c r="CH24" i="51" s="1"/>
  <c r="CH7" i="51" a="1"/>
  <c r="CH7" i="51" s="1"/>
  <c r="CG34" i="51" a="1"/>
  <c r="CG34" i="51" s="1"/>
  <c r="CG30" i="51" a="1"/>
  <c r="CG30" i="51" s="1"/>
  <c r="CG6" i="51" a="1"/>
  <c r="CG6" i="51" s="1"/>
  <c r="CH9" i="51" a="1"/>
  <c r="CH9" i="51" s="1"/>
  <c r="CG23" i="51" a="1"/>
  <c r="CG23" i="51" s="1"/>
  <c r="CH13" i="51" a="1"/>
  <c r="CH13" i="51" s="1"/>
  <c r="CH6" i="51" a="1"/>
  <c r="CH6" i="51" s="1"/>
  <c r="P11" i="51"/>
  <c r="CG28" i="51" a="1"/>
  <c r="CG28" i="51" s="1"/>
  <c r="P9" i="51"/>
  <c r="P6" i="51"/>
  <c r="CH11" i="51" a="1"/>
  <c r="CH11" i="51" s="1"/>
  <c r="P8" i="51"/>
  <c r="CH30" i="51" a="1"/>
  <c r="CH30" i="51" s="1"/>
  <c r="CG33" i="51" a="1"/>
  <c r="CG33" i="51" s="1"/>
  <c r="CH34" i="51" a="1"/>
  <c r="CH34" i="51" s="1"/>
  <c r="CH28" i="51" a="1"/>
  <c r="CH28" i="51" s="1"/>
  <c r="CG15" i="51" a="1"/>
  <c r="CG15" i="51" s="1"/>
  <c r="CH33" i="51" a="1"/>
  <c r="CH33" i="51" s="1"/>
  <c r="CH31" i="51" a="1"/>
  <c r="CH31" i="51" s="1"/>
  <c r="CG22" i="51" a="1"/>
  <c r="CG22" i="51" s="1"/>
  <c r="CG18" i="51" a="1"/>
  <c r="CG18" i="51" s="1"/>
  <c r="CH32" i="51" a="1"/>
  <c r="CH32" i="51" s="1"/>
  <c r="CH19" i="51" a="1"/>
  <c r="CH19" i="51" s="1"/>
  <c r="CG11" i="51" a="1"/>
  <c r="CG11" i="51" s="1"/>
  <c r="CG7" i="51" a="1"/>
  <c r="CG7" i="51" s="1"/>
  <c r="CH14" i="51" a="1"/>
  <c r="CH14" i="51" s="1"/>
  <c r="CG16" i="51" a="1"/>
  <c r="CG16" i="51" s="1"/>
  <c r="CG10" i="51" a="1"/>
  <c r="CG10" i="51" s="1"/>
  <c r="CG27" i="51" a="1"/>
  <c r="CG27" i="51" s="1"/>
  <c r="CG32" i="51" a="1"/>
  <c r="CG32" i="51" s="1"/>
  <c r="CG20" i="51" a="1"/>
  <c r="CG20" i="51" s="1"/>
  <c r="CG13" i="51" a="1"/>
  <c r="CG13" i="51" s="1"/>
  <c r="CH26" i="51" a="1"/>
  <c r="CH26" i="51" s="1"/>
  <c r="CH20" i="51" a="1"/>
  <c r="CH20" i="51" s="1"/>
  <c r="CG31" i="51" a="1"/>
  <c r="CG31" i="51" s="1"/>
  <c r="CH35" i="51" a="1"/>
  <c r="CH35" i="51" s="1"/>
  <c r="CH16" i="51" a="1"/>
  <c r="CH16" i="51" s="1"/>
  <c r="CH22" i="51" a="1"/>
  <c r="CH22" i="51" s="1"/>
  <c r="CG21" i="51" a="1"/>
  <c r="CG21" i="51" s="1"/>
  <c r="CH27" i="51" a="1"/>
  <c r="CH27" i="51" s="1"/>
  <c r="CH18" i="51" a="1"/>
  <c r="CH18" i="51" s="1"/>
  <c r="CG25" i="51" a="1"/>
  <c r="CG25" i="51" s="1"/>
  <c r="CH10" i="51" a="1"/>
  <c r="CH10" i="51" s="1"/>
  <c r="BZ27" i="51" a="1"/>
  <c r="BZ27" i="51" s="1"/>
  <c r="BU5" i="51"/>
  <c r="BR5" i="51" s="1"/>
  <c r="CA25" i="51" a="1"/>
  <c r="CA25" i="51" s="1"/>
  <c r="BZ6" i="51" a="1"/>
  <c r="BZ6" i="51" s="1"/>
  <c r="BZ8" i="51" a="1"/>
  <c r="BZ8" i="51" s="1"/>
  <c r="CA6" i="51" a="1"/>
  <c r="CA6" i="51" s="1"/>
  <c r="BZ30" i="51" a="1"/>
  <c r="BZ30" i="51" s="1"/>
  <c r="BY6" i="51" a="1"/>
  <c r="BY6" i="51" s="1"/>
  <c r="BZ35" i="51" a="1"/>
  <c r="BZ35" i="51" s="1"/>
  <c r="CB25" i="51" a="1"/>
  <c r="CB25" i="51" s="1"/>
  <c r="CB8" i="51" a="1"/>
  <c r="CB8" i="51" s="1"/>
  <c r="BY35" i="51" a="1"/>
  <c r="BY35" i="51" s="1"/>
  <c r="BY7" i="51" a="1"/>
  <c r="BY7" i="51" s="1"/>
  <c r="CB6" i="51" a="1"/>
  <c r="CB6" i="51" s="1"/>
  <c r="CB30" i="51" a="1"/>
  <c r="CB30" i="51" s="1"/>
  <c r="CB7" i="51" a="1"/>
  <c r="CB7" i="51" s="1"/>
  <c r="BY30" i="51" a="1"/>
  <c r="BY30" i="51" s="1"/>
  <c r="BZ25" i="51" a="1"/>
  <c r="BZ25" i="51" s="1"/>
  <c r="CB35" i="51" a="1"/>
  <c r="CB35" i="51" s="1"/>
  <c r="BY8" i="51" a="1"/>
  <c r="BY8" i="51" s="1"/>
  <c r="CA7" i="51" a="1"/>
  <c r="CA7" i="51" s="1"/>
  <c r="BZ7" i="51" a="1"/>
  <c r="BZ7" i="51" s="1"/>
  <c r="BY25" i="51" a="1"/>
  <c r="BY25" i="51" s="1"/>
  <c r="T25" i="45"/>
  <c r="AS23" i="43"/>
  <c r="AS18" i="45"/>
  <c r="AU30" i="45" a="1"/>
  <c r="AU30" i="45" s="1"/>
  <c r="AS30" i="45" s="1"/>
  <c r="AQ19" i="45"/>
  <c r="R19" i="45"/>
  <c r="T19" i="45"/>
  <c r="V19" i="45"/>
  <c r="AV30" i="45" a="1"/>
  <c r="AV30" i="45" s="1"/>
  <c r="AT30" i="45" s="1"/>
  <c r="AV23" i="41" a="1"/>
  <c r="AV23" i="41" s="1"/>
  <c r="AT23" i="41" s="1"/>
  <c r="AU23" i="41" a="1"/>
  <c r="AU23" i="41" s="1"/>
  <c r="AS23" i="49"/>
  <c r="AU19" i="45" a="1"/>
  <c r="AU19" i="45" s="1"/>
  <c r="AS19" i="45" s="1"/>
  <c r="AU20" i="45" a="1"/>
  <c r="AU20" i="45" s="1"/>
  <c r="AV20" i="45" a="1"/>
  <c r="AV20" i="45" s="1"/>
  <c r="AV19" i="45" a="1"/>
  <c r="AV19" i="45" s="1"/>
  <c r="AT19" i="45" s="1"/>
  <c r="R30" i="45"/>
  <c r="AU22" i="41" a="1"/>
  <c r="AU22" i="41" s="1"/>
  <c r="AV22" i="41" a="1"/>
  <c r="AV22" i="41" s="1"/>
  <c r="AU29" i="45" a="1"/>
  <c r="AU29" i="45" s="1"/>
  <c r="AS29" i="45" s="1"/>
  <c r="AV25" i="45" a="1"/>
  <c r="AV25" i="45" s="1"/>
  <c r="AT25" i="45" s="1"/>
  <c r="AU25" i="45" a="1"/>
  <c r="AU25" i="45" s="1"/>
  <c r="AS25" i="45" s="1"/>
  <c r="AU24" i="45" a="1"/>
  <c r="AU24" i="45" s="1"/>
  <c r="AS24" i="45" s="1"/>
  <c r="AV24" i="45" a="1"/>
  <c r="AV24" i="45" s="1"/>
  <c r="AT24" i="45" s="1"/>
  <c r="V30" i="45"/>
  <c r="T30" i="45"/>
  <c r="R25" i="45"/>
  <c r="V25" i="45"/>
  <c r="R24" i="45"/>
  <c r="T24" i="45"/>
  <c r="V24" i="45"/>
  <c r="AR31" i="41"/>
  <c r="C30" i="41"/>
  <c r="T29" i="45"/>
  <c r="V29" i="45"/>
  <c r="R29" i="45"/>
  <c r="AQ29" i="45"/>
  <c r="AR32" i="43"/>
  <c r="C32" i="43" s="1"/>
  <c r="C31" i="43"/>
  <c r="AR32" i="39"/>
  <c r="C32" i="39" s="1"/>
  <c r="C31" i="39"/>
  <c r="AD28" i="58"/>
  <c r="AD26" i="58"/>
  <c r="AG26" i="58"/>
  <c r="AD27" i="58"/>
  <c r="T23" i="58"/>
  <c r="T21" i="58"/>
  <c r="W21" i="58"/>
  <c r="T22" i="58"/>
  <c r="O13" i="58"/>
  <c r="O11" i="58"/>
  <c r="O12" i="58"/>
  <c r="R11" i="58"/>
  <c r="R36" i="58"/>
  <c r="O37" i="58"/>
  <c r="AG32" i="58"/>
  <c r="O36" i="58"/>
  <c r="AD31" i="58"/>
  <c r="O38" i="58"/>
  <c r="AG31" i="58"/>
  <c r="AD32" i="58"/>
  <c r="AB17" i="58"/>
  <c r="Y18" i="58"/>
  <c r="Y16" i="58"/>
  <c r="Y17" i="58"/>
  <c r="BR5" i="55"/>
  <c r="W37" i="58"/>
  <c r="T36" i="58"/>
  <c r="T38" i="58"/>
  <c r="T37" i="58"/>
  <c r="W36" i="58"/>
  <c r="O31" i="58"/>
  <c r="O32" i="58"/>
  <c r="R32" i="58"/>
  <c r="O33" i="58"/>
  <c r="R31" i="58"/>
  <c r="T31" i="58"/>
  <c r="T33" i="58"/>
  <c r="W31" i="58"/>
  <c r="W32" i="58"/>
  <c r="T32" i="58"/>
  <c r="J38" i="58"/>
  <c r="J37" i="58"/>
  <c r="M37" i="58"/>
  <c r="M36" i="58"/>
  <c r="J36" i="58"/>
  <c r="AP13" i="58" a="1"/>
  <c r="AP13" i="58" s="1"/>
  <c r="AP23" i="58" a="1"/>
  <c r="AP23" i="58" s="1"/>
  <c r="AP18" i="58" a="1"/>
  <c r="AP18" i="58" s="1"/>
  <c r="AD23" i="58"/>
  <c r="AG22" i="58"/>
  <c r="AD21" i="58"/>
  <c r="AD22" i="58"/>
  <c r="AG21" i="58"/>
  <c r="Y36" i="58"/>
  <c r="AB37" i="58"/>
  <c r="Y37" i="58"/>
  <c r="AB36" i="58"/>
  <c r="Y38" i="58"/>
  <c r="T17" i="58"/>
  <c r="W16" i="58"/>
  <c r="T16" i="58"/>
  <c r="T18" i="58"/>
  <c r="W17" i="58"/>
  <c r="O16" i="58"/>
  <c r="O18" i="58"/>
  <c r="O17" i="58"/>
  <c r="R16" i="58"/>
  <c r="R17" i="58"/>
  <c r="E21" i="58"/>
  <c r="E23" i="58"/>
  <c r="H22" i="58"/>
  <c r="H21" i="58"/>
  <c r="E22" i="58"/>
  <c r="J31" i="58"/>
  <c r="M32" i="58"/>
  <c r="J32" i="58"/>
  <c r="M31" i="58"/>
  <c r="J33" i="58"/>
  <c r="O27" i="58"/>
  <c r="O28" i="58"/>
  <c r="R26" i="58"/>
  <c r="R27" i="58"/>
  <c r="O26" i="58"/>
  <c r="M11" i="58"/>
  <c r="J11" i="58"/>
  <c r="J13" i="58"/>
  <c r="M12" i="58"/>
  <c r="J12" i="58"/>
  <c r="AR31" i="45"/>
  <c r="C30" i="45"/>
  <c r="T23" i="45"/>
  <c r="R23" i="45"/>
  <c r="AQ23" i="45"/>
  <c r="V23" i="45"/>
  <c r="BZ30" i="47" a="1"/>
  <c r="BZ30" i="47" s="1"/>
  <c r="BY8" i="47" a="1"/>
  <c r="BY8" i="47" s="1"/>
  <c r="CA8" i="47" a="1"/>
  <c r="CA8" i="47" s="1"/>
  <c r="BY35" i="47" a="1"/>
  <c r="BY35" i="47" s="1"/>
  <c r="CB35" i="47" a="1"/>
  <c r="CB35" i="47" s="1"/>
  <c r="BR5" i="47"/>
  <c r="BY30" i="49" a="1"/>
  <c r="BY30" i="49" s="1"/>
  <c r="BZ7" i="49" a="1"/>
  <c r="BZ7" i="49" s="1"/>
  <c r="CB15" i="49" a="1"/>
  <c r="CB15" i="49" s="1"/>
  <c r="CA30" i="49" a="1"/>
  <c r="CA30" i="49" s="1"/>
  <c r="BY8" i="49" a="1"/>
  <c r="BY8" i="49" s="1"/>
  <c r="BZ30" i="49" a="1"/>
  <c r="BZ30" i="49" s="1"/>
  <c r="CB30" i="49" a="1"/>
  <c r="CB30" i="49" s="1"/>
  <c r="BY25" i="49" a="1"/>
  <c r="BY25" i="49" s="1"/>
  <c r="BY7" i="47" a="1"/>
  <c r="BY7" i="47" s="1"/>
  <c r="BY25" i="47" a="1"/>
  <c r="BY25" i="47" s="1"/>
  <c r="BY30" i="47" a="1"/>
  <c r="BY30" i="47" s="1"/>
  <c r="CB7" i="47" a="1"/>
  <c r="CB7" i="47" s="1"/>
  <c r="CB8" i="47" a="1"/>
  <c r="CB8" i="47" s="1"/>
  <c r="CA30" i="47" a="1"/>
  <c r="CA30" i="47" s="1"/>
  <c r="CA7" i="47" a="1"/>
  <c r="CA7" i="47" s="1"/>
  <c r="CB30" i="47" a="1"/>
  <c r="CB30" i="47" s="1"/>
  <c r="BZ25" i="47" a="1"/>
  <c r="BZ25" i="47" s="1"/>
  <c r="CB6" i="47" a="1"/>
  <c r="CB6" i="47" s="1"/>
  <c r="BY6" i="47" a="1"/>
  <c r="BY6" i="47" s="1"/>
  <c r="CA35" i="47" a="1"/>
  <c r="CA35" i="47" s="1"/>
  <c r="CB25" i="47" a="1"/>
  <c r="CB25" i="47" s="1"/>
  <c r="BZ7" i="47" a="1"/>
  <c r="BZ7" i="47" s="1"/>
  <c r="CA25" i="47" a="1"/>
  <c r="CA25" i="47" s="1"/>
  <c r="BZ6" i="47" a="1"/>
  <c r="BZ6" i="47" s="1"/>
  <c r="CA6" i="47" a="1"/>
  <c r="CA6" i="47" s="1"/>
  <c r="BZ8" i="47" a="1"/>
  <c r="BZ8" i="47" s="1"/>
  <c r="BZ35" i="47" a="1"/>
  <c r="BZ35" i="47" s="1"/>
  <c r="BZ8" i="49" a="1"/>
  <c r="BZ8" i="49" s="1"/>
  <c r="BZ25" i="49" a="1"/>
  <c r="BZ25" i="49" s="1"/>
  <c r="CA8" i="49" a="1"/>
  <c r="CA8" i="49" s="1"/>
  <c r="CB7" i="49" a="1"/>
  <c r="CB7" i="49" s="1"/>
  <c r="BY35" i="49" a="1"/>
  <c r="BY35" i="49" s="1"/>
  <c r="BY6" i="49" a="1"/>
  <c r="BY6" i="49" s="1"/>
  <c r="CA35" i="49" a="1"/>
  <c r="CA35" i="49" s="1"/>
  <c r="BZ6" i="49" a="1"/>
  <c r="BZ6" i="49" s="1"/>
  <c r="CB6" i="49" a="1"/>
  <c r="CB6" i="49" s="1"/>
  <c r="CB35" i="49" a="1"/>
  <c r="CB35" i="49" s="1"/>
  <c r="CA6" i="49" a="1"/>
  <c r="CA6" i="49" s="1"/>
  <c r="BZ35" i="49" a="1"/>
  <c r="BZ35" i="49" s="1"/>
  <c r="CA25" i="49" a="1"/>
  <c r="CA25" i="49" s="1"/>
  <c r="BY7" i="49" a="1"/>
  <c r="BY7" i="49" s="1"/>
  <c r="CA7" i="49" a="1"/>
  <c r="CA7" i="49" s="1"/>
  <c r="CB25" i="49" a="1"/>
  <c r="CB25" i="49" s="1"/>
  <c r="R12" i="56" l="1"/>
  <c r="CF17" i="53"/>
  <c r="AA20" i="54" s="1"/>
  <c r="R11" i="56"/>
  <c r="O12" i="56"/>
  <c r="O13" i="56"/>
  <c r="U7" i="53"/>
  <c r="J37" i="56"/>
  <c r="M37" i="56"/>
  <c r="M36" i="56"/>
  <c r="J36" i="56"/>
  <c r="CF22" i="53"/>
  <c r="Z26" i="54" s="1"/>
  <c r="CF16" i="53"/>
  <c r="AF23" i="54" s="1"/>
  <c r="CF27" i="53"/>
  <c r="CE32" i="53"/>
  <c r="CF9" i="53"/>
  <c r="CF28" i="53"/>
  <c r="CC34" i="53"/>
  <c r="CE34" i="53" s="1"/>
  <c r="V8" i="53"/>
  <c r="CC23" i="53"/>
  <c r="CD23" i="53" s="1"/>
  <c r="CC10" i="53"/>
  <c r="CC20" i="53"/>
  <c r="CE20" i="53" s="1"/>
  <c r="CE22" i="53"/>
  <c r="CF31" i="53"/>
  <c r="AA35" i="54" s="1"/>
  <c r="CE31" i="53"/>
  <c r="CD21" i="53"/>
  <c r="CF29" i="53"/>
  <c r="CH6" i="49" a="1"/>
  <c r="CH6" i="49" s="1"/>
  <c r="CF23" i="53"/>
  <c r="O25" i="54" s="1"/>
  <c r="CC15" i="53"/>
  <c r="CD15" i="53" s="1"/>
  <c r="CF26" i="53"/>
  <c r="AD30" i="54" s="1"/>
  <c r="BZ13" i="49" a="1"/>
  <c r="BZ13" i="49" s="1"/>
  <c r="CC14" i="53"/>
  <c r="CE14" i="53" s="1"/>
  <c r="CA29" i="49" a="1"/>
  <c r="CA29" i="49" s="1"/>
  <c r="BZ14" i="49" a="1"/>
  <c r="BZ14" i="49" s="1"/>
  <c r="BZ15" i="49" a="1"/>
  <c r="BZ15" i="49" s="1"/>
  <c r="BZ20" i="49" a="1"/>
  <c r="BZ20" i="49" s="1"/>
  <c r="BY15" i="49" a="1"/>
  <c r="BY15" i="49" s="1"/>
  <c r="BY20" i="49" a="1"/>
  <c r="BY20" i="49" s="1"/>
  <c r="AP20" i="41"/>
  <c r="F22" i="41" s="1"/>
  <c r="G22" i="41" s="1"/>
  <c r="CD33" i="53"/>
  <c r="CD28" i="53"/>
  <c r="CF12" i="53"/>
  <c r="Y15" i="54" s="1"/>
  <c r="CF25" i="53"/>
  <c r="AB26" i="60"/>
  <c r="AB27" i="60"/>
  <c r="V7" i="53"/>
  <c r="CC16" i="53"/>
  <c r="CD16" i="53" s="1"/>
  <c r="B37" i="57"/>
  <c r="Q37" i="57" s="1"/>
  <c r="E42" i="57"/>
  <c r="M41" i="57"/>
  <c r="AE41" i="57" s="1"/>
  <c r="G41" i="57"/>
  <c r="C40" i="57"/>
  <c r="O40" i="57"/>
  <c r="E40" i="57"/>
  <c r="N42" i="57"/>
  <c r="G40" i="57"/>
  <c r="G42" i="57"/>
  <c r="C41" i="57"/>
  <c r="E41" i="57"/>
  <c r="P40" i="57"/>
  <c r="N38" i="55"/>
  <c r="E42" i="55"/>
  <c r="P42" i="55"/>
  <c r="C41" i="55"/>
  <c r="O40" i="55"/>
  <c r="G41" i="55"/>
  <c r="N41" i="55"/>
  <c r="N40" i="55"/>
  <c r="N42" i="55"/>
  <c r="M42" i="55"/>
  <c r="AE42" i="55" s="1"/>
  <c r="C42" i="55"/>
  <c r="P40" i="55"/>
  <c r="M40" i="55"/>
  <c r="AE40" i="55" s="1"/>
  <c r="O42" i="55"/>
  <c r="M41" i="55"/>
  <c r="AE41" i="55" s="1"/>
  <c r="E40" i="55"/>
  <c r="C40" i="55"/>
  <c r="G42" i="55"/>
  <c r="O41" i="55"/>
  <c r="E41" i="55"/>
  <c r="G40" i="55"/>
  <c r="P41" i="55"/>
  <c r="P41" i="57"/>
  <c r="O42" i="57"/>
  <c r="C42" i="57"/>
  <c r="M42" i="57"/>
  <c r="AE42" i="57" s="1"/>
  <c r="N40" i="57"/>
  <c r="N41" i="57"/>
  <c r="O41" i="57"/>
  <c r="P42" i="57"/>
  <c r="M40" i="57"/>
  <c r="AE40" i="57" s="1"/>
  <c r="Y28" i="60"/>
  <c r="Y26" i="60"/>
  <c r="T6" i="53"/>
  <c r="AM15" i="54" s="1" a="1"/>
  <c r="AM15" i="54" s="1"/>
  <c r="F21" i="41"/>
  <c r="H21" i="41" s="1"/>
  <c r="G20" i="41"/>
  <c r="H20" i="41"/>
  <c r="CD10" i="53"/>
  <c r="CC17" i="53"/>
  <c r="CE17" i="53" s="1"/>
  <c r="CD31" i="53"/>
  <c r="CF18" i="53"/>
  <c r="U21" i="54" s="1"/>
  <c r="CE18" i="53"/>
  <c r="CC24" i="53"/>
  <c r="CE24" i="53" s="1"/>
  <c r="BX29" i="47" a="1"/>
  <c r="BX29" i="47" s="1"/>
  <c r="T9" i="53"/>
  <c r="X9" i="53" s="1"/>
  <c r="S11" i="53"/>
  <c r="S9" i="53"/>
  <c r="CF14" i="53"/>
  <c r="P16" i="54" s="1"/>
  <c r="CC12" i="53"/>
  <c r="CE12" i="53" s="1"/>
  <c r="CF10" i="53"/>
  <c r="J10" i="54" s="1"/>
  <c r="U9" i="53"/>
  <c r="U11" i="53"/>
  <c r="BY14" i="47" a="1"/>
  <c r="BY14" i="47" s="1"/>
  <c r="BY29" i="47" a="1"/>
  <c r="BY29" i="47" s="1"/>
  <c r="CB14" i="47" a="1"/>
  <c r="CB14" i="47" s="1"/>
  <c r="BZ15" i="47" a="1"/>
  <c r="BZ15" i="47" s="1"/>
  <c r="BZ14" i="47" a="1"/>
  <c r="BZ14" i="47" s="1"/>
  <c r="CA31" i="47" a="1"/>
  <c r="CA31" i="47" s="1"/>
  <c r="CB15" i="47" a="1"/>
  <c r="CB15" i="47" s="1"/>
  <c r="BY15" i="47" a="1"/>
  <c r="BY15" i="47" s="1"/>
  <c r="BZ13" i="47" a="1"/>
  <c r="BZ13" i="47" s="1"/>
  <c r="BX9" i="47" a="1"/>
  <c r="BX9" i="47" s="1"/>
  <c r="AP23" i="60" a="1"/>
  <c r="AP23" i="60" s="1"/>
  <c r="J37" i="60"/>
  <c r="J38" i="60"/>
  <c r="M37" i="60"/>
  <c r="J36" i="60"/>
  <c r="M36" i="60"/>
  <c r="CC19" i="53"/>
  <c r="CE19" i="53" s="1"/>
  <c r="T11" i="53"/>
  <c r="X11" i="53" s="1"/>
  <c r="CF11" i="53"/>
  <c r="AF18" i="54" s="1"/>
  <c r="CF32" i="53"/>
  <c r="T35" i="54" s="1"/>
  <c r="CF21" i="53"/>
  <c r="AD25" i="54" s="1"/>
  <c r="CF34" i="53"/>
  <c r="K36" i="54" s="1"/>
  <c r="CC11" i="53"/>
  <c r="CD11" i="53" s="1"/>
  <c r="CE26" i="53"/>
  <c r="CC9" i="53"/>
  <c r="CD9" i="53" s="1"/>
  <c r="Y18" i="60"/>
  <c r="CD32" i="53"/>
  <c r="Y16" i="60"/>
  <c r="T7" i="53"/>
  <c r="CF24" i="53"/>
  <c r="L28" i="54" s="1"/>
  <c r="CD27" i="53"/>
  <c r="CA16" i="47" a="1"/>
  <c r="CA16" i="47" s="1"/>
  <c r="BY12" i="47" a="1"/>
  <c r="BY12" i="47" s="1"/>
  <c r="CH12" i="47" a="1"/>
  <c r="CH12" i="47" s="1"/>
  <c r="BZ10" i="47" a="1"/>
  <c r="BZ10" i="47" s="1"/>
  <c r="CB22" i="47" a="1"/>
  <c r="CB22" i="47" s="1"/>
  <c r="CF13" i="53"/>
  <c r="U16" i="54" s="1"/>
  <c r="T8" i="53"/>
  <c r="CE21" i="53"/>
  <c r="BY13" i="47" a="1"/>
  <c r="BY13" i="47" s="1"/>
  <c r="Q10" i="47"/>
  <c r="U10" i="47" s="1"/>
  <c r="CG8" i="47" a="1"/>
  <c r="CG8" i="47" s="1"/>
  <c r="BY10" i="47" a="1"/>
  <c r="BY10" i="47" s="1"/>
  <c r="BZ11" i="47" a="1"/>
  <c r="BZ11" i="47" s="1"/>
  <c r="BZ24" i="47" a="1"/>
  <c r="BZ24" i="47" s="1"/>
  <c r="CB32" i="47" a="1"/>
  <c r="CB32" i="47" s="1"/>
  <c r="BW28" i="47" a="1"/>
  <c r="BW28" i="47" s="1"/>
  <c r="BX14" i="47" a="1"/>
  <c r="BX14" i="47" s="1"/>
  <c r="BW18" i="47" a="1"/>
  <c r="BW18" i="47" s="1"/>
  <c r="U8" i="53"/>
  <c r="CE27" i="53"/>
  <c r="CF19" i="53"/>
  <c r="CB12" i="47" a="1"/>
  <c r="CB12" i="47" s="1"/>
  <c r="BY19" i="47" a="1"/>
  <c r="BY19" i="47" s="1"/>
  <c r="CB34" i="47" a="1"/>
  <c r="CB34" i="47" s="1"/>
  <c r="BZ29" i="47" a="1"/>
  <c r="BZ29" i="47" s="1"/>
  <c r="CA21" i="47" a="1"/>
  <c r="CA21" i="47" s="1"/>
  <c r="CA13" i="47" a="1"/>
  <c r="CA13" i="47" s="1"/>
  <c r="BX34" i="47" a="1"/>
  <c r="BX34" i="47" s="1"/>
  <c r="BX11" i="47" a="1"/>
  <c r="BX11" i="47" s="1"/>
  <c r="BX24" i="47" a="1"/>
  <c r="BX24" i="47" s="1"/>
  <c r="CH23" i="47" a="1"/>
  <c r="CH23" i="47" s="1"/>
  <c r="CH32" i="47" a="1"/>
  <c r="CH32" i="47" s="1"/>
  <c r="BZ34" i="47" a="1"/>
  <c r="BZ34" i="47" s="1"/>
  <c r="CB11" i="47" a="1"/>
  <c r="CB11" i="47" s="1"/>
  <c r="CG21" i="47" a="1"/>
  <c r="CG21" i="47" s="1"/>
  <c r="BW34" i="47" a="1"/>
  <c r="BW34" i="47" s="1"/>
  <c r="BW13" i="47" a="1"/>
  <c r="BW13" i="47" s="1"/>
  <c r="Q9" i="47"/>
  <c r="S9" i="47" s="1"/>
  <c r="BY34" i="47" a="1"/>
  <c r="BY34" i="47" s="1"/>
  <c r="CA24" i="47" a="1"/>
  <c r="CA24" i="47" s="1"/>
  <c r="BZ16" i="47" a="1"/>
  <c r="BZ16" i="47" s="1"/>
  <c r="CH18" i="47" a="1"/>
  <c r="CH18" i="47" s="1"/>
  <c r="BW19" i="47" a="1"/>
  <c r="BW19" i="47" s="1"/>
  <c r="CB13" i="47" a="1"/>
  <c r="CB13" i="47" s="1"/>
  <c r="CA34" i="47" a="1"/>
  <c r="CA34" i="47" s="1"/>
  <c r="CA9" i="47" a="1"/>
  <c r="CA9" i="47" s="1"/>
  <c r="BW11" i="47" a="1"/>
  <c r="BW11" i="47" s="1"/>
  <c r="BW29" i="47" a="1"/>
  <c r="BW29" i="47" s="1"/>
  <c r="BZ12" i="47" a="1"/>
  <c r="BZ12" i="47" s="1"/>
  <c r="CA12" i="47" a="1"/>
  <c r="CA12" i="47" s="1"/>
  <c r="BY11" i="47" a="1"/>
  <c r="BY11" i="47" s="1"/>
  <c r="CH27" i="47" a="1"/>
  <c r="CH27" i="47" s="1"/>
  <c r="BY31" i="47" a="1"/>
  <c r="BY31" i="47" s="1"/>
  <c r="BX12" i="47" a="1"/>
  <c r="BX12" i="47" s="1"/>
  <c r="CA11" i="47" a="1"/>
  <c r="CA11" i="47" s="1"/>
  <c r="CH10" i="47" a="1"/>
  <c r="CH10" i="47" s="1"/>
  <c r="BY28" i="47" a="1"/>
  <c r="BY28" i="47" s="1"/>
  <c r="CA29" i="47" a="1"/>
  <c r="CA29" i="47" s="1"/>
  <c r="CB20" i="47" a="1"/>
  <c r="CB20" i="47" s="1"/>
  <c r="BW24" i="47" a="1"/>
  <c r="BW24" i="47" s="1"/>
  <c r="BX27" i="47" a="1"/>
  <c r="BX27" i="47" s="1"/>
  <c r="BW12" i="47" a="1"/>
  <c r="BW12" i="47" s="1"/>
  <c r="CC12" i="47" s="1"/>
  <c r="CE12" i="47" s="1"/>
  <c r="CA23" i="47" a="1"/>
  <c r="CA23" i="47" s="1"/>
  <c r="CH24" i="47" a="1"/>
  <c r="CH24" i="47" s="1"/>
  <c r="CH26" i="47" a="1"/>
  <c r="CH26" i="47" s="1"/>
  <c r="CB17" i="47" a="1"/>
  <c r="CB17" i="47" s="1"/>
  <c r="BX13" i="47" a="1"/>
  <c r="BX13" i="47" s="1"/>
  <c r="CA15" i="47" a="1"/>
  <c r="CA15" i="47" s="1"/>
  <c r="CB28" i="47" a="1"/>
  <c r="CB28" i="47" s="1"/>
  <c r="CB29" i="47" a="1"/>
  <c r="CB29" i="47" s="1"/>
  <c r="BY24" i="47" a="1"/>
  <c r="BY24" i="47" s="1"/>
  <c r="CB24" i="47" a="1"/>
  <c r="CB24" i="47" s="1"/>
  <c r="CA27" i="47" a="1"/>
  <c r="CA27" i="47" s="1"/>
  <c r="O31" i="60"/>
  <c r="R32" i="60"/>
  <c r="O33" i="60"/>
  <c r="O32" i="60"/>
  <c r="R31" i="60"/>
  <c r="CD13" i="53"/>
  <c r="BW31" i="47" a="1"/>
  <c r="BW31" i="47" s="1"/>
  <c r="CC31" i="47" s="1"/>
  <c r="AT22" i="41"/>
  <c r="AB16" i="60"/>
  <c r="AB17" i="60"/>
  <c r="S6" i="53"/>
  <c r="V6" i="53"/>
  <c r="AK20" i="54" s="1" a="1"/>
  <c r="AK20" i="54" s="1"/>
  <c r="CG32" i="47" a="1"/>
  <c r="CG32" i="47" s="1"/>
  <c r="P9" i="47"/>
  <c r="CH17" i="47" a="1"/>
  <c r="CH17" i="47" s="1"/>
  <c r="CH14" i="47" a="1"/>
  <c r="CH14" i="47" s="1"/>
  <c r="BY21" i="47" a="1"/>
  <c r="BY21" i="47" s="1"/>
  <c r="CH9" i="47" a="1"/>
  <c r="CH9" i="47" s="1"/>
  <c r="BX23" i="47" a="1"/>
  <c r="BX23" i="47" s="1"/>
  <c r="BX10" i="47" a="1"/>
  <c r="BX10" i="47" s="1"/>
  <c r="BW10" i="47" a="1"/>
  <c r="BW10" i="47" s="1"/>
  <c r="BY13" i="49" a="1"/>
  <c r="BY13" i="49" s="1"/>
  <c r="CG14" i="47" a="1"/>
  <c r="CG14" i="47" s="1"/>
  <c r="CG18" i="47" a="1"/>
  <c r="CG18" i="47" s="1"/>
  <c r="BY16" i="47" a="1"/>
  <c r="BY16" i="47" s="1"/>
  <c r="BZ17" i="47" a="1"/>
  <c r="BZ17" i="47" s="1"/>
  <c r="BZ11" i="49" a="1"/>
  <c r="BZ11" i="49" s="1"/>
  <c r="BY17" i="47" a="1"/>
  <c r="BY17" i="47" s="1"/>
  <c r="CG29" i="47" a="1"/>
  <c r="CG29" i="47" s="1"/>
  <c r="CA18" i="47" a="1"/>
  <c r="CA18" i="47" s="1"/>
  <c r="CG19" i="47" a="1"/>
  <c r="CG19" i="47" s="1"/>
  <c r="CB16" i="47" a="1"/>
  <c r="CB16" i="47" s="1"/>
  <c r="CG31" i="47" a="1"/>
  <c r="CG31" i="47" s="1"/>
  <c r="BZ32" i="47" a="1"/>
  <c r="BZ32" i="47" s="1"/>
  <c r="CA26" i="47" a="1"/>
  <c r="CA26" i="47" s="1"/>
  <c r="BY9" i="47" a="1"/>
  <c r="BY9" i="47" s="1"/>
  <c r="CH16" i="47" a="1"/>
  <c r="CH16" i="47" s="1"/>
  <c r="BW26" i="47" a="1"/>
  <c r="BW26" i="47" s="1"/>
  <c r="CC26" i="47" s="1"/>
  <c r="BW15" i="47" a="1"/>
  <c r="BW15" i="47" s="1"/>
  <c r="CC15" i="47" s="1"/>
  <c r="BW33" i="47" a="1"/>
  <c r="BW33" i="47" s="1"/>
  <c r="Q11" i="47"/>
  <c r="U11" i="47" s="1"/>
  <c r="CA21" i="49" a="1"/>
  <c r="CA21" i="49" s="1"/>
  <c r="CA19" i="47" a="1"/>
  <c r="CA19" i="47" s="1"/>
  <c r="CA10" i="47" a="1"/>
  <c r="CA10" i="47" s="1"/>
  <c r="CB33" i="47" a="1"/>
  <c r="CB33" i="47" s="1"/>
  <c r="BY18" i="47" a="1"/>
  <c r="BY18" i="47" s="1"/>
  <c r="CG26" i="47" a="1"/>
  <c r="CG26" i="47" s="1"/>
  <c r="CH29" i="47" a="1"/>
  <c r="CH29" i="47" s="1"/>
  <c r="CH21" i="47" a="1"/>
  <c r="CH21" i="47" s="1"/>
  <c r="CG16" i="47" a="1"/>
  <c r="CG16" i="47" s="1"/>
  <c r="BZ9" i="47" a="1"/>
  <c r="BZ9" i="47" s="1"/>
  <c r="BZ27" i="47" a="1"/>
  <c r="BZ27" i="47" s="1"/>
  <c r="BW16" i="47" a="1"/>
  <c r="BW16" i="47" s="1"/>
  <c r="BX16" i="47" a="1"/>
  <c r="BX16" i="47" s="1"/>
  <c r="BX15" i="47" a="1"/>
  <c r="BX15" i="47" s="1"/>
  <c r="BZ29" i="49" a="1"/>
  <c r="BZ29" i="49" s="1"/>
  <c r="BZ24" i="49" a="1"/>
  <c r="BZ24" i="49" s="1"/>
  <c r="CB18" i="47" a="1"/>
  <c r="CB18" i="47" s="1"/>
  <c r="BZ18" i="47" a="1"/>
  <c r="BZ18" i="47" s="1"/>
  <c r="CG6" i="47" a="1"/>
  <c r="CG6" i="47" s="1"/>
  <c r="BZ33" i="47" a="1"/>
  <c r="BZ33" i="47" s="1"/>
  <c r="CG17" i="47" a="1"/>
  <c r="CG17" i="47" s="1"/>
  <c r="CH19" i="47" a="1"/>
  <c r="CH19" i="47" s="1"/>
  <c r="P11" i="47"/>
  <c r="BZ21" i="47" a="1"/>
  <c r="BZ21" i="47" s="1"/>
  <c r="BZ22" i="47" a="1"/>
  <c r="BZ22" i="47" s="1"/>
  <c r="CB26" i="47" a="1"/>
  <c r="CB26" i="47" s="1"/>
  <c r="BY27" i="47" a="1"/>
  <c r="BY27" i="47" s="1"/>
  <c r="CH34" i="47" a="1"/>
  <c r="CH34" i="47" s="1"/>
  <c r="BY33" i="47" a="1"/>
  <c r="BY33" i="47" s="1"/>
  <c r="BX26" i="47" a="1"/>
  <c r="BX26" i="47" s="1"/>
  <c r="BW17" i="47" a="1"/>
  <c r="BW17" i="47" s="1"/>
  <c r="BW32" i="47" a="1"/>
  <c r="BW32" i="47" s="1"/>
  <c r="CC32" i="47" s="1"/>
  <c r="Q6" i="47"/>
  <c r="V6" i="47" s="1"/>
  <c r="AK10" i="48" s="1" a="1"/>
  <c r="AK10" i="48" s="1"/>
  <c r="CH35" i="47" a="1"/>
  <c r="CH35" i="47" s="1"/>
  <c r="BX32" i="47" a="1"/>
  <c r="BX32" i="47" s="1"/>
  <c r="BX19" i="47" a="1"/>
  <c r="BX19" i="47" s="1"/>
  <c r="CH8" i="47" a="1"/>
  <c r="CH8" i="47" s="1"/>
  <c r="CG33" i="47" a="1"/>
  <c r="CG33" i="47" s="1"/>
  <c r="CG24" i="47" a="1"/>
  <c r="CG24" i="47" s="1"/>
  <c r="CA14" i="47" a="1"/>
  <c r="CA14" i="47" s="1"/>
  <c r="CG12" i="47" a="1"/>
  <c r="CG12" i="47" s="1"/>
  <c r="BY32" i="47" a="1"/>
  <c r="BY32" i="47" s="1"/>
  <c r="BZ19" i="47" a="1"/>
  <c r="BZ19" i="47" s="1"/>
  <c r="CH20" i="47" a="1"/>
  <c r="CH20" i="47" s="1"/>
  <c r="BX33" i="47" a="1"/>
  <c r="BX33" i="47" s="1"/>
  <c r="BX21" i="47" a="1"/>
  <c r="BX21" i="47" s="1"/>
  <c r="BW27" i="47" a="1"/>
  <c r="BW27" i="47" s="1"/>
  <c r="CC27" i="47" s="1"/>
  <c r="Q7" i="47"/>
  <c r="V7" i="47" s="1"/>
  <c r="BZ23" i="47" a="1"/>
  <c r="BZ23" i="47" s="1"/>
  <c r="CG30" i="47" a="1"/>
  <c r="CG30" i="47" s="1"/>
  <c r="BY26" i="47" a="1"/>
  <c r="BY26" i="47" s="1"/>
  <c r="CG7" i="47" a="1"/>
  <c r="CG7" i="47" s="1"/>
  <c r="CG9" i="47" a="1"/>
  <c r="CG9" i="47" s="1"/>
  <c r="CG15" i="47" a="1"/>
  <c r="CG15" i="47" s="1"/>
  <c r="CG10" i="47" a="1"/>
  <c r="CG10" i="47" s="1"/>
  <c r="CH15" i="47" a="1"/>
  <c r="CH15" i="47" s="1"/>
  <c r="CH33" i="47" a="1"/>
  <c r="CH33" i="47" s="1"/>
  <c r="CH25" i="47" a="1"/>
  <c r="CH25" i="47" s="1"/>
  <c r="BZ31" i="47" a="1"/>
  <c r="BZ31" i="47" s="1"/>
  <c r="CG20" i="47" a="1"/>
  <c r="CG20" i="47" s="1"/>
  <c r="BW20" i="47" a="1"/>
  <c r="BW20" i="47" s="1"/>
  <c r="BX20" i="47" a="1"/>
  <c r="BX20" i="47" s="1"/>
  <c r="BW23" i="47" a="1"/>
  <c r="BW23" i="47" s="1"/>
  <c r="CB23" i="47" a="1"/>
  <c r="CB23" i="47" s="1"/>
  <c r="CB21" i="47" a="1"/>
  <c r="CB21" i="47" s="1"/>
  <c r="CH31" i="47" a="1"/>
  <c r="CH31" i="47" s="1"/>
  <c r="CH28" i="47" a="1"/>
  <c r="CH28" i="47" s="1"/>
  <c r="BZ28" i="47" a="1"/>
  <c r="BZ28" i="47" s="1"/>
  <c r="CG25" i="47" a="1"/>
  <c r="CG25" i="47" s="1"/>
  <c r="CA33" i="47" a="1"/>
  <c r="CA33" i="47" s="1"/>
  <c r="CA24" i="49" a="1"/>
  <c r="CA24" i="49" s="1"/>
  <c r="CA17" i="47" a="1"/>
  <c r="CA17" i="47" s="1"/>
  <c r="CG34" i="47" a="1"/>
  <c r="CG34" i="47" s="1"/>
  <c r="CB19" i="47" a="1"/>
  <c r="CB19" i="47" s="1"/>
  <c r="CF19" i="47" s="1"/>
  <c r="CB31" i="47" a="1"/>
  <c r="CB31" i="47" s="1"/>
  <c r="CA20" i="47" a="1"/>
  <c r="CA20" i="47" s="1"/>
  <c r="CA22" i="47" a="1"/>
  <c r="CA22" i="47" s="1"/>
  <c r="BZ20" i="47" a="1"/>
  <c r="BZ20" i="47" s="1"/>
  <c r="CA32" i="47" a="1"/>
  <c r="CA32" i="47" s="1"/>
  <c r="BW21" i="47" a="1"/>
  <c r="BW21" i="47" s="1"/>
  <c r="CC21" i="47" s="1"/>
  <c r="BX31" i="47" a="1"/>
  <c r="BX31" i="47" s="1"/>
  <c r="BW14" i="47" a="1"/>
  <c r="BW14" i="47" s="1"/>
  <c r="BX17" i="47" a="1"/>
  <c r="BX17" i="47" s="1"/>
  <c r="CH11" i="47" a="1"/>
  <c r="CH11" i="47" s="1"/>
  <c r="CH30" i="47" a="1"/>
  <c r="CH30" i="47" s="1"/>
  <c r="CB29" i="49" a="1"/>
  <c r="CB29" i="49" s="1"/>
  <c r="CG23" i="47" a="1"/>
  <c r="CG23" i="47" s="1"/>
  <c r="CH13" i="47" a="1"/>
  <c r="CH13" i="47" s="1"/>
  <c r="CG22" i="47" a="1"/>
  <c r="CG22" i="47" s="1"/>
  <c r="CB10" i="47" a="1"/>
  <c r="CB10" i="47" s="1"/>
  <c r="CF10" i="47" s="1"/>
  <c r="K11" i="48" s="1"/>
  <c r="J12" i="48" s="1"/>
  <c r="CA27" i="49" a="1"/>
  <c r="CA27" i="49" s="1"/>
  <c r="P7" i="47"/>
  <c r="P10" i="47"/>
  <c r="CG13" i="47" a="1"/>
  <c r="CG13" i="47" s="1"/>
  <c r="CA28" i="47" a="1"/>
  <c r="CA28" i="47" s="1"/>
  <c r="CH6" i="47" a="1"/>
  <c r="CH6" i="47" s="1"/>
  <c r="CG11" i="47" a="1"/>
  <c r="CG11" i="47" s="1"/>
  <c r="CG28" i="47" a="1"/>
  <c r="CG28" i="47" s="1"/>
  <c r="CB9" i="47" a="1"/>
  <c r="CB9" i="47" s="1"/>
  <c r="CB27" i="47" a="1"/>
  <c r="CB27" i="47" s="1"/>
  <c r="P8" i="47"/>
  <c r="BY20" i="47" a="1"/>
  <c r="BY20" i="47" s="1"/>
  <c r="BW9" i="47" a="1"/>
  <c r="BW9" i="47" s="1"/>
  <c r="BW22" i="47" a="1"/>
  <c r="BW22" i="47" s="1"/>
  <c r="CC22" i="47" s="1"/>
  <c r="BX22" i="47" a="1"/>
  <c r="BX22" i="47" s="1"/>
  <c r="Q8" i="47"/>
  <c r="V8" i="47" s="1"/>
  <c r="CG27" i="47" a="1"/>
  <c r="CG27" i="47" s="1"/>
  <c r="P6" i="47"/>
  <c r="BY23" i="47" a="1"/>
  <c r="BY23" i="47" s="1"/>
  <c r="CH22" i="47" a="1"/>
  <c r="CH22" i="47" s="1"/>
  <c r="BZ26" i="47" a="1"/>
  <c r="BZ26" i="47" s="1"/>
  <c r="CG35" i="47" a="1"/>
  <c r="CG35" i="47" s="1"/>
  <c r="BY22" i="47" a="1"/>
  <c r="BY22" i="47" s="1"/>
  <c r="CH7" i="47" a="1"/>
  <c r="CH7" i="47" s="1"/>
  <c r="BX28" i="47" a="1"/>
  <c r="BX28" i="47" s="1"/>
  <c r="CC17" i="47" s="1"/>
  <c r="BX18" i="47" a="1"/>
  <c r="BX18" i="47" s="1"/>
  <c r="CF35" i="53"/>
  <c r="E35" i="54" s="1"/>
  <c r="CF6" i="53"/>
  <c r="AF10" i="54" s="1"/>
  <c r="T10" i="53"/>
  <c r="X10" i="53" s="1"/>
  <c r="U10" i="53"/>
  <c r="S10" i="53"/>
  <c r="B37" i="59" a="1"/>
  <c r="CF20" i="53"/>
  <c r="E20" i="54" s="1"/>
  <c r="CE7" i="53"/>
  <c r="CD25" i="53"/>
  <c r="O28" i="60"/>
  <c r="O26" i="60"/>
  <c r="O27" i="60"/>
  <c r="R26" i="60"/>
  <c r="R27" i="60"/>
  <c r="CC30" i="53"/>
  <c r="CE30" i="53" s="1"/>
  <c r="O12" i="60"/>
  <c r="O11" i="60"/>
  <c r="O13" i="60"/>
  <c r="R11" i="60"/>
  <c r="R12" i="60"/>
  <c r="CD22" i="53"/>
  <c r="CC25" i="51"/>
  <c r="CE25" i="51" s="1"/>
  <c r="BW11" i="49" a="1"/>
  <c r="BW11" i="49" s="1"/>
  <c r="CD26" i="53"/>
  <c r="F20" i="45"/>
  <c r="AW20" i="45" s="1"/>
  <c r="AS20" i="45" s="1"/>
  <c r="AB36" i="60"/>
  <c r="Y37" i="60"/>
  <c r="Y38" i="60"/>
  <c r="AB37" i="60"/>
  <c r="Y36" i="60"/>
  <c r="CF30" i="53"/>
  <c r="G33" i="54" s="1"/>
  <c r="K20" i="43"/>
  <c r="F21" i="43"/>
  <c r="G20" i="43"/>
  <c r="H20" i="43"/>
  <c r="AW20" i="43"/>
  <c r="AS20" i="43" s="1"/>
  <c r="X20" i="43"/>
  <c r="W20" i="43" s="1"/>
  <c r="D20" i="43"/>
  <c r="E20" i="43" s="1"/>
  <c r="AP20" i="43"/>
  <c r="F22" i="43" s="1"/>
  <c r="AP22" i="43" s="1"/>
  <c r="W22" i="60"/>
  <c r="T22" i="60"/>
  <c r="T23" i="60"/>
  <c r="W21" i="60"/>
  <c r="T21" i="60"/>
  <c r="AD18" i="60"/>
  <c r="AG16" i="60"/>
  <c r="AD16" i="60"/>
  <c r="AD17" i="60"/>
  <c r="AG17" i="60"/>
  <c r="M31" i="60"/>
  <c r="J32" i="60"/>
  <c r="J33" i="60"/>
  <c r="M32" i="60"/>
  <c r="J31" i="60"/>
  <c r="AB21" i="60"/>
  <c r="AB22" i="60"/>
  <c r="Y22" i="60"/>
  <c r="Y21" i="60"/>
  <c r="Y23" i="60"/>
  <c r="AD27" i="60"/>
  <c r="AG27" i="60"/>
  <c r="AD26" i="60"/>
  <c r="AG26" i="60"/>
  <c r="AD28" i="60"/>
  <c r="AD21" i="60"/>
  <c r="AG22" i="60"/>
  <c r="AG21" i="60"/>
  <c r="AD23" i="60"/>
  <c r="AD22" i="60"/>
  <c r="T38" i="60"/>
  <c r="T37" i="60"/>
  <c r="W36" i="60"/>
  <c r="W37" i="60"/>
  <c r="T36" i="60"/>
  <c r="T31" i="60"/>
  <c r="T32" i="60"/>
  <c r="T33" i="60"/>
  <c r="W31" i="60"/>
  <c r="W32" i="60"/>
  <c r="J26" i="60"/>
  <c r="J27" i="60"/>
  <c r="M27" i="60"/>
  <c r="J28" i="60"/>
  <c r="M26" i="60"/>
  <c r="CB19" i="49" a="1"/>
  <c r="CB19" i="49" s="1"/>
  <c r="BX17" i="49" a="1"/>
  <c r="BX17" i="49" s="1"/>
  <c r="BY33" i="49" a="1"/>
  <c r="BY33" i="49" s="1"/>
  <c r="P9" i="49"/>
  <c r="CB12" i="49" a="1"/>
  <c r="CB12" i="49" s="1"/>
  <c r="CH30" i="49" a="1"/>
  <c r="CH30" i="49" s="1"/>
  <c r="CG20" i="49" a="1"/>
  <c r="CG20" i="49" s="1"/>
  <c r="BX24" i="49" a="1"/>
  <c r="BX24" i="49" s="1"/>
  <c r="BZ31" i="49" a="1"/>
  <c r="BZ31" i="49" s="1"/>
  <c r="CA12" i="49" a="1"/>
  <c r="CA12" i="49" s="1"/>
  <c r="CB24" i="49" a="1"/>
  <c r="CB24" i="49" s="1"/>
  <c r="BZ34" i="49" a="1"/>
  <c r="BZ34" i="49" s="1"/>
  <c r="CG28" i="49" a="1"/>
  <c r="CG28" i="49" s="1"/>
  <c r="CB11" i="49" a="1"/>
  <c r="CB11" i="49" s="1"/>
  <c r="BY12" i="49" a="1"/>
  <c r="BY12" i="49" s="1"/>
  <c r="BY11" i="49" a="1"/>
  <c r="BY11" i="49" s="1"/>
  <c r="BY19" i="49" a="1"/>
  <c r="BY19" i="49" s="1"/>
  <c r="CG15" i="49" a="1"/>
  <c r="CG15" i="49" s="1"/>
  <c r="BY24" i="49" a="1"/>
  <c r="BY24" i="49" s="1"/>
  <c r="BY29" i="49" a="1"/>
  <c r="BY29" i="49" s="1"/>
  <c r="BZ12" i="49" a="1"/>
  <c r="BZ12" i="49" s="1"/>
  <c r="BW29" i="49" a="1"/>
  <c r="BW29" i="49" s="1"/>
  <c r="BX34" i="49" a="1"/>
  <c r="BX34" i="49" s="1"/>
  <c r="CC11" i="49" s="1"/>
  <c r="CH25" i="49" a="1"/>
  <c r="CH25" i="49" s="1"/>
  <c r="CG18" i="49" a="1"/>
  <c r="CG18" i="49" s="1"/>
  <c r="CA34" i="49" a="1"/>
  <c r="CA34" i="49" s="1"/>
  <c r="CB34" i="49" a="1"/>
  <c r="CB34" i="49" s="1"/>
  <c r="CA11" i="49" a="1"/>
  <c r="CA11" i="49" s="1"/>
  <c r="CA13" i="49" a="1"/>
  <c r="CA13" i="49" s="1"/>
  <c r="CB13" i="49" a="1"/>
  <c r="CB13" i="49" s="1"/>
  <c r="BY34" i="49" a="1"/>
  <c r="BY34" i="49" s="1"/>
  <c r="BX12" i="49" a="1"/>
  <c r="BX12" i="49" s="1"/>
  <c r="BW34" i="49" a="1"/>
  <c r="BW34" i="49" s="1"/>
  <c r="CD7" i="53"/>
  <c r="BX14" i="49" a="1"/>
  <c r="BX14" i="49" s="1"/>
  <c r="D20" i="45"/>
  <c r="E20" i="45" s="1"/>
  <c r="X20" i="45"/>
  <c r="W20" i="45" s="1"/>
  <c r="D22" i="41"/>
  <c r="E22" i="41" s="1"/>
  <c r="X22" i="41"/>
  <c r="W22" i="41" s="1"/>
  <c r="X22" i="43"/>
  <c r="W22" i="43" s="1"/>
  <c r="D22" i="43"/>
  <c r="E22" i="43" s="1"/>
  <c r="G22" i="39"/>
  <c r="D22" i="39"/>
  <c r="E22" i="39" s="1"/>
  <c r="X22" i="39"/>
  <c r="W22" i="39" s="1"/>
  <c r="CE33" i="53"/>
  <c r="AL31" i="58" a="1"/>
  <c r="AL31" i="58" s="1"/>
  <c r="AL26" i="58" a="1"/>
  <c r="AL26" i="58" s="1"/>
  <c r="AL36" i="58" a="1"/>
  <c r="AL36" i="58" s="1"/>
  <c r="BX29" i="49" a="1"/>
  <c r="BX29" i="49" s="1"/>
  <c r="BX13" i="49" a="1"/>
  <c r="BX13" i="49" s="1"/>
  <c r="BW12" i="49" a="1"/>
  <c r="BW12" i="49" s="1"/>
  <c r="BW24" i="49" a="1"/>
  <c r="BW24" i="49" s="1"/>
  <c r="BW13" i="49" a="1"/>
  <c r="BW13" i="49" s="1"/>
  <c r="BX20" i="49" a="1"/>
  <c r="BX20" i="49" s="1"/>
  <c r="K21" i="39"/>
  <c r="H21" i="39"/>
  <c r="AS21" i="39"/>
  <c r="G21" i="39"/>
  <c r="AP21" i="39"/>
  <c r="F23" i="39" s="1"/>
  <c r="AW23" i="39" s="1"/>
  <c r="CD6" i="53"/>
  <c r="E25" i="54"/>
  <c r="G25" i="54"/>
  <c r="F26" i="54"/>
  <c r="G28" i="54"/>
  <c r="CE25" i="53"/>
  <c r="AQ20" i="45"/>
  <c r="V20" i="45"/>
  <c r="AT20" i="45"/>
  <c r="T20" i="45"/>
  <c r="U21" i="45"/>
  <c r="AX21" i="45" s="1"/>
  <c r="R20" i="45"/>
  <c r="CD8" i="53"/>
  <c r="CE8" i="53"/>
  <c r="CE35" i="53"/>
  <c r="CD35" i="53"/>
  <c r="AA13" i="54"/>
  <c r="Z11" i="54"/>
  <c r="AA10" i="54"/>
  <c r="Y10" i="54"/>
  <c r="T10" i="54"/>
  <c r="V13" i="54"/>
  <c r="V10" i="54"/>
  <c r="U11" i="54"/>
  <c r="CF15" i="51"/>
  <c r="F16" i="52" s="1"/>
  <c r="AA18" i="54"/>
  <c r="CH31" i="49" a="1"/>
  <c r="CH31" i="49" s="1"/>
  <c r="CB33" i="49" a="1"/>
  <c r="CB33" i="49" s="1"/>
  <c r="BZ28" i="49" a="1"/>
  <c r="BZ28" i="49" s="1"/>
  <c r="CB31" i="49" a="1"/>
  <c r="CB31" i="49" s="1"/>
  <c r="BY32" i="49" a="1"/>
  <c r="BY32" i="49" s="1"/>
  <c r="CG26" i="49" a="1"/>
  <c r="CG26" i="49" s="1"/>
  <c r="CG17" i="49" a="1"/>
  <c r="CG17" i="49" s="1"/>
  <c r="CG29" i="49" a="1"/>
  <c r="CG29" i="49" s="1"/>
  <c r="CG31" i="49" a="1"/>
  <c r="CG31" i="49" s="1"/>
  <c r="CB32" i="49" a="1"/>
  <c r="CB32" i="49" s="1"/>
  <c r="CH13" i="49" a="1"/>
  <c r="CH13" i="49" s="1"/>
  <c r="BZ33" i="49" a="1"/>
  <c r="BZ33" i="49" s="1"/>
  <c r="CB23" i="49" a="1"/>
  <c r="CB23" i="49" s="1"/>
  <c r="BY14" i="49" a="1"/>
  <c r="BY14" i="49" s="1"/>
  <c r="BX31" i="49" a="1"/>
  <c r="BX31" i="49" s="1"/>
  <c r="BW15" i="49" a="1"/>
  <c r="BW15" i="49" s="1"/>
  <c r="CB27" i="49" a="1"/>
  <c r="CB27" i="49" s="1"/>
  <c r="BY26" i="49" a="1"/>
  <c r="BY26" i="49" s="1"/>
  <c r="CH28" i="49" a="1"/>
  <c r="CH28" i="49" s="1"/>
  <c r="BZ19" i="49" a="1"/>
  <c r="BZ19" i="49" s="1"/>
  <c r="CH24" i="49" a="1"/>
  <c r="CH24" i="49" s="1"/>
  <c r="CH16" i="49" a="1"/>
  <c r="CH16" i="49" s="1"/>
  <c r="CG33" i="49" a="1"/>
  <c r="CG33" i="49" s="1"/>
  <c r="CG30" i="49" a="1"/>
  <c r="CG30" i="49" s="1"/>
  <c r="CH23" i="49" a="1"/>
  <c r="CH23" i="49" s="1"/>
  <c r="CH35" i="49" a="1"/>
  <c r="CH35" i="49" s="1"/>
  <c r="BZ27" i="49" a="1"/>
  <c r="BZ27" i="49" s="1"/>
  <c r="CG27" i="49" a="1"/>
  <c r="CG27" i="49" s="1"/>
  <c r="BY28" i="49" a="1"/>
  <c r="BY28" i="49" s="1"/>
  <c r="CB20" i="49" a="1"/>
  <c r="CB20" i="49" s="1"/>
  <c r="CA28" i="49" a="1"/>
  <c r="CA28" i="49" s="1"/>
  <c r="CA31" i="49" a="1"/>
  <c r="CA31" i="49" s="1"/>
  <c r="BW31" i="49" a="1"/>
  <c r="BW31" i="49" s="1"/>
  <c r="CC31" i="49" s="1"/>
  <c r="BX10" i="49" a="1"/>
  <c r="BX10" i="49" s="1"/>
  <c r="BX18" i="49" a="1"/>
  <c r="BX18" i="49" s="1"/>
  <c r="CG35" i="49" a="1"/>
  <c r="CG35" i="49" s="1"/>
  <c r="CB22" i="49" a="1"/>
  <c r="CB22" i="49" s="1"/>
  <c r="CG8" i="49" a="1"/>
  <c r="CG8" i="49" s="1"/>
  <c r="CH19" i="49" a="1"/>
  <c r="CH19" i="49" s="1"/>
  <c r="CH17" i="49" a="1"/>
  <c r="CH17" i="49" s="1"/>
  <c r="CG22" i="49" a="1"/>
  <c r="CG22" i="49" s="1"/>
  <c r="CG21" i="49" a="1"/>
  <c r="CG21" i="49" s="1"/>
  <c r="CA10" i="49" a="1"/>
  <c r="CA10" i="49" s="1"/>
  <c r="BZ22" i="49" a="1"/>
  <c r="BZ22" i="49" s="1"/>
  <c r="BY16" i="49" a="1"/>
  <c r="BY16" i="49" s="1"/>
  <c r="BX26" i="49" a="1"/>
  <c r="BX26" i="49" s="1"/>
  <c r="BX9" i="49" a="1"/>
  <c r="BX9" i="49" s="1"/>
  <c r="BW18" i="49" a="1"/>
  <c r="BW18" i="49" s="1"/>
  <c r="BX19" i="49" a="1"/>
  <c r="BX19" i="49" s="1"/>
  <c r="CH9" i="49" a="1"/>
  <c r="CH9" i="49" s="1"/>
  <c r="CB26" i="49" a="1"/>
  <c r="CB26" i="49" s="1"/>
  <c r="CA16" i="49" a="1"/>
  <c r="CA16" i="49" s="1"/>
  <c r="BZ9" i="49" a="1"/>
  <c r="BZ9" i="49" s="1"/>
  <c r="BY31" i="49" a="1"/>
  <c r="BY31" i="49" s="1"/>
  <c r="CH27" i="49" a="1"/>
  <c r="CH27" i="49" s="1"/>
  <c r="CH20" i="49" a="1"/>
  <c r="CH20" i="49" s="1"/>
  <c r="CH14" i="49" a="1"/>
  <c r="CH14" i="49" s="1"/>
  <c r="CH10" i="49" a="1"/>
  <c r="CH10" i="49" s="1"/>
  <c r="CG32" i="49" a="1"/>
  <c r="CG32" i="49" s="1"/>
  <c r="CG23" i="49" a="1"/>
  <c r="CG23" i="49" s="1"/>
  <c r="CG7" i="49" a="1"/>
  <c r="CG7" i="49" s="1"/>
  <c r="BY18" i="49" a="1"/>
  <c r="BY18" i="49" s="1"/>
  <c r="BW28" i="49" a="1"/>
  <c r="BW28" i="49" s="1"/>
  <c r="CG14" i="49" a="1"/>
  <c r="CG14" i="49" s="1"/>
  <c r="CA18" i="49" a="1"/>
  <c r="CA18" i="49" s="1"/>
  <c r="CH33" i="49" a="1"/>
  <c r="CH33" i="49" s="1"/>
  <c r="CH8" i="49" a="1"/>
  <c r="CH8" i="49" s="1"/>
  <c r="CG24" i="49" a="1"/>
  <c r="CG24" i="49" s="1"/>
  <c r="CG6" i="49" a="1"/>
  <c r="CG6" i="49" s="1"/>
  <c r="CA32" i="49" a="1"/>
  <c r="CA32" i="49" s="1"/>
  <c r="CA19" i="49" a="1"/>
  <c r="CA19" i="49" s="1"/>
  <c r="CB28" i="49" a="1"/>
  <c r="CB28" i="49" s="1"/>
  <c r="BW23" i="49" a="1"/>
  <c r="BW23" i="49" s="1"/>
  <c r="CA23" i="49" a="1"/>
  <c r="CA23" i="49" s="1"/>
  <c r="CA17" i="49" a="1"/>
  <c r="CA17" i="49" s="1"/>
  <c r="BW27" i="49" a="1"/>
  <c r="BW27" i="49" s="1"/>
  <c r="CC27" i="49" s="1"/>
  <c r="BX33" i="49" a="1"/>
  <c r="BX33" i="49" s="1"/>
  <c r="CC16" i="49" s="1"/>
  <c r="BY22" i="49" a="1"/>
  <c r="BY22" i="49" s="1"/>
  <c r="P6" i="49"/>
  <c r="CG19" i="49" a="1"/>
  <c r="CG19" i="49" s="1"/>
  <c r="CH18" i="49" a="1"/>
  <c r="CH18" i="49" s="1"/>
  <c r="CA22" i="49" a="1"/>
  <c r="CA22" i="49" s="1"/>
  <c r="CH11" i="49" a="1"/>
  <c r="CH11" i="49" s="1"/>
  <c r="CG9" i="49" a="1"/>
  <c r="CG9" i="49" s="1"/>
  <c r="CG25" i="49" a="1"/>
  <c r="CG25" i="49" s="1"/>
  <c r="CA33" i="49" a="1"/>
  <c r="CA33" i="49" s="1"/>
  <c r="BZ23" i="49" a="1"/>
  <c r="BZ23" i="49" s="1"/>
  <c r="CB18" i="49" a="1"/>
  <c r="CB18" i="49" s="1"/>
  <c r="BW10" i="49" a="1"/>
  <c r="BW10" i="49" s="1"/>
  <c r="BX16" i="49" a="1"/>
  <c r="BX16" i="49" s="1"/>
  <c r="BX27" i="49" a="1"/>
  <c r="BX27" i="49" s="1"/>
  <c r="BW9" i="49" a="1"/>
  <c r="BW9" i="49" s="1"/>
  <c r="CA15" i="49" a="1"/>
  <c r="CA15" i="49" s="1"/>
  <c r="P7" i="49"/>
  <c r="CG11" i="49" a="1"/>
  <c r="CG11" i="49" s="1"/>
  <c r="CH32" i="49" a="1"/>
  <c r="CH32" i="49" s="1"/>
  <c r="BZ10" i="49" a="1"/>
  <c r="BZ10" i="49" s="1"/>
  <c r="CG34" i="49" a="1"/>
  <c r="CG34" i="49" s="1"/>
  <c r="BY10" i="49" a="1"/>
  <c r="BY10" i="49" s="1"/>
  <c r="CH15" i="49" a="1"/>
  <c r="CH15" i="49" s="1"/>
  <c r="BX28" i="49" a="1"/>
  <c r="BX28" i="49" s="1"/>
  <c r="BW21" i="49" a="1"/>
  <c r="BW21" i="49" s="1"/>
  <c r="CC21" i="49" s="1"/>
  <c r="BX22" i="49" a="1"/>
  <c r="BX22" i="49" s="1"/>
  <c r="BY23" i="49" a="1"/>
  <c r="BY23" i="49" s="1"/>
  <c r="BY17" i="49" a="1"/>
  <c r="BY17" i="49" s="1"/>
  <c r="BZ26" i="49" a="1"/>
  <c r="BZ26" i="49" s="1"/>
  <c r="CB16" i="49" a="1"/>
  <c r="CB16" i="49" s="1"/>
  <c r="CB9" i="49" a="1"/>
  <c r="CB9" i="49" s="1"/>
  <c r="CH12" i="49" a="1"/>
  <c r="CH12" i="49" s="1"/>
  <c r="CA26" i="49" a="1"/>
  <c r="CA26" i="49" s="1"/>
  <c r="CB10" i="49" a="1"/>
  <c r="CB10" i="49" s="1"/>
  <c r="CF10" i="49" s="1"/>
  <c r="CH7" i="49" a="1"/>
  <c r="CH7" i="49" s="1"/>
  <c r="CG16" i="49" a="1"/>
  <c r="CG16" i="49" s="1"/>
  <c r="CH21" i="49" a="1"/>
  <c r="CH21" i="49" s="1"/>
  <c r="BY21" i="49" a="1"/>
  <c r="BY21" i="49" s="1"/>
  <c r="P10" i="49"/>
  <c r="BW22" i="49" a="1"/>
  <c r="BW22" i="49" s="1"/>
  <c r="CC22" i="49" s="1"/>
  <c r="BW32" i="49" a="1"/>
  <c r="BW32" i="49" s="1"/>
  <c r="CC32" i="49" s="1"/>
  <c r="BW33" i="49" a="1"/>
  <c r="BW33" i="49" s="1"/>
  <c r="BW26" i="49" a="1"/>
  <c r="BW26" i="49" s="1"/>
  <c r="CC26" i="49" s="1"/>
  <c r="BW14" i="49" a="1"/>
  <c r="BW14" i="49" s="1"/>
  <c r="CC14" i="49" s="1"/>
  <c r="P8" i="49"/>
  <c r="BZ17" i="49" a="1"/>
  <c r="BZ17" i="49" s="1"/>
  <c r="CH34" i="49" a="1"/>
  <c r="CH34" i="49" s="1"/>
  <c r="P11" i="49"/>
  <c r="CH26" i="49" a="1"/>
  <c r="CH26" i="49" s="1"/>
  <c r="CA9" i="49" a="1"/>
  <c r="CA9" i="49" s="1"/>
  <c r="BY27" i="49" a="1"/>
  <c r="BY27" i="49" s="1"/>
  <c r="BY9" i="49" a="1"/>
  <c r="BY9" i="49" s="1"/>
  <c r="BZ18" i="49" a="1"/>
  <c r="BZ18" i="49" s="1"/>
  <c r="BW19" i="49" a="1"/>
  <c r="BW19" i="49" s="1"/>
  <c r="BX21" i="49" a="1"/>
  <c r="BX21" i="49" s="1"/>
  <c r="CG13" i="49" a="1"/>
  <c r="CG13" i="49" s="1"/>
  <c r="CB17" i="49" a="1"/>
  <c r="CB17" i="49" s="1"/>
  <c r="CB21" i="49" a="1"/>
  <c r="CB21" i="49" s="1"/>
  <c r="BZ16" i="49" a="1"/>
  <c r="BZ16" i="49" s="1"/>
  <c r="BZ21" i="49" a="1"/>
  <c r="BZ21" i="49" s="1"/>
  <c r="CG12" i="49" a="1"/>
  <c r="CG12" i="49" s="1"/>
  <c r="CA20" i="49" a="1"/>
  <c r="CA20" i="49" s="1"/>
  <c r="CA14" i="49" a="1"/>
  <c r="CA14" i="49" s="1"/>
  <c r="BZ32" i="49" a="1"/>
  <c r="BZ32" i="49" s="1"/>
  <c r="CH22" i="49" a="1"/>
  <c r="CH22" i="49" s="1"/>
  <c r="CH29" i="49" a="1"/>
  <c r="CH29" i="49" s="1"/>
  <c r="CG10" i="49" a="1"/>
  <c r="CG10" i="49" s="1"/>
  <c r="CB14" i="49" a="1"/>
  <c r="CB14" i="49" s="1"/>
  <c r="BW20" i="49" a="1"/>
  <c r="BW20" i="49" s="1"/>
  <c r="BX15" i="49" a="1"/>
  <c r="BX15" i="49" s="1"/>
  <c r="T22" i="45"/>
  <c r="CD31" i="51"/>
  <c r="R22" i="45"/>
  <c r="V22" i="45"/>
  <c r="CC10" i="51"/>
  <c r="CD10" i="51" s="1"/>
  <c r="CC12" i="51"/>
  <c r="CD12" i="51" s="1"/>
  <c r="CF31" i="51"/>
  <c r="Z36" i="52" s="1"/>
  <c r="AB37" i="52" s="1"/>
  <c r="CF32" i="51"/>
  <c r="V38" i="52" s="1"/>
  <c r="BX11" i="49" a="1"/>
  <c r="BX11" i="49" s="1"/>
  <c r="Q10" i="49"/>
  <c r="V10" i="49" s="1"/>
  <c r="AK30" i="50" s="1" a="1"/>
  <c r="AK30" i="50" s="1"/>
  <c r="Q7" i="49"/>
  <c r="U7" i="49" s="1"/>
  <c r="Q6" i="49"/>
  <c r="V6" i="49" s="1"/>
  <c r="AK10" i="50" s="1" a="1"/>
  <c r="AK10" i="50" s="1"/>
  <c r="Q11" i="49"/>
  <c r="V11" i="49" s="1"/>
  <c r="Q9" i="49"/>
  <c r="Q8" i="49"/>
  <c r="U8" i="49" s="1"/>
  <c r="F21" i="54"/>
  <c r="CF13" i="51"/>
  <c r="T15" i="52" s="1"/>
  <c r="CE10" i="53"/>
  <c r="CD26" i="51"/>
  <c r="CF12" i="51"/>
  <c r="Y15" i="52" s="1"/>
  <c r="CC20" i="51"/>
  <c r="CD20" i="51" s="1"/>
  <c r="O39" i="55"/>
  <c r="Z21" i="54"/>
  <c r="AB21" i="54" s="1"/>
  <c r="Y20" i="54"/>
  <c r="C38" i="55"/>
  <c r="B37" i="55"/>
  <c r="CC14" i="51"/>
  <c r="CD14" i="51" s="1"/>
  <c r="CE27" i="51"/>
  <c r="AA23" i="54"/>
  <c r="M38" i="55"/>
  <c r="AE38" i="55" s="1"/>
  <c r="N39" i="55"/>
  <c r="O38" i="55"/>
  <c r="E39" i="55"/>
  <c r="AQ22" i="45"/>
  <c r="C39" i="55"/>
  <c r="E38" i="55"/>
  <c r="G39" i="55"/>
  <c r="M39" i="55"/>
  <c r="AE39" i="55" s="1"/>
  <c r="G38" i="55"/>
  <c r="P39" i="55"/>
  <c r="P38" i="55"/>
  <c r="CF9" i="51"/>
  <c r="CC18" i="51"/>
  <c r="CD18" i="51" s="1"/>
  <c r="CF26" i="51"/>
  <c r="AE31" i="52" s="1"/>
  <c r="CC28" i="51"/>
  <c r="CE28" i="51" s="1"/>
  <c r="CC33" i="51"/>
  <c r="CD33" i="51" s="1"/>
  <c r="CC13" i="51"/>
  <c r="CD13" i="51" s="1"/>
  <c r="CF33" i="51"/>
  <c r="Q35" i="52" s="1"/>
  <c r="CF23" i="51"/>
  <c r="P26" i="52" s="1"/>
  <c r="R26" i="52" s="1"/>
  <c r="CF20" i="51"/>
  <c r="F21" i="52" s="1"/>
  <c r="CC16" i="51"/>
  <c r="CE16" i="51" s="1"/>
  <c r="CE23" i="53"/>
  <c r="CI31" i="53"/>
  <c r="AF11" i="53" s="1"/>
  <c r="CC11" i="51"/>
  <c r="CD11" i="51" s="1"/>
  <c r="CF18" i="51"/>
  <c r="V20" i="52" s="1"/>
  <c r="CF16" i="51"/>
  <c r="AD20" i="52" s="1"/>
  <c r="BX32" i="49" a="1"/>
  <c r="BX32" i="49" s="1"/>
  <c r="BW17" i="49" a="1"/>
  <c r="BW17" i="49" s="1"/>
  <c r="BX23" i="49" a="1"/>
  <c r="BX23" i="49" s="1"/>
  <c r="CC24" i="51"/>
  <c r="CE24" i="51" s="1"/>
  <c r="CF11" i="51"/>
  <c r="AD15" i="52" s="1"/>
  <c r="CF29" i="51"/>
  <c r="J30" i="52" s="1"/>
  <c r="CE31" i="51"/>
  <c r="CC23" i="51"/>
  <c r="CD23" i="51" s="1"/>
  <c r="CC29" i="51"/>
  <c r="CD29" i="51" s="1"/>
  <c r="CE22" i="51"/>
  <c r="C39" i="57"/>
  <c r="G39" i="57"/>
  <c r="CC9" i="51"/>
  <c r="CE9" i="51" s="1"/>
  <c r="E38" i="57"/>
  <c r="CF34" i="51"/>
  <c r="K36" i="52" s="1"/>
  <c r="M37" i="52" s="1"/>
  <c r="CE13" i="53"/>
  <c r="CF10" i="51"/>
  <c r="K11" i="52" s="1"/>
  <c r="M11" i="52" s="1"/>
  <c r="CC34" i="51"/>
  <c r="CE34" i="51" s="1"/>
  <c r="P39" i="57"/>
  <c r="N39" i="57"/>
  <c r="C38" i="57"/>
  <c r="P38" i="57"/>
  <c r="CC19" i="51"/>
  <c r="CE19" i="51" s="1"/>
  <c r="V38" i="54"/>
  <c r="U36" i="54"/>
  <c r="E39" i="57"/>
  <c r="CJ31" i="53"/>
  <c r="AG11" i="53" s="1"/>
  <c r="G38" i="57"/>
  <c r="M38" i="57"/>
  <c r="AE38" i="57" s="1"/>
  <c r="CE26" i="51"/>
  <c r="CF22" i="51"/>
  <c r="AA25" i="52" s="1"/>
  <c r="CI16" i="53"/>
  <c r="AF8" i="53" s="1"/>
  <c r="O39" i="57"/>
  <c r="CF21" i="51"/>
  <c r="AF28" i="52" s="1"/>
  <c r="CI11" i="53"/>
  <c r="AF7" i="53" s="1"/>
  <c r="O38" i="57"/>
  <c r="M39" i="57"/>
  <c r="AE39" i="57" s="1"/>
  <c r="N38" i="57"/>
  <c r="CF17" i="51"/>
  <c r="AA23" i="52" s="1"/>
  <c r="CE21" i="51"/>
  <c r="CC17" i="51"/>
  <c r="CD17" i="51" s="1"/>
  <c r="CD18" i="53"/>
  <c r="CF19" i="51"/>
  <c r="T30" i="54"/>
  <c r="V30" i="54"/>
  <c r="V33" i="54"/>
  <c r="U31" i="54"/>
  <c r="AM20" i="54" a="1"/>
  <c r="AM20" i="54" s="1"/>
  <c r="CF28" i="51"/>
  <c r="O30" i="52" s="1"/>
  <c r="CD32" i="51"/>
  <c r="CC15" i="51"/>
  <c r="CE15" i="51" s="1"/>
  <c r="AF20" i="54"/>
  <c r="AD20" i="54"/>
  <c r="AE21" i="54"/>
  <c r="E15" i="54"/>
  <c r="F16" i="54"/>
  <c r="G18" i="54"/>
  <c r="J20" i="54"/>
  <c r="K21" i="54"/>
  <c r="CJ16" i="53"/>
  <c r="AG8" i="53" s="1"/>
  <c r="X8" i="53" s="1"/>
  <c r="CJ21" i="53"/>
  <c r="AG9" i="53" s="1"/>
  <c r="CI21" i="53"/>
  <c r="AF9" i="53" s="1"/>
  <c r="CJ6" i="53"/>
  <c r="AG6" i="53" s="1"/>
  <c r="CI6" i="53"/>
  <c r="AF6" i="53" s="1"/>
  <c r="CE28" i="53"/>
  <c r="CJ26" i="53"/>
  <c r="AG10" i="53" s="1"/>
  <c r="CI26" i="53"/>
  <c r="AF10" i="53" s="1"/>
  <c r="CJ11" i="53"/>
  <c r="AG7" i="53" s="1"/>
  <c r="J25" i="54"/>
  <c r="K22" i="39"/>
  <c r="L30" i="54"/>
  <c r="J30" i="54"/>
  <c r="K31" i="54"/>
  <c r="L33" i="54"/>
  <c r="AK13" i="54" a="1"/>
  <c r="AK13" i="54" s="1"/>
  <c r="AK18" i="54" a="1"/>
  <c r="AK18" i="54" s="1"/>
  <c r="AK23" i="54" a="1"/>
  <c r="AK23" i="54" s="1"/>
  <c r="AM13" i="54" a="1"/>
  <c r="AM13" i="54" s="1"/>
  <c r="AM18" i="54" a="1"/>
  <c r="AM18" i="54" s="1"/>
  <c r="AM23" i="54" a="1"/>
  <c r="AM23" i="54" s="1"/>
  <c r="CD17" i="53"/>
  <c r="P11" i="54"/>
  <c r="Q13" i="54"/>
  <c r="O10" i="54"/>
  <c r="O15" i="54"/>
  <c r="AF33" i="54"/>
  <c r="AF30" i="54"/>
  <c r="P31" i="54"/>
  <c r="O30" i="54"/>
  <c r="Q33" i="54"/>
  <c r="Q30" i="54"/>
  <c r="Q38" i="54"/>
  <c r="P36" i="54"/>
  <c r="O35" i="54"/>
  <c r="Q35" i="54"/>
  <c r="CE29" i="53"/>
  <c r="CD29" i="53"/>
  <c r="CF24" i="51"/>
  <c r="J25" i="52" s="1"/>
  <c r="AW23" i="41"/>
  <c r="AS23" i="41" s="1"/>
  <c r="AW22" i="41"/>
  <c r="AS22" i="41" s="1"/>
  <c r="AT21" i="39"/>
  <c r="H22" i="39"/>
  <c r="AW22" i="39"/>
  <c r="AS22" i="39" s="1"/>
  <c r="CF27" i="51"/>
  <c r="V30" i="52" s="1"/>
  <c r="AP22" i="39"/>
  <c r="CF14" i="51"/>
  <c r="P16" i="52" s="1"/>
  <c r="CF25" i="49"/>
  <c r="E25" i="50" s="1"/>
  <c r="AM38" i="44" a="1"/>
  <c r="AM38" i="44" s="1"/>
  <c r="AK35" i="44" a="1"/>
  <c r="AK35" i="44" s="1"/>
  <c r="AK30" i="44" a="1"/>
  <c r="AK30" i="44" s="1"/>
  <c r="S7" i="51"/>
  <c r="CD22" i="51"/>
  <c r="V11" i="51"/>
  <c r="CD21" i="51"/>
  <c r="CC6" i="51"/>
  <c r="CE6" i="51" s="1"/>
  <c r="V7" i="51"/>
  <c r="U11" i="51"/>
  <c r="CD27" i="51"/>
  <c r="T11" i="51"/>
  <c r="X11" i="51" s="1"/>
  <c r="CC6" i="47"/>
  <c r="CD6" i="47" s="1"/>
  <c r="CC35" i="51"/>
  <c r="CD35" i="51" s="1"/>
  <c r="T7" i="51"/>
  <c r="U8" i="51"/>
  <c r="V8" i="51"/>
  <c r="T8" i="51"/>
  <c r="T6" i="51"/>
  <c r="T9" i="51"/>
  <c r="X9" i="51" s="1"/>
  <c r="S6" i="51"/>
  <c r="AM28" i="52" s="1" a="1"/>
  <c r="AM28" i="52" s="1"/>
  <c r="V6" i="51"/>
  <c r="AK10" i="52" s="1" a="1"/>
  <c r="AK10" i="52" s="1"/>
  <c r="U9" i="51"/>
  <c r="S9" i="51"/>
  <c r="U6" i="51"/>
  <c r="AK13" i="52" s="1" a="1"/>
  <c r="AK13" i="52" s="1"/>
  <c r="V9" i="51"/>
  <c r="CC7" i="51"/>
  <c r="CD7" i="51" s="1"/>
  <c r="AV23" i="39" a="1"/>
  <c r="AV23" i="39" s="1"/>
  <c r="AT23" i="39" s="1"/>
  <c r="AU23" i="39" a="1"/>
  <c r="AU23" i="39" s="1"/>
  <c r="AK33" i="44" a="1"/>
  <c r="AK33" i="44" s="1"/>
  <c r="T10" i="51"/>
  <c r="X10" i="51" s="1"/>
  <c r="U10" i="51"/>
  <c r="S10" i="51"/>
  <c r="AK38" i="44" a="1"/>
  <c r="AK38" i="44" s="1"/>
  <c r="CC7" i="47"/>
  <c r="CE7" i="47" s="1"/>
  <c r="CE32" i="51"/>
  <c r="CF8" i="51"/>
  <c r="U11" i="52" s="1"/>
  <c r="AK25" i="44" a="1"/>
  <c r="AK25" i="44" s="1"/>
  <c r="AK28" i="52" a="1"/>
  <c r="AK28" i="52" s="1"/>
  <c r="CF6" i="51"/>
  <c r="CF7" i="51"/>
  <c r="Z11" i="52" s="1"/>
  <c r="CC8" i="51"/>
  <c r="CF35" i="51"/>
  <c r="CF25" i="51"/>
  <c r="CF30" i="51"/>
  <c r="CC30" i="51"/>
  <c r="AU21" i="45" a="1"/>
  <c r="AU21" i="45" s="1"/>
  <c r="AV21" i="45" a="1"/>
  <c r="AV21" i="45" s="1"/>
  <c r="BU5" i="39"/>
  <c r="BR5" i="39" s="1"/>
  <c r="AK28" i="44" a="1"/>
  <c r="AK28" i="44" s="1"/>
  <c r="AM33" i="44" a="1"/>
  <c r="AM33" i="44" s="1"/>
  <c r="AM28" i="44" a="1"/>
  <c r="AM28" i="44" s="1"/>
  <c r="BU5" i="43"/>
  <c r="BR5" i="43" s="1"/>
  <c r="CC25" i="49"/>
  <c r="CD25" i="49" s="1"/>
  <c r="C31" i="41"/>
  <c r="AR32" i="41"/>
  <c r="C32" i="41" s="1"/>
  <c r="AR32" i="45"/>
  <c r="C32" i="45" s="1"/>
  <c r="C31" i="45"/>
  <c r="CF35" i="47"/>
  <c r="E35" i="48" s="1"/>
  <c r="CC8" i="49"/>
  <c r="CE8" i="49" s="1"/>
  <c r="CC30" i="47"/>
  <c r="CE30" i="47" s="1"/>
  <c r="CC8" i="47"/>
  <c r="CD8" i="47" s="1"/>
  <c r="CC30" i="49"/>
  <c r="CE30" i="49" s="1"/>
  <c r="CF25" i="47"/>
  <c r="F26" i="48" s="1"/>
  <c r="H27" i="48" s="1"/>
  <c r="CC25" i="47"/>
  <c r="CD25" i="47" s="1"/>
  <c r="CC7" i="49"/>
  <c r="CD7" i="49" s="1"/>
  <c r="CF7" i="49"/>
  <c r="Y10" i="50" s="1"/>
  <c r="CF6" i="47"/>
  <c r="CF30" i="47"/>
  <c r="F31" i="48" s="1"/>
  <c r="E31" i="48" s="1"/>
  <c r="CF7" i="47"/>
  <c r="Y10" i="48" s="1"/>
  <c r="V11" i="47"/>
  <c r="AK35" i="48" s="1" a="1"/>
  <c r="AK35" i="48" s="1"/>
  <c r="CC35" i="47"/>
  <c r="CE35" i="47" s="1"/>
  <c r="CC19" i="47"/>
  <c r="CF8" i="47"/>
  <c r="T10" i="48" s="1"/>
  <c r="CF30" i="49"/>
  <c r="F31" i="50" s="1"/>
  <c r="E33" i="50" s="1"/>
  <c r="CF8" i="49"/>
  <c r="T10" i="50" s="1"/>
  <c r="CF35" i="49"/>
  <c r="E35" i="50" s="1"/>
  <c r="CC35" i="49"/>
  <c r="CE35" i="49" s="1"/>
  <c r="CC6" i="49"/>
  <c r="CF6" i="49"/>
  <c r="AP38" i="44" a="1"/>
  <c r="AP38" i="44" s="1"/>
  <c r="AM35" i="44" a="1"/>
  <c r="AM35" i="44" s="1"/>
  <c r="AP28" i="44" a="1"/>
  <c r="AP28" i="44" s="1"/>
  <c r="AM25" i="44" a="1"/>
  <c r="AM25" i="44" s="1"/>
  <c r="AP33" i="44" a="1"/>
  <c r="AP33" i="44" s="1"/>
  <c r="AM30" i="44" a="1"/>
  <c r="AM30" i="44" s="1"/>
  <c r="CF17" i="47" l="1"/>
  <c r="AA38" i="54"/>
  <c r="AA25" i="54"/>
  <c r="CE16" i="53"/>
  <c r="Y25" i="54"/>
  <c r="Y35" i="54"/>
  <c r="AA28" i="54"/>
  <c r="Z36" i="54"/>
  <c r="AE31" i="54"/>
  <c r="CF28" i="47"/>
  <c r="P31" i="48" s="1"/>
  <c r="R32" i="48" s="1"/>
  <c r="CD34" i="53"/>
  <c r="CD21" i="47"/>
  <c r="S11" i="47"/>
  <c r="L20" i="54"/>
  <c r="T15" i="54"/>
  <c r="CE15" i="53"/>
  <c r="G15" i="54" s="1"/>
  <c r="T9" i="49"/>
  <c r="X9" i="49" s="1"/>
  <c r="CF29" i="47"/>
  <c r="J30" i="48" s="1"/>
  <c r="CD19" i="53"/>
  <c r="L23" i="54" s="1"/>
  <c r="CD20" i="53"/>
  <c r="CC34" i="47"/>
  <c r="CE34" i="47" s="1"/>
  <c r="CC18" i="47"/>
  <c r="CD18" i="47" s="1"/>
  <c r="K26" i="54"/>
  <c r="AM10" i="54" a="1"/>
  <c r="AM10" i="54" s="1"/>
  <c r="X6" i="53"/>
  <c r="AP13" i="54" s="1" a="1"/>
  <c r="AP13" i="54" s="1"/>
  <c r="CC20" i="47"/>
  <c r="CD20" i="47" s="1"/>
  <c r="AP22" i="41"/>
  <c r="L35" i="54"/>
  <c r="L38" i="54"/>
  <c r="H22" i="41"/>
  <c r="J35" i="54"/>
  <c r="K11" i="54"/>
  <c r="K22" i="41"/>
  <c r="L13" i="54"/>
  <c r="CC20" i="49"/>
  <c r="P26" i="54"/>
  <c r="O28" i="54" s="1"/>
  <c r="Q25" i="54"/>
  <c r="CF12" i="49"/>
  <c r="CF24" i="47"/>
  <c r="K26" i="48" s="1"/>
  <c r="J27" i="48" s="1"/>
  <c r="L25" i="54"/>
  <c r="Q28" i="54"/>
  <c r="CD24" i="53"/>
  <c r="CC24" i="47"/>
  <c r="CD24" i="47" s="1"/>
  <c r="CC29" i="47"/>
  <c r="CD29" i="47" s="1"/>
  <c r="CF14" i="47"/>
  <c r="P16" i="48" s="1"/>
  <c r="R16" i="48" s="1"/>
  <c r="CD14" i="53"/>
  <c r="CF13" i="47"/>
  <c r="V15" i="48" s="1"/>
  <c r="CD25" i="51"/>
  <c r="G37" i="57"/>
  <c r="P37" i="57"/>
  <c r="M37" i="57"/>
  <c r="AE37" i="57" s="1"/>
  <c r="N37" i="57"/>
  <c r="Q15" i="54"/>
  <c r="T7" i="47"/>
  <c r="V35" i="54"/>
  <c r="CD15" i="47"/>
  <c r="Q18" i="54"/>
  <c r="CF11" i="47"/>
  <c r="AF18" i="48" s="1"/>
  <c r="CC28" i="47"/>
  <c r="CD28" i="47" s="1"/>
  <c r="Z16" i="54"/>
  <c r="AB17" i="54" s="1"/>
  <c r="CF34" i="49"/>
  <c r="J35" i="50" s="1"/>
  <c r="V23" i="54"/>
  <c r="V20" i="54"/>
  <c r="T20" i="54"/>
  <c r="AA15" i="54"/>
  <c r="CC13" i="47"/>
  <c r="CE13" i="47" s="1"/>
  <c r="CE31" i="47"/>
  <c r="AP21" i="41"/>
  <c r="F23" i="41" s="1"/>
  <c r="H23" i="41" s="1"/>
  <c r="K21" i="41"/>
  <c r="G21" i="41"/>
  <c r="AE26" i="54"/>
  <c r="AD26" i="54" s="1"/>
  <c r="AF28" i="54"/>
  <c r="AK10" i="54" a="1"/>
  <c r="AK10" i="54" s="1"/>
  <c r="CC10" i="47"/>
  <c r="CE10" i="47" s="1"/>
  <c r="AK15" i="54" a="1"/>
  <c r="AK15" i="54" s="1"/>
  <c r="AF25" i="54"/>
  <c r="CD12" i="53"/>
  <c r="CF12" i="47"/>
  <c r="Y15" i="48" s="1"/>
  <c r="E37" i="57"/>
  <c r="X7" i="53"/>
  <c r="C37" i="57"/>
  <c r="O37" i="57"/>
  <c r="AE16" i="54"/>
  <c r="AD18" i="54" s="1"/>
  <c r="T10" i="47"/>
  <c r="X10" i="47" s="1"/>
  <c r="CC24" i="49"/>
  <c r="CE24" i="49" s="1"/>
  <c r="AP23" i="54" a="1"/>
  <c r="AP23" i="54" s="1"/>
  <c r="CF29" i="49"/>
  <c r="J30" i="50" s="1"/>
  <c r="CF27" i="47"/>
  <c r="U31" i="48" s="1"/>
  <c r="W31" i="48" s="1"/>
  <c r="N40" i="59"/>
  <c r="M41" i="59"/>
  <c r="AE41" i="59" s="1"/>
  <c r="C40" i="59"/>
  <c r="N42" i="59"/>
  <c r="O40" i="59"/>
  <c r="P42" i="59"/>
  <c r="N41" i="59"/>
  <c r="C42" i="59"/>
  <c r="M42" i="59"/>
  <c r="AE42" i="59" s="1"/>
  <c r="M40" i="59"/>
  <c r="AE40" i="59" s="1"/>
  <c r="P41" i="59"/>
  <c r="G41" i="59"/>
  <c r="E41" i="59"/>
  <c r="G40" i="59"/>
  <c r="O41" i="59"/>
  <c r="E40" i="59"/>
  <c r="P40" i="59"/>
  <c r="C41" i="59"/>
  <c r="G42" i="59"/>
  <c r="O42" i="59"/>
  <c r="E42" i="59"/>
  <c r="CC16" i="47"/>
  <c r="CE16" i="47" s="1"/>
  <c r="CE26" i="47"/>
  <c r="T9" i="47"/>
  <c r="X9" i="47" s="1"/>
  <c r="CF32" i="47"/>
  <c r="V35" i="48" s="1"/>
  <c r="CC9" i="47"/>
  <c r="CE9" i="47" s="1"/>
  <c r="CF15" i="47"/>
  <c r="E15" i="48" s="1"/>
  <c r="CF31" i="47"/>
  <c r="AA35" i="48" s="1"/>
  <c r="S10" i="47"/>
  <c r="AM33" i="48" s="1" a="1"/>
  <c r="AM33" i="48" s="1"/>
  <c r="CC10" i="49"/>
  <c r="V10" i="47"/>
  <c r="AK30" i="48" s="1" a="1"/>
  <c r="AK30" i="48" s="1"/>
  <c r="CF34" i="47"/>
  <c r="K36" i="48" s="1"/>
  <c r="J37" i="48" s="1"/>
  <c r="AF15" i="54"/>
  <c r="S6" i="47"/>
  <c r="AM13" i="48" s="1" a="1"/>
  <c r="AM13" i="48" s="1"/>
  <c r="AD15" i="54"/>
  <c r="F21" i="45"/>
  <c r="AW21" i="45" s="1"/>
  <c r="AS21" i="45" s="1"/>
  <c r="U6" i="47"/>
  <c r="AK13" i="48" s="1" a="1"/>
  <c r="AK13" i="48" s="1"/>
  <c r="T6" i="47"/>
  <c r="AM10" i="48" s="1" a="1"/>
  <c r="AM10" i="48" s="1"/>
  <c r="AK20" i="48" a="1"/>
  <c r="AK20" i="48" s="1"/>
  <c r="CC11" i="47"/>
  <c r="CE11" i="47" s="1"/>
  <c r="AP18" i="54" a="1"/>
  <c r="AP18" i="54" s="1"/>
  <c r="V18" i="54"/>
  <c r="V15" i="54"/>
  <c r="L10" i="54"/>
  <c r="CE9" i="53"/>
  <c r="Q10" i="54" s="1"/>
  <c r="CE11" i="53"/>
  <c r="CC19" i="49"/>
  <c r="CE19" i="49" s="1"/>
  <c r="CC9" i="49"/>
  <c r="CD9" i="49" s="1"/>
  <c r="CF11" i="49"/>
  <c r="AF18" i="50" s="1"/>
  <c r="U7" i="47"/>
  <c r="S7" i="47"/>
  <c r="V9" i="47"/>
  <c r="AK25" i="48" s="1" a="1"/>
  <c r="AK25" i="48" s="1"/>
  <c r="U9" i="47"/>
  <c r="CC14" i="47"/>
  <c r="CE14" i="47" s="1"/>
  <c r="CE11" i="49"/>
  <c r="CC15" i="49"/>
  <c r="CE15" i="49" s="1"/>
  <c r="CC28" i="49"/>
  <c r="CE28" i="49" s="1"/>
  <c r="CF33" i="47"/>
  <c r="Q38" i="48" s="1"/>
  <c r="CF20" i="47"/>
  <c r="F21" i="48" s="1"/>
  <c r="CC29" i="49"/>
  <c r="CD29" i="49" s="1"/>
  <c r="CE27" i="49"/>
  <c r="H20" i="45"/>
  <c r="G20" i="45"/>
  <c r="CF21" i="47"/>
  <c r="AD25" i="48" s="1"/>
  <c r="CF9" i="47"/>
  <c r="P11" i="48" s="1"/>
  <c r="CF22" i="47"/>
  <c r="Z26" i="48" s="1"/>
  <c r="Y26" i="48" s="1"/>
  <c r="CF18" i="47"/>
  <c r="U21" i="48" s="1"/>
  <c r="K20" i="45"/>
  <c r="CF23" i="47"/>
  <c r="O25" i="48" s="1"/>
  <c r="CD27" i="47"/>
  <c r="T11" i="47"/>
  <c r="X11" i="47" s="1"/>
  <c r="CC33" i="47"/>
  <c r="CD33" i="47" s="1"/>
  <c r="CD22" i="47"/>
  <c r="U8" i="47"/>
  <c r="K22" i="43"/>
  <c r="AE11" i="54"/>
  <c r="AG11" i="54" s="1"/>
  <c r="AD10" i="54"/>
  <c r="AW22" i="43"/>
  <c r="AS22" i="43" s="1"/>
  <c r="S8" i="47"/>
  <c r="CD17" i="47"/>
  <c r="AF13" i="54"/>
  <c r="H22" i="43"/>
  <c r="G22" i="43"/>
  <c r="T8" i="47"/>
  <c r="CC23" i="47"/>
  <c r="CD23" i="47" s="1"/>
  <c r="CF16" i="47"/>
  <c r="AF20" i="48" s="1"/>
  <c r="CD30" i="53"/>
  <c r="F36" i="54"/>
  <c r="H37" i="54" s="1"/>
  <c r="G20" i="54"/>
  <c r="CF26" i="47"/>
  <c r="AF33" i="48" s="1"/>
  <c r="G23" i="54"/>
  <c r="F31" i="54"/>
  <c r="H31" i="54" s="1"/>
  <c r="G30" i="54"/>
  <c r="E30" i="54"/>
  <c r="AP20" i="45"/>
  <c r="F22" i="45" s="1"/>
  <c r="AW22" i="45" s="1"/>
  <c r="CF13" i="49"/>
  <c r="T15" i="50" s="1"/>
  <c r="G38" i="54"/>
  <c r="G35" i="54"/>
  <c r="CC13" i="49"/>
  <c r="CE13" i="49" s="1"/>
  <c r="B37" i="59"/>
  <c r="G38" i="59"/>
  <c r="C38" i="59"/>
  <c r="M39" i="59"/>
  <c r="AE39" i="59" s="1"/>
  <c r="O38" i="59"/>
  <c r="E39" i="59"/>
  <c r="M38" i="59"/>
  <c r="AE38" i="59" s="1"/>
  <c r="N38" i="59"/>
  <c r="G39" i="59"/>
  <c r="O39" i="59"/>
  <c r="E38" i="59"/>
  <c r="N39" i="59"/>
  <c r="C39" i="59"/>
  <c r="P39" i="59"/>
  <c r="P38" i="59"/>
  <c r="CF19" i="49"/>
  <c r="K21" i="50" s="1"/>
  <c r="CC12" i="49"/>
  <c r="CD12" i="49" s="1"/>
  <c r="CC17" i="49"/>
  <c r="CD17" i="49" s="1"/>
  <c r="CF24" i="49"/>
  <c r="K26" i="50" s="1"/>
  <c r="J26" i="50" s="1"/>
  <c r="AP21" i="43"/>
  <c r="G21" i="43"/>
  <c r="CB35" i="43" s="1" a="1"/>
  <c r="CB35" i="43" s="1"/>
  <c r="K21" i="43"/>
  <c r="H21" i="43"/>
  <c r="CC34" i="49"/>
  <c r="CD34" i="49" s="1"/>
  <c r="CE32" i="49"/>
  <c r="CD14" i="49"/>
  <c r="O10" i="52"/>
  <c r="AL21" i="58" a="1"/>
  <c r="AL21" i="58" s="1"/>
  <c r="AK21" i="58" s="1"/>
  <c r="AL16" i="58" a="1"/>
  <c r="AL16" i="58" s="1"/>
  <c r="AN17" i="58" s="1"/>
  <c r="AN37" i="58"/>
  <c r="AK37" i="58"/>
  <c r="AN36" i="58"/>
  <c r="AK36" i="58"/>
  <c r="AK26" i="58"/>
  <c r="AN26" i="58"/>
  <c r="AK27" i="58"/>
  <c r="AN27" i="58"/>
  <c r="AN32" i="58"/>
  <c r="AK32" i="58"/>
  <c r="AN31" i="58"/>
  <c r="AK31" i="58"/>
  <c r="AL31" i="56" a="1"/>
  <c r="AL31" i="56" s="1"/>
  <c r="AL36" i="56" a="1"/>
  <c r="AL36" i="56" s="1"/>
  <c r="AL26" i="56" a="1"/>
  <c r="AL26" i="56" s="1"/>
  <c r="AL21" i="56" a="1"/>
  <c r="AL21" i="56" s="1"/>
  <c r="CC23" i="49"/>
  <c r="CD23" i="49" s="1"/>
  <c r="J10" i="50"/>
  <c r="CC33" i="49"/>
  <c r="CD33" i="49" s="1"/>
  <c r="CF16" i="49"/>
  <c r="AF23" i="50" s="1"/>
  <c r="CF14" i="49"/>
  <c r="O15" i="50" s="1"/>
  <c r="G15" i="52"/>
  <c r="E15" i="52"/>
  <c r="G23" i="39"/>
  <c r="Q8" i="39" s="1"/>
  <c r="AS23" i="39"/>
  <c r="H23" i="39"/>
  <c r="AP23" i="39"/>
  <c r="K23" i="39"/>
  <c r="CF23" i="49"/>
  <c r="P26" i="50" s="1"/>
  <c r="O27" i="50" s="1"/>
  <c r="CF27" i="49"/>
  <c r="U31" i="50" s="1"/>
  <c r="T31" i="50" s="1"/>
  <c r="CF26" i="49"/>
  <c r="AF30" i="50" s="1"/>
  <c r="AA35" i="52"/>
  <c r="Y35" i="52"/>
  <c r="AA38" i="52"/>
  <c r="CF18" i="49"/>
  <c r="T20" i="50" s="1"/>
  <c r="CE16" i="49"/>
  <c r="CF22" i="49"/>
  <c r="Z26" i="50" s="1"/>
  <c r="AB27" i="50" s="1"/>
  <c r="V35" i="52"/>
  <c r="CF21" i="49"/>
  <c r="AT21" i="45"/>
  <c r="R21" i="45"/>
  <c r="AQ21" i="45"/>
  <c r="E26" i="54"/>
  <c r="E28" i="54"/>
  <c r="H27" i="54"/>
  <c r="H26" i="54"/>
  <c r="E27" i="54"/>
  <c r="V21" i="45"/>
  <c r="T21" i="45"/>
  <c r="CF31" i="49"/>
  <c r="Y35" i="50" s="1"/>
  <c r="CF9" i="49"/>
  <c r="O10" i="50" s="1"/>
  <c r="CF15" i="49"/>
  <c r="F16" i="50" s="1"/>
  <c r="H16" i="50" s="1"/>
  <c r="CD10" i="49"/>
  <c r="CD26" i="49"/>
  <c r="CF20" i="49"/>
  <c r="F21" i="50" s="1"/>
  <c r="H21" i="50" s="1"/>
  <c r="T11" i="54"/>
  <c r="W11" i="54"/>
  <c r="T13" i="54"/>
  <c r="W12" i="54"/>
  <c r="T12" i="54"/>
  <c r="Y12" i="54"/>
  <c r="Y13" i="54"/>
  <c r="Y11" i="54"/>
  <c r="AB11" i="54"/>
  <c r="AB12" i="54"/>
  <c r="CF33" i="49"/>
  <c r="P36" i="50" s="1"/>
  <c r="O38" i="50" s="1"/>
  <c r="CE12" i="51"/>
  <c r="CE20" i="51"/>
  <c r="G20" i="52" s="1"/>
  <c r="S6" i="49"/>
  <c r="AM13" i="50" s="1" a="1"/>
  <c r="AM13" i="50" s="1"/>
  <c r="CD28" i="51"/>
  <c r="T6" i="49"/>
  <c r="AM10" i="50" s="1" a="1"/>
  <c r="AM10" i="50" s="1"/>
  <c r="O35" i="52"/>
  <c r="CD21" i="49"/>
  <c r="S10" i="49"/>
  <c r="CE10" i="51"/>
  <c r="L10" i="52" s="1"/>
  <c r="CE31" i="49"/>
  <c r="U6" i="49"/>
  <c r="AK13" i="50" s="1" a="1"/>
  <c r="AK13" i="50" s="1"/>
  <c r="CE20" i="49"/>
  <c r="AA18" i="52"/>
  <c r="Z16" i="52"/>
  <c r="AB17" i="52" s="1"/>
  <c r="V7" i="49"/>
  <c r="AK15" i="50" s="1" a="1"/>
  <c r="AK15" i="50" s="1"/>
  <c r="AA15" i="52"/>
  <c r="CF32" i="49"/>
  <c r="T35" i="50" s="1"/>
  <c r="AE16" i="52"/>
  <c r="AD18" i="52" s="1"/>
  <c r="AD30" i="52"/>
  <c r="M12" i="52"/>
  <c r="J11" i="52"/>
  <c r="J10" i="52"/>
  <c r="J12" i="52"/>
  <c r="L13" i="52"/>
  <c r="CE22" i="49"/>
  <c r="T11" i="49"/>
  <c r="X11" i="49" s="1"/>
  <c r="U11" i="49"/>
  <c r="CD24" i="51"/>
  <c r="S11" i="49"/>
  <c r="Q10" i="52"/>
  <c r="CF17" i="49"/>
  <c r="Z21" i="50" s="1"/>
  <c r="Y22" i="50" s="1"/>
  <c r="CF28" i="49"/>
  <c r="CE26" i="49"/>
  <c r="CC18" i="49"/>
  <c r="CE18" i="49" s="1"/>
  <c r="P11" i="52"/>
  <c r="O12" i="52" s="1"/>
  <c r="AF15" i="52"/>
  <c r="AA20" i="52"/>
  <c r="Q38" i="52"/>
  <c r="P36" i="52"/>
  <c r="R36" i="52" s="1"/>
  <c r="AF18" i="52"/>
  <c r="T35" i="52"/>
  <c r="U36" i="52"/>
  <c r="T37" i="52" s="1"/>
  <c r="K26" i="52"/>
  <c r="J28" i="52" s="1"/>
  <c r="CD19" i="51"/>
  <c r="L23" i="52" s="1"/>
  <c r="CE33" i="51"/>
  <c r="T7" i="49"/>
  <c r="S7" i="49"/>
  <c r="U10" i="49"/>
  <c r="V18" i="52"/>
  <c r="V15" i="52"/>
  <c r="U16" i="52"/>
  <c r="T18" i="52" s="1"/>
  <c r="AE21" i="52"/>
  <c r="AD23" i="52" s="1"/>
  <c r="T10" i="49"/>
  <c r="X10" i="49" s="1"/>
  <c r="AF25" i="52"/>
  <c r="AF20" i="52"/>
  <c r="AF23" i="52"/>
  <c r="S9" i="49"/>
  <c r="U9" i="49"/>
  <c r="V9" i="49"/>
  <c r="AK25" i="50" s="1" a="1"/>
  <c r="AK25" i="50" s="1"/>
  <c r="CE11" i="51"/>
  <c r="O28" i="52"/>
  <c r="L25" i="52"/>
  <c r="O27" i="52"/>
  <c r="Y21" i="54"/>
  <c r="R27" i="52"/>
  <c r="O26" i="52"/>
  <c r="Q25" i="52"/>
  <c r="CE14" i="51"/>
  <c r="Q15" i="52" s="1"/>
  <c r="O25" i="52"/>
  <c r="V8" i="49"/>
  <c r="AK20" i="50" s="1" a="1"/>
  <c r="AK20" i="50" s="1"/>
  <c r="Y22" i="54"/>
  <c r="E22" i="54"/>
  <c r="H22" i="54"/>
  <c r="E21" i="54"/>
  <c r="H21" i="54"/>
  <c r="E23" i="54"/>
  <c r="S8" i="49"/>
  <c r="AB22" i="54"/>
  <c r="T8" i="49"/>
  <c r="Y23" i="54"/>
  <c r="Z21" i="52"/>
  <c r="AB21" i="52" s="1"/>
  <c r="T20" i="52"/>
  <c r="V23" i="52"/>
  <c r="U21" i="52"/>
  <c r="T21" i="52" s="1"/>
  <c r="CE29" i="51"/>
  <c r="G23" i="52"/>
  <c r="Y37" i="52"/>
  <c r="Y20" i="52"/>
  <c r="E20" i="52"/>
  <c r="CE13" i="51"/>
  <c r="F26" i="50"/>
  <c r="E28" i="50" s="1"/>
  <c r="AF33" i="52"/>
  <c r="L38" i="52"/>
  <c r="O17" i="52"/>
  <c r="CE18" i="51"/>
  <c r="CD16" i="51"/>
  <c r="R17" i="52"/>
  <c r="AD25" i="52"/>
  <c r="R16" i="52"/>
  <c r="J37" i="52"/>
  <c r="AE26" i="52"/>
  <c r="AG27" i="52" s="1"/>
  <c r="G37" i="55"/>
  <c r="M37" i="55"/>
  <c r="E37" i="55"/>
  <c r="O37" i="55"/>
  <c r="P37" i="55"/>
  <c r="C37" i="55"/>
  <c r="Q37" i="55"/>
  <c r="N37" i="55"/>
  <c r="Q18" i="52"/>
  <c r="AF30" i="52"/>
  <c r="Q28" i="52"/>
  <c r="G28" i="50"/>
  <c r="CD22" i="49"/>
  <c r="J36" i="52"/>
  <c r="M36" i="52"/>
  <c r="J35" i="52"/>
  <c r="L35" i="52"/>
  <c r="CI31" i="51"/>
  <c r="AF11" i="51" s="1"/>
  <c r="L28" i="52"/>
  <c r="CD15" i="51"/>
  <c r="G18" i="52" s="1"/>
  <c r="J38" i="52"/>
  <c r="L33" i="52"/>
  <c r="CE23" i="51"/>
  <c r="CD34" i="51"/>
  <c r="K31" i="52"/>
  <c r="M31" i="52" s="1"/>
  <c r="L30" i="52"/>
  <c r="CJ16" i="51"/>
  <c r="AG8" i="51" s="1"/>
  <c r="X8" i="51" s="1"/>
  <c r="CE17" i="51"/>
  <c r="Q30" i="52"/>
  <c r="Q33" i="52"/>
  <c r="P31" i="52"/>
  <c r="R31" i="52" s="1"/>
  <c r="CD9" i="51"/>
  <c r="Q13" i="52" s="1"/>
  <c r="AK18" i="52" a="1"/>
  <c r="AK18" i="52" s="1"/>
  <c r="AA28" i="52"/>
  <c r="O16" i="52"/>
  <c r="Y25" i="52"/>
  <c r="Z26" i="52"/>
  <c r="Y26" i="52" s="1"/>
  <c r="CJ21" i="51"/>
  <c r="AG9" i="51" s="1"/>
  <c r="B37" i="53" a="1"/>
  <c r="T38" i="54"/>
  <c r="T36" i="54"/>
  <c r="W36" i="54"/>
  <c r="T37" i="54"/>
  <c r="W37" i="54"/>
  <c r="O15" i="52"/>
  <c r="CI21" i="51"/>
  <c r="AF9" i="51" s="1"/>
  <c r="L20" i="52"/>
  <c r="J20" i="52"/>
  <c r="CI16" i="51"/>
  <c r="AF8" i="51" s="1"/>
  <c r="K21" i="52"/>
  <c r="J22" i="52" s="1"/>
  <c r="T32" i="54"/>
  <c r="W32" i="54"/>
  <c r="T33" i="54"/>
  <c r="T31" i="54"/>
  <c r="W31" i="54"/>
  <c r="Y36" i="52"/>
  <c r="AB36" i="52"/>
  <c r="Y38" i="52"/>
  <c r="AP28" i="52" a="1"/>
  <c r="AP28" i="52" s="1"/>
  <c r="AB37" i="54"/>
  <c r="AB36" i="54"/>
  <c r="Y36" i="54"/>
  <c r="Y37" i="54"/>
  <c r="Y38" i="54"/>
  <c r="AG22" i="54"/>
  <c r="AD22" i="54"/>
  <c r="AG21" i="54"/>
  <c r="AD21" i="54"/>
  <c r="AD23" i="54"/>
  <c r="H16" i="54"/>
  <c r="E18" i="54"/>
  <c r="E16" i="54"/>
  <c r="E17" i="54"/>
  <c r="H17" i="54"/>
  <c r="CJ31" i="51"/>
  <c r="AG11" i="51" s="1"/>
  <c r="CJ11" i="47"/>
  <c r="AG7" i="47" s="1"/>
  <c r="X7" i="47" s="1"/>
  <c r="CI11" i="47"/>
  <c r="AF7" i="47" s="1"/>
  <c r="AE11" i="48"/>
  <c r="AD13" i="48" s="1"/>
  <c r="CJ6" i="47"/>
  <c r="AG6" i="47" s="1"/>
  <c r="CI6" i="47"/>
  <c r="AF6" i="47" s="1"/>
  <c r="CI11" i="51"/>
  <c r="AF7" i="51" s="1"/>
  <c r="CJ11" i="51"/>
  <c r="AG7" i="51" s="1"/>
  <c r="X7" i="51" s="1"/>
  <c r="J21" i="54"/>
  <c r="J22" i="54"/>
  <c r="M21" i="54"/>
  <c r="J23" i="54"/>
  <c r="M22" i="54"/>
  <c r="AF13" i="52"/>
  <c r="CJ6" i="51"/>
  <c r="AG6" i="51" s="1"/>
  <c r="X6" i="51" s="1"/>
  <c r="CI6" i="51"/>
  <c r="AF6" i="51" s="1"/>
  <c r="CJ26" i="47"/>
  <c r="AG10" i="47" s="1"/>
  <c r="CI26" i="47"/>
  <c r="AF10" i="47" s="1"/>
  <c r="CJ21" i="47"/>
  <c r="AG9" i="47" s="1"/>
  <c r="CI21" i="47"/>
  <c r="AF9" i="47" s="1"/>
  <c r="CI26" i="51"/>
  <c r="AF10" i="51" s="1"/>
  <c r="CJ6" i="49"/>
  <c r="AG6" i="49" s="1"/>
  <c r="CJ26" i="51"/>
  <c r="AG10" i="51" s="1"/>
  <c r="CJ16" i="47"/>
  <c r="AG8" i="47" s="1"/>
  <c r="CI16" i="47"/>
  <c r="AF8" i="47" s="1"/>
  <c r="CI31" i="47"/>
  <c r="AF11" i="47" s="1"/>
  <c r="CJ31" i="47"/>
  <c r="AG11" i="47" s="1"/>
  <c r="J27" i="54"/>
  <c r="M27" i="54"/>
  <c r="M26" i="54"/>
  <c r="J26" i="54"/>
  <c r="J28" i="54"/>
  <c r="M11" i="54"/>
  <c r="J12" i="54"/>
  <c r="M12" i="54"/>
  <c r="J13" i="54"/>
  <c r="J11" i="54"/>
  <c r="T17" i="54"/>
  <c r="W17" i="54"/>
  <c r="W16" i="54"/>
  <c r="T18" i="54"/>
  <c r="T16" i="54"/>
  <c r="R31" i="54"/>
  <c r="O31" i="54"/>
  <c r="R32" i="54"/>
  <c r="O32" i="54"/>
  <c r="O33" i="54"/>
  <c r="AK23" i="52" a="1"/>
  <c r="AK23" i="52" s="1"/>
  <c r="AG32" i="54"/>
  <c r="AD33" i="54"/>
  <c r="AD32" i="54"/>
  <c r="AG31" i="54"/>
  <c r="AD31" i="54"/>
  <c r="W22" i="54"/>
  <c r="T22" i="54"/>
  <c r="W21" i="54"/>
  <c r="T23" i="54"/>
  <c r="T21" i="54"/>
  <c r="M32" i="54"/>
  <c r="M31" i="54"/>
  <c r="J31" i="54"/>
  <c r="J33" i="54"/>
  <c r="J32" i="54"/>
  <c r="M37" i="54"/>
  <c r="J37" i="54"/>
  <c r="J36" i="54"/>
  <c r="M36" i="54"/>
  <c r="J38" i="54"/>
  <c r="AB27" i="54"/>
  <c r="Y28" i="54"/>
  <c r="Y27" i="54"/>
  <c r="AB26" i="54"/>
  <c r="Y26" i="54"/>
  <c r="O17" i="54"/>
  <c r="R16" i="54"/>
  <c r="O18" i="54"/>
  <c r="O16" i="54"/>
  <c r="R17" i="54"/>
  <c r="O37" i="54"/>
  <c r="R36" i="54"/>
  <c r="R37" i="54"/>
  <c r="O36" i="54"/>
  <c r="O38" i="54"/>
  <c r="R11" i="54"/>
  <c r="R12" i="54"/>
  <c r="O11" i="54"/>
  <c r="O13" i="54"/>
  <c r="O12" i="54"/>
  <c r="U31" i="52"/>
  <c r="T33" i="52" s="1"/>
  <c r="CE6" i="47"/>
  <c r="T30" i="52"/>
  <c r="V33" i="52"/>
  <c r="CD6" i="51"/>
  <c r="AK15" i="52" a="1"/>
  <c r="AK15" i="52" s="1"/>
  <c r="BW16" i="39" a="1"/>
  <c r="BW16" i="39" s="1"/>
  <c r="BW6" i="39" a="1"/>
  <c r="BW6" i="39" s="1"/>
  <c r="BX16" i="39" a="1"/>
  <c r="BX16" i="39" s="1"/>
  <c r="BX8" i="39" a="1"/>
  <c r="BX8" i="39" s="1"/>
  <c r="BW18" i="39" a="1"/>
  <c r="BW18" i="39" s="1"/>
  <c r="BW17" i="39" a="1"/>
  <c r="BW17" i="39" s="1"/>
  <c r="BX7" i="39" a="1"/>
  <c r="BX7" i="39" s="1"/>
  <c r="BX17" i="39" a="1"/>
  <c r="BX17" i="39" s="1"/>
  <c r="BX18" i="39" a="1"/>
  <c r="BX18" i="39" s="1"/>
  <c r="BW33" i="39" a="1"/>
  <c r="BW33" i="39" s="1"/>
  <c r="BW35" i="39" a="1"/>
  <c r="BW35" i="39" s="1"/>
  <c r="BW25" i="39" a="1"/>
  <c r="BW25" i="39" s="1"/>
  <c r="AM38" i="48" a="1"/>
  <c r="AM38" i="48" s="1"/>
  <c r="CD7" i="47"/>
  <c r="AM23" i="52" a="1"/>
  <c r="AM23" i="52" s="1"/>
  <c r="AM18" i="52" a="1"/>
  <c r="AM18" i="52" s="1"/>
  <c r="AM13" i="52" a="1"/>
  <c r="AM13" i="52" s="1"/>
  <c r="CE35" i="51"/>
  <c r="CE7" i="51"/>
  <c r="AM25" i="52" a="1"/>
  <c r="AM25" i="52" s="1"/>
  <c r="AM20" i="52" a="1"/>
  <c r="AM20" i="52" s="1"/>
  <c r="AM10" i="52" a="1"/>
  <c r="AM10" i="52" s="1"/>
  <c r="AM15" i="52" a="1"/>
  <c r="AM15" i="52" s="1"/>
  <c r="AK25" i="52" a="1"/>
  <c r="AK25" i="52" s="1"/>
  <c r="AK20" i="52" a="1"/>
  <c r="AK20" i="52" s="1"/>
  <c r="AP25" i="52" a="1"/>
  <c r="AP25" i="52" s="1"/>
  <c r="AM33" i="50" a="1"/>
  <c r="AM33" i="50" s="1"/>
  <c r="AK33" i="50" a="1"/>
  <c r="AK33" i="50" s="1"/>
  <c r="BY20" i="39" a="1"/>
  <c r="BY20" i="39" s="1"/>
  <c r="BY15" i="39" a="1"/>
  <c r="BY15" i="39" s="1"/>
  <c r="BY23" i="39" a="1"/>
  <c r="BY23" i="39" s="1"/>
  <c r="CB15" i="39" a="1"/>
  <c r="CB15" i="39" s="1"/>
  <c r="BY16" i="39" a="1"/>
  <c r="BY16" i="39" s="1"/>
  <c r="BY14" i="39" a="1"/>
  <c r="BY14" i="39" s="1"/>
  <c r="CA23" i="39" a="1"/>
  <c r="CA23" i="39" s="1"/>
  <c r="BY17" i="39" a="1"/>
  <c r="BY17" i="39" s="1"/>
  <c r="BY33" i="39" a="1"/>
  <c r="BY33" i="39" s="1"/>
  <c r="BZ17" i="39" a="1"/>
  <c r="BZ17" i="39" s="1"/>
  <c r="BZ7" i="39" a="1"/>
  <c r="BZ7" i="39" s="1"/>
  <c r="BY18" i="39" a="1"/>
  <c r="BY18" i="39" s="1"/>
  <c r="CA16" i="39" a="1"/>
  <c r="CA16" i="39" s="1"/>
  <c r="CA8" i="39" a="1"/>
  <c r="CA8" i="39" s="1"/>
  <c r="CB7" i="39" a="1"/>
  <c r="CB7" i="39" s="1"/>
  <c r="BY28" i="39" a="1"/>
  <c r="BY28" i="39" s="1"/>
  <c r="CB30" i="39" a="1"/>
  <c r="CB30" i="39" s="1"/>
  <c r="BY35" i="39" a="1"/>
  <c r="BY35" i="39" s="1"/>
  <c r="CB20" i="39" a="1"/>
  <c r="CB20" i="39" s="1"/>
  <c r="CB33" i="39" a="1"/>
  <c r="CB33" i="39" s="1"/>
  <c r="CB25" i="39" a="1"/>
  <c r="CB25" i="39" s="1"/>
  <c r="CB8" i="39" a="1"/>
  <c r="CB8" i="39" s="1"/>
  <c r="CA25" i="39" a="1"/>
  <c r="CA25" i="39" s="1"/>
  <c r="BY30" i="39" a="1"/>
  <c r="BY30" i="39" s="1"/>
  <c r="CA30" i="39" a="1"/>
  <c r="CA30" i="39" s="1"/>
  <c r="BZ25" i="39" a="1"/>
  <c r="BZ25" i="39" s="1"/>
  <c r="BZ15" i="39" a="1"/>
  <c r="BZ15" i="39" s="1"/>
  <c r="CA7" i="39" a="1"/>
  <c r="CA7" i="39" s="1"/>
  <c r="BZ8" i="39" a="1"/>
  <c r="BZ8" i="39" s="1"/>
  <c r="CA17" i="39" a="1"/>
  <c r="CA17" i="39" s="1"/>
  <c r="BY7" i="39" a="1"/>
  <c r="BY7" i="39" s="1"/>
  <c r="BY25" i="39" a="1"/>
  <c r="BY25" i="39" s="1"/>
  <c r="BZ6" i="39" a="1"/>
  <c r="BZ6" i="39" s="1"/>
  <c r="CB6" i="39" a="1"/>
  <c r="CB6" i="39" s="1"/>
  <c r="CA35" i="39" a="1"/>
  <c r="CA35" i="39" s="1"/>
  <c r="BY8" i="39" a="1"/>
  <c r="BY8" i="39" s="1"/>
  <c r="BZ35" i="39" a="1"/>
  <c r="BZ35" i="39" s="1"/>
  <c r="CB23" i="39" a="1"/>
  <c r="CB23" i="39" s="1"/>
  <c r="CA18" i="39" a="1"/>
  <c r="CA18" i="39" s="1"/>
  <c r="CA6" i="39" a="1"/>
  <c r="CA6" i="39" s="1"/>
  <c r="BY6" i="39" a="1"/>
  <c r="BY6" i="39" s="1"/>
  <c r="BZ20" i="39" a="1"/>
  <c r="BZ20" i="39" s="1"/>
  <c r="CB35" i="39" a="1"/>
  <c r="CB35" i="39" s="1"/>
  <c r="BZ30" i="39" a="1"/>
  <c r="BZ30" i="39" s="1"/>
  <c r="CB18" i="39" a="1"/>
  <c r="CB18" i="39" s="1"/>
  <c r="BZ16" i="39" a="1"/>
  <c r="BZ16" i="39" s="1"/>
  <c r="BZ18" i="39" a="1"/>
  <c r="BZ18" i="39" s="1"/>
  <c r="BZ28" i="39" a="1"/>
  <c r="BZ28" i="39" s="1"/>
  <c r="AM25" i="48" a="1"/>
  <c r="AM25" i="48" s="1"/>
  <c r="AM35" i="48" a="1"/>
  <c r="AM35" i="48" s="1"/>
  <c r="CA33" i="39" a="1"/>
  <c r="CA33" i="39" s="1"/>
  <c r="AK38" i="48" a="1"/>
  <c r="AK38" i="48" s="1"/>
  <c r="BZ14" i="39" a="1"/>
  <c r="BZ14" i="39" s="1"/>
  <c r="BZ33" i="39" a="1"/>
  <c r="BZ33" i="39" s="1"/>
  <c r="CB28" i="39" a="1"/>
  <c r="CB28" i="39" s="1"/>
  <c r="CA28" i="39" a="1"/>
  <c r="CA28" i="39" s="1"/>
  <c r="CB17" i="39" a="1"/>
  <c r="CB17" i="39" s="1"/>
  <c r="CB14" i="39" a="1"/>
  <c r="CB14" i="39" s="1"/>
  <c r="CB16" i="39" a="1"/>
  <c r="CB16" i="39" s="1"/>
  <c r="BZ23" i="39" a="1"/>
  <c r="BZ23" i="39" s="1"/>
  <c r="Y10" i="52"/>
  <c r="AA10" i="52"/>
  <c r="AA13" i="52"/>
  <c r="T10" i="52"/>
  <c r="V13" i="52"/>
  <c r="V10" i="52"/>
  <c r="AD10" i="52"/>
  <c r="AE11" i="52"/>
  <c r="AG11" i="52" s="1"/>
  <c r="AF10" i="52"/>
  <c r="AK28" i="48" a="1"/>
  <c r="AK28" i="48" s="1"/>
  <c r="F23" i="45"/>
  <c r="CE8" i="51"/>
  <c r="CD8" i="51"/>
  <c r="W12" i="52"/>
  <c r="T12" i="52"/>
  <c r="T11" i="52"/>
  <c r="W11" i="52"/>
  <c r="E25" i="52"/>
  <c r="F26" i="52"/>
  <c r="G28" i="52"/>
  <c r="G25" i="52"/>
  <c r="CE30" i="51"/>
  <c r="CD30" i="51"/>
  <c r="G33" i="52"/>
  <c r="G30" i="52"/>
  <c r="F31" i="52"/>
  <c r="E30" i="52"/>
  <c r="AB12" i="52"/>
  <c r="AB11" i="52"/>
  <c r="Y13" i="52"/>
  <c r="Y12" i="52"/>
  <c r="Y11" i="52"/>
  <c r="G38" i="52"/>
  <c r="F36" i="52"/>
  <c r="E35" i="52"/>
  <c r="G35" i="52"/>
  <c r="T13" i="52"/>
  <c r="CE25" i="49"/>
  <c r="G25" i="50" s="1"/>
  <c r="CD31" i="47"/>
  <c r="CD26" i="47"/>
  <c r="AU23" i="45" a="1"/>
  <c r="AU23" i="45" s="1"/>
  <c r="AV23" i="45" a="1"/>
  <c r="AV23" i="45" s="1"/>
  <c r="AT23" i="45" s="1"/>
  <c r="AU22" i="45" a="1"/>
  <c r="AU22" i="45" s="1"/>
  <c r="AV22" i="45" a="1"/>
  <c r="AV22" i="45" s="1"/>
  <c r="AT22" i="45" s="1"/>
  <c r="CE22" i="47"/>
  <c r="AM28" i="50" a="1"/>
  <c r="AM28" i="50" s="1"/>
  <c r="AK28" i="50" a="1"/>
  <c r="AK28" i="50" s="1"/>
  <c r="CD31" i="49"/>
  <c r="BU5" i="41"/>
  <c r="BR5" i="41" s="1"/>
  <c r="AK33" i="48" a="1"/>
  <c r="AK33" i="48" s="1"/>
  <c r="AM28" i="48" a="1"/>
  <c r="AM28" i="48" s="1"/>
  <c r="AM30" i="50" a="1"/>
  <c r="AM30" i="50" s="1"/>
  <c r="AP25" i="54" a="1"/>
  <c r="AP25" i="54" s="1"/>
  <c r="CE33" i="47"/>
  <c r="CD16" i="49"/>
  <c r="CD34" i="47"/>
  <c r="H17" i="52"/>
  <c r="E16" i="52"/>
  <c r="E18" i="52"/>
  <c r="H16" i="52"/>
  <c r="E17" i="52"/>
  <c r="H21" i="52"/>
  <c r="H22" i="52"/>
  <c r="E23" i="52"/>
  <c r="E21" i="52"/>
  <c r="E22" i="52"/>
  <c r="AD32" i="52"/>
  <c r="AD31" i="52"/>
  <c r="AG32" i="52"/>
  <c r="AG31" i="52"/>
  <c r="AD33" i="52"/>
  <c r="CE18" i="47"/>
  <c r="AL11" i="58" a="1"/>
  <c r="AL11" i="58" s="1"/>
  <c r="CE20" i="47"/>
  <c r="BU5" i="45"/>
  <c r="CD12" i="47"/>
  <c r="G38" i="48"/>
  <c r="F36" i="48"/>
  <c r="H36" i="48" s="1"/>
  <c r="G35" i="48"/>
  <c r="CD8" i="49"/>
  <c r="CD20" i="49"/>
  <c r="CD30" i="47"/>
  <c r="CE8" i="47"/>
  <c r="CE14" i="49"/>
  <c r="CD30" i="49"/>
  <c r="M11" i="48"/>
  <c r="J10" i="48"/>
  <c r="M12" i="48"/>
  <c r="J11" i="48"/>
  <c r="L10" i="48"/>
  <c r="G25" i="48"/>
  <c r="E28" i="48"/>
  <c r="H26" i="48"/>
  <c r="G28" i="48"/>
  <c r="E25" i="48"/>
  <c r="K31" i="48"/>
  <c r="J33" i="48" s="1"/>
  <c r="L30" i="48"/>
  <c r="L33" i="48"/>
  <c r="K11" i="50"/>
  <c r="J12" i="50" s="1"/>
  <c r="L13" i="50"/>
  <c r="R31" i="48"/>
  <c r="CE21" i="47"/>
  <c r="AF13" i="48"/>
  <c r="Z11" i="50"/>
  <c r="AB11" i="50" s="1"/>
  <c r="Z11" i="48"/>
  <c r="Y12" i="48" s="1"/>
  <c r="J25" i="48"/>
  <c r="AF10" i="48"/>
  <c r="AD10" i="48"/>
  <c r="CE25" i="47"/>
  <c r="O31" i="48"/>
  <c r="O32" i="48"/>
  <c r="AA10" i="48"/>
  <c r="E27" i="48"/>
  <c r="E26" i="48"/>
  <c r="AA13" i="48"/>
  <c r="CE27" i="47"/>
  <c r="CE7" i="49"/>
  <c r="AA10" i="50" s="1"/>
  <c r="Q33" i="48"/>
  <c r="CD10" i="47"/>
  <c r="L13" i="48" s="1"/>
  <c r="CD35" i="47"/>
  <c r="CE21" i="49"/>
  <c r="AA13" i="50"/>
  <c r="O30" i="48"/>
  <c r="AF15" i="48"/>
  <c r="AD15" i="48"/>
  <c r="CD32" i="49"/>
  <c r="AE16" i="48"/>
  <c r="AD16" i="48" s="1"/>
  <c r="CE24" i="47"/>
  <c r="CD27" i="49"/>
  <c r="AM30" i="48" a="1"/>
  <c r="AM30" i="48" s="1"/>
  <c r="CE32" i="47"/>
  <c r="CD32" i="47"/>
  <c r="V10" i="48"/>
  <c r="U11" i="48"/>
  <c r="W12" i="48" s="1"/>
  <c r="V13" i="48"/>
  <c r="Z21" i="48"/>
  <c r="Y20" i="48"/>
  <c r="AA23" i="48"/>
  <c r="CE28" i="47"/>
  <c r="Q30" i="48" s="1"/>
  <c r="G30" i="48"/>
  <c r="G33" i="48"/>
  <c r="H31" i="48"/>
  <c r="E33" i="48"/>
  <c r="E32" i="48"/>
  <c r="H32" i="48"/>
  <c r="E30" i="48"/>
  <c r="CE15" i="47"/>
  <c r="J20" i="48"/>
  <c r="K21" i="48"/>
  <c r="L28" i="48"/>
  <c r="G33" i="50"/>
  <c r="H32" i="50"/>
  <c r="AP33" i="50" a="1"/>
  <c r="AP33" i="50" s="1"/>
  <c r="CE17" i="47"/>
  <c r="AA20" i="48" s="1"/>
  <c r="AK18" i="48" a="1"/>
  <c r="AK18" i="48" s="1"/>
  <c r="E32" i="50"/>
  <c r="CD11" i="49"/>
  <c r="E31" i="50"/>
  <c r="E30" i="50"/>
  <c r="H31" i="50"/>
  <c r="G30" i="50"/>
  <c r="L35" i="50"/>
  <c r="AK15" i="48" a="1"/>
  <c r="AK15" i="48" s="1"/>
  <c r="CD19" i="47"/>
  <c r="L23" i="48" s="1"/>
  <c r="CE19" i="47"/>
  <c r="L20" i="48" s="1"/>
  <c r="CE10" i="49"/>
  <c r="L10" i="50" s="1"/>
  <c r="V10" i="50"/>
  <c r="U11" i="50"/>
  <c r="V13" i="50"/>
  <c r="O33" i="48"/>
  <c r="F36" i="50"/>
  <c r="E37" i="50" s="1"/>
  <c r="G35" i="50"/>
  <c r="CD35" i="49"/>
  <c r="G38" i="50"/>
  <c r="AF13" i="50"/>
  <c r="AE11" i="50"/>
  <c r="AD10" i="50"/>
  <c r="AF10" i="50"/>
  <c r="CE6" i="49"/>
  <c r="CD6" i="49"/>
  <c r="Z16" i="50"/>
  <c r="Y15" i="50"/>
  <c r="AA18" i="50"/>
  <c r="AM25" i="50" a="1"/>
  <c r="AM25" i="50" s="1"/>
  <c r="CD11" i="47" l="1"/>
  <c r="BX35" i="43" a="1"/>
  <c r="BX35" i="43" s="1"/>
  <c r="CA6" i="43" a="1"/>
  <c r="CA6" i="43" s="1"/>
  <c r="CA8" i="43" a="1"/>
  <c r="CA8" i="43" s="1"/>
  <c r="BZ25" i="43" a="1"/>
  <c r="BZ25" i="43" s="1"/>
  <c r="X8" i="47"/>
  <c r="BZ7" i="43" a="1"/>
  <c r="BZ7" i="43" s="1"/>
  <c r="CA7" i="43" a="1"/>
  <c r="CA7" i="43" s="1"/>
  <c r="CB8" i="43" a="1"/>
  <c r="CB8" i="43" s="1"/>
  <c r="BZ6" i="43" a="1"/>
  <c r="BZ6" i="43" s="1"/>
  <c r="BX8" i="43" a="1"/>
  <c r="BX8" i="43" s="1"/>
  <c r="CA30" i="43" a="1"/>
  <c r="CA30" i="43" s="1"/>
  <c r="CA25" i="43" a="1"/>
  <c r="CA25" i="43" s="1"/>
  <c r="BZ30" i="43" a="1"/>
  <c r="BZ30" i="43" s="1"/>
  <c r="CB30" i="43" a="1"/>
  <c r="CB30" i="43" s="1"/>
  <c r="BY25" i="43" a="1"/>
  <c r="BY25" i="43" s="1"/>
  <c r="BW6" i="43" a="1"/>
  <c r="BW6" i="43" s="1"/>
  <c r="CA35" i="43" a="1"/>
  <c r="CA35" i="43" s="1"/>
  <c r="BW30" i="43" a="1"/>
  <c r="BW30" i="43" s="1"/>
  <c r="BY8" i="43" a="1"/>
  <c r="BY8" i="43" s="1"/>
  <c r="BY7" i="43" a="1"/>
  <c r="BY7" i="43" s="1"/>
  <c r="BW7" i="43" a="1"/>
  <c r="BW7" i="43" s="1"/>
  <c r="BX30" i="43" a="1"/>
  <c r="BX30" i="43" s="1"/>
  <c r="BZ35" i="43" a="1"/>
  <c r="BZ35" i="43" s="1"/>
  <c r="BY30" i="43" a="1"/>
  <c r="BY30" i="43" s="1"/>
  <c r="CB6" i="43" a="1"/>
  <c r="CB6" i="43" s="1"/>
  <c r="CF6" i="43" s="1"/>
  <c r="BX7" i="43" a="1"/>
  <c r="BX7" i="43" s="1"/>
  <c r="BY6" i="43" a="1"/>
  <c r="BY6" i="43" s="1"/>
  <c r="BW25" i="43" a="1"/>
  <c r="BW25" i="43" s="1"/>
  <c r="CC25" i="43" s="1"/>
  <c r="BY35" i="43" a="1"/>
  <c r="BY35" i="43" s="1"/>
  <c r="BX25" i="43" a="1"/>
  <c r="BX25" i="43" s="1"/>
  <c r="BW35" i="43" a="1"/>
  <c r="BW35" i="43" s="1"/>
  <c r="CB25" i="43" a="1"/>
  <c r="CB25" i="43" s="1"/>
  <c r="CF25" i="43" s="1"/>
  <c r="BZ8" i="43" a="1"/>
  <c r="BZ8" i="43" s="1"/>
  <c r="BW8" i="43" a="1"/>
  <c r="BW8" i="43" s="1"/>
  <c r="CC8" i="43" s="1"/>
  <c r="CB7" i="43" a="1"/>
  <c r="CB7" i="43" s="1"/>
  <c r="BX6" i="43" a="1"/>
  <c r="BX6" i="43" s="1"/>
  <c r="J28" i="48"/>
  <c r="J26" i="48"/>
  <c r="M26" i="48"/>
  <c r="O10" i="48"/>
  <c r="AG26" i="54"/>
  <c r="L25" i="48"/>
  <c r="M27" i="48"/>
  <c r="J25" i="50"/>
  <c r="L38" i="50"/>
  <c r="J27" i="50"/>
  <c r="M27" i="50"/>
  <c r="L25" i="50"/>
  <c r="K36" i="50"/>
  <c r="J38" i="50" s="1"/>
  <c r="J28" i="50"/>
  <c r="M26" i="50"/>
  <c r="U16" i="48"/>
  <c r="V18" i="48"/>
  <c r="T15" i="48"/>
  <c r="AM15" i="48" a="1"/>
  <c r="AM15" i="48" s="1"/>
  <c r="R17" i="48"/>
  <c r="AM20" i="48" a="1"/>
  <c r="AM20" i="48" s="1"/>
  <c r="O16" i="48"/>
  <c r="BW28" i="39" a="1"/>
  <c r="BW28" i="39" s="1"/>
  <c r="O27" i="54"/>
  <c r="O15" i="48"/>
  <c r="O17" i="48"/>
  <c r="AA15" i="48"/>
  <c r="R27" i="54"/>
  <c r="BX28" i="39" a="1"/>
  <c r="BX28" i="39" s="1"/>
  <c r="O26" i="54"/>
  <c r="AA18" i="48"/>
  <c r="R26" i="54"/>
  <c r="Q15" i="48"/>
  <c r="AK23" i="48" a="1"/>
  <c r="AK23" i="48" s="1"/>
  <c r="P36" i="48"/>
  <c r="CE9" i="49"/>
  <c r="T30" i="48"/>
  <c r="T31" i="48"/>
  <c r="T33" i="48"/>
  <c r="CE29" i="47"/>
  <c r="W32" i="48"/>
  <c r="AK23" i="50" a="1"/>
  <c r="AK23" i="50" s="1"/>
  <c r="T32" i="48"/>
  <c r="CD19" i="49"/>
  <c r="V30" i="48"/>
  <c r="CD28" i="49"/>
  <c r="V33" i="48"/>
  <c r="CD24" i="49"/>
  <c r="X6" i="47"/>
  <c r="AP13" i="48" s="1" a="1"/>
  <c r="AP13" i="48" s="1"/>
  <c r="CE12" i="49"/>
  <c r="AA15" i="50" s="1"/>
  <c r="U16" i="50"/>
  <c r="AG16" i="54"/>
  <c r="AF25" i="48"/>
  <c r="AD16" i="54"/>
  <c r="Y16" i="54"/>
  <c r="AD17" i="54"/>
  <c r="Y17" i="54"/>
  <c r="AB16" i="54"/>
  <c r="AG27" i="54"/>
  <c r="AD28" i="54"/>
  <c r="AG17" i="54"/>
  <c r="AD27" i="54"/>
  <c r="Y18" i="54"/>
  <c r="CD13" i="47"/>
  <c r="AD30" i="48"/>
  <c r="CD9" i="47"/>
  <c r="G15" i="48"/>
  <c r="Z16" i="48"/>
  <c r="AB17" i="48" s="1"/>
  <c r="F16" i="48"/>
  <c r="H16" i="48" s="1"/>
  <c r="G18" i="48"/>
  <c r="BW7" i="39" a="1"/>
  <c r="BW7" i="39" s="1"/>
  <c r="BX35" i="39" a="1"/>
  <c r="BX35" i="39" s="1"/>
  <c r="BX25" i="39" a="1"/>
  <c r="BX25" i="39" s="1"/>
  <c r="BW8" i="39" a="1"/>
  <c r="BW8" i="39" s="1"/>
  <c r="CC8" i="39" s="1"/>
  <c r="CE8" i="39" s="1"/>
  <c r="BX6" i="39" a="1"/>
  <c r="BX6" i="39" s="1"/>
  <c r="BX30" i="39" a="1"/>
  <c r="BX30" i="39" s="1"/>
  <c r="BW30" i="39" a="1"/>
  <c r="BW30" i="39" s="1"/>
  <c r="J20" i="50"/>
  <c r="L20" i="50"/>
  <c r="L33" i="50"/>
  <c r="CG19" i="39" a="1"/>
  <c r="CG19" i="39" s="1"/>
  <c r="AD13" i="54"/>
  <c r="AD11" i="54"/>
  <c r="AD12" i="54"/>
  <c r="AF15" i="50"/>
  <c r="K23" i="41"/>
  <c r="G20" i="48"/>
  <c r="G23" i="41"/>
  <c r="BW29" i="41" s="1" a="1"/>
  <c r="BW29" i="41" s="1"/>
  <c r="E20" i="48"/>
  <c r="AP23" i="41"/>
  <c r="AA38" i="48"/>
  <c r="Y35" i="48"/>
  <c r="AE16" i="50"/>
  <c r="AG16" i="50" s="1"/>
  <c r="Z36" i="48"/>
  <c r="Y37" i="48" s="1"/>
  <c r="G23" i="48"/>
  <c r="AD15" i="50"/>
  <c r="H21" i="45"/>
  <c r="CE29" i="49"/>
  <c r="L30" i="50" s="1"/>
  <c r="V20" i="48"/>
  <c r="V23" i="48"/>
  <c r="T20" i="48"/>
  <c r="CD15" i="49"/>
  <c r="T35" i="48"/>
  <c r="G21" i="45"/>
  <c r="K31" i="50"/>
  <c r="M31" i="50" s="1"/>
  <c r="BY13" i="39" a="1"/>
  <c r="BY13" i="39" s="1"/>
  <c r="AM18" i="48" a="1"/>
  <c r="AM18" i="48" s="1"/>
  <c r="CH21" i="39" a="1"/>
  <c r="CH21" i="39" s="1"/>
  <c r="BW10" i="39" a="1"/>
  <c r="BW10" i="39" s="1"/>
  <c r="K21" i="45"/>
  <c r="V38" i="48"/>
  <c r="AM23" i="48" a="1"/>
  <c r="AM23" i="48" s="1"/>
  <c r="CH16" i="39" a="1"/>
  <c r="CH16" i="39" s="1"/>
  <c r="CA19" i="39" a="1"/>
  <c r="CA19" i="39" s="1"/>
  <c r="CH31" i="39" a="1"/>
  <c r="CH31" i="39" s="1"/>
  <c r="CA15" i="39" a="1"/>
  <c r="CA15" i="39" s="1"/>
  <c r="CG22" i="39" a="1"/>
  <c r="CG22" i="39" s="1"/>
  <c r="U36" i="48"/>
  <c r="T37" i="48" s="1"/>
  <c r="BZ11" i="39" a="1"/>
  <c r="BZ11" i="39" s="1"/>
  <c r="AP21" i="45"/>
  <c r="BZ14" i="43" a="1"/>
  <c r="BZ14" i="43" s="1"/>
  <c r="L35" i="48"/>
  <c r="J35" i="48"/>
  <c r="L38" i="48"/>
  <c r="J38" i="48"/>
  <c r="J36" i="48"/>
  <c r="CD14" i="47"/>
  <c r="Q18" i="48" s="1"/>
  <c r="M37" i="48"/>
  <c r="M36" i="48"/>
  <c r="AE26" i="48"/>
  <c r="AD28" i="48" s="1"/>
  <c r="AF28" i="48"/>
  <c r="E31" i="54"/>
  <c r="AM23" i="50" a="1"/>
  <c r="AM23" i="50" s="1"/>
  <c r="CD16" i="47"/>
  <c r="Q10" i="48"/>
  <c r="Q13" i="48"/>
  <c r="AA25" i="48"/>
  <c r="AB26" i="48"/>
  <c r="AB27" i="48"/>
  <c r="Y27" i="48"/>
  <c r="Y28" i="48"/>
  <c r="AA28" i="48"/>
  <c r="CE23" i="47"/>
  <c r="Y25" i="48"/>
  <c r="AE37" i="55"/>
  <c r="O39" i="53"/>
  <c r="O42" i="53"/>
  <c r="N42" i="53"/>
  <c r="O41" i="53"/>
  <c r="C41" i="53"/>
  <c r="P41" i="53"/>
  <c r="M41" i="53"/>
  <c r="AE41" i="53" s="1"/>
  <c r="E42" i="53"/>
  <c r="M42" i="53"/>
  <c r="AE42" i="53" s="1"/>
  <c r="G40" i="53"/>
  <c r="O40" i="53"/>
  <c r="N41" i="53"/>
  <c r="C42" i="53"/>
  <c r="M40" i="53"/>
  <c r="AE40" i="53" s="1"/>
  <c r="P42" i="53"/>
  <c r="C40" i="53"/>
  <c r="E40" i="53"/>
  <c r="P40" i="53"/>
  <c r="G42" i="53"/>
  <c r="E41" i="53"/>
  <c r="N40" i="53"/>
  <c r="G41" i="53"/>
  <c r="AG12" i="54"/>
  <c r="AK18" i="50" a="1"/>
  <c r="AK18" i="50" s="1"/>
  <c r="H21" i="48"/>
  <c r="H22" i="48"/>
  <c r="E21" i="48"/>
  <c r="E22" i="48"/>
  <c r="AF23" i="48"/>
  <c r="AD20" i="48"/>
  <c r="Q35" i="48"/>
  <c r="O35" i="48"/>
  <c r="BX10" i="41" a="1"/>
  <c r="BX10" i="41" s="1"/>
  <c r="BX22" i="41" a="1"/>
  <c r="BX22" i="41" s="1"/>
  <c r="BW21" i="41" a="1"/>
  <c r="BW21" i="41" s="1"/>
  <c r="CC21" i="41" s="1"/>
  <c r="BX31" i="41" a="1"/>
  <c r="BX31" i="41" s="1"/>
  <c r="BX33" i="39" a="1"/>
  <c r="BX33" i="39" s="1"/>
  <c r="BX23" i="39" a="1"/>
  <c r="BX23" i="39" s="1"/>
  <c r="CC18" i="39" s="1"/>
  <c r="BW23" i="39" a="1"/>
  <c r="BW23" i="39" s="1"/>
  <c r="CC23" i="39" s="1"/>
  <c r="BY14" i="43" a="1"/>
  <c r="BY14" i="43" s="1"/>
  <c r="CB14" i="43" a="1"/>
  <c r="CB14" i="43" s="1"/>
  <c r="AM18" i="50" a="1"/>
  <c r="AM18" i="50" s="1"/>
  <c r="BZ15" i="43" a="1"/>
  <c r="BZ15" i="43" s="1"/>
  <c r="CB15" i="43" a="1"/>
  <c r="CB15" i="43" s="1"/>
  <c r="BY15" i="43" a="1"/>
  <c r="BY15" i="43" s="1"/>
  <c r="R12" i="48"/>
  <c r="R11" i="48"/>
  <c r="O12" i="48"/>
  <c r="AE21" i="48"/>
  <c r="AG22" i="48" s="1"/>
  <c r="BZ33" i="43" a="1"/>
  <c r="BZ33" i="43" s="1"/>
  <c r="V15" i="50"/>
  <c r="L23" i="50"/>
  <c r="Q15" i="50"/>
  <c r="M22" i="50"/>
  <c r="J22" i="50"/>
  <c r="M21" i="50"/>
  <c r="J21" i="50"/>
  <c r="CB29" i="39" a="1"/>
  <c r="CB29" i="39" s="1"/>
  <c r="CH28" i="39" a="1"/>
  <c r="CH28" i="39" s="1"/>
  <c r="BY22" i="39" a="1"/>
  <c r="BY22" i="39" s="1"/>
  <c r="CG12" i="39" a="1"/>
  <c r="CG12" i="39" s="1"/>
  <c r="CA31" i="39" a="1"/>
  <c r="CA31" i="39" s="1"/>
  <c r="CA21" i="39" a="1"/>
  <c r="CA21" i="39" s="1"/>
  <c r="BY11" i="39" a="1"/>
  <c r="BY11" i="39" s="1"/>
  <c r="CH18" i="39" a="1"/>
  <c r="CH18" i="39" s="1"/>
  <c r="CG13" i="39" a="1"/>
  <c r="CG13" i="39" s="1"/>
  <c r="CA20" i="39" a="1"/>
  <c r="CA20" i="39" s="1"/>
  <c r="CH33" i="39" a="1"/>
  <c r="CH33" i="39" s="1"/>
  <c r="BW27" i="39" a="1"/>
  <c r="BW27" i="39" s="1"/>
  <c r="CC27" i="39" s="1"/>
  <c r="BX24" i="39" a="1"/>
  <c r="BX24" i="39" s="1"/>
  <c r="CB11" i="39" a="1"/>
  <c r="CB11" i="39" s="1"/>
  <c r="CG26" i="39" a="1"/>
  <c r="CG26" i="39" s="1"/>
  <c r="P6" i="39"/>
  <c r="CB19" i="39" a="1"/>
  <c r="CB19" i="39" s="1"/>
  <c r="CF19" i="39" s="1"/>
  <c r="CA22" i="39" a="1"/>
  <c r="CA22" i="39" s="1"/>
  <c r="CG16" i="39" a="1"/>
  <c r="CG16" i="39" s="1"/>
  <c r="CG32" i="39" a="1"/>
  <c r="CG32" i="39" s="1"/>
  <c r="BZ13" i="39" a="1"/>
  <c r="BZ13" i="39" s="1"/>
  <c r="CA14" i="39" a="1"/>
  <c r="CA14" i="39" s="1"/>
  <c r="CG15" i="39" a="1"/>
  <c r="CG15" i="39" s="1"/>
  <c r="CH25" i="39" a="1"/>
  <c r="CH25" i="39" s="1"/>
  <c r="BY19" i="39" a="1"/>
  <c r="BY19" i="39" s="1"/>
  <c r="BY21" i="39" a="1"/>
  <c r="BY21" i="39" s="1"/>
  <c r="BZ9" i="39" a="1"/>
  <c r="BZ9" i="39" s="1"/>
  <c r="CB10" i="39" a="1"/>
  <c r="CB10" i="39" s="1"/>
  <c r="CF10" i="39" s="1"/>
  <c r="BX22" i="39" a="1"/>
  <c r="BX22" i="39" s="1"/>
  <c r="CH17" i="39" a="1"/>
  <c r="CH17" i="39" s="1"/>
  <c r="BW22" i="39" a="1"/>
  <c r="BW22" i="39" s="1"/>
  <c r="CC22" i="39" s="1"/>
  <c r="CG30" i="39" a="1"/>
  <c r="CG30" i="39" s="1"/>
  <c r="P7" i="39"/>
  <c r="CH32" i="39" a="1"/>
  <c r="CH32" i="39" s="1"/>
  <c r="CB9" i="39" a="1"/>
  <c r="CB9" i="39" s="1"/>
  <c r="CF9" i="39" s="1"/>
  <c r="CH8" i="39" a="1"/>
  <c r="CH8" i="39" s="1"/>
  <c r="CB34" i="39" a="1"/>
  <c r="CB34" i="39" s="1"/>
  <c r="CH29" i="39" a="1"/>
  <c r="CH29" i="39" s="1"/>
  <c r="CA12" i="39" a="1"/>
  <c r="CA12" i="39" s="1"/>
  <c r="P8" i="39"/>
  <c r="T8" i="39" s="1"/>
  <c r="CH13" i="39" a="1"/>
  <c r="CH13" i="39" s="1"/>
  <c r="CA10" i="39" a="1"/>
  <c r="CA10" i="39" s="1"/>
  <c r="CG25" i="39" a="1"/>
  <c r="CG25" i="39" s="1"/>
  <c r="CA11" i="39" a="1"/>
  <c r="CA11" i="39" s="1"/>
  <c r="BZ21" i="39" a="1"/>
  <c r="BZ21" i="39" s="1"/>
  <c r="BY9" i="39" a="1"/>
  <c r="BY9" i="39" s="1"/>
  <c r="BW12" i="39" a="1"/>
  <c r="BW12" i="39" s="1"/>
  <c r="BX27" i="39" a="1"/>
  <c r="BX27" i="39" s="1"/>
  <c r="CG20" i="39" a="1"/>
  <c r="CG20" i="39" s="1"/>
  <c r="CG29" i="39" a="1"/>
  <c r="CG29" i="39" s="1"/>
  <c r="CB31" i="39" a="1"/>
  <c r="CB31" i="39" s="1"/>
  <c r="BY31" i="39" a="1"/>
  <c r="BY31" i="39" s="1"/>
  <c r="CB32" i="39" a="1"/>
  <c r="CB32" i="39" s="1"/>
  <c r="CH30" i="39" a="1"/>
  <c r="CH30" i="39" s="1"/>
  <c r="CH19" i="39" a="1"/>
  <c r="CH19" i="39" s="1"/>
  <c r="BZ27" i="39" a="1"/>
  <c r="BZ27" i="39" s="1"/>
  <c r="CA29" i="39" a="1"/>
  <c r="CA29" i="39" s="1"/>
  <c r="CG7" i="39" a="1"/>
  <c r="CG7" i="39" s="1"/>
  <c r="CG31" i="39" a="1"/>
  <c r="CG31" i="39" s="1"/>
  <c r="CA9" i="39" a="1"/>
  <c r="CA9" i="39" s="1"/>
  <c r="BX32" i="39" a="1"/>
  <c r="BX32" i="39" s="1"/>
  <c r="BX19" i="39" a="1"/>
  <c r="BX19" i="39" s="1"/>
  <c r="BW24" i="39" a="1"/>
  <c r="BW24" i="39" s="1"/>
  <c r="CG21" i="39" a="1"/>
  <c r="CG21" i="39" s="1"/>
  <c r="CG11" i="39" a="1"/>
  <c r="CG11" i="39" s="1"/>
  <c r="CH23" i="39" a="1"/>
  <c r="CH23" i="39" s="1"/>
  <c r="BX20" i="39" a="1"/>
  <c r="BX20" i="39" s="1"/>
  <c r="BW13" i="39" a="1"/>
  <c r="BW13" i="39" s="1"/>
  <c r="AE31" i="48"/>
  <c r="AG31" i="48" s="1"/>
  <c r="P10" i="39"/>
  <c r="CA27" i="39" a="1"/>
  <c r="CA27" i="39" s="1"/>
  <c r="CB27" i="39" a="1"/>
  <c r="CB27" i="39" s="1"/>
  <c r="BZ34" i="39" a="1"/>
  <c r="BZ34" i="39" s="1"/>
  <c r="CG17" i="39" a="1"/>
  <c r="CG17" i="39" s="1"/>
  <c r="BY32" i="39" a="1"/>
  <c r="BY32" i="39" s="1"/>
  <c r="CG10" i="39" a="1"/>
  <c r="CG10" i="39" s="1"/>
  <c r="CH34" i="39" a="1"/>
  <c r="CH34" i="39" s="1"/>
  <c r="CG14" i="39" a="1"/>
  <c r="CG14" i="39" s="1"/>
  <c r="CG28" i="39" a="1"/>
  <c r="CG28" i="39" s="1"/>
  <c r="CH6" i="39" a="1"/>
  <c r="CH6" i="39" s="1"/>
  <c r="BX9" i="39" a="1"/>
  <c r="BX9" i="39" s="1"/>
  <c r="BW14" i="39" a="1"/>
  <c r="BW14" i="39" s="1"/>
  <c r="CH35" i="39" a="1"/>
  <c r="CH35" i="39" s="1"/>
  <c r="CA13" i="39" a="1"/>
  <c r="CA13" i="39" s="1"/>
  <c r="BY10" i="39" a="1"/>
  <c r="BY10" i="39" s="1"/>
  <c r="BZ26" i="39" a="1"/>
  <c r="BZ26" i="39" s="1"/>
  <c r="CH15" i="39" a="1"/>
  <c r="CH15" i="39" s="1"/>
  <c r="BZ31" i="39" a="1"/>
  <c r="BZ31" i="39" s="1"/>
  <c r="BZ10" i="39" a="1"/>
  <c r="BZ10" i="39" s="1"/>
  <c r="CG6" i="39" a="1"/>
  <c r="CG6" i="39" s="1"/>
  <c r="CG8" i="39" a="1"/>
  <c r="CG8" i="39" s="1"/>
  <c r="CG23" i="39" a="1"/>
  <c r="CG23" i="39" s="1"/>
  <c r="BZ24" i="39" a="1"/>
  <c r="BZ24" i="39" s="1"/>
  <c r="CB21" i="39" a="1"/>
  <c r="CB21" i="39" s="1"/>
  <c r="CB26" i="39" a="1"/>
  <c r="CB26" i="39" s="1"/>
  <c r="BZ10" i="43" a="1"/>
  <c r="BZ10" i="43" s="1"/>
  <c r="CG33" i="39" a="1"/>
  <c r="CG33" i="39" s="1"/>
  <c r="CA24" i="39" a="1"/>
  <c r="CA24" i="39" s="1"/>
  <c r="CE23" i="49"/>
  <c r="CG34" i="39" a="1"/>
  <c r="CG34" i="39" s="1"/>
  <c r="CG35" i="39" a="1"/>
  <c r="CG35" i="39" s="1"/>
  <c r="BY34" i="39" a="1"/>
  <c r="BY34" i="39" s="1"/>
  <c r="BY12" i="39" a="1"/>
  <c r="BY12" i="39" s="1"/>
  <c r="BZ22" i="39" a="1"/>
  <c r="BZ22" i="39" s="1"/>
  <c r="CG24" i="39" a="1"/>
  <c r="CG24" i="39" s="1"/>
  <c r="CH11" i="39" a="1"/>
  <c r="CH11" i="39" s="1"/>
  <c r="BZ29" i="39" a="1"/>
  <c r="BZ29" i="39" s="1"/>
  <c r="CH20" i="39" a="1"/>
  <c r="CH20" i="39" s="1"/>
  <c r="BZ32" i="39" a="1"/>
  <c r="BZ32" i="39" s="1"/>
  <c r="CH22" i="39" a="1"/>
  <c r="CH22" i="39" s="1"/>
  <c r="BW9" i="39" a="1"/>
  <c r="BW9" i="39" s="1"/>
  <c r="BX13" i="39" a="1"/>
  <c r="BX13" i="39" s="1"/>
  <c r="BY27" i="39" a="1"/>
  <c r="BY27" i="39" s="1"/>
  <c r="Q28" i="48"/>
  <c r="CG18" i="39" a="1"/>
  <c r="CG18" i="39" s="1"/>
  <c r="P11" i="39"/>
  <c r="CA26" i="39" a="1"/>
  <c r="CA26" i="39" s="1"/>
  <c r="Q25" i="48"/>
  <c r="AF30" i="48"/>
  <c r="P26" i="48"/>
  <c r="R27" i="48" s="1"/>
  <c r="BY24" i="39" a="1"/>
  <c r="BY24" i="39" s="1"/>
  <c r="CH7" i="39" a="1"/>
  <c r="CH7" i="39" s="1"/>
  <c r="CH24" i="39" a="1"/>
  <c r="CH24" i="39" s="1"/>
  <c r="P9" i="39"/>
  <c r="CB22" i="39" a="1"/>
  <c r="CB22" i="39" s="1"/>
  <c r="CB12" i="39" a="1"/>
  <c r="CB12" i="39" s="1"/>
  <c r="CB24" i="39" a="1"/>
  <c r="CB24" i="39" s="1"/>
  <c r="CG27" i="39" a="1"/>
  <c r="CG27" i="39" s="1"/>
  <c r="CB13" i="39" a="1"/>
  <c r="CB13" i="39" s="1"/>
  <c r="CA32" i="39" a="1"/>
  <c r="CA32" i="39" s="1"/>
  <c r="BX29" i="39" a="1"/>
  <c r="BX29" i="39" s="1"/>
  <c r="BX15" i="39" a="1"/>
  <c r="BX15" i="39" s="1"/>
  <c r="CC10" i="39" s="1"/>
  <c r="CH23" i="43" a="1"/>
  <c r="CH23" i="43" s="1"/>
  <c r="BZ12" i="39" a="1"/>
  <c r="BZ12" i="39" s="1"/>
  <c r="CH26" i="39" a="1"/>
  <c r="CH26" i="39" s="1"/>
  <c r="CH12" i="39" a="1"/>
  <c r="CH12" i="39" s="1"/>
  <c r="CH9" i="39" a="1"/>
  <c r="CH9" i="39" s="1"/>
  <c r="CD13" i="49"/>
  <c r="V18" i="50" s="1"/>
  <c r="O11" i="48"/>
  <c r="CA34" i="39" a="1"/>
  <c r="CA34" i="39" s="1"/>
  <c r="CH27" i="39" a="1"/>
  <c r="CH27" i="39" s="1"/>
  <c r="CH10" i="39" a="1"/>
  <c r="CH10" i="39" s="1"/>
  <c r="BZ19" i="39" a="1"/>
  <c r="BZ19" i="39" s="1"/>
  <c r="CG9" i="39" a="1"/>
  <c r="CG9" i="39" s="1"/>
  <c r="BY29" i="39" a="1"/>
  <c r="BY29" i="39" s="1"/>
  <c r="CH14" i="39" a="1"/>
  <c r="CH14" i="39" s="1"/>
  <c r="BY26" i="39" a="1"/>
  <c r="BY26" i="39" s="1"/>
  <c r="BW21" i="39" a="1"/>
  <c r="BW21" i="39" s="1"/>
  <c r="CC21" i="39" s="1"/>
  <c r="BX31" i="39" a="1"/>
  <c r="BX31" i="39" s="1"/>
  <c r="E38" i="54"/>
  <c r="E36" i="54"/>
  <c r="E37" i="54"/>
  <c r="H36" i="54"/>
  <c r="BX18" i="43" a="1"/>
  <c r="BX18" i="43" s="1"/>
  <c r="CG30" i="43" a="1"/>
  <c r="CG30" i="43" s="1"/>
  <c r="H32" i="54"/>
  <c r="BX33" i="43" a="1"/>
  <c r="BX33" i="43" s="1"/>
  <c r="CA9" i="43" a="1"/>
  <c r="CA9" i="43" s="1"/>
  <c r="BY10" i="43" a="1"/>
  <c r="BY10" i="43" s="1"/>
  <c r="CG26" i="43" a="1"/>
  <c r="CG26" i="43" s="1"/>
  <c r="E33" i="54"/>
  <c r="CH10" i="43" a="1"/>
  <c r="CH10" i="43" s="1"/>
  <c r="CA22" i="43" a="1"/>
  <c r="CA22" i="43" s="1"/>
  <c r="BY9" i="43" a="1"/>
  <c r="BY9" i="43" s="1"/>
  <c r="CA15" i="43" a="1"/>
  <c r="CA15" i="43" s="1"/>
  <c r="CG25" i="43" a="1"/>
  <c r="CG25" i="43" s="1"/>
  <c r="L28" i="50"/>
  <c r="BY20" i="43" a="1"/>
  <c r="BY20" i="43" s="1"/>
  <c r="BW16" i="43" a="1"/>
  <c r="BW16" i="43" s="1"/>
  <c r="CC16" i="43" s="1"/>
  <c r="CH7" i="43" a="1"/>
  <c r="CH7" i="43" s="1"/>
  <c r="BY28" i="43" a="1"/>
  <c r="BY28" i="43" s="1"/>
  <c r="CB26" i="43" a="1"/>
  <c r="CB26" i="43" s="1"/>
  <c r="BZ20" i="43" a="1"/>
  <c r="BZ20" i="43" s="1"/>
  <c r="CH13" i="43" a="1"/>
  <c r="CH13" i="43" s="1"/>
  <c r="CB10" i="43" a="1"/>
  <c r="CB10" i="43" s="1"/>
  <c r="BY27" i="43" a="1"/>
  <c r="BY27" i="43" s="1"/>
  <c r="Q10" i="43"/>
  <c r="S10" i="43" s="1"/>
  <c r="BX15" i="43" a="1"/>
  <c r="BX15" i="43" s="1"/>
  <c r="BY21" i="43" a="1"/>
  <c r="BY21" i="43" s="1"/>
  <c r="BX20" i="43" a="1"/>
  <c r="BX20" i="43" s="1"/>
  <c r="CG10" i="43" a="1"/>
  <c r="CG10" i="43" s="1"/>
  <c r="BX16" i="43" a="1"/>
  <c r="BX16" i="43" s="1"/>
  <c r="CG21" i="43" a="1"/>
  <c r="CG21" i="43" s="1"/>
  <c r="CA17" i="43" a="1"/>
  <c r="CA17" i="43" s="1"/>
  <c r="BX14" i="43" a="1"/>
  <c r="BX14" i="43" s="1"/>
  <c r="CA20" i="43" a="1"/>
  <c r="CA20" i="43" s="1"/>
  <c r="Q7" i="43"/>
  <c r="V7" i="43" s="1"/>
  <c r="BW23" i="43" a="1"/>
  <c r="BW23" i="43" s="1"/>
  <c r="P7" i="43"/>
  <c r="BW20" i="43" a="1"/>
  <c r="BW20" i="43" s="1"/>
  <c r="CH9" i="43" a="1"/>
  <c r="CH9" i="43" s="1"/>
  <c r="BX21" i="43" a="1"/>
  <c r="BX21" i="43" s="1"/>
  <c r="CH6" i="43" a="1"/>
  <c r="CH6" i="43" s="1"/>
  <c r="CA19" i="43" a="1"/>
  <c r="CA19" i="43" s="1"/>
  <c r="Q6" i="43"/>
  <c r="BW10" i="43" a="1"/>
  <c r="BW10" i="43" s="1"/>
  <c r="CA32" i="43" a="1"/>
  <c r="CA32" i="43" s="1"/>
  <c r="CA28" i="43" a="1"/>
  <c r="CA28" i="43" s="1"/>
  <c r="BY17" i="43" a="1"/>
  <c r="BY17" i="43" s="1"/>
  <c r="BW15" i="43" a="1"/>
  <c r="BW15" i="43" s="1"/>
  <c r="E32" i="54"/>
  <c r="CA31" i="43" a="1"/>
  <c r="CA31" i="43" s="1"/>
  <c r="BY16" i="43" a="1"/>
  <c r="BY16" i="43" s="1"/>
  <c r="CG35" i="43" a="1"/>
  <c r="CG35" i="43" s="1"/>
  <c r="BW9" i="43" a="1"/>
  <c r="BW9" i="43" s="1"/>
  <c r="BZ17" i="43" a="1"/>
  <c r="BZ17" i="43" s="1"/>
  <c r="CG33" i="43" a="1"/>
  <c r="CG33" i="43" s="1"/>
  <c r="CG28" i="43" a="1"/>
  <c r="CG28" i="43" s="1"/>
  <c r="BW17" i="43" a="1"/>
  <c r="BW17" i="43" s="1"/>
  <c r="BY26" i="43" a="1"/>
  <c r="BY26" i="43" s="1"/>
  <c r="CB31" i="43" a="1"/>
  <c r="CB31" i="43" s="1"/>
  <c r="CH25" i="43" a="1"/>
  <c r="CH25" i="43" s="1"/>
  <c r="CH31" i="43" a="1"/>
  <c r="CH31" i="43" s="1"/>
  <c r="P9" i="43"/>
  <c r="BX17" i="43" a="1"/>
  <c r="BX17" i="43" s="1"/>
  <c r="BW28" i="43" a="1"/>
  <c r="BW28" i="43" s="1"/>
  <c r="P8" i="43"/>
  <c r="CH8" i="43" a="1"/>
  <c r="CH8" i="43" s="1"/>
  <c r="CG16" i="43" a="1"/>
  <c r="CG16" i="43" s="1"/>
  <c r="AE21" i="50"/>
  <c r="AG21" i="50" s="1"/>
  <c r="AD20" i="50"/>
  <c r="BY33" i="43" a="1"/>
  <c r="BY33" i="43" s="1"/>
  <c r="BZ19" i="43" a="1"/>
  <c r="BZ19" i="43" s="1"/>
  <c r="P6" i="43"/>
  <c r="CG8" i="43" a="1"/>
  <c r="CG8" i="43" s="1"/>
  <c r="CG34" i="43" a="1"/>
  <c r="CG34" i="43" s="1"/>
  <c r="CG19" i="43" a="1"/>
  <c r="CG19" i="43" s="1"/>
  <c r="CB32" i="43" a="1"/>
  <c r="CB32" i="43" s="1"/>
  <c r="BX32" i="43" a="1"/>
  <c r="BX32" i="43" s="1"/>
  <c r="CA26" i="43" a="1"/>
  <c r="CA26" i="43" s="1"/>
  <c r="CG27" i="43" a="1"/>
  <c r="CG27" i="43" s="1"/>
  <c r="CB18" i="43" a="1"/>
  <c r="CB18" i="43" s="1"/>
  <c r="CA21" i="43" a="1"/>
  <c r="CA21" i="43" s="1"/>
  <c r="AD30" i="50"/>
  <c r="AE31" i="50"/>
  <c r="AD33" i="50" s="1"/>
  <c r="AF33" i="50"/>
  <c r="CH24" i="43" a="1"/>
  <c r="CH24" i="43" s="1"/>
  <c r="CG23" i="43" a="1"/>
  <c r="CG23" i="43" s="1"/>
  <c r="BZ26" i="43" a="1"/>
  <c r="BZ26" i="43" s="1"/>
  <c r="BY19" i="43" a="1"/>
  <c r="BY19" i="43" s="1"/>
  <c r="BX21" i="39" a="1"/>
  <c r="BX21" i="39" s="1"/>
  <c r="CG29" i="43" a="1"/>
  <c r="CG29" i="43" s="1"/>
  <c r="CB19" i="43" a="1"/>
  <c r="CB19" i="43" s="1"/>
  <c r="BW20" i="39" a="1"/>
  <c r="BW20" i="39" s="1"/>
  <c r="BX9" i="43" a="1"/>
  <c r="BX9" i="43" s="1"/>
  <c r="CE17" i="49"/>
  <c r="Q7" i="39"/>
  <c r="S7" i="39" s="1"/>
  <c r="BW26" i="43" a="1"/>
  <c r="BW26" i="43" s="1"/>
  <c r="CC26" i="43" s="1"/>
  <c r="BW29" i="39" a="1"/>
  <c r="BW29" i="39" s="1"/>
  <c r="CA16" i="43" a="1"/>
  <c r="CA16" i="43" s="1"/>
  <c r="R36" i="50"/>
  <c r="CG13" i="43" a="1"/>
  <c r="CG13" i="43" s="1"/>
  <c r="BX19" i="43" a="1"/>
  <c r="BX19" i="43" s="1"/>
  <c r="BW32" i="39" a="1"/>
  <c r="BW32" i="39" s="1"/>
  <c r="CC32" i="39" s="1"/>
  <c r="BX31" i="43" a="1"/>
  <c r="BX31" i="43" s="1"/>
  <c r="BX11" i="39" a="1"/>
  <c r="BX11" i="39" s="1"/>
  <c r="BW19" i="39" a="1"/>
  <c r="BW19" i="39" s="1"/>
  <c r="BW11" i="39" a="1"/>
  <c r="BW11" i="39" s="1"/>
  <c r="BX10" i="39" a="1"/>
  <c r="BX10" i="39" s="1"/>
  <c r="Q10" i="39"/>
  <c r="U10" i="39" s="1"/>
  <c r="BX22" i="43" a="1"/>
  <c r="BX22" i="43" s="1"/>
  <c r="CH26" i="43" a="1"/>
  <c r="CH26" i="43" s="1"/>
  <c r="BX26" i="39" a="1"/>
  <c r="BX26" i="39" s="1"/>
  <c r="BX12" i="39" a="1"/>
  <c r="BX12" i="39" s="1"/>
  <c r="BW15" i="39" a="1"/>
  <c r="BW15" i="39" s="1"/>
  <c r="BX14" i="39" a="1"/>
  <c r="BX14" i="39" s="1"/>
  <c r="BW31" i="39" a="1"/>
  <c r="BW31" i="39" s="1"/>
  <c r="CC31" i="39" s="1"/>
  <c r="CG32" i="43" a="1"/>
  <c r="CG32" i="43" s="1"/>
  <c r="CH12" i="43" a="1"/>
  <c r="CH12" i="43" s="1"/>
  <c r="BY22" i="43" a="1"/>
  <c r="BY22" i="43" s="1"/>
  <c r="CB33" i="43" a="1"/>
  <c r="CB33" i="43" s="1"/>
  <c r="CH32" i="43" a="1"/>
  <c r="CH32" i="43" s="1"/>
  <c r="CB28" i="43" a="1"/>
  <c r="CB28" i="43" s="1"/>
  <c r="BW14" i="43" a="1"/>
  <c r="BW14" i="43" s="1"/>
  <c r="BX27" i="43" a="1"/>
  <c r="BX27" i="43" s="1"/>
  <c r="P10" i="43"/>
  <c r="BZ16" i="43" a="1"/>
  <c r="BZ16" i="43" s="1"/>
  <c r="CH14" i="43" a="1"/>
  <c r="CH14" i="43" s="1"/>
  <c r="CB23" i="43" a="1"/>
  <c r="CB23" i="43" s="1"/>
  <c r="CG18" i="43" a="1"/>
  <c r="CG18" i="43" s="1"/>
  <c r="BY31" i="43" a="1"/>
  <c r="BY31" i="43" s="1"/>
  <c r="CH17" i="43" a="1"/>
  <c r="CH17" i="43" s="1"/>
  <c r="CA10" i="43" a="1"/>
  <c r="CA10" i="43" s="1"/>
  <c r="BY23" i="43" a="1"/>
  <c r="BY23" i="43" s="1"/>
  <c r="Q9" i="43"/>
  <c r="V9" i="43" s="1"/>
  <c r="BX28" i="43" a="1"/>
  <c r="BX28" i="43" s="1"/>
  <c r="CG31" i="43" a="1"/>
  <c r="CG31" i="43" s="1"/>
  <c r="BW27" i="43" a="1"/>
  <c r="BW27" i="43" s="1"/>
  <c r="CC27" i="43" s="1"/>
  <c r="Q11" i="43"/>
  <c r="S11" i="43" s="1"/>
  <c r="CH18" i="43" a="1"/>
  <c r="CH18" i="43" s="1"/>
  <c r="CH28" i="43" a="1"/>
  <c r="CH28" i="43" s="1"/>
  <c r="BX23" i="43" a="1"/>
  <c r="BX23" i="43" s="1"/>
  <c r="BZ23" i="43" a="1"/>
  <c r="BZ23" i="43" s="1"/>
  <c r="CG12" i="43" a="1"/>
  <c r="CG12" i="43" s="1"/>
  <c r="CB27" i="43" a="1"/>
  <c r="CB27" i="43" s="1"/>
  <c r="CG15" i="43" a="1"/>
  <c r="CG15" i="43" s="1"/>
  <c r="BW31" i="43" a="1"/>
  <c r="BW31" i="43" s="1"/>
  <c r="CC31" i="43" s="1"/>
  <c r="CH11" i="43" a="1"/>
  <c r="CH11" i="43" s="1"/>
  <c r="CG14" i="43" a="1"/>
  <c r="CG14" i="43" s="1"/>
  <c r="CB17" i="43" a="1"/>
  <c r="CB17" i="43" s="1"/>
  <c r="CG22" i="43" a="1"/>
  <c r="CG22" i="43" s="1"/>
  <c r="N37" i="59"/>
  <c r="M37" i="59"/>
  <c r="P37" i="59"/>
  <c r="G37" i="59"/>
  <c r="E37" i="59"/>
  <c r="AL26" i="60" a="1"/>
  <c r="AL26" i="60" s="1"/>
  <c r="AL36" i="60" a="1"/>
  <c r="AL36" i="60" s="1"/>
  <c r="Q37" i="59"/>
  <c r="AL31" i="60" a="1"/>
  <c r="AL31" i="60" s="1"/>
  <c r="C37" i="59"/>
  <c r="O37" i="59"/>
  <c r="AL11" i="60" a="1"/>
  <c r="AL11" i="60" s="1"/>
  <c r="AL16" i="60" a="1"/>
  <c r="AL16" i="60" s="1"/>
  <c r="CG20" i="43" a="1"/>
  <c r="CG20" i="43" s="1"/>
  <c r="BZ32" i="43" a="1"/>
  <c r="BZ32" i="43" s="1"/>
  <c r="BW18" i="43" a="1"/>
  <c r="BW18" i="43" s="1"/>
  <c r="BZ18" i="43" a="1"/>
  <c r="BZ18" i="43" s="1"/>
  <c r="BW33" i="43" a="1"/>
  <c r="BW33" i="43" s="1"/>
  <c r="Q8" i="43"/>
  <c r="CA18" i="43" a="1"/>
  <c r="CA18" i="43" s="1"/>
  <c r="CH30" i="43" a="1"/>
  <c r="CH30" i="43" s="1"/>
  <c r="CB9" i="43" a="1"/>
  <c r="CB9" i="43" s="1"/>
  <c r="CA33" i="43" a="1"/>
  <c r="CA33" i="43" s="1"/>
  <c r="CH33" i="43" a="1"/>
  <c r="CH33" i="43" s="1"/>
  <c r="BW22" i="43" a="1"/>
  <c r="BW22" i="43" s="1"/>
  <c r="CC22" i="43" s="1"/>
  <c r="CG24" i="43" a="1"/>
  <c r="CG24" i="43" s="1"/>
  <c r="CB22" i="43" a="1"/>
  <c r="CB22" i="43" s="1"/>
  <c r="CH34" i="43" a="1"/>
  <c r="CH34" i="43" s="1"/>
  <c r="BZ21" i="43" a="1"/>
  <c r="BZ21" i="43" s="1"/>
  <c r="BY18" i="43" a="1"/>
  <c r="BY18" i="43" s="1"/>
  <c r="BZ22" i="43" a="1"/>
  <c r="BZ22" i="43" s="1"/>
  <c r="BX26" i="43" a="1"/>
  <c r="BX26" i="43" s="1"/>
  <c r="CH15" i="43" a="1"/>
  <c r="CH15" i="43" s="1"/>
  <c r="BZ28" i="43" a="1"/>
  <c r="BZ28" i="43" s="1"/>
  <c r="CH27" i="43" a="1"/>
  <c r="CH27" i="43" s="1"/>
  <c r="P11" i="43"/>
  <c r="CH16" i="43" a="1"/>
  <c r="CH16" i="43" s="1"/>
  <c r="CH20" i="43" a="1"/>
  <c r="CH20" i="43" s="1"/>
  <c r="O13" i="48"/>
  <c r="CG6" i="43" a="1"/>
  <c r="CG6" i="43" s="1"/>
  <c r="BZ31" i="43" a="1"/>
  <c r="BZ31" i="43" s="1"/>
  <c r="CH21" i="43" a="1"/>
  <c r="CH21" i="43" s="1"/>
  <c r="CH35" i="43" a="1"/>
  <c r="CH35" i="43" s="1"/>
  <c r="CH22" i="43" a="1"/>
  <c r="CH22" i="43" s="1"/>
  <c r="CG17" i="43" a="1"/>
  <c r="CG17" i="43" s="1"/>
  <c r="T32" i="50"/>
  <c r="E20" i="50"/>
  <c r="CE33" i="49"/>
  <c r="Q9" i="39"/>
  <c r="V9" i="39" s="1"/>
  <c r="BZ34" i="43" a="1"/>
  <c r="BZ34" i="43" s="1"/>
  <c r="BX29" i="43" a="1"/>
  <c r="BX29" i="43" s="1"/>
  <c r="BX24" i="43" a="1"/>
  <c r="BX24" i="43" s="1"/>
  <c r="CA27" i="43" a="1"/>
  <c r="CA27" i="43" s="1"/>
  <c r="BZ11" i="43" a="1"/>
  <c r="BZ11" i="43" s="1"/>
  <c r="BW19" i="43" a="1"/>
  <c r="BW19" i="43" s="1"/>
  <c r="BZ24" i="43" a="1"/>
  <c r="BZ24" i="43" s="1"/>
  <c r="BY24" i="43" a="1"/>
  <c r="BY24" i="43" s="1"/>
  <c r="BW12" i="43" a="1"/>
  <c r="BW12" i="43" s="1"/>
  <c r="CA13" i="43" a="1"/>
  <c r="CA13" i="43" s="1"/>
  <c r="BW13" i="43" a="1"/>
  <c r="BW13" i="43" s="1"/>
  <c r="BY11" i="43" a="1"/>
  <c r="BY11" i="43" s="1"/>
  <c r="CB24" i="43" a="1"/>
  <c r="CB24" i="43" s="1"/>
  <c r="CB13" i="43" a="1"/>
  <c r="CB13" i="43" s="1"/>
  <c r="BX13" i="43" a="1"/>
  <c r="BX13" i="43" s="1"/>
  <c r="BZ27" i="43" a="1"/>
  <c r="BZ27" i="43" s="1"/>
  <c r="CA14" i="43" a="1"/>
  <c r="CA14" i="43" s="1"/>
  <c r="CB11" i="43" a="1"/>
  <c r="CB11" i="43" s="1"/>
  <c r="BZ29" i="43" a="1"/>
  <c r="BZ29" i="43" s="1"/>
  <c r="CA23" i="43" a="1"/>
  <c r="CA23" i="43" s="1"/>
  <c r="BX12" i="43" a="1"/>
  <c r="BX12" i="43" s="1"/>
  <c r="CH29" i="43" a="1"/>
  <c r="CH29" i="43" s="1"/>
  <c r="CA29" i="43" a="1"/>
  <c r="CA29" i="43" s="1"/>
  <c r="BW29" i="43" a="1"/>
  <c r="BW29" i="43" s="1"/>
  <c r="BX10" i="43" a="1"/>
  <c r="BX10" i="43" s="1"/>
  <c r="CB21" i="43" a="1"/>
  <c r="CB21" i="43" s="1"/>
  <c r="BY12" i="43" a="1"/>
  <c r="BY12" i="43" s="1"/>
  <c r="BY34" i="43" a="1"/>
  <c r="BY34" i="43" s="1"/>
  <c r="BZ13" i="43" a="1"/>
  <c r="BZ13" i="43" s="1"/>
  <c r="BY29" i="43" a="1"/>
  <c r="BY29" i="43" s="1"/>
  <c r="CA34" i="43" a="1"/>
  <c r="CA34" i="43" s="1"/>
  <c r="BW24" i="43" a="1"/>
  <c r="BW24" i="43" s="1"/>
  <c r="CB16" i="43" a="1"/>
  <c r="CB16" i="43" s="1"/>
  <c r="BZ9" i="43" a="1"/>
  <c r="BZ9" i="43" s="1"/>
  <c r="CB12" i="43" a="1"/>
  <c r="CB12" i="43" s="1"/>
  <c r="CA12" i="43" a="1"/>
  <c r="CA12" i="43" s="1"/>
  <c r="BX34" i="43" a="1"/>
  <c r="BX34" i="43" s="1"/>
  <c r="BX11" i="43" a="1"/>
  <c r="BX11" i="43" s="1"/>
  <c r="CA11" i="43" a="1"/>
  <c r="CA11" i="43" s="1"/>
  <c r="CB34" i="43" a="1"/>
  <c r="CB34" i="43" s="1"/>
  <c r="BW32" i="43" a="1"/>
  <c r="BW32" i="43" s="1"/>
  <c r="CC32" i="43" s="1"/>
  <c r="CG7" i="43" a="1"/>
  <c r="CG7" i="43" s="1"/>
  <c r="CH19" i="43" a="1"/>
  <c r="CH19" i="43" s="1"/>
  <c r="BY13" i="43" a="1"/>
  <c r="BY13" i="43" s="1"/>
  <c r="CA24" i="43" a="1"/>
  <c r="CA24" i="43" s="1"/>
  <c r="CB29" i="43" a="1"/>
  <c r="CB29" i="43" s="1"/>
  <c r="BY32" i="43" a="1"/>
  <c r="BY32" i="43" s="1"/>
  <c r="BW11" i="43" a="1"/>
  <c r="BW11" i="43" s="1"/>
  <c r="CG11" i="43" a="1"/>
  <c r="CG11" i="43" s="1"/>
  <c r="CG9" i="43" a="1"/>
  <c r="CG9" i="43" s="1"/>
  <c r="BW21" i="43" a="1"/>
  <c r="BW21" i="43" s="1"/>
  <c r="CC21" i="43" s="1"/>
  <c r="BW34" i="43" a="1"/>
  <c r="BW34" i="43" s="1"/>
  <c r="BZ12" i="43" a="1"/>
  <c r="BZ12" i="43" s="1"/>
  <c r="CE34" i="49"/>
  <c r="V33" i="50"/>
  <c r="CB20" i="43" a="1"/>
  <c r="CB20" i="43" s="1"/>
  <c r="K22" i="45"/>
  <c r="X22" i="45"/>
  <c r="W22" i="45" s="1"/>
  <c r="D22" i="45"/>
  <c r="E22" i="45" s="1"/>
  <c r="G22" i="45"/>
  <c r="AP22" i="45"/>
  <c r="H22" i="45"/>
  <c r="AA38" i="50"/>
  <c r="W32" i="50"/>
  <c r="Q18" i="50"/>
  <c r="W31" i="50"/>
  <c r="T30" i="50"/>
  <c r="P16" i="50"/>
  <c r="O17" i="50" s="1"/>
  <c r="Q6" i="39"/>
  <c r="J13" i="48"/>
  <c r="BX34" i="39" a="1"/>
  <c r="BX34" i="39" s="1"/>
  <c r="V30" i="50"/>
  <c r="Q11" i="39"/>
  <c r="T11" i="39" s="1"/>
  <c r="X11" i="39" s="1"/>
  <c r="J13" i="52"/>
  <c r="AK22" i="58"/>
  <c r="AN22" i="58"/>
  <c r="AN21" i="58"/>
  <c r="AK16" i="58"/>
  <c r="AK17" i="58"/>
  <c r="AN16" i="58"/>
  <c r="AL16" i="56" a="1"/>
  <c r="AL16" i="56" s="1"/>
  <c r="AN16" i="56" s="1"/>
  <c r="AL11" i="56" a="1"/>
  <c r="AL11" i="56" s="1"/>
  <c r="AK11" i="56" s="1"/>
  <c r="AK22" i="56"/>
  <c r="AN21" i="56"/>
  <c r="AN22" i="56"/>
  <c r="AK21" i="56"/>
  <c r="AK27" i="56"/>
  <c r="AN26" i="56"/>
  <c r="AK26" i="56"/>
  <c r="AN27" i="56"/>
  <c r="AK36" i="56"/>
  <c r="AN36" i="56"/>
  <c r="AN37" i="56"/>
  <c r="AK37" i="56"/>
  <c r="AN31" i="56"/>
  <c r="AK32" i="56"/>
  <c r="AK31" i="56"/>
  <c r="AN32" i="56"/>
  <c r="M21" i="52"/>
  <c r="J21" i="52"/>
  <c r="O18" i="52"/>
  <c r="AP18" i="52" a="1"/>
  <c r="AP18" i="52" s="1"/>
  <c r="W31" i="52"/>
  <c r="Q13" i="50"/>
  <c r="AA35" i="50"/>
  <c r="AF20" i="50"/>
  <c r="P11" i="50"/>
  <c r="O12" i="50" s="1"/>
  <c r="Z36" i="50"/>
  <c r="Y37" i="50" s="1"/>
  <c r="X6" i="49"/>
  <c r="AP13" i="50" s="1" a="1"/>
  <c r="AP13" i="50" s="1"/>
  <c r="G20" i="50"/>
  <c r="G23" i="50"/>
  <c r="AA20" i="50"/>
  <c r="Q10" i="50"/>
  <c r="E21" i="50"/>
  <c r="E22" i="50"/>
  <c r="CI6" i="49"/>
  <c r="AF6" i="49" s="1"/>
  <c r="H22" i="50"/>
  <c r="O28" i="50"/>
  <c r="Q28" i="50"/>
  <c r="E23" i="48"/>
  <c r="O18" i="48"/>
  <c r="BW34" i="39" a="1"/>
  <c r="BW34" i="39" s="1"/>
  <c r="BW26" i="39" a="1"/>
  <c r="BW26" i="39" s="1"/>
  <c r="CC26" i="39" s="1"/>
  <c r="J31" i="52"/>
  <c r="R27" i="50"/>
  <c r="O25" i="50"/>
  <c r="R26" i="50"/>
  <c r="O26" i="50"/>
  <c r="Q25" i="50"/>
  <c r="CI16" i="49"/>
  <c r="AF8" i="49" s="1"/>
  <c r="V23" i="50"/>
  <c r="U21" i="50"/>
  <c r="T21" i="50" s="1"/>
  <c r="V20" i="50"/>
  <c r="O35" i="50"/>
  <c r="AA28" i="50"/>
  <c r="AG26" i="52"/>
  <c r="R12" i="52"/>
  <c r="AD27" i="52"/>
  <c r="Y26" i="50"/>
  <c r="AB26" i="50"/>
  <c r="AA25" i="50"/>
  <c r="Y25" i="50"/>
  <c r="Y28" i="50" s="1"/>
  <c r="Y27" i="50"/>
  <c r="AM20" i="50" a="1"/>
  <c r="AM20" i="50" s="1"/>
  <c r="CJ21" i="49"/>
  <c r="AG9" i="49" s="1"/>
  <c r="E26" i="50"/>
  <c r="E15" i="50"/>
  <c r="E27" i="50"/>
  <c r="AD25" i="50"/>
  <c r="AB16" i="52"/>
  <c r="Y17" i="52"/>
  <c r="E17" i="50"/>
  <c r="H17" i="50"/>
  <c r="E16" i="50"/>
  <c r="Y16" i="52"/>
  <c r="Y18" i="52"/>
  <c r="AE26" i="50"/>
  <c r="AD27" i="50" s="1"/>
  <c r="G18" i="50"/>
  <c r="AF25" i="50"/>
  <c r="CI21" i="49"/>
  <c r="AF9" i="49" s="1"/>
  <c r="AF28" i="50"/>
  <c r="G15" i="50"/>
  <c r="AM15" i="50" a="1"/>
  <c r="AM15" i="50" s="1"/>
  <c r="AB22" i="52"/>
  <c r="CJ26" i="49"/>
  <c r="AG10" i="49" s="1"/>
  <c r="T16" i="52"/>
  <c r="Q35" i="50"/>
  <c r="Q38" i="50"/>
  <c r="CD18" i="49"/>
  <c r="O37" i="50"/>
  <c r="R37" i="50"/>
  <c r="T38" i="52"/>
  <c r="O36" i="50"/>
  <c r="CI11" i="49"/>
  <c r="AF7" i="49" s="1"/>
  <c r="CJ11" i="49"/>
  <c r="AG7" i="49" s="1"/>
  <c r="X7" i="49" s="1"/>
  <c r="CJ16" i="49"/>
  <c r="AG8" i="49" s="1"/>
  <c r="X8" i="49" s="1"/>
  <c r="AA23" i="50"/>
  <c r="Y21" i="50"/>
  <c r="AB22" i="50"/>
  <c r="Y23" i="50"/>
  <c r="AB21" i="50"/>
  <c r="Y20" i="50"/>
  <c r="Q30" i="50"/>
  <c r="AD16" i="52"/>
  <c r="AG16" i="52"/>
  <c r="AG17" i="52"/>
  <c r="AD17" i="52"/>
  <c r="AG22" i="52"/>
  <c r="Q33" i="50"/>
  <c r="P31" i="50"/>
  <c r="O31" i="50" s="1"/>
  <c r="W32" i="52"/>
  <c r="O30" i="50"/>
  <c r="T31" i="52"/>
  <c r="T32" i="52"/>
  <c r="CI26" i="49"/>
  <c r="AF10" i="49" s="1"/>
  <c r="AD28" i="52"/>
  <c r="AD26" i="52"/>
  <c r="CI31" i="49"/>
  <c r="AF11" i="49" s="1"/>
  <c r="CJ31" i="49"/>
  <c r="AG11" i="49" s="1"/>
  <c r="V38" i="50"/>
  <c r="V35" i="50"/>
  <c r="U36" i="50"/>
  <c r="T38" i="50" s="1"/>
  <c r="O13" i="52"/>
  <c r="O11" i="52"/>
  <c r="O37" i="52"/>
  <c r="J27" i="52"/>
  <c r="O36" i="52"/>
  <c r="O38" i="52"/>
  <c r="R37" i="52"/>
  <c r="R11" i="52"/>
  <c r="W36" i="52"/>
  <c r="T23" i="52"/>
  <c r="T36" i="52"/>
  <c r="T22" i="52"/>
  <c r="W37" i="52"/>
  <c r="CJ26" i="43"/>
  <c r="AG10" i="43" s="1"/>
  <c r="CI26" i="43"/>
  <c r="AF10" i="43" s="1"/>
  <c r="J33" i="52"/>
  <c r="M32" i="52"/>
  <c r="J32" i="52"/>
  <c r="AD12" i="48"/>
  <c r="J26" i="52"/>
  <c r="M26" i="52"/>
  <c r="M27" i="52"/>
  <c r="AD11" i="48"/>
  <c r="AG11" i="48"/>
  <c r="AG12" i="48"/>
  <c r="H27" i="50"/>
  <c r="H26" i="50"/>
  <c r="T17" i="52"/>
  <c r="W17" i="52"/>
  <c r="W16" i="52"/>
  <c r="Y27" i="52"/>
  <c r="AD22" i="52"/>
  <c r="AG21" i="52"/>
  <c r="AD21" i="52"/>
  <c r="W22" i="52"/>
  <c r="W21" i="52"/>
  <c r="M22" i="52"/>
  <c r="J23" i="52"/>
  <c r="Y23" i="52"/>
  <c r="Y21" i="52"/>
  <c r="Y22" i="52"/>
  <c r="AP23" i="52" a="1"/>
  <c r="AP23" i="52" s="1"/>
  <c r="AP13" i="52" a="1"/>
  <c r="AP13" i="52" s="1"/>
  <c r="E38" i="53"/>
  <c r="N38" i="53"/>
  <c r="AB26" i="52"/>
  <c r="Y28" i="52"/>
  <c r="AB27" i="52"/>
  <c r="O38" i="53"/>
  <c r="G39" i="53"/>
  <c r="P38" i="53"/>
  <c r="B37" i="53"/>
  <c r="M38" i="53"/>
  <c r="AE38" i="53" s="1"/>
  <c r="C39" i="53"/>
  <c r="M39" i="53"/>
  <c r="AE39" i="53" s="1"/>
  <c r="N39" i="53"/>
  <c r="G38" i="53"/>
  <c r="P39" i="53"/>
  <c r="E39" i="53"/>
  <c r="C38" i="53"/>
  <c r="R32" i="52"/>
  <c r="O32" i="52"/>
  <c r="O33" i="52"/>
  <c r="O31" i="52"/>
  <c r="CC7" i="39"/>
  <c r="CD7" i="39" s="1"/>
  <c r="B37" i="51" a="1"/>
  <c r="B37" i="47" a="1"/>
  <c r="G23" i="45"/>
  <c r="AW23" i="45"/>
  <c r="AS23" i="45" s="1"/>
  <c r="CC33" i="39"/>
  <c r="CD33" i="39" s="1"/>
  <c r="BW6" i="45" a="1"/>
  <c r="BW6" i="45" s="1"/>
  <c r="BX6" i="45" a="1"/>
  <c r="BX6" i="45" s="1"/>
  <c r="BX7" i="45" a="1"/>
  <c r="BX7" i="45" s="1"/>
  <c r="BX25" i="45" a="1"/>
  <c r="BX25" i="45" s="1"/>
  <c r="BW30" i="45" a="1"/>
  <c r="BW30" i="45" s="1"/>
  <c r="BW35" i="45" a="1"/>
  <c r="BW35" i="45" s="1"/>
  <c r="BW7" i="45" a="1"/>
  <c r="BW7" i="45" s="1"/>
  <c r="BW25" i="45" a="1"/>
  <c r="BW25" i="45" s="1"/>
  <c r="BX8" i="45" a="1"/>
  <c r="BX8" i="45" s="1"/>
  <c r="BW8" i="45" a="1"/>
  <c r="BW8" i="45" s="1"/>
  <c r="BX30" i="45" a="1"/>
  <c r="BX30" i="45" s="1"/>
  <c r="BX35" i="45" a="1"/>
  <c r="BX35" i="45" s="1"/>
  <c r="AK35" i="42" a="1"/>
  <c r="AK35" i="42" s="1"/>
  <c r="AK38" i="42" a="1"/>
  <c r="AK38" i="42" s="1"/>
  <c r="CC17" i="39"/>
  <c r="CD17" i="39" s="1"/>
  <c r="CF17" i="39"/>
  <c r="Z21" i="40" s="1"/>
  <c r="CF16" i="39"/>
  <c r="CF25" i="39"/>
  <c r="F26" i="40" s="1"/>
  <c r="E28" i="40" s="1"/>
  <c r="CF18" i="39"/>
  <c r="T20" i="40" s="1"/>
  <c r="AP23" i="45"/>
  <c r="K23" i="45"/>
  <c r="CF35" i="39"/>
  <c r="H23" i="45"/>
  <c r="CF30" i="39"/>
  <c r="CF11" i="39"/>
  <c r="CC25" i="39"/>
  <c r="CE25" i="39" s="1"/>
  <c r="AP38" i="48" a="1"/>
  <c r="AP38" i="48" s="1"/>
  <c r="AK33" i="42" a="1"/>
  <c r="AK33" i="42" s="1"/>
  <c r="AP33" i="48" a="1"/>
  <c r="AP33" i="48" s="1"/>
  <c r="CF28" i="39"/>
  <c r="CF8" i="39"/>
  <c r="CC28" i="39"/>
  <c r="CF33" i="39"/>
  <c r="CC35" i="39"/>
  <c r="U8" i="39"/>
  <c r="S8" i="39"/>
  <c r="V8" i="39"/>
  <c r="CC6" i="39"/>
  <c r="AM38" i="42" a="1"/>
  <c r="AM38" i="42" s="1"/>
  <c r="CC30" i="39"/>
  <c r="CF23" i="39"/>
  <c r="CF6" i="39"/>
  <c r="CF7" i="39"/>
  <c r="CC16" i="39"/>
  <c r="AG12" i="52"/>
  <c r="AD12" i="52"/>
  <c r="AD11" i="52"/>
  <c r="AD13" i="52"/>
  <c r="AK28" i="42" a="1"/>
  <c r="AK28" i="42" s="1"/>
  <c r="AP28" i="48" a="1"/>
  <c r="AP28" i="48" s="1"/>
  <c r="AM28" i="42" a="1"/>
  <c r="AM28" i="42" s="1"/>
  <c r="H36" i="52"/>
  <c r="H37" i="52"/>
  <c r="E38" i="52"/>
  <c r="E36" i="52"/>
  <c r="E37" i="52"/>
  <c r="H27" i="52"/>
  <c r="E26" i="52"/>
  <c r="E27" i="52"/>
  <c r="E28" i="52"/>
  <c r="H26" i="52"/>
  <c r="E31" i="52"/>
  <c r="E32" i="52"/>
  <c r="E33" i="52"/>
  <c r="H31" i="52"/>
  <c r="H32" i="52"/>
  <c r="AP18" i="48" a="1"/>
  <c r="AP18" i="48" s="1"/>
  <c r="AP23" i="48" a="1"/>
  <c r="AP23" i="48" s="1"/>
  <c r="AS22" i="45"/>
  <c r="AK25" i="42" a="1"/>
  <c r="AK25" i="42" s="1"/>
  <c r="AK30" i="42" a="1"/>
  <c r="AK30" i="42" s="1"/>
  <c r="AP38" i="42" a="1"/>
  <c r="AP38" i="42" s="1"/>
  <c r="AM30" i="42" a="1"/>
  <c r="AM30" i="42" s="1"/>
  <c r="AM25" i="42" a="1"/>
  <c r="AM25" i="42" s="1"/>
  <c r="AP28" i="50" a="1"/>
  <c r="AP28" i="50" s="1"/>
  <c r="AN12" i="58"/>
  <c r="AK12" i="58"/>
  <c r="AN11" i="58"/>
  <c r="AK11" i="58"/>
  <c r="CB35" i="45" a="1"/>
  <c r="CB35" i="45" s="1"/>
  <c r="E16" i="48"/>
  <c r="CA30" i="45" a="1"/>
  <c r="CA30" i="45" s="1"/>
  <c r="BZ8" i="45" a="1"/>
  <c r="BZ8" i="45" s="1"/>
  <c r="BY35" i="45" a="1"/>
  <c r="BY35" i="45" s="1"/>
  <c r="CB6" i="45" a="1"/>
  <c r="CB6" i="45" s="1"/>
  <c r="BY25" i="45" a="1"/>
  <c r="BY25" i="45" s="1"/>
  <c r="BY7" i="45" a="1"/>
  <c r="BY7" i="45" s="1"/>
  <c r="BY6" i="45" a="1"/>
  <c r="BY6" i="45" s="1"/>
  <c r="CB8" i="45" a="1"/>
  <c r="CB8" i="45" s="1"/>
  <c r="BZ6" i="45" a="1"/>
  <c r="BZ6" i="45" s="1"/>
  <c r="CB25" i="45" a="1"/>
  <c r="CB25" i="45" s="1"/>
  <c r="BY8" i="45" a="1"/>
  <c r="BY8" i="45" s="1"/>
  <c r="CB30" i="45" a="1"/>
  <c r="CB30" i="45" s="1"/>
  <c r="CA25" i="45" a="1"/>
  <c r="CA25" i="45" s="1"/>
  <c r="H37" i="48"/>
  <c r="E38" i="48"/>
  <c r="E37" i="48"/>
  <c r="E36" i="48"/>
  <c r="BR5" i="45"/>
  <c r="CA7" i="45" a="1"/>
  <c r="CA7" i="45" s="1"/>
  <c r="BZ7" i="45" a="1"/>
  <c r="BZ7" i="45" s="1"/>
  <c r="BZ30" i="45" a="1"/>
  <c r="BZ30" i="45" s="1"/>
  <c r="BZ35" i="45" a="1"/>
  <c r="BZ35" i="45" s="1"/>
  <c r="CB7" i="45" a="1"/>
  <c r="CB7" i="45" s="1"/>
  <c r="CA8" i="45" a="1"/>
  <c r="CA8" i="45" s="1"/>
  <c r="BZ25" i="45" a="1"/>
  <c r="BZ25" i="45" s="1"/>
  <c r="CA35" i="45" a="1"/>
  <c r="CA35" i="45" s="1"/>
  <c r="BY30" i="45" a="1"/>
  <c r="BY30" i="45" s="1"/>
  <c r="CA6" i="45" a="1"/>
  <c r="CA6" i="45" s="1"/>
  <c r="J31" i="48"/>
  <c r="J32" i="48"/>
  <c r="M32" i="48"/>
  <c r="M31" i="48"/>
  <c r="AB11" i="48"/>
  <c r="J11" i="50"/>
  <c r="M12" i="50"/>
  <c r="AB12" i="48"/>
  <c r="AB12" i="50"/>
  <c r="M11" i="50"/>
  <c r="J13" i="50"/>
  <c r="T16" i="48"/>
  <c r="W16" i="48"/>
  <c r="T17" i="48"/>
  <c r="T18" i="48"/>
  <c r="W17" i="48"/>
  <c r="Y12" i="50"/>
  <c r="Y11" i="50"/>
  <c r="Y13" i="50"/>
  <c r="Y13" i="48"/>
  <c r="Y11" i="48"/>
  <c r="M36" i="50"/>
  <c r="Y17" i="48"/>
  <c r="M37" i="50"/>
  <c r="J37" i="50"/>
  <c r="J36" i="50"/>
  <c r="AD17" i="48"/>
  <c r="AG16" i="48"/>
  <c r="AG17" i="48"/>
  <c r="AD18" i="48"/>
  <c r="W11" i="48"/>
  <c r="T11" i="48"/>
  <c r="T12" i="48"/>
  <c r="T13" i="48"/>
  <c r="J23" i="50"/>
  <c r="Y22" i="48"/>
  <c r="AB21" i="48"/>
  <c r="Y21" i="48"/>
  <c r="AB22" i="48"/>
  <c r="Y23" i="48"/>
  <c r="J21" i="48"/>
  <c r="J22" i="48"/>
  <c r="M21" i="48"/>
  <c r="M22" i="48"/>
  <c r="J23" i="48"/>
  <c r="O26" i="48"/>
  <c r="O28" i="48"/>
  <c r="R36" i="48"/>
  <c r="R37" i="48"/>
  <c r="O36" i="48"/>
  <c r="O37" i="48"/>
  <c r="O38" i="48"/>
  <c r="T23" i="48"/>
  <c r="T21" i="48"/>
  <c r="W21" i="48"/>
  <c r="T22" i="48"/>
  <c r="W22" i="48"/>
  <c r="E38" i="50"/>
  <c r="H36" i="50"/>
  <c r="W17" i="50"/>
  <c r="T18" i="50"/>
  <c r="T17" i="50"/>
  <c r="T16" i="50"/>
  <c r="W16" i="50"/>
  <c r="W12" i="50"/>
  <c r="T11" i="50"/>
  <c r="T12" i="50"/>
  <c r="W11" i="50"/>
  <c r="T13" i="50"/>
  <c r="E36" i="50"/>
  <c r="H37" i="50"/>
  <c r="AB16" i="50"/>
  <c r="AB17" i="50"/>
  <c r="Y18" i="50"/>
  <c r="Y17" i="50"/>
  <c r="Y16" i="50"/>
  <c r="AD12" i="50"/>
  <c r="AD13" i="50"/>
  <c r="AG11" i="50"/>
  <c r="AD11" i="50"/>
  <c r="AG12" i="50"/>
  <c r="T33" i="50"/>
  <c r="R26" i="48" l="1"/>
  <c r="O27" i="48"/>
  <c r="CF7" i="43"/>
  <c r="E17" i="48"/>
  <c r="H17" i="48"/>
  <c r="E25" i="44"/>
  <c r="G28" i="44"/>
  <c r="G25" i="44"/>
  <c r="F26" i="44"/>
  <c r="AD16" i="50"/>
  <c r="E18" i="48"/>
  <c r="AD10" i="44"/>
  <c r="AF13" i="44"/>
  <c r="AF10" i="44"/>
  <c r="AE11" i="44"/>
  <c r="CC6" i="43"/>
  <c r="CD6" i="43" s="1"/>
  <c r="CE25" i="43"/>
  <c r="CD25" i="43"/>
  <c r="CF30" i="43"/>
  <c r="CD8" i="43"/>
  <c r="CE8" i="43"/>
  <c r="CC19" i="43"/>
  <c r="CC7" i="43"/>
  <c r="CF8" i="43"/>
  <c r="CC35" i="43"/>
  <c r="CC30" i="43"/>
  <c r="CF35" i="43"/>
  <c r="AB37" i="48"/>
  <c r="T38" i="48"/>
  <c r="AD26" i="48"/>
  <c r="W37" i="48"/>
  <c r="AG26" i="48"/>
  <c r="Y36" i="48"/>
  <c r="T36" i="48"/>
  <c r="AD27" i="48"/>
  <c r="W36" i="48"/>
  <c r="AB36" i="48"/>
  <c r="AG27" i="48"/>
  <c r="Y38" i="48"/>
  <c r="CF18" i="43"/>
  <c r="BX23" i="41" a="1"/>
  <c r="BX23" i="41" s="1"/>
  <c r="BX18" i="41" a="1"/>
  <c r="BX18" i="41" s="1"/>
  <c r="CB28" i="41" a="1"/>
  <c r="CB28" i="41" s="1"/>
  <c r="BY33" i="41" a="1"/>
  <c r="BY33" i="41" s="1"/>
  <c r="CA17" i="41" a="1"/>
  <c r="CA17" i="41" s="1"/>
  <c r="BW17" i="41" a="1"/>
  <c r="BW17" i="41" s="1"/>
  <c r="CB17" i="41" a="1"/>
  <c r="CB17" i="41" s="1"/>
  <c r="BX17" i="41" a="1"/>
  <c r="BX17" i="41" s="1"/>
  <c r="BZ16" i="41" a="1"/>
  <c r="BZ16" i="41" s="1"/>
  <c r="CB23" i="41" a="1"/>
  <c r="CB23" i="41" s="1"/>
  <c r="BW16" i="41" a="1"/>
  <c r="BW16" i="41" s="1"/>
  <c r="BW28" i="41" a="1"/>
  <c r="BW28" i="41" s="1"/>
  <c r="CC28" i="41" s="1"/>
  <c r="CA18" i="41" a="1"/>
  <c r="CA18" i="41" s="1"/>
  <c r="CA16" i="41" a="1"/>
  <c r="CA16" i="41" s="1"/>
  <c r="CB33" i="41" a="1"/>
  <c r="CB33" i="41" s="1"/>
  <c r="BZ17" i="41" a="1"/>
  <c r="BZ17" i="41" s="1"/>
  <c r="BZ33" i="41" a="1"/>
  <c r="BZ33" i="41" s="1"/>
  <c r="BX28" i="41" a="1"/>
  <c r="BX28" i="41" s="1"/>
  <c r="BY17" i="41" a="1"/>
  <c r="BY17" i="41" s="1"/>
  <c r="BY16" i="41" a="1"/>
  <c r="BY16" i="41" s="1"/>
  <c r="BW23" i="41" a="1"/>
  <c r="BW23" i="41" s="1"/>
  <c r="CC23" i="41" s="1"/>
  <c r="BW18" i="41" a="1"/>
  <c r="BW18" i="41" s="1"/>
  <c r="CC18" i="41" s="1"/>
  <c r="BY23" i="41" a="1"/>
  <c r="BY23" i="41" s="1"/>
  <c r="CA23" i="41" a="1"/>
  <c r="CA23" i="41" s="1"/>
  <c r="CB18" i="41" a="1"/>
  <c r="CB18" i="41" s="1"/>
  <c r="CB16" i="41" a="1"/>
  <c r="CB16" i="41" s="1"/>
  <c r="BX16" i="41" a="1"/>
  <c r="BX16" i="41" s="1"/>
  <c r="BY28" i="41" a="1"/>
  <c r="BY28" i="41" s="1"/>
  <c r="BZ23" i="41" a="1"/>
  <c r="BZ23" i="41" s="1"/>
  <c r="BX33" i="41" a="1"/>
  <c r="BX33" i="41" s="1"/>
  <c r="CA33" i="41" a="1"/>
  <c r="CA33" i="41" s="1"/>
  <c r="CA28" i="41" a="1"/>
  <c r="CA28" i="41" s="1"/>
  <c r="BY18" i="41" a="1"/>
  <c r="BY18" i="41" s="1"/>
  <c r="BZ18" i="41" a="1"/>
  <c r="BZ18" i="41" s="1"/>
  <c r="BZ28" i="41" a="1"/>
  <c r="BZ28" i="41" s="1"/>
  <c r="Y16" i="48"/>
  <c r="AG32" i="48"/>
  <c r="AB16" i="48"/>
  <c r="Y18" i="48"/>
  <c r="AB37" i="50"/>
  <c r="AD32" i="48"/>
  <c r="AD33" i="48"/>
  <c r="Q7" i="41"/>
  <c r="S7" i="41" s="1"/>
  <c r="CB10" i="41" a="1"/>
  <c r="CB10" i="41" s="1"/>
  <c r="BZ10" i="41" a="1"/>
  <c r="BZ10" i="41" s="1"/>
  <c r="BY10" i="41" a="1"/>
  <c r="BY10" i="41" s="1"/>
  <c r="CF10" i="43"/>
  <c r="K11" i="44" s="1"/>
  <c r="J12" i="44" s="1"/>
  <c r="Y38" i="50"/>
  <c r="AD17" i="50"/>
  <c r="AD18" i="50"/>
  <c r="M32" i="50"/>
  <c r="J33" i="50"/>
  <c r="J32" i="50"/>
  <c r="J31" i="50"/>
  <c r="AG17" i="50"/>
  <c r="CC12" i="39"/>
  <c r="CE12" i="39" s="1"/>
  <c r="Q6" i="41"/>
  <c r="CF20" i="39"/>
  <c r="BX19" i="41" a="1"/>
  <c r="BX19" i="41" s="1"/>
  <c r="BW19" i="41" a="1"/>
  <c r="BW19" i="41" s="1"/>
  <c r="Q10" i="41"/>
  <c r="S10" i="41" s="1"/>
  <c r="AM33" i="42" s="1" a="1"/>
  <c r="AM33" i="42" s="1"/>
  <c r="Q9" i="41"/>
  <c r="S9" i="41" s="1"/>
  <c r="Q8" i="41"/>
  <c r="U8" i="41" s="1"/>
  <c r="BX34" i="41" a="1"/>
  <c r="BX34" i="41" s="1"/>
  <c r="Y36" i="50"/>
  <c r="AP23" i="50" a="1"/>
  <c r="AP23" i="50" s="1"/>
  <c r="CH30" i="41" a="1"/>
  <c r="CH30" i="41" s="1"/>
  <c r="Q11" i="41"/>
  <c r="CC20" i="39"/>
  <c r="CE20" i="39" s="1"/>
  <c r="S9" i="39"/>
  <c r="AD31" i="48"/>
  <c r="BX24" i="41" a="1"/>
  <c r="BX24" i="41" s="1"/>
  <c r="BY34" i="41" a="1"/>
  <c r="BY34" i="41" s="1"/>
  <c r="BY24" i="41" a="1"/>
  <c r="BY24" i="41" s="1"/>
  <c r="BX13" i="41" a="1"/>
  <c r="BX13" i="41" s="1"/>
  <c r="BX12" i="41" a="1"/>
  <c r="BX12" i="41" s="1"/>
  <c r="CC29" i="41" s="1"/>
  <c r="BY29" i="41" a="1"/>
  <c r="BY29" i="41" s="1"/>
  <c r="BZ24" i="41" a="1"/>
  <c r="BZ24" i="41" s="1"/>
  <c r="CA11" i="41" a="1"/>
  <c r="CA11" i="41" s="1"/>
  <c r="CB29" i="41" a="1"/>
  <c r="CB29" i="41" s="1"/>
  <c r="BX11" i="41" a="1"/>
  <c r="BX11" i="41" s="1"/>
  <c r="BW12" i="41" a="1"/>
  <c r="BW12" i="41" s="1"/>
  <c r="CB9" i="41" a="1"/>
  <c r="CB9" i="41" s="1"/>
  <c r="CB13" i="41" a="1"/>
  <c r="CB13" i="41" s="1"/>
  <c r="BW13" i="41" a="1"/>
  <c r="BW13" i="41" s="1"/>
  <c r="BZ11" i="41" a="1"/>
  <c r="BZ11" i="41" s="1"/>
  <c r="CB11" i="41" a="1"/>
  <c r="CB11" i="41" s="1"/>
  <c r="BY11" i="41" a="1"/>
  <c r="BY11" i="41" s="1"/>
  <c r="CB34" i="41" a="1"/>
  <c r="CB34" i="41" s="1"/>
  <c r="BY9" i="41" a="1"/>
  <c r="BY9" i="41" s="1"/>
  <c r="BZ34" i="41" a="1"/>
  <c r="BZ34" i="41" s="1"/>
  <c r="BZ12" i="41" a="1"/>
  <c r="BZ12" i="41" s="1"/>
  <c r="BW34" i="41" a="1"/>
  <c r="BW34" i="41" s="1"/>
  <c r="BY14" i="41" a="1"/>
  <c r="BY14" i="41" s="1"/>
  <c r="CB12" i="41" a="1"/>
  <c r="CB12" i="41" s="1"/>
  <c r="CA29" i="41" a="1"/>
  <c r="CA29" i="41" s="1"/>
  <c r="BZ13" i="41" a="1"/>
  <c r="BZ13" i="41" s="1"/>
  <c r="BZ29" i="41" a="1"/>
  <c r="BZ29" i="41" s="1"/>
  <c r="CA34" i="41" a="1"/>
  <c r="CA34" i="41" s="1"/>
  <c r="CB14" i="41" a="1"/>
  <c r="CB14" i="41" s="1"/>
  <c r="BW11" i="41" a="1"/>
  <c r="BW11" i="41" s="1"/>
  <c r="BZ14" i="41" a="1"/>
  <c r="BZ14" i="41" s="1"/>
  <c r="CA13" i="41" a="1"/>
  <c r="CA13" i="41" s="1"/>
  <c r="BY12" i="41" a="1"/>
  <c r="BY12" i="41" s="1"/>
  <c r="CA12" i="41" a="1"/>
  <c r="CA12" i="41" s="1"/>
  <c r="CB24" i="41" a="1"/>
  <c r="CB24" i="41" s="1"/>
  <c r="BW24" i="41" a="1"/>
  <c r="BW24" i="41" s="1"/>
  <c r="BX29" i="41" a="1"/>
  <c r="BX29" i="41" s="1"/>
  <c r="BZ9" i="41" a="1"/>
  <c r="BZ9" i="41" s="1"/>
  <c r="CA24" i="41" a="1"/>
  <c r="CA24" i="41" s="1"/>
  <c r="BY13" i="41" a="1"/>
  <c r="BY13" i="41" s="1"/>
  <c r="AB36" i="50"/>
  <c r="BW33" i="41" a="1"/>
  <c r="BW33" i="41" s="1"/>
  <c r="CC33" i="41" s="1"/>
  <c r="BX14" i="41" a="1"/>
  <c r="BX14" i="41" s="1"/>
  <c r="CG17" i="41" a="1"/>
  <c r="CG17" i="41" s="1"/>
  <c r="CG31" i="41" a="1"/>
  <c r="CG31" i="41" s="1"/>
  <c r="CA27" i="41" a="1"/>
  <c r="CA27" i="41" s="1"/>
  <c r="CG21" i="41" a="1"/>
  <c r="CG21" i="41" s="1"/>
  <c r="CA15" i="41" a="1"/>
  <c r="CA15" i="41" s="1"/>
  <c r="CB15" i="41" a="1"/>
  <c r="CB15" i="41" s="1"/>
  <c r="BY8" i="41" a="1"/>
  <c r="BY8" i="41" s="1"/>
  <c r="CG27" i="41" a="1"/>
  <c r="CG27" i="41" s="1"/>
  <c r="CG28" i="41" a="1"/>
  <c r="CG28" i="41" s="1"/>
  <c r="BY25" i="41" a="1"/>
  <c r="BY25" i="41" s="1"/>
  <c r="BX6" i="41" a="1"/>
  <c r="BX6" i="41" s="1"/>
  <c r="BW20" i="41" a="1"/>
  <c r="BW20" i="41" s="1"/>
  <c r="BW31" i="41" a="1"/>
  <c r="BW31" i="41" s="1"/>
  <c r="CC31" i="41" s="1"/>
  <c r="BX15" i="41" a="1"/>
  <c r="BX15" i="41" s="1"/>
  <c r="BW7" i="41" a="1"/>
  <c r="BW7" i="41" s="1"/>
  <c r="CH22" i="41" a="1"/>
  <c r="CH22" i="41" s="1"/>
  <c r="BZ25" i="41" a="1"/>
  <c r="BZ25" i="41" s="1"/>
  <c r="CH25" i="41" a="1"/>
  <c r="CH25" i="41" s="1"/>
  <c r="CG11" i="41" a="1"/>
  <c r="CG11" i="41" s="1"/>
  <c r="CH29" i="41" a="1"/>
  <c r="CH29" i="41" s="1"/>
  <c r="CB19" i="41" a="1"/>
  <c r="CB19" i="41" s="1"/>
  <c r="CA35" i="41" a="1"/>
  <c r="CA35" i="41" s="1"/>
  <c r="CH32" i="41" a="1"/>
  <c r="CH32" i="41" s="1"/>
  <c r="CA21" i="41" a="1"/>
  <c r="CA21" i="41" s="1"/>
  <c r="CE21" i="41" s="1"/>
  <c r="CG29" i="41" a="1"/>
  <c r="CG29" i="41" s="1"/>
  <c r="BZ35" i="41" a="1"/>
  <c r="BZ35" i="41" s="1"/>
  <c r="CG9" i="41" a="1"/>
  <c r="CG9" i="41" s="1"/>
  <c r="CG25" i="41" a="1"/>
  <c r="CG25" i="41" s="1"/>
  <c r="BW32" i="41" a="1"/>
  <c r="BW32" i="41" s="1"/>
  <c r="CC32" i="41" s="1"/>
  <c r="BW10" i="41" a="1"/>
  <c r="BW10" i="41" s="1"/>
  <c r="CC10" i="41" s="1"/>
  <c r="CB26" i="41" a="1"/>
  <c r="CB26" i="41" s="1"/>
  <c r="CG15" i="41" a="1"/>
  <c r="CG15" i="41" s="1"/>
  <c r="BZ20" i="41" a="1"/>
  <c r="BZ20" i="41" s="1"/>
  <c r="CG34" i="41" a="1"/>
  <c r="CG34" i="41" s="1"/>
  <c r="CG10" i="41" a="1"/>
  <c r="CG10" i="41" s="1"/>
  <c r="CG16" i="41" a="1"/>
  <c r="CG16" i="41" s="1"/>
  <c r="CG8" i="41" a="1"/>
  <c r="CG8" i="41" s="1"/>
  <c r="CB35" i="41" a="1"/>
  <c r="CB35" i="41" s="1"/>
  <c r="BZ21" i="41" a="1"/>
  <c r="BZ21" i="41" s="1"/>
  <c r="BZ22" i="41" a="1"/>
  <c r="BZ22" i="41" s="1"/>
  <c r="CA7" i="41" a="1"/>
  <c r="CA7" i="41" s="1"/>
  <c r="CG7" i="41" a="1"/>
  <c r="CG7" i="41" s="1"/>
  <c r="BX32" i="41" a="1"/>
  <c r="BX32" i="41" s="1"/>
  <c r="BW9" i="41" a="1"/>
  <c r="BW9" i="41" s="1"/>
  <c r="BX7" i="41" a="1"/>
  <c r="BX7" i="41" s="1"/>
  <c r="CG24" i="41" a="1"/>
  <c r="CG24" i="41" s="1"/>
  <c r="CA31" i="41" a="1"/>
  <c r="CA31" i="41" s="1"/>
  <c r="BY7" i="41" a="1"/>
  <c r="BY7" i="41" s="1"/>
  <c r="CH23" i="41" a="1"/>
  <c r="CH23" i="41" s="1"/>
  <c r="P6" i="41"/>
  <c r="CA32" i="41" a="1"/>
  <c r="CA32" i="41" s="1"/>
  <c r="CH33" i="41" a="1"/>
  <c r="CH33" i="41" s="1"/>
  <c r="CA20" i="41" a="1"/>
  <c r="CA20" i="41" s="1"/>
  <c r="CA30" i="41" a="1"/>
  <c r="CA30" i="41" s="1"/>
  <c r="BW26" i="41" a="1"/>
  <c r="BW26" i="41" s="1"/>
  <c r="CC26" i="41" s="1"/>
  <c r="BW25" i="41" a="1"/>
  <c r="BW25" i="41" s="1"/>
  <c r="CH31" i="41" a="1"/>
  <c r="CH31" i="41" s="1"/>
  <c r="P9" i="41"/>
  <c r="BY6" i="41" a="1"/>
  <c r="BY6" i="41" s="1"/>
  <c r="BY35" i="41" a="1"/>
  <c r="BY35" i="41" s="1"/>
  <c r="CB32" i="41" a="1"/>
  <c r="CB32" i="41" s="1"/>
  <c r="BY21" i="41" a="1"/>
  <c r="BY21" i="41" s="1"/>
  <c r="CD21" i="41" s="1"/>
  <c r="CG30" i="41" a="1"/>
  <c r="CG30" i="41" s="1"/>
  <c r="CA10" i="41" a="1"/>
  <c r="CA10" i="41" s="1"/>
  <c r="CA19" i="41" a="1"/>
  <c r="CA19" i="41" s="1"/>
  <c r="CB22" i="41" a="1"/>
  <c r="CB22" i="41" s="1"/>
  <c r="CH34" i="41" a="1"/>
  <c r="CH34" i="41" s="1"/>
  <c r="CH21" i="41" a="1"/>
  <c r="CH21" i="41" s="1"/>
  <c r="CA26" i="41" a="1"/>
  <c r="CA26" i="41" s="1"/>
  <c r="CG18" i="41" a="1"/>
  <c r="CG18" i="41" s="1"/>
  <c r="BW22" i="41" a="1"/>
  <c r="BW22" i="41" s="1"/>
  <c r="CC22" i="41" s="1"/>
  <c r="BX27" i="41" a="1"/>
  <c r="BX27" i="41" s="1"/>
  <c r="BX20" i="41" a="1"/>
  <c r="BX20" i="41" s="1"/>
  <c r="CG26" i="41" a="1"/>
  <c r="CG26" i="41" s="1"/>
  <c r="CH19" i="41" a="1"/>
  <c r="CH19" i="41" s="1"/>
  <c r="CH7" i="41" a="1"/>
  <c r="CH7" i="41" s="1"/>
  <c r="BZ7" i="41" a="1"/>
  <c r="BZ7" i="41" s="1"/>
  <c r="CA8" i="41" a="1"/>
  <c r="CA8" i="41" s="1"/>
  <c r="BY15" i="41" a="1"/>
  <c r="BY15" i="41" s="1"/>
  <c r="CH35" i="41" a="1"/>
  <c r="CH35" i="41" s="1"/>
  <c r="CB27" i="41" a="1"/>
  <c r="CB27" i="41" s="1"/>
  <c r="P7" i="41"/>
  <c r="T7" i="41" s="1"/>
  <c r="BZ27" i="41" a="1"/>
  <c r="BZ27" i="41" s="1"/>
  <c r="CA22" i="41" a="1"/>
  <c r="CA22" i="41" s="1"/>
  <c r="P8" i="41"/>
  <c r="BZ26" i="41" a="1"/>
  <c r="BZ26" i="41" s="1"/>
  <c r="CA6" i="41" a="1"/>
  <c r="CA6" i="41" s="1"/>
  <c r="CH26" i="41" a="1"/>
  <c r="CH26" i="41" s="1"/>
  <c r="BW15" i="41" a="1"/>
  <c r="BW15" i="41" s="1"/>
  <c r="CC15" i="41" s="1"/>
  <c r="BX25" i="41" a="1"/>
  <c r="BX25" i="41" s="1"/>
  <c r="CH28" i="41" a="1"/>
  <c r="CH28" i="41" s="1"/>
  <c r="CG20" i="41" a="1"/>
  <c r="CG20" i="41" s="1"/>
  <c r="CG22" i="41" a="1"/>
  <c r="CG22" i="41" s="1"/>
  <c r="CB25" i="41" a="1"/>
  <c r="CB25" i="41" s="1"/>
  <c r="BY26" i="41" a="1"/>
  <c r="BY26" i="41" s="1"/>
  <c r="CH11" i="41" a="1"/>
  <c r="CH11" i="41" s="1"/>
  <c r="BY32" i="41" a="1"/>
  <c r="BY32" i="41" s="1"/>
  <c r="CH8" i="41" a="1"/>
  <c r="CH8" i="41" s="1"/>
  <c r="CH27" i="41" a="1"/>
  <c r="CH27" i="41" s="1"/>
  <c r="BZ31" i="41" a="1"/>
  <c r="BZ31" i="41" s="1"/>
  <c r="CA9" i="41" a="1"/>
  <c r="CA9" i="41" s="1"/>
  <c r="BY27" i="41" a="1"/>
  <c r="BY27" i="41" s="1"/>
  <c r="CH13" i="41" a="1"/>
  <c r="CH13" i="41" s="1"/>
  <c r="BW27" i="41" a="1"/>
  <c r="BW27" i="41" s="1"/>
  <c r="CC27" i="41" s="1"/>
  <c r="BW8" i="41" a="1"/>
  <c r="BW8" i="41" s="1"/>
  <c r="BX35" i="41" a="1"/>
  <c r="BX35" i="41" s="1"/>
  <c r="BZ19" i="41" a="1"/>
  <c r="BZ19" i="41" s="1"/>
  <c r="CH14" i="41" a="1"/>
  <c r="CH14" i="41" s="1"/>
  <c r="BY20" i="41" a="1"/>
  <c r="BY20" i="41" s="1"/>
  <c r="CG6" i="41" a="1"/>
  <c r="CG6" i="41" s="1"/>
  <c r="CG35" i="41" a="1"/>
  <c r="CG35" i="41" s="1"/>
  <c r="BX21" i="41" a="1"/>
  <c r="BX21" i="41" s="1"/>
  <c r="BW6" i="41" a="1"/>
  <c r="BW6" i="41" s="1"/>
  <c r="CB7" i="41" a="1"/>
  <c r="CB7" i="41" s="1"/>
  <c r="CH17" i="41" a="1"/>
  <c r="CH17" i="41" s="1"/>
  <c r="BY19" i="41" a="1"/>
  <c r="BY19" i="41" s="1"/>
  <c r="CH20" i="41" a="1"/>
  <c r="CH20" i="41" s="1"/>
  <c r="BZ30" i="41" a="1"/>
  <c r="BZ30" i="41" s="1"/>
  <c r="CB30" i="41" a="1"/>
  <c r="CB30" i="41" s="1"/>
  <c r="CB20" i="41" a="1"/>
  <c r="CB20" i="41" s="1"/>
  <c r="BY31" i="41" a="1"/>
  <c r="BY31" i="41" s="1"/>
  <c r="CG19" i="41" a="1"/>
  <c r="CG19" i="41" s="1"/>
  <c r="CH18" i="41" a="1"/>
  <c r="CH18" i="41" s="1"/>
  <c r="CB6" i="41" a="1"/>
  <c r="CB6" i="41" s="1"/>
  <c r="CG23" i="41" a="1"/>
  <c r="CG23" i="41" s="1"/>
  <c r="BX26" i="41" a="1"/>
  <c r="BX26" i="41" s="1"/>
  <c r="BW14" i="41" a="1"/>
  <c r="BW14" i="41" s="1"/>
  <c r="BX30" i="41" a="1"/>
  <c r="BX30" i="41" s="1"/>
  <c r="CG12" i="41" a="1"/>
  <c r="CG12" i="41" s="1"/>
  <c r="CB21" i="41" a="1"/>
  <c r="CB21" i="41" s="1"/>
  <c r="CH9" i="41" a="1"/>
  <c r="CH9" i="41" s="1"/>
  <c r="CH12" i="41" a="1"/>
  <c r="CH12" i="41" s="1"/>
  <c r="BZ15" i="41" a="1"/>
  <c r="BZ15" i="41" s="1"/>
  <c r="CA25" i="41" a="1"/>
  <c r="CA25" i="41" s="1"/>
  <c r="CG14" i="41" a="1"/>
  <c r="CG14" i="41" s="1"/>
  <c r="P11" i="41"/>
  <c r="CH24" i="41" a="1"/>
  <c r="CH24" i="41" s="1"/>
  <c r="BY30" i="41" a="1"/>
  <c r="BY30" i="41" s="1"/>
  <c r="BZ32" i="41" a="1"/>
  <c r="BZ32" i="41" s="1"/>
  <c r="BZ8" i="41" a="1"/>
  <c r="BZ8" i="41" s="1"/>
  <c r="CH10" i="41" a="1"/>
  <c r="CH10" i="41" s="1"/>
  <c r="CH16" i="41" a="1"/>
  <c r="CH16" i="41" s="1"/>
  <c r="BW35" i="41" a="1"/>
  <c r="BW35" i="41" s="1"/>
  <c r="CC35" i="41" s="1"/>
  <c r="BX8" i="41" a="1"/>
  <c r="BX8" i="41" s="1"/>
  <c r="BW30" i="41" a="1"/>
  <c r="BW30" i="41" s="1"/>
  <c r="CB31" i="41" a="1"/>
  <c r="CB31" i="41" s="1"/>
  <c r="CG13" i="41" a="1"/>
  <c r="CG13" i="41" s="1"/>
  <c r="CA14" i="41" a="1"/>
  <c r="CA14" i="41" s="1"/>
  <c r="CG32" i="41" a="1"/>
  <c r="CG32" i="41" s="1"/>
  <c r="P10" i="41"/>
  <c r="CG33" i="41" a="1"/>
  <c r="CG33" i="41" s="1"/>
  <c r="CH15" i="41" a="1"/>
  <c r="CH15" i="41" s="1"/>
  <c r="BZ6" i="41" a="1"/>
  <c r="BZ6" i="41" s="1"/>
  <c r="BY22" i="41" a="1"/>
  <c r="BY22" i="41" s="1"/>
  <c r="CB8" i="41" a="1"/>
  <c r="CB8" i="41" s="1"/>
  <c r="BX9" i="41" a="1"/>
  <c r="BX9" i="41" s="1"/>
  <c r="CH6" i="41" a="1"/>
  <c r="CH6" i="41" s="1"/>
  <c r="CD32" i="39"/>
  <c r="CC33" i="43"/>
  <c r="CE33" i="43" s="1"/>
  <c r="T6" i="39"/>
  <c r="AM10" i="40" s="1" a="1"/>
  <c r="AM10" i="40" s="1"/>
  <c r="U9" i="39"/>
  <c r="CC11" i="39"/>
  <c r="CD11" i="39" s="1"/>
  <c r="CF34" i="39"/>
  <c r="CE27" i="43"/>
  <c r="CC13" i="39"/>
  <c r="CE13" i="39" s="1"/>
  <c r="CF29" i="39"/>
  <c r="K31" i="40" s="1"/>
  <c r="T9" i="39"/>
  <c r="X9" i="39" s="1"/>
  <c r="AG22" i="50"/>
  <c r="CF24" i="39"/>
  <c r="L25" i="40" s="1"/>
  <c r="CD31" i="39"/>
  <c r="CF15" i="39"/>
  <c r="CF14" i="39"/>
  <c r="CC19" i="39"/>
  <c r="CE19" i="39" s="1"/>
  <c r="CC17" i="43"/>
  <c r="CD17" i="43" s="1"/>
  <c r="CC24" i="39"/>
  <c r="CD24" i="39" s="1"/>
  <c r="CF26" i="39"/>
  <c r="AE31" i="40" s="1"/>
  <c r="AD21" i="48"/>
  <c r="CF31" i="39"/>
  <c r="Z36" i="40" s="1"/>
  <c r="Y37" i="40" s="1"/>
  <c r="AG21" i="48"/>
  <c r="AD22" i="48"/>
  <c r="AD23" i="48"/>
  <c r="CC14" i="43"/>
  <c r="CE14" i="43" s="1"/>
  <c r="CC15" i="39"/>
  <c r="CD15" i="39" s="1"/>
  <c r="CF32" i="39"/>
  <c r="U36" i="40" s="1"/>
  <c r="CC9" i="39"/>
  <c r="CE9" i="39" s="1"/>
  <c r="Q10" i="40" s="1"/>
  <c r="CF19" i="43"/>
  <c r="J20" i="44" s="1"/>
  <c r="B37" i="47"/>
  <c r="Q37" i="47" s="1"/>
  <c r="O42" i="47"/>
  <c r="P38" i="51"/>
  <c r="P42" i="51"/>
  <c r="G42" i="51"/>
  <c r="E41" i="51"/>
  <c r="P41" i="47"/>
  <c r="G40" i="47"/>
  <c r="O40" i="51"/>
  <c r="E42" i="51"/>
  <c r="O42" i="51"/>
  <c r="M40" i="51"/>
  <c r="AE40" i="51" s="1"/>
  <c r="G41" i="47"/>
  <c r="O40" i="47"/>
  <c r="N42" i="51"/>
  <c r="P41" i="51"/>
  <c r="C40" i="47"/>
  <c r="N41" i="51"/>
  <c r="C42" i="51"/>
  <c r="O41" i="47"/>
  <c r="N42" i="47"/>
  <c r="G40" i="51"/>
  <c r="C41" i="51"/>
  <c r="M42" i="51"/>
  <c r="AE42" i="51" s="1"/>
  <c r="C40" i="51"/>
  <c r="N40" i="47"/>
  <c r="N41" i="47"/>
  <c r="P42" i="47"/>
  <c r="G41" i="51"/>
  <c r="P40" i="47"/>
  <c r="C41" i="47"/>
  <c r="M41" i="47"/>
  <c r="AE41" i="47" s="1"/>
  <c r="G42" i="47"/>
  <c r="N40" i="51"/>
  <c r="O41" i="51"/>
  <c r="M42" i="47"/>
  <c r="AE42" i="47" s="1"/>
  <c r="E41" i="47"/>
  <c r="E40" i="47"/>
  <c r="E42" i="47"/>
  <c r="P40" i="51"/>
  <c r="M41" i="51"/>
  <c r="AE41" i="51" s="1"/>
  <c r="M40" i="47"/>
  <c r="AE40" i="47" s="1"/>
  <c r="C42" i="47"/>
  <c r="E40" i="51"/>
  <c r="AE37" i="59"/>
  <c r="CD27" i="43"/>
  <c r="CC29" i="39"/>
  <c r="CD29" i="39" s="1"/>
  <c r="CF22" i="39"/>
  <c r="CE27" i="39"/>
  <c r="AD32" i="50"/>
  <c r="T10" i="43"/>
  <c r="X10" i="43" s="1"/>
  <c r="CC12" i="43"/>
  <c r="CD12" i="43" s="1"/>
  <c r="U10" i="43"/>
  <c r="CC20" i="43"/>
  <c r="CE20" i="43" s="1"/>
  <c r="V10" i="43"/>
  <c r="V8" i="41"/>
  <c r="CF27" i="39"/>
  <c r="U31" i="40" s="1"/>
  <c r="CC14" i="39"/>
  <c r="CE14" i="39" s="1"/>
  <c r="V10" i="39"/>
  <c r="S10" i="39"/>
  <c r="U6" i="39"/>
  <c r="AK23" i="40" s="1" a="1"/>
  <c r="AK23" i="40" s="1"/>
  <c r="CC10" i="43"/>
  <c r="CD10" i="43" s="1"/>
  <c r="AP18" i="50" a="1"/>
  <c r="AP18" i="50" s="1"/>
  <c r="V11" i="43"/>
  <c r="CC9" i="43"/>
  <c r="V6" i="39"/>
  <c r="CC11" i="43"/>
  <c r="CD11" i="43" s="1"/>
  <c r="CC24" i="43"/>
  <c r="CD24" i="43" s="1"/>
  <c r="CC34" i="43"/>
  <c r="CD34" i="43" s="1"/>
  <c r="CC23" i="43"/>
  <c r="CD23" i="43" s="1"/>
  <c r="T10" i="39"/>
  <c r="X10" i="39" s="1"/>
  <c r="CF15" i="43"/>
  <c r="F16" i="44" s="1"/>
  <c r="CC15" i="43"/>
  <c r="CC29" i="43"/>
  <c r="CE29" i="43" s="1"/>
  <c r="CF14" i="43"/>
  <c r="Q15" i="44" s="1"/>
  <c r="CC13" i="43"/>
  <c r="CE13" i="43" s="1"/>
  <c r="S6" i="39"/>
  <c r="AM13" i="40" s="1" a="1"/>
  <c r="AM13" i="40" s="1"/>
  <c r="CF21" i="39"/>
  <c r="AE26" i="40" s="1"/>
  <c r="S9" i="43"/>
  <c r="CF28" i="43"/>
  <c r="Q30" i="44" s="1"/>
  <c r="CF12" i="39"/>
  <c r="AA15" i="40" s="1"/>
  <c r="CE21" i="39"/>
  <c r="R16" i="50"/>
  <c r="O16" i="50"/>
  <c r="R17" i="50"/>
  <c r="V7" i="39"/>
  <c r="T7" i="43"/>
  <c r="AD31" i="50"/>
  <c r="AG31" i="50"/>
  <c r="CF13" i="39"/>
  <c r="AG32" i="50"/>
  <c r="CD12" i="39"/>
  <c r="T11" i="43"/>
  <c r="X11" i="43" s="1"/>
  <c r="CF26" i="43"/>
  <c r="AF30" i="44" s="1"/>
  <c r="CH13" i="45" a="1"/>
  <c r="CH13" i="45" s="1"/>
  <c r="U11" i="43"/>
  <c r="U7" i="39"/>
  <c r="T7" i="39"/>
  <c r="AM15" i="40" s="1" a="1"/>
  <c r="AM15" i="40" s="1"/>
  <c r="O18" i="50"/>
  <c r="AD22" i="50"/>
  <c r="CF23" i="43"/>
  <c r="Q25" i="44" s="1"/>
  <c r="AD21" i="50"/>
  <c r="CF17" i="43"/>
  <c r="Z21" i="44" s="1"/>
  <c r="AD23" i="50"/>
  <c r="CF31" i="43"/>
  <c r="CC34" i="39"/>
  <c r="CD34" i="39" s="1"/>
  <c r="E23" i="50"/>
  <c r="T6" i="43"/>
  <c r="AM10" i="44" s="1" a="1"/>
  <c r="AM10" i="44" s="1"/>
  <c r="S7" i="43"/>
  <c r="U7" i="43"/>
  <c r="S6" i="43"/>
  <c r="AM13" i="44" s="1" a="1"/>
  <c r="AM13" i="44" s="1"/>
  <c r="V6" i="43"/>
  <c r="AK10" i="44" s="1" a="1"/>
  <c r="AK10" i="44" s="1"/>
  <c r="U6" i="43"/>
  <c r="AK13" i="44" s="1" a="1"/>
  <c r="AK13" i="44" s="1"/>
  <c r="CF22" i="43"/>
  <c r="Y25" i="44" s="1"/>
  <c r="CC28" i="43"/>
  <c r="CD31" i="43"/>
  <c r="S11" i="39"/>
  <c r="U11" i="39"/>
  <c r="T9" i="43"/>
  <c r="X9" i="43" s="1"/>
  <c r="CF29" i="43"/>
  <c r="L33" i="44" s="1"/>
  <c r="V23" i="44"/>
  <c r="V20" i="44"/>
  <c r="U21" i="44"/>
  <c r="T20" i="44"/>
  <c r="CE26" i="43"/>
  <c r="CD26" i="43"/>
  <c r="CF11" i="43"/>
  <c r="AE16" i="44" s="1"/>
  <c r="AG16" i="44" s="1"/>
  <c r="CF27" i="43"/>
  <c r="AL21" i="60" a="1"/>
  <c r="AL21" i="60" s="1"/>
  <c r="AN32" i="60"/>
  <c r="AN31" i="60"/>
  <c r="AK32" i="60"/>
  <c r="AK31" i="60"/>
  <c r="CE31" i="43"/>
  <c r="AN36" i="60"/>
  <c r="AK36" i="60"/>
  <c r="AN37" i="60"/>
  <c r="AK37" i="60"/>
  <c r="U9" i="43"/>
  <c r="AN27" i="60"/>
  <c r="AK27" i="60"/>
  <c r="AN26" i="60"/>
  <c r="AK26" i="60"/>
  <c r="CC18" i="43"/>
  <c r="CD18" i="43" s="1"/>
  <c r="AK16" i="60"/>
  <c r="AN16" i="60"/>
  <c r="AK17" i="60"/>
  <c r="AN17" i="60"/>
  <c r="AN11" i="60"/>
  <c r="AK12" i="60"/>
  <c r="AK11" i="60"/>
  <c r="AN12" i="60"/>
  <c r="S8" i="43"/>
  <c r="V8" i="43"/>
  <c r="U8" i="43"/>
  <c r="T8" i="43"/>
  <c r="CD22" i="43"/>
  <c r="CE22" i="43"/>
  <c r="CF13" i="43"/>
  <c r="CD32" i="43"/>
  <c r="CE32" i="43"/>
  <c r="CD19" i="43"/>
  <c r="CE19" i="43"/>
  <c r="T22" i="50"/>
  <c r="CF34" i="43"/>
  <c r="CD16" i="43"/>
  <c r="CE16" i="43"/>
  <c r="CE21" i="43"/>
  <c r="CD21" i="43"/>
  <c r="CF21" i="43"/>
  <c r="CF32" i="43"/>
  <c r="CF24" i="43"/>
  <c r="CF9" i="43"/>
  <c r="CF20" i="43"/>
  <c r="CF12" i="43"/>
  <c r="CF33" i="43"/>
  <c r="CF16" i="43"/>
  <c r="BZ18" i="45" a="1"/>
  <c r="BZ18" i="45" s="1"/>
  <c r="V11" i="39"/>
  <c r="CA18" i="45" a="1"/>
  <c r="CA18" i="45" s="1"/>
  <c r="W21" i="50"/>
  <c r="AK17" i="56"/>
  <c r="AK16" i="56"/>
  <c r="AN17" i="56"/>
  <c r="AN12" i="56"/>
  <c r="AK12" i="56"/>
  <c r="AN11" i="56"/>
  <c r="E37" i="53"/>
  <c r="AL26" i="54" a="1"/>
  <c r="AL26" i="54" s="1"/>
  <c r="AL31" i="54" a="1"/>
  <c r="AL31" i="54" s="1"/>
  <c r="AL36" i="54" a="1"/>
  <c r="AL36" i="54" s="1"/>
  <c r="O11" i="50"/>
  <c r="R11" i="50"/>
  <c r="O13" i="50"/>
  <c r="R12" i="50"/>
  <c r="W22" i="50"/>
  <c r="E18" i="50"/>
  <c r="O33" i="50"/>
  <c r="AD28" i="50"/>
  <c r="AL21" i="48" a="1"/>
  <c r="AL21" i="48" s="1"/>
  <c r="AN21" i="48" s="1"/>
  <c r="AL11" i="48" a="1"/>
  <c r="AL11" i="48" s="1"/>
  <c r="AK12" i="48" s="1"/>
  <c r="AL16" i="48" a="1"/>
  <c r="AL16" i="48" s="1"/>
  <c r="AK17" i="48" s="1"/>
  <c r="AL31" i="48" a="1"/>
  <c r="AL31" i="48" s="1"/>
  <c r="AN32" i="48" s="1"/>
  <c r="T23" i="50"/>
  <c r="AG27" i="50"/>
  <c r="AG26" i="50"/>
  <c r="AD26" i="50"/>
  <c r="B37" i="49" a="1"/>
  <c r="R32" i="50"/>
  <c r="BY26" i="45" a="1"/>
  <c r="BY26" i="45" s="1"/>
  <c r="R31" i="50"/>
  <c r="O32" i="50"/>
  <c r="CA34" i="45" a="1"/>
  <c r="CA34" i="45" s="1"/>
  <c r="W37" i="50"/>
  <c r="T36" i="50"/>
  <c r="T37" i="50"/>
  <c r="W36" i="50"/>
  <c r="O37" i="53"/>
  <c r="BY22" i="45" a="1"/>
  <c r="BY22" i="45" s="1"/>
  <c r="CH25" i="45" a="1"/>
  <c r="CH25" i="45" s="1"/>
  <c r="CG8" i="45" a="1"/>
  <c r="CG8" i="45" s="1"/>
  <c r="CA26" i="45" a="1"/>
  <c r="CA26" i="45" s="1"/>
  <c r="BZ27" i="45" a="1"/>
  <c r="BZ27" i="45" s="1"/>
  <c r="CG28" i="45" a="1"/>
  <c r="CG28" i="45" s="1"/>
  <c r="CA13" i="45" a="1"/>
  <c r="CA13" i="45" s="1"/>
  <c r="CA22" i="45" a="1"/>
  <c r="CA22" i="45" s="1"/>
  <c r="CE33" i="39"/>
  <c r="BW28" i="45" a="1"/>
  <c r="BW28" i="45" s="1"/>
  <c r="Q6" i="45"/>
  <c r="V6" i="45" s="1"/>
  <c r="Q7" i="45"/>
  <c r="U7" i="45" s="1"/>
  <c r="Q9" i="45"/>
  <c r="S9" i="45" s="1"/>
  <c r="Q10" i="45"/>
  <c r="U10" i="45" s="1"/>
  <c r="Q8" i="45"/>
  <c r="U8" i="45" s="1"/>
  <c r="Q11" i="45"/>
  <c r="CE7" i="39"/>
  <c r="BX20" i="45" a="1"/>
  <c r="BX20" i="45" s="1"/>
  <c r="BY31" i="45" a="1"/>
  <c r="BY31" i="45" s="1"/>
  <c r="CH19" i="45" a="1"/>
  <c r="CH19" i="45" s="1"/>
  <c r="BZ26" i="45" a="1"/>
  <c r="BZ26" i="45" s="1"/>
  <c r="CB31" i="45" a="1"/>
  <c r="CB31" i="45" s="1"/>
  <c r="CH18" i="45" a="1"/>
  <c r="CH18" i="45" s="1"/>
  <c r="CH20" i="45" a="1"/>
  <c r="CH20" i="45" s="1"/>
  <c r="CH32" i="45" a="1"/>
  <c r="CH32" i="45" s="1"/>
  <c r="CH23" i="45" a="1"/>
  <c r="CH23" i="45" s="1"/>
  <c r="BZ32" i="45" a="1"/>
  <c r="BZ32" i="45" s="1"/>
  <c r="CB10" i="45" a="1"/>
  <c r="CB10" i="45" s="1"/>
  <c r="BZ10" i="45" a="1"/>
  <c r="BZ10" i="45" s="1"/>
  <c r="BY21" i="45" a="1"/>
  <c r="BY21" i="45" s="1"/>
  <c r="CA23" i="45" a="1"/>
  <c r="CA23" i="45" s="1"/>
  <c r="CB23" i="45" a="1"/>
  <c r="CB23" i="45" s="1"/>
  <c r="G37" i="53"/>
  <c r="CA15" i="45" a="1"/>
  <c r="CA15" i="45" s="1"/>
  <c r="CG30" i="45" a="1"/>
  <c r="CG30" i="45" s="1"/>
  <c r="CA27" i="45" a="1"/>
  <c r="CA27" i="45" s="1"/>
  <c r="CH10" i="45" a="1"/>
  <c r="CH10" i="45" s="1"/>
  <c r="CH35" i="45" a="1"/>
  <c r="CH35" i="45" s="1"/>
  <c r="CG10" i="45" a="1"/>
  <c r="CG10" i="45" s="1"/>
  <c r="P9" i="45"/>
  <c r="CH11" i="45" a="1"/>
  <c r="CH11" i="45" s="1"/>
  <c r="CB26" i="45" a="1"/>
  <c r="CB26" i="45" s="1"/>
  <c r="BZ13" i="45" a="1"/>
  <c r="BZ13" i="45" s="1"/>
  <c r="BY13" i="45" a="1"/>
  <c r="BY13" i="45" s="1"/>
  <c r="CA9" i="45" a="1"/>
  <c r="CA9" i="45" s="1"/>
  <c r="CA33" i="45" a="1"/>
  <c r="CA33" i="45" s="1"/>
  <c r="CB17" i="45" a="1"/>
  <c r="CB17" i="45" s="1"/>
  <c r="CG35" i="45" a="1"/>
  <c r="CG35" i="45" s="1"/>
  <c r="CA32" i="45" a="1"/>
  <c r="CA32" i="45" s="1"/>
  <c r="CG7" i="45" a="1"/>
  <c r="CG7" i="45" s="1"/>
  <c r="CG18" i="45" a="1"/>
  <c r="CG18" i="45" s="1"/>
  <c r="BY32" i="45" a="1"/>
  <c r="BY32" i="45" s="1"/>
  <c r="CH27" i="45" a="1"/>
  <c r="CH27" i="45" s="1"/>
  <c r="CH30" i="45" a="1"/>
  <c r="CH30" i="45" s="1"/>
  <c r="BY10" i="45" a="1"/>
  <c r="BY10" i="45" s="1"/>
  <c r="BZ24" i="45" a="1"/>
  <c r="BZ24" i="45" s="1"/>
  <c r="CB29" i="45" a="1"/>
  <c r="CB29" i="45" s="1"/>
  <c r="BZ28" i="45" a="1"/>
  <c r="BZ28" i="45" s="1"/>
  <c r="BZ17" i="45" a="1"/>
  <c r="BZ17" i="45" s="1"/>
  <c r="CH33" i="45" a="1"/>
  <c r="CH33" i="45" s="1"/>
  <c r="CA10" i="45" a="1"/>
  <c r="CA10" i="45" s="1"/>
  <c r="CA19" i="45" a="1"/>
  <c r="CA19" i="45" s="1"/>
  <c r="CG31" i="45" a="1"/>
  <c r="CG31" i="45" s="1"/>
  <c r="CB13" i="45" a="1"/>
  <c r="CB13" i="45" s="1"/>
  <c r="BZ34" i="45" a="1"/>
  <c r="BZ34" i="45" s="1"/>
  <c r="BZ22" i="45" a="1"/>
  <c r="BZ22" i="45" s="1"/>
  <c r="CB16" i="45" a="1"/>
  <c r="CB16" i="45" s="1"/>
  <c r="CB18" i="45" a="1"/>
  <c r="CB18" i="45" s="1"/>
  <c r="CH8" i="45" a="1"/>
  <c r="CH8" i="45" s="1"/>
  <c r="CH16" i="45" a="1"/>
  <c r="CH16" i="45" s="1"/>
  <c r="CH15" i="45" a="1"/>
  <c r="CH15" i="45" s="1"/>
  <c r="CH29" i="45" a="1"/>
  <c r="CH29" i="45" s="1"/>
  <c r="P6" i="45"/>
  <c r="CH24" i="45" a="1"/>
  <c r="CH24" i="45" s="1"/>
  <c r="CH17" i="45" a="1"/>
  <c r="CH17" i="45" s="1"/>
  <c r="CA20" i="45" a="1"/>
  <c r="CA20" i="45" s="1"/>
  <c r="CG12" i="45" a="1"/>
  <c r="CG12" i="45" s="1"/>
  <c r="CG9" i="45" a="1"/>
  <c r="CG9" i="45" s="1"/>
  <c r="CH21" i="45" a="1"/>
  <c r="CH21" i="45" s="1"/>
  <c r="BY24" i="45" a="1"/>
  <c r="BY24" i="45" s="1"/>
  <c r="BY11" i="45" a="1"/>
  <c r="BY11" i="45" s="1"/>
  <c r="BY9" i="45" a="1"/>
  <c r="BY9" i="45" s="1"/>
  <c r="BY14" i="45" a="1"/>
  <c r="BY14" i="45" s="1"/>
  <c r="BY33" i="45" a="1"/>
  <c r="BY33" i="45" s="1"/>
  <c r="BZ33" i="45" a="1"/>
  <c r="BZ33" i="45" s="1"/>
  <c r="CG25" i="45" a="1"/>
  <c r="CG25" i="45" s="1"/>
  <c r="CG22" i="45" a="1"/>
  <c r="CG22" i="45" s="1"/>
  <c r="P10" i="45"/>
  <c r="CG19" i="45" a="1"/>
  <c r="CG19" i="45" s="1"/>
  <c r="CG32" i="45" a="1"/>
  <c r="CG32" i="45" s="1"/>
  <c r="BY15" i="45" a="1"/>
  <c r="BY15" i="45" s="1"/>
  <c r="CG34" i="45" a="1"/>
  <c r="CG34" i="45" s="1"/>
  <c r="CG27" i="45" a="1"/>
  <c r="CG27" i="45" s="1"/>
  <c r="BZ15" i="45" a="1"/>
  <c r="BZ15" i="45" s="1"/>
  <c r="BY12" i="45" a="1"/>
  <c r="BY12" i="45" s="1"/>
  <c r="BZ9" i="45" a="1"/>
  <c r="BZ9" i="45" s="1"/>
  <c r="BZ31" i="45" a="1"/>
  <c r="BZ31" i="45" s="1"/>
  <c r="BY18" i="45" a="1"/>
  <c r="BY18" i="45" s="1"/>
  <c r="CA16" i="45" a="1"/>
  <c r="CA16" i="45" s="1"/>
  <c r="BZ21" i="45" a="1"/>
  <c r="BZ21" i="45" s="1"/>
  <c r="CH31" i="45" a="1"/>
  <c r="CH31" i="45" s="1"/>
  <c r="CB22" i="45" a="1"/>
  <c r="CB22" i="45" s="1"/>
  <c r="CH14" i="45" a="1"/>
  <c r="CH14" i="45" s="1"/>
  <c r="P11" i="45"/>
  <c r="CG13" i="45" a="1"/>
  <c r="CG13" i="45" s="1"/>
  <c r="CG23" i="45" a="1"/>
  <c r="CG23" i="45" s="1"/>
  <c r="CH9" i="45" a="1"/>
  <c r="CH9" i="45" s="1"/>
  <c r="CB24" i="45" a="1"/>
  <c r="CB24" i="45" s="1"/>
  <c r="BY29" i="45" a="1"/>
  <c r="BY29" i="45" s="1"/>
  <c r="CA29" i="45" a="1"/>
  <c r="CA29" i="45" s="1"/>
  <c r="CA31" i="45" a="1"/>
  <c r="CA31" i="45" s="1"/>
  <c r="CB14" i="45" a="1"/>
  <c r="CB14" i="45" s="1"/>
  <c r="BY16" i="45" a="1"/>
  <c r="BY16" i="45" s="1"/>
  <c r="BZ23" i="45" a="1"/>
  <c r="BZ23" i="45" s="1"/>
  <c r="CG6" i="45" a="1"/>
  <c r="CG6" i="45" s="1"/>
  <c r="BY27" i="45" a="1"/>
  <c r="BY27" i="45" s="1"/>
  <c r="BZ20" i="45" a="1"/>
  <c r="BZ20" i="45" s="1"/>
  <c r="CA21" i="45" a="1"/>
  <c r="CA21" i="45" s="1"/>
  <c r="CH6" i="45" a="1"/>
  <c r="CH6" i="45" s="1"/>
  <c r="CG21" i="45" a="1"/>
  <c r="CG21" i="45" s="1"/>
  <c r="CH7" i="45" a="1"/>
  <c r="CH7" i="45" s="1"/>
  <c r="CB20" i="45" a="1"/>
  <c r="CB20" i="45" s="1"/>
  <c r="CB11" i="45" a="1"/>
  <c r="CB11" i="45" s="1"/>
  <c r="BZ11" i="45" a="1"/>
  <c r="BZ11" i="45" s="1"/>
  <c r="BZ12" i="45" a="1"/>
  <c r="BZ12" i="45" s="1"/>
  <c r="CB12" i="45" a="1"/>
  <c r="CB12" i="45" s="1"/>
  <c r="BZ14" i="45" a="1"/>
  <c r="BZ14" i="45" s="1"/>
  <c r="BY23" i="45" a="1"/>
  <c r="BY23" i="45" s="1"/>
  <c r="CB28" i="45" a="1"/>
  <c r="CB28" i="45" s="1"/>
  <c r="BW15" i="45" a="1"/>
  <c r="BW15" i="45" s="1"/>
  <c r="CG29" i="45" a="1"/>
  <c r="CG29" i="45" s="1"/>
  <c r="CG33" i="45" a="1"/>
  <c r="CG33" i="45" s="1"/>
  <c r="P7" i="45"/>
  <c r="BY19" i="45" a="1"/>
  <c r="BY19" i="45" s="1"/>
  <c r="CH28" i="45" a="1"/>
  <c r="CH28" i="45" s="1"/>
  <c r="CB9" i="45" a="1"/>
  <c r="CB9" i="45" s="1"/>
  <c r="CA11" i="45" a="1"/>
  <c r="CA11" i="45" s="1"/>
  <c r="CB27" i="45" a="1"/>
  <c r="CB27" i="45" s="1"/>
  <c r="CA14" i="45" a="1"/>
  <c r="CA14" i="45" s="1"/>
  <c r="BY28" i="45" a="1"/>
  <c r="BY28" i="45" s="1"/>
  <c r="CA17" i="45" a="1"/>
  <c r="CA17" i="45" s="1"/>
  <c r="CH12" i="45" a="1"/>
  <c r="CH12" i="45" s="1"/>
  <c r="CH26" i="45" a="1"/>
  <c r="CH26" i="45" s="1"/>
  <c r="CB15" i="45" a="1"/>
  <c r="CB15" i="45" s="1"/>
  <c r="CG16" i="45" a="1"/>
  <c r="CG16" i="45" s="1"/>
  <c r="CB32" i="45" a="1"/>
  <c r="CB32" i="45" s="1"/>
  <c r="CG11" i="45" a="1"/>
  <c r="CG11" i="45" s="1"/>
  <c r="P8" i="45"/>
  <c r="CG26" i="45" a="1"/>
  <c r="CG26" i="45" s="1"/>
  <c r="CG24" i="45" a="1"/>
  <c r="CG24" i="45" s="1"/>
  <c r="CB34" i="45" a="1"/>
  <c r="CB34" i="45" s="1"/>
  <c r="CA12" i="45" a="1"/>
  <c r="CA12" i="45" s="1"/>
  <c r="BZ29" i="45" a="1"/>
  <c r="BZ29" i="45" s="1"/>
  <c r="BY20" i="45" a="1"/>
  <c r="BY20" i="45" s="1"/>
  <c r="BY17" i="45" a="1"/>
  <c r="BY17" i="45" s="1"/>
  <c r="CB33" i="45" a="1"/>
  <c r="CB33" i="45" s="1"/>
  <c r="P37" i="53"/>
  <c r="CG17" i="45" a="1"/>
  <c r="CG17" i="45" s="1"/>
  <c r="CH34" i="45" a="1"/>
  <c r="CH34" i="45" s="1"/>
  <c r="CG15" i="45" a="1"/>
  <c r="CG15" i="45" s="1"/>
  <c r="CG14" i="45" a="1"/>
  <c r="CG14" i="45" s="1"/>
  <c r="CH22" i="45" a="1"/>
  <c r="CH22" i="45" s="1"/>
  <c r="CG20" i="45" a="1"/>
  <c r="CG20" i="45" s="1"/>
  <c r="CB21" i="45" a="1"/>
  <c r="CB21" i="45" s="1"/>
  <c r="BZ19" i="45" a="1"/>
  <c r="BZ19" i="45" s="1"/>
  <c r="CA24" i="45" a="1"/>
  <c r="CA24" i="45" s="1"/>
  <c r="BY34" i="45" a="1"/>
  <c r="BY34" i="45" s="1"/>
  <c r="CB19" i="45" a="1"/>
  <c r="CB19" i="45" s="1"/>
  <c r="CA28" i="45" a="1"/>
  <c r="CA28" i="45" s="1"/>
  <c r="BZ16" i="45" a="1"/>
  <c r="BZ16" i="45" s="1"/>
  <c r="C37" i="53"/>
  <c r="CD27" i="39"/>
  <c r="BW11" i="45" a="1"/>
  <c r="BW11" i="45" s="1"/>
  <c r="BW17" i="45" a="1"/>
  <c r="BW17" i="45" s="1"/>
  <c r="BW26" i="45" a="1"/>
  <c r="BW26" i="45" s="1"/>
  <c r="CC26" i="45" s="1"/>
  <c r="BX27" i="45" a="1"/>
  <c r="BX27" i="45" s="1"/>
  <c r="Q37" i="53"/>
  <c r="M37" i="53"/>
  <c r="N37" i="53"/>
  <c r="G38" i="51"/>
  <c r="P39" i="51"/>
  <c r="N39" i="51"/>
  <c r="G39" i="51"/>
  <c r="E38" i="51"/>
  <c r="M38" i="51"/>
  <c r="AE38" i="51" s="1"/>
  <c r="O39" i="51"/>
  <c r="C39" i="51"/>
  <c r="N38" i="51"/>
  <c r="O38" i="51"/>
  <c r="M39" i="51"/>
  <c r="AE39" i="51" s="1"/>
  <c r="C38" i="51"/>
  <c r="E39" i="51"/>
  <c r="N39" i="47"/>
  <c r="G39" i="47"/>
  <c r="P39" i="47"/>
  <c r="E39" i="47"/>
  <c r="M39" i="47"/>
  <c r="AE39" i="47" s="1"/>
  <c r="O39" i="47"/>
  <c r="P38" i="47"/>
  <c r="C39" i="47"/>
  <c r="M38" i="47"/>
  <c r="AE38" i="47" s="1"/>
  <c r="O38" i="47"/>
  <c r="C38" i="47"/>
  <c r="E38" i="47"/>
  <c r="G38" i="47"/>
  <c r="N38" i="47"/>
  <c r="BW9" i="45" a="1"/>
  <c r="BW9" i="45" s="1"/>
  <c r="BX32" i="45" a="1"/>
  <c r="BX32" i="45" s="1"/>
  <c r="BX19" i="45" a="1"/>
  <c r="BX19" i="45" s="1"/>
  <c r="BW19" i="45" a="1"/>
  <c r="BW19" i="45" s="1"/>
  <c r="BW29" i="45" a="1"/>
  <c r="BW29" i="45" s="1"/>
  <c r="BX16" i="45" a="1"/>
  <c r="BX16" i="45" s="1"/>
  <c r="BW13" i="45" a="1"/>
  <c r="BW13" i="45" s="1"/>
  <c r="BX21" i="45" a="1"/>
  <c r="BX21" i="45" s="1"/>
  <c r="B37" i="51"/>
  <c r="BX22" i="45" a="1"/>
  <c r="BX22" i="45" s="1"/>
  <c r="BX13" i="45" a="1"/>
  <c r="BX13" i="45" s="1"/>
  <c r="CE17" i="39"/>
  <c r="BW14" i="45" a="1"/>
  <c r="BW14" i="45" s="1"/>
  <c r="BW12" i="45" a="1"/>
  <c r="BW12" i="45" s="1"/>
  <c r="BX33" i="45" a="1"/>
  <c r="BX33" i="45" s="1"/>
  <c r="BW31" i="45" a="1"/>
  <c r="BW31" i="45" s="1"/>
  <c r="CC31" i="45" s="1"/>
  <c r="BW10" i="45" a="1"/>
  <c r="BW10" i="45" s="1"/>
  <c r="BX12" i="45" a="1"/>
  <c r="BX12" i="45" s="1"/>
  <c r="BW24" i="45" a="1"/>
  <c r="BW24" i="45" s="1"/>
  <c r="BX34" i="45" a="1"/>
  <c r="BX34" i="45" s="1"/>
  <c r="BW27" i="45" a="1"/>
  <c r="BW27" i="45" s="1"/>
  <c r="CC27" i="45" s="1"/>
  <c r="BW18" i="45" a="1"/>
  <c r="BW18" i="45" s="1"/>
  <c r="BW33" i="45" a="1"/>
  <c r="BW33" i="45" s="1"/>
  <c r="BX15" i="45" a="1"/>
  <c r="BX15" i="45" s="1"/>
  <c r="BX11" i="45" a="1"/>
  <c r="BX11" i="45" s="1"/>
  <c r="BW20" i="45" a="1"/>
  <c r="BW20" i="45" s="1"/>
  <c r="BX26" i="45" a="1"/>
  <c r="BX26" i="45" s="1"/>
  <c r="BX9" i="45" a="1"/>
  <c r="BX9" i="45" s="1"/>
  <c r="BW32" i="45" a="1"/>
  <c r="BW32" i="45" s="1"/>
  <c r="CC32" i="45" s="1"/>
  <c r="BW34" i="45" a="1"/>
  <c r="BW34" i="45" s="1"/>
  <c r="AM35" i="42" a="1"/>
  <c r="AM35" i="42" s="1"/>
  <c r="BX10" i="45" a="1"/>
  <c r="BX10" i="45" s="1"/>
  <c r="BX29" i="45" a="1"/>
  <c r="BX29" i="45" s="1"/>
  <c r="CI16" i="41"/>
  <c r="AF8" i="41" s="1"/>
  <c r="CJ16" i="41"/>
  <c r="AG8" i="41" s="1"/>
  <c r="CJ26" i="39"/>
  <c r="AG10" i="39" s="1"/>
  <c r="CI26" i="39"/>
  <c r="AF10" i="39" s="1"/>
  <c r="AE16" i="40"/>
  <c r="AG16" i="40" s="1"/>
  <c r="CI11" i="39"/>
  <c r="AF7" i="39" s="1"/>
  <c r="CJ11" i="39"/>
  <c r="AG7" i="39" s="1"/>
  <c r="CJ21" i="41"/>
  <c r="AG9" i="41" s="1"/>
  <c r="CI21" i="41"/>
  <c r="AF9" i="41" s="1"/>
  <c r="CI6" i="41"/>
  <c r="AF6" i="41" s="1"/>
  <c r="CJ6" i="39"/>
  <c r="AG6" i="39" s="1"/>
  <c r="CI6" i="39"/>
  <c r="AF6" i="39" s="1"/>
  <c r="AF20" i="40"/>
  <c r="CJ16" i="39"/>
  <c r="AG8" i="39" s="1"/>
  <c r="X8" i="39" s="1"/>
  <c r="CI16" i="39"/>
  <c r="AF8" i="39" s="1"/>
  <c r="CJ6" i="41"/>
  <c r="AG6" i="41" s="1"/>
  <c r="CJ31" i="39"/>
  <c r="AG11" i="39" s="1"/>
  <c r="CI31" i="39"/>
  <c r="AF11" i="39" s="1"/>
  <c r="CJ31" i="41"/>
  <c r="AG11" i="41" s="1"/>
  <c r="CI31" i="41"/>
  <c r="AF11" i="41" s="1"/>
  <c r="BX17" i="45" a="1"/>
  <c r="BX17" i="45" s="1"/>
  <c r="CJ21" i="39"/>
  <c r="AG9" i="39" s="1"/>
  <c r="CI21" i="39"/>
  <c r="AF9" i="39" s="1"/>
  <c r="CJ26" i="41"/>
  <c r="AG10" i="41" s="1"/>
  <c r="CI26" i="41"/>
  <c r="AF10" i="41" s="1"/>
  <c r="BX14" i="45" a="1"/>
  <c r="BX14" i="45" s="1"/>
  <c r="BX23" i="45" a="1"/>
  <c r="BX23" i="45" s="1"/>
  <c r="CI11" i="41"/>
  <c r="AF7" i="41" s="1"/>
  <c r="CJ11" i="41"/>
  <c r="AG7" i="41" s="1"/>
  <c r="BW23" i="45" a="1"/>
  <c r="BW23" i="45" s="1"/>
  <c r="BX31" i="45" a="1"/>
  <c r="BX31" i="45" s="1"/>
  <c r="BW16" i="45" a="1"/>
  <c r="BW16" i="45" s="1"/>
  <c r="BW22" i="45" a="1"/>
  <c r="BW22" i="45" s="1"/>
  <c r="CC22" i="45" s="1"/>
  <c r="BX24" i="45" a="1"/>
  <c r="BX24" i="45" s="1"/>
  <c r="BX28" i="45" a="1"/>
  <c r="BX28" i="45" s="1"/>
  <c r="BW21" i="45" a="1"/>
  <c r="BW21" i="45" s="1"/>
  <c r="CC21" i="45" s="1"/>
  <c r="BX18" i="45" a="1"/>
  <c r="BX18" i="45" s="1"/>
  <c r="AL36" i="48" a="1"/>
  <c r="AL36" i="48" s="1"/>
  <c r="AL26" i="48" a="1"/>
  <c r="AL26" i="48" s="1"/>
  <c r="CE31" i="39"/>
  <c r="Y20" i="40"/>
  <c r="AA20" i="40"/>
  <c r="AA23" i="40"/>
  <c r="AK35" i="40" a="1"/>
  <c r="AK35" i="40" s="1"/>
  <c r="AM38" i="40" a="1"/>
  <c r="AM38" i="40" s="1"/>
  <c r="AM33" i="40" a="1"/>
  <c r="AM33" i="40" s="1"/>
  <c r="G25" i="40"/>
  <c r="AK38" i="40" a="1"/>
  <c r="AK38" i="40" s="1"/>
  <c r="E26" i="40"/>
  <c r="H26" i="40"/>
  <c r="E27" i="40"/>
  <c r="H27" i="40"/>
  <c r="CE32" i="39"/>
  <c r="CD21" i="39"/>
  <c r="AE21" i="40"/>
  <c r="AD22" i="40" s="1"/>
  <c r="AF23" i="40"/>
  <c r="AD20" i="40"/>
  <c r="E25" i="40"/>
  <c r="AD15" i="40"/>
  <c r="AF15" i="40"/>
  <c r="AF18" i="40"/>
  <c r="L33" i="40"/>
  <c r="L30" i="40"/>
  <c r="J30" i="40"/>
  <c r="G28" i="40"/>
  <c r="V23" i="40"/>
  <c r="V20" i="40"/>
  <c r="U21" i="40"/>
  <c r="CD8" i="39"/>
  <c r="L35" i="40"/>
  <c r="F31" i="40"/>
  <c r="E30" i="40"/>
  <c r="G30" i="40"/>
  <c r="G33" i="40"/>
  <c r="E35" i="40"/>
  <c r="F36" i="40"/>
  <c r="G35" i="40"/>
  <c r="G38" i="40"/>
  <c r="CD25" i="39"/>
  <c r="J10" i="40"/>
  <c r="K11" i="40"/>
  <c r="CD26" i="39"/>
  <c r="CE26" i="39"/>
  <c r="AA28" i="40"/>
  <c r="AA25" i="40"/>
  <c r="Y25" i="40"/>
  <c r="Z26" i="40"/>
  <c r="AM28" i="40" a="1"/>
  <c r="AM28" i="40" s="1"/>
  <c r="CD16" i="39"/>
  <c r="CE16" i="39"/>
  <c r="Z11" i="40"/>
  <c r="AA13" i="40"/>
  <c r="Y10" i="40"/>
  <c r="AA10" i="40"/>
  <c r="AB22" i="40"/>
  <c r="Y21" i="40"/>
  <c r="Y23" i="40"/>
  <c r="AB21" i="40"/>
  <c r="Y22" i="40"/>
  <c r="AK30" i="40" a="1"/>
  <c r="AK30" i="40" s="1"/>
  <c r="AK25" i="40" a="1"/>
  <c r="AK25" i="40" s="1"/>
  <c r="CE30" i="39"/>
  <c r="CD30" i="39"/>
  <c r="J33" i="40"/>
  <c r="J32" i="40"/>
  <c r="M31" i="40"/>
  <c r="J31" i="40"/>
  <c r="M32" i="40"/>
  <c r="T15" i="40"/>
  <c r="V15" i="40"/>
  <c r="V18" i="40"/>
  <c r="U16" i="40"/>
  <c r="AK33" i="40" a="1"/>
  <c r="AK33" i="40" s="1"/>
  <c r="AK28" i="40" a="1"/>
  <c r="AK28" i="40" s="1"/>
  <c r="CE28" i="39"/>
  <c r="CD28" i="39"/>
  <c r="CD10" i="39"/>
  <c r="L13" i="40" s="1"/>
  <c r="CE10" i="39"/>
  <c r="L10" i="40" s="1"/>
  <c r="AM35" i="40" a="1"/>
  <c r="AM35" i="40" s="1"/>
  <c r="AM30" i="40" a="1"/>
  <c r="AM30" i="40" s="1"/>
  <c r="AM25" i="40" a="1"/>
  <c r="AM25" i="40" s="1"/>
  <c r="AM20" i="40" a="1"/>
  <c r="AM20" i="40" s="1"/>
  <c r="AE11" i="40"/>
  <c r="AF13" i="40"/>
  <c r="AF10" i="40"/>
  <c r="AD10" i="40"/>
  <c r="K21" i="40"/>
  <c r="L20" i="40"/>
  <c r="J20" i="40"/>
  <c r="P26" i="40"/>
  <c r="Q28" i="40"/>
  <c r="O25" i="40"/>
  <c r="Q25" i="40"/>
  <c r="CE11" i="39"/>
  <c r="V13" i="40"/>
  <c r="T10" i="40"/>
  <c r="U11" i="40"/>
  <c r="V10" i="40"/>
  <c r="CD18" i="39"/>
  <c r="CE18" i="39"/>
  <c r="CE22" i="39"/>
  <c r="CD22" i="39"/>
  <c r="P31" i="40"/>
  <c r="Q33" i="40"/>
  <c r="Q30" i="40"/>
  <c r="O30" i="40"/>
  <c r="CD6" i="39"/>
  <c r="CE6" i="39"/>
  <c r="CE35" i="39"/>
  <c r="CD35" i="39"/>
  <c r="K36" i="40"/>
  <c r="L38" i="40"/>
  <c r="J35" i="40"/>
  <c r="CD23" i="39"/>
  <c r="CE23" i="39"/>
  <c r="P11" i="40"/>
  <c r="O10" i="40"/>
  <c r="P36" i="40"/>
  <c r="Q35" i="40"/>
  <c r="Q38" i="40"/>
  <c r="O35" i="40"/>
  <c r="AP28" i="42" a="1"/>
  <c r="AP28" i="42" s="1"/>
  <c r="AP33" i="42" a="1"/>
  <c r="AP33" i="42" s="1"/>
  <c r="CF35" i="45"/>
  <c r="E35" i="46" s="1"/>
  <c r="CC6" i="45"/>
  <c r="CD6" i="45" s="1"/>
  <c r="CC25" i="45"/>
  <c r="CE25" i="45" s="1"/>
  <c r="CF6" i="45"/>
  <c r="CC8" i="45"/>
  <c r="CD8" i="45" s="1"/>
  <c r="CF7" i="45"/>
  <c r="AA10" i="46" s="1"/>
  <c r="CC30" i="45"/>
  <c r="CD30" i="45" s="1"/>
  <c r="CF25" i="45"/>
  <c r="E25" i="46" s="1"/>
  <c r="CF8" i="45"/>
  <c r="T10" i="46" s="1"/>
  <c r="CC7" i="45"/>
  <c r="CD7" i="45" s="1"/>
  <c r="CC35" i="45"/>
  <c r="CE35" i="45" s="1"/>
  <c r="CF30" i="45"/>
  <c r="E37" i="47"/>
  <c r="AP25" i="44" a="1"/>
  <c r="AP25" i="44" s="1"/>
  <c r="AP30" i="48" a="1"/>
  <c r="AP30" i="48" s="1"/>
  <c r="AP25" i="48" a="1"/>
  <c r="AP25" i="48" s="1"/>
  <c r="AP35" i="44" a="1"/>
  <c r="AP35" i="44" s="1"/>
  <c r="E15" i="40" l="1"/>
  <c r="E20" i="40"/>
  <c r="O15" i="40"/>
  <c r="T23" i="44"/>
  <c r="T8" i="41"/>
  <c r="CF16" i="41"/>
  <c r="U11" i="44"/>
  <c r="T11" i="44" s="1"/>
  <c r="V13" i="44"/>
  <c r="T10" i="44"/>
  <c r="V10" i="44"/>
  <c r="E28" i="44"/>
  <c r="H27" i="44"/>
  <c r="E27" i="44"/>
  <c r="E26" i="44"/>
  <c r="H26" i="44"/>
  <c r="F31" i="44"/>
  <c r="E33" i="44" s="1"/>
  <c r="G33" i="44"/>
  <c r="E30" i="44"/>
  <c r="G30" i="44"/>
  <c r="CD20" i="39"/>
  <c r="F36" i="44"/>
  <c r="G38" i="44"/>
  <c r="E35" i="44"/>
  <c r="G35" i="44"/>
  <c r="AD12" i="44"/>
  <c r="AD11" i="44"/>
  <c r="AD13" i="44"/>
  <c r="AG12" i="44"/>
  <c r="AG11" i="44"/>
  <c r="AA13" i="44"/>
  <c r="Z11" i="44"/>
  <c r="AA10" i="44"/>
  <c r="Y10" i="44"/>
  <c r="CE6" i="43"/>
  <c r="C37" i="47"/>
  <c r="N37" i="47"/>
  <c r="P37" i="47"/>
  <c r="O37" i="47"/>
  <c r="G37" i="47"/>
  <c r="M37" i="47"/>
  <c r="AP35" i="48" s="1" a="1"/>
  <c r="AP35" i="48" s="1"/>
  <c r="CD30" i="43"/>
  <c r="CE30" i="43"/>
  <c r="CD35" i="43"/>
  <c r="CE35" i="43"/>
  <c r="W11" i="44"/>
  <c r="W12" i="44"/>
  <c r="T13" i="44"/>
  <c r="CE7" i="43"/>
  <c r="CD7" i="43"/>
  <c r="H31" i="44"/>
  <c r="E37" i="44"/>
  <c r="E36" i="44"/>
  <c r="H36" i="44"/>
  <c r="H37" i="44"/>
  <c r="E38" i="44"/>
  <c r="CE34" i="39"/>
  <c r="CE18" i="41"/>
  <c r="V9" i="41"/>
  <c r="U9" i="41"/>
  <c r="T9" i="41"/>
  <c r="X9" i="41" s="1"/>
  <c r="AF33" i="40"/>
  <c r="CF18" i="41"/>
  <c r="K21" i="44"/>
  <c r="M21" i="44" s="1"/>
  <c r="F21" i="40"/>
  <c r="G20" i="40"/>
  <c r="AA18" i="40"/>
  <c r="G23" i="40"/>
  <c r="Z16" i="40"/>
  <c r="AB17" i="40" s="1"/>
  <c r="Y15" i="40"/>
  <c r="CD18" i="41"/>
  <c r="V30" i="40"/>
  <c r="S8" i="41"/>
  <c r="CF31" i="41"/>
  <c r="V7" i="41"/>
  <c r="U7" i="41"/>
  <c r="T10" i="41"/>
  <c r="X10" i="41" s="1"/>
  <c r="CE28" i="41"/>
  <c r="CD23" i="41"/>
  <c r="CC16" i="41"/>
  <c r="CE16" i="41" s="1"/>
  <c r="T6" i="41"/>
  <c r="X6" i="41" s="1"/>
  <c r="AP13" i="42" s="1" a="1"/>
  <c r="AP13" i="42" s="1"/>
  <c r="CF17" i="41"/>
  <c r="CC34" i="41"/>
  <c r="CD34" i="41" s="1"/>
  <c r="F16" i="40"/>
  <c r="H17" i="40" s="1"/>
  <c r="AM15" i="42" a="1"/>
  <c r="AM15" i="42" s="1"/>
  <c r="CD9" i="39"/>
  <c r="Q13" i="40" s="1"/>
  <c r="CF23" i="41"/>
  <c r="CE23" i="41"/>
  <c r="J10" i="44"/>
  <c r="AM18" i="40" a="1"/>
  <c r="AM18" i="40" s="1"/>
  <c r="CC17" i="41"/>
  <c r="AM23" i="40" a="1"/>
  <c r="AM23" i="40" s="1"/>
  <c r="CD28" i="41"/>
  <c r="L13" i="44"/>
  <c r="CD19" i="39"/>
  <c r="L23" i="40" s="1"/>
  <c r="CF33" i="41"/>
  <c r="CF28" i="41"/>
  <c r="CC13" i="41"/>
  <c r="CE13" i="41" s="1"/>
  <c r="J11" i="44"/>
  <c r="P16" i="40"/>
  <c r="CD35" i="41"/>
  <c r="Y35" i="40"/>
  <c r="AA35" i="40"/>
  <c r="AA38" i="40"/>
  <c r="M12" i="44"/>
  <c r="CC19" i="41"/>
  <c r="CE19" i="41" s="1"/>
  <c r="M11" i="44"/>
  <c r="CC11" i="41"/>
  <c r="CD11" i="41" s="1"/>
  <c r="CC14" i="41"/>
  <c r="CD14" i="41" s="1"/>
  <c r="CD32" i="41"/>
  <c r="CE15" i="39"/>
  <c r="G15" i="40" s="1"/>
  <c r="X6" i="39"/>
  <c r="L20" i="44"/>
  <c r="CF24" i="41"/>
  <c r="L23" i="44"/>
  <c r="CE17" i="43"/>
  <c r="CD29" i="41"/>
  <c r="V10" i="41"/>
  <c r="U10" i="41"/>
  <c r="T11" i="41"/>
  <c r="X11" i="41" s="1"/>
  <c r="CF6" i="41"/>
  <c r="S6" i="41"/>
  <c r="AM13" i="42" s="1" a="1"/>
  <c r="AM13" i="42" s="1"/>
  <c r="U6" i="41"/>
  <c r="V6" i="41"/>
  <c r="CE24" i="39"/>
  <c r="CC30" i="41"/>
  <c r="CD30" i="41" s="1"/>
  <c r="Q15" i="40"/>
  <c r="CF8" i="41"/>
  <c r="CE35" i="41"/>
  <c r="AD30" i="40"/>
  <c r="AF30" i="40"/>
  <c r="CD13" i="39"/>
  <c r="CE12" i="43"/>
  <c r="CF7" i="41"/>
  <c r="Y10" i="42" s="1"/>
  <c r="S11" i="41"/>
  <c r="U11" i="41"/>
  <c r="V11" i="41"/>
  <c r="CF21" i="41"/>
  <c r="CC24" i="41"/>
  <c r="CD24" i="41" s="1"/>
  <c r="CF29" i="41"/>
  <c r="CF11" i="41"/>
  <c r="CF22" i="41"/>
  <c r="AA25" i="42" s="1"/>
  <c r="CC12" i="41"/>
  <c r="CC20" i="41"/>
  <c r="CD20" i="41" s="1"/>
  <c r="CF34" i="41"/>
  <c r="CE29" i="41"/>
  <c r="CC9" i="41"/>
  <c r="CE10" i="41"/>
  <c r="CF13" i="41"/>
  <c r="G18" i="40"/>
  <c r="CC6" i="41"/>
  <c r="CE6" i="41" s="1"/>
  <c r="CF12" i="41"/>
  <c r="CE15" i="41"/>
  <c r="CD15" i="41"/>
  <c r="CE26" i="41"/>
  <c r="CD26" i="41"/>
  <c r="CF26" i="41"/>
  <c r="CE32" i="41"/>
  <c r="CC7" i="41"/>
  <c r="CF35" i="41"/>
  <c r="CF32" i="41"/>
  <c r="CE31" i="41"/>
  <c r="CD31" i="41"/>
  <c r="AK13" i="40" a="1"/>
  <c r="AK13" i="40" s="1"/>
  <c r="CF9" i="41"/>
  <c r="CF20" i="41"/>
  <c r="G23" i="42" s="1"/>
  <c r="CF10" i="41"/>
  <c r="CF15" i="41"/>
  <c r="CD10" i="41"/>
  <c r="CD33" i="43"/>
  <c r="CF30" i="41"/>
  <c r="CE22" i="41"/>
  <c r="CD22" i="41"/>
  <c r="CD33" i="41"/>
  <c r="CE33" i="41"/>
  <c r="CF25" i="41"/>
  <c r="CC8" i="41"/>
  <c r="CF27" i="41"/>
  <c r="CF19" i="41"/>
  <c r="L20" i="42" s="1"/>
  <c r="CF14" i="41"/>
  <c r="CD27" i="41"/>
  <c r="CE27" i="41"/>
  <c r="CC25" i="41"/>
  <c r="K26" i="40"/>
  <c r="M27" i="40" s="1"/>
  <c r="J25" i="40"/>
  <c r="T30" i="40"/>
  <c r="L28" i="40"/>
  <c r="V33" i="40"/>
  <c r="CE23" i="43"/>
  <c r="CD14" i="39"/>
  <c r="Q18" i="40" s="1"/>
  <c r="T35" i="40"/>
  <c r="AK16" i="48"/>
  <c r="V35" i="40"/>
  <c r="V38" i="40"/>
  <c r="AF25" i="40"/>
  <c r="AF28" i="40"/>
  <c r="AD25" i="40"/>
  <c r="CE29" i="39"/>
  <c r="X7" i="39"/>
  <c r="AK15" i="40" a="1"/>
  <c r="AK15" i="40" s="1"/>
  <c r="X7" i="41"/>
  <c r="AP18" i="42" s="1" a="1"/>
  <c r="AP18" i="42" s="1"/>
  <c r="CD14" i="43"/>
  <c r="X8" i="41"/>
  <c r="AP23" i="42" s="1" a="1"/>
  <c r="AP23" i="42" s="1"/>
  <c r="AK20" i="44" a="1"/>
  <c r="AK20" i="44" s="1"/>
  <c r="T21" i="44"/>
  <c r="AN12" i="48"/>
  <c r="AK18" i="40" a="1"/>
  <c r="AK18" i="40" s="1"/>
  <c r="B37" i="49"/>
  <c r="G37" i="49" s="1"/>
  <c r="G42" i="49"/>
  <c r="P41" i="49"/>
  <c r="E41" i="49"/>
  <c r="N40" i="49"/>
  <c r="O41" i="49"/>
  <c r="E40" i="49"/>
  <c r="O40" i="49"/>
  <c r="N41" i="49"/>
  <c r="C40" i="49"/>
  <c r="P42" i="49"/>
  <c r="M40" i="49"/>
  <c r="AE40" i="49" s="1"/>
  <c r="M42" i="49"/>
  <c r="AE42" i="49" s="1"/>
  <c r="P40" i="49"/>
  <c r="G40" i="49"/>
  <c r="O42" i="49"/>
  <c r="M41" i="49"/>
  <c r="AE41" i="49" s="1"/>
  <c r="C42" i="49"/>
  <c r="E42" i="49"/>
  <c r="N42" i="49"/>
  <c r="C41" i="49"/>
  <c r="G41" i="49"/>
  <c r="AE37" i="53"/>
  <c r="AE37" i="47"/>
  <c r="AK23" i="44" a="1"/>
  <c r="AK23" i="44" s="1"/>
  <c r="CE10" i="43"/>
  <c r="L10" i="44" s="1"/>
  <c r="CD20" i="43"/>
  <c r="CD13" i="43"/>
  <c r="AK22" i="48"/>
  <c r="AM23" i="44" a="1"/>
  <c r="AM23" i="44" s="1"/>
  <c r="CC9" i="45"/>
  <c r="CE9" i="45" s="1"/>
  <c r="CD29" i="43"/>
  <c r="O30" i="44"/>
  <c r="CE24" i="43"/>
  <c r="AK18" i="44" a="1"/>
  <c r="AK18" i="44" s="1"/>
  <c r="CE34" i="43"/>
  <c r="CE11" i="43"/>
  <c r="AM15" i="44" a="1"/>
  <c r="AM15" i="44" s="1"/>
  <c r="AK20" i="40" a="1"/>
  <c r="AK20" i="40" s="1"/>
  <c r="AK10" i="40" a="1"/>
  <c r="AK10" i="40" s="1"/>
  <c r="CE9" i="43"/>
  <c r="CD9" i="43"/>
  <c r="AM20" i="44" a="1"/>
  <c r="AM20" i="44" s="1"/>
  <c r="Q33" i="44"/>
  <c r="E17" i="44"/>
  <c r="E16" i="44"/>
  <c r="H16" i="44"/>
  <c r="H17" i="44"/>
  <c r="E18" i="44"/>
  <c r="AK15" i="44" a="1"/>
  <c r="AK15" i="44" s="1"/>
  <c r="CD15" i="43"/>
  <c r="CE15" i="43"/>
  <c r="G15" i="44" s="1"/>
  <c r="E15" i="44"/>
  <c r="G18" i="44"/>
  <c r="AM18" i="44" a="1"/>
  <c r="AM18" i="44" s="1"/>
  <c r="J13" i="44"/>
  <c r="P31" i="44"/>
  <c r="P16" i="44"/>
  <c r="Q18" i="44"/>
  <c r="O15" i="44"/>
  <c r="O25" i="44"/>
  <c r="P26" i="44"/>
  <c r="R27" i="44" s="1"/>
  <c r="AE31" i="44"/>
  <c r="AG31" i="44" s="1"/>
  <c r="AD30" i="44"/>
  <c r="Y20" i="44"/>
  <c r="AA23" i="44"/>
  <c r="Q28" i="44"/>
  <c r="AF33" i="44"/>
  <c r="M22" i="44"/>
  <c r="J21" i="44"/>
  <c r="AD17" i="44"/>
  <c r="Y21" i="44"/>
  <c r="AB22" i="44"/>
  <c r="Y22" i="44"/>
  <c r="Y23" i="44"/>
  <c r="AB21" i="44"/>
  <c r="W22" i="44"/>
  <c r="T22" i="44"/>
  <c r="AA20" i="44"/>
  <c r="Z26" i="44"/>
  <c r="Y27" i="44" s="1"/>
  <c r="AA28" i="44"/>
  <c r="AA38" i="44"/>
  <c r="AA35" i="44"/>
  <c r="Z36" i="44"/>
  <c r="Y35" i="44"/>
  <c r="AA25" i="44"/>
  <c r="AF18" i="44"/>
  <c r="CD28" i="43"/>
  <c r="CE28" i="43"/>
  <c r="J30" i="44"/>
  <c r="L30" i="44"/>
  <c r="J23" i="44"/>
  <c r="CE18" i="43"/>
  <c r="K31" i="44"/>
  <c r="AD18" i="44"/>
  <c r="V30" i="44"/>
  <c r="T30" i="44"/>
  <c r="V33" i="44"/>
  <c r="U31" i="44"/>
  <c r="AD16" i="44"/>
  <c r="AG17" i="44"/>
  <c r="AD15" i="44"/>
  <c r="W21" i="44"/>
  <c r="AF15" i="44"/>
  <c r="AN22" i="60"/>
  <c r="AK22" i="60"/>
  <c r="AN21" i="60"/>
  <c r="AK21" i="60"/>
  <c r="T15" i="44"/>
  <c r="V15" i="44"/>
  <c r="V18" i="44"/>
  <c r="U16" i="44"/>
  <c r="Y15" i="44"/>
  <c r="Z16" i="44"/>
  <c r="AA18" i="44"/>
  <c r="AA15" i="44"/>
  <c r="L28" i="44"/>
  <c r="J25" i="44"/>
  <c r="K26" i="44"/>
  <c r="L25" i="44"/>
  <c r="G20" i="44"/>
  <c r="E20" i="44"/>
  <c r="G23" i="44"/>
  <c r="F21" i="44"/>
  <c r="J35" i="44"/>
  <c r="L35" i="44"/>
  <c r="L38" i="44"/>
  <c r="K36" i="44"/>
  <c r="CI16" i="43"/>
  <c r="AF8" i="43" s="1"/>
  <c r="AD20" i="44"/>
  <c r="AF20" i="44"/>
  <c r="AE21" i="44"/>
  <c r="AF23" i="44"/>
  <c r="CJ16" i="43"/>
  <c r="AG8" i="43" s="1"/>
  <c r="X8" i="43" s="1"/>
  <c r="O35" i="44"/>
  <c r="Q35" i="44"/>
  <c r="Q38" i="44"/>
  <c r="P36" i="44"/>
  <c r="V38" i="44"/>
  <c r="T35" i="44"/>
  <c r="CJ31" i="43"/>
  <c r="AG11" i="43" s="1"/>
  <c r="V35" i="44"/>
  <c r="CI31" i="43"/>
  <c r="AF11" i="43" s="1"/>
  <c r="U36" i="44"/>
  <c r="AF25" i="44"/>
  <c r="AE26" i="44"/>
  <c r="CI21" i="43"/>
  <c r="AF9" i="43" s="1"/>
  <c r="AF28" i="44"/>
  <c r="CJ21" i="43"/>
  <c r="AG9" i="43" s="1"/>
  <c r="AD25" i="44"/>
  <c r="CJ11" i="43"/>
  <c r="AG7" i="43" s="1"/>
  <c r="X7" i="43" s="1"/>
  <c r="P11" i="44"/>
  <c r="CJ6" i="43"/>
  <c r="AG6" i="43" s="1"/>
  <c r="X6" i="43" s="1"/>
  <c r="AP13" i="44" s="1" a="1"/>
  <c r="AP13" i="44" s="1"/>
  <c r="O10" i="44"/>
  <c r="CI6" i="43"/>
  <c r="AF6" i="43" s="1"/>
  <c r="Q10" i="44"/>
  <c r="CI11" i="43"/>
  <c r="AF7" i="43" s="1"/>
  <c r="Q13" i="44"/>
  <c r="AN22" i="48"/>
  <c r="AK21" i="48"/>
  <c r="AL16" i="54" a="1"/>
  <c r="AL16" i="54" s="1"/>
  <c r="AK17" i="54" s="1"/>
  <c r="AL11" i="54" a="1"/>
  <c r="AL11" i="54" s="1"/>
  <c r="AK11" i="54" s="1"/>
  <c r="AL21" i="54" a="1"/>
  <c r="AL21" i="54" s="1"/>
  <c r="AN37" i="54"/>
  <c r="AK37" i="54"/>
  <c r="AK36" i="54"/>
  <c r="AN36" i="54"/>
  <c r="AN32" i="54"/>
  <c r="AK31" i="54"/>
  <c r="AK32" i="54"/>
  <c r="AN31" i="54"/>
  <c r="AK27" i="54"/>
  <c r="AK26" i="54"/>
  <c r="AN26" i="54"/>
  <c r="AN27" i="54"/>
  <c r="G37" i="51"/>
  <c r="AL36" i="52" a="1"/>
  <c r="AL36" i="52" s="1"/>
  <c r="AL21" i="52" a="1"/>
  <c r="AL21" i="52" s="1"/>
  <c r="AL26" i="52" a="1"/>
  <c r="AL26" i="52" s="1"/>
  <c r="AL31" i="52" a="1"/>
  <c r="AL31" i="52" s="1"/>
  <c r="AL16" i="52" a="1"/>
  <c r="AL16" i="52" s="1"/>
  <c r="AL36" i="50" a="1"/>
  <c r="AL36" i="50" s="1"/>
  <c r="AK36" i="50" s="1"/>
  <c r="AL26" i="50" a="1"/>
  <c r="AL26" i="50" s="1"/>
  <c r="AK27" i="50" s="1"/>
  <c r="AL31" i="50" a="1"/>
  <c r="AL31" i="50" s="1"/>
  <c r="AN31" i="50" s="1"/>
  <c r="C38" i="49"/>
  <c r="M38" i="49"/>
  <c r="AE38" i="49" s="1"/>
  <c r="M39" i="49"/>
  <c r="AE39" i="49" s="1"/>
  <c r="N39" i="49"/>
  <c r="E39" i="49"/>
  <c r="C39" i="49"/>
  <c r="G39" i="49"/>
  <c r="P39" i="49"/>
  <c r="E38" i="49"/>
  <c r="O38" i="49"/>
  <c r="P38" i="49"/>
  <c r="N38" i="49"/>
  <c r="G38" i="49"/>
  <c r="O39" i="49"/>
  <c r="AK31" i="48"/>
  <c r="AN31" i="48"/>
  <c r="AK32" i="48"/>
  <c r="AK11" i="48"/>
  <c r="AN11" i="48"/>
  <c r="AN17" i="48"/>
  <c r="AN16" i="48"/>
  <c r="CF27" i="45"/>
  <c r="T30" i="46" s="1"/>
  <c r="T11" i="45"/>
  <c r="X11" i="45" s="1"/>
  <c r="CF22" i="45"/>
  <c r="Z26" i="46" s="1"/>
  <c r="Y27" i="46" s="1"/>
  <c r="CC15" i="45"/>
  <c r="CE15" i="45" s="1"/>
  <c r="CC28" i="45"/>
  <c r="CE28" i="45" s="1"/>
  <c r="CF23" i="45"/>
  <c r="P26" i="46" s="1"/>
  <c r="O27" i="46" s="1"/>
  <c r="CF18" i="45"/>
  <c r="U21" i="46" s="1"/>
  <c r="W21" i="46" s="1"/>
  <c r="CE26" i="45"/>
  <c r="CF12" i="45"/>
  <c r="AA18" i="46" s="1"/>
  <c r="AG17" i="40"/>
  <c r="V9" i="45"/>
  <c r="U9" i="45"/>
  <c r="CF10" i="45"/>
  <c r="K11" i="46" s="1"/>
  <c r="CF31" i="45"/>
  <c r="AA35" i="46" s="1"/>
  <c r="S7" i="45"/>
  <c r="T7" i="45"/>
  <c r="CF29" i="45"/>
  <c r="L33" i="46" s="1"/>
  <c r="CD21" i="45"/>
  <c r="CF26" i="45"/>
  <c r="AD30" i="46" s="1"/>
  <c r="CF32" i="45"/>
  <c r="V35" i="46" s="1"/>
  <c r="CE22" i="45"/>
  <c r="CF21" i="45"/>
  <c r="AF28" i="46" s="1"/>
  <c r="CF16" i="45"/>
  <c r="AE21" i="46" s="1"/>
  <c r="AD22" i="46" s="1"/>
  <c r="CE31" i="45"/>
  <c r="T9" i="45"/>
  <c r="X9" i="45" s="1"/>
  <c r="CF17" i="45"/>
  <c r="AA23" i="46" s="1"/>
  <c r="CF28" i="45"/>
  <c r="P31" i="46" s="1"/>
  <c r="O32" i="46" s="1"/>
  <c r="S8" i="45"/>
  <c r="S10" i="45"/>
  <c r="V10" i="45"/>
  <c r="V8" i="45"/>
  <c r="AK20" i="46" s="1" a="1"/>
  <c r="AK20" i="46" s="1"/>
  <c r="V7" i="45"/>
  <c r="AK15" i="46" s="1" a="1"/>
  <c r="AK15" i="46" s="1"/>
  <c r="U11" i="45"/>
  <c r="V11" i="45"/>
  <c r="S11" i="45"/>
  <c r="T8" i="45"/>
  <c r="T10" i="45"/>
  <c r="X10" i="45" s="1"/>
  <c r="S6" i="45"/>
  <c r="AM13" i="46" s="1" a="1"/>
  <c r="AM13" i="46" s="1"/>
  <c r="T6" i="45"/>
  <c r="CF33" i="45"/>
  <c r="O35" i="46" s="1"/>
  <c r="Q37" i="51"/>
  <c r="CF9" i="45"/>
  <c r="P11" i="46" s="1"/>
  <c r="CF19" i="45"/>
  <c r="K21" i="46" s="1"/>
  <c r="CF15" i="45"/>
  <c r="U6" i="45"/>
  <c r="AK13" i="46" s="1" a="1"/>
  <c r="AK13" i="46" s="1"/>
  <c r="CE27" i="45"/>
  <c r="CC12" i="45"/>
  <c r="CD12" i="45" s="1"/>
  <c r="CF14" i="45"/>
  <c r="P16" i="46" s="1"/>
  <c r="R16" i="46" s="1"/>
  <c r="CF20" i="45"/>
  <c r="F21" i="46" s="1"/>
  <c r="CC17" i="45"/>
  <c r="CD17" i="45" s="1"/>
  <c r="CC18" i="45"/>
  <c r="CE18" i="45" s="1"/>
  <c r="CC16" i="45"/>
  <c r="CD16" i="45" s="1"/>
  <c r="CF34" i="45"/>
  <c r="L38" i="46" s="1"/>
  <c r="C37" i="51"/>
  <c r="CF11" i="45"/>
  <c r="AD15" i="46" s="1"/>
  <c r="CE32" i="45"/>
  <c r="CC11" i="45"/>
  <c r="CD11" i="45" s="1"/>
  <c r="CF13" i="45"/>
  <c r="U16" i="46" s="1"/>
  <c r="T16" i="46" s="1"/>
  <c r="CC19" i="45"/>
  <c r="CD19" i="45" s="1"/>
  <c r="CF24" i="45"/>
  <c r="CC10" i="45"/>
  <c r="CD10" i="45" s="1"/>
  <c r="B37" i="39" a="1"/>
  <c r="CC24" i="45"/>
  <c r="CE24" i="45" s="1"/>
  <c r="CD26" i="45"/>
  <c r="CC33" i="45"/>
  <c r="CD33" i="45" s="1"/>
  <c r="CC23" i="45"/>
  <c r="CD23" i="45" s="1"/>
  <c r="CC20" i="45"/>
  <c r="CD20" i="45" s="1"/>
  <c r="CC14" i="45"/>
  <c r="CE14" i="45" s="1"/>
  <c r="CC13" i="45"/>
  <c r="CD13" i="45" s="1"/>
  <c r="AD17" i="40"/>
  <c r="AD18" i="40"/>
  <c r="AD16" i="40"/>
  <c r="CC34" i="45"/>
  <c r="CD34" i="45" s="1"/>
  <c r="CC29" i="45"/>
  <c r="CD29" i="45" s="1"/>
  <c r="E37" i="51"/>
  <c r="O37" i="51"/>
  <c r="M37" i="51"/>
  <c r="N37" i="51"/>
  <c r="P37" i="51"/>
  <c r="AF10" i="46"/>
  <c r="O18" i="40"/>
  <c r="R17" i="40"/>
  <c r="AB37" i="40"/>
  <c r="AB36" i="40"/>
  <c r="Y38" i="40"/>
  <c r="O16" i="40"/>
  <c r="R16" i="40"/>
  <c r="AK27" i="48"/>
  <c r="AN26" i="48"/>
  <c r="AN27" i="48"/>
  <c r="AK26" i="48"/>
  <c r="AN37" i="48"/>
  <c r="AN36" i="48"/>
  <c r="AK36" i="48"/>
  <c r="AK37" i="48"/>
  <c r="E18" i="40"/>
  <c r="E16" i="40"/>
  <c r="H16" i="40"/>
  <c r="E17" i="40"/>
  <c r="O17" i="40"/>
  <c r="Y36" i="40"/>
  <c r="AM33" i="46" a="1"/>
  <c r="AM33" i="46" s="1"/>
  <c r="AK38" i="46" a="1"/>
  <c r="AK38" i="46" s="1"/>
  <c r="AM38" i="46" a="1"/>
  <c r="AM38" i="46" s="1"/>
  <c r="AG22" i="40"/>
  <c r="AD21" i="40"/>
  <c r="AD23" i="40"/>
  <c r="AG21" i="40"/>
  <c r="CD32" i="45"/>
  <c r="T23" i="40"/>
  <c r="W22" i="40"/>
  <c r="T22" i="40"/>
  <c r="T21" i="40"/>
  <c r="W21" i="40"/>
  <c r="H36" i="40"/>
  <c r="E37" i="40"/>
  <c r="H37" i="40"/>
  <c r="E36" i="40"/>
  <c r="E38" i="40"/>
  <c r="E31" i="40"/>
  <c r="H31" i="40"/>
  <c r="E32" i="40"/>
  <c r="E33" i="40"/>
  <c r="H32" i="40"/>
  <c r="Y13" i="40"/>
  <c r="M11" i="40"/>
  <c r="J12" i="40"/>
  <c r="J13" i="40"/>
  <c r="J11" i="40"/>
  <c r="M12" i="40"/>
  <c r="Y18" i="40"/>
  <c r="Y17" i="40"/>
  <c r="Y16" i="40"/>
  <c r="AB16" i="40"/>
  <c r="J21" i="40"/>
  <c r="J22" i="40"/>
  <c r="J23" i="40"/>
  <c r="M22" i="40"/>
  <c r="M21" i="40"/>
  <c r="AP13" i="40" a="1"/>
  <c r="AP13" i="40" s="1"/>
  <c r="AP38" i="40" a="1"/>
  <c r="AP38" i="40" s="1"/>
  <c r="AP23" i="40" a="1"/>
  <c r="AP23" i="40" s="1"/>
  <c r="AP18" i="40" a="1"/>
  <c r="AP18" i="40" s="1"/>
  <c r="AP28" i="40" a="1"/>
  <c r="AP28" i="40" s="1"/>
  <c r="AP33" i="40" a="1"/>
  <c r="AP33" i="40" s="1"/>
  <c r="T12" i="40"/>
  <c r="W11" i="40"/>
  <c r="W12" i="40"/>
  <c r="T13" i="40"/>
  <c r="T11" i="40"/>
  <c r="O13" i="40"/>
  <c r="R11" i="40"/>
  <c r="O11" i="40"/>
  <c r="O12" i="40"/>
  <c r="R12" i="40"/>
  <c r="H21" i="40"/>
  <c r="E22" i="40"/>
  <c r="E21" i="40"/>
  <c r="H22" i="40"/>
  <c r="E23" i="40"/>
  <c r="AD11" i="40"/>
  <c r="AG12" i="40"/>
  <c r="AD13" i="40"/>
  <c r="AG11" i="40"/>
  <c r="AD12" i="40"/>
  <c r="W31" i="40"/>
  <c r="T32" i="40"/>
  <c r="T33" i="40"/>
  <c r="T31" i="40"/>
  <c r="W32" i="40"/>
  <c r="Y27" i="40"/>
  <c r="AB27" i="40"/>
  <c r="AB26" i="40"/>
  <c r="Y26" i="40"/>
  <c r="Y28" i="40"/>
  <c r="O32" i="40"/>
  <c r="R31" i="40"/>
  <c r="O33" i="40"/>
  <c r="O31" i="40"/>
  <c r="R32" i="40"/>
  <c r="O26" i="40"/>
  <c r="O28" i="40"/>
  <c r="R27" i="40"/>
  <c r="O27" i="40"/>
  <c r="R26" i="40"/>
  <c r="AG27" i="40"/>
  <c r="AG26" i="40"/>
  <c r="AD28" i="40"/>
  <c r="AD27" i="40"/>
  <c r="AD26" i="40"/>
  <c r="T37" i="40"/>
  <c r="T36" i="40"/>
  <c r="T38" i="40"/>
  <c r="W36" i="40"/>
  <c r="W37" i="40"/>
  <c r="AG31" i="40"/>
  <c r="AG32" i="40"/>
  <c r="AD33" i="40"/>
  <c r="AD31" i="40"/>
  <c r="AD32" i="40"/>
  <c r="T16" i="40"/>
  <c r="T18" i="40"/>
  <c r="W17" i="40"/>
  <c r="T17" i="40"/>
  <c r="W16" i="40"/>
  <c r="AK35" i="46" a="1"/>
  <c r="AK35" i="46" s="1"/>
  <c r="AP33" i="46" a="1"/>
  <c r="AP33" i="46" s="1"/>
  <c r="AM35" i="46" a="1"/>
  <c r="AM35" i="46" s="1"/>
  <c r="M36" i="40"/>
  <c r="J36" i="40"/>
  <c r="J38" i="40"/>
  <c r="J37" i="40"/>
  <c r="M37" i="40"/>
  <c r="O36" i="40"/>
  <c r="R36" i="40"/>
  <c r="R37" i="40"/>
  <c r="O38" i="40"/>
  <c r="O37" i="40"/>
  <c r="Y12" i="40"/>
  <c r="AB11" i="40"/>
  <c r="Y11" i="40"/>
  <c r="AB12" i="40"/>
  <c r="AM28" i="46" a="1"/>
  <c r="AM28" i="46" s="1"/>
  <c r="CE21" i="45"/>
  <c r="CD22" i="45"/>
  <c r="AK33" i="46" a="1"/>
  <c r="AK33" i="46" s="1"/>
  <c r="AK28" i="46" a="1"/>
  <c r="AK28" i="46" s="1"/>
  <c r="CD27" i="45"/>
  <c r="CD31" i="45"/>
  <c r="AK30" i="46" a="1"/>
  <c r="AK30" i="46" s="1"/>
  <c r="AK25" i="46" a="1"/>
  <c r="AK25" i="46" s="1"/>
  <c r="AM25" i="46" a="1"/>
  <c r="AM25" i="46" s="1"/>
  <c r="AM30" i="46" a="1"/>
  <c r="AM30" i="46" s="1"/>
  <c r="CD25" i="45"/>
  <c r="F36" i="46"/>
  <c r="E37" i="46" s="1"/>
  <c r="G35" i="46"/>
  <c r="AD10" i="46"/>
  <c r="G38" i="46"/>
  <c r="AF13" i="46"/>
  <c r="CE30" i="45"/>
  <c r="CE6" i="45"/>
  <c r="Y10" i="46"/>
  <c r="CE8" i="45"/>
  <c r="Z11" i="46"/>
  <c r="Y13" i="46" s="1"/>
  <c r="AA13" i="46"/>
  <c r="AE11" i="46"/>
  <c r="AG12" i="46" s="1"/>
  <c r="G25" i="46"/>
  <c r="F26" i="46"/>
  <c r="E28" i="46" s="1"/>
  <c r="V10" i="46"/>
  <c r="U11" i="46"/>
  <c r="T11" i="46" s="1"/>
  <c r="G28" i="46"/>
  <c r="V13" i="46"/>
  <c r="CE7" i="45"/>
  <c r="CD35" i="45"/>
  <c r="G30" i="46"/>
  <c r="AK10" i="46" a="1"/>
  <c r="AK10" i="46" s="1"/>
  <c r="G33" i="46"/>
  <c r="E30" i="46"/>
  <c r="F31" i="46"/>
  <c r="AL16" i="50" a="1"/>
  <c r="AL16" i="50" s="1"/>
  <c r="AN16" i="50" s="1"/>
  <c r="AP30" i="44" a="1"/>
  <c r="AP30" i="44" s="1"/>
  <c r="H32" i="44" l="1"/>
  <c r="E32" i="44"/>
  <c r="E31" i="44"/>
  <c r="AE21" i="42"/>
  <c r="AD20" i="42"/>
  <c r="AF20" i="42"/>
  <c r="T12" i="44"/>
  <c r="Y11" i="44"/>
  <c r="AB11" i="44"/>
  <c r="AB12" i="44"/>
  <c r="Y13" i="44"/>
  <c r="Y12" i="44"/>
  <c r="J22" i="44"/>
  <c r="U21" i="42"/>
  <c r="T20" i="42"/>
  <c r="V20" i="42"/>
  <c r="V23" i="42"/>
  <c r="CD16" i="41"/>
  <c r="AF23" i="42" s="1"/>
  <c r="CE34" i="41"/>
  <c r="CD19" i="41"/>
  <c r="Y35" i="42"/>
  <c r="AA38" i="42"/>
  <c r="AA35" i="42"/>
  <c r="Z36" i="42"/>
  <c r="CD13" i="41"/>
  <c r="Y20" i="42"/>
  <c r="Z21" i="42"/>
  <c r="AM10" i="42" a="1"/>
  <c r="AM10" i="42" s="1"/>
  <c r="AM20" i="42" a="1"/>
  <c r="AM20" i="42" s="1"/>
  <c r="AK10" i="42" a="1"/>
  <c r="AK10" i="42" s="1"/>
  <c r="AK20" i="42" a="1"/>
  <c r="AK20" i="42" s="1"/>
  <c r="AK15" i="42" a="1"/>
  <c r="AK15" i="42" s="1"/>
  <c r="AK13" i="42" a="1"/>
  <c r="AK13" i="42" s="1"/>
  <c r="AK23" i="42" a="1"/>
  <c r="AK23" i="42" s="1"/>
  <c r="CD17" i="41"/>
  <c r="AA23" i="42" s="1"/>
  <c r="CE17" i="41"/>
  <c r="AA20" i="42" s="1"/>
  <c r="AM18" i="42" a="1"/>
  <c r="AM18" i="42" s="1"/>
  <c r="AM23" i="42" a="1"/>
  <c r="AM23" i="42" s="1"/>
  <c r="AK18" i="42" a="1"/>
  <c r="AK18" i="42" s="1"/>
  <c r="Q30" i="42"/>
  <c r="Q33" i="42"/>
  <c r="P31" i="42"/>
  <c r="O30" i="42"/>
  <c r="Q25" i="42"/>
  <c r="Q28" i="42"/>
  <c r="P26" i="42"/>
  <c r="O25" i="42"/>
  <c r="O35" i="42"/>
  <c r="Q35" i="42"/>
  <c r="Q38" i="42"/>
  <c r="P36" i="42"/>
  <c r="CE14" i="41"/>
  <c r="CE11" i="41"/>
  <c r="CE30" i="41"/>
  <c r="Z26" i="42"/>
  <c r="AB27" i="42" s="1"/>
  <c r="CE24" i="41"/>
  <c r="AD10" i="42"/>
  <c r="AF13" i="42"/>
  <c r="AE11" i="42"/>
  <c r="AF10" i="42"/>
  <c r="AA10" i="42"/>
  <c r="J25" i="42"/>
  <c r="L25" i="42"/>
  <c r="K26" i="42"/>
  <c r="L28" i="42"/>
  <c r="Z11" i="42"/>
  <c r="Y12" i="42" s="1"/>
  <c r="B37" i="41" a="1"/>
  <c r="M38" i="41" s="1"/>
  <c r="AE38" i="41" s="1"/>
  <c r="AA13" i="42"/>
  <c r="V10" i="42"/>
  <c r="U11" i="42"/>
  <c r="T10" i="42"/>
  <c r="V13" i="42"/>
  <c r="AE26" i="42"/>
  <c r="AD26" i="42" s="1"/>
  <c r="AF25" i="42"/>
  <c r="AF28" i="42"/>
  <c r="AD25" i="42"/>
  <c r="CD6" i="41"/>
  <c r="E37" i="49"/>
  <c r="C37" i="49"/>
  <c r="L13" i="42"/>
  <c r="CD9" i="45"/>
  <c r="L35" i="42"/>
  <c r="J35" i="42"/>
  <c r="L38" i="42"/>
  <c r="K36" i="42"/>
  <c r="Y15" i="42"/>
  <c r="Z16" i="42"/>
  <c r="AA18" i="42"/>
  <c r="AA15" i="42"/>
  <c r="Y25" i="42"/>
  <c r="AA28" i="42"/>
  <c r="V18" i="42"/>
  <c r="U16" i="42"/>
  <c r="V15" i="42"/>
  <c r="T15" i="42"/>
  <c r="AE16" i="42"/>
  <c r="AF15" i="42"/>
  <c r="AD15" i="42"/>
  <c r="AF18" i="42"/>
  <c r="L33" i="42"/>
  <c r="J30" i="42"/>
  <c r="L30" i="42"/>
  <c r="K31" i="42"/>
  <c r="M26" i="40"/>
  <c r="O37" i="49"/>
  <c r="CD9" i="41"/>
  <c r="CE9" i="41"/>
  <c r="Q37" i="49"/>
  <c r="N37" i="49"/>
  <c r="J26" i="40"/>
  <c r="J27" i="40"/>
  <c r="CE20" i="41"/>
  <c r="CE12" i="41"/>
  <c r="CD12" i="41"/>
  <c r="G25" i="42"/>
  <c r="E25" i="42"/>
  <c r="F26" i="42"/>
  <c r="G28" i="42"/>
  <c r="P11" i="42"/>
  <c r="Q10" i="42"/>
  <c r="O10" i="42"/>
  <c r="Q13" i="42"/>
  <c r="CE25" i="41"/>
  <c r="CD25" i="41"/>
  <c r="AF33" i="42"/>
  <c r="AD30" i="42"/>
  <c r="AF30" i="42"/>
  <c r="AE31" i="42"/>
  <c r="G33" i="42"/>
  <c r="F31" i="42"/>
  <c r="G30" i="42"/>
  <c r="E30" i="42"/>
  <c r="T35" i="42"/>
  <c r="V35" i="42"/>
  <c r="U36" i="42"/>
  <c r="V38" i="42"/>
  <c r="P16" i="42"/>
  <c r="O15" i="42"/>
  <c r="Q15" i="42"/>
  <c r="K21" i="42"/>
  <c r="J20" i="42"/>
  <c r="L23" i="42"/>
  <c r="Q18" i="42"/>
  <c r="V33" i="42"/>
  <c r="T30" i="42"/>
  <c r="U31" i="42"/>
  <c r="V30" i="42"/>
  <c r="F16" i="42"/>
  <c r="G18" i="42"/>
  <c r="G15" i="42"/>
  <c r="E15" i="42"/>
  <c r="F36" i="42"/>
  <c r="E35" i="42"/>
  <c r="G38" i="42"/>
  <c r="G35" i="42"/>
  <c r="F21" i="42"/>
  <c r="G20" i="42"/>
  <c r="E20" i="42"/>
  <c r="J28" i="40"/>
  <c r="CD8" i="41"/>
  <c r="CE8" i="41"/>
  <c r="K11" i="42"/>
  <c r="L10" i="42"/>
  <c r="J10" i="42"/>
  <c r="CE7" i="41"/>
  <c r="CD7" i="41"/>
  <c r="T35" i="46"/>
  <c r="V30" i="46"/>
  <c r="U31" i="46"/>
  <c r="W31" i="46" s="1"/>
  <c r="CD15" i="45"/>
  <c r="AK32" i="50"/>
  <c r="AK31" i="50"/>
  <c r="AN32" i="50"/>
  <c r="AA25" i="46"/>
  <c r="AB27" i="46"/>
  <c r="Y25" i="46"/>
  <c r="Y28" i="46"/>
  <c r="Y26" i="46"/>
  <c r="AA28" i="46"/>
  <c r="AB26" i="46"/>
  <c r="P37" i="49"/>
  <c r="M37" i="49"/>
  <c r="AK18" i="46" a="1"/>
  <c r="AK18" i="46" s="1"/>
  <c r="AK23" i="46" a="1"/>
  <c r="AK23" i="46" s="1"/>
  <c r="AE37" i="51"/>
  <c r="B37" i="39"/>
  <c r="M37" i="39" s="1"/>
  <c r="C41" i="39"/>
  <c r="E42" i="39"/>
  <c r="P40" i="39"/>
  <c r="G41" i="39"/>
  <c r="M40" i="39"/>
  <c r="AE40" i="39" s="1"/>
  <c r="M42" i="39"/>
  <c r="AE42" i="39" s="1"/>
  <c r="M41" i="39"/>
  <c r="AE41" i="39" s="1"/>
  <c r="E40" i="39"/>
  <c r="P42" i="39"/>
  <c r="O40" i="39"/>
  <c r="N40" i="39"/>
  <c r="O41" i="39"/>
  <c r="G40" i="39"/>
  <c r="P41" i="39"/>
  <c r="N42" i="39"/>
  <c r="C40" i="39"/>
  <c r="O42" i="39"/>
  <c r="G42" i="39"/>
  <c r="C42" i="39"/>
  <c r="N41" i="39"/>
  <c r="E41" i="39"/>
  <c r="U36" i="46"/>
  <c r="T38" i="46" s="1"/>
  <c r="AM23" i="46" a="1"/>
  <c r="AM23" i="46" s="1"/>
  <c r="AM18" i="46" a="1"/>
  <c r="AM18" i="46" s="1"/>
  <c r="O27" i="44"/>
  <c r="AP18" i="44" a="1"/>
  <c r="AP18" i="44" s="1"/>
  <c r="O26" i="44"/>
  <c r="R26" i="44"/>
  <c r="R26" i="46"/>
  <c r="O25" i="46"/>
  <c r="O28" i="46" s="1"/>
  <c r="Q28" i="46"/>
  <c r="AP23" i="44" a="1"/>
  <c r="AP23" i="44" s="1"/>
  <c r="Q25" i="46"/>
  <c r="O17" i="44"/>
  <c r="O18" i="44"/>
  <c r="R16" i="44"/>
  <c r="R17" i="44"/>
  <c r="O16" i="44"/>
  <c r="O33" i="44"/>
  <c r="O31" i="44"/>
  <c r="R31" i="44"/>
  <c r="O32" i="44"/>
  <c r="R32" i="44"/>
  <c r="AL21" i="50" a="1"/>
  <c r="AL21" i="50" s="1"/>
  <c r="AK21" i="50" s="1"/>
  <c r="O28" i="44"/>
  <c r="T20" i="46"/>
  <c r="AD33" i="44"/>
  <c r="AD32" i="44"/>
  <c r="AD31" i="44"/>
  <c r="AG32" i="44"/>
  <c r="Y28" i="44"/>
  <c r="AB26" i="44"/>
  <c r="AB27" i="44"/>
  <c r="Y26" i="44"/>
  <c r="Y38" i="44"/>
  <c r="Y36" i="44"/>
  <c r="AB36" i="44"/>
  <c r="AB37" i="44"/>
  <c r="Y37" i="44"/>
  <c r="J33" i="44"/>
  <c r="J31" i="44"/>
  <c r="M32" i="44"/>
  <c r="J32" i="44"/>
  <c r="M31" i="44"/>
  <c r="AN27" i="50"/>
  <c r="T31" i="44"/>
  <c r="W31" i="44"/>
  <c r="T33" i="44"/>
  <c r="T32" i="44"/>
  <c r="W32" i="44"/>
  <c r="T23" i="46"/>
  <c r="W22" i="46"/>
  <c r="V23" i="46"/>
  <c r="L13" i="46"/>
  <c r="O26" i="46"/>
  <c r="R27" i="46"/>
  <c r="T17" i="44"/>
  <c r="T18" i="44"/>
  <c r="T16" i="44"/>
  <c r="W17" i="44"/>
  <c r="W16" i="44"/>
  <c r="E23" i="44"/>
  <c r="E22" i="44"/>
  <c r="H22" i="44"/>
  <c r="E21" i="44"/>
  <c r="H21" i="44"/>
  <c r="AG27" i="44"/>
  <c r="AD26" i="44"/>
  <c r="AD27" i="44"/>
  <c r="AG26" i="44"/>
  <c r="AD28" i="44"/>
  <c r="W36" i="44"/>
  <c r="T37" i="44"/>
  <c r="W37" i="44"/>
  <c r="T36" i="44"/>
  <c r="T38" i="44"/>
  <c r="AD23" i="44"/>
  <c r="AG21" i="44"/>
  <c r="AD22" i="44"/>
  <c r="AG22" i="44"/>
  <c r="AD21" i="44"/>
  <c r="B37" i="43" a="1"/>
  <c r="J28" i="44"/>
  <c r="M27" i="44"/>
  <c r="M26" i="44"/>
  <c r="J27" i="44"/>
  <c r="J26" i="44"/>
  <c r="AA15" i="46"/>
  <c r="O11" i="44"/>
  <c r="O13" i="44"/>
  <c r="R12" i="44"/>
  <c r="R11" i="44"/>
  <c r="O12" i="44"/>
  <c r="J36" i="44"/>
  <c r="M37" i="44"/>
  <c r="J38" i="44"/>
  <c r="M36" i="44"/>
  <c r="J37" i="44"/>
  <c r="O36" i="44"/>
  <c r="R37" i="44"/>
  <c r="O37" i="44"/>
  <c r="O38" i="44"/>
  <c r="R36" i="44"/>
  <c r="AB16" i="44"/>
  <c r="Y18" i="44"/>
  <c r="Y16" i="44"/>
  <c r="AB17" i="44"/>
  <c r="Y17" i="44"/>
  <c r="AN26" i="50"/>
  <c r="AK26" i="50"/>
  <c r="V33" i="46"/>
  <c r="V20" i="46"/>
  <c r="T22" i="46"/>
  <c r="T21" i="46"/>
  <c r="Y15" i="46"/>
  <c r="V38" i="46"/>
  <c r="G15" i="46"/>
  <c r="AK16" i="54"/>
  <c r="AN17" i="54"/>
  <c r="AN16" i="54"/>
  <c r="AN11" i="54"/>
  <c r="AK12" i="54"/>
  <c r="AN12" i="54"/>
  <c r="AK22" i="54"/>
  <c r="AN22" i="54"/>
  <c r="AK21" i="54"/>
  <c r="AN21" i="54"/>
  <c r="AL11" i="52" a="1"/>
  <c r="AL11" i="52" s="1"/>
  <c r="AK16" i="52"/>
  <c r="AK17" i="52"/>
  <c r="AN17" i="52"/>
  <c r="AN16" i="52"/>
  <c r="AK31" i="52"/>
  <c r="AN32" i="52"/>
  <c r="AN31" i="52"/>
  <c r="AK32" i="52"/>
  <c r="AN27" i="52"/>
  <c r="AK27" i="52"/>
  <c r="AN26" i="52"/>
  <c r="AK26" i="52"/>
  <c r="AN21" i="52"/>
  <c r="AK22" i="52"/>
  <c r="AK21" i="52"/>
  <c r="AN22" i="52"/>
  <c r="AN37" i="52"/>
  <c r="AK36" i="52"/>
  <c r="AN36" i="52"/>
  <c r="AK37" i="52"/>
  <c r="AK37" i="50"/>
  <c r="AN36" i="50"/>
  <c r="AN37" i="50"/>
  <c r="AL11" i="50" a="1"/>
  <c r="AL11" i="50" s="1"/>
  <c r="CD28" i="45"/>
  <c r="J10" i="46"/>
  <c r="AA20" i="46"/>
  <c r="W17" i="46"/>
  <c r="J30" i="46"/>
  <c r="K31" i="46"/>
  <c r="J31" i="46" s="1"/>
  <c r="L30" i="46"/>
  <c r="AF20" i="46"/>
  <c r="P36" i="46"/>
  <c r="R37" i="46" s="1"/>
  <c r="Z16" i="46"/>
  <c r="Y18" i="46" s="1"/>
  <c r="J35" i="46"/>
  <c r="CE10" i="45"/>
  <c r="L10" i="46" s="1"/>
  <c r="AA38" i="46"/>
  <c r="Z36" i="46"/>
  <c r="AB37" i="46" s="1"/>
  <c r="Y35" i="46"/>
  <c r="CI21" i="45"/>
  <c r="AF9" i="45" s="1"/>
  <c r="AF33" i="46"/>
  <c r="AF18" i="46"/>
  <c r="G18" i="46"/>
  <c r="L35" i="46"/>
  <c r="K36" i="46"/>
  <c r="J38" i="46" s="1"/>
  <c r="CE16" i="45"/>
  <c r="Q38" i="46"/>
  <c r="CE20" i="45"/>
  <c r="G20" i="46" s="1"/>
  <c r="Q35" i="46"/>
  <c r="E15" i="46"/>
  <c r="F16" i="46"/>
  <c r="E17" i="46" s="1"/>
  <c r="O10" i="46"/>
  <c r="Q13" i="46"/>
  <c r="K26" i="46"/>
  <c r="J27" i="46" s="1"/>
  <c r="CJ6" i="45"/>
  <c r="AG6" i="45" s="1"/>
  <c r="X6" i="45" s="1"/>
  <c r="AP13" i="46" s="1" a="1"/>
  <c r="AP13" i="46" s="1"/>
  <c r="CE13" i="45"/>
  <c r="G23" i="46"/>
  <c r="J25" i="46"/>
  <c r="Q30" i="46"/>
  <c r="L28" i="46"/>
  <c r="AD25" i="46"/>
  <c r="AE26" i="46"/>
  <c r="AD28" i="46" s="1"/>
  <c r="AF25" i="46"/>
  <c r="Q33" i="46"/>
  <c r="AE16" i="46"/>
  <c r="AG17" i="46" s="1"/>
  <c r="L23" i="46"/>
  <c r="AD20" i="46"/>
  <c r="AE31" i="46"/>
  <c r="AD31" i="46" s="1"/>
  <c r="AF30" i="46"/>
  <c r="AF15" i="46"/>
  <c r="J20" i="46"/>
  <c r="CE23" i="45"/>
  <c r="AF23" i="46"/>
  <c r="Q10" i="46"/>
  <c r="CI31" i="45"/>
  <c r="AF11" i="45" s="1"/>
  <c r="CD14" i="45"/>
  <c r="Q18" i="46" s="1"/>
  <c r="CJ31" i="45"/>
  <c r="AG11" i="45" s="1"/>
  <c r="CE11" i="45"/>
  <c r="CI6" i="45"/>
  <c r="AF6" i="45" s="1"/>
  <c r="CE17" i="45"/>
  <c r="CI16" i="45"/>
  <c r="AF8" i="45" s="1"/>
  <c r="W16" i="46"/>
  <c r="V18" i="46"/>
  <c r="L25" i="46"/>
  <c r="O31" i="46"/>
  <c r="O30" i="46"/>
  <c r="V15" i="46"/>
  <c r="R32" i="46"/>
  <c r="O33" i="46"/>
  <c r="T17" i="46"/>
  <c r="T15" i="46"/>
  <c r="CE12" i="45"/>
  <c r="T18" i="46"/>
  <c r="R31" i="46"/>
  <c r="Z21" i="46"/>
  <c r="AB21" i="46" s="1"/>
  <c r="E20" i="46"/>
  <c r="Y20" i="46"/>
  <c r="CI26" i="45"/>
  <c r="AF10" i="45" s="1"/>
  <c r="CD18" i="45"/>
  <c r="CJ21" i="45"/>
  <c r="AG9" i="45" s="1"/>
  <c r="CJ26" i="45"/>
  <c r="AG10" i="45" s="1"/>
  <c r="CJ16" i="45"/>
  <c r="AG8" i="45" s="1"/>
  <c r="X8" i="45" s="1"/>
  <c r="AM10" i="46" a="1"/>
  <c r="AM10" i="46" s="1"/>
  <c r="AM20" i="46" a="1"/>
  <c r="AM20" i="46" s="1"/>
  <c r="AM15" i="46" a="1"/>
  <c r="AM15" i="46" s="1"/>
  <c r="O15" i="46"/>
  <c r="CE33" i="45"/>
  <c r="Q15" i="46"/>
  <c r="R17" i="46"/>
  <c r="O16" i="46"/>
  <c r="O17" i="46"/>
  <c r="CE19" i="45"/>
  <c r="L20" i="46" s="1"/>
  <c r="CJ11" i="45"/>
  <c r="AG7" i="45" s="1"/>
  <c r="X7" i="45" s="1"/>
  <c r="CI11" i="45"/>
  <c r="AF7" i="45" s="1"/>
  <c r="E38" i="39"/>
  <c r="CD24" i="45"/>
  <c r="G38" i="39"/>
  <c r="P38" i="39"/>
  <c r="N38" i="39"/>
  <c r="P39" i="39"/>
  <c r="M39" i="39"/>
  <c r="AE39" i="39" s="1"/>
  <c r="E39" i="39"/>
  <c r="G39" i="39"/>
  <c r="O38" i="39"/>
  <c r="O39" i="39"/>
  <c r="C38" i="39"/>
  <c r="N39" i="39"/>
  <c r="M38" i="39"/>
  <c r="AE38" i="39" s="1"/>
  <c r="C39" i="39"/>
  <c r="CE29" i="45"/>
  <c r="CE34" i="45"/>
  <c r="AD21" i="46"/>
  <c r="AD23" i="46"/>
  <c r="AG21" i="46"/>
  <c r="AG22" i="46"/>
  <c r="AP38" i="46" a="1"/>
  <c r="AP38" i="46" s="1"/>
  <c r="AP25" i="50" a="1"/>
  <c r="AP25" i="50" s="1"/>
  <c r="AP30" i="50" a="1"/>
  <c r="AP30" i="50" s="1"/>
  <c r="AP28" i="46" a="1"/>
  <c r="AP28" i="46" s="1"/>
  <c r="E38" i="46"/>
  <c r="E36" i="46"/>
  <c r="H36" i="46"/>
  <c r="H37" i="46"/>
  <c r="H27" i="46"/>
  <c r="E26" i="46"/>
  <c r="AB11" i="46"/>
  <c r="Y11" i="46"/>
  <c r="Y12" i="46"/>
  <c r="AG11" i="46"/>
  <c r="AD13" i="46"/>
  <c r="AD12" i="46"/>
  <c r="AB12" i="46"/>
  <c r="AD11" i="46"/>
  <c r="E27" i="46"/>
  <c r="W11" i="46"/>
  <c r="T12" i="46"/>
  <c r="H26" i="46"/>
  <c r="T13" i="46"/>
  <c r="W12" i="46"/>
  <c r="M22" i="46"/>
  <c r="M21" i="46"/>
  <c r="J22" i="46"/>
  <c r="J21" i="46"/>
  <c r="J12" i="46"/>
  <c r="J11" i="46"/>
  <c r="M12" i="46"/>
  <c r="M11" i="46"/>
  <c r="H21" i="46"/>
  <c r="E21" i="46"/>
  <c r="E22" i="46"/>
  <c r="H22" i="46"/>
  <c r="E33" i="46"/>
  <c r="H31" i="46"/>
  <c r="E32" i="46"/>
  <c r="E31" i="46"/>
  <c r="H32" i="46"/>
  <c r="T31" i="46"/>
  <c r="T33" i="46"/>
  <c r="T32" i="46"/>
  <c r="O12" i="46"/>
  <c r="O11" i="46"/>
  <c r="R12" i="46"/>
  <c r="R11" i="46"/>
  <c r="AK16" i="50"/>
  <c r="AK17" i="50"/>
  <c r="AN17" i="50"/>
  <c r="AG21" i="42" l="1"/>
  <c r="AD22" i="42"/>
  <c r="AD21" i="42"/>
  <c r="AG22" i="42"/>
  <c r="AD23" i="42"/>
  <c r="W22" i="42"/>
  <c r="T21" i="42"/>
  <c r="T23" i="42"/>
  <c r="T22" i="42"/>
  <c r="W21" i="42"/>
  <c r="M42" i="41"/>
  <c r="AE42" i="41" s="1"/>
  <c r="AB37" i="42"/>
  <c r="Y36" i="42"/>
  <c r="AB36" i="42"/>
  <c r="Y37" i="42"/>
  <c r="Y38" i="42"/>
  <c r="Y28" i="42"/>
  <c r="AB22" i="42"/>
  <c r="AB21" i="42"/>
  <c r="Y22" i="42"/>
  <c r="Y23" i="42"/>
  <c r="Y21" i="42"/>
  <c r="O38" i="42"/>
  <c r="O36" i="42"/>
  <c r="R37" i="42"/>
  <c r="R36" i="42"/>
  <c r="O37" i="42"/>
  <c r="R27" i="42"/>
  <c r="R26" i="42"/>
  <c r="O27" i="42"/>
  <c r="O28" i="42"/>
  <c r="O26" i="42"/>
  <c r="R32" i="42"/>
  <c r="R31" i="42"/>
  <c r="O31" i="42"/>
  <c r="O32" i="42"/>
  <c r="O33" i="42"/>
  <c r="G42" i="41"/>
  <c r="C42" i="41"/>
  <c r="E40" i="41"/>
  <c r="O42" i="41"/>
  <c r="C40" i="41"/>
  <c r="P41" i="41"/>
  <c r="C41" i="41"/>
  <c r="O40" i="41"/>
  <c r="G41" i="41"/>
  <c r="M41" i="41"/>
  <c r="AE41" i="41" s="1"/>
  <c r="E41" i="41"/>
  <c r="N42" i="41"/>
  <c r="P40" i="41"/>
  <c r="N40" i="41"/>
  <c r="M40" i="41"/>
  <c r="AE40" i="41" s="1"/>
  <c r="G40" i="41"/>
  <c r="O41" i="41"/>
  <c r="P42" i="41"/>
  <c r="N41" i="41"/>
  <c r="Y27" i="42"/>
  <c r="Y26" i="42"/>
  <c r="AB26" i="42"/>
  <c r="E42" i="41"/>
  <c r="AG27" i="42"/>
  <c r="W32" i="46"/>
  <c r="G39" i="41"/>
  <c r="N38" i="41"/>
  <c r="N39" i="41"/>
  <c r="C39" i="41"/>
  <c r="AB11" i="42"/>
  <c r="P38" i="41"/>
  <c r="J26" i="42"/>
  <c r="J28" i="42"/>
  <c r="M26" i="42"/>
  <c r="M27" i="42"/>
  <c r="J27" i="42"/>
  <c r="M39" i="41"/>
  <c r="AE39" i="41" s="1"/>
  <c r="O38" i="41"/>
  <c r="O39" i="41"/>
  <c r="AB12" i="42"/>
  <c r="G38" i="41"/>
  <c r="E38" i="41"/>
  <c r="Y13" i="42"/>
  <c r="Y11" i="42"/>
  <c r="AG11" i="42"/>
  <c r="AD11" i="42"/>
  <c r="AD13" i="42"/>
  <c r="AG12" i="42"/>
  <c r="AD12" i="42"/>
  <c r="B37" i="41"/>
  <c r="AL36" i="42" s="1" a="1"/>
  <c r="AL36" i="42" s="1"/>
  <c r="AN37" i="42" s="1"/>
  <c r="E39" i="41"/>
  <c r="C38" i="41"/>
  <c r="P39" i="41"/>
  <c r="AG26" i="42"/>
  <c r="AD28" i="42"/>
  <c r="AD27" i="42"/>
  <c r="T37" i="46"/>
  <c r="W12" i="42"/>
  <c r="W11" i="42"/>
  <c r="T13" i="42"/>
  <c r="T12" i="42"/>
  <c r="T11" i="42"/>
  <c r="AE37" i="49"/>
  <c r="O37" i="39"/>
  <c r="P37" i="39"/>
  <c r="G37" i="39"/>
  <c r="E37" i="39"/>
  <c r="N37" i="39"/>
  <c r="W36" i="46"/>
  <c r="T36" i="46"/>
  <c r="Y16" i="42"/>
  <c r="Y17" i="42"/>
  <c r="AB16" i="42"/>
  <c r="Y18" i="42"/>
  <c r="AB17" i="42"/>
  <c r="AG17" i="42"/>
  <c r="AD18" i="42"/>
  <c r="AD17" i="42"/>
  <c r="AG16" i="42"/>
  <c r="AD16" i="42"/>
  <c r="J37" i="42"/>
  <c r="J36" i="42"/>
  <c r="J38" i="42"/>
  <c r="M37" i="42"/>
  <c r="M36" i="42"/>
  <c r="T17" i="42"/>
  <c r="T16" i="42"/>
  <c r="W17" i="42"/>
  <c r="T18" i="42"/>
  <c r="W16" i="42"/>
  <c r="J31" i="42"/>
  <c r="J33" i="42"/>
  <c r="M32" i="42"/>
  <c r="M31" i="42"/>
  <c r="J32" i="42"/>
  <c r="J11" i="42"/>
  <c r="J12" i="42"/>
  <c r="M11" i="42"/>
  <c r="M12" i="42"/>
  <c r="J13" i="42"/>
  <c r="T38" i="42"/>
  <c r="T37" i="42"/>
  <c r="W37" i="42"/>
  <c r="W36" i="42"/>
  <c r="T36" i="42"/>
  <c r="T33" i="42"/>
  <c r="W32" i="42"/>
  <c r="T31" i="42"/>
  <c r="W31" i="42"/>
  <c r="T32" i="42"/>
  <c r="H17" i="42"/>
  <c r="H16" i="42"/>
  <c r="E16" i="42"/>
  <c r="E17" i="42"/>
  <c r="E18" i="42"/>
  <c r="H21" i="42"/>
  <c r="E23" i="42"/>
  <c r="E21" i="42"/>
  <c r="E22" i="42"/>
  <c r="H22" i="42"/>
  <c r="O11" i="42"/>
  <c r="R12" i="42"/>
  <c r="O12" i="42"/>
  <c r="R11" i="42"/>
  <c r="O13" i="42"/>
  <c r="H32" i="42"/>
  <c r="E33" i="42"/>
  <c r="E31" i="42"/>
  <c r="H31" i="42"/>
  <c r="E32" i="42"/>
  <c r="H26" i="42"/>
  <c r="E28" i="42"/>
  <c r="H27" i="42"/>
  <c r="E26" i="42"/>
  <c r="E27" i="42"/>
  <c r="O18" i="42"/>
  <c r="R17" i="42"/>
  <c r="R16" i="42"/>
  <c r="O16" i="42"/>
  <c r="O17" i="42"/>
  <c r="E37" i="42"/>
  <c r="H37" i="42"/>
  <c r="E38" i="42"/>
  <c r="E36" i="42"/>
  <c r="H36" i="42"/>
  <c r="J22" i="42"/>
  <c r="M21" i="42"/>
  <c r="M22" i="42"/>
  <c r="J21" i="42"/>
  <c r="J23" i="42"/>
  <c r="AD33" i="42"/>
  <c r="AD32" i="42"/>
  <c r="AG31" i="42"/>
  <c r="AD31" i="42"/>
  <c r="AG32" i="42"/>
  <c r="Q37" i="39"/>
  <c r="AE37" i="39" s="1"/>
  <c r="C37" i="39"/>
  <c r="W37" i="46"/>
  <c r="AP23" i="46" a="1"/>
  <c r="AP23" i="46" s="1"/>
  <c r="AP18" i="46" a="1"/>
  <c r="AP18" i="46" s="1"/>
  <c r="N41" i="43"/>
  <c r="G40" i="43"/>
  <c r="E41" i="43"/>
  <c r="P42" i="43"/>
  <c r="M41" i="43"/>
  <c r="AE41" i="43" s="1"/>
  <c r="C40" i="43"/>
  <c r="O42" i="43"/>
  <c r="N40" i="43"/>
  <c r="E42" i="43"/>
  <c r="M40" i="43"/>
  <c r="AE40" i="43" s="1"/>
  <c r="N42" i="43"/>
  <c r="G42" i="43"/>
  <c r="G41" i="43"/>
  <c r="C42" i="43"/>
  <c r="C41" i="43"/>
  <c r="M42" i="43"/>
  <c r="AE42" i="43" s="1"/>
  <c r="P41" i="43"/>
  <c r="E40" i="43"/>
  <c r="P40" i="43"/>
  <c r="O41" i="43"/>
  <c r="O40" i="43"/>
  <c r="AN21" i="50"/>
  <c r="AK22" i="50"/>
  <c r="AN22" i="50"/>
  <c r="O18" i="46"/>
  <c r="J13" i="46"/>
  <c r="G38" i="43"/>
  <c r="M38" i="43"/>
  <c r="AE38" i="43" s="1"/>
  <c r="P39" i="43"/>
  <c r="B37" i="43"/>
  <c r="O39" i="43"/>
  <c r="G39" i="43"/>
  <c r="M39" i="43"/>
  <c r="AE39" i="43" s="1"/>
  <c r="N38" i="43"/>
  <c r="E38" i="43"/>
  <c r="P38" i="43"/>
  <c r="E39" i="43"/>
  <c r="O38" i="43"/>
  <c r="C39" i="43"/>
  <c r="N39" i="43"/>
  <c r="C38" i="43"/>
  <c r="AL26" i="42" a="1"/>
  <c r="AL26" i="42" s="1"/>
  <c r="AN27" i="42" s="1"/>
  <c r="AB16" i="46"/>
  <c r="Y17" i="46"/>
  <c r="AB17" i="46"/>
  <c r="E23" i="46"/>
  <c r="J23" i="46"/>
  <c r="O13" i="46"/>
  <c r="AN11" i="52"/>
  <c r="AN12" i="52"/>
  <c r="AK11" i="52"/>
  <c r="AK12" i="52"/>
  <c r="AN12" i="50"/>
  <c r="AK11" i="50"/>
  <c r="AN11" i="50"/>
  <c r="AK12" i="50"/>
  <c r="O38" i="46"/>
  <c r="O36" i="46"/>
  <c r="R36" i="46"/>
  <c r="J37" i="46"/>
  <c r="M36" i="46"/>
  <c r="O37" i="46"/>
  <c r="M32" i="46"/>
  <c r="M31" i="46"/>
  <c r="J33" i="46"/>
  <c r="AD17" i="46"/>
  <c r="J32" i="46"/>
  <c r="AL31" i="42" a="1"/>
  <c r="AL31" i="42" s="1"/>
  <c r="Y16" i="46"/>
  <c r="H16" i="46"/>
  <c r="E16" i="46"/>
  <c r="H17" i="46"/>
  <c r="AB36" i="46"/>
  <c r="Y38" i="46"/>
  <c r="Y37" i="46"/>
  <c r="Y36" i="46"/>
  <c r="E18" i="46"/>
  <c r="AG16" i="46"/>
  <c r="J36" i="46"/>
  <c r="M37" i="46"/>
  <c r="AD32" i="46"/>
  <c r="AG26" i="46"/>
  <c r="AD26" i="46"/>
  <c r="M26" i="46"/>
  <c r="M27" i="46"/>
  <c r="J28" i="46"/>
  <c r="AD16" i="46"/>
  <c r="AD18" i="46"/>
  <c r="AG27" i="46"/>
  <c r="AD27" i="46"/>
  <c r="J26" i="46"/>
  <c r="AD33" i="46"/>
  <c r="AG31" i="46"/>
  <c r="AG32" i="46"/>
  <c r="Y21" i="46"/>
  <c r="Y23" i="46"/>
  <c r="AB22" i="46"/>
  <c r="Y22" i="46"/>
  <c r="B37" i="45" a="1"/>
  <c r="AL36" i="40" a="1"/>
  <c r="AL36" i="40" s="1"/>
  <c r="AL26" i="40" a="1"/>
  <c r="AL26" i="40" s="1"/>
  <c r="AL31" i="40" a="1"/>
  <c r="AL31" i="40" s="1"/>
  <c r="AL11" i="40" a="1"/>
  <c r="AL11" i="40" s="1"/>
  <c r="AL16" i="40" a="1"/>
  <c r="AL16" i="40" s="1"/>
  <c r="AL21" i="40" a="1"/>
  <c r="AL21" i="40" s="1"/>
  <c r="AP35" i="46" a="1"/>
  <c r="AP35" i="46" s="1"/>
  <c r="C7" i="32"/>
  <c r="E7" i="32"/>
  <c r="G7" i="32"/>
  <c r="C10" i="32"/>
  <c r="G10" i="32"/>
  <c r="AQ10" i="32" s="1"/>
  <c r="E10" i="32"/>
  <c r="G9" i="32"/>
  <c r="AQ9" i="32" s="1"/>
  <c r="E9" i="32"/>
  <c r="C9" i="32"/>
  <c r="E11" i="32"/>
  <c r="C11" i="32"/>
  <c r="G11" i="32"/>
  <c r="AQ11" i="32" s="1"/>
  <c r="G8" i="32"/>
  <c r="E8" i="32"/>
  <c r="C8" i="32"/>
  <c r="AK37" i="42" l="1"/>
  <c r="AN36" i="42"/>
  <c r="AK36" i="42"/>
  <c r="Q37" i="41"/>
  <c r="C37" i="41"/>
  <c r="P37" i="41"/>
  <c r="N37" i="41"/>
  <c r="M37" i="41"/>
  <c r="O37" i="41"/>
  <c r="G37" i="41"/>
  <c r="E37" i="41"/>
  <c r="G39" i="45"/>
  <c r="G40" i="45"/>
  <c r="E42" i="45"/>
  <c r="O41" i="45"/>
  <c r="P41" i="45"/>
  <c r="P42" i="45"/>
  <c r="N41" i="45"/>
  <c r="P40" i="45"/>
  <c r="G41" i="45"/>
  <c r="N40" i="45"/>
  <c r="E41" i="45"/>
  <c r="C40" i="45"/>
  <c r="M42" i="45"/>
  <c r="AE42" i="45" s="1"/>
  <c r="N42" i="45"/>
  <c r="M40" i="45"/>
  <c r="AE40" i="45" s="1"/>
  <c r="M41" i="45"/>
  <c r="AE41" i="45" s="1"/>
  <c r="E40" i="45"/>
  <c r="O42" i="45"/>
  <c r="C41" i="45"/>
  <c r="O40" i="45"/>
  <c r="G42" i="45"/>
  <c r="C42" i="45"/>
  <c r="AL21" i="42" a="1"/>
  <c r="AL21" i="42" s="1"/>
  <c r="AN21" i="42" s="1"/>
  <c r="AK27" i="42"/>
  <c r="AN26" i="42"/>
  <c r="AK26" i="42"/>
  <c r="N37" i="43"/>
  <c r="P37" i="43"/>
  <c r="M37" i="43"/>
  <c r="C37" i="43"/>
  <c r="E37" i="43"/>
  <c r="AL26" i="44" a="1"/>
  <c r="AL26" i="44" s="1"/>
  <c r="AL31" i="44" a="1"/>
  <c r="AL31" i="44" s="1"/>
  <c r="AL16" i="44" a="1"/>
  <c r="AL16" i="44" s="1"/>
  <c r="G37" i="43"/>
  <c r="AL36" i="44" a="1"/>
  <c r="AL36" i="44" s="1"/>
  <c r="O37" i="43"/>
  <c r="Q37" i="43"/>
  <c r="AL16" i="42" a="1"/>
  <c r="AL16" i="42" s="1"/>
  <c r="AK16" i="42" s="1"/>
  <c r="AL11" i="42" a="1"/>
  <c r="AL11" i="42" s="1"/>
  <c r="AK31" i="42"/>
  <c r="AK32" i="42"/>
  <c r="AN31" i="42"/>
  <c r="AN32" i="42"/>
  <c r="N39" i="45"/>
  <c r="M39" i="45"/>
  <c r="AE39" i="45" s="1"/>
  <c r="C39" i="45"/>
  <c r="O39" i="45"/>
  <c r="O38" i="45"/>
  <c r="B37" i="45"/>
  <c r="E38" i="45"/>
  <c r="E39" i="45"/>
  <c r="N38" i="45"/>
  <c r="C38" i="45"/>
  <c r="G38" i="45"/>
  <c r="P38" i="45"/>
  <c r="M38" i="45"/>
  <c r="AE38" i="45" s="1"/>
  <c r="P39" i="45"/>
  <c r="AK37" i="40"/>
  <c r="AN36" i="40"/>
  <c r="AK36" i="40"/>
  <c r="AN37" i="40"/>
  <c r="AN26" i="40"/>
  <c r="AN27" i="40"/>
  <c r="AK27" i="40"/>
  <c r="AK26" i="40"/>
  <c r="AN22" i="40"/>
  <c r="AK22" i="40"/>
  <c r="AN21" i="40"/>
  <c r="AK21" i="40"/>
  <c r="AN11" i="40"/>
  <c r="AN12" i="40"/>
  <c r="AK11" i="40"/>
  <c r="AK12" i="40"/>
  <c r="AN16" i="40"/>
  <c r="AN17" i="40"/>
  <c r="AK16" i="40"/>
  <c r="AK17" i="40"/>
  <c r="AN32" i="40"/>
  <c r="AK32" i="40"/>
  <c r="AK31" i="40"/>
  <c r="AN31" i="40"/>
  <c r="AP25" i="46" a="1"/>
  <c r="AP25" i="46" s="1"/>
  <c r="AP30" i="46" a="1"/>
  <c r="AP30" i="46" s="1"/>
  <c r="C6" i="32"/>
  <c r="E6" i="32"/>
  <c r="G6" i="32"/>
  <c r="AQ8" i="32"/>
  <c r="AE37" i="41" l="1"/>
  <c r="AE37" i="43"/>
  <c r="AK21" i="42"/>
  <c r="AN22" i="42"/>
  <c r="AK22" i="42"/>
  <c r="AN17" i="44"/>
  <c r="AK16" i="44"/>
  <c r="AK17" i="44"/>
  <c r="AN16" i="44"/>
  <c r="AK32" i="44"/>
  <c r="AN32" i="44"/>
  <c r="AN31" i="44"/>
  <c r="AK31" i="44"/>
  <c r="AK37" i="44"/>
  <c r="AN37" i="44"/>
  <c r="AK36" i="44"/>
  <c r="AN36" i="44"/>
  <c r="AK27" i="44"/>
  <c r="AN26" i="44"/>
  <c r="AK26" i="44"/>
  <c r="AN27" i="44"/>
  <c r="AL11" i="44" a="1"/>
  <c r="AL11" i="44" s="1"/>
  <c r="AL21" i="44" a="1"/>
  <c r="AL21" i="44" s="1"/>
  <c r="C37" i="45"/>
  <c r="AL31" i="46" a="1"/>
  <c r="AL31" i="46" s="1"/>
  <c r="AL26" i="46" a="1"/>
  <c r="AL26" i="46" s="1"/>
  <c r="AL36" i="46" a="1"/>
  <c r="AL36" i="46" s="1"/>
  <c r="AN17" i="42"/>
  <c r="AN16" i="42"/>
  <c r="AK17" i="42"/>
  <c r="AK11" i="42"/>
  <c r="AN11" i="42"/>
  <c r="AK12" i="42"/>
  <c r="AN12" i="42"/>
  <c r="M37" i="45"/>
  <c r="G37" i="45"/>
  <c r="N37" i="45"/>
  <c r="O37" i="45"/>
  <c r="Q37" i="45"/>
  <c r="P37" i="45"/>
  <c r="E37" i="45"/>
  <c r="AQ7" i="32"/>
  <c r="AL16" i="46" l="1" a="1"/>
  <c r="AL16" i="46" s="1"/>
  <c r="AN17" i="46" s="1"/>
  <c r="AE37" i="45"/>
  <c r="AK21" i="44"/>
  <c r="AN21" i="44"/>
  <c r="AK22" i="44"/>
  <c r="AN22" i="44"/>
  <c r="AK12" i="44"/>
  <c r="AN11" i="44"/>
  <c r="AN12" i="44"/>
  <c r="AK11" i="44"/>
  <c r="AK37" i="46"/>
  <c r="AN37" i="46"/>
  <c r="AK36" i="46"/>
  <c r="AN36" i="46"/>
  <c r="AN26" i="46"/>
  <c r="AK26" i="46"/>
  <c r="AN27" i="46"/>
  <c r="AK27" i="46"/>
  <c r="AL21" i="46" a="1"/>
  <c r="AL21" i="46" s="1"/>
  <c r="AN22" i="46" s="1"/>
  <c r="AL11" i="46" a="1"/>
  <c r="AL11" i="46" s="1"/>
  <c r="AK31" i="46"/>
  <c r="AN31" i="46"/>
  <c r="AN32" i="46"/>
  <c r="AK32" i="46"/>
  <c r="AQ6" i="32"/>
  <c r="AK16" i="46" l="1"/>
  <c r="AN16" i="46"/>
  <c r="AK17" i="46"/>
  <c r="AN12" i="46"/>
  <c r="AK12" i="46"/>
  <c r="AN11" i="46"/>
  <c r="AK11" i="46"/>
  <c r="AN21" i="46"/>
  <c r="AK21" i="46"/>
  <c r="AK22" i="46"/>
  <c r="K6" i="32"/>
  <c r="BJ6" i="32"/>
  <c r="K7" i="32"/>
  <c r="AS6" i="32"/>
  <c r="AU6" i="32"/>
  <c r="L6" i="32"/>
  <c r="AS7" i="32" l="1"/>
  <c r="L7" i="32"/>
  <c r="AU7" i="32"/>
  <c r="AW6" i="32"/>
  <c r="AV6" i="32"/>
  <c r="K8" i="32" l="1"/>
  <c r="AW7" i="32"/>
  <c r="AU8" i="32"/>
  <c r="L8" i="32"/>
  <c r="AV7" i="32"/>
  <c r="K9" i="32"/>
  <c r="AS8" i="32"/>
  <c r="AW8" i="32" l="1"/>
  <c r="AV8" i="32"/>
  <c r="AS9" i="32"/>
  <c r="AU9" i="32"/>
  <c r="L9" i="32"/>
  <c r="K10" i="32" l="1"/>
  <c r="AV9" i="32"/>
  <c r="AW9" i="32"/>
  <c r="K11" i="32"/>
  <c r="AS10" i="32"/>
  <c r="AU10" i="32"/>
  <c r="L10" i="32"/>
  <c r="AV10" i="32" l="1"/>
  <c r="AW10" i="32"/>
  <c r="AS11" i="32"/>
  <c r="L11" i="32"/>
  <c r="AU11" i="32"/>
  <c r="AO4" i="32"/>
  <c r="Q42" i="32" l="1"/>
  <c r="Q41" i="32"/>
  <c r="Q40" i="32"/>
  <c r="Q39" i="32"/>
  <c r="Q38" i="32"/>
  <c r="AP11" i="34"/>
  <c r="AP12" i="34"/>
  <c r="AP16" i="34"/>
  <c r="AP17" i="34"/>
  <c r="AP21" i="34"/>
  <c r="AP22" i="34"/>
  <c r="AP31" i="34"/>
  <c r="AP26" i="34"/>
  <c r="AP27" i="34"/>
  <c r="AP32" i="34"/>
  <c r="AP36" i="34"/>
  <c r="AP37" i="34"/>
  <c r="BK6" i="32" a="1"/>
  <c r="AV11" i="32"/>
  <c r="AW11" i="32"/>
  <c r="C31" i="34"/>
  <c r="C36" i="34"/>
  <c r="C35" i="34"/>
  <c r="AD8" i="34" s="1"/>
  <c r="C30" i="34"/>
  <c r="Y8" i="34" s="1"/>
  <c r="B31" i="32"/>
  <c r="B22" i="32"/>
  <c r="B20" i="32"/>
  <c r="A26" i="32"/>
  <c r="A18" i="32"/>
  <c r="A23" i="32"/>
  <c r="C8" i="34"/>
  <c r="B18" i="32"/>
  <c r="AR18" i="32" s="1"/>
  <c r="C18" i="32" s="1"/>
  <c r="A29" i="32"/>
  <c r="A20" i="32"/>
  <c r="B29" i="32"/>
  <c r="A28" i="32"/>
  <c r="B19" i="32"/>
  <c r="A32" i="32"/>
  <c r="B26" i="32"/>
  <c r="B30" i="32"/>
  <c r="B32" i="32"/>
  <c r="C33" i="34"/>
  <c r="Y30" i="34" s="1"/>
  <c r="B21" i="32"/>
  <c r="A31" i="32"/>
  <c r="A19" i="32"/>
  <c r="A22" i="32"/>
  <c r="A30" i="32"/>
  <c r="A21" i="32"/>
  <c r="AK8" i="34"/>
  <c r="B28" i="32"/>
  <c r="A24" i="32"/>
  <c r="B23" i="32"/>
  <c r="C32" i="34"/>
  <c r="C38" i="34"/>
  <c r="AD35" i="34" s="1"/>
  <c r="B25" i="32"/>
  <c r="A25" i="32"/>
  <c r="B24" i="32"/>
  <c r="A27" i="32"/>
  <c r="B27" i="32"/>
  <c r="C37" i="34"/>
  <c r="D30" i="32" l="1"/>
  <c r="E30" i="32" s="1"/>
  <c r="X30" i="32"/>
  <c r="W30" i="32" s="1"/>
  <c r="D23" i="32"/>
  <c r="E23" i="32" s="1"/>
  <c r="X23" i="32"/>
  <c r="W23" i="32" s="1"/>
  <c r="D29" i="32"/>
  <c r="E29" i="32" s="1"/>
  <c r="X29" i="32"/>
  <c r="W29" i="32" s="1"/>
  <c r="D28" i="32"/>
  <c r="E28" i="32" s="1"/>
  <c r="X28" i="32"/>
  <c r="W28" i="32" s="1"/>
  <c r="D27" i="32"/>
  <c r="E27" i="32" s="1"/>
  <c r="X27" i="32"/>
  <c r="W27" i="32" s="1"/>
  <c r="D31" i="32"/>
  <c r="E31" i="32" s="1"/>
  <c r="X31" i="32"/>
  <c r="W31" i="32" s="1"/>
  <c r="D25" i="32"/>
  <c r="E25" i="32" s="1"/>
  <c r="X25" i="32"/>
  <c r="W25" i="32" s="1"/>
  <c r="D26" i="32"/>
  <c r="E26" i="32" s="1"/>
  <c r="X26" i="32"/>
  <c r="W26" i="32" s="1"/>
  <c r="D32" i="32"/>
  <c r="E32" i="32" s="1"/>
  <c r="X32" i="32"/>
  <c r="W32" i="32" s="1"/>
  <c r="D24" i="32"/>
  <c r="E24" i="32" s="1"/>
  <c r="X24" i="32"/>
  <c r="W24" i="32" s="1"/>
  <c r="BK6" i="32"/>
  <c r="BD11" i="32" s="1"/>
  <c r="BF9" i="32"/>
  <c r="BE8" i="32"/>
  <c r="BE11" i="32"/>
  <c r="BF11" i="32"/>
  <c r="BE10" i="32"/>
  <c r="BG11" i="32"/>
  <c r="BF10" i="32"/>
  <c r="BH11" i="32"/>
  <c r="BE9" i="32"/>
  <c r="BG10" i="32"/>
  <c r="BF33" i="32" s="1" a="1"/>
  <c r="BF33" i="32" s="1"/>
  <c r="AR19" i="32"/>
  <c r="C19" i="32" s="1"/>
  <c r="BD47" i="32" l="1" a="1"/>
  <c r="BD47" i="32" s="1"/>
  <c r="BD33" i="32" a="1"/>
  <c r="BD33" i="32" s="1"/>
  <c r="BD60" i="32" a="1"/>
  <c r="BD60" i="32" s="1"/>
  <c r="BE47" i="32" a="1"/>
  <c r="BE47" i="32" s="1"/>
  <c r="BE33" i="32" a="1"/>
  <c r="BE33" i="32" s="1"/>
  <c r="BH13" i="32"/>
  <c r="BF14" i="32"/>
  <c r="BF13" i="32"/>
  <c r="BF15" i="32"/>
  <c r="BG14" i="32"/>
  <c r="BG13" i="32"/>
  <c r="BD17" i="32" a="1"/>
  <c r="BD17" i="32" s="1"/>
  <c r="BF12" i="32"/>
  <c r="BF17" i="32" a="1"/>
  <c r="BF17" i="32" s="1"/>
  <c r="BH12" i="32"/>
  <c r="BG17" i="32" a="1"/>
  <c r="BG17" i="32" s="1"/>
  <c r="BI12" i="32"/>
  <c r="BE17" i="32" a="1"/>
  <c r="BE17" i="32" s="1"/>
  <c r="BG12" i="32"/>
  <c r="AR20" i="32"/>
  <c r="C20" i="32" s="1"/>
  <c r="BE26" i="32" l="1"/>
  <c r="BE53" i="32"/>
  <c r="BD26" i="32"/>
  <c r="BE40" i="32"/>
  <c r="AR21" i="32"/>
  <c r="C21" i="32" s="1"/>
  <c r="AR22" i="32" l="1"/>
  <c r="AR23" i="32" l="1"/>
  <c r="C22" i="32"/>
  <c r="AR24" i="32" l="1"/>
  <c r="C23" i="32"/>
  <c r="AR25" i="32" l="1"/>
  <c r="C24" i="32"/>
  <c r="AR26" i="32" l="1"/>
  <c r="C25" i="32"/>
  <c r="C26" i="32" l="1"/>
  <c r="AR27" i="32"/>
  <c r="C27" i="32" l="1"/>
  <c r="AR28" i="32"/>
  <c r="C28" i="32" l="1"/>
  <c r="AR29" i="32"/>
  <c r="C29" i="32" l="1"/>
  <c r="AR30" i="32"/>
  <c r="C30" i="32" l="1"/>
  <c r="AR31" i="32"/>
  <c r="AR32" i="32" l="1"/>
  <c r="C32" i="32" s="1"/>
  <c r="C31" i="32"/>
  <c r="BU5" i="32" l="1"/>
  <c r="W11" i="59" l="1"/>
  <c r="W10" i="47"/>
  <c r="W7" i="39"/>
  <c r="W11" i="41"/>
  <c r="W8" i="45"/>
  <c r="W11" i="55"/>
  <c r="W10" i="43"/>
  <c r="W8" i="59"/>
  <c r="W10" i="57"/>
  <c r="W8" i="41"/>
  <c r="W7" i="51"/>
  <c r="W8" i="53"/>
  <c r="W11" i="51"/>
  <c r="W10" i="39"/>
  <c r="W8" i="55"/>
  <c r="W6" i="39"/>
  <c r="W10" i="53"/>
  <c r="W7" i="57"/>
  <c r="W11" i="53"/>
  <c r="W10" i="55"/>
  <c r="W9" i="47"/>
  <c r="W6" i="45"/>
  <c r="W11" i="47"/>
  <c r="W8" i="51"/>
  <c r="W6" i="59"/>
  <c r="W10" i="49"/>
  <c r="W7" i="53"/>
  <c r="W11" i="49"/>
  <c r="W11" i="43"/>
  <c r="W8" i="47"/>
  <c r="W6" i="55"/>
  <c r="W10" i="45"/>
  <c r="W7" i="49"/>
  <c r="W11" i="39"/>
  <c r="W8" i="43"/>
  <c r="W6" i="51"/>
  <c r="W9" i="57"/>
  <c r="W7" i="45"/>
  <c r="W10" i="41"/>
  <c r="W6" i="47"/>
  <c r="W8" i="57"/>
  <c r="W7" i="47"/>
  <c r="W8" i="39"/>
  <c r="W9" i="53"/>
  <c r="W7" i="41"/>
  <c r="W9" i="51"/>
  <c r="W6" i="49"/>
  <c r="W9" i="43"/>
  <c r="W9" i="59"/>
  <c r="W7" i="59"/>
  <c r="W6" i="43"/>
  <c r="W9" i="49"/>
  <c r="W6" i="57"/>
  <c r="W10" i="59"/>
  <c r="W9" i="45"/>
  <c r="W9" i="55"/>
  <c r="W7" i="55"/>
  <c r="W11" i="57"/>
  <c r="W9" i="41"/>
  <c r="W6" i="53"/>
  <c r="W10" i="51"/>
  <c r="W9" i="39"/>
  <c r="W7" i="43"/>
  <c r="W11" i="45"/>
  <c r="W8" i="49"/>
  <c r="W6" i="41"/>
  <c r="BR5" i="32"/>
  <c r="BD10" i="32"/>
  <c r="BJ10" i="32" s="1"/>
  <c r="BD8" i="32"/>
  <c r="BJ8" i="32" s="1"/>
  <c r="BJ11" i="32"/>
  <c r="BD9" i="32"/>
  <c r="BJ9" i="32" s="1"/>
  <c r="BD7" i="32"/>
  <c r="R38" i="39" l="1" a="1"/>
  <c r="R38" i="39" s="1"/>
  <c r="R39" i="39" a="1"/>
  <c r="R39" i="39" s="1"/>
  <c r="R39" i="41" a="1"/>
  <c r="R39" i="41" s="1"/>
  <c r="R41" i="41" a="1"/>
  <c r="R41" i="41" s="1"/>
  <c r="R40" i="41" a="1"/>
  <c r="R40" i="41" s="1"/>
  <c r="R42" i="41" a="1"/>
  <c r="R42" i="41" s="1"/>
  <c r="R42" i="45" a="1"/>
  <c r="R42" i="45" s="1"/>
  <c r="R41" i="45" a="1"/>
  <c r="R41" i="45" s="1"/>
  <c r="R40" i="45" a="1"/>
  <c r="R40" i="45" s="1"/>
  <c r="R42" i="57" a="1"/>
  <c r="R42" i="57" s="1"/>
  <c r="R40" i="57" a="1"/>
  <c r="R40" i="57" s="1"/>
  <c r="R41" i="57" a="1"/>
  <c r="R41" i="57" s="1"/>
  <c r="R41" i="55" a="1"/>
  <c r="R41" i="55" s="1"/>
  <c r="R42" i="55" a="1"/>
  <c r="R42" i="55" s="1"/>
  <c r="R40" i="55" a="1"/>
  <c r="R40" i="55" s="1"/>
  <c r="R40" i="43" a="1"/>
  <c r="R40" i="43" s="1"/>
  <c r="R42" i="43" a="1"/>
  <c r="R42" i="43" s="1"/>
  <c r="R41" i="43" a="1"/>
  <c r="R41" i="43" s="1"/>
  <c r="R42" i="47" a="1"/>
  <c r="R42" i="47" s="1"/>
  <c r="R41" i="47" a="1"/>
  <c r="R41" i="47" s="1"/>
  <c r="R40" i="47" a="1"/>
  <c r="R40" i="47" s="1"/>
  <c r="R37" i="39" a="1"/>
  <c r="R37" i="39" s="1"/>
  <c r="R42" i="39" a="1"/>
  <c r="R42" i="39" s="1"/>
  <c r="R41" i="39" a="1"/>
  <c r="R41" i="39" s="1"/>
  <c r="R40" i="39" a="1"/>
  <c r="R40" i="39" s="1"/>
  <c r="R42" i="49" a="1"/>
  <c r="R42" i="49" s="1"/>
  <c r="R41" i="49" a="1"/>
  <c r="R41" i="49" s="1"/>
  <c r="R40" i="49" a="1"/>
  <c r="R40" i="49" s="1"/>
  <c r="R42" i="51" a="1"/>
  <c r="R42" i="51" s="1"/>
  <c r="R41" i="51" a="1"/>
  <c r="R41" i="51" s="1"/>
  <c r="R40" i="51" a="1"/>
  <c r="R40" i="51" s="1"/>
  <c r="R42" i="59" a="1"/>
  <c r="R42" i="59" s="1"/>
  <c r="R41" i="59" a="1"/>
  <c r="R41" i="59" s="1"/>
  <c r="R40" i="59" a="1"/>
  <c r="R40" i="59" s="1"/>
  <c r="R41" i="53" a="1"/>
  <c r="R41" i="53" s="1"/>
  <c r="R40" i="53" a="1"/>
  <c r="R40" i="53" s="1"/>
  <c r="R42" i="53" a="1"/>
  <c r="R42" i="53" s="1"/>
  <c r="R37" i="41" a="1"/>
  <c r="R37" i="41" s="1"/>
  <c r="R38" i="41" a="1"/>
  <c r="R38" i="41" s="1"/>
  <c r="AP10" i="44" a="1"/>
  <c r="AP10" i="44" s="1"/>
  <c r="R37" i="43" a="1"/>
  <c r="R37" i="43" s="1"/>
  <c r="AP10" i="56" a="1"/>
  <c r="AP10" i="56" s="1"/>
  <c r="R37" i="55" a="1"/>
  <c r="R37" i="55" s="1"/>
  <c r="AP15" i="54" a="1"/>
  <c r="AP15" i="54" s="1"/>
  <c r="R37" i="53" a="1"/>
  <c r="R37" i="53" s="1"/>
  <c r="AP10" i="54" a="1"/>
  <c r="AP10" i="54" s="1"/>
  <c r="R38" i="53" a="1"/>
  <c r="R38" i="53" s="1"/>
  <c r="AP20" i="56" a="1"/>
  <c r="AP20" i="56" s="1"/>
  <c r="R39" i="55" a="1"/>
  <c r="R39" i="55" s="1"/>
  <c r="AP20" i="44" a="1"/>
  <c r="AP20" i="44" s="1"/>
  <c r="R38" i="43" a="1"/>
  <c r="R38" i="43" s="1"/>
  <c r="AP20" i="52" a="1"/>
  <c r="AP20" i="52" s="1"/>
  <c r="R39" i="51" a="1"/>
  <c r="R39" i="51" s="1"/>
  <c r="AP10" i="50" a="1"/>
  <c r="AP10" i="50" s="1"/>
  <c r="R39" i="49" a="1"/>
  <c r="R39" i="49" s="1"/>
  <c r="R37" i="47" a="1"/>
  <c r="R37" i="47" s="1"/>
  <c r="AP10" i="48" a="1"/>
  <c r="AP10" i="48" s="1"/>
  <c r="AP10" i="58" a="1"/>
  <c r="AP10" i="58" s="1"/>
  <c r="R37" i="57" a="1"/>
  <c r="R37" i="57" s="1"/>
  <c r="R39" i="43" a="1"/>
  <c r="R39" i="43" s="1"/>
  <c r="AP15" i="44" a="1"/>
  <c r="AP15" i="44" s="1"/>
  <c r="AP20" i="60" a="1"/>
  <c r="AP20" i="60" s="1"/>
  <c r="R37" i="59" a="1"/>
  <c r="R37" i="59" s="1"/>
  <c r="AP15" i="48" a="1"/>
  <c r="AP15" i="48" s="1"/>
  <c r="R39" i="47" a="1"/>
  <c r="R39" i="47" s="1"/>
  <c r="AP20" i="58" a="1"/>
  <c r="AP20" i="58" s="1"/>
  <c r="R38" i="57" a="1"/>
  <c r="R38" i="57" s="1"/>
  <c r="AP20" i="46" a="1"/>
  <c r="AP20" i="46" s="1"/>
  <c r="R37" i="45" a="1"/>
  <c r="R37" i="45" s="1"/>
  <c r="AP15" i="52" a="1"/>
  <c r="AP15" i="52" s="1"/>
  <c r="R38" i="51" a="1"/>
  <c r="R38" i="51" s="1"/>
  <c r="R38" i="47" a="1"/>
  <c r="R38" i="47" s="1"/>
  <c r="AP20" i="48" a="1"/>
  <c r="AP20" i="48" s="1"/>
  <c r="AP15" i="60" a="1"/>
  <c r="AP15" i="60" s="1"/>
  <c r="R38" i="59" a="1"/>
  <c r="R38" i="59" s="1"/>
  <c r="AP15" i="58" a="1"/>
  <c r="AP15" i="58" s="1"/>
  <c r="R39" i="57" a="1"/>
  <c r="R39" i="57" s="1"/>
  <c r="AP10" i="46" a="1"/>
  <c r="AP10" i="46" s="1"/>
  <c r="R38" i="45" a="1"/>
  <c r="R38" i="45" s="1"/>
  <c r="R37" i="49" a="1"/>
  <c r="R37" i="49" s="1"/>
  <c r="AP15" i="50" a="1"/>
  <c r="AP15" i="50" s="1"/>
  <c r="AP10" i="60" a="1"/>
  <c r="AP10" i="60" s="1"/>
  <c r="R39" i="59" a="1"/>
  <c r="R39" i="59" s="1"/>
  <c r="AP15" i="56" a="1"/>
  <c r="AP15" i="56" s="1"/>
  <c r="R38" i="55" a="1"/>
  <c r="R38" i="55" s="1"/>
  <c r="R39" i="45" a="1"/>
  <c r="R39" i="45" s="1"/>
  <c r="AP15" i="46" a="1"/>
  <c r="AP15" i="46" s="1"/>
  <c r="AP10" i="52" a="1"/>
  <c r="AP10" i="52" s="1"/>
  <c r="R37" i="51" a="1"/>
  <c r="R37" i="51" s="1"/>
  <c r="R38" i="49" a="1"/>
  <c r="R38" i="49" s="1"/>
  <c r="AP20" i="50" a="1"/>
  <c r="AP20" i="50" s="1"/>
  <c r="R39" i="53" a="1"/>
  <c r="R39" i="53" s="1"/>
  <c r="AP20" i="54" a="1"/>
  <c r="AP20" i="54" s="1"/>
  <c r="BC47" i="32" a="1"/>
  <c r="BC47" i="32" s="1"/>
  <c r="BC60" i="32" a="1"/>
  <c r="BC60" i="32" s="1"/>
  <c r="BJ7" i="32"/>
  <c r="BE15" i="32"/>
  <c r="BE13" i="32"/>
  <c r="BC33" i="32" a="1"/>
  <c r="BC33" i="32" s="1"/>
  <c r="BE14" i="32"/>
  <c r="BD53" i="32" s="1"/>
  <c r="BD52" i="32" s="1"/>
  <c r="BE52" i="32" s="1"/>
  <c r="BC17" i="32" a="1"/>
  <c r="BC17" i="32" s="1"/>
  <c r="BE12" i="32"/>
  <c r="BC26" i="32" s="1"/>
  <c r="BG26" i="32" s="1"/>
  <c r="BG25" i="32" s="1"/>
  <c r="BE41" i="32" l="1"/>
  <c r="BD65" i="32"/>
  <c r="BC69" i="32" s="1" a="1"/>
  <c r="BC69" i="32" s="1"/>
  <c r="BC40" i="32"/>
  <c r="BG40" i="32" s="1"/>
  <c r="BC44" i="32" s="1"/>
  <c r="BE65" i="32"/>
  <c r="BD54" i="32"/>
  <c r="BE54" i="32"/>
  <c r="BC27" i="32"/>
  <c r="BE27" i="32"/>
  <c r="BD27" i="32"/>
  <c r="BD40" i="32"/>
  <c r="BG27" i="32" l="1"/>
  <c r="BH26" i="32"/>
  <c r="BH27" i="32"/>
  <c r="BI26" i="32"/>
  <c r="BI27" i="32"/>
  <c r="BE55" i="32"/>
  <c r="BD55" i="32" s="1"/>
  <c r="BL48" i="32"/>
  <c r="BL47" i="32"/>
  <c r="BL49" i="32"/>
  <c r="BL50" i="32"/>
  <c r="BD64" i="32"/>
  <c r="BE64" i="32" s="1"/>
  <c r="BE66" i="32"/>
  <c r="BH40" i="32"/>
  <c r="BD41" i="32"/>
  <c r="BH41" i="32" s="1"/>
  <c r="BI41" i="32"/>
  <c r="BI40" i="32"/>
  <c r="BG39" i="32"/>
  <c r="BL61" i="32" l="1"/>
  <c r="BH25" i="32"/>
  <c r="BI25" i="32" s="1"/>
  <c r="BI28" i="32" s="1"/>
  <c r="BH28" i="32" s="1"/>
  <c r="BG28" i="32" s="1"/>
  <c r="BL22" i="32"/>
  <c r="BL21" i="32"/>
  <c r="BL19" i="32"/>
  <c r="BL20" i="32"/>
  <c r="BL17" i="32"/>
  <c r="BL18" i="32"/>
  <c r="BL62" i="32"/>
  <c r="BL60" i="32"/>
  <c r="BL34" i="32"/>
  <c r="BH39" i="32"/>
  <c r="BI39" i="32" s="1"/>
  <c r="BI42" i="32" s="1"/>
  <c r="BM47" i="32" a="1"/>
  <c r="BE57" i="32" s="1"/>
  <c r="BE67" i="32"/>
  <c r="BL37" i="32"/>
  <c r="BL36" i="32"/>
  <c r="BL33" i="32"/>
  <c r="BL35" i="32"/>
  <c r="BF57" i="32" l="1"/>
  <c r="BM17" i="32" a="1"/>
  <c r="BM60" i="32" a="1"/>
  <c r="BM60" i="32" s="1"/>
  <c r="BD69" i="32" s="1" a="1"/>
  <c r="BD69" i="32" s="1"/>
  <c r="BM47" i="32"/>
  <c r="BC57" i="32" s="1"/>
  <c r="BM33" i="32" a="1"/>
  <c r="BM33" i="32" s="1"/>
  <c r="BE44" i="32" s="1"/>
  <c r="BH42" i="32"/>
  <c r="BD57" i="32" l="1"/>
  <c r="BM17" i="32"/>
  <c r="BC30" i="32" s="1"/>
  <c r="BG30" i="32"/>
  <c r="BG44" i="32"/>
  <c r="BD44" i="32"/>
  <c r="BE69" i="32" a="1"/>
  <c r="BE69" i="32" s="1"/>
  <c r="AX11" i="32" s="1"/>
  <c r="BH30" i="32"/>
  <c r="BE30" i="32"/>
  <c r="BF44" i="32"/>
  <c r="BF30" i="32"/>
  <c r="BD30" i="32" l="1"/>
  <c r="BA10" i="32" s="1"/>
  <c r="AY11" i="32"/>
  <c r="AY7" i="32"/>
  <c r="AY10" i="32"/>
  <c r="AY6" i="32"/>
  <c r="AY8" i="32"/>
  <c r="AY9" i="32"/>
  <c r="AX6" i="32"/>
  <c r="AZ10" i="32"/>
  <c r="AX8" i="32"/>
  <c r="AX9" i="32"/>
  <c r="AX10" i="32"/>
  <c r="AX7" i="32"/>
  <c r="AZ7" i="32"/>
  <c r="AZ6" i="32"/>
  <c r="AZ8" i="32"/>
  <c r="AZ11" i="32"/>
  <c r="AZ9" i="32"/>
  <c r="BA6" i="32" l="1"/>
  <c r="M6" i="32" s="1"/>
  <c r="BA8" i="32"/>
  <c r="M8" i="32" s="1"/>
  <c r="BA11" i="32"/>
  <c r="M11" i="32" s="1"/>
  <c r="BA9" i="32"/>
  <c r="BA7" i="32"/>
  <c r="M7" i="32" s="1"/>
  <c r="M10" i="32"/>
  <c r="M9" i="32"/>
  <c r="C15" i="34" a="1"/>
  <c r="C15" i="34" s="1"/>
  <c r="C10" i="34" a="1"/>
  <c r="C10" i="34" s="1"/>
  <c r="C17" i="34" l="1"/>
  <c r="C27" i="34" s="1"/>
  <c r="C26" i="34" a="1"/>
  <c r="C26" i="34" s="1"/>
  <c r="C16" i="34" a="1"/>
  <c r="C16" i="34" s="1"/>
  <c r="C18" i="34"/>
  <c r="J15" i="34" s="1"/>
  <c r="C21" i="34" a="1"/>
  <c r="C21" i="34" s="1"/>
  <c r="C13" i="34"/>
  <c r="E10" i="34" s="1"/>
  <c r="C11" i="34" a="1"/>
  <c r="C11" i="34" s="1"/>
  <c r="C12" i="34"/>
  <c r="C22" i="34" s="1"/>
  <c r="F31" i="32"/>
  <c r="K31" i="32" s="1"/>
  <c r="U31" i="32"/>
  <c r="F29" i="32"/>
  <c r="K29" i="32" s="1"/>
  <c r="F25" i="32"/>
  <c r="K25" i="32" s="1"/>
  <c r="U28" i="32"/>
  <c r="U30" i="32"/>
  <c r="AX30" i="32" s="1"/>
  <c r="F32" i="32"/>
  <c r="K32" i="32" s="1"/>
  <c r="U25" i="32"/>
  <c r="U26" i="32"/>
  <c r="AX26" i="32" s="1"/>
  <c r="U18" i="32"/>
  <c r="U24" i="32"/>
  <c r="AX24" i="32" s="1"/>
  <c r="F28" i="32"/>
  <c r="K28" i="32" s="1"/>
  <c r="F24" i="32"/>
  <c r="K24" i="32" s="1"/>
  <c r="F18" i="32"/>
  <c r="U32" i="32"/>
  <c r="AX32" i="32" s="1"/>
  <c r="F19" i="32"/>
  <c r="F27" i="32"/>
  <c r="K27" i="32" s="1"/>
  <c r="U27" i="32"/>
  <c r="U29" i="32"/>
  <c r="U19" i="32"/>
  <c r="F26" i="32"/>
  <c r="K26" i="32" s="1"/>
  <c r="F30" i="32"/>
  <c r="K30" i="32" s="1"/>
  <c r="E8" i="34"/>
  <c r="C20" i="34"/>
  <c r="O8" i="34" s="1"/>
  <c r="J8" i="34"/>
  <c r="C25" i="34"/>
  <c r="T8" i="34" s="1"/>
  <c r="X18" i="32" l="1"/>
  <c r="W18" i="32" s="1"/>
  <c r="D19" i="32"/>
  <c r="E19" i="32" s="1"/>
  <c r="D18" i="32"/>
  <c r="E18" i="32" s="1"/>
  <c r="AX19" i="32"/>
  <c r="X19" i="32"/>
  <c r="W19" i="32" s="1"/>
  <c r="AX18" i="32"/>
  <c r="K19" i="32"/>
  <c r="C23" i="34"/>
  <c r="O20" i="34" s="1"/>
  <c r="C28" i="34"/>
  <c r="T25" i="34" s="1"/>
  <c r="AU32" i="32" a="1"/>
  <c r="AU32" i="32" s="1"/>
  <c r="AV32" i="32" a="1"/>
  <c r="AV32" i="32" s="1"/>
  <c r="AT32" i="32" s="1"/>
  <c r="AU30" i="32" a="1"/>
  <c r="AU30" i="32" s="1"/>
  <c r="AV30" i="32" a="1"/>
  <c r="AV30" i="32" s="1"/>
  <c r="AT30" i="32" s="1"/>
  <c r="AW27" i="32"/>
  <c r="AV27" i="32" a="1"/>
  <c r="AV27" i="32" s="1"/>
  <c r="AU27" i="32" a="1"/>
  <c r="AU27" i="32" s="1"/>
  <c r="AU19" i="32" a="1"/>
  <c r="AU19" i="32" s="1"/>
  <c r="AV19" i="32" a="1"/>
  <c r="AV19" i="32" s="1"/>
  <c r="AV25" i="32" a="1"/>
  <c r="AV25" i="32" s="1"/>
  <c r="AU25" i="32" a="1"/>
  <c r="AU25" i="32" s="1"/>
  <c r="AW29" i="32"/>
  <c r="AU29" i="32" a="1"/>
  <c r="AU29" i="32" s="1"/>
  <c r="AV29" i="32" a="1"/>
  <c r="AV29" i="32" s="1"/>
  <c r="AV18" i="32" a="1"/>
  <c r="AV18" i="32" s="1"/>
  <c r="AU18" i="32" a="1"/>
  <c r="AU18" i="32" s="1"/>
  <c r="AW26" i="32"/>
  <c r="AV26" i="32" a="1"/>
  <c r="AV26" i="32" s="1"/>
  <c r="AT26" i="32" s="1"/>
  <c r="AU26" i="32" a="1"/>
  <c r="AU26" i="32" s="1"/>
  <c r="AV24" i="32" a="1"/>
  <c r="AV24" i="32" s="1"/>
  <c r="AT24" i="32" s="1"/>
  <c r="AU24" i="32" a="1"/>
  <c r="AU24" i="32" s="1"/>
  <c r="AV31" i="32" a="1"/>
  <c r="AV31" i="32" s="1"/>
  <c r="AU31" i="32" a="1"/>
  <c r="AU31" i="32" s="1"/>
  <c r="AV28" i="32" a="1"/>
  <c r="AV28" i="32" s="1"/>
  <c r="AU28" i="32" a="1"/>
  <c r="AU28" i="32" s="1"/>
  <c r="AQ25" i="32"/>
  <c r="AX25" i="32"/>
  <c r="V29" i="32"/>
  <c r="AX29" i="32"/>
  <c r="U23" i="32"/>
  <c r="AW19" i="32"/>
  <c r="K18" i="32"/>
  <c r="AW18" i="32"/>
  <c r="AQ31" i="32"/>
  <c r="AX31" i="32"/>
  <c r="H24" i="32"/>
  <c r="AW24" i="32"/>
  <c r="T27" i="32"/>
  <c r="AX27" i="32"/>
  <c r="H28" i="32"/>
  <c r="AW28" i="32"/>
  <c r="AW32" i="32"/>
  <c r="H32" i="32"/>
  <c r="AP26" i="32"/>
  <c r="H26" i="32"/>
  <c r="AP27" i="32"/>
  <c r="H27" i="32"/>
  <c r="AW25" i="32"/>
  <c r="H25" i="32"/>
  <c r="H29" i="32"/>
  <c r="AW30" i="32"/>
  <c r="H30" i="32"/>
  <c r="AW31" i="32"/>
  <c r="H31" i="32"/>
  <c r="AQ28" i="32"/>
  <c r="AX28" i="32"/>
  <c r="G29" i="32"/>
  <c r="V31" i="32"/>
  <c r="AQ24" i="32"/>
  <c r="J30" i="32"/>
  <c r="AQ18" i="32"/>
  <c r="AQ26" i="32"/>
  <c r="V19" i="32"/>
  <c r="R30" i="32"/>
  <c r="T28" i="32"/>
  <c r="V32" i="32"/>
  <c r="J31" i="32"/>
  <c r="T30" i="32"/>
  <c r="G31" i="32"/>
  <c r="AP31" i="32"/>
  <c r="AQ30" i="32"/>
  <c r="R31" i="32"/>
  <c r="T31" i="32"/>
  <c r="V30" i="32"/>
  <c r="V25" i="32"/>
  <c r="T25" i="32"/>
  <c r="J32" i="32"/>
  <c r="R28" i="32"/>
  <c r="AP32" i="32"/>
  <c r="G32" i="32"/>
  <c r="U22" i="32"/>
  <c r="R26" i="32"/>
  <c r="T26" i="32"/>
  <c r="U20" i="32"/>
  <c r="V26" i="32"/>
  <c r="AP29" i="32"/>
  <c r="V28" i="32"/>
  <c r="J25" i="32"/>
  <c r="R24" i="32"/>
  <c r="G25" i="32"/>
  <c r="AP25" i="32"/>
  <c r="G28" i="32"/>
  <c r="R25" i="32"/>
  <c r="R18" i="32"/>
  <c r="G26" i="32"/>
  <c r="V18" i="32"/>
  <c r="T18" i="32"/>
  <c r="AP28" i="32"/>
  <c r="G24" i="32"/>
  <c r="AP24" i="32"/>
  <c r="G30" i="32"/>
  <c r="V24" i="32"/>
  <c r="AQ32" i="32"/>
  <c r="T32" i="32"/>
  <c r="R32" i="32"/>
  <c r="H18" i="32"/>
  <c r="T24" i="32"/>
  <c r="AP18" i="32"/>
  <c r="G18" i="32"/>
  <c r="R29" i="32"/>
  <c r="AQ29" i="32"/>
  <c r="T29" i="32"/>
  <c r="R27" i="32"/>
  <c r="AQ27" i="32"/>
  <c r="AP19" i="32"/>
  <c r="V27" i="32"/>
  <c r="G19" i="32"/>
  <c r="H19" i="32"/>
  <c r="AP30" i="32"/>
  <c r="AQ19" i="32"/>
  <c r="G27" i="32"/>
  <c r="T19" i="32"/>
  <c r="R19" i="32"/>
  <c r="AT19" i="32" l="1"/>
  <c r="AQ23" i="32"/>
  <c r="F20" i="32"/>
  <c r="AT18" i="32"/>
  <c r="AS28" i="32"/>
  <c r="AS30" i="32"/>
  <c r="AS31" i="32"/>
  <c r="AS27" i="32"/>
  <c r="AX23" i="32"/>
  <c r="AT27" i="32"/>
  <c r="AT29" i="32"/>
  <c r="AT31" i="32"/>
  <c r="AS26" i="32"/>
  <c r="AS19" i="32"/>
  <c r="AS18" i="32"/>
  <c r="AS25" i="32"/>
  <c r="AS29" i="32"/>
  <c r="AS32" i="32"/>
  <c r="AT25" i="32"/>
  <c r="AS24" i="32"/>
  <c r="AT28" i="32"/>
  <c r="AU20" i="32" a="1"/>
  <c r="AU20" i="32" s="1"/>
  <c r="AV20" i="32" a="1"/>
  <c r="AV20" i="32" s="1"/>
  <c r="R23" i="32"/>
  <c r="V23" i="32"/>
  <c r="T23" i="32"/>
  <c r="R22" i="32"/>
  <c r="AX22" i="32"/>
  <c r="AW20" i="32"/>
  <c r="T20" i="32"/>
  <c r="AX20" i="32"/>
  <c r="V20" i="32"/>
  <c r="R20" i="32"/>
  <c r="AQ20" i="32"/>
  <c r="U21" i="32"/>
  <c r="V22" i="32"/>
  <c r="AQ22" i="32"/>
  <c r="T22" i="32"/>
  <c r="D20" i="32" l="1"/>
  <c r="E20" i="32" s="1"/>
  <c r="X20" i="32"/>
  <c r="W20" i="32" s="1"/>
  <c r="G20" i="32"/>
  <c r="AP20" i="32"/>
  <c r="F22" i="32" s="1"/>
  <c r="F21" i="32"/>
  <c r="H20" i="32"/>
  <c r="K20" i="32"/>
  <c r="AS20" i="32"/>
  <c r="AT20" i="32"/>
  <c r="AW21" i="32"/>
  <c r="AU21" i="32" a="1"/>
  <c r="AU21" i="32" s="1"/>
  <c r="AV21" i="32" a="1"/>
  <c r="AV21" i="32" s="1"/>
  <c r="AQ21" i="32"/>
  <c r="AX21" i="32"/>
  <c r="R21" i="32"/>
  <c r="V21" i="32"/>
  <c r="T21" i="32"/>
  <c r="X22" i="32" l="1"/>
  <c r="W22" i="32" s="1"/>
  <c r="D22" i="32"/>
  <c r="E22" i="32" s="1"/>
  <c r="X21" i="32"/>
  <c r="W21" i="32" s="1"/>
  <c r="D21" i="32"/>
  <c r="E21" i="32" s="1"/>
  <c r="G21" i="32"/>
  <c r="H21" i="32"/>
  <c r="AP21" i="32"/>
  <c r="F23" i="32" s="1"/>
  <c r="K21" i="32"/>
  <c r="K22" i="32"/>
  <c r="AT21" i="32"/>
  <c r="AS21" i="32"/>
  <c r="AW22" i="32"/>
  <c r="AU22" i="32" a="1"/>
  <c r="AU22" i="32" s="1"/>
  <c r="AV22" i="32" a="1"/>
  <c r="AV22" i="32" s="1"/>
  <c r="AT22" i="32" s="1"/>
  <c r="AP22" i="32"/>
  <c r="H22" i="32"/>
  <c r="G22" i="32"/>
  <c r="K23" i="32" l="1"/>
  <c r="AS22" i="32"/>
  <c r="AW23" i="32"/>
  <c r="AV23" i="32" a="1"/>
  <c r="AV23" i="32" s="1"/>
  <c r="AT23" i="32" s="1"/>
  <c r="AU23" i="32" a="1"/>
  <c r="AU23" i="32" s="1"/>
  <c r="AP23" i="32"/>
  <c r="H23" i="32"/>
  <c r="G23" i="32"/>
  <c r="Q6" i="32" s="1"/>
  <c r="CB6" i="32" l="1" a="1"/>
  <c r="CB6" i="32" s="1"/>
  <c r="Q7" i="32"/>
  <c r="U7" i="32" s="1"/>
  <c r="Q8" i="32"/>
  <c r="V8" i="32" s="1"/>
  <c r="Q9" i="32"/>
  <c r="Q10" i="32"/>
  <c r="U10" i="32" s="1"/>
  <c r="Q11" i="32"/>
  <c r="BW33" i="32" a="1"/>
  <c r="BW33" i="32" s="1"/>
  <c r="CB12" i="32" a="1"/>
  <c r="CB12" i="32" s="1"/>
  <c r="BW12" i="32" a="1"/>
  <c r="BW12" i="32" s="1"/>
  <c r="BX18" i="32" a="1"/>
  <c r="BX18" i="32" s="1"/>
  <c r="BW6" i="32" a="1"/>
  <c r="BW6" i="32" s="1"/>
  <c r="BW20" i="32" a="1"/>
  <c r="BW20" i="32" s="1"/>
  <c r="BX22" i="32" a="1"/>
  <c r="BX22" i="32" s="1"/>
  <c r="BX13" i="32" a="1"/>
  <c r="BX13" i="32" s="1"/>
  <c r="BW25" i="32" a="1"/>
  <c r="BW25" i="32" s="1"/>
  <c r="BW9" i="32" a="1"/>
  <c r="BW9" i="32" s="1"/>
  <c r="BX19" i="32" a="1"/>
  <c r="BX19" i="32" s="1"/>
  <c r="BW8" i="32" a="1"/>
  <c r="BW8" i="32" s="1"/>
  <c r="BW11" i="32" a="1"/>
  <c r="BW11" i="32" s="1"/>
  <c r="BX30" i="32" a="1"/>
  <c r="BX30" i="32" s="1"/>
  <c r="BW27" i="32" a="1"/>
  <c r="BW27" i="32" s="1"/>
  <c r="BW19" i="32" a="1"/>
  <c r="BW19" i="32" s="1"/>
  <c r="BW32" i="32" a="1"/>
  <c r="BW32" i="32" s="1"/>
  <c r="BW22" i="32" a="1"/>
  <c r="BW22" i="32" s="1"/>
  <c r="BW13" i="32" a="1"/>
  <c r="BW13" i="32" s="1"/>
  <c r="BW23" i="32" a="1"/>
  <c r="BW23" i="32" s="1"/>
  <c r="BX20" i="32" a="1"/>
  <c r="BX20" i="32" s="1"/>
  <c r="BW24" i="32" a="1"/>
  <c r="BW24" i="32" s="1"/>
  <c r="BW10" i="32" a="1"/>
  <c r="BW10" i="32" s="1"/>
  <c r="BW31" i="32" a="1"/>
  <c r="BW31" i="32" s="1"/>
  <c r="BX16" i="32" a="1"/>
  <c r="BX16" i="32" s="1"/>
  <c r="BW30" i="32" a="1"/>
  <c r="BW30" i="32" s="1"/>
  <c r="BW16" i="32" a="1"/>
  <c r="BW16" i="32" s="1"/>
  <c r="BW34" i="32" a="1"/>
  <c r="BW34" i="32" s="1"/>
  <c r="BW28" i="32" a="1"/>
  <c r="BW28" i="32" s="1"/>
  <c r="BX12" i="32" a="1"/>
  <c r="BX12" i="32" s="1"/>
  <c r="BX14" i="32" a="1"/>
  <c r="BX14" i="32" s="1"/>
  <c r="BW21" i="32" a="1"/>
  <c r="BW21" i="32" s="1"/>
  <c r="BX29" i="32" a="1"/>
  <c r="BX29" i="32" s="1"/>
  <c r="BX11" i="32" a="1"/>
  <c r="BX11" i="32" s="1"/>
  <c r="BW29" i="32" a="1"/>
  <c r="BW29" i="32" s="1"/>
  <c r="BW15" i="32" a="1"/>
  <c r="BW15" i="32" s="1"/>
  <c r="BX24" i="32" a="1"/>
  <c r="BX24" i="32" s="1"/>
  <c r="BX28" i="32" a="1"/>
  <c r="BX28" i="32" s="1"/>
  <c r="BW35" i="32" a="1"/>
  <c r="BW35" i="32" s="1"/>
  <c r="BW17" i="32" a="1"/>
  <c r="BW17" i="32" s="1"/>
  <c r="BX21" i="32" a="1"/>
  <c r="BX21" i="32" s="1"/>
  <c r="BX23" i="32" a="1"/>
  <c r="BX23" i="32" s="1"/>
  <c r="BX27" i="32" a="1"/>
  <c r="BX27" i="32" s="1"/>
  <c r="BW14" i="32" a="1"/>
  <c r="BW14" i="32" s="1"/>
  <c r="BW7" i="32" a="1"/>
  <c r="BW7" i="32" s="1"/>
  <c r="BX26" i="32" a="1"/>
  <c r="BX26" i="32" s="1"/>
  <c r="BX15" i="32" a="1"/>
  <c r="BX15" i="32" s="1"/>
  <c r="BW26" i="32" a="1"/>
  <c r="BW26" i="32" s="1"/>
  <c r="BX17" i="32" a="1"/>
  <c r="BX17" i="32" s="1"/>
  <c r="BX25" i="32" a="1"/>
  <c r="BX25" i="32" s="1"/>
  <c r="BW18" i="32" a="1"/>
  <c r="BW18" i="32" s="1"/>
  <c r="BX10" i="32" a="1"/>
  <c r="BX10" i="32" s="1"/>
  <c r="BX9" i="32" a="1"/>
  <c r="BX9" i="32" s="1"/>
  <c r="BX31" i="32" a="1"/>
  <c r="BX31" i="32" s="1"/>
  <c r="BX8" i="32" a="1"/>
  <c r="BX8" i="32" s="1"/>
  <c r="BX7" i="32" a="1"/>
  <c r="BX7" i="32" s="1"/>
  <c r="BX34" i="32" a="1"/>
  <c r="BX34" i="32" s="1"/>
  <c r="BX33" i="32" a="1"/>
  <c r="BX33" i="32" s="1"/>
  <c r="BX32" i="32" a="1"/>
  <c r="BX32" i="32" s="1"/>
  <c r="BX6" i="32" a="1"/>
  <c r="BX6" i="32" s="1"/>
  <c r="BX35" i="32" a="1"/>
  <c r="BX35" i="32" s="1"/>
  <c r="CB9" i="32" a="1"/>
  <c r="CB9" i="32" s="1"/>
  <c r="CB8" i="32" a="1"/>
  <c r="CB8" i="32" s="1"/>
  <c r="CB7" i="32" a="1"/>
  <c r="CB7" i="32" s="1"/>
  <c r="CB29" i="32" a="1"/>
  <c r="CB29" i="32" s="1"/>
  <c r="CB10" i="32" a="1"/>
  <c r="CB10" i="32" s="1"/>
  <c r="CB24" i="32" a="1"/>
  <c r="CB24" i="32" s="1"/>
  <c r="CB32" i="32" a="1"/>
  <c r="CB32" i="32" s="1"/>
  <c r="CB33" i="32" a="1"/>
  <c r="CB33" i="32" s="1"/>
  <c r="CB35" i="32" a="1"/>
  <c r="CB35" i="32" s="1"/>
  <c r="CB25" i="32" a="1"/>
  <c r="CB25" i="32" s="1"/>
  <c r="CB34" i="32" a="1"/>
  <c r="CB34" i="32" s="1"/>
  <c r="CB27" i="32" a="1"/>
  <c r="CB27" i="32" s="1"/>
  <c r="CB19" i="32" a="1"/>
  <c r="CB19" i="32" s="1"/>
  <c r="CB28" i="32" a="1"/>
  <c r="CB28" i="32" s="1"/>
  <c r="CB17" i="32" a="1"/>
  <c r="CB17" i="32" s="1"/>
  <c r="CB21" i="32" a="1"/>
  <c r="CB21" i="32" s="1"/>
  <c r="CB31" i="32" a="1"/>
  <c r="CB31" i="32" s="1"/>
  <c r="CB23" i="32" a="1"/>
  <c r="CB23" i="32" s="1"/>
  <c r="CB11" i="32" a="1"/>
  <c r="CB11" i="32" s="1"/>
  <c r="CB16" i="32" a="1"/>
  <c r="CB16" i="32" s="1"/>
  <c r="CB20" i="32" a="1"/>
  <c r="CB20" i="32" s="1"/>
  <c r="CB18" i="32" a="1"/>
  <c r="CB18" i="32" s="1"/>
  <c r="CB22" i="32" a="1"/>
  <c r="CB22" i="32" s="1"/>
  <c r="CB30" i="32" a="1"/>
  <c r="CB30" i="32" s="1"/>
  <c r="CB15" i="32" a="1"/>
  <c r="CB15" i="32" s="1"/>
  <c r="CB13" i="32" a="1"/>
  <c r="CB13" i="32" s="1"/>
  <c r="CB26" i="32" a="1"/>
  <c r="CB26" i="32" s="1"/>
  <c r="CB14" i="32" a="1"/>
  <c r="CB14" i="32" s="1"/>
  <c r="CA35" i="32" a="1"/>
  <c r="CA35" i="32" s="1"/>
  <c r="BY17" i="32" a="1"/>
  <c r="BY17" i="32" s="1"/>
  <c r="BZ15" i="32" a="1"/>
  <c r="BZ15" i="32" s="1"/>
  <c r="CH23" i="32" a="1"/>
  <c r="CH23" i="32" s="1"/>
  <c r="CG23" i="32" a="1"/>
  <c r="CG23" i="32" s="1"/>
  <c r="BZ35" i="32" a="1"/>
  <c r="BZ35" i="32" s="1"/>
  <c r="CA10" i="32" a="1"/>
  <c r="CA10" i="32" s="1"/>
  <c r="CH17" i="32" a="1"/>
  <c r="CH17" i="32" s="1"/>
  <c r="BY6" i="32" a="1"/>
  <c r="BY6" i="32" s="1"/>
  <c r="BZ14" i="32" a="1"/>
  <c r="BZ14" i="32" s="1"/>
  <c r="CG15" i="32" a="1"/>
  <c r="CG15" i="32" s="1"/>
  <c r="BY14" i="32" a="1"/>
  <c r="BY14" i="32" s="1"/>
  <c r="CA20" i="32" a="1"/>
  <c r="CA20" i="32" s="1"/>
  <c r="P11" i="32"/>
  <c r="CH14" i="32" a="1"/>
  <c r="CH14" i="32" s="1"/>
  <c r="BZ32" i="32" a="1"/>
  <c r="BZ32" i="32" s="1"/>
  <c r="CA19" i="32" a="1"/>
  <c r="CA19" i="32" s="1"/>
  <c r="BY12" i="32" a="1"/>
  <c r="BY12" i="32" s="1"/>
  <c r="BY32" i="32" a="1"/>
  <c r="BY32" i="32" s="1"/>
  <c r="CH27" i="32" a="1"/>
  <c r="CH27" i="32" s="1"/>
  <c r="BZ7" i="32" a="1"/>
  <c r="BZ7" i="32" s="1"/>
  <c r="BZ26" i="32" a="1"/>
  <c r="BZ26" i="32" s="1"/>
  <c r="CA27" i="32" a="1"/>
  <c r="CA27" i="32" s="1"/>
  <c r="BY10" i="32" a="1"/>
  <c r="BY10" i="32" s="1"/>
  <c r="CA32" i="32" a="1"/>
  <c r="CA32" i="32" s="1"/>
  <c r="CH31" i="32" a="1"/>
  <c r="CH31" i="32" s="1"/>
  <c r="BZ24" i="32" a="1"/>
  <c r="BZ24" i="32" s="1"/>
  <c r="CH12" i="32" a="1"/>
  <c r="CH12" i="32" s="1"/>
  <c r="CG32" i="32" a="1"/>
  <c r="CG32" i="32" s="1"/>
  <c r="CG21" i="32" a="1"/>
  <c r="CG21" i="32" s="1"/>
  <c r="V6" i="32"/>
  <c r="P6" i="32"/>
  <c r="BZ8" i="32" a="1"/>
  <c r="BZ8" i="32" s="1"/>
  <c r="CG9" i="32" a="1"/>
  <c r="CG9" i="32" s="1"/>
  <c r="CG33" i="32" a="1"/>
  <c r="CG33" i="32" s="1"/>
  <c r="CA13" i="32" a="1"/>
  <c r="CA13" i="32" s="1"/>
  <c r="BZ20" i="32" a="1"/>
  <c r="BZ20" i="32" s="1"/>
  <c r="CH28" i="32" a="1"/>
  <c r="CH28" i="32" s="1"/>
  <c r="BZ29" i="32" a="1"/>
  <c r="BZ29" i="32" s="1"/>
  <c r="BZ30" i="32" a="1"/>
  <c r="BZ30" i="32" s="1"/>
  <c r="CH34" i="32" a="1"/>
  <c r="CH34" i="32" s="1"/>
  <c r="CA33" i="32" a="1"/>
  <c r="CA33" i="32" s="1"/>
  <c r="CA29" i="32" a="1"/>
  <c r="CA29" i="32" s="1"/>
  <c r="BZ27" i="32" a="1"/>
  <c r="BZ27" i="32" s="1"/>
  <c r="CG16" i="32" a="1"/>
  <c r="CG16" i="32" s="1"/>
  <c r="CA16" i="32" a="1"/>
  <c r="CA16" i="32" s="1"/>
  <c r="CA23" i="32" a="1"/>
  <c r="CA23" i="32" s="1"/>
  <c r="BZ17" i="32" a="1"/>
  <c r="BZ17" i="32" s="1"/>
  <c r="CH9" i="32" a="1"/>
  <c r="CH9" i="32" s="1"/>
  <c r="CA7" i="32" a="1"/>
  <c r="CA7" i="32" s="1"/>
  <c r="BY28" i="32" a="1"/>
  <c r="BY28" i="32" s="1"/>
  <c r="BY27" i="32" a="1"/>
  <c r="BY27" i="32" s="1"/>
  <c r="BY30" i="32" a="1"/>
  <c r="BY30" i="32" s="1"/>
  <c r="BY31" i="32" a="1"/>
  <c r="BY31" i="32" s="1"/>
  <c r="BY22" i="32" a="1"/>
  <c r="BY22" i="32" s="1"/>
  <c r="BY26" i="32" a="1"/>
  <c r="BY26" i="32" s="1"/>
  <c r="AS23" i="32"/>
  <c r="CH15" i="32" s="1" a="1"/>
  <c r="CH15" i="32" s="1"/>
  <c r="CA25" i="32" a="1"/>
  <c r="CA25" i="32" s="1"/>
  <c r="BZ28" i="32" a="1"/>
  <c r="BZ28" i="32" s="1"/>
  <c r="CA28" i="32" a="1"/>
  <c r="CA28" i="32" s="1"/>
  <c r="CH13" i="32" a="1"/>
  <c r="CH13" i="32" s="1"/>
  <c r="CG17" i="32" a="1"/>
  <c r="CG17" i="32" s="1"/>
  <c r="CH11" i="32" a="1"/>
  <c r="CH11" i="32" s="1"/>
  <c r="CG25" i="32" a="1"/>
  <c r="CG25" i="32" s="1"/>
  <c r="CG31" i="32" a="1"/>
  <c r="CG31" i="32" s="1"/>
  <c r="CH10" i="32" a="1"/>
  <c r="CH10" i="32" s="1"/>
  <c r="CG12" i="32" a="1"/>
  <c r="CG12" i="32" s="1"/>
  <c r="CG24" i="32" a="1"/>
  <c r="CG24" i="32" s="1"/>
  <c r="BZ13" i="32" a="1"/>
  <c r="BZ13" i="32" s="1"/>
  <c r="CA17" i="32" a="1"/>
  <c r="CA17" i="32" s="1"/>
  <c r="CA31" i="32" a="1"/>
  <c r="CA31" i="32" s="1"/>
  <c r="CA30" i="32" a="1"/>
  <c r="CA30" i="32" s="1"/>
  <c r="BY20" i="32" a="1"/>
  <c r="BY20" i="32" s="1"/>
  <c r="CG8" i="32" a="1"/>
  <c r="CG8" i="32" s="1"/>
  <c r="BY13" i="32" a="1"/>
  <c r="BY13" i="32" s="1"/>
  <c r="CA6" i="32" a="1"/>
  <c r="CA6" i="32" s="1"/>
  <c r="BY8" i="32" a="1"/>
  <c r="BY8" i="32" s="1"/>
  <c r="CG27" i="32" a="1"/>
  <c r="CG27" i="32" s="1"/>
  <c r="CG29" i="32" a="1"/>
  <c r="CG29" i="32" s="1"/>
  <c r="CH33" i="32" a="1"/>
  <c r="CH33" i="32" s="1"/>
  <c r="CG26" i="32" a="1"/>
  <c r="CG26" i="32" s="1"/>
  <c r="BZ18" i="32" a="1"/>
  <c r="BZ18" i="32" s="1"/>
  <c r="CA26" i="32" a="1"/>
  <c r="CA26" i="32" s="1"/>
  <c r="P7" i="32"/>
  <c r="BY18" i="32" a="1"/>
  <c r="BY18" i="32" s="1"/>
  <c r="CH8" i="32" a="1"/>
  <c r="CH8" i="32" s="1"/>
  <c r="CG13" i="32" a="1"/>
  <c r="CG13" i="32" s="1"/>
  <c r="BY21" i="32" a="1"/>
  <c r="BY21" i="32" s="1"/>
  <c r="BZ25" i="32" a="1"/>
  <c r="BZ25" i="32" s="1"/>
  <c r="CH35" i="32" a="1"/>
  <c r="CH35" i="32" s="1"/>
  <c r="CG10" i="32" a="1"/>
  <c r="CG10" i="32" s="1"/>
  <c r="CA24" i="32" a="1"/>
  <c r="CA24" i="32" s="1"/>
  <c r="P10" i="32"/>
  <c r="BY23" i="32" a="1"/>
  <c r="BY23" i="32" s="1"/>
  <c r="CA12" i="32" a="1"/>
  <c r="CA12" i="32" s="1"/>
  <c r="CA15" i="32" a="1"/>
  <c r="CA15" i="32" s="1"/>
  <c r="BZ19" i="32" a="1"/>
  <c r="BZ19" i="32" s="1"/>
  <c r="BZ6" i="32" a="1"/>
  <c r="BZ6" i="32" s="1"/>
  <c r="P8" i="32"/>
  <c r="BZ11" i="32" a="1"/>
  <c r="BZ11" i="32" s="1"/>
  <c r="CG7" i="32" a="1"/>
  <c r="CG7" i="32" s="1"/>
  <c r="BZ23" i="32" a="1"/>
  <c r="BZ23" i="32" s="1"/>
  <c r="CH16" i="32" a="1"/>
  <c r="CH16" i="32" s="1"/>
  <c r="BZ34" i="32" a="1"/>
  <c r="BZ34" i="32" s="1"/>
  <c r="BY16" i="32" a="1"/>
  <c r="BY16" i="32" s="1"/>
  <c r="CG34" i="32" a="1"/>
  <c r="CG34" i="32" s="1"/>
  <c r="P9" i="32"/>
  <c r="CA22" i="32" a="1"/>
  <c r="CA22" i="32" s="1"/>
  <c r="BZ33" i="32" a="1"/>
  <c r="BZ33" i="32" s="1"/>
  <c r="CH22" i="32" a="1"/>
  <c r="CH22" i="32" s="1"/>
  <c r="CG18" i="32" a="1"/>
  <c r="CG18" i="32" s="1"/>
  <c r="BY25" i="32" a="1"/>
  <c r="BY25" i="32" s="1"/>
  <c r="CG30" i="32" a="1"/>
  <c r="CG30" i="32" s="1"/>
  <c r="CA21" i="32" a="1"/>
  <c r="CA21" i="32" s="1"/>
  <c r="CA18" i="32" a="1"/>
  <c r="CA18" i="32" s="1"/>
  <c r="CH18" i="32" a="1"/>
  <c r="CH18" i="32" s="1"/>
  <c r="CA11" i="32" a="1"/>
  <c r="CA11" i="32" s="1"/>
  <c r="CH20" i="32" a="1"/>
  <c r="CH20" i="32" s="1"/>
  <c r="CH24" i="32" a="1"/>
  <c r="CH24" i="32" s="1"/>
  <c r="CA14" i="32" a="1"/>
  <c r="CA14" i="32" s="1"/>
  <c r="CG20" i="32" a="1"/>
  <c r="CG20" i="32" s="1"/>
  <c r="BZ16" i="32" a="1"/>
  <c r="BZ16" i="32" s="1"/>
  <c r="CG35" i="32" a="1"/>
  <c r="CG35" i="32" s="1"/>
  <c r="CA9" i="32" a="1"/>
  <c r="CA9" i="32" s="1"/>
  <c r="CG14" i="32" a="1"/>
  <c r="CG14" i="32" s="1"/>
  <c r="BZ10" i="32" a="1"/>
  <c r="BZ10" i="32" s="1"/>
  <c r="BZ21" i="32" a="1"/>
  <c r="BZ21" i="32" s="1"/>
  <c r="BY35" i="32" a="1"/>
  <c r="BY35" i="32" s="1"/>
  <c r="BY11" i="32" a="1"/>
  <c r="BY11" i="32" s="1"/>
  <c r="BY34" i="32" a="1"/>
  <c r="BY34" i="32" s="1"/>
  <c r="CG28" i="32" a="1"/>
  <c r="CG28" i="32" s="1"/>
  <c r="CH30" i="32" a="1"/>
  <c r="CH30" i="32" s="1"/>
  <c r="CG6" i="32" a="1"/>
  <c r="CG6" i="32" s="1"/>
  <c r="BY9" i="32" a="1"/>
  <c r="BY9" i="32" s="1"/>
  <c r="CA8" i="32" a="1"/>
  <c r="CA8" i="32" s="1"/>
  <c r="CH21" i="32" a="1"/>
  <c r="CH21" i="32" s="1"/>
  <c r="BY33" i="32" a="1"/>
  <c r="BY33" i="32" s="1"/>
  <c r="BZ22" i="32" a="1"/>
  <c r="BZ22" i="32" s="1"/>
  <c r="BY7" i="32" a="1"/>
  <c r="BY7" i="32" s="1"/>
  <c r="CG19" i="32" a="1"/>
  <c r="CG19" i="32" s="1"/>
  <c r="BY24" i="32" a="1"/>
  <c r="BY24" i="32" s="1"/>
  <c r="CH26" i="32" a="1"/>
  <c r="CH26" i="32" s="1"/>
  <c r="CH19" i="32" a="1"/>
  <c r="CH19" i="32" s="1"/>
  <c r="BZ31" i="32" a="1"/>
  <c r="BZ31" i="32" s="1"/>
  <c r="CG22" i="32" a="1"/>
  <c r="CG22" i="32" s="1"/>
  <c r="BZ12" i="32" a="1"/>
  <c r="BZ12" i="32" s="1"/>
  <c r="BZ9" i="32" a="1"/>
  <c r="BZ9" i="32" s="1"/>
  <c r="CH32" i="32" a="1"/>
  <c r="CH32" i="32" s="1"/>
  <c r="BY29" i="32" a="1"/>
  <c r="BY29" i="32" s="1"/>
  <c r="CH25" i="32" a="1"/>
  <c r="CH25" i="32" s="1"/>
  <c r="CG11" i="32" a="1"/>
  <c r="CG11" i="32" s="1"/>
  <c r="BY15" i="32" a="1"/>
  <c r="BY15" i="32" s="1"/>
  <c r="CA34" i="32" a="1"/>
  <c r="CA34" i="32" s="1"/>
  <c r="BY19" i="32" a="1"/>
  <c r="BY19" i="32" s="1"/>
  <c r="CC6" i="32" l="1"/>
  <c r="CF11" i="32"/>
  <c r="CF26" i="32"/>
  <c r="CF33" i="32"/>
  <c r="P36" i="34" s="1"/>
  <c r="R37" i="34" s="1"/>
  <c r="CH29" i="32" a="1"/>
  <c r="CH29" i="32" s="1"/>
  <c r="CH6" i="32" a="1"/>
  <c r="CH6" i="32" s="1"/>
  <c r="CC26" i="32"/>
  <c r="CD26" i="32" s="1"/>
  <c r="CF12" i="32"/>
  <c r="Z16" i="34" s="1"/>
  <c r="AB16" i="34" s="1"/>
  <c r="CC17" i="32"/>
  <c r="CE17" i="32" s="1"/>
  <c r="CF9" i="32"/>
  <c r="P11" i="34" s="1"/>
  <c r="T8" i="32"/>
  <c r="CF13" i="32"/>
  <c r="CC8" i="32"/>
  <c r="CD8" i="32" s="1"/>
  <c r="CF17" i="32"/>
  <c r="CF28" i="32"/>
  <c r="CF22" i="32"/>
  <c r="Z26" i="34" s="1"/>
  <c r="Y27" i="34" s="1"/>
  <c r="CC9" i="32"/>
  <c r="CE9" i="32" s="1"/>
  <c r="CC35" i="32"/>
  <c r="CE35" i="32" s="1"/>
  <c r="CC16" i="32"/>
  <c r="CD16" i="32" s="1"/>
  <c r="CC29" i="32"/>
  <c r="CD29" i="32" s="1"/>
  <c r="S8" i="32"/>
  <c r="CF10" i="32"/>
  <c r="K11" i="34" s="1"/>
  <c r="J11" i="34" s="1"/>
  <c r="U8" i="32"/>
  <c r="CF24" i="32"/>
  <c r="K26" i="34" s="1"/>
  <c r="CF35" i="32"/>
  <c r="F36" i="34" s="1"/>
  <c r="E37" i="34" s="1"/>
  <c r="CC13" i="32"/>
  <c r="CE13" i="32" s="1"/>
  <c r="S6" i="32"/>
  <c r="U6" i="32"/>
  <c r="AK13" i="34" s="1" a="1"/>
  <c r="AK13" i="34" s="1"/>
  <c r="T6" i="32"/>
  <c r="CC22" i="32"/>
  <c r="CE22" i="32" s="1"/>
  <c r="CC12" i="32"/>
  <c r="CD12" i="32" s="1"/>
  <c r="CH7" i="32" a="1"/>
  <c r="CH7" i="32" s="1"/>
  <c r="S10" i="32"/>
  <c r="V10" i="32"/>
  <c r="AK30" i="34" s="1" a="1"/>
  <c r="AK30" i="34" s="1"/>
  <c r="S9" i="32"/>
  <c r="U9" i="32"/>
  <c r="AK28" i="34" s="1" a="1"/>
  <c r="AK28" i="34" s="1"/>
  <c r="V9" i="32"/>
  <c r="AK25" i="34" s="1" a="1"/>
  <c r="AK25" i="34" s="1"/>
  <c r="T9" i="32"/>
  <c r="CF20" i="32"/>
  <c r="F21" i="34" s="1"/>
  <c r="CF25" i="32"/>
  <c r="CF8" i="32"/>
  <c r="U11" i="34" s="1"/>
  <c r="W11" i="34" s="1"/>
  <c r="T10" i="32"/>
  <c r="CF15" i="32"/>
  <c r="F16" i="34" s="1"/>
  <c r="H16" i="34" s="1"/>
  <c r="CC10" i="32"/>
  <c r="S11" i="32"/>
  <c r="AM38" i="34" s="1" a="1"/>
  <c r="AM38" i="34" s="1"/>
  <c r="U11" i="32"/>
  <c r="AK38" i="34" s="1" a="1"/>
  <c r="AK38" i="34" s="1"/>
  <c r="T11" i="32"/>
  <c r="V11" i="32"/>
  <c r="AK35" i="34" s="1" a="1"/>
  <c r="AK35" i="34" s="1"/>
  <c r="CF29" i="32"/>
  <c r="J30" i="34" s="1"/>
  <c r="CC11" i="32"/>
  <c r="CE11" i="32" s="1"/>
  <c r="CF27" i="32"/>
  <c r="V7" i="32"/>
  <c r="AK15" i="34" s="1" a="1"/>
  <c r="AK15" i="34" s="1"/>
  <c r="CE6" i="32"/>
  <c r="CD6" i="32"/>
  <c r="CF6" i="32"/>
  <c r="T7" i="32"/>
  <c r="S7" i="32"/>
  <c r="AE11" i="34" l="1"/>
  <c r="AG12" i="34" s="1"/>
  <c r="Y20" i="34"/>
  <c r="CC34" i="32"/>
  <c r="CD34" i="32" s="1"/>
  <c r="AD30" i="34"/>
  <c r="AF15" i="34"/>
  <c r="CC31" i="32"/>
  <c r="CD31" i="32" s="1"/>
  <c r="AE16" i="34"/>
  <c r="AD17" i="34" s="1"/>
  <c r="CC20" i="32"/>
  <c r="CE20" i="32" s="1"/>
  <c r="G20" i="34" s="1"/>
  <c r="CF34" i="32"/>
  <c r="K36" i="34" s="1"/>
  <c r="M37" i="34" s="1"/>
  <c r="CC27" i="32"/>
  <c r="CD27" i="32" s="1"/>
  <c r="CF16" i="32"/>
  <c r="CC33" i="32"/>
  <c r="CD33" i="32" s="1"/>
  <c r="CC15" i="32"/>
  <c r="CD15" i="32" s="1"/>
  <c r="G18" i="34" s="1"/>
  <c r="CC25" i="32"/>
  <c r="CE25" i="32" s="1"/>
  <c r="CC28" i="32"/>
  <c r="CE28" i="32" s="1"/>
  <c r="Q30" i="34" s="1"/>
  <c r="CF31" i="32"/>
  <c r="CC24" i="32"/>
  <c r="CD24" i="32" s="1"/>
  <c r="CE26" i="32"/>
  <c r="AM28" i="34" a="1"/>
  <c r="AM28" i="34" s="1"/>
  <c r="AM33" i="34" a="1"/>
  <c r="AM33" i="34" s="1"/>
  <c r="T15" i="34"/>
  <c r="AM20" i="34" a="1"/>
  <c r="AM20" i="34" s="1"/>
  <c r="AM30" i="34" a="1"/>
  <c r="AM30" i="34" s="1"/>
  <c r="AK33" i="34" a="1"/>
  <c r="AK33" i="34" s="1"/>
  <c r="AK23" i="34" a="1"/>
  <c r="AK23" i="34" s="1"/>
  <c r="AM18" i="34" a="1"/>
  <c r="AM18" i="34" s="1"/>
  <c r="AA18" i="34"/>
  <c r="Z21" i="34"/>
  <c r="AB22" i="34" s="1"/>
  <c r="O10" i="34"/>
  <c r="CD17" i="32"/>
  <c r="AA23" i="34" s="1"/>
  <c r="AM23" i="34" a="1"/>
  <c r="AM23" i="34" s="1"/>
  <c r="AK20" i="34" a="1"/>
  <c r="AK20" i="34" s="1"/>
  <c r="O11" i="34"/>
  <c r="O12" i="34"/>
  <c r="Q10" i="34"/>
  <c r="O13" i="34" s="1"/>
  <c r="CE8" i="32"/>
  <c r="R11" i="34"/>
  <c r="R12" i="34"/>
  <c r="P31" i="34"/>
  <c r="R32" i="34" s="1"/>
  <c r="U16" i="34"/>
  <c r="W16" i="34" s="1"/>
  <c r="AF30" i="34"/>
  <c r="V15" i="34"/>
  <c r="AA25" i="34"/>
  <c r="Y25" i="34"/>
  <c r="E35" i="34"/>
  <c r="AF33" i="34"/>
  <c r="AA20" i="34"/>
  <c r="AE31" i="34"/>
  <c r="AD31" i="34" s="1"/>
  <c r="J25" i="34"/>
  <c r="J28" i="34" s="1"/>
  <c r="O35" i="34"/>
  <c r="Q38" i="34"/>
  <c r="L28" i="34"/>
  <c r="CD35" i="32"/>
  <c r="G38" i="34" s="1"/>
  <c r="O38" i="34"/>
  <c r="O36" i="34"/>
  <c r="O37" i="34"/>
  <c r="R36" i="34"/>
  <c r="J10" i="34"/>
  <c r="CD9" i="32"/>
  <c r="Q13" i="34" s="1"/>
  <c r="CD22" i="32"/>
  <c r="AA28" i="34" s="1"/>
  <c r="CE29" i="32"/>
  <c r="L30" i="34" s="1"/>
  <c r="AK18" i="34" a="1"/>
  <c r="AK18" i="34" s="1"/>
  <c r="AM10" i="34" a="1"/>
  <c r="AM10" i="34" s="1"/>
  <c r="CE16" i="32"/>
  <c r="AM13" i="34" a="1"/>
  <c r="AM13" i="34" s="1"/>
  <c r="AK10" i="34" a="1"/>
  <c r="AK10" i="34" s="1"/>
  <c r="J26" i="34"/>
  <c r="M27" i="34"/>
  <c r="M26" i="34"/>
  <c r="J27" i="34"/>
  <c r="W12" i="34"/>
  <c r="G35" i="34"/>
  <c r="CD13" i="32"/>
  <c r="V18" i="34" s="1"/>
  <c r="CE12" i="32"/>
  <c r="AA15" i="34" s="1"/>
  <c r="Y15" i="34"/>
  <c r="T10" i="34"/>
  <c r="T13" i="34" s="1"/>
  <c r="V13" i="34"/>
  <c r="T11" i="34"/>
  <c r="V10" i="34"/>
  <c r="T12" i="34"/>
  <c r="AM25" i="34" a="1"/>
  <c r="AM25" i="34" s="1"/>
  <c r="G28" i="34"/>
  <c r="G25" i="34"/>
  <c r="F26" i="34"/>
  <c r="E26" i="34" s="1"/>
  <c r="M12" i="34"/>
  <c r="H17" i="34"/>
  <c r="E16" i="34"/>
  <c r="E17" i="34"/>
  <c r="M11" i="34"/>
  <c r="J12" i="34"/>
  <c r="K31" i="34"/>
  <c r="J31" i="34" s="1"/>
  <c r="AD15" i="34"/>
  <c r="Y26" i="34"/>
  <c r="AB27" i="34"/>
  <c r="AB26" i="34"/>
  <c r="Y28" i="34"/>
  <c r="AM35" i="34" a="1"/>
  <c r="AM35" i="34" s="1"/>
  <c r="CD10" i="32"/>
  <c r="L13" i="34" s="1"/>
  <c r="CE10" i="32"/>
  <c r="L10" i="34" s="1"/>
  <c r="L33" i="34"/>
  <c r="CD11" i="32"/>
  <c r="AF18" i="34" s="1"/>
  <c r="V33" i="34"/>
  <c r="V30" i="34"/>
  <c r="U31" i="34"/>
  <c r="T31" i="34" s="1"/>
  <c r="H36" i="34"/>
  <c r="AM15" i="34" a="1"/>
  <c r="AM15" i="34" s="1"/>
  <c r="AF13" i="34"/>
  <c r="AB17" i="34"/>
  <c r="Y17" i="34"/>
  <c r="Y16" i="34"/>
  <c r="AF10" i="34"/>
  <c r="AD10" i="34"/>
  <c r="H37" i="34"/>
  <c r="E36" i="34"/>
  <c r="E22" i="34"/>
  <c r="E21" i="34"/>
  <c r="H21" i="34"/>
  <c r="H22" i="34"/>
  <c r="AG11" i="34" l="1"/>
  <c r="AD12" i="34"/>
  <c r="AD11" i="34"/>
  <c r="E15" i="34"/>
  <c r="E38" i="34"/>
  <c r="AD16" i="34"/>
  <c r="AA38" i="34"/>
  <c r="AE21" i="34"/>
  <c r="AG21" i="34" s="1"/>
  <c r="CE34" i="32"/>
  <c r="CD20" i="32"/>
  <c r="G23" i="34" s="1"/>
  <c r="CE31" i="32"/>
  <c r="CE27" i="32"/>
  <c r="CD25" i="32"/>
  <c r="CE15" i="32"/>
  <c r="G15" i="34" s="1"/>
  <c r="AD18" i="34"/>
  <c r="J35" i="34"/>
  <c r="E20" i="34"/>
  <c r="E23" i="34" s="1"/>
  <c r="E25" i="34"/>
  <c r="T30" i="34"/>
  <c r="O30" i="34"/>
  <c r="L38" i="34"/>
  <c r="AD20" i="34"/>
  <c r="AF23" i="34"/>
  <c r="J37" i="34"/>
  <c r="J36" i="34"/>
  <c r="M36" i="34"/>
  <c r="J38" i="34"/>
  <c r="AG16" i="34"/>
  <c r="AG17" i="34"/>
  <c r="L35" i="34"/>
  <c r="CD28" i="32"/>
  <c r="Q33" i="34" s="1"/>
  <c r="CE24" i="32"/>
  <c r="L25" i="34" s="1"/>
  <c r="AF20" i="34"/>
  <c r="CE33" i="32"/>
  <c r="Q35" i="34" s="1"/>
  <c r="AA35" i="34"/>
  <c r="Y35" i="34"/>
  <c r="Z36" i="34"/>
  <c r="Y36" i="34" s="1"/>
  <c r="AD13" i="34"/>
  <c r="Y23" i="34"/>
  <c r="AB21" i="34"/>
  <c r="Y22" i="34"/>
  <c r="Y21" i="34"/>
  <c r="J13" i="34"/>
  <c r="T17" i="34"/>
  <c r="T16" i="34"/>
  <c r="T18" i="34"/>
  <c r="O33" i="34"/>
  <c r="O32" i="34"/>
  <c r="O31" i="34"/>
  <c r="R31" i="34"/>
  <c r="W17" i="34"/>
  <c r="AG31" i="34"/>
  <c r="AG32" i="34"/>
  <c r="AD32" i="34"/>
  <c r="AD33" i="34"/>
  <c r="Y18" i="34"/>
  <c r="E27" i="34"/>
  <c r="H26" i="34"/>
  <c r="E28" i="34"/>
  <c r="H27" i="34"/>
  <c r="M31" i="34"/>
  <c r="J33" i="34"/>
  <c r="M32" i="34"/>
  <c r="J32" i="34"/>
  <c r="W32" i="34"/>
  <c r="T32" i="34"/>
  <c r="T33" i="34"/>
  <c r="W31" i="34"/>
  <c r="E18" i="34" l="1"/>
  <c r="AD23" i="34"/>
  <c r="AG22" i="34"/>
  <c r="AD22" i="34"/>
  <c r="AD21" i="34"/>
  <c r="Y37" i="34"/>
  <c r="Y38" i="34"/>
  <c r="AB36" i="34"/>
  <c r="AB37" i="34"/>
  <c r="AP35" i="42" l="1" a="1"/>
  <c r="AP35" i="42" s="1"/>
  <c r="AP30" i="42" l="1" a="1"/>
  <c r="AP30" i="42" s="1"/>
  <c r="AP25" i="42" a="1"/>
  <c r="AP25" i="42" s="1"/>
  <c r="AP20" i="42" a="1"/>
  <c r="AP20" i="42" s="1"/>
  <c r="AP10" i="42" a="1"/>
  <c r="AP10" i="42" s="1"/>
  <c r="AP30" i="40" l="1" a="1"/>
  <c r="AP30" i="40" s="1"/>
  <c r="AP35" i="40" a="1"/>
  <c r="AP35" i="40" s="1"/>
  <c r="AP25" i="40" a="1"/>
  <c r="AP25" i="40" s="1"/>
  <c r="AP20" i="40" a="1"/>
  <c r="AP20" i="40" s="1"/>
  <c r="AP15" i="40" a="1"/>
  <c r="AP15" i="40" s="1"/>
  <c r="AP10" i="40" a="1"/>
  <c r="AP10" i="40" s="1"/>
  <c r="AP15" i="42" a="1"/>
  <c r="AP15" i="42" s="1"/>
  <c r="BV5" i="68" l="1"/>
  <c r="BV7" i="68" l="1"/>
  <c r="BV6" i="68"/>
  <c r="BV9" i="68"/>
  <c r="BV11" i="68"/>
  <c r="BV12" i="68"/>
  <c r="BV8" i="68"/>
  <c r="BV10" i="68"/>
  <c r="CC7" i="32" l="1"/>
  <c r="CE7" i="32" l="1"/>
  <c r="CD7" i="32"/>
  <c r="CC19" i="32" l="1"/>
  <c r="CD19" i="32" l="1"/>
  <c r="CE19" i="32"/>
  <c r="CC21" i="32" l="1"/>
  <c r="CE21" i="32" l="1"/>
  <c r="CD21" i="32"/>
  <c r="CC23" i="32" l="1"/>
  <c r="CD23" i="32" l="1"/>
  <c r="CE23" i="32"/>
  <c r="CC14" i="32" l="1"/>
  <c r="CD14" i="32" l="1"/>
  <c r="CE14" i="32"/>
  <c r="CF7" i="32" l="1"/>
  <c r="CI6" i="32" s="1"/>
  <c r="CF30" i="32"/>
  <c r="CJ26" i="32" l="1"/>
  <c r="AG10" i="32" s="1"/>
  <c r="X10" i="32" s="1"/>
  <c r="AP33" i="34" s="1" a="1"/>
  <c r="AP33" i="34" s="1"/>
  <c r="CI26" i="32"/>
  <c r="AF10" i="32" s="1"/>
  <c r="CJ6" i="32"/>
  <c r="AG6" i="32" s="1"/>
  <c r="X6" i="32" s="1"/>
  <c r="AP13" i="34" s="1" a="1"/>
  <c r="AP13" i="34" s="1"/>
  <c r="AF6" i="32"/>
  <c r="F31" i="34"/>
  <c r="Z11" i="34"/>
  <c r="Y10" i="34"/>
  <c r="AA13" i="34"/>
  <c r="AA10" i="34"/>
  <c r="E31" i="34" l="1"/>
  <c r="E32" i="34"/>
  <c r="H31" i="34"/>
  <c r="H32" i="34"/>
  <c r="Y13" i="34"/>
  <c r="AB12" i="34"/>
  <c r="Y11" i="34"/>
  <c r="Y12" i="34"/>
  <c r="AB11" i="34"/>
  <c r="CC18" i="32" l="1"/>
  <c r="CD18" i="32" l="1"/>
  <c r="CE18" i="32"/>
  <c r="CC32" i="32" l="1"/>
  <c r="CE32" i="32" l="1"/>
  <c r="CD32" i="32"/>
  <c r="CF18" i="32" l="1"/>
  <c r="CF23" i="32"/>
  <c r="Q28" i="34" l="1"/>
  <c r="Q25" i="34"/>
  <c r="O25" i="34"/>
  <c r="P26" i="34"/>
  <c r="V20" i="34"/>
  <c r="T20" i="34"/>
  <c r="V23" i="34"/>
  <c r="U21" i="34"/>
  <c r="W22" i="34" l="1"/>
  <c r="T21" i="34"/>
  <c r="T22" i="34"/>
  <c r="T23" i="34"/>
  <c r="W21" i="34"/>
  <c r="R26" i="34"/>
  <c r="R27" i="34"/>
  <c r="O27" i="34"/>
  <c r="O26" i="34"/>
  <c r="O28" i="34"/>
  <c r="CF32" i="32" l="1"/>
  <c r="CF21" i="32"/>
  <c r="CJ31" i="32" l="1"/>
  <c r="AG11" i="32" s="1"/>
  <c r="X11" i="32" s="1"/>
  <c r="AP38" i="34" s="1" a="1"/>
  <c r="AP38" i="34" s="1"/>
  <c r="CI31" i="32"/>
  <c r="AF11" i="32" s="1"/>
  <c r="CJ21" i="32"/>
  <c r="AG9" i="32" s="1"/>
  <c r="X9" i="32" s="1"/>
  <c r="AP28" i="34" s="1" a="1"/>
  <c r="AP28" i="34" s="1"/>
  <c r="CI21" i="32"/>
  <c r="AF9" i="32" s="1"/>
  <c r="AF25" i="34"/>
  <c r="AF28" i="34"/>
  <c r="AD25" i="34"/>
  <c r="AE26" i="34"/>
  <c r="T35" i="34"/>
  <c r="U36" i="34"/>
  <c r="V38" i="34"/>
  <c r="V35" i="34"/>
  <c r="AD28" i="34" l="1"/>
  <c r="AD26" i="34"/>
  <c r="AD27" i="34"/>
  <c r="AG27" i="34"/>
  <c r="AG26" i="34"/>
  <c r="T38" i="34"/>
  <c r="T37" i="34"/>
  <c r="W37" i="34"/>
  <c r="W36" i="34"/>
  <c r="T36" i="34"/>
  <c r="CC30" i="32" l="1"/>
  <c r="E30" i="34" s="1"/>
  <c r="CE30" i="32" l="1"/>
  <c r="G30" i="34" s="1"/>
  <c r="E33" i="34" s="1"/>
  <c r="CD30" i="32"/>
  <c r="G33" i="34" s="1"/>
  <c r="CF19" i="32" l="1"/>
  <c r="CF14" i="32"/>
  <c r="CJ16" i="32" l="1"/>
  <c r="AG8" i="32" s="1"/>
  <c r="X8" i="32" s="1"/>
  <c r="AP23" i="34" s="1" a="1"/>
  <c r="AP23" i="34" s="1"/>
  <c r="CI16" i="32"/>
  <c r="AF8" i="32" s="1"/>
  <c r="CJ11" i="32"/>
  <c r="AG7" i="32" s="1"/>
  <c r="X7" i="32" s="1"/>
  <c r="AP18" i="34" s="1" a="1"/>
  <c r="AP18" i="34" s="1"/>
  <c r="CI11" i="32"/>
  <c r="AF7" i="32" s="1"/>
  <c r="P16" i="34"/>
  <c r="Q18" i="34"/>
  <c r="Q15" i="34"/>
  <c r="O15" i="34"/>
  <c r="L23" i="34"/>
  <c r="J20" i="34"/>
  <c r="K21" i="34"/>
  <c r="L20" i="34"/>
  <c r="B37" i="32" l="1" a="1"/>
  <c r="B37" i="32" s="1"/>
  <c r="J22" i="34"/>
  <c r="J23" i="34"/>
  <c r="M22" i="34"/>
  <c r="M21" i="34"/>
  <c r="J21" i="34"/>
  <c r="R16" i="34"/>
  <c r="O17" i="34"/>
  <c r="O18" i="34"/>
  <c r="O16" i="34"/>
  <c r="R17" i="34"/>
  <c r="W10" i="32" l="1"/>
  <c r="W11" i="32"/>
  <c r="W8" i="32"/>
  <c r="W9" i="32"/>
  <c r="AP30" i="34" a="1"/>
  <c r="AP30" i="34" s="1"/>
  <c r="AP25" i="34" a="1"/>
  <c r="AP25" i="34" s="1"/>
  <c r="AP35" i="34" a="1"/>
  <c r="AP35" i="34" s="1"/>
  <c r="P40" i="32"/>
  <c r="E39" i="32"/>
  <c r="P41" i="32"/>
  <c r="G41" i="32"/>
  <c r="N38" i="32"/>
  <c r="N40" i="32"/>
  <c r="C39" i="32"/>
  <c r="O40" i="32"/>
  <c r="M41" i="32"/>
  <c r="AE41" i="32" s="1"/>
  <c r="O42" i="32"/>
  <c r="P39" i="32"/>
  <c r="P38" i="32"/>
  <c r="E42" i="32"/>
  <c r="M40" i="32"/>
  <c r="AE40" i="32" s="1"/>
  <c r="P42" i="32"/>
  <c r="C42" i="32"/>
  <c r="M42" i="32"/>
  <c r="AE42" i="32" s="1"/>
  <c r="R42" i="32" a="1"/>
  <c r="R42" i="32" s="1"/>
  <c r="N41" i="32"/>
  <c r="E38" i="32"/>
  <c r="M39" i="32"/>
  <c r="AE39" i="32" s="1"/>
  <c r="M38" i="32"/>
  <c r="AE38" i="32" s="1"/>
  <c r="O39" i="32"/>
  <c r="G39" i="32"/>
  <c r="R41" i="32" a="1"/>
  <c r="R41" i="32" s="1"/>
  <c r="N42" i="32"/>
  <c r="E41" i="32"/>
  <c r="C38" i="32"/>
  <c r="C40" i="32"/>
  <c r="O38" i="32"/>
  <c r="G38" i="32"/>
  <c r="E40" i="32"/>
  <c r="R40" i="32" a="1"/>
  <c r="R40" i="32" s="1"/>
  <c r="C41" i="32"/>
  <c r="G40" i="32"/>
  <c r="G42" i="32"/>
  <c r="N39" i="32"/>
  <c r="O41" i="32"/>
  <c r="G37" i="32"/>
  <c r="O37" i="32"/>
  <c r="N37" i="32"/>
  <c r="C37" i="32"/>
  <c r="P37" i="32"/>
  <c r="AL31" i="34" a="1"/>
  <c r="AL31" i="34" s="1"/>
  <c r="R39" i="32" l="1" a="1"/>
  <c r="R39" i="32" s="1"/>
  <c r="M37" i="32"/>
  <c r="E37" i="32"/>
  <c r="Q37" i="32"/>
  <c r="W6" i="32" s="1"/>
  <c r="AP10" i="34" s="1" a="1"/>
  <c r="AP10" i="34" s="1"/>
  <c r="AL16" i="34" a="1"/>
  <c r="AL16" i="34" s="1"/>
  <c r="AK31" i="34"/>
  <c r="AK32" i="34"/>
  <c r="AN31" i="34"/>
  <c r="AN32" i="34"/>
  <c r="AE37" i="32" l="1"/>
  <c r="W7" i="32"/>
  <c r="R38" i="32" a="1"/>
  <c r="R38" i="32" s="1"/>
  <c r="AP20" i="34" a="1"/>
  <c r="AP20" i="34" s="1"/>
  <c r="AL21" i="34" a="1"/>
  <c r="AL21" i="34" s="1"/>
  <c r="AN21" i="34" s="1"/>
  <c r="AL11" i="34" a="1"/>
  <c r="AL11" i="34" s="1"/>
  <c r="AN11" i="34" s="1"/>
  <c r="AL26" i="34" a="1"/>
  <c r="AL26" i="34" s="1"/>
  <c r="AL36" i="34" a="1"/>
  <c r="AL36" i="34" s="1"/>
  <c r="AN17" i="34"/>
  <c r="AK16" i="34"/>
  <c r="AN16" i="34"/>
  <c r="AK17" i="34"/>
  <c r="R37" i="32" l="1" a="1"/>
  <c r="R37" i="32" s="1"/>
  <c r="AP15" i="34" a="1"/>
  <c r="AP15" i="34" s="1"/>
  <c r="AN22" i="34"/>
  <c r="AK21" i="34"/>
  <c r="AK22" i="34"/>
  <c r="AK11" i="34"/>
  <c r="AN12" i="34"/>
  <c r="AK12" i="34"/>
  <c r="BC9" i="65" a="1"/>
  <c r="BC9" i="65" s="1"/>
  <c r="BC8" i="65" a="1"/>
  <c r="AK37" i="34"/>
  <c r="AN37" i="34"/>
  <c r="AK36" i="34"/>
  <c r="AN36" i="34"/>
  <c r="AK27" i="34"/>
  <c r="AN26" i="34"/>
  <c r="AK26" i="34"/>
  <c r="AN27" i="34"/>
  <c r="BC7" i="65" l="1" a="1"/>
  <c r="BC13" i="65" a="1"/>
  <c r="BC13" i="65" s="1"/>
  <c r="BC12" i="65" a="1"/>
  <c r="BC12" i="65" s="1"/>
  <c r="BC14" i="65" a="1"/>
  <c r="BC14" i="65" s="1"/>
  <c r="BC18" i="65" a="1"/>
  <c r="BC18" i="65" s="1"/>
  <c r="BC19" i="65" a="1"/>
  <c r="BC19" i="65" s="1"/>
  <c r="BC31" i="65" a="1"/>
  <c r="BC31" i="65" s="1"/>
  <c r="BC17" i="65" a="1"/>
  <c r="BC17" i="65" s="1"/>
  <c r="BC10" i="65" a="1"/>
  <c r="BC10" i="65" s="1"/>
  <c r="BC33" i="65" a="1"/>
  <c r="BC33" i="65" s="1"/>
  <c r="BC40" i="65" a="1"/>
  <c r="BC40" i="65" s="1"/>
  <c r="BC11" i="65" a="1"/>
  <c r="BC11" i="65" s="1"/>
  <c r="BC22" i="65" a="1"/>
  <c r="BC22" i="65" s="1"/>
  <c r="BC38" i="65" a="1"/>
  <c r="BC38" i="65" s="1"/>
  <c r="BC15" i="65" a="1"/>
  <c r="BC15" i="65" s="1"/>
  <c r="BC24" i="65" a="1"/>
  <c r="BC24" i="65" s="1"/>
  <c r="BC35" i="65" a="1"/>
  <c r="BC35" i="65" s="1"/>
  <c r="BC41" i="65" a="1"/>
  <c r="BC41" i="65" s="1"/>
  <c r="BC21" i="65" a="1"/>
  <c r="BC21" i="65" s="1"/>
  <c r="BC39" i="65" a="1"/>
  <c r="BC39" i="65" s="1"/>
  <c r="BC36" i="65" a="1"/>
  <c r="BC36" i="65" s="1"/>
  <c r="BC23" i="65" a="1"/>
  <c r="BC23" i="65" s="1"/>
  <c r="BC25" i="65" a="1"/>
  <c r="BC25" i="65" s="1"/>
  <c r="BC28" i="65" a="1"/>
  <c r="BC28" i="65" s="1"/>
  <c r="BC30" i="65" a="1"/>
  <c r="BC30" i="65" s="1"/>
  <c r="BC16" i="65" a="1"/>
  <c r="BC16" i="65" s="1"/>
  <c r="BC34" i="65" a="1"/>
  <c r="BC34" i="65" s="1"/>
  <c r="BC20" i="65" a="1"/>
  <c r="BC20" i="65" s="1"/>
  <c r="BC29" i="65" a="1"/>
  <c r="BC29" i="65" s="1"/>
  <c r="BC37" i="65" a="1"/>
  <c r="BC37" i="65" s="1"/>
  <c r="BC26" i="65" a="1"/>
  <c r="BC26" i="65" s="1"/>
  <c r="BC42" i="65" a="1"/>
  <c r="BC42" i="65" s="1"/>
  <c r="BC27" i="65" a="1"/>
  <c r="BC27" i="65" s="1"/>
  <c r="BC32" i="65" a="1"/>
  <c r="BC32" i="65" s="1"/>
  <c r="BC7" i="65"/>
  <c r="BC8" i="65"/>
  <c r="BT6" i="65"/>
  <c r="CP7" i="65" l="1" a="1"/>
  <c r="BV7" i="65" a="1"/>
  <c r="DW41" i="68" l="1"/>
  <c r="DW42" i="68"/>
  <c r="DW43" i="68"/>
  <c r="DW40" i="68"/>
  <c r="AO14" i="65"/>
  <c r="AO15" i="65"/>
  <c r="AO16" i="65"/>
  <c r="AO17" i="65"/>
  <c r="AO6" i="65"/>
  <c r="AO18" i="65"/>
  <c r="AO9" i="65"/>
  <c r="AO10" i="65"/>
  <c r="AO7" i="65"/>
  <c r="AO19" i="65"/>
  <c r="AO13" i="65"/>
  <c r="AO8" i="65"/>
  <c r="AO20" i="65"/>
  <c r="AO11" i="65"/>
  <c r="AO12" i="65"/>
  <c r="CB8" i="66"/>
  <c r="CF9" i="66"/>
  <c r="BX10" i="66"/>
  <c r="CJ10" i="66"/>
  <c r="CB11" i="66"/>
  <c r="CF12" i="66"/>
  <c r="BX13" i="66"/>
  <c r="CJ13" i="66"/>
  <c r="CB14" i="66"/>
  <c r="CF15" i="66"/>
  <c r="BX16" i="66"/>
  <c r="CJ16" i="66"/>
  <c r="CB17" i="66"/>
  <c r="CF18" i="66"/>
  <c r="BX19" i="66"/>
  <c r="CJ19" i="66"/>
  <c r="CB20" i="66"/>
  <c r="CF21" i="66"/>
  <c r="BX22" i="66"/>
  <c r="CJ22" i="66"/>
  <c r="CB23" i="66"/>
  <c r="CF24" i="66"/>
  <c r="BX25" i="66"/>
  <c r="CJ25" i="66"/>
  <c r="CB26" i="66"/>
  <c r="BY7" i="66"/>
  <c r="CK7" i="66"/>
  <c r="CH9" i="66"/>
  <c r="BZ10" i="66"/>
  <c r="CL10" i="66"/>
  <c r="CD11" i="66"/>
  <c r="BV12" i="66"/>
  <c r="CH12" i="66"/>
  <c r="BZ13" i="66"/>
  <c r="CL13" i="66"/>
  <c r="CD14" i="66"/>
  <c r="BV15" i="66"/>
  <c r="BZ16" i="66"/>
  <c r="CD17" i="66"/>
  <c r="BV18" i="66"/>
  <c r="CL19" i="66"/>
  <c r="CD20" i="66"/>
  <c r="CH21" i="66"/>
  <c r="CL22" i="66"/>
  <c r="BV24" i="66"/>
  <c r="BZ25" i="66"/>
  <c r="CC8" i="66"/>
  <c r="BU9" i="66"/>
  <c r="AO7" i="66" s="1"/>
  <c r="CG9" i="66"/>
  <c r="BY10" i="66"/>
  <c r="CK10" i="66"/>
  <c r="CC11" i="66"/>
  <c r="BU12" i="66"/>
  <c r="AO10" i="66" s="1"/>
  <c r="CG12" i="66"/>
  <c r="BY13" i="66"/>
  <c r="CK13" i="66"/>
  <c r="CC14" i="66"/>
  <c r="BU15" i="66"/>
  <c r="AO13" i="66" s="1"/>
  <c r="CG15" i="66"/>
  <c r="BY16" i="66"/>
  <c r="CK16" i="66"/>
  <c r="CC17" i="66"/>
  <c r="BU18" i="66"/>
  <c r="AO16" i="66" s="1"/>
  <c r="CG18" i="66"/>
  <c r="BY19" i="66"/>
  <c r="CK19" i="66"/>
  <c r="CC20" i="66"/>
  <c r="BU21" i="66"/>
  <c r="AO19" i="66" s="1"/>
  <c r="CG21" i="66"/>
  <c r="BY22" i="66"/>
  <c r="CK22" i="66"/>
  <c r="CC23" i="66"/>
  <c r="BU24" i="66"/>
  <c r="CG24" i="66"/>
  <c r="BY25" i="66"/>
  <c r="CK25" i="66"/>
  <c r="CC26" i="66"/>
  <c r="BZ7" i="66"/>
  <c r="CL7" i="66"/>
  <c r="CE8" i="66"/>
  <c r="BW9" i="66"/>
  <c r="CI9" i="66"/>
  <c r="CA10" i="66"/>
  <c r="CE11" i="66"/>
  <c r="BW12" i="66"/>
  <c r="CI12" i="66"/>
  <c r="CA13" i="66"/>
  <c r="CE14" i="66"/>
  <c r="BW15" i="66"/>
  <c r="CI15" i="66"/>
  <c r="CA16" i="66"/>
  <c r="CE17" i="66"/>
  <c r="BW18" i="66"/>
  <c r="CI18" i="66"/>
  <c r="CA19" i="66"/>
  <c r="CE20" i="66"/>
  <c r="BW21" i="66"/>
  <c r="CI21" i="66"/>
  <c r="CA22" i="66"/>
  <c r="CE23" i="66"/>
  <c r="BW24" i="66"/>
  <c r="CI24" i="66"/>
  <c r="CA25" i="66"/>
  <c r="CE26" i="66"/>
  <c r="CB7" i="66"/>
  <c r="CF8" i="66"/>
  <c r="BX9" i="66"/>
  <c r="CJ9" i="66"/>
  <c r="CB10" i="66"/>
  <c r="CF11" i="66"/>
  <c r="BX12" i="66"/>
  <c r="CJ12" i="66"/>
  <c r="CB13" i="66"/>
  <c r="CF14" i="66"/>
  <c r="BX15" i="66"/>
  <c r="CJ15" i="66"/>
  <c r="CB16" i="66"/>
  <c r="CF17" i="66"/>
  <c r="BX18" i="66"/>
  <c r="CJ18" i="66"/>
  <c r="CB19" i="66"/>
  <c r="CF20" i="66"/>
  <c r="BX21" i="66"/>
  <c r="CJ21" i="66"/>
  <c r="CB22" i="66"/>
  <c r="CF23" i="66"/>
  <c r="BX24" i="66"/>
  <c r="CJ24" i="66"/>
  <c r="CB25" i="66"/>
  <c r="CF26" i="66"/>
  <c r="CC7" i="66"/>
  <c r="BU7" i="66"/>
  <c r="AO5" i="66" s="1"/>
  <c r="BU8" i="66"/>
  <c r="AO6" i="66" s="1"/>
  <c r="CG8" i="66"/>
  <c r="BY9" i="66"/>
  <c r="CK9" i="66"/>
  <c r="CC10" i="66"/>
  <c r="BU11" i="66"/>
  <c r="AO9" i="66" s="1"/>
  <c r="CG11" i="66"/>
  <c r="BY12" i="66"/>
  <c r="CK12" i="66"/>
  <c r="CC13" i="66"/>
  <c r="BU14" i="66"/>
  <c r="AO12" i="66" s="1"/>
  <c r="CG14" i="66"/>
  <c r="BY15" i="66"/>
  <c r="CK15" i="66"/>
  <c r="CC16" i="66"/>
  <c r="BU17" i="66"/>
  <c r="AO15" i="66" s="1"/>
  <c r="CG17" i="66"/>
  <c r="BY18" i="66"/>
  <c r="CK18" i="66"/>
  <c r="CC19" i="66"/>
  <c r="BU20" i="66"/>
  <c r="AO18" i="66" s="1"/>
  <c r="CG20" i="66"/>
  <c r="BY21" i="66"/>
  <c r="CK21" i="66"/>
  <c r="CC22" i="66"/>
  <c r="BU23" i="66"/>
  <c r="CG23" i="66"/>
  <c r="BY24" i="66"/>
  <c r="CK24" i="66"/>
  <c r="CC25" i="66"/>
  <c r="BU26" i="66"/>
  <c r="CG26" i="66"/>
  <c r="CD7" i="66"/>
  <c r="BV8" i="66"/>
  <c r="CH8" i="66"/>
  <c r="BZ9" i="66"/>
  <c r="CL9" i="66"/>
  <c r="CD10" i="66"/>
  <c r="BV11" i="66"/>
  <c r="CH11" i="66"/>
  <c r="BZ12" i="66"/>
  <c r="CL12" i="66"/>
  <c r="CD13" i="66"/>
  <c r="BV14" i="66"/>
  <c r="CH14" i="66"/>
  <c r="BZ15" i="66"/>
  <c r="CL15" i="66"/>
  <c r="CD16" i="66"/>
  <c r="BV17" i="66"/>
  <c r="CH17" i="66"/>
  <c r="BZ18" i="66"/>
  <c r="CL18" i="66"/>
  <c r="CD19" i="66"/>
  <c r="BV20" i="66"/>
  <c r="CH20" i="66"/>
  <c r="BZ21" i="66"/>
  <c r="CL21" i="66"/>
  <c r="CD22" i="66"/>
  <c r="BV23" i="66"/>
  <c r="CH23" i="66"/>
  <c r="BZ24" i="66"/>
  <c r="CL24" i="66"/>
  <c r="CD25" i="66"/>
  <c r="BV26" i="66"/>
  <c r="CH26" i="66"/>
  <c r="CE7" i="66"/>
  <c r="BX8" i="66"/>
  <c r="CJ8" i="66"/>
  <c r="CB9" i="66"/>
  <c r="CF10" i="66"/>
  <c r="BX11" i="66"/>
  <c r="CJ11" i="66"/>
  <c r="CB12" i="66"/>
  <c r="CF13" i="66"/>
  <c r="BX14" i="66"/>
  <c r="CJ14" i="66"/>
  <c r="CB15" i="66"/>
  <c r="CF16" i="66"/>
  <c r="BX17" i="66"/>
  <c r="CJ17" i="66"/>
  <c r="CB18" i="66"/>
  <c r="CF19" i="66"/>
  <c r="BX20" i="66"/>
  <c r="CJ20" i="66"/>
  <c r="CB21" i="66"/>
  <c r="CF22" i="66"/>
  <c r="BX23" i="66"/>
  <c r="CJ23" i="66"/>
  <c r="CB24" i="66"/>
  <c r="CF25" i="66"/>
  <c r="BX26" i="66"/>
  <c r="CJ26" i="66"/>
  <c r="CG7" i="66"/>
  <c r="CL8" i="66"/>
  <c r="CD9" i="66"/>
  <c r="BV10" i="66"/>
  <c r="CH10" i="66"/>
  <c r="BZ11" i="66"/>
  <c r="CL11" i="66"/>
  <c r="BV13" i="66"/>
  <c r="CH13" i="66"/>
  <c r="CL14" i="66"/>
  <c r="BV16" i="66"/>
  <c r="BZ17" i="66"/>
  <c r="CD18" i="66"/>
  <c r="BV19" i="66"/>
  <c r="CH19" i="66"/>
  <c r="BZ20" i="66"/>
  <c r="CD21" i="66"/>
  <c r="BV22" i="66"/>
  <c r="BZ23" i="66"/>
  <c r="CL23" i="66"/>
  <c r="CH25" i="66"/>
  <c r="BW7" i="66"/>
  <c r="BW13" i="66"/>
  <c r="CI16" i="66"/>
  <c r="CI19" i="66"/>
  <c r="CE21" i="66"/>
  <c r="CA26" i="66"/>
  <c r="BX7" i="66"/>
  <c r="BV9" i="66"/>
  <c r="CL16" i="66"/>
  <c r="BZ19" i="66"/>
  <c r="BV21" i="66"/>
  <c r="BZ22" i="66"/>
  <c r="CD23" i="66"/>
  <c r="CH24" i="66"/>
  <c r="BY8" i="66"/>
  <c r="CK8" i="66"/>
  <c r="CC9" i="66"/>
  <c r="BU10" i="66"/>
  <c r="AO8" i="66" s="1"/>
  <c r="CG10" i="66"/>
  <c r="BY11" i="66"/>
  <c r="CK11" i="66"/>
  <c r="CC12" i="66"/>
  <c r="BU13" i="66"/>
  <c r="AO11" i="66" s="1"/>
  <c r="CG13" i="66"/>
  <c r="BY14" i="66"/>
  <c r="CK14" i="66"/>
  <c r="CC15" i="66"/>
  <c r="BU16" i="66"/>
  <c r="AO14" i="66" s="1"/>
  <c r="CG16" i="66"/>
  <c r="BY17" i="66"/>
  <c r="CK17" i="66"/>
  <c r="CC18" i="66"/>
  <c r="BU19" i="66"/>
  <c r="AO17" i="66" s="1"/>
  <c r="CG19" i="66"/>
  <c r="BY20" i="66"/>
  <c r="CK20" i="66"/>
  <c r="CC21" i="66"/>
  <c r="BU22" i="66"/>
  <c r="AO20" i="66" s="1"/>
  <c r="CG22" i="66"/>
  <c r="BY23" i="66"/>
  <c r="CK23" i="66"/>
  <c r="CC24" i="66"/>
  <c r="BU25" i="66"/>
  <c r="CG25" i="66"/>
  <c r="BY26" i="66"/>
  <c r="CK26" i="66"/>
  <c r="BV7" i="66"/>
  <c r="CH7" i="66"/>
  <c r="BZ8" i="66"/>
  <c r="CD12" i="66"/>
  <c r="BZ14" i="66"/>
  <c r="CD15" i="66"/>
  <c r="CH16" i="66"/>
  <c r="CL17" i="66"/>
  <c r="CL20" i="66"/>
  <c r="CH22" i="66"/>
  <c r="CD24" i="66"/>
  <c r="BZ26" i="66"/>
  <c r="CL26" i="66"/>
  <c r="CI7" i="66"/>
  <c r="CE15" i="66"/>
  <c r="CA17" i="66"/>
  <c r="CE18" i="66"/>
  <c r="CA20" i="66"/>
  <c r="BW22" i="66"/>
  <c r="CI22" i="66"/>
  <c r="CE24" i="66"/>
  <c r="CI25" i="66"/>
  <c r="CD8" i="66"/>
  <c r="CH15" i="66"/>
  <c r="CH18" i="66"/>
  <c r="BV25" i="66"/>
  <c r="CA8" i="66"/>
  <c r="CE9" i="66"/>
  <c r="BW10" i="66"/>
  <c r="CI10" i="66"/>
  <c r="CA11" i="66"/>
  <c r="CE12" i="66"/>
  <c r="CI13" i="66"/>
  <c r="CA14" i="66"/>
  <c r="BW16" i="66"/>
  <c r="BW19" i="66"/>
  <c r="CA23" i="66"/>
  <c r="BW25" i="66"/>
  <c r="CJ7" i="66"/>
  <c r="CA12" i="66"/>
  <c r="CE19" i="66"/>
  <c r="BW26" i="66"/>
  <c r="CI20" i="66"/>
  <c r="CI26" i="66"/>
  <c r="BW20" i="66"/>
  <c r="CD26" i="66"/>
  <c r="BW17" i="66"/>
  <c r="CA18" i="66"/>
  <c r="CE13" i="66"/>
  <c r="BW14" i="66"/>
  <c r="CA21" i="66"/>
  <c r="CA24" i="66"/>
  <c r="CE25" i="66"/>
  <c r="CI14" i="66"/>
  <c r="CA7" i="66"/>
  <c r="BW8" i="66"/>
  <c r="CA15" i="66"/>
  <c r="CE22" i="66"/>
  <c r="CI8" i="66"/>
  <c r="BW23" i="66"/>
  <c r="CA9" i="66"/>
  <c r="CE16" i="66"/>
  <c r="CI23" i="66"/>
  <c r="CE10" i="66"/>
  <c r="CI17" i="66"/>
  <c r="BW11" i="66"/>
  <c r="CI11" i="66"/>
  <c r="CL25" i="66"/>
  <c r="CF7" i="66"/>
  <c r="CP7" i="65"/>
  <c r="DH34" i="65" a="1"/>
  <c r="DH34" i="65" s="1"/>
  <c r="DH11" i="65" a="1"/>
  <c r="DH11" i="65" s="1"/>
  <c r="DI11" i="65" s="1"/>
  <c r="DH23" i="65" a="1"/>
  <c r="DH23" i="65" s="1"/>
  <c r="DH35" i="65" a="1"/>
  <c r="DH35" i="65" s="1"/>
  <c r="DH12" i="65" a="1"/>
  <c r="DH12" i="65" s="1"/>
  <c r="DI12" i="65" s="1"/>
  <c r="DH24" i="65" a="1"/>
  <c r="DH24" i="65" s="1"/>
  <c r="DH30" i="65" a="1"/>
  <c r="DH30" i="65" s="1"/>
  <c r="DH22" i="65" a="1"/>
  <c r="DH22" i="65" s="1"/>
  <c r="DI22" i="65" s="1"/>
  <c r="DH36" i="65" a="1"/>
  <c r="DH36" i="65" s="1"/>
  <c r="DH13" i="65" a="1"/>
  <c r="DH13" i="65" s="1"/>
  <c r="DI13" i="65" s="1"/>
  <c r="DH25" i="65" a="1"/>
  <c r="DH25" i="65" s="1"/>
  <c r="DH37" i="65" a="1"/>
  <c r="DH37" i="65" s="1"/>
  <c r="DH14" i="65" a="1"/>
  <c r="DH14" i="65" s="1"/>
  <c r="DI14" i="65" s="1"/>
  <c r="DH26" i="65" a="1"/>
  <c r="DH26" i="65" s="1"/>
  <c r="DH38" i="65" a="1"/>
  <c r="DH38" i="65" s="1"/>
  <c r="DH16" i="65" a="1"/>
  <c r="DH16" i="65" s="1"/>
  <c r="DI16" i="65" s="1"/>
  <c r="DH40" i="65" a="1"/>
  <c r="DH40" i="65" s="1"/>
  <c r="DH42" i="65" a="1"/>
  <c r="DH42" i="65" s="1"/>
  <c r="DH15" i="65" a="1"/>
  <c r="DH15" i="65" s="1"/>
  <c r="DI15" i="65" s="1"/>
  <c r="DH27" i="65" a="1"/>
  <c r="DH27" i="65" s="1"/>
  <c r="DH39" i="65" a="1"/>
  <c r="DH39" i="65" s="1"/>
  <c r="DH28" i="65" a="1"/>
  <c r="DH28" i="65" s="1"/>
  <c r="DH18" i="65" a="1"/>
  <c r="DH18" i="65" s="1"/>
  <c r="DI18" i="65" s="1"/>
  <c r="DH19" i="65" a="1"/>
  <c r="DH19" i="65" s="1"/>
  <c r="DI19" i="65" s="1"/>
  <c r="DH31" i="65" a="1"/>
  <c r="DH31" i="65" s="1"/>
  <c r="DH10" i="65" a="1"/>
  <c r="DH10" i="65" s="1"/>
  <c r="DI10" i="65" s="1"/>
  <c r="DH17" i="65" a="1"/>
  <c r="DH17" i="65" s="1"/>
  <c r="DI17" i="65" s="1"/>
  <c r="DH29" i="65" a="1"/>
  <c r="DH29" i="65" s="1"/>
  <c r="DH41" i="65" a="1"/>
  <c r="DH41" i="65" s="1"/>
  <c r="DH8" i="65" a="1"/>
  <c r="DH8" i="65" s="1"/>
  <c r="DI8" i="65" s="1"/>
  <c r="DH20" i="65" a="1"/>
  <c r="DH20" i="65" s="1"/>
  <c r="DI20" i="65" s="1"/>
  <c r="DH32" i="65" a="1"/>
  <c r="DH32" i="65" s="1"/>
  <c r="DH9" i="65" a="1"/>
  <c r="DH9" i="65" s="1"/>
  <c r="DI9" i="65" s="1"/>
  <c r="DH21" i="65" a="1"/>
  <c r="DH21" i="65" s="1"/>
  <c r="DI21" i="65" s="1"/>
  <c r="DH33" i="65" a="1"/>
  <c r="DH33" i="65" s="1"/>
  <c r="BV7" i="65"/>
  <c r="AJ24" i="65" l="1"/>
  <c r="AM24" i="65" s="1"/>
  <c r="AJ23" i="65"/>
  <c r="AM23" i="65" s="1"/>
  <c r="AJ25" i="65"/>
  <c r="AM25" i="65" s="1"/>
  <c r="AJ26" i="65"/>
  <c r="AM26" i="65" s="1"/>
  <c r="AJ27" i="65"/>
  <c r="AM27" i="65" s="1"/>
  <c r="AJ32" i="65"/>
  <c r="AM32" i="65" s="1"/>
  <c r="AJ31" i="65"/>
  <c r="AM31" i="65" s="1"/>
  <c r="AJ20" i="65"/>
  <c r="AM20" i="65" s="1"/>
  <c r="AO5" i="65"/>
  <c r="AJ21" i="65"/>
  <c r="AM21" i="65" s="1"/>
  <c r="AJ33" i="65"/>
  <c r="AM33" i="65" s="1"/>
  <c r="AJ22" i="65"/>
  <c r="AM22" i="65" s="1"/>
  <c r="CP7" i="66" a="1"/>
  <c r="DI26" i="65"/>
  <c r="CN10" i="66" s="1"/>
  <c r="CM10" i="66"/>
  <c r="DI31" i="65"/>
  <c r="CN15" i="66" s="1"/>
  <c r="CM15" i="66"/>
  <c r="DI34" i="65"/>
  <c r="CN18" i="66" s="1"/>
  <c r="CM18" i="66"/>
  <c r="DI37" i="65"/>
  <c r="CN21" i="66" s="1"/>
  <c r="CM21" i="66"/>
  <c r="DI33" i="65"/>
  <c r="CN17" i="66" s="1"/>
  <c r="CM17" i="66"/>
  <c r="DI25" i="65"/>
  <c r="CN9" i="66" s="1"/>
  <c r="CM9" i="66"/>
  <c r="DI28" i="65"/>
  <c r="CN12" i="66" s="1"/>
  <c r="CM12" i="66"/>
  <c r="DI39" i="65"/>
  <c r="CN23" i="66" s="1"/>
  <c r="CM23" i="66"/>
  <c r="DI36" i="65"/>
  <c r="CN20" i="66" s="1"/>
  <c r="CM20" i="66"/>
  <c r="DI32" i="65"/>
  <c r="CN16" i="66" s="1"/>
  <c r="CM16" i="66"/>
  <c r="DI27" i="65"/>
  <c r="CN11" i="66" s="1"/>
  <c r="CM11" i="66"/>
  <c r="DI30" i="65"/>
  <c r="CN14" i="66" s="1"/>
  <c r="CM14" i="66"/>
  <c r="DI42" i="65"/>
  <c r="CN26" i="66" s="1"/>
  <c r="CM26" i="66"/>
  <c r="DI24" i="65"/>
  <c r="CN8" i="66" s="1"/>
  <c r="CM8" i="66"/>
  <c r="DI41" i="65"/>
  <c r="CN25" i="66" s="1"/>
  <c r="CM25" i="66"/>
  <c r="DI40" i="65"/>
  <c r="CN24" i="66" s="1"/>
  <c r="CM24" i="66"/>
  <c r="DI29" i="65"/>
  <c r="CN13" i="66" s="1"/>
  <c r="CM13" i="66"/>
  <c r="DI35" i="65"/>
  <c r="CN19" i="66" s="1"/>
  <c r="CM19" i="66"/>
  <c r="DI38" i="65"/>
  <c r="CN22" i="66" s="1"/>
  <c r="CM22" i="66"/>
  <c r="DI23" i="65"/>
  <c r="CN7" i="66" s="1"/>
  <c r="CM7" i="66"/>
  <c r="CO7" i="65"/>
  <c r="CO8" i="65" s="1"/>
  <c r="CO9" i="65" s="1"/>
  <c r="CO10" i="65" s="1"/>
  <c r="CO11" i="65" s="1"/>
  <c r="CO12" i="65" s="1"/>
  <c r="CO13" i="65" s="1"/>
  <c r="CO14" i="65" s="1"/>
  <c r="CO15" i="65" s="1"/>
  <c r="CO16" i="65" s="1"/>
  <c r="CO17" i="65" s="1"/>
  <c r="CO18" i="65" s="1"/>
  <c r="CO19" i="65" s="1"/>
  <c r="CO20" i="65" s="1"/>
  <c r="CO21" i="65" s="1"/>
  <c r="CO22" i="65" s="1"/>
  <c r="CO23" i="65" s="1"/>
  <c r="CO24" i="65" s="1"/>
  <c r="CO25" i="65" s="1"/>
  <c r="CO26" i="65" s="1"/>
  <c r="CO27" i="65" s="1"/>
  <c r="CO28" i="65" s="1"/>
  <c r="CO29" i="65" s="1"/>
  <c r="CO30" i="65" s="1"/>
  <c r="CO31" i="65" s="1"/>
  <c r="CO32" i="65" s="1"/>
  <c r="CO33" i="65" s="1"/>
  <c r="CO34" i="65" s="1"/>
  <c r="CO35" i="65" s="1"/>
  <c r="CO36" i="65" s="1"/>
  <c r="CO37" i="65" s="1"/>
  <c r="CO38" i="65" s="1"/>
  <c r="CO39" i="65" s="1"/>
  <c r="CO40" i="65" s="1"/>
  <c r="CO41" i="65" s="1"/>
  <c r="CO42" i="65" s="1"/>
  <c r="CO43" i="65" s="1"/>
  <c r="F19" i="66" s="1"/>
  <c r="DH7" i="65" a="1"/>
  <c r="DH7" i="65" s="1"/>
  <c r="DI7" i="65" s="1"/>
  <c r="DK7" i="65" a="1"/>
  <c r="AW13" i="68" a="1"/>
  <c r="DH28" i="68" s="1"/>
  <c r="DP32" i="65" l="1"/>
  <c r="CP7" i="66"/>
  <c r="V23" i="66"/>
  <c r="F21" i="66"/>
  <c r="V20" i="66"/>
  <c r="V17" i="66"/>
  <c r="F23" i="66"/>
  <c r="B24" i="67"/>
  <c r="AJ30" i="66"/>
  <c r="AM30" i="66" s="1"/>
  <c r="AF22" i="66"/>
  <c r="AI22" i="66" s="1"/>
  <c r="J19" i="66"/>
  <c r="F24" i="67" s="1"/>
  <c r="G19" i="66"/>
  <c r="C24" i="67" s="1"/>
  <c r="F17" i="66"/>
  <c r="F20" i="66"/>
  <c r="V18" i="66"/>
  <c r="V22" i="66"/>
  <c r="V21" i="66"/>
  <c r="F18" i="66"/>
  <c r="F22" i="66"/>
  <c r="F16" i="66"/>
  <c r="V19" i="66"/>
  <c r="D19" i="66" s="1"/>
  <c r="E19" i="66" s="1"/>
  <c r="AL22" i="66" s="1"/>
  <c r="V16" i="66"/>
  <c r="F22" i="65"/>
  <c r="F21" i="65"/>
  <c r="F20" i="65"/>
  <c r="V23" i="65"/>
  <c r="F19" i="65"/>
  <c r="V22" i="65"/>
  <c r="F17" i="65"/>
  <c r="V21" i="65"/>
  <c r="V18" i="65"/>
  <c r="V19" i="65"/>
  <c r="V17" i="65"/>
  <c r="V20" i="65"/>
  <c r="V16" i="65"/>
  <c r="F16" i="65"/>
  <c r="AF19" i="65" s="1"/>
  <c r="AI19" i="65" s="1"/>
  <c r="F18" i="65"/>
  <c r="F23" i="65"/>
  <c r="AF26" i="65" s="1"/>
  <c r="AI26" i="65" s="1"/>
  <c r="DQ28" i="65"/>
  <c r="DQ14" i="65"/>
  <c r="DQ9" i="65"/>
  <c r="DQ33" i="65"/>
  <c r="DQ39" i="65"/>
  <c r="DH17" i="68"/>
  <c r="BW23" i="68"/>
  <c r="DH20" i="68"/>
  <c r="BY31" i="68"/>
  <c r="DH29" i="68"/>
  <c r="CD19" i="68"/>
  <c r="CD18" i="68"/>
  <c r="DH11" i="68"/>
  <c r="BZ25" i="68"/>
  <c r="CA19" i="68"/>
  <c r="CH16" i="68"/>
  <c r="BY21" i="68"/>
  <c r="BX15" i="68"/>
  <c r="BW14" i="68"/>
  <c r="CE20" i="68"/>
  <c r="DH16" i="68"/>
  <c r="CF24" i="68"/>
  <c r="CE23" i="68"/>
  <c r="CH29" i="68"/>
  <c r="CB14" i="68"/>
  <c r="BW32" i="68"/>
  <c r="BY14" i="68"/>
  <c r="DH27" i="68"/>
  <c r="CD16" i="68"/>
  <c r="CB13" i="68"/>
  <c r="BW22" i="68"/>
  <c r="BW21" i="68"/>
  <c r="CD32" i="68"/>
  <c r="BZ31" i="68"/>
  <c r="BZ32" i="68"/>
  <c r="BW27" i="68"/>
  <c r="CE21" i="68"/>
  <c r="CF31" i="68"/>
  <c r="CE36" i="68"/>
  <c r="CE33" i="68"/>
  <c r="CA47" i="68"/>
  <c r="CF42" i="68"/>
  <c r="BX38" i="68"/>
  <c r="BX18" i="68"/>
  <c r="BZ44" i="68"/>
  <c r="CB15" i="68"/>
  <c r="CB41" i="68"/>
  <c r="CA39" i="68"/>
  <c r="BZ35" i="68"/>
  <c r="BW38" i="68"/>
  <c r="CH48" i="68"/>
  <c r="CH45" i="68"/>
  <c r="DH42" i="68"/>
  <c r="CH19" i="68"/>
  <c r="DH37" i="68"/>
  <c r="BW26" i="68"/>
  <c r="CD21" i="68"/>
  <c r="CD34" i="68"/>
  <c r="BW31" i="68"/>
  <c r="CF35" i="68"/>
  <c r="CH23" i="68"/>
  <c r="CD17" i="68"/>
  <c r="BZ14" i="68"/>
  <c r="CF16" i="68"/>
  <c r="CB21" i="68"/>
  <c r="CD48" i="68"/>
  <c r="BW45" i="68"/>
  <c r="CH28" i="68"/>
  <c r="CD36" i="68"/>
  <c r="CE44" i="68"/>
  <c r="CA28" i="68"/>
  <c r="BX24" i="68"/>
  <c r="DH9" i="68"/>
  <c r="CD20" i="68"/>
  <c r="CA21" i="68"/>
  <c r="CF27" i="68"/>
  <c r="CA30" i="68"/>
  <c r="CF48" i="68"/>
  <c r="BZ22" i="68"/>
  <c r="CE25" i="68"/>
  <c r="BW29" i="68"/>
  <c r="BZ34" i="68"/>
  <c r="CH21" i="68"/>
  <c r="BX23" i="68"/>
  <c r="BZ45" i="68"/>
  <c r="CE42" i="68"/>
  <c r="CF22" i="68"/>
  <c r="BX19" i="68"/>
  <c r="CD15" i="68"/>
  <c r="BZ16" i="68"/>
  <c r="CD25" i="68"/>
  <c r="CA20" i="68"/>
  <c r="BX31" i="68"/>
  <c r="BZ48" i="68"/>
  <c r="CA22" i="68"/>
  <c r="CD42" i="68"/>
  <c r="BY32" i="68"/>
  <c r="BZ21" i="68"/>
  <c r="BZ28" i="68"/>
  <c r="CB30" i="68"/>
  <c r="CB34" i="68"/>
  <c r="DH22" i="68"/>
  <c r="BZ19" i="68"/>
  <c r="CH17" i="68"/>
  <c r="BZ26" i="68"/>
  <c r="CH14" i="68"/>
  <c r="BY27" i="68"/>
  <c r="CH13" i="68"/>
  <c r="CF45" i="68"/>
  <c r="CE35" i="68"/>
  <c r="BW44" i="68"/>
  <c r="CA29" i="68"/>
  <c r="CE43" i="68"/>
  <c r="BY24" i="68"/>
  <c r="BZ41" i="68"/>
  <c r="BW46" i="68"/>
  <c r="DH15" i="68"/>
  <c r="CA17" i="68"/>
  <c r="BY28" i="68"/>
  <c r="DH40" i="68"/>
  <c r="CB31" i="68"/>
  <c r="CB47" i="68"/>
  <c r="DH32" i="68"/>
  <c r="DH26" i="68"/>
  <c r="BZ33" i="68"/>
  <c r="BX28" i="68"/>
  <c r="AW13" i="68"/>
  <c r="BW13" i="68" s="1"/>
  <c r="BY34" i="68"/>
  <c r="BW40" i="68"/>
  <c r="CH41" i="68"/>
  <c r="CH27" i="68"/>
  <c r="CE15" i="68"/>
  <c r="CE41" i="68"/>
  <c r="BY17" i="68"/>
  <c r="BY13" i="68"/>
  <c r="BX17" i="68"/>
  <c r="CA14" i="68"/>
  <c r="BX22" i="68"/>
  <c r="BX46" i="68"/>
  <c r="BY35" i="68"/>
  <c r="CF41" i="68"/>
  <c r="BZ42" i="68"/>
  <c r="DH18" i="68"/>
  <c r="CD33" i="68"/>
  <c r="BX36" i="68"/>
  <c r="BY26" i="68"/>
  <c r="BY36" i="68"/>
  <c r="DH36" i="68"/>
  <c r="CD26" i="68"/>
  <c r="BW19" i="68"/>
  <c r="BZ15" i="68"/>
  <c r="CA18" i="68"/>
  <c r="CE22" i="68"/>
  <c r="BY20" i="68"/>
  <c r="CE46" i="68"/>
  <c r="BX29" i="68"/>
  <c r="CH42" i="68"/>
  <c r="CE26" i="68"/>
  <c r="BW43" i="68"/>
  <c r="CD46" i="68"/>
  <c r="CB19" i="68"/>
  <c r="BW36" i="68"/>
  <c r="BX37" i="68"/>
  <c r="BW42" i="68"/>
  <c r="BY44" i="68"/>
  <c r="BX21" i="68"/>
  <c r="CD41" i="68"/>
  <c r="CA46" i="68"/>
  <c r="BW33" i="68"/>
  <c r="CB36" i="68"/>
  <c r="CH22" i="68"/>
  <c r="DH33" i="68"/>
  <c r="BZ29" i="68"/>
  <c r="CE37" i="68"/>
  <c r="CB26" i="68"/>
  <c r="CH15" i="68"/>
  <c r="BZ20" i="68"/>
  <c r="BZ24" i="68"/>
  <c r="CA16" i="68"/>
  <c r="CB25" i="68"/>
  <c r="BY43" i="68"/>
  <c r="CH33" i="68"/>
  <c r="CD29" i="68"/>
  <c r="CA27" i="68"/>
  <c r="DH34" i="68"/>
  <c r="CF43" i="68"/>
  <c r="BZ23" i="68"/>
  <c r="BW37" i="68"/>
  <c r="BY29" i="68"/>
  <c r="CH25" i="68"/>
  <c r="BY25" i="68"/>
  <c r="BY16" i="68"/>
  <c r="CA43" i="68"/>
  <c r="BX14" i="68"/>
  <c r="CA48" i="68"/>
  <c r="CD43" i="68"/>
  <c r="BY37" i="68"/>
  <c r="BX43" i="68"/>
  <c r="DH31" i="68"/>
  <c r="CA34" i="68"/>
  <c r="BY33" i="68"/>
  <c r="CH43" i="68"/>
  <c r="CH32" i="68"/>
  <c r="BY48" i="68"/>
  <c r="BW41" i="68"/>
  <c r="DH19" i="68"/>
  <c r="CB44" i="68"/>
  <c r="CD37" i="68"/>
  <c r="BX32" i="68"/>
  <c r="DH25" i="68"/>
  <c r="CE38" i="68"/>
  <c r="CE28" i="68"/>
  <c r="CE29" i="68"/>
  <c r="CB46" i="68"/>
  <c r="CB48" i="68"/>
  <c r="CH47" i="68"/>
  <c r="CB38" i="68"/>
  <c r="CD40" i="68"/>
  <c r="BX35" i="68"/>
  <c r="BX42" i="68"/>
  <c r="BZ46" i="68"/>
  <c r="CH35" i="68"/>
  <c r="CD47" i="68"/>
  <c r="BZ47" i="68"/>
  <c r="CB32" i="68"/>
  <c r="DH12" i="68"/>
  <c r="DQ35" i="65"/>
  <c r="DP38" i="65"/>
  <c r="DQ21" i="65"/>
  <c r="DP16" i="65"/>
  <c r="DP12" i="65"/>
  <c r="DP10" i="65"/>
  <c r="DQ11" i="65"/>
  <c r="DQ40" i="65"/>
  <c r="DQ13" i="65"/>
  <c r="DP13" i="65"/>
  <c r="DP28" i="65"/>
  <c r="DP26" i="65"/>
  <c r="DQ17" i="65"/>
  <c r="DQ37" i="65"/>
  <c r="DQ12" i="65"/>
  <c r="DQ8" i="65"/>
  <c r="DQ10" i="65"/>
  <c r="DP42" i="65"/>
  <c r="DP37" i="65"/>
  <c r="DQ38" i="65"/>
  <c r="DP19" i="65"/>
  <c r="DQ27" i="65"/>
  <c r="DP33" i="65"/>
  <c r="DP35" i="65"/>
  <c r="DQ19" i="65"/>
  <c r="DP18" i="65"/>
  <c r="DQ32" i="65"/>
  <c r="DP27" i="65"/>
  <c r="DP8" i="65"/>
  <c r="DQ34" i="65"/>
  <c r="DP34" i="65"/>
  <c r="DP31" i="65"/>
  <c r="DQ23" i="65"/>
  <c r="DP17" i="65"/>
  <c r="DQ16" i="65"/>
  <c r="DP20" i="65"/>
  <c r="DP41" i="65"/>
  <c r="DP39" i="65"/>
  <c r="DP30" i="65"/>
  <c r="DP22" i="65"/>
  <c r="DQ41" i="65"/>
  <c r="DP23" i="65"/>
  <c r="DP14" i="65"/>
  <c r="DQ25" i="65"/>
  <c r="DQ36" i="65"/>
  <c r="DP15" i="65"/>
  <c r="DP25" i="65"/>
  <c r="DP11" i="65"/>
  <c r="DQ18" i="65"/>
  <c r="DQ24" i="65"/>
  <c r="DQ29" i="65"/>
  <c r="DQ15" i="65"/>
  <c r="DP9" i="65"/>
  <c r="DP40" i="65"/>
  <c r="DP36" i="65"/>
  <c r="DK7" i="65"/>
  <c r="DP29" i="65"/>
  <c r="DP21" i="65"/>
  <c r="DQ22" i="65"/>
  <c r="DQ20" i="65"/>
  <c r="DQ42" i="65"/>
  <c r="DQ30" i="65"/>
  <c r="DP24" i="65"/>
  <c r="DQ26" i="65"/>
  <c r="DQ31" i="65"/>
  <c r="BZ36" i="68"/>
  <c r="CD44" i="68"/>
  <c r="CF25" i="68"/>
  <c r="CH18" i="68"/>
  <c r="CB20" i="68"/>
  <c r="CF30" i="68"/>
  <c r="BX13" i="68"/>
  <c r="CA38" i="68"/>
  <c r="CB28" i="68"/>
  <c r="CF19" i="68"/>
  <c r="CE19" i="68"/>
  <c r="CE13" i="68"/>
  <c r="CF18" i="68"/>
  <c r="CD13" i="68"/>
  <c r="CA24" i="68"/>
  <c r="CF37" i="68"/>
  <c r="BW48" i="68"/>
  <c r="DH43" i="68"/>
  <c r="CF28" i="68"/>
  <c r="CB29" i="68"/>
  <c r="BZ43" i="68"/>
  <c r="DH24" i="68"/>
  <c r="BX34" i="68"/>
  <c r="DH30" i="68"/>
  <c r="DH41" i="68"/>
  <c r="CF46" i="68"/>
  <c r="CE18" i="68"/>
  <c r="CF20" i="68"/>
  <c r="BX25" i="68"/>
  <c r="BX33" i="68"/>
  <c r="CH36" i="68"/>
  <c r="CA40" i="68"/>
  <c r="CF17" i="68"/>
  <c r="CF40" i="68"/>
  <c r="BW18" i="68"/>
  <c r="CA44" i="68"/>
  <c r="CF34" i="68"/>
  <c r="CF44" i="68"/>
  <c r="BZ18" i="68"/>
  <c r="CB16" i="68"/>
  <c r="BY41" i="68"/>
  <c r="CB18" i="68"/>
  <c r="CD24" i="68"/>
  <c r="BZ13" i="68"/>
  <c r="BX16" i="68"/>
  <c r="CB27" i="68"/>
  <c r="CB42" i="68"/>
  <c r="BY42" i="68"/>
  <c r="CD27" i="68"/>
  <c r="BX45" i="68"/>
  <c r="BZ38" i="68"/>
  <c r="CF39" i="68"/>
  <c r="CE24" i="68"/>
  <c r="DH38" i="68"/>
  <c r="BW28" i="68"/>
  <c r="CA45" i="68"/>
  <c r="BW39" i="68"/>
  <c r="CE45" i="68"/>
  <c r="BZ37" i="68"/>
  <c r="BX39" i="68"/>
  <c r="BX41" i="68"/>
  <c r="CE14" i="68"/>
  <c r="CA23" i="68"/>
  <c r="CB45" i="68"/>
  <c r="BZ40" i="68"/>
  <c r="CH30" i="68"/>
  <c r="CB33" i="68"/>
  <c r="CH34" i="68"/>
  <c r="CB39" i="68"/>
  <c r="CH31" i="68"/>
  <c r="CE30" i="68"/>
  <c r="BY46" i="68"/>
  <c r="CD38" i="68"/>
  <c r="BY47" i="68"/>
  <c r="CH24" i="68"/>
  <c r="CA37" i="68"/>
  <c r="BY15" i="68"/>
  <c r="CB22" i="68"/>
  <c r="BZ39" i="68"/>
  <c r="CA13" i="68"/>
  <c r="BW16" i="68"/>
  <c r="BX20" i="68"/>
  <c r="CA32" i="68"/>
  <c r="CA26" i="68"/>
  <c r="DH13" i="68"/>
  <c r="CD35" i="68"/>
  <c r="CA33" i="68"/>
  <c r="BX47" i="68"/>
  <c r="CD31" i="68"/>
  <c r="CH26" i="68"/>
  <c r="BZ27" i="68"/>
  <c r="CF33" i="68"/>
  <c r="CD28" i="68"/>
  <c r="BW25" i="68"/>
  <c r="CB35" i="68"/>
  <c r="DH23" i="68"/>
  <c r="CD30" i="68"/>
  <c r="CH40" i="68"/>
  <c r="BY40" i="68"/>
  <c r="BY45" i="68"/>
  <c r="CF26" i="68"/>
  <c r="CA36" i="68"/>
  <c r="CD39" i="68"/>
  <c r="CH46" i="68"/>
  <c r="CE34" i="68"/>
  <c r="BX30" i="68"/>
  <c r="BX44" i="68"/>
  <c r="CB17" i="68"/>
  <c r="CE39" i="68"/>
  <c r="CH20" i="68"/>
  <c r="CD22" i="68"/>
  <c r="BY30" i="68"/>
  <c r="CA15" i="68"/>
  <c r="BW17" i="68"/>
  <c r="CE17" i="68"/>
  <c r="CH37" i="68"/>
  <c r="CE27" i="68"/>
  <c r="CF21" i="68"/>
  <c r="CD45" i="68"/>
  <c r="CA31" i="68"/>
  <c r="BW24" i="68"/>
  <c r="CE16" i="68"/>
  <c r="CF47" i="68"/>
  <c r="CE40" i="68"/>
  <c r="BZ17" i="68"/>
  <c r="BY23" i="68"/>
  <c r="CA35" i="68"/>
  <c r="BX48" i="68"/>
  <c r="DH39" i="68"/>
  <c r="CB37" i="68"/>
  <c r="BX27" i="68"/>
  <c r="CB24" i="68"/>
  <c r="CH44" i="68"/>
  <c r="BW30" i="68"/>
  <c r="CA41" i="68"/>
  <c r="CH38" i="68"/>
  <c r="CB43" i="68"/>
  <c r="DH21" i="68"/>
  <c r="CF14" i="68"/>
  <c r="DH14" i="68"/>
  <c r="DH8" i="68"/>
  <c r="BZ30" i="68"/>
  <c r="CA25" i="68"/>
  <c r="CH39" i="68"/>
  <c r="CD23" i="68"/>
  <c r="BW15" i="68"/>
  <c r="BW20" i="68"/>
  <c r="CF13" i="68"/>
  <c r="BY39" i="68"/>
  <c r="CE31" i="68"/>
  <c r="CF36" i="68"/>
  <c r="BX40" i="68"/>
  <c r="BW34" i="68"/>
  <c r="CF32" i="68"/>
  <c r="CE32" i="68"/>
  <c r="DH10" i="68"/>
  <c r="BX26" i="68"/>
  <c r="CB23" i="68"/>
  <c r="BY18" i="68"/>
  <c r="CF29" i="68"/>
  <c r="CD14" i="68"/>
  <c r="BY38" i="68"/>
  <c r="BY22" i="68"/>
  <c r="BY19" i="68"/>
  <c r="CF15" i="68"/>
  <c r="CE48" i="68"/>
  <c r="CA42" i="68"/>
  <c r="CF38" i="68"/>
  <c r="BW47" i="68"/>
  <c r="BW35" i="68"/>
  <c r="CB40" i="68"/>
  <c r="CF23" i="68"/>
  <c r="CE47" i="68"/>
  <c r="DH35" i="68"/>
  <c r="CC22" i="68"/>
  <c r="CC37" i="68" l="1"/>
  <c r="CC19" i="68"/>
  <c r="CC39" i="68"/>
  <c r="CC14" i="68"/>
  <c r="DX48" i="65"/>
  <c r="AJ12" i="65"/>
  <c r="AM12" i="65" s="1"/>
  <c r="AF27" i="65"/>
  <c r="AI27" i="65" s="1"/>
  <c r="DX46" i="65"/>
  <c r="AF25" i="65"/>
  <c r="AI25" i="65" s="1"/>
  <c r="AJ16" i="65"/>
  <c r="AM16" i="65" s="1"/>
  <c r="AF31" i="65"/>
  <c r="AI31" i="65" s="1"/>
  <c r="DX49" i="65"/>
  <c r="AF28" i="65"/>
  <c r="AI28" i="65" s="1"/>
  <c r="AJ13" i="65"/>
  <c r="AM13" i="65" s="1"/>
  <c r="AJ15" i="65"/>
  <c r="AM15" i="65" s="1"/>
  <c r="AF30" i="65"/>
  <c r="AI30" i="65" s="1"/>
  <c r="AJ14" i="65"/>
  <c r="AM14" i="65" s="1"/>
  <c r="AF29" i="65"/>
  <c r="AI29" i="65" s="1"/>
  <c r="DX53" i="65"/>
  <c r="AJ17" i="65"/>
  <c r="AM17" i="65" s="1"/>
  <c r="AF32" i="65"/>
  <c r="AI32" i="65" s="1"/>
  <c r="DX41" i="65"/>
  <c r="AF20" i="65"/>
  <c r="AI20" i="65" s="1"/>
  <c r="DX54" i="65"/>
  <c r="AJ18" i="65"/>
  <c r="AM18" i="65" s="1"/>
  <c r="AF33" i="65"/>
  <c r="AI33" i="65" s="1"/>
  <c r="DX43" i="65"/>
  <c r="AF22" i="65"/>
  <c r="AI22" i="65" s="1"/>
  <c r="DX55" i="65"/>
  <c r="AF34" i="65"/>
  <c r="AJ19" i="65"/>
  <c r="AM19" i="65" s="1"/>
  <c r="DX42" i="65"/>
  <c r="AF21" i="65"/>
  <c r="AI21" i="65" s="1"/>
  <c r="DX44" i="65"/>
  <c r="AF23" i="65"/>
  <c r="AI23" i="65" s="1"/>
  <c r="DX45" i="65"/>
  <c r="AF24" i="65"/>
  <c r="AI24" i="65" s="1"/>
  <c r="D16" i="65"/>
  <c r="DX40" i="65"/>
  <c r="X20" i="65"/>
  <c r="DX52" i="65"/>
  <c r="X19" i="65"/>
  <c r="DX51" i="65"/>
  <c r="X18" i="65"/>
  <c r="DX50" i="65"/>
  <c r="D23" i="65"/>
  <c r="DX47" i="65"/>
  <c r="B40" i="67"/>
  <c r="AJ28" i="66"/>
  <c r="AM28" i="66" s="1"/>
  <c r="AF20" i="66"/>
  <c r="AI20" i="66" s="1"/>
  <c r="J17" i="66"/>
  <c r="F40" i="67" s="1"/>
  <c r="G17" i="66"/>
  <c r="C40" i="67" s="1"/>
  <c r="D17" i="66"/>
  <c r="E17" i="66" s="1"/>
  <c r="AL20" i="66" s="1"/>
  <c r="AG22" i="66"/>
  <c r="B12" i="67"/>
  <c r="AF27" i="66"/>
  <c r="AI27" i="66" s="1"/>
  <c r="AJ19" i="66"/>
  <c r="AM19" i="66" s="1"/>
  <c r="U16" i="66"/>
  <c r="F12" i="67" s="1"/>
  <c r="S16" i="66"/>
  <c r="C12" i="67" s="1"/>
  <c r="X16" i="66"/>
  <c r="W16" i="66" s="1"/>
  <c r="AL27" i="66" s="1"/>
  <c r="B22" i="67"/>
  <c r="AF30" i="66"/>
  <c r="AI30" i="66" s="1"/>
  <c r="AJ22" i="66"/>
  <c r="AM22" i="66" s="1"/>
  <c r="U19" i="66"/>
  <c r="F22" i="67" s="1"/>
  <c r="S19" i="66"/>
  <c r="C22" i="67" s="1"/>
  <c r="X19" i="66"/>
  <c r="W19" i="66" s="1"/>
  <c r="AL30" i="66" s="1"/>
  <c r="B10" i="67"/>
  <c r="AJ27" i="66"/>
  <c r="AM27" i="66" s="1"/>
  <c r="AF19" i="66"/>
  <c r="AI19" i="66" s="1"/>
  <c r="J16" i="66"/>
  <c r="F10" i="67" s="1"/>
  <c r="G16" i="66"/>
  <c r="C10" i="67" s="1"/>
  <c r="D16" i="66"/>
  <c r="E16" i="66" s="1"/>
  <c r="AL19" i="66" s="1"/>
  <c r="B36" i="67"/>
  <c r="AJ33" i="66"/>
  <c r="AM33" i="66" s="1"/>
  <c r="AF25" i="66"/>
  <c r="AI25" i="66" s="1"/>
  <c r="J22" i="66"/>
  <c r="F36" i="67" s="1"/>
  <c r="G22" i="66"/>
  <c r="C36" i="67" s="1"/>
  <c r="D22" i="66"/>
  <c r="E22" i="66" s="1"/>
  <c r="AL25" i="66" s="1"/>
  <c r="B25" i="67"/>
  <c r="H24" i="67"/>
  <c r="X21" i="65"/>
  <c r="B26" i="67"/>
  <c r="AJ29" i="66"/>
  <c r="AM29" i="66" s="1"/>
  <c r="AF21" i="66"/>
  <c r="AI21" i="66" s="1"/>
  <c r="J18" i="66"/>
  <c r="F26" i="67" s="1"/>
  <c r="G18" i="66"/>
  <c r="C26" i="67" s="1"/>
  <c r="D18" i="66"/>
  <c r="E18" i="66" s="1"/>
  <c r="AL21" i="66" s="1"/>
  <c r="B14" i="67"/>
  <c r="AJ34" i="66"/>
  <c r="AM34" i="66" s="1"/>
  <c r="AF26" i="66"/>
  <c r="AI26" i="66" s="1"/>
  <c r="J23" i="66"/>
  <c r="F14" i="67" s="1"/>
  <c r="G23" i="66"/>
  <c r="C14" i="67" s="1"/>
  <c r="D23" i="66"/>
  <c r="E23" i="66" s="1"/>
  <c r="AL26" i="66" s="1"/>
  <c r="B30" i="67"/>
  <c r="AJ24" i="66"/>
  <c r="AM24" i="66" s="1"/>
  <c r="AF32" i="66"/>
  <c r="AI32" i="66" s="1"/>
  <c r="U21" i="66"/>
  <c r="F30" i="67" s="1"/>
  <c r="S21" i="66"/>
  <c r="C30" i="67" s="1"/>
  <c r="X21" i="66"/>
  <c r="W21" i="66" s="1"/>
  <c r="AL32" i="66" s="1"/>
  <c r="B38" i="67"/>
  <c r="AF28" i="66"/>
  <c r="AI28" i="66" s="1"/>
  <c r="AJ20" i="66"/>
  <c r="AM20" i="66" s="1"/>
  <c r="U17" i="66"/>
  <c r="F38" i="67" s="1"/>
  <c r="S17" i="66"/>
  <c r="C38" i="67" s="1"/>
  <c r="X17" i="66"/>
  <c r="W17" i="66" s="1"/>
  <c r="AL28" i="66" s="1"/>
  <c r="X22" i="65"/>
  <c r="B34" i="67"/>
  <c r="AF33" i="66"/>
  <c r="AI33" i="66" s="1"/>
  <c r="AJ25" i="66"/>
  <c r="AM25" i="66" s="1"/>
  <c r="U22" i="66"/>
  <c r="F34" i="67" s="1"/>
  <c r="S22" i="66"/>
  <c r="C34" i="67" s="1"/>
  <c r="X22" i="66"/>
  <c r="W22" i="66" s="1"/>
  <c r="AL33" i="66" s="1"/>
  <c r="B20" i="67"/>
  <c r="AJ23" i="66"/>
  <c r="AM23" i="66" s="1"/>
  <c r="AF31" i="66"/>
  <c r="AI31" i="66" s="1"/>
  <c r="U20" i="66"/>
  <c r="F20" i="67" s="1"/>
  <c r="S20" i="66"/>
  <c r="C20" i="67" s="1"/>
  <c r="X20" i="66"/>
  <c r="W20" i="66" s="1"/>
  <c r="AL31" i="66" s="1"/>
  <c r="B28" i="67"/>
  <c r="AF29" i="66"/>
  <c r="AI29" i="66" s="1"/>
  <c r="AJ21" i="66"/>
  <c r="AM21" i="66" s="1"/>
  <c r="U18" i="66"/>
  <c r="F28" i="67" s="1"/>
  <c r="S18" i="66"/>
  <c r="C28" i="67" s="1"/>
  <c r="X18" i="66"/>
  <c r="W18" i="66" s="1"/>
  <c r="AL29" i="66" s="1"/>
  <c r="B32" i="67"/>
  <c r="AJ32" i="66"/>
  <c r="AM32" i="66" s="1"/>
  <c r="AF24" i="66"/>
  <c r="AI24" i="66" s="1"/>
  <c r="J21" i="66"/>
  <c r="F32" i="67" s="1"/>
  <c r="G21" i="66"/>
  <c r="C32" i="67" s="1"/>
  <c r="D21" i="66"/>
  <c r="E21" i="66" s="1"/>
  <c r="AL24" i="66" s="1"/>
  <c r="B18" i="67"/>
  <c r="AJ31" i="66"/>
  <c r="AM31" i="66" s="1"/>
  <c r="AF23" i="66"/>
  <c r="AI23" i="66" s="1"/>
  <c r="J20" i="66"/>
  <c r="F18" i="67" s="1"/>
  <c r="G20" i="66"/>
  <c r="C18" i="67" s="1"/>
  <c r="D20" i="66"/>
  <c r="E20" i="66" s="1"/>
  <c r="AL23" i="66" s="1"/>
  <c r="B16" i="67"/>
  <c r="AF34" i="66"/>
  <c r="AI34" i="66" s="1"/>
  <c r="AJ26" i="66"/>
  <c r="AM26" i="66" s="1"/>
  <c r="U23" i="66"/>
  <c r="F16" i="67" s="1"/>
  <c r="S23" i="66"/>
  <c r="C16" i="67" s="1"/>
  <c r="X23" i="66"/>
  <c r="W23" i="66" s="1"/>
  <c r="AL34" i="66" s="1"/>
  <c r="X17" i="65"/>
  <c r="D17" i="65"/>
  <c r="D19" i="65"/>
  <c r="AG22" i="65" s="1"/>
  <c r="X23" i="65"/>
  <c r="D18" i="65"/>
  <c r="AG21" i="65" s="1"/>
  <c r="D20" i="65"/>
  <c r="D21" i="65"/>
  <c r="AG24" i="65" s="1"/>
  <c r="X16" i="65"/>
  <c r="D22" i="65"/>
  <c r="AG25" i="65" s="1"/>
  <c r="B20" i="61"/>
  <c r="U20" i="65"/>
  <c r="F20" i="61" s="1"/>
  <c r="S20" i="65"/>
  <c r="C20" i="61" s="1"/>
  <c r="B22" i="61"/>
  <c r="S19" i="65"/>
  <c r="C22" i="61" s="1"/>
  <c r="U19" i="65"/>
  <c r="F22" i="61" s="1"/>
  <c r="B28" i="61"/>
  <c r="U18" i="65"/>
  <c r="F28" i="61" s="1"/>
  <c r="S18" i="65"/>
  <c r="C28" i="61" s="1"/>
  <c r="B30" i="61"/>
  <c r="U21" i="65"/>
  <c r="F30" i="61" s="1"/>
  <c r="S21" i="65"/>
  <c r="C30" i="61" s="1"/>
  <c r="B40" i="61"/>
  <c r="G17" i="65"/>
  <c r="C40" i="61" s="1"/>
  <c r="J17" i="65"/>
  <c r="F40" i="61" s="1"/>
  <c r="AC17" i="65" a="1"/>
  <c r="AC17" i="65" s="1"/>
  <c r="B34" i="61"/>
  <c r="U22" i="65"/>
  <c r="F34" i="61" s="1"/>
  <c r="S22" i="65"/>
  <c r="C34" i="61" s="1"/>
  <c r="B24" i="61"/>
  <c r="J19" i="65"/>
  <c r="F24" i="61" s="1"/>
  <c r="G19" i="65"/>
  <c r="C24" i="61" s="1"/>
  <c r="AC19" i="65" a="1"/>
  <c r="AC19" i="65" s="1"/>
  <c r="B38" i="61"/>
  <c r="U17" i="65"/>
  <c r="F38" i="61" s="1"/>
  <c r="S17" i="65"/>
  <c r="C38" i="61" s="1"/>
  <c r="B14" i="61"/>
  <c r="J23" i="65"/>
  <c r="F14" i="61" s="1"/>
  <c r="AC23" i="65" a="1"/>
  <c r="AC23" i="65" s="1"/>
  <c r="G23" i="65"/>
  <c r="C14" i="61" s="1"/>
  <c r="B16" i="61"/>
  <c r="U23" i="65"/>
  <c r="F16" i="61" s="1"/>
  <c r="S23" i="65"/>
  <c r="C16" i="61" s="1"/>
  <c r="B26" i="61"/>
  <c r="G18" i="65"/>
  <c r="C26" i="61" s="1"/>
  <c r="J18" i="65"/>
  <c r="F26" i="61" s="1"/>
  <c r="AC18" i="65" a="1"/>
  <c r="AC18" i="65" s="1"/>
  <c r="B18" i="61"/>
  <c r="J20" i="65"/>
  <c r="F18" i="61" s="1"/>
  <c r="G20" i="65"/>
  <c r="C18" i="61" s="1"/>
  <c r="AC20" i="65" a="1"/>
  <c r="AC20" i="65" s="1"/>
  <c r="B10" i="61"/>
  <c r="J16" i="65"/>
  <c r="F10" i="61" s="1"/>
  <c r="G16" i="65"/>
  <c r="C10" i="61" s="1"/>
  <c r="AC16" i="65" a="1"/>
  <c r="AC16" i="65" s="1"/>
  <c r="B32" i="61"/>
  <c r="J21" i="65"/>
  <c r="F32" i="61" s="1"/>
  <c r="G21" i="65"/>
  <c r="C32" i="61" s="1"/>
  <c r="AC21" i="65" a="1"/>
  <c r="AC21" i="65" s="1"/>
  <c r="B12" i="61"/>
  <c r="S16" i="65"/>
  <c r="C12" i="61" s="1"/>
  <c r="U16" i="65"/>
  <c r="F12" i="61" s="1"/>
  <c r="B36" i="61"/>
  <c r="J22" i="65"/>
  <c r="F36" i="61" s="1"/>
  <c r="G22" i="65"/>
  <c r="C36" i="61" s="1"/>
  <c r="AC22" i="65" a="1"/>
  <c r="AC22" i="65" s="1"/>
  <c r="CG31" i="68"/>
  <c r="CC31" i="68"/>
  <c r="CC24" i="68"/>
  <c r="CC29" i="68"/>
  <c r="CG24" i="68"/>
  <c r="CG36" i="68"/>
  <c r="CG35" i="68"/>
  <c r="CG26" i="68"/>
  <c r="CC38" i="68"/>
  <c r="CG42" i="68"/>
  <c r="CG16" i="68"/>
  <c r="CG27" i="68"/>
  <c r="CG37" i="68"/>
  <c r="DQ7" i="65"/>
  <c r="CG48" i="68"/>
  <c r="CG22" i="68"/>
  <c r="CC18" i="68"/>
  <c r="CG43" i="68"/>
  <c r="CG32" i="68"/>
  <c r="CC45" i="68"/>
  <c r="CC46" i="68"/>
  <c r="CC35" i="68"/>
  <c r="CC43" i="68"/>
  <c r="CC13" i="68"/>
  <c r="CC32" i="68"/>
  <c r="CG38" i="68"/>
  <c r="CC15" i="68"/>
  <c r="CG21" i="68"/>
  <c r="CC28" i="68"/>
  <c r="CG17" i="68"/>
  <c r="CG20" i="68"/>
  <c r="CG41" i="68"/>
  <c r="CG33" i="68"/>
  <c r="CC36" i="68"/>
  <c r="CG23" i="68"/>
  <c r="CG34" i="68"/>
  <c r="CG45" i="68"/>
  <c r="CG25" i="68"/>
  <c r="DP7" i="65"/>
  <c r="CG14" i="68"/>
  <c r="CC42" i="68"/>
  <c r="CG19" i="68"/>
  <c r="CC20" i="68"/>
  <c r="CG28" i="68"/>
  <c r="CG40" i="68"/>
  <c r="CC21" i="68"/>
  <c r="CC47" i="68"/>
  <c r="CG44" i="68"/>
  <c r="CC16" i="68"/>
  <c r="CC48" i="68"/>
  <c r="CC17" i="68"/>
  <c r="CG46" i="68"/>
  <c r="CC33" i="68"/>
  <c r="CG15" i="68"/>
  <c r="CG30" i="68"/>
  <c r="CG29" i="68"/>
  <c r="CC23" i="68"/>
  <c r="CC41" i="68"/>
  <c r="CG47" i="68"/>
  <c r="CG39" i="68"/>
  <c r="CC30" i="68"/>
  <c r="CC34" i="68"/>
  <c r="CG13" i="68"/>
  <c r="CC44" i="68"/>
  <c r="CG18" i="68"/>
  <c r="CC27" i="68"/>
  <c r="CC40" i="68"/>
  <c r="CC26" i="68"/>
  <c r="CC25" i="68"/>
  <c r="W21" i="65" l="1"/>
  <c r="AL32" i="65" s="1"/>
  <c r="AG32" i="65"/>
  <c r="W16" i="65"/>
  <c r="AL27" i="65" s="1"/>
  <c r="AG27" i="65"/>
  <c r="W19" i="65"/>
  <c r="AL30" i="65" s="1"/>
  <c r="AG30" i="65"/>
  <c r="W18" i="65"/>
  <c r="AL29" i="65" s="1"/>
  <c r="AG29" i="65"/>
  <c r="E20" i="65"/>
  <c r="AL23" i="65" s="1"/>
  <c r="AG23" i="65"/>
  <c r="W20" i="65"/>
  <c r="AL31" i="65" s="1"/>
  <c r="AG31" i="65"/>
  <c r="W23" i="65"/>
  <c r="AL34" i="65" s="1"/>
  <c r="AG34" i="65"/>
  <c r="E16" i="65"/>
  <c r="AL19" i="65" s="1"/>
  <c r="AG19" i="65"/>
  <c r="E17" i="65"/>
  <c r="AL20" i="65" s="1"/>
  <c r="AG20" i="65"/>
  <c r="W17" i="65"/>
  <c r="AL28" i="65" s="1"/>
  <c r="AG28" i="65"/>
  <c r="W22" i="65"/>
  <c r="AL33" i="65" s="1"/>
  <c r="AG33" i="65"/>
  <c r="E23" i="65"/>
  <c r="AL26" i="65" s="1"/>
  <c r="AG26" i="65"/>
  <c r="F15" i="65"/>
  <c r="E19" i="65"/>
  <c r="AL22" i="65" s="1"/>
  <c r="V13" i="65"/>
  <c r="E22" i="65"/>
  <c r="AL25" i="65" s="1"/>
  <c r="V14" i="65"/>
  <c r="E21" i="65"/>
  <c r="AL24" i="65" s="1"/>
  <c r="F14" i="65"/>
  <c r="AF13" i="65" s="1"/>
  <c r="AI13" i="65" s="1"/>
  <c r="E18" i="65"/>
  <c r="AL21" i="65" s="1"/>
  <c r="AG28" i="66"/>
  <c r="AG26" i="66"/>
  <c r="V12" i="66"/>
  <c r="H10" i="67"/>
  <c r="B11" i="67"/>
  <c r="B13" i="67"/>
  <c r="H12" i="67"/>
  <c r="AG25" i="66"/>
  <c r="V13" i="66"/>
  <c r="AG30" i="66"/>
  <c r="F15" i="66"/>
  <c r="B17" i="67"/>
  <c r="H16" i="67"/>
  <c r="H32" i="67"/>
  <c r="B33" i="67"/>
  <c r="H20" i="67"/>
  <c r="B21" i="67"/>
  <c r="AG23" i="66"/>
  <c r="V15" i="66"/>
  <c r="AG29" i="66"/>
  <c r="AG33" i="66"/>
  <c r="B39" i="67"/>
  <c r="H38" i="67"/>
  <c r="B15" i="67"/>
  <c r="H14" i="67"/>
  <c r="AG32" i="66"/>
  <c r="AG21" i="66"/>
  <c r="F14" i="66"/>
  <c r="AG20" i="66"/>
  <c r="F13" i="66"/>
  <c r="H36" i="67"/>
  <c r="B37" i="67"/>
  <c r="B23" i="67"/>
  <c r="H22" i="67"/>
  <c r="AG19" i="66"/>
  <c r="F12" i="66"/>
  <c r="AG27" i="66"/>
  <c r="B19" i="67"/>
  <c r="H18" i="67"/>
  <c r="H28" i="67"/>
  <c r="B29" i="67"/>
  <c r="B35" i="67"/>
  <c r="H34" i="67"/>
  <c r="AG34" i="66"/>
  <c r="AG24" i="66"/>
  <c r="V14" i="66"/>
  <c r="AG31" i="66"/>
  <c r="H30" i="67"/>
  <c r="B31" i="67"/>
  <c r="H26" i="67"/>
  <c r="B27" i="67"/>
  <c r="H40" i="67"/>
  <c r="B41" i="67"/>
  <c r="F13" i="65"/>
  <c r="F12" i="65"/>
  <c r="AF11" i="65" s="1"/>
  <c r="AI11" i="65" s="1"/>
  <c r="H36" i="61"/>
  <c r="B37" i="61"/>
  <c r="B13" i="61"/>
  <c r="H12" i="61"/>
  <c r="H24" i="61"/>
  <c r="B25" i="61"/>
  <c r="B11" i="61"/>
  <c r="H10" i="61"/>
  <c r="H16" i="61"/>
  <c r="B17" i="61"/>
  <c r="V15" i="65"/>
  <c r="B29" i="61"/>
  <c r="H28" i="61"/>
  <c r="B19" i="61"/>
  <c r="H18" i="61"/>
  <c r="V12" i="65"/>
  <c r="B35" i="61"/>
  <c r="H34" i="61"/>
  <c r="X14" i="65"/>
  <c r="H14" i="61"/>
  <c r="B15" i="61"/>
  <c r="H32" i="61"/>
  <c r="B33" i="61"/>
  <c r="H22" i="61"/>
  <c r="B23" i="61"/>
  <c r="H30" i="61"/>
  <c r="B31" i="61"/>
  <c r="H26" i="61"/>
  <c r="B27" i="61"/>
  <c r="B39" i="61"/>
  <c r="H38" i="61"/>
  <c r="X13" i="65"/>
  <c r="D14" i="65"/>
  <c r="H40" i="61"/>
  <c r="B41" i="61"/>
  <c r="B21" i="61"/>
  <c r="H20" i="61"/>
  <c r="V11" i="65" l="1"/>
  <c r="W13" i="65"/>
  <c r="AL16" i="65" s="1"/>
  <c r="AG16" i="65"/>
  <c r="X12" i="65"/>
  <c r="DY39" i="65" s="1"/>
  <c r="AF15" i="65"/>
  <c r="AI15" i="65" s="1"/>
  <c r="AJ8" i="65"/>
  <c r="AM8" i="65" s="1"/>
  <c r="AF17" i="65"/>
  <c r="AI17" i="65" s="1"/>
  <c r="AJ10" i="65"/>
  <c r="AM10" i="65" s="1"/>
  <c r="W14" i="65"/>
  <c r="AL17" i="65" s="1"/>
  <c r="AG17" i="65"/>
  <c r="AF16" i="65"/>
  <c r="AI16" i="65" s="1"/>
  <c r="AJ9" i="65"/>
  <c r="AM9" i="65" s="1"/>
  <c r="X15" i="65"/>
  <c r="DY33" i="65" s="1"/>
  <c r="AF18" i="65"/>
  <c r="AI18" i="65" s="1"/>
  <c r="AJ11" i="65"/>
  <c r="AM11" i="65" s="1"/>
  <c r="D13" i="65"/>
  <c r="F11" i="65" s="1"/>
  <c r="AF12" i="65"/>
  <c r="AI12" i="65" s="1"/>
  <c r="DX32" i="65"/>
  <c r="AF14" i="65"/>
  <c r="AI14" i="65" s="1"/>
  <c r="E14" i="65"/>
  <c r="AL13" i="65" s="1"/>
  <c r="AG13" i="65"/>
  <c r="X14" i="66"/>
  <c r="W14" i="66" s="1"/>
  <c r="AL17" i="66" s="1"/>
  <c r="J31" i="67"/>
  <c r="AF17" i="66"/>
  <c r="AI17" i="66" s="1"/>
  <c r="AJ13" i="66"/>
  <c r="AM13" i="66" s="1"/>
  <c r="U14" i="66"/>
  <c r="N31" i="67" s="1"/>
  <c r="DC29" i="66"/>
  <c r="DG29" i="66" s="1" a="1"/>
  <c r="DG29" i="66" s="1"/>
  <c r="DH29" i="66" s="1"/>
  <c r="S14" i="66"/>
  <c r="K31" i="67" s="1"/>
  <c r="X15" i="66"/>
  <c r="W15" i="66" s="1"/>
  <c r="AL18" i="66" s="1"/>
  <c r="J19" i="67"/>
  <c r="AF18" i="66"/>
  <c r="AI18" i="66" s="1"/>
  <c r="AJ14" i="66"/>
  <c r="AM14" i="66" s="1"/>
  <c r="U15" i="66"/>
  <c r="N19" i="67" s="1"/>
  <c r="DC30" i="66"/>
  <c r="DG30" i="66" s="1" a="1"/>
  <c r="DG30" i="66" s="1"/>
  <c r="DH30" i="66" s="1"/>
  <c r="S15" i="66"/>
  <c r="K19" i="67" s="1"/>
  <c r="AF16" i="66"/>
  <c r="AI16" i="66" s="1"/>
  <c r="X13" i="66"/>
  <c r="W13" i="66" s="1"/>
  <c r="AL16" i="66" s="1"/>
  <c r="AJ12" i="66"/>
  <c r="AM12" i="66" s="1"/>
  <c r="J35" i="67"/>
  <c r="U13" i="66"/>
  <c r="N35" i="67" s="1"/>
  <c r="DC28" i="66"/>
  <c r="DG28" i="66" s="1" a="1"/>
  <c r="DG28" i="66" s="1"/>
  <c r="DH28" i="66" s="1"/>
  <c r="S13" i="66"/>
  <c r="K35" i="67" s="1"/>
  <c r="AJ15" i="66"/>
  <c r="AM15" i="66" s="1"/>
  <c r="J11" i="67"/>
  <c r="AF11" i="66"/>
  <c r="AI11" i="66" s="1"/>
  <c r="D12" i="66"/>
  <c r="E12" i="66" s="1"/>
  <c r="AL11" i="66" s="1"/>
  <c r="G12" i="66"/>
  <c r="K11" i="67" s="1"/>
  <c r="J12" i="66"/>
  <c r="N11" i="67" s="1"/>
  <c r="AJ11" i="66"/>
  <c r="AM11" i="66" s="1"/>
  <c r="J15" i="67"/>
  <c r="AF15" i="66"/>
  <c r="AI15" i="66" s="1"/>
  <c r="X12" i="66"/>
  <c r="W12" i="66" s="1"/>
  <c r="AL15" i="66" s="1"/>
  <c r="U12" i="66"/>
  <c r="N15" i="67" s="1"/>
  <c r="S12" i="66"/>
  <c r="K15" i="67" s="1"/>
  <c r="DC27" i="66"/>
  <c r="DG27" i="66" s="1" a="1"/>
  <c r="DG27" i="66" s="1"/>
  <c r="DH27" i="66" s="1"/>
  <c r="AF12" i="66"/>
  <c r="AI12" i="66" s="1"/>
  <c r="AJ16" i="66"/>
  <c r="AM16" i="66" s="1"/>
  <c r="D13" i="66"/>
  <c r="E13" i="66" s="1"/>
  <c r="AL12" i="66" s="1"/>
  <c r="J39" i="67"/>
  <c r="G13" i="66"/>
  <c r="K39" i="67" s="1"/>
  <c r="J13" i="66"/>
  <c r="N39" i="67" s="1"/>
  <c r="AF14" i="66"/>
  <c r="AI14" i="66" s="1"/>
  <c r="AJ18" i="66"/>
  <c r="AM18" i="66" s="1"/>
  <c r="D15" i="66"/>
  <c r="E15" i="66" s="1"/>
  <c r="AL14" i="66" s="1"/>
  <c r="J23" i="67"/>
  <c r="G15" i="66"/>
  <c r="K23" i="67" s="1"/>
  <c r="J15" i="66"/>
  <c r="N23" i="67" s="1"/>
  <c r="D15" i="65"/>
  <c r="AF13" i="66"/>
  <c r="AI13" i="66" s="1"/>
  <c r="D14" i="66"/>
  <c r="E14" i="66" s="1"/>
  <c r="AL13" i="66" s="1"/>
  <c r="AJ17" i="66"/>
  <c r="AM17" i="66" s="1"/>
  <c r="J27" i="67"/>
  <c r="G14" i="66"/>
  <c r="K27" i="67" s="1"/>
  <c r="J14" i="66"/>
  <c r="N27" i="67" s="1"/>
  <c r="D12" i="65"/>
  <c r="DY35" i="65"/>
  <c r="DY37" i="65"/>
  <c r="J31" i="61"/>
  <c r="DX35" i="65"/>
  <c r="EB35" i="65" s="1" a="1"/>
  <c r="EB35" i="65" s="1"/>
  <c r="EC35" i="65" s="1"/>
  <c r="ED34" i="65" s="1"/>
  <c r="U14" i="65"/>
  <c r="N31" i="61" s="1"/>
  <c r="S14" i="65"/>
  <c r="K31" i="61" s="1"/>
  <c r="J15" i="61"/>
  <c r="S12" i="65"/>
  <c r="K15" i="61" s="1"/>
  <c r="DX39" i="65"/>
  <c r="EB39" i="65" s="1" a="1"/>
  <c r="EB39" i="65" s="1"/>
  <c r="EC39" i="65" s="1"/>
  <c r="ED38" i="65" s="1"/>
  <c r="U12" i="65"/>
  <c r="N15" i="61" s="1"/>
  <c r="J14" i="65"/>
  <c r="N27" i="61" s="1"/>
  <c r="DX34" i="65"/>
  <c r="EB34" i="65" s="1" a="1"/>
  <c r="EB34" i="65" s="1"/>
  <c r="EC34" i="65" s="1"/>
  <c r="ED35" i="65" s="1"/>
  <c r="G14" i="65"/>
  <c r="K27" i="61" s="1"/>
  <c r="J27" i="61"/>
  <c r="AC14" i="65" a="1"/>
  <c r="AC14" i="65" s="1"/>
  <c r="J35" i="61"/>
  <c r="S13" i="65"/>
  <c r="K35" i="61" s="1"/>
  <c r="U13" i="65"/>
  <c r="N35" i="61" s="1"/>
  <c r="DX37" i="65"/>
  <c r="EB37" i="65" s="1" a="1"/>
  <c r="EB37" i="65" s="1"/>
  <c r="EC37" i="65" s="1"/>
  <c r="ED36" i="65" s="1"/>
  <c r="G13" i="65"/>
  <c r="K39" i="61" s="1"/>
  <c r="DX36" i="65"/>
  <c r="EB36" i="65" s="1" a="1"/>
  <c r="EB36" i="65" s="1"/>
  <c r="EC36" i="65" s="1"/>
  <c r="ED37" i="65" s="1"/>
  <c r="J13" i="65"/>
  <c r="N39" i="61" s="1"/>
  <c r="J39" i="61"/>
  <c r="AC13" i="65" a="1"/>
  <c r="AC13" i="65" s="1"/>
  <c r="J23" i="61"/>
  <c r="AC15" i="65" a="1"/>
  <c r="AC15" i="65" s="1"/>
  <c r="J15" i="65"/>
  <c r="N23" i="61" s="1"/>
  <c r="G15" i="65"/>
  <c r="K23" i="61" s="1"/>
  <c r="J11" i="61"/>
  <c r="DX38" i="65"/>
  <c r="EB38" i="65" s="1" a="1"/>
  <c r="EB38" i="65" s="1"/>
  <c r="EC38" i="65" s="1"/>
  <c r="ED39" i="65" s="1"/>
  <c r="AC12" i="65" a="1"/>
  <c r="AC12" i="65" s="1"/>
  <c r="J12" i="65"/>
  <c r="N11" i="61" s="1"/>
  <c r="G12" i="65"/>
  <c r="K11" i="61" s="1"/>
  <c r="J19" i="61"/>
  <c r="S15" i="65"/>
  <c r="K19" i="61" s="1"/>
  <c r="U15" i="65"/>
  <c r="N19" i="61" s="1"/>
  <c r="DX33" i="65"/>
  <c r="EB33" i="65" s="1" a="1"/>
  <c r="EB33" i="65" s="1"/>
  <c r="EC33" i="65" s="1"/>
  <c r="ED32" i="65" s="1"/>
  <c r="AG14" i="65" l="1"/>
  <c r="V10" i="65"/>
  <c r="AG11" i="65"/>
  <c r="F10" i="65"/>
  <c r="J10" i="65" s="1"/>
  <c r="V13" i="61" s="1"/>
  <c r="W15" i="65"/>
  <c r="AL18" i="65" s="1"/>
  <c r="AG18" i="65"/>
  <c r="D11" i="65"/>
  <c r="AF8" i="65"/>
  <c r="AI8" i="65" s="1"/>
  <c r="E13" i="65"/>
  <c r="AL12" i="65" s="1"/>
  <c r="AG12" i="65"/>
  <c r="W12" i="65"/>
  <c r="AL15" i="65" s="1"/>
  <c r="AG15" i="65"/>
  <c r="AF10" i="65"/>
  <c r="AI10" i="65" s="1"/>
  <c r="AJ7" i="65"/>
  <c r="AM7" i="65" s="1"/>
  <c r="E15" i="65"/>
  <c r="AL14" i="65" s="1"/>
  <c r="E12" i="65"/>
  <c r="AL11" i="65" s="1"/>
  <c r="P11" i="67"/>
  <c r="J12" i="67"/>
  <c r="J24" i="67"/>
  <c r="P23" i="67"/>
  <c r="P19" i="67"/>
  <c r="J20" i="67"/>
  <c r="DD26" i="66"/>
  <c r="V10" i="66"/>
  <c r="AG14" i="66"/>
  <c r="DD30" i="66"/>
  <c r="AG18" i="66"/>
  <c r="AG15" i="66"/>
  <c r="DD27" i="66"/>
  <c r="J36" i="67"/>
  <c r="P35" i="67"/>
  <c r="J16" i="67"/>
  <c r="P15" i="67"/>
  <c r="J28" i="67"/>
  <c r="P27" i="67"/>
  <c r="AG16" i="66"/>
  <c r="DD28" i="66"/>
  <c r="DD25" i="66"/>
  <c r="V11" i="66"/>
  <c r="AG13" i="66"/>
  <c r="J40" i="67"/>
  <c r="P39" i="67"/>
  <c r="J32" i="67"/>
  <c r="P31" i="67"/>
  <c r="DD24" i="66"/>
  <c r="AG12" i="66"/>
  <c r="F11" i="66"/>
  <c r="AG11" i="66"/>
  <c r="F10" i="66"/>
  <c r="DD23" i="66"/>
  <c r="DD29" i="66"/>
  <c r="AG17" i="66"/>
  <c r="X11" i="65"/>
  <c r="P11" i="61"/>
  <c r="J12" i="61"/>
  <c r="P39" i="61"/>
  <c r="J40" i="61"/>
  <c r="EB32" i="65" a="1"/>
  <c r="EB32" i="65" s="1"/>
  <c r="EC32" i="65" s="1"/>
  <c r="ED33" i="65" s="1"/>
  <c r="DY32" i="65"/>
  <c r="J16" i="61"/>
  <c r="P15" i="61"/>
  <c r="DY38" i="65"/>
  <c r="J20" i="61"/>
  <c r="P19" i="61"/>
  <c r="R37" i="61"/>
  <c r="J11" i="65"/>
  <c r="V37" i="61" s="1"/>
  <c r="G11" i="65"/>
  <c r="S37" i="61" s="1"/>
  <c r="AC10" i="65" a="1"/>
  <c r="AC10" i="65" s="1"/>
  <c r="R13" i="61"/>
  <c r="G10" i="65"/>
  <c r="S13" i="61" s="1"/>
  <c r="J24" i="61"/>
  <c r="P23" i="61"/>
  <c r="J36" i="61"/>
  <c r="P35" i="61"/>
  <c r="DY34" i="65"/>
  <c r="DY36" i="65"/>
  <c r="P27" i="61"/>
  <c r="J28" i="61"/>
  <c r="R29" i="61"/>
  <c r="S11" i="65"/>
  <c r="S29" i="61" s="1"/>
  <c r="U11" i="65"/>
  <c r="V29" i="61" s="1"/>
  <c r="J32" i="61"/>
  <c r="P31" i="61"/>
  <c r="AC11" i="65" l="1" a="1"/>
  <c r="AC11" i="65" s="1"/>
  <c r="AF7" i="65"/>
  <c r="AI7" i="65" s="1"/>
  <c r="R21" i="61"/>
  <c r="R22" i="61" s="1"/>
  <c r="AF9" i="65"/>
  <c r="AI9" i="65" s="1"/>
  <c r="AJ6" i="65"/>
  <c r="AM6" i="65" s="1"/>
  <c r="W11" i="65"/>
  <c r="AL10" i="65" s="1"/>
  <c r="AG10" i="65"/>
  <c r="E11" i="65"/>
  <c r="AL8" i="65" s="1"/>
  <c r="AG8" i="65"/>
  <c r="D10" i="65"/>
  <c r="S10" i="65"/>
  <c r="S21" i="61" s="1"/>
  <c r="X10" i="65"/>
  <c r="U10" i="65"/>
  <c r="V21" i="61" s="1"/>
  <c r="AJ7" i="66"/>
  <c r="AM7" i="66" s="1"/>
  <c r="X10" i="66"/>
  <c r="W10" i="66" s="1"/>
  <c r="AL9" i="66" s="1"/>
  <c r="R21" i="67"/>
  <c r="AF9" i="66"/>
  <c r="AI9" i="66" s="1"/>
  <c r="S10" i="66"/>
  <c r="S21" i="67" s="1"/>
  <c r="DC25" i="66"/>
  <c r="DG25" i="66" s="1" a="1"/>
  <c r="DG25" i="66" s="1"/>
  <c r="DH25" i="66" s="1"/>
  <c r="U10" i="66"/>
  <c r="V21" i="67" s="1"/>
  <c r="AF10" i="66"/>
  <c r="AI10" i="66" s="1"/>
  <c r="AJ8" i="66"/>
  <c r="AM8" i="66" s="1"/>
  <c r="X11" i="66"/>
  <c r="W11" i="66" s="1"/>
  <c r="AL10" i="66" s="1"/>
  <c r="R29" i="67"/>
  <c r="DC26" i="66"/>
  <c r="DG26" i="66" s="1" a="1"/>
  <c r="DG26" i="66" s="1"/>
  <c r="DH26" i="66" s="1"/>
  <c r="S11" i="66"/>
  <c r="S29" i="67" s="1"/>
  <c r="U11" i="66"/>
  <c r="V29" i="67" s="1"/>
  <c r="AJ9" i="66"/>
  <c r="AM9" i="66" s="1"/>
  <c r="D10" i="66"/>
  <c r="E10" i="66" s="1"/>
  <c r="AL7" i="66" s="1"/>
  <c r="R13" i="67"/>
  <c r="AF7" i="66"/>
  <c r="G10" i="66"/>
  <c r="S13" i="67" s="1"/>
  <c r="DC23" i="66"/>
  <c r="J10" i="66"/>
  <c r="V13" i="67" s="1"/>
  <c r="AJ10" i="66"/>
  <c r="AM10" i="66" s="1"/>
  <c r="R37" i="67"/>
  <c r="AF8" i="66"/>
  <c r="AI8" i="66" s="1"/>
  <c r="D11" i="66"/>
  <c r="E11" i="66" s="1"/>
  <c r="AL8" i="66" s="1"/>
  <c r="J11" i="66"/>
  <c r="V37" i="67" s="1"/>
  <c r="G11" i="66"/>
  <c r="S37" i="67" s="1"/>
  <c r="DC24" i="66"/>
  <c r="DG24" i="66" s="1" a="1"/>
  <c r="DG24" i="66" s="1"/>
  <c r="DH24" i="66" s="1"/>
  <c r="DX7" i="65" a="1"/>
  <c r="V33" i="65" s="1"/>
  <c r="AJ29" i="65" s="1"/>
  <c r="AM29" i="65" s="1"/>
  <c r="V9" i="65"/>
  <c r="F32" i="65"/>
  <c r="AD44" i="61" s="1"/>
  <c r="R14" i="61"/>
  <c r="X13" i="61"/>
  <c r="R30" i="61"/>
  <c r="X29" i="61"/>
  <c r="R38" i="61"/>
  <c r="X37" i="61"/>
  <c r="X21" i="61" l="1"/>
  <c r="V32" i="65"/>
  <c r="AJ28" i="65" s="1"/>
  <c r="AM28" i="65" s="1"/>
  <c r="F9" i="65"/>
  <c r="AX19" i="65" s="1"/>
  <c r="W10" i="65"/>
  <c r="AL9" i="65" s="1"/>
  <c r="AG9" i="65"/>
  <c r="E10" i="65"/>
  <c r="AL7" i="65" s="1"/>
  <c r="AG7" i="65"/>
  <c r="AX17" i="65"/>
  <c r="U9" i="65"/>
  <c r="AF33" i="61" s="1"/>
  <c r="AJ5" i="65"/>
  <c r="AM5" i="65" s="1"/>
  <c r="AF6" i="65"/>
  <c r="AI6" i="65" s="1"/>
  <c r="X32" i="65"/>
  <c r="W32" i="65" s="1"/>
  <c r="R38" i="67"/>
  <c r="X37" i="67"/>
  <c r="R30" i="67"/>
  <c r="X29" i="67"/>
  <c r="AG10" i="66"/>
  <c r="U32" i="65"/>
  <c r="AH50" i="61" s="1"/>
  <c r="DG23" i="66" a="1"/>
  <c r="DG23" i="66" s="1"/>
  <c r="DH23" i="66" s="1"/>
  <c r="DC7" i="66" s="1" a="1"/>
  <c r="DC7" i="66" s="1"/>
  <c r="AI7" i="66"/>
  <c r="X13" i="67"/>
  <c r="R14" i="67"/>
  <c r="AG7" i="66"/>
  <c r="F9" i="66"/>
  <c r="X21" i="67"/>
  <c r="R22" i="67"/>
  <c r="AG9" i="66"/>
  <c r="AG8" i="66"/>
  <c r="V9" i="66"/>
  <c r="V34" i="65"/>
  <c r="F33" i="65"/>
  <c r="P44" i="61" s="1"/>
  <c r="F34" i="65"/>
  <c r="DX7" i="65"/>
  <c r="G32" i="65"/>
  <c r="AE44" i="61" s="1"/>
  <c r="J32" i="65"/>
  <c r="AH44" i="61" s="1"/>
  <c r="D32" i="65"/>
  <c r="AB33" i="61"/>
  <c r="AB34" i="61" s="1"/>
  <c r="S9" i="65"/>
  <c r="AC33" i="61" s="1"/>
  <c r="AC32" i="65" a="1"/>
  <c r="AC32" i="65" s="1"/>
  <c r="U33" i="65"/>
  <c r="T50" i="61" s="1"/>
  <c r="AJ44" i="61"/>
  <c r="AD45" i="61"/>
  <c r="AV13" i="65" l="1"/>
  <c r="AX16" i="65"/>
  <c r="AX10" i="65"/>
  <c r="AD50" i="61"/>
  <c r="AD51" i="61" s="1"/>
  <c r="G9" i="65"/>
  <c r="AC17" i="61" s="1"/>
  <c r="AV14" i="65"/>
  <c r="AV15" i="65"/>
  <c r="AX11" i="65"/>
  <c r="AV12" i="65"/>
  <c r="AX8" i="65"/>
  <c r="AX15" i="65"/>
  <c r="AX18" i="65"/>
  <c r="AV6" i="65"/>
  <c r="AX20" i="65"/>
  <c r="S32" i="65"/>
  <c r="AE50" i="61" s="1"/>
  <c r="X9" i="65"/>
  <c r="AG6" i="65" s="1"/>
  <c r="AV19" i="65"/>
  <c r="AX14" i="65"/>
  <c r="AV18" i="65"/>
  <c r="AV7" i="65"/>
  <c r="AV9" i="65"/>
  <c r="AX9" i="65"/>
  <c r="AV10" i="65"/>
  <c r="AX7" i="65"/>
  <c r="AF5" i="65"/>
  <c r="AW9" i="65" s="1"/>
  <c r="J9" i="65"/>
  <c r="AF17" i="61" s="1"/>
  <c r="AX12" i="65"/>
  <c r="AV17" i="65"/>
  <c r="AC9" i="65" a="1"/>
  <c r="AC9" i="65" s="1"/>
  <c r="AB17" i="61"/>
  <c r="AH17" i="61" s="1"/>
  <c r="AV5" i="65"/>
  <c r="AX13" i="65"/>
  <c r="AV11" i="65"/>
  <c r="D9" i="65"/>
  <c r="E9" i="65" s="1"/>
  <c r="AL5" i="65" s="1"/>
  <c r="AX5" i="65"/>
  <c r="AV20" i="65"/>
  <c r="AX6" i="65"/>
  <c r="AV8" i="65"/>
  <c r="AV16" i="65"/>
  <c r="S34" i="65"/>
  <c r="C50" i="61" s="1"/>
  <c r="AJ30" i="65"/>
  <c r="AM30" i="65" s="1"/>
  <c r="AJ50" i="61"/>
  <c r="CQ16" i="66"/>
  <c r="CR15" i="66"/>
  <c r="CR16" i="66"/>
  <c r="CR9" i="66"/>
  <c r="CR13" i="66"/>
  <c r="CQ19" i="66"/>
  <c r="CQ12" i="66"/>
  <c r="CR21" i="66"/>
  <c r="CQ9" i="66"/>
  <c r="CR17" i="66"/>
  <c r="CQ17" i="66"/>
  <c r="CQ21" i="66"/>
  <c r="CQ8" i="66"/>
  <c r="CQ13" i="66"/>
  <c r="CR12" i="66"/>
  <c r="CR14" i="66"/>
  <c r="CQ20" i="66"/>
  <c r="CQ11" i="66"/>
  <c r="CQ10" i="66"/>
  <c r="CR18" i="66"/>
  <c r="CR10" i="66"/>
  <c r="CQ22" i="66"/>
  <c r="CR8" i="66"/>
  <c r="CQ14" i="66"/>
  <c r="CR22" i="66"/>
  <c r="CR19" i="66"/>
  <c r="CQ18" i="66"/>
  <c r="CQ15" i="66"/>
  <c r="CR11" i="66"/>
  <c r="CR20" i="66"/>
  <c r="CQ7" i="66"/>
  <c r="CR7" i="66"/>
  <c r="AV6" i="66"/>
  <c r="AV7" i="66"/>
  <c r="AV19" i="66"/>
  <c r="AV20" i="66"/>
  <c r="AV5" i="66"/>
  <c r="AV8" i="66"/>
  <c r="AV9" i="66"/>
  <c r="AV10" i="66"/>
  <c r="AV11" i="66"/>
  <c r="AV12" i="66"/>
  <c r="AV13" i="66"/>
  <c r="AV18" i="66"/>
  <c r="AV14" i="66"/>
  <c r="AV17" i="66"/>
  <c r="AV15" i="66"/>
  <c r="AV16" i="66"/>
  <c r="AX18" i="66"/>
  <c r="AX7" i="66"/>
  <c r="AX19" i="66"/>
  <c r="AX5" i="66"/>
  <c r="AX8" i="66"/>
  <c r="AX20" i="66"/>
  <c r="AX9" i="66"/>
  <c r="AX10" i="66"/>
  <c r="AX11" i="66"/>
  <c r="AX15" i="66"/>
  <c r="AX12" i="66"/>
  <c r="AX16" i="66"/>
  <c r="AX13" i="66"/>
  <c r="AX14" i="66"/>
  <c r="AX17" i="66"/>
  <c r="AX6" i="66"/>
  <c r="AF6" i="66"/>
  <c r="AI6" i="66" s="1"/>
  <c r="AJ5" i="66"/>
  <c r="AM5" i="66" s="1"/>
  <c r="AB33" i="67"/>
  <c r="S9" i="66"/>
  <c r="AC33" i="67" s="1"/>
  <c r="U9" i="66"/>
  <c r="AF33" i="67" s="1"/>
  <c r="X9" i="66"/>
  <c r="W9" i="66" s="1"/>
  <c r="AL6" i="66" s="1"/>
  <c r="B50" i="61"/>
  <c r="B51" i="61" s="1"/>
  <c r="U34" i="65"/>
  <c r="F50" i="61" s="1"/>
  <c r="AF5" i="66"/>
  <c r="AJ6" i="66"/>
  <c r="AM6" i="66" s="1"/>
  <c r="AB17" i="67"/>
  <c r="G9" i="66"/>
  <c r="AC17" i="67" s="1"/>
  <c r="J9" i="66"/>
  <c r="AF17" i="67" s="1"/>
  <c r="D9" i="66"/>
  <c r="E9" i="66" s="1"/>
  <c r="AL5" i="66" s="1"/>
  <c r="AH33" i="61"/>
  <c r="AB18" i="61"/>
  <c r="E32" i="65"/>
  <c r="P50" i="61"/>
  <c r="V50" i="61" s="1"/>
  <c r="S33" i="65"/>
  <c r="Q50" i="61" s="1"/>
  <c r="J33" i="65"/>
  <c r="T44" i="61" s="1"/>
  <c r="AC33" i="65" a="1"/>
  <c r="AC33" i="65" s="1"/>
  <c r="G33" i="65"/>
  <c r="Q44" i="61" s="1"/>
  <c r="X33" i="65"/>
  <c r="W33" i="65" s="1"/>
  <c r="X34" i="65"/>
  <c r="W34" i="65" s="1"/>
  <c r="J34" i="65"/>
  <c r="F44" i="61" s="1"/>
  <c r="AC34" i="65" a="1"/>
  <c r="AC34" i="65" s="1"/>
  <c r="B44" i="61"/>
  <c r="H44" i="61" s="1"/>
  <c r="G34" i="65"/>
  <c r="C44" i="61" s="1"/>
  <c r="D33" i="65"/>
  <c r="D34" i="65"/>
  <c r="P45" i="61"/>
  <c r="V44" i="61"/>
  <c r="DM23" i="65" l="1"/>
  <c r="DO43" i="68" s="1"/>
  <c r="DM17" i="65"/>
  <c r="DM12" i="65"/>
  <c r="DM9" i="65"/>
  <c r="DM10" i="65"/>
  <c r="DM14" i="65"/>
  <c r="DM16" i="65"/>
  <c r="DM11" i="65"/>
  <c r="DM13" i="65"/>
  <c r="DM18" i="65"/>
  <c r="DM8" i="65"/>
  <c r="DO29" i="68" s="1"/>
  <c r="DM15" i="65"/>
  <c r="DM7" i="65"/>
  <c r="DM36" i="65"/>
  <c r="DM20" i="65"/>
  <c r="DM35" i="65"/>
  <c r="DM42" i="65"/>
  <c r="DO34" i="68" s="1"/>
  <c r="DM22" i="65"/>
  <c r="DM34" i="65"/>
  <c r="DO41" i="68" s="1"/>
  <c r="DM28" i="65"/>
  <c r="DM41" i="65"/>
  <c r="DM32" i="65"/>
  <c r="DM31" i="65"/>
  <c r="DO27" i="68" s="1"/>
  <c r="AG5" i="65"/>
  <c r="AQ5" i="65" s="1"/>
  <c r="W9" i="65"/>
  <c r="AL6" i="65" s="1"/>
  <c r="AU20" i="65"/>
  <c r="AU16" i="65"/>
  <c r="AR15" i="65"/>
  <c r="AW11" i="65"/>
  <c r="AU6" i="65"/>
  <c r="AP12" i="65"/>
  <c r="AU13" i="65"/>
  <c r="AW10" i="65"/>
  <c r="AT14" i="65"/>
  <c r="AW8" i="65"/>
  <c r="AT8" i="65"/>
  <c r="AW18" i="65"/>
  <c r="AW17" i="65"/>
  <c r="AR18" i="65"/>
  <c r="AW14" i="65"/>
  <c r="AR17" i="65"/>
  <c r="AW15" i="65"/>
  <c r="AR5" i="65"/>
  <c r="AU9" i="65"/>
  <c r="AW7" i="65"/>
  <c r="AR8" i="65"/>
  <c r="AP6" i="65"/>
  <c r="AR13" i="65"/>
  <c r="AT19" i="65"/>
  <c r="AP14" i="65"/>
  <c r="AU8" i="65"/>
  <c r="AW6" i="65"/>
  <c r="AR9" i="65"/>
  <c r="AT20" i="65"/>
  <c r="AR19" i="65"/>
  <c r="AT6" i="65"/>
  <c r="AU11" i="65"/>
  <c r="AU12" i="65"/>
  <c r="AT5" i="65"/>
  <c r="AR20" i="65"/>
  <c r="AT17" i="65"/>
  <c r="AT10" i="65"/>
  <c r="AW16" i="65"/>
  <c r="AU5" i="65"/>
  <c r="AR12" i="65"/>
  <c r="AR6" i="65"/>
  <c r="AT13" i="65"/>
  <c r="AP5" i="65"/>
  <c r="AU14" i="65"/>
  <c r="AI5" i="65"/>
  <c r="AS10" i="65" s="1"/>
  <c r="AQ6" i="65"/>
  <c r="AQ7" i="65"/>
  <c r="DM21" i="65"/>
  <c r="DM33" i="65"/>
  <c r="DM26" i="65"/>
  <c r="AR7" i="65"/>
  <c r="AP13" i="65"/>
  <c r="AT11" i="65"/>
  <c r="AR16" i="65"/>
  <c r="AT15" i="65"/>
  <c r="AP8" i="65"/>
  <c r="AQ8" i="65"/>
  <c r="AQ9" i="65"/>
  <c r="AR11" i="65"/>
  <c r="AR14" i="65"/>
  <c r="AT12" i="65"/>
  <c r="AT9" i="65"/>
  <c r="AU15" i="65"/>
  <c r="AP17" i="65"/>
  <c r="AT16" i="65"/>
  <c r="AU7" i="65"/>
  <c r="AT7" i="65"/>
  <c r="AR10" i="65"/>
  <c r="AP7" i="65"/>
  <c r="AP11" i="65"/>
  <c r="AU18" i="65"/>
  <c r="AQ15" i="65"/>
  <c r="AT18" i="65"/>
  <c r="AP15" i="65"/>
  <c r="AP20" i="65"/>
  <c r="AU10" i="65"/>
  <c r="AP19" i="65"/>
  <c r="AP18" i="65"/>
  <c r="AW20" i="65"/>
  <c r="AQ12" i="65"/>
  <c r="AP16" i="65"/>
  <c r="AP10" i="65"/>
  <c r="AU19" i="65"/>
  <c r="AU17" i="65"/>
  <c r="AP9" i="65"/>
  <c r="AW12" i="65"/>
  <c r="DM39" i="65"/>
  <c r="DO26" i="68" s="1"/>
  <c r="DM19" i="65"/>
  <c r="DO32" i="68" s="1"/>
  <c r="DM40" i="65"/>
  <c r="DM27" i="65"/>
  <c r="DO30" i="68" s="1"/>
  <c r="P51" i="61"/>
  <c r="DM38" i="65"/>
  <c r="DO15" i="68" s="1"/>
  <c r="DM37" i="65"/>
  <c r="DM30" i="65"/>
  <c r="DO19" i="68" s="1"/>
  <c r="DM25" i="65"/>
  <c r="DM29" i="65"/>
  <c r="DO40" i="68" s="1"/>
  <c r="DM24" i="65"/>
  <c r="DO16" i="68" s="1"/>
  <c r="H50" i="61"/>
  <c r="AW5" i="65"/>
  <c r="AW19" i="65"/>
  <c r="AQ10" i="65"/>
  <c r="DO42" i="68"/>
  <c r="AW5" i="66"/>
  <c r="AW19" i="66"/>
  <c r="AW18" i="66"/>
  <c r="AW14" i="66"/>
  <c r="AW8" i="66"/>
  <c r="AW6" i="66"/>
  <c r="AW13" i="66"/>
  <c r="AW17" i="66"/>
  <c r="AW12" i="66"/>
  <c r="AW11" i="66"/>
  <c r="AW16" i="66"/>
  <c r="AW10" i="66"/>
  <c r="AW7" i="66"/>
  <c r="AW9" i="66"/>
  <c r="AW15" i="66"/>
  <c r="AW20" i="66"/>
  <c r="AU6" i="66"/>
  <c r="AU18" i="66"/>
  <c r="AU7" i="66"/>
  <c r="AU19" i="66"/>
  <c r="AU20" i="66"/>
  <c r="AU8" i="66"/>
  <c r="AU9" i="66"/>
  <c r="AU10" i="66"/>
  <c r="AU11" i="66"/>
  <c r="AU12" i="66"/>
  <c r="AU16" i="66"/>
  <c r="AU13" i="66"/>
  <c r="AU14" i="66"/>
  <c r="AU15" i="66"/>
  <c r="AU17" i="66"/>
  <c r="AU5" i="66"/>
  <c r="AT6" i="66"/>
  <c r="AT9" i="66"/>
  <c r="AT5" i="66"/>
  <c r="AT10" i="66"/>
  <c r="AT8" i="66"/>
  <c r="AT11" i="66"/>
  <c r="AT12" i="66"/>
  <c r="AT13" i="66"/>
  <c r="AT14" i="66"/>
  <c r="AT19" i="66"/>
  <c r="AT15" i="66"/>
  <c r="AT16" i="66"/>
  <c r="AT17" i="66"/>
  <c r="AT18" i="66"/>
  <c r="AT7" i="66"/>
  <c r="AT20" i="66"/>
  <c r="AR18" i="66"/>
  <c r="AR7" i="66"/>
  <c r="AR8" i="66"/>
  <c r="AR9" i="66"/>
  <c r="AR10" i="66"/>
  <c r="AR11" i="66"/>
  <c r="AR12" i="66"/>
  <c r="AR13" i="66"/>
  <c r="AR14" i="66"/>
  <c r="AR15" i="66"/>
  <c r="AR16" i="66"/>
  <c r="AR5" i="66"/>
  <c r="AR17" i="66"/>
  <c r="AR6" i="66"/>
  <c r="AR19" i="66"/>
  <c r="AR20" i="66"/>
  <c r="AP6" i="66"/>
  <c r="AP7" i="66"/>
  <c r="AP19" i="66"/>
  <c r="AP8" i="66"/>
  <c r="AP20" i="66"/>
  <c r="AP9" i="66"/>
  <c r="AP5" i="66"/>
  <c r="AP10" i="66"/>
  <c r="AP11" i="66"/>
  <c r="AP12" i="66"/>
  <c r="AP16" i="66"/>
  <c r="AP13" i="66"/>
  <c r="AP14" i="66"/>
  <c r="AP15" i="66"/>
  <c r="AP17" i="66"/>
  <c r="AP18" i="66"/>
  <c r="AG6" i="66"/>
  <c r="AB34" i="67"/>
  <c r="AH33" i="67"/>
  <c r="AG5" i="66"/>
  <c r="AQ20" i="66" s="1"/>
  <c r="AB18" i="67"/>
  <c r="AH17" i="67"/>
  <c r="AI5" i="66"/>
  <c r="AS20" i="66" s="1"/>
  <c r="DO23" i="68"/>
  <c r="DO33" i="68"/>
  <c r="DO35" i="68"/>
  <c r="DO17" i="68"/>
  <c r="DO21" i="68"/>
  <c r="DO22" i="68"/>
  <c r="DO36" i="68"/>
  <c r="DO31" i="68"/>
  <c r="DO28" i="68"/>
  <c r="DO24" i="68"/>
  <c r="DO38" i="68"/>
  <c r="E34" i="65"/>
  <c r="B45" i="61"/>
  <c r="E33" i="65"/>
  <c r="DO8" i="68" l="1"/>
  <c r="DO9" i="68"/>
  <c r="DO14" i="68"/>
  <c r="AQ11" i="65"/>
  <c r="AQ17" i="65"/>
  <c r="AQ13" i="65"/>
  <c r="AQ19" i="65"/>
  <c r="AQ16" i="65"/>
  <c r="AQ14" i="65"/>
  <c r="AQ20" i="65"/>
  <c r="AQ18" i="65"/>
  <c r="DO13" i="68"/>
  <c r="DO12" i="68"/>
  <c r="DO39" i="68"/>
  <c r="DO10" i="68"/>
  <c r="DO11" i="68"/>
  <c r="AS5" i="65"/>
  <c r="AS13" i="65"/>
  <c r="AS17" i="65"/>
  <c r="AS14" i="65"/>
  <c r="AS15" i="65"/>
  <c r="AS8" i="65"/>
  <c r="AS16" i="65"/>
  <c r="AS12" i="65"/>
  <c r="AQ14" i="66"/>
  <c r="AS11" i="65"/>
  <c r="AS7" i="65"/>
  <c r="AS18" i="65"/>
  <c r="AS6" i="65"/>
  <c r="AS9" i="65"/>
  <c r="AS20" i="65"/>
  <c r="AS19" i="65"/>
  <c r="AS15" i="66"/>
  <c r="AS11" i="66"/>
  <c r="AS6" i="66"/>
  <c r="AS16" i="66"/>
  <c r="AS18" i="66"/>
  <c r="AS10" i="66"/>
  <c r="AS17" i="66"/>
  <c r="AS14" i="66"/>
  <c r="AS19" i="66"/>
  <c r="AS8" i="66"/>
  <c r="AS7" i="66"/>
  <c r="AQ19" i="66"/>
  <c r="AQ12" i="66"/>
  <c r="AQ11" i="66"/>
  <c r="AQ10" i="66"/>
  <c r="AS5" i="66"/>
  <c r="AQ7" i="66"/>
  <c r="AQ9" i="66"/>
  <c r="AQ16" i="66"/>
  <c r="AQ18" i="66"/>
  <c r="AQ8" i="66"/>
  <c r="AQ17" i="66"/>
  <c r="AQ6" i="66"/>
  <c r="AS13" i="66"/>
  <c r="AQ5" i="66"/>
  <c r="AQ15" i="66"/>
  <c r="AS12" i="66"/>
  <c r="AQ13" i="66"/>
  <c r="AS9" i="66"/>
  <c r="DO20" i="68"/>
  <c r="DO37" i="68"/>
  <c r="DO25" i="68"/>
  <c r="DO18" i="68"/>
  <c r="C31" i="66" l="1" a="1"/>
  <c r="N44" i="66" s="1"/>
  <c r="BA7" i="66" a="1"/>
  <c r="BA7" i="66" s="1"/>
  <c r="CV21" i="66"/>
  <c r="CU10" i="66"/>
  <c r="CV18" i="66"/>
  <c r="CU17" i="66"/>
  <c r="CU19" i="66"/>
  <c r="CV11" i="66"/>
  <c r="CV8" i="66"/>
  <c r="CV13" i="66"/>
  <c r="CV22" i="66"/>
  <c r="CV20" i="66"/>
  <c r="CU13" i="66"/>
  <c r="CU21" i="66"/>
  <c r="CU16" i="66"/>
  <c r="CU9" i="66"/>
  <c r="CV16" i="66"/>
  <c r="CU8" i="66"/>
  <c r="CU14" i="66"/>
  <c r="CU18" i="66"/>
  <c r="CU12" i="66"/>
  <c r="CU22" i="66"/>
  <c r="CV10" i="66"/>
  <c r="CU20" i="66"/>
  <c r="CV14" i="66"/>
  <c r="CU15" i="66"/>
  <c r="CS13" i="66"/>
  <c r="CV15" i="66"/>
  <c r="CU11" i="66"/>
  <c r="CV19" i="66"/>
  <c r="CV9" i="66"/>
  <c r="CV12" i="66"/>
  <c r="CS15" i="66"/>
  <c r="CV17" i="66"/>
  <c r="CW20" i="66" l="1"/>
  <c r="R38" i="66"/>
  <c r="D35" i="66"/>
  <c r="R35" i="66"/>
  <c r="I42" i="66"/>
  <c r="M36" i="66"/>
  <c r="I36" i="66"/>
  <c r="R32" i="66"/>
  <c r="R34" i="66"/>
  <c r="R33" i="66"/>
  <c r="Q42" i="66"/>
  <c r="Q43" i="66"/>
  <c r="R36" i="66"/>
  <c r="Q34" i="66"/>
  <c r="R37" i="66"/>
  <c r="N42" i="66"/>
  <c r="M43" i="66"/>
  <c r="F43" i="66"/>
  <c r="M32" i="66"/>
  <c r="Q46" i="66"/>
  <c r="P41" i="66"/>
  <c r="D39" i="66"/>
  <c r="Q39" i="66"/>
  <c r="R39" i="66"/>
  <c r="D45" i="66"/>
  <c r="D37" i="66"/>
  <c r="R41" i="66"/>
  <c r="P46" i="66"/>
  <c r="I34" i="66"/>
  <c r="F36" i="66"/>
  <c r="F44" i="66"/>
  <c r="I45" i="66"/>
  <c r="I43" i="66"/>
  <c r="F32" i="66"/>
  <c r="I39" i="66"/>
  <c r="D32" i="66"/>
  <c r="F37" i="66"/>
  <c r="N41" i="66"/>
  <c r="F35" i="66"/>
  <c r="M37" i="66"/>
  <c r="N39" i="66"/>
  <c r="P33" i="66"/>
  <c r="M46" i="66"/>
  <c r="N37" i="66"/>
  <c r="Q37" i="66"/>
  <c r="D33" i="66"/>
  <c r="M42" i="66"/>
  <c r="P34" i="66"/>
  <c r="D41" i="66"/>
  <c r="D40" i="66"/>
  <c r="I46" i="66"/>
  <c r="F40" i="66"/>
  <c r="N38" i="66"/>
  <c r="F38" i="66"/>
  <c r="I37" i="66"/>
  <c r="P45" i="66"/>
  <c r="R46" i="66"/>
  <c r="I41" i="66"/>
  <c r="M40" i="66"/>
  <c r="D38" i="66"/>
  <c r="I33" i="66"/>
  <c r="N46" i="66"/>
  <c r="I44" i="66"/>
  <c r="P32" i="66"/>
  <c r="Q41" i="66"/>
  <c r="D42" i="66"/>
  <c r="I35" i="66"/>
  <c r="M34" i="66"/>
  <c r="F41" i="66"/>
  <c r="P40" i="66"/>
  <c r="N36" i="66"/>
  <c r="I40" i="66"/>
  <c r="I38" i="66"/>
  <c r="P44" i="66"/>
  <c r="R45" i="66"/>
  <c r="F45" i="66"/>
  <c r="P36" i="66"/>
  <c r="P37" i="66"/>
  <c r="M45" i="66"/>
  <c r="Q36" i="66"/>
  <c r="N40" i="66"/>
  <c r="D36" i="66"/>
  <c r="I32" i="66"/>
  <c r="Q40" i="66"/>
  <c r="R43" i="66"/>
  <c r="F33" i="66"/>
  <c r="Q32" i="66"/>
  <c r="Q33" i="66"/>
  <c r="M39" i="66"/>
  <c r="R40" i="66"/>
  <c r="N35" i="66"/>
  <c r="F39" i="66"/>
  <c r="P42" i="66"/>
  <c r="R44" i="66"/>
  <c r="D43" i="66"/>
  <c r="M41" i="66"/>
  <c r="Q44" i="66"/>
  <c r="Q45" i="66"/>
  <c r="M33" i="66"/>
  <c r="C31" i="66"/>
  <c r="D31" i="66" s="1"/>
  <c r="AK25" i="67" s="1"/>
  <c r="N34" i="66"/>
  <c r="M44" i="66"/>
  <c r="Q38" i="66"/>
  <c r="P43" i="66"/>
  <c r="F46" i="66"/>
  <c r="M35" i="66"/>
  <c r="D46" i="66"/>
  <c r="F42" i="66"/>
  <c r="P39" i="66"/>
  <c r="N45" i="66"/>
  <c r="N33" i="66"/>
  <c r="M38" i="66"/>
  <c r="R42" i="66"/>
  <c r="D44" i="66"/>
  <c r="F34" i="66"/>
  <c r="P35" i="66"/>
  <c r="D34" i="66"/>
  <c r="P38" i="66"/>
  <c r="Q35" i="66"/>
  <c r="N43" i="66"/>
  <c r="CW8" i="66"/>
  <c r="CW14" i="66"/>
  <c r="CW15" i="66"/>
  <c r="CW11" i="66"/>
  <c r="CW22" i="66"/>
  <c r="CW17" i="66"/>
  <c r="CW9" i="66"/>
  <c r="CW10" i="66"/>
  <c r="CW16" i="66"/>
  <c r="CW21" i="66"/>
  <c r="CW13" i="66"/>
  <c r="CW12" i="66"/>
  <c r="CW18" i="66"/>
  <c r="CW19" i="66"/>
  <c r="CS18" i="66"/>
  <c r="CS20" i="66"/>
  <c r="CS19" i="66"/>
  <c r="CS10" i="66"/>
  <c r="CS14" i="66"/>
  <c r="CS16" i="66"/>
  <c r="CS9" i="66"/>
  <c r="CS17" i="66"/>
  <c r="CS21" i="66"/>
  <c r="CS8" i="66"/>
  <c r="CS11" i="66"/>
  <c r="CS12" i="66"/>
  <c r="CS22" i="66"/>
  <c r="CU7" i="66"/>
  <c r="CV7" i="66"/>
  <c r="F31" i="66" l="1"/>
  <c r="DL38" i="65" s="1"/>
  <c r="AJ25" i="67"/>
  <c r="AJ26" i="67" s="1"/>
  <c r="Q31" i="66"/>
  <c r="N31" i="66"/>
  <c r="M31" i="66"/>
  <c r="P31" i="66"/>
  <c r="R31" i="66"/>
  <c r="N32" i="66"/>
  <c r="I31" i="66"/>
  <c r="DL13" i="65"/>
  <c r="DL18" i="65"/>
  <c r="DL8" i="65"/>
  <c r="DL14" i="65"/>
  <c r="DL32" i="65"/>
  <c r="DL33" i="65"/>
  <c r="CW7" i="66"/>
  <c r="O38" i="66" s="1" a="1"/>
  <c r="O38" i="66" s="1"/>
  <c r="AP25" i="67"/>
  <c r="CS7" i="66"/>
  <c r="DL34" i="65" l="1"/>
  <c r="DL9" i="65"/>
  <c r="DL42" i="65"/>
  <c r="DL27" i="65"/>
  <c r="DR27" i="65" s="1"/>
  <c r="DL30" i="65"/>
  <c r="DR30" i="65" s="1"/>
  <c r="DL24" i="65"/>
  <c r="DN24" i="65" s="1"/>
  <c r="DL28" i="65"/>
  <c r="DL23" i="65"/>
  <c r="DR23" i="65" s="1"/>
  <c r="DL10" i="65"/>
  <c r="DR10" i="65" s="1"/>
  <c r="DL31" i="65"/>
  <c r="DR31" i="65" s="1"/>
  <c r="DL15" i="65"/>
  <c r="DN15" i="65" s="1"/>
  <c r="DL7" i="65"/>
  <c r="DL20" i="65"/>
  <c r="DL29" i="65"/>
  <c r="DR29" i="65" s="1"/>
  <c r="DL19" i="65"/>
  <c r="DR19" i="65" s="1"/>
  <c r="DL41" i="65"/>
  <c r="DR41" i="65" s="1"/>
  <c r="DL17" i="65"/>
  <c r="DN17" i="65" s="1"/>
  <c r="DL11" i="65"/>
  <c r="DN11" i="65" s="1"/>
  <c r="DL39" i="65"/>
  <c r="DN39" i="65" s="1"/>
  <c r="DL26" i="65"/>
  <c r="DN26" i="65" s="1"/>
  <c r="DL36" i="65"/>
  <c r="DR36" i="65" s="1"/>
  <c r="DL12" i="65"/>
  <c r="DN12" i="65" s="1"/>
  <c r="DL37" i="65"/>
  <c r="DN37" i="65" s="1"/>
  <c r="DL35" i="65"/>
  <c r="DN35" i="65" s="1"/>
  <c r="DL21" i="65"/>
  <c r="DR21" i="65" s="1"/>
  <c r="AN25" i="67"/>
  <c r="DL40" i="65"/>
  <c r="DR40" i="65" s="1"/>
  <c r="DL22" i="65"/>
  <c r="DR22" i="65" s="1"/>
  <c r="DL16" i="65"/>
  <c r="DN16" i="65" s="1"/>
  <c r="DL25" i="65"/>
  <c r="DR25" i="65" s="1"/>
  <c r="O41" i="66" a="1"/>
  <c r="O41" i="66" s="1"/>
  <c r="O40" i="66" a="1"/>
  <c r="O40" i="66" s="1"/>
  <c r="O34" i="66" a="1"/>
  <c r="O34" i="66" s="1"/>
  <c r="O42" i="66" a="1"/>
  <c r="O42" i="66" s="1"/>
  <c r="O37" i="66" a="1"/>
  <c r="O37" i="66" s="1"/>
  <c r="O45" i="66" a="1"/>
  <c r="O45" i="66" s="1"/>
  <c r="O33" i="66" a="1"/>
  <c r="O33" i="66" s="1"/>
  <c r="O32" i="66" a="1"/>
  <c r="O32" i="66" s="1"/>
  <c r="O39" i="66" a="1"/>
  <c r="O39" i="66" s="1"/>
  <c r="O36" i="66" a="1"/>
  <c r="O36" i="66" s="1"/>
  <c r="O44" i="66" a="1"/>
  <c r="O44" i="66" s="1"/>
  <c r="O43" i="66" a="1"/>
  <c r="O43" i="66" s="1"/>
  <c r="O35" i="66" a="1"/>
  <c r="O35" i="66" s="1"/>
  <c r="DN40" i="68"/>
  <c r="DQ40" i="68" s="1"/>
  <c r="DK40" i="68" s="1"/>
  <c r="DR33" i="65"/>
  <c r="DN33" i="65"/>
  <c r="DN16" i="68"/>
  <c r="DQ16" i="68" s="1"/>
  <c r="DK16" i="68" s="1"/>
  <c r="DR32" i="65"/>
  <c r="DN32" i="65"/>
  <c r="DN19" i="68"/>
  <c r="DQ19" i="68" s="1"/>
  <c r="DK19" i="68" s="1"/>
  <c r="DR13" i="65"/>
  <c r="DN13" i="65"/>
  <c r="DN31" i="68"/>
  <c r="DQ31" i="68" s="1"/>
  <c r="DK31" i="68" s="1"/>
  <c r="DN22" i="68"/>
  <c r="DQ22" i="68" s="1"/>
  <c r="DK22" i="68" s="1"/>
  <c r="DN34" i="65"/>
  <c r="DR34" i="65"/>
  <c r="DR8" i="65"/>
  <c r="DN8" i="65"/>
  <c r="DN15" i="68"/>
  <c r="DQ15" i="68" s="1"/>
  <c r="DK15" i="68" s="1"/>
  <c r="DN30" i="68"/>
  <c r="DQ30" i="68" s="1"/>
  <c r="DK30" i="68" s="1"/>
  <c r="DN41" i="68"/>
  <c r="DQ41" i="68" s="1"/>
  <c r="DK41" i="68" s="1"/>
  <c r="DN9" i="65"/>
  <c r="DR9" i="65"/>
  <c r="DN29" i="68"/>
  <c r="DQ29" i="68" s="1"/>
  <c r="DK29" i="68" s="1"/>
  <c r="DR42" i="65"/>
  <c r="DN42" i="65"/>
  <c r="DN34" i="68"/>
  <c r="DQ34" i="68" s="1"/>
  <c r="DK34" i="68" s="1"/>
  <c r="DN21" i="68"/>
  <c r="DQ21" i="68" s="1"/>
  <c r="DK21" i="68" s="1"/>
  <c r="DN36" i="68"/>
  <c r="DQ36" i="68" s="1"/>
  <c r="DK36" i="68" s="1"/>
  <c r="DN19" i="65"/>
  <c r="DN26" i="68"/>
  <c r="DQ26" i="68" s="1"/>
  <c r="DK26" i="68" s="1"/>
  <c r="DN38" i="68"/>
  <c r="DQ38" i="68" s="1"/>
  <c r="DK38" i="68" s="1"/>
  <c r="DR24" i="65"/>
  <c r="DN35" i="68"/>
  <c r="DQ35" i="68" s="1"/>
  <c r="DK35" i="68" s="1"/>
  <c r="DN25" i="68"/>
  <c r="DQ25" i="68" s="1"/>
  <c r="DK25" i="68" s="1"/>
  <c r="DN13" i="68"/>
  <c r="DQ13" i="68" s="1"/>
  <c r="DK13" i="68" s="1"/>
  <c r="DR14" i="65"/>
  <c r="DN14" i="65"/>
  <c r="DN28" i="65"/>
  <c r="DR28" i="65"/>
  <c r="DN14" i="68"/>
  <c r="DQ14" i="68" s="1"/>
  <c r="DK14" i="68" s="1"/>
  <c r="DN42" i="68"/>
  <c r="DQ42" i="68" s="1"/>
  <c r="DK42" i="68" s="1"/>
  <c r="DR38" i="65"/>
  <c r="DN38" i="65"/>
  <c r="DN27" i="68"/>
  <c r="DQ27" i="68" s="1"/>
  <c r="DK27" i="68" s="1"/>
  <c r="DN23" i="65"/>
  <c r="DN43" i="68"/>
  <c r="DQ43" i="68" s="1"/>
  <c r="DK43" i="68" s="1"/>
  <c r="DN20" i="68"/>
  <c r="DQ20" i="68" s="1"/>
  <c r="DK20" i="68" s="1"/>
  <c r="DR26" i="65"/>
  <c r="DN18" i="68"/>
  <c r="DQ18" i="68" s="1"/>
  <c r="DK18" i="68" s="1"/>
  <c r="DN39" i="68"/>
  <c r="DQ39" i="68" s="1"/>
  <c r="DK39" i="68" s="1"/>
  <c r="DR18" i="65"/>
  <c r="DN18" i="65"/>
  <c r="DN24" i="68"/>
  <c r="DQ24" i="68" s="1"/>
  <c r="DK24" i="68" s="1"/>
  <c r="DN23" i="68"/>
  <c r="DQ23" i="68" s="1"/>
  <c r="DK23" i="68" s="1"/>
  <c r="DN37" i="68"/>
  <c r="DQ37" i="68" s="1"/>
  <c r="DK37" i="68" s="1"/>
  <c r="DN32" i="68"/>
  <c r="DQ32" i="68" s="1"/>
  <c r="DK32" i="68" s="1"/>
  <c r="DN28" i="68"/>
  <c r="DQ28" i="68" s="1"/>
  <c r="DK28" i="68" s="1"/>
  <c r="DN20" i="65"/>
  <c r="DN33" i="68"/>
  <c r="DQ33" i="68" s="1"/>
  <c r="DK33" i="68" s="1"/>
  <c r="DR20" i="65"/>
  <c r="O46" i="66" a="1"/>
  <c r="O46" i="66" s="1"/>
  <c r="O31" i="66" a="1"/>
  <c r="O31" i="66" s="1"/>
  <c r="DN10" i="65" l="1"/>
  <c r="DN41" i="65"/>
  <c r="DN11" i="68"/>
  <c r="DQ11" i="68" s="1"/>
  <c r="DK11" i="68" s="1"/>
  <c r="DN27" i="65"/>
  <c r="DN12" i="68"/>
  <c r="DQ12" i="68" s="1"/>
  <c r="DK12" i="68" s="1"/>
  <c r="DR17" i="65"/>
  <c r="DN30" i="65"/>
  <c r="DR39" i="65"/>
  <c r="DN17" i="68"/>
  <c r="DQ17" i="68" s="1"/>
  <c r="DK17" i="68" s="1"/>
  <c r="DN31" i="65"/>
  <c r="DN29" i="65"/>
  <c r="DN8" i="68"/>
  <c r="DQ8" i="68" s="1"/>
  <c r="DK8" i="68" s="1"/>
  <c r="DR7" i="65"/>
  <c r="DN7" i="65"/>
  <c r="DR15" i="65"/>
  <c r="DR12" i="65"/>
  <c r="DN10" i="68"/>
  <c r="DQ10" i="68" s="1"/>
  <c r="DK10" i="68" s="1"/>
  <c r="DN36" i="65"/>
  <c r="DN9" i="68"/>
  <c r="DQ9" i="68" s="1"/>
  <c r="DK9" i="68" s="1"/>
  <c r="DR11" i="65"/>
  <c r="DR37" i="65"/>
  <c r="DR35" i="65"/>
  <c r="DN21" i="65"/>
  <c r="DN40" i="65"/>
  <c r="DN25" i="65"/>
  <c r="DR16" i="65"/>
  <c r="DN22" i="65"/>
  <c r="DV24" i="68" a="1"/>
  <c r="DV24" i="68" s="1"/>
  <c r="C47" i="65"/>
  <c r="M47" i="65" s="1"/>
  <c r="C44" i="65"/>
  <c r="D44" i="65" s="1"/>
  <c r="C51" i="65"/>
  <c r="F51" i="65" s="1"/>
  <c r="C40" i="65"/>
  <c r="N40" i="65" s="1"/>
  <c r="BI7" i="68" s="1"/>
  <c r="CH7" i="68" s="1"/>
  <c r="C46" i="65"/>
  <c r="C50" i="65"/>
  <c r="C43" i="65"/>
  <c r="C39" i="65"/>
  <c r="C53" i="65"/>
  <c r="C49" i="65"/>
  <c r="C42" i="65"/>
  <c r="C52" i="65"/>
  <c r="C48" i="65"/>
  <c r="C45" i="65"/>
  <c r="D47" i="65" l="1"/>
  <c r="I47" i="65"/>
  <c r="Q47" i="65"/>
  <c r="N47" i="65"/>
  <c r="P47" i="65"/>
  <c r="F40" i="65"/>
  <c r="BA7" i="68" s="1"/>
  <c r="Q44" i="65"/>
  <c r="BL11" i="68" s="1"/>
  <c r="CD11" i="68" s="1"/>
  <c r="F47" i="65"/>
  <c r="R47" i="65"/>
  <c r="O47" i="65" a="1"/>
  <c r="O47" i="65" s="1"/>
  <c r="Q40" i="65"/>
  <c r="BL7" i="68" s="1"/>
  <c r="AJ47" i="61"/>
  <c r="AP47" i="61" s="1"/>
  <c r="O40" i="65" a="1"/>
  <c r="O40" i="65" s="1"/>
  <c r="BJ7" i="68" s="1"/>
  <c r="M40" i="65"/>
  <c r="BH7" i="68" s="1"/>
  <c r="S45" i="65"/>
  <c r="BN12" i="68" s="1"/>
  <c r="CE12" i="68" s="1"/>
  <c r="S42" i="65"/>
  <c r="BN9" i="68" s="1"/>
  <c r="CE9" i="68" s="1"/>
  <c r="S43" i="65"/>
  <c r="BN10" i="68" s="1"/>
  <c r="CE10" i="68" s="1"/>
  <c r="S46" i="65"/>
  <c r="D51" i="65"/>
  <c r="S39" i="65"/>
  <c r="BN6" i="68" s="1"/>
  <c r="CE6" i="68" s="1"/>
  <c r="D40" i="65"/>
  <c r="AY7" i="68" s="1"/>
  <c r="S40" i="65"/>
  <c r="BN7" i="68" s="1"/>
  <c r="CE7" i="68" s="1"/>
  <c r="M44" i="65"/>
  <c r="BH11" i="68" s="1"/>
  <c r="S44" i="65"/>
  <c r="BN11" i="68" s="1"/>
  <c r="CE11" i="68" s="1"/>
  <c r="P40" i="65"/>
  <c r="BK7" i="68" s="1"/>
  <c r="I40" i="65"/>
  <c r="BD7" i="68" s="1"/>
  <c r="R40" i="65"/>
  <c r="BM7" i="68" s="1"/>
  <c r="R44" i="65"/>
  <c r="BM11" i="68" s="1"/>
  <c r="H47" i="61"/>
  <c r="N47" i="61" s="1"/>
  <c r="P44" i="65"/>
  <c r="BK11" i="68" s="1"/>
  <c r="O44" i="65" a="1"/>
  <c r="O44" i="65" s="1"/>
  <c r="BJ11" i="68" s="1"/>
  <c r="AX11" i="68"/>
  <c r="BX11" i="68" s="1"/>
  <c r="F44" i="65"/>
  <c r="L47" i="61" s="1"/>
  <c r="I44" i="65"/>
  <c r="BD11" i="68" s="1"/>
  <c r="N44" i="65"/>
  <c r="BI11" i="68" s="1"/>
  <c r="CH11" i="68" s="1"/>
  <c r="AX7" i="68"/>
  <c r="BX7" i="68" s="1"/>
  <c r="M51" i="65"/>
  <c r="O51" i="65" a="1"/>
  <c r="O51" i="65" s="1"/>
  <c r="Q51" i="65"/>
  <c r="I51" i="65"/>
  <c r="R51" i="65"/>
  <c r="P51" i="65"/>
  <c r="N51" i="65"/>
  <c r="Q45" i="65"/>
  <c r="BL12" i="68" s="1"/>
  <c r="CD12" i="68" s="1"/>
  <c r="N45" i="65"/>
  <c r="BI12" i="68" s="1"/>
  <c r="CH12" i="68" s="1"/>
  <c r="AX12" i="68"/>
  <c r="BX12" i="68" s="1"/>
  <c r="I45" i="65"/>
  <c r="BD12" i="68" s="1"/>
  <c r="M45" i="65"/>
  <c r="BH12" i="68" s="1"/>
  <c r="R45" i="65"/>
  <c r="BM12" i="68" s="1"/>
  <c r="P45" i="65"/>
  <c r="BK12" i="68" s="1"/>
  <c r="F45" i="65"/>
  <c r="BA12" i="68" s="1"/>
  <c r="D45" i="65"/>
  <c r="AY12" i="68" s="1"/>
  <c r="O45" i="65" a="1"/>
  <c r="O45" i="65" s="1"/>
  <c r="BJ12" i="68" s="1"/>
  <c r="N48" i="65"/>
  <c r="Q48" i="65"/>
  <c r="R48" i="65"/>
  <c r="F48" i="65"/>
  <c r="P48" i="65"/>
  <c r="D48" i="65"/>
  <c r="O48" i="65" a="1"/>
  <c r="O48" i="65" s="1"/>
  <c r="M48" i="65"/>
  <c r="I48" i="65"/>
  <c r="P52" i="65"/>
  <c r="D52" i="65"/>
  <c r="Q52" i="65"/>
  <c r="F52" i="65"/>
  <c r="O52" i="65" a="1"/>
  <c r="O52" i="65" s="1"/>
  <c r="N52" i="65"/>
  <c r="M52" i="65"/>
  <c r="I52" i="65"/>
  <c r="R52" i="65"/>
  <c r="P46" i="65"/>
  <c r="N46" i="65"/>
  <c r="Q46" i="65"/>
  <c r="O46" i="65" a="1"/>
  <c r="O46" i="65" s="1"/>
  <c r="T46" i="65" s="1"/>
  <c r="D46" i="65"/>
  <c r="F46" i="65"/>
  <c r="I46" i="65"/>
  <c r="M46" i="65"/>
  <c r="R46" i="65"/>
  <c r="D42" i="65"/>
  <c r="V47" i="61"/>
  <c r="AB47" i="61" s="1"/>
  <c r="Q42" i="65"/>
  <c r="BL9" i="68" s="1"/>
  <c r="N42" i="65"/>
  <c r="BI9" i="68" s="1"/>
  <c r="CH9" i="68" s="1"/>
  <c r="P42" i="65"/>
  <c r="BK9" i="68" s="1"/>
  <c r="AX9" i="68"/>
  <c r="BX9" i="68" s="1"/>
  <c r="M42" i="65"/>
  <c r="BH9" i="68" s="1"/>
  <c r="R42" i="65"/>
  <c r="BM9" i="68" s="1"/>
  <c r="F42" i="65"/>
  <c r="O42" i="65" a="1"/>
  <c r="O42" i="65" s="1"/>
  <c r="BJ9" i="68" s="1"/>
  <c r="I42" i="65"/>
  <c r="BD9" i="68" s="1"/>
  <c r="P49" i="65"/>
  <c r="Q49" i="65"/>
  <c r="R49" i="65"/>
  <c r="F49" i="65"/>
  <c r="D49" i="65"/>
  <c r="I49" i="65"/>
  <c r="M49" i="65"/>
  <c r="O49" i="65" a="1"/>
  <c r="O49" i="65" s="1"/>
  <c r="N49" i="65"/>
  <c r="P53" i="65"/>
  <c r="O53" i="65" a="1"/>
  <c r="O53" i="65" s="1"/>
  <c r="F53" i="65"/>
  <c r="R53" i="65"/>
  <c r="I53" i="65"/>
  <c r="M53" i="65"/>
  <c r="D53" i="65"/>
  <c r="N53" i="65"/>
  <c r="Q53" i="65"/>
  <c r="P39" i="65"/>
  <c r="BK6" i="68" s="1"/>
  <c r="D39" i="65"/>
  <c r="AY6" i="68" s="1"/>
  <c r="F39" i="65"/>
  <c r="BA6" i="68" s="1"/>
  <c r="BZ6" i="68" s="1"/>
  <c r="M39" i="65"/>
  <c r="BH6" i="68" s="1"/>
  <c r="Q39" i="65"/>
  <c r="BL6" i="68" s="1"/>
  <c r="N39" i="65"/>
  <c r="BI6" i="68" s="1"/>
  <c r="CH6" i="68" s="1"/>
  <c r="O39" i="65" a="1"/>
  <c r="O39" i="65" s="1"/>
  <c r="BJ6" i="68" s="1"/>
  <c r="CB6" i="68" s="1"/>
  <c r="AX6" i="68"/>
  <c r="BX6" i="68" s="1"/>
  <c r="I39" i="65"/>
  <c r="BD6" i="68" s="1"/>
  <c r="CA6" i="68" s="1"/>
  <c r="R39" i="65"/>
  <c r="BM6" i="68" s="1"/>
  <c r="I47" i="61"/>
  <c r="AY11" i="68"/>
  <c r="O43" i="65" a="1"/>
  <c r="O43" i="65" s="1"/>
  <c r="BJ10" i="68" s="1"/>
  <c r="F43" i="65"/>
  <c r="BA10" i="68" s="1"/>
  <c r="I43" i="65"/>
  <c r="BD10" i="68" s="1"/>
  <c r="M43" i="65"/>
  <c r="BH10" i="68" s="1"/>
  <c r="D43" i="65"/>
  <c r="AY10" i="68" s="1"/>
  <c r="P43" i="65"/>
  <c r="BK10" i="68" s="1"/>
  <c r="R43" i="65"/>
  <c r="BM10" i="68" s="1"/>
  <c r="Q43" i="65"/>
  <c r="BL10" i="68" s="1"/>
  <c r="N43" i="65"/>
  <c r="BI10" i="68" s="1"/>
  <c r="CH10" i="68" s="1"/>
  <c r="AX10" i="68"/>
  <c r="BX10" i="68" s="1"/>
  <c r="M50" i="65"/>
  <c r="R50" i="65"/>
  <c r="Q50" i="65"/>
  <c r="P50" i="65"/>
  <c r="N50" i="65"/>
  <c r="F50" i="65"/>
  <c r="O50" i="65" a="1"/>
  <c r="O50" i="65" s="1"/>
  <c r="I50" i="65"/>
  <c r="D50" i="65"/>
  <c r="AN47" i="61" l="1"/>
  <c r="AJ48" i="61"/>
  <c r="H48" i="61"/>
  <c r="CA7" i="68"/>
  <c r="BZ7" i="68"/>
  <c r="BY7" i="68"/>
  <c r="CB7" i="68"/>
  <c r="T40" i="65"/>
  <c r="BO7" i="68" s="1"/>
  <c r="CF7" i="68" s="1"/>
  <c r="CG7" i="68" s="1"/>
  <c r="CD9" i="68"/>
  <c r="AK47" i="61"/>
  <c r="T39" i="65"/>
  <c r="BO6" i="68" s="1"/>
  <c r="CF6" i="68" s="1"/>
  <c r="CG6" i="68" s="1"/>
  <c r="T43" i="65"/>
  <c r="BO10" i="68" s="1"/>
  <c r="CF10" i="68" s="1"/>
  <c r="CG10" i="68" s="1"/>
  <c r="T44" i="65"/>
  <c r="BO11" i="68" s="1"/>
  <c r="CF11" i="68" s="1"/>
  <c r="CG11" i="68" s="1"/>
  <c r="BA11" i="68"/>
  <c r="T42" i="65"/>
  <c r="BO9" i="68" s="1"/>
  <c r="CF9" i="68" s="1"/>
  <c r="CG9" i="68" s="1"/>
  <c r="T45" i="65"/>
  <c r="BO12" i="68" s="1"/>
  <c r="CF12" i="68" s="1"/>
  <c r="CG12" i="68" s="1"/>
  <c r="BZ11" i="68"/>
  <c r="CA11" i="68"/>
  <c r="BY11" i="68"/>
  <c r="CB11" i="68"/>
  <c r="CD7" i="68"/>
  <c r="CB12" i="68"/>
  <c r="BZ12" i="68"/>
  <c r="BY12" i="68"/>
  <c r="CA12" i="68"/>
  <c r="BY6" i="68"/>
  <c r="AY9" i="68"/>
  <c r="W47" i="61"/>
  <c r="CA10" i="68"/>
  <c r="CB10" i="68"/>
  <c r="BY10" i="68"/>
  <c r="BZ10" i="68"/>
  <c r="CD10" i="68"/>
  <c r="BA9" i="68"/>
  <c r="Z47" i="61"/>
  <c r="BZ9" i="68" l="1"/>
  <c r="CB9" i="68"/>
  <c r="CA9" i="68"/>
  <c r="BY9" i="68"/>
  <c r="C38" i="65"/>
  <c r="C41" i="65"/>
  <c r="P41" i="65" s="1"/>
  <c r="BK8" i="68" s="1"/>
  <c r="AW13" i="65"/>
  <c r="AF36" i="65" s="1" a="1"/>
  <c r="AF36" i="65" s="1"/>
  <c r="CI25" i="68" l="1"/>
  <c r="Q38" i="65"/>
  <c r="BL5" i="68" s="1"/>
  <c r="CD5" i="68" s="1"/>
  <c r="S41" i="65"/>
  <c r="BN8" i="68" s="1"/>
  <c r="CE8" i="68" s="1"/>
  <c r="M38" i="65"/>
  <c r="BH5" i="68" s="1"/>
  <c r="R38" i="65"/>
  <c r="BM5" i="68" s="1"/>
  <c r="AJ25" i="61"/>
  <c r="AJ26" i="61" s="1"/>
  <c r="P38" i="65"/>
  <c r="BK5" i="68" s="1"/>
  <c r="CI14" i="68"/>
  <c r="S38" i="65"/>
  <c r="BN5" i="68" s="1"/>
  <c r="CE5" i="68" s="1"/>
  <c r="CI38" i="68"/>
  <c r="CI48" i="68"/>
  <c r="CI23" i="68"/>
  <c r="CI45" i="68"/>
  <c r="CI37" i="68"/>
  <c r="CI20" i="68"/>
  <c r="CI17" i="68"/>
  <c r="CI39" i="68"/>
  <c r="CI15" i="68"/>
  <c r="CI6" i="68"/>
  <c r="CI18" i="68"/>
  <c r="CI24" i="68"/>
  <c r="CI16" i="68"/>
  <c r="CI35" i="68"/>
  <c r="CI47" i="68"/>
  <c r="CI42" i="68"/>
  <c r="CI19" i="68"/>
  <c r="CI43" i="68"/>
  <c r="CI44" i="68"/>
  <c r="CI13" i="68"/>
  <c r="CI12" i="68"/>
  <c r="CI21" i="68"/>
  <c r="CI10" i="68"/>
  <c r="CI7" i="68"/>
  <c r="CI41" i="68"/>
  <c r="CI27" i="68"/>
  <c r="CI9" i="68"/>
  <c r="CI26" i="68"/>
  <c r="R41" i="65"/>
  <c r="BM8" i="68" s="1"/>
  <c r="CI40" i="68"/>
  <c r="CI11" i="68"/>
  <c r="Q41" i="65"/>
  <c r="BL8" i="68" s="1"/>
  <c r="CD8" i="68" s="1"/>
  <c r="AX8" i="68"/>
  <c r="CI22" i="68"/>
  <c r="O41" i="65" a="1"/>
  <c r="O41" i="65" s="1"/>
  <c r="BJ8" i="68" s="1"/>
  <c r="O38" i="65" a="1"/>
  <c r="O38" i="65" s="1"/>
  <c r="BJ5" i="68" s="1"/>
  <c r="CB5" i="68" s="1"/>
  <c r="N41" i="65"/>
  <c r="BI8" i="68" s="1"/>
  <c r="CH8" i="68" s="1"/>
  <c r="N38" i="65"/>
  <c r="AX5" i="68"/>
  <c r="M41" i="65"/>
  <c r="BH8" i="68" s="1"/>
  <c r="I41" i="65"/>
  <c r="BD8" i="68" s="1"/>
  <c r="I38" i="65"/>
  <c r="BD5" i="68" s="1"/>
  <c r="CA5" i="68" s="1"/>
  <c r="F41" i="65"/>
  <c r="F38" i="65"/>
  <c r="D41" i="65"/>
  <c r="AY8" i="68" s="1"/>
  <c r="D38" i="65"/>
  <c r="CI46" i="68"/>
  <c r="AP25" i="61" l="1"/>
  <c r="AJ34" i="65"/>
  <c r="AM34" i="65" s="1"/>
  <c r="BI5" i="68"/>
  <c r="CH5" i="68" s="1"/>
  <c r="AI34" i="65"/>
  <c r="CC11" i="68"/>
  <c r="CC12" i="68"/>
  <c r="CC6" i="68"/>
  <c r="BX5" i="68"/>
  <c r="CC7" i="68"/>
  <c r="CC9" i="68"/>
  <c r="CC10" i="68"/>
  <c r="BA5" i="68"/>
  <c r="BZ5" i="68" s="1"/>
  <c r="AN25" i="61"/>
  <c r="CI30" i="68"/>
  <c r="CI28" i="68"/>
  <c r="CI33" i="68"/>
  <c r="CI31" i="68"/>
  <c r="CI29" i="68"/>
  <c r="T38" i="65"/>
  <c r="BO5" i="68" s="1"/>
  <c r="CF5" i="68" s="1"/>
  <c r="CG5" i="68" s="1"/>
  <c r="AK25" i="61"/>
  <c r="AY5" i="68"/>
  <c r="CI36" i="68"/>
  <c r="CI34" i="68"/>
  <c r="CI32" i="68"/>
  <c r="BA8" i="68"/>
  <c r="T41" i="65"/>
  <c r="BO8" i="68" s="1"/>
  <c r="CF8" i="68" s="1"/>
  <c r="CG8" i="68" s="1"/>
  <c r="CM2" i="68"/>
  <c r="BX8" i="68"/>
  <c r="DI15" i="68" l="1"/>
  <c r="CB8" i="68"/>
  <c r="CA8" i="68"/>
  <c r="BY8" i="68"/>
  <c r="CC8" i="68"/>
  <c r="DI14" i="68"/>
  <c r="DI39" i="68"/>
  <c r="BZ8" i="68"/>
  <c r="DI36" i="68"/>
  <c r="DI23" i="68"/>
  <c r="DI41" i="68"/>
  <c r="DI33" i="68"/>
  <c r="DI31" i="68"/>
  <c r="DI16" i="68"/>
  <c r="DI28" i="68"/>
  <c r="DM16" i="68"/>
  <c r="DM24" i="68"/>
  <c r="DM36" i="68"/>
  <c r="DL11" i="68"/>
  <c r="DL32" i="68"/>
  <c r="CX36" i="68"/>
  <c r="DJ26" i="68"/>
  <c r="DJ15" i="68"/>
  <c r="DL15" i="68"/>
  <c r="CS23" i="68"/>
  <c r="DS13" i="68"/>
  <c r="DS19" i="68"/>
  <c r="DS25" i="68"/>
  <c r="DS31" i="68"/>
  <c r="DS37" i="68"/>
  <c r="DS43" i="68"/>
  <c r="DM25" i="68"/>
  <c r="DM37" i="68"/>
  <c r="CS13" i="68"/>
  <c r="DZ41" i="68" s="1"/>
  <c r="CX10" i="68"/>
  <c r="CX11" i="68"/>
  <c r="DL13" i="68"/>
  <c r="CS42" i="68"/>
  <c r="DJ12" i="68"/>
  <c r="CM28" i="68"/>
  <c r="CM17" i="68"/>
  <c r="CM13" i="68"/>
  <c r="CS31" i="68"/>
  <c r="EH41" i="68"/>
  <c r="EH42" i="68"/>
  <c r="CS32" i="68"/>
  <c r="DL39" i="68"/>
  <c r="DJ32" i="68"/>
  <c r="DM26" i="68"/>
  <c r="DM38" i="68"/>
  <c r="DS14" i="68"/>
  <c r="DS20" i="68"/>
  <c r="DS26" i="68"/>
  <c r="DS32" i="68"/>
  <c r="DS38" i="68"/>
  <c r="DM17" i="68"/>
  <c r="DM27" i="68"/>
  <c r="DM39" i="68"/>
  <c r="CS35" i="68"/>
  <c r="DJ17" i="68"/>
  <c r="DL41" i="68"/>
  <c r="DJ20" i="68"/>
  <c r="DJ28" i="68"/>
  <c r="CM8" i="68"/>
  <c r="CX14" i="68"/>
  <c r="CM35" i="68"/>
  <c r="DJ36" i="68"/>
  <c r="DL35" i="68"/>
  <c r="DL42" i="68"/>
  <c r="CS43" i="68"/>
  <c r="CM10" i="68"/>
  <c r="CX28" i="68"/>
  <c r="CM22" i="68"/>
  <c r="CM41" i="68"/>
  <c r="DJ42" i="68"/>
  <c r="DM8" i="68"/>
  <c r="DM18" i="68"/>
  <c r="DM28" i="68"/>
  <c r="DM40" i="68"/>
  <c r="CX18" i="68"/>
  <c r="CS27" i="68"/>
  <c r="CX9" i="68"/>
  <c r="DJ40" i="68"/>
  <c r="CX24" i="68"/>
  <c r="CX13" i="68"/>
  <c r="DJ30" i="68"/>
  <c r="DJ11" i="68"/>
  <c r="DS9" i="68"/>
  <c r="DS15" i="68"/>
  <c r="DS21" i="68"/>
  <c r="DS27" i="68"/>
  <c r="DS33" i="68"/>
  <c r="DS39" i="68"/>
  <c r="DM9" i="68"/>
  <c r="DM19" i="68"/>
  <c r="DM29" i="68"/>
  <c r="DM41" i="68"/>
  <c r="CX21" i="68"/>
  <c r="CX33" i="68"/>
  <c r="DJ29" i="68"/>
  <c r="CS11" i="68"/>
  <c r="DJ27" i="68"/>
  <c r="DL43" i="68"/>
  <c r="CS22" i="68"/>
  <c r="CS37" i="68"/>
  <c r="CX31" i="68"/>
  <c r="CM43" i="68"/>
  <c r="CM36" i="68"/>
  <c r="CM27" i="68"/>
  <c r="DJ24" i="68"/>
  <c r="DL24" i="68"/>
  <c r="CS36" i="68"/>
  <c r="DM10" i="68"/>
  <c r="DM20" i="68"/>
  <c r="DM30" i="68"/>
  <c r="DM42" i="68"/>
  <c r="CS12" i="68"/>
  <c r="DJ41" i="68"/>
  <c r="CM26" i="68"/>
  <c r="DX40" i="68" s="1"/>
  <c r="DL40" i="68"/>
  <c r="DJ25" i="68"/>
  <c r="CS9" i="68"/>
  <c r="CM21" i="68"/>
  <c r="CX12" i="68"/>
  <c r="CM12" i="68"/>
  <c r="CX40" i="68"/>
  <c r="DJ21" i="68"/>
  <c r="DS10" i="68"/>
  <c r="DS16" i="68"/>
  <c r="DS22" i="68"/>
  <c r="DS28" i="68"/>
  <c r="DS34" i="68"/>
  <c r="DS40" i="68"/>
  <c r="DM11" i="68"/>
  <c r="DM21" i="68"/>
  <c r="DM31" i="68"/>
  <c r="DM43" i="68"/>
  <c r="CS28" i="68"/>
  <c r="DL17" i="68"/>
  <c r="DJ34" i="68"/>
  <c r="DL10" i="68"/>
  <c r="DJ14" i="68"/>
  <c r="CM20" i="68"/>
  <c r="CM34" i="68"/>
  <c r="CM25" i="68"/>
  <c r="CS14" i="68"/>
  <c r="DL21" i="68"/>
  <c r="CM9" i="68"/>
  <c r="CM24" i="68"/>
  <c r="CM29" i="68"/>
  <c r="DL25" i="68"/>
  <c r="CS29" i="68"/>
  <c r="CI5" i="68"/>
  <c r="DM12" i="68"/>
  <c r="DM22" i="68"/>
  <c r="DM32" i="68"/>
  <c r="DS11" i="68"/>
  <c r="DS17" i="68"/>
  <c r="DS23" i="68"/>
  <c r="DS29" i="68"/>
  <c r="DS35" i="68"/>
  <c r="DS41" i="68"/>
  <c r="DM13" i="68"/>
  <c r="DM33" i="68"/>
  <c r="CX15" i="68"/>
  <c r="CS19" i="68"/>
  <c r="DJ39" i="68"/>
  <c r="DL12" i="68"/>
  <c r="CS21" i="68"/>
  <c r="CM31" i="68"/>
  <c r="CX20" i="68"/>
  <c r="CS20" i="68"/>
  <c r="CX38" i="68"/>
  <c r="CM33" i="68"/>
  <c r="DJ16" i="68"/>
  <c r="CM38" i="68"/>
  <c r="CM39" i="68"/>
  <c r="DJ37" i="68"/>
  <c r="DL23" i="68"/>
  <c r="CM14" i="68"/>
  <c r="DL33" i="68"/>
  <c r="DS8" i="68"/>
  <c r="DS12" i="68"/>
  <c r="DS18" i="68"/>
  <c r="DS24" i="68"/>
  <c r="DS30" i="68"/>
  <c r="DS36" i="68"/>
  <c r="DS42" i="68"/>
  <c r="DM15" i="68"/>
  <c r="DM23" i="68"/>
  <c r="DM35" i="68"/>
  <c r="DJ31" i="68"/>
  <c r="CS34" i="68"/>
  <c r="CS24" i="68"/>
  <c r="DJ35" i="68"/>
  <c r="CS26" i="68"/>
  <c r="CX22" i="68"/>
  <c r="DJ33" i="68"/>
  <c r="DL14" i="68"/>
  <c r="DL16" i="68"/>
  <c r="CS18" i="68"/>
  <c r="CX16" i="68"/>
  <c r="CX43" i="68"/>
  <c r="CX25" i="68"/>
  <c r="EH43" i="68"/>
  <c r="DL28" i="68"/>
  <c r="EH40" i="68"/>
  <c r="DL29" i="68"/>
  <c r="DL37" i="68"/>
  <c r="DL9" i="68"/>
  <c r="CS38" i="68"/>
  <c r="CX26" i="68"/>
  <c r="DJ43" i="68"/>
  <c r="CS30" i="68"/>
  <c r="CM16" i="68"/>
  <c r="CX23" i="68"/>
  <c r="DJ19" i="68"/>
  <c r="CM32" i="68"/>
  <c r="CS25" i="68"/>
  <c r="CS39" i="68"/>
  <c r="DM34" i="68"/>
  <c r="CS15" i="68"/>
  <c r="CX27" i="68"/>
  <c r="DL36" i="68"/>
  <c r="CX42" i="68"/>
  <c r="DL30" i="68"/>
  <c r="DJ13" i="68"/>
  <c r="DJ23" i="68"/>
  <c r="DL27" i="68"/>
  <c r="CX17" i="68"/>
  <c r="CM15" i="68"/>
  <c r="CM23" i="68"/>
  <c r="DJ8" i="68"/>
  <c r="DJ22" i="68"/>
  <c r="CX29" i="68"/>
  <c r="CS41" i="68"/>
  <c r="CM40" i="68"/>
  <c r="CM18" i="68"/>
  <c r="DX42" i="68" s="1"/>
  <c r="DL22" i="68"/>
  <c r="CM37" i="68"/>
  <c r="DJ10" i="68"/>
  <c r="CX8" i="68"/>
  <c r="CX30" i="68"/>
  <c r="CX35" i="68"/>
  <c r="DL8" i="68"/>
  <c r="CS33" i="68"/>
  <c r="CS8" i="68"/>
  <c r="CX37" i="68"/>
  <c r="DL38" i="68"/>
  <c r="CX19" i="68"/>
  <c r="DJ18" i="68"/>
  <c r="CS10" i="68"/>
  <c r="CS17" i="68"/>
  <c r="DJ9" i="68"/>
  <c r="DL31" i="68"/>
  <c r="DL34" i="68"/>
  <c r="CX32" i="68"/>
  <c r="CM19" i="68"/>
  <c r="DJ38" i="68"/>
  <c r="DL20" i="68"/>
  <c r="CM11" i="68"/>
  <c r="DL18" i="68"/>
  <c r="CS16" i="68"/>
  <c r="DL26" i="68"/>
  <c r="CX39" i="68"/>
  <c r="CX34" i="68"/>
  <c r="CX41" i="68"/>
  <c r="DL19" i="68"/>
  <c r="CM42" i="68"/>
  <c r="DM14" i="68"/>
  <c r="CS40" i="68"/>
  <c r="CM30" i="68"/>
  <c r="DI21" i="68"/>
  <c r="DI27" i="68"/>
  <c r="DI24" i="68"/>
  <c r="DI9" i="68"/>
  <c r="DI29" i="68"/>
  <c r="DI12" i="68"/>
  <c r="DI32" i="68"/>
  <c r="DV8" i="68" a="1"/>
  <c r="DV8" i="68" s="1"/>
  <c r="CD6" i="68"/>
  <c r="CI8" i="68"/>
  <c r="CC5" i="68"/>
  <c r="BY5" i="68"/>
  <c r="DI17" i="68"/>
  <c r="DI38" i="68"/>
  <c r="DI20" i="68"/>
  <c r="DI26" i="68"/>
  <c r="DI35" i="68"/>
  <c r="DI43" i="68"/>
  <c r="DI42" i="68"/>
  <c r="DI11" i="68"/>
  <c r="DI19" i="68"/>
  <c r="DI30" i="68"/>
  <c r="DI37" i="68"/>
  <c r="DI34" i="68"/>
  <c r="DI8" i="68"/>
  <c r="DI18" i="68"/>
  <c r="DI25" i="68"/>
  <c r="DI22" i="68"/>
  <c r="DI40" i="68"/>
  <c r="DI13" i="68"/>
  <c r="DI10" i="68"/>
  <c r="DZ42" i="68" l="1"/>
  <c r="EC43" i="68"/>
  <c r="DZ43" i="68"/>
  <c r="DZ40" i="68"/>
  <c r="EC41" i="68"/>
  <c r="DX43" i="68"/>
  <c r="EC40" i="68"/>
  <c r="EC42" i="68"/>
  <c r="DX41" i="68"/>
  <c r="DP38" i="68"/>
  <c r="DP18" i="68"/>
  <c r="DR15" i="68"/>
  <c r="DR40" i="68"/>
  <c r="DP34" i="68"/>
  <c r="DP32" i="68"/>
  <c r="DR8" i="68"/>
  <c r="DR17" i="68"/>
  <c r="DR23" i="68"/>
  <c r="DR43" i="68"/>
  <c r="DR30" i="68"/>
  <c r="DP23" i="68"/>
  <c r="DP33" i="68"/>
  <c r="DP13" i="68"/>
  <c r="DP43" i="68"/>
  <c r="DR9" i="68"/>
  <c r="DR33" i="68"/>
  <c r="DR14" i="68"/>
  <c r="DP15" i="68"/>
  <c r="DP14" i="68"/>
  <c r="DR28" i="68"/>
  <c r="DP31" i="68"/>
  <c r="DP8" i="68"/>
  <c r="DP27" i="68"/>
  <c r="DR24" i="68"/>
  <c r="DR39" i="68"/>
  <c r="DR38" i="68"/>
  <c r="DR20" i="68"/>
  <c r="DP22" i="68"/>
  <c r="DR29" i="68"/>
  <c r="DR21" i="68"/>
  <c r="DR12" i="68"/>
  <c r="DP12" i="68"/>
  <c r="DR22" i="68"/>
  <c r="DR13" i="68"/>
  <c r="DR37" i="68"/>
  <c r="DP42" i="68"/>
  <c r="DP37" i="68"/>
  <c r="DR27" i="68"/>
  <c r="DP30" i="68"/>
  <c r="DP41" i="68"/>
  <c r="DP40" i="68"/>
  <c r="DP26" i="68"/>
  <c r="DR19" i="68"/>
  <c r="DP21" i="68"/>
  <c r="DP29" i="68"/>
  <c r="DP19" i="68"/>
  <c r="DR42" i="68"/>
  <c r="DP36" i="68"/>
  <c r="DR11" i="68"/>
  <c r="DP11" i="68"/>
  <c r="DP20" i="68"/>
  <c r="DP9" i="68"/>
  <c r="DR32" i="68"/>
  <c r="DP25" i="68"/>
  <c r="DP35" i="68"/>
  <c r="DR36" i="68"/>
  <c r="DP10" i="68"/>
  <c r="DR34" i="68"/>
  <c r="DR16" i="68"/>
  <c r="DR41" i="68"/>
  <c r="DP24" i="68"/>
  <c r="DR18" i="68"/>
  <c r="DR35" i="68"/>
  <c r="DR25" i="68"/>
  <c r="DP17" i="68"/>
  <c r="DP39" i="68"/>
  <c r="DP28" i="68"/>
  <c r="DR31" i="68"/>
  <c r="DP16" i="68"/>
  <c r="DR10" i="68"/>
  <c r="DR26" i="68"/>
  <c r="B8" i="68" l="1" a="1"/>
  <c r="Z42" i="68" s="1"/>
  <c r="Y23" i="68" l="1"/>
  <c r="AH18" i="68"/>
  <c r="I42" i="68"/>
  <c r="AF43" i="68"/>
  <c r="X42" i="68"/>
  <c r="Y38" i="68"/>
  <c r="Z19" i="68"/>
  <c r="AD41" i="68"/>
  <c r="I17" i="68"/>
  <c r="B8" i="68"/>
  <c r="AD8" i="68" s="1"/>
  <c r="AG30" i="68"/>
  <c r="I12" i="68"/>
  <c r="Z36" i="68"/>
  <c r="AC36" i="68" s="1"/>
  <c r="AE29" i="68"/>
  <c r="AA29" i="68" s="1"/>
  <c r="AF33" i="68"/>
  <c r="X19" i="68"/>
  <c r="Z31" i="68"/>
  <c r="X14" i="68"/>
  <c r="N25" i="68"/>
  <c r="AE26" i="68"/>
  <c r="AA26" i="68" s="1"/>
  <c r="AD22" i="68"/>
  <c r="N21" i="68"/>
  <c r="AF34" i="68"/>
  <c r="AF37" i="68"/>
  <c r="AH14" i="68"/>
  <c r="X13" i="68"/>
  <c r="Y35" i="68"/>
  <c r="X24" i="68"/>
  <c r="AD28" i="68"/>
  <c r="Y22" i="68"/>
  <c r="AG27" i="68"/>
  <c r="C9" i="68"/>
  <c r="C27" i="68"/>
  <c r="I43" i="68"/>
  <c r="I28" i="68"/>
  <c r="X15" i="68"/>
  <c r="N20" i="68"/>
  <c r="AG25" i="68"/>
  <c r="AE40" i="68"/>
  <c r="AA40" i="68" s="1"/>
  <c r="I34" i="68"/>
  <c r="X28" i="68"/>
  <c r="AE28" i="68"/>
  <c r="AA28" i="68" s="1"/>
  <c r="X31" i="68"/>
  <c r="AF35" i="68"/>
  <c r="AE15" i="68"/>
  <c r="AA15" i="68" s="1"/>
  <c r="AE35" i="68"/>
  <c r="AA35" i="68" s="1"/>
  <c r="AF15" i="68"/>
  <c r="AF23" i="68"/>
  <c r="AE20" i="68"/>
  <c r="AA20" i="68" s="1"/>
  <c r="AD43" i="68"/>
  <c r="AD34" i="68"/>
  <c r="AE41" i="68"/>
  <c r="AA41" i="68" s="1"/>
  <c r="AG28" i="68"/>
  <c r="N15" i="68"/>
  <c r="AF14" i="68"/>
  <c r="X10" i="68"/>
  <c r="Z12" i="68"/>
  <c r="AF41" i="68"/>
  <c r="AD39" i="68"/>
  <c r="AD32" i="68"/>
  <c r="AH34" i="68"/>
  <c r="AE27" i="68"/>
  <c r="AA27" i="68" s="1"/>
  <c r="N42" i="68"/>
  <c r="AH27" i="68"/>
  <c r="I9" i="68"/>
  <c r="AF12" i="68"/>
  <c r="AD24" i="68"/>
  <c r="N37" i="68"/>
  <c r="AD12" i="68"/>
  <c r="X43" i="68"/>
  <c r="C38" i="68"/>
  <c r="Z18" i="68"/>
  <c r="AC18" i="68" s="1"/>
  <c r="I36" i="68"/>
  <c r="Y40" i="68"/>
  <c r="Z43" i="68"/>
  <c r="AC43" i="68" s="1"/>
  <c r="Z22" i="68"/>
  <c r="X40" i="68"/>
  <c r="AH26" i="68"/>
  <c r="Z10" i="68"/>
  <c r="AG38" i="68"/>
  <c r="C17" i="68"/>
  <c r="AE19" i="68"/>
  <c r="AA19" i="68" s="1"/>
  <c r="AB19" i="68" s="1"/>
  <c r="AH40" i="68"/>
  <c r="I13" i="68"/>
  <c r="AH31" i="68"/>
  <c r="I31" i="68"/>
  <c r="AD13" i="68"/>
  <c r="AE13" i="68"/>
  <c r="AA13" i="68" s="1"/>
  <c r="C16" i="68"/>
  <c r="AF24" i="68"/>
  <c r="AE21" i="68"/>
  <c r="AA21" i="68" s="1"/>
  <c r="C30" i="68"/>
  <c r="AF18" i="68"/>
  <c r="X9" i="68"/>
  <c r="AG34" i="68"/>
  <c r="AE23" i="68"/>
  <c r="AA23" i="68" s="1"/>
  <c r="AF17" i="68"/>
  <c r="X38" i="68"/>
  <c r="AE38" i="68"/>
  <c r="AA38" i="68" s="1"/>
  <c r="AE37" i="68"/>
  <c r="AA37" i="68" s="1"/>
  <c r="AD26" i="68"/>
  <c r="I27" i="68"/>
  <c r="Z35" i="68"/>
  <c r="Y11" i="68"/>
  <c r="N18" i="68"/>
  <c r="Z20" i="68"/>
  <c r="AC20" i="68" s="1"/>
  <c r="AG13" i="68"/>
  <c r="N19" i="68"/>
  <c r="AF22" i="68"/>
  <c r="N14" i="68"/>
  <c r="AH33" i="68"/>
  <c r="Y16" i="68"/>
  <c r="AD30" i="68"/>
  <c r="I29" i="68"/>
  <c r="AE17" i="68"/>
  <c r="AA17" i="68" s="1"/>
  <c r="N23" i="68"/>
  <c r="AF13" i="68"/>
  <c r="AH15" i="68"/>
  <c r="C31" i="68"/>
  <c r="AH24" i="68"/>
  <c r="AE30" i="68"/>
  <c r="AA30" i="68" s="1"/>
  <c r="AD21" i="68"/>
  <c r="AG37" i="68"/>
  <c r="AD15" i="68"/>
  <c r="Y24" i="68"/>
  <c r="I40" i="68"/>
  <c r="N34" i="68"/>
  <c r="AG22" i="68"/>
  <c r="I35" i="68"/>
  <c r="C40" i="68"/>
  <c r="AH41" i="68"/>
  <c r="Y34" i="68"/>
  <c r="N9" i="68"/>
  <c r="AH37" i="68"/>
  <c r="Z32" i="68"/>
  <c r="AG33" i="68"/>
  <c r="X36" i="68"/>
  <c r="X29" i="68"/>
  <c r="AH20" i="68"/>
  <c r="Z34" i="68"/>
  <c r="AC34" i="68" s="1"/>
  <c r="Z11" i="68"/>
  <c r="AC11" i="68" s="1"/>
  <c r="AG23" i="68"/>
  <c r="X35" i="68"/>
  <c r="Z23" i="68"/>
  <c r="AC23" i="68" s="1"/>
  <c r="AE24" i="68"/>
  <c r="AA24" i="68" s="1"/>
  <c r="AH16" i="68"/>
  <c r="X17" i="68"/>
  <c r="Z17" i="68"/>
  <c r="AC17" i="68" s="1"/>
  <c r="C20" i="68"/>
  <c r="Y33" i="68"/>
  <c r="AE12" i="68"/>
  <c r="AA12" i="68" s="1"/>
  <c r="AF36" i="68"/>
  <c r="X16" i="68"/>
  <c r="C39" i="68"/>
  <c r="I37" i="68"/>
  <c r="AE11" i="68"/>
  <c r="AA11" i="68" s="1"/>
  <c r="Z9" i="68"/>
  <c r="AC9" i="68" s="1"/>
  <c r="AD33" i="68"/>
  <c r="AH19" i="68"/>
  <c r="N32" i="68"/>
  <c r="N27" i="68"/>
  <c r="AE39" i="68"/>
  <c r="AA39" i="68" s="1"/>
  <c r="Z28" i="68"/>
  <c r="AC28" i="68" s="1"/>
  <c r="C24" i="68"/>
  <c r="AG36" i="68"/>
  <c r="C37" i="68"/>
  <c r="I16" i="68"/>
  <c r="C23" i="68"/>
  <c r="C15" i="68"/>
  <c r="I41" i="68"/>
  <c r="AG9" i="68"/>
  <c r="AG19" i="68"/>
  <c r="AF20" i="68"/>
  <c r="N33" i="68"/>
  <c r="I15" i="68"/>
  <c r="C14" i="68"/>
  <c r="Y9" i="68"/>
  <c r="I23" i="68"/>
  <c r="AH32" i="68"/>
  <c r="I30" i="68"/>
  <c r="I33" i="68"/>
  <c r="AE34" i="68"/>
  <c r="AA34" i="68" s="1"/>
  <c r="N39" i="68"/>
  <c r="Y32" i="68"/>
  <c r="AD19" i="68"/>
  <c r="C32" i="68"/>
  <c r="N29" i="68"/>
  <c r="Y30" i="68"/>
  <c r="N31" i="68"/>
  <c r="X32" i="68"/>
  <c r="AE9" i="68"/>
  <c r="AA9" i="68" s="1"/>
  <c r="AD11" i="68"/>
  <c r="AG26" i="68"/>
  <c r="AH29" i="68"/>
  <c r="Z15" i="68"/>
  <c r="AC15" i="68" s="1"/>
  <c r="Z29" i="68"/>
  <c r="AC29" i="68" s="1"/>
  <c r="I39" i="68"/>
  <c r="I26" i="68"/>
  <c r="AE42" i="68"/>
  <c r="AA42" i="68" s="1"/>
  <c r="Y37" i="68"/>
  <c r="AG14" i="68"/>
  <c r="Z27" i="68"/>
  <c r="AC27" i="68" s="1"/>
  <c r="X12" i="68"/>
  <c r="AH39" i="68"/>
  <c r="I10" i="68"/>
  <c r="X20" i="68"/>
  <c r="Z33" i="68"/>
  <c r="AC33" i="68" s="1"/>
  <c r="Y25" i="68"/>
  <c r="AF27" i="68"/>
  <c r="AD40" i="68"/>
  <c r="Y17" i="68"/>
  <c r="AH28" i="68"/>
  <c r="X37" i="68"/>
  <c r="AF38" i="68"/>
  <c r="AH42" i="68"/>
  <c r="AD14" i="68"/>
  <c r="Y27" i="68"/>
  <c r="AG35" i="68"/>
  <c r="I20" i="68"/>
  <c r="AG15" i="68"/>
  <c r="AF42" i="68"/>
  <c r="C26" i="68"/>
  <c r="Z16" i="68"/>
  <c r="AC16" i="68" s="1"/>
  <c r="I21" i="68"/>
  <c r="I38" i="68"/>
  <c r="Z30" i="68"/>
  <c r="AC30" i="68" s="1"/>
  <c r="AE31" i="68"/>
  <c r="AA31" i="68" s="1"/>
  <c r="AB31" i="68" s="1"/>
  <c r="AE10" i="68"/>
  <c r="AA10" i="68" s="1"/>
  <c r="AB10" i="68" s="1"/>
  <c r="Y20" i="68"/>
  <c r="AF28" i="68"/>
  <c r="Z24" i="68"/>
  <c r="AC24" i="68" s="1"/>
  <c r="AH25" i="68"/>
  <c r="AG16" i="68"/>
  <c r="Z26" i="68"/>
  <c r="AC26" i="68" s="1"/>
  <c r="AG18" i="68"/>
  <c r="AD17" i="68"/>
  <c r="Y10" i="68"/>
  <c r="AF30" i="68"/>
  <c r="Y43" i="68"/>
  <c r="AH9" i="68"/>
  <c r="N26" i="68"/>
  <c r="AG20" i="68"/>
  <c r="C42" i="68"/>
  <c r="AH30" i="68"/>
  <c r="N11" i="68"/>
  <c r="AG39" i="68"/>
  <c r="C18" i="68"/>
  <c r="X11" i="68"/>
  <c r="AD35" i="68"/>
  <c r="N40" i="68"/>
  <c r="C22" i="68"/>
  <c r="AF11" i="68"/>
  <c r="Y19" i="68"/>
  <c r="AF25" i="68"/>
  <c r="AD29" i="68"/>
  <c r="AD9" i="68"/>
  <c r="Y42" i="68"/>
  <c r="I25" i="68"/>
  <c r="C35" i="68"/>
  <c r="X30" i="68"/>
  <c r="I32" i="68"/>
  <c r="AG12" i="68"/>
  <c r="AF31" i="68"/>
  <c r="AF39" i="68"/>
  <c r="Y28" i="68"/>
  <c r="AD16" i="68"/>
  <c r="Z41" i="68"/>
  <c r="AC41" i="68" s="1"/>
  <c r="AH11" i="68"/>
  <c r="N41" i="68"/>
  <c r="AE18" i="68"/>
  <c r="AA18" i="68" s="1"/>
  <c r="AG24" i="68"/>
  <c r="AD10" i="68"/>
  <c r="AE25" i="68"/>
  <c r="AA25" i="68" s="1"/>
  <c r="Z25" i="68"/>
  <c r="AC25" i="68" s="1"/>
  <c r="N38" i="68"/>
  <c r="C33" i="68"/>
  <c r="AG43" i="68"/>
  <c r="AF40" i="68"/>
  <c r="C25" i="68"/>
  <c r="Y31" i="68"/>
  <c r="Z21" i="68"/>
  <c r="AB21" i="68" s="1"/>
  <c r="AF9" i="68"/>
  <c r="Z13" i="68"/>
  <c r="AC13" i="68" s="1"/>
  <c r="AD23" i="68"/>
  <c r="AH12" i="68"/>
  <c r="C21" i="68"/>
  <c r="AD37" i="68"/>
  <c r="C29" i="68"/>
  <c r="Y21" i="68"/>
  <c r="AD25" i="68"/>
  <c r="AH10" i="68"/>
  <c r="I22" i="68"/>
  <c r="X23" i="68"/>
  <c r="X26" i="68"/>
  <c r="AF19" i="68"/>
  <c r="N28" i="68"/>
  <c r="X39" i="68"/>
  <c r="X21" i="68"/>
  <c r="AH13" i="68"/>
  <c r="C41" i="68"/>
  <c r="X22" i="68"/>
  <c r="Z14" i="68"/>
  <c r="AG32" i="68"/>
  <c r="AG29" i="68"/>
  <c r="N36" i="68"/>
  <c r="N35" i="68"/>
  <c r="AH38" i="68"/>
  <c r="N12" i="68"/>
  <c r="AG21" i="68"/>
  <c r="AG31" i="68"/>
  <c r="Y26" i="68"/>
  <c r="AD18" i="68"/>
  <c r="AH23" i="68"/>
  <c r="X18" i="68"/>
  <c r="AE32" i="68"/>
  <c r="AA32" i="68" s="1"/>
  <c r="AB32" i="68" s="1"/>
  <c r="Y29" i="68"/>
  <c r="N17" i="68"/>
  <c r="AE36" i="68"/>
  <c r="AA36" i="68" s="1"/>
  <c r="X34" i="68"/>
  <c r="N10" i="68"/>
  <c r="Z39" i="68"/>
  <c r="AC39" i="68" s="1"/>
  <c r="AE22" i="68"/>
  <c r="AA22" i="68" s="1"/>
  <c r="AB22" i="68" s="1"/>
  <c r="I14" i="68"/>
  <c r="AF29" i="68"/>
  <c r="C13" i="68"/>
  <c r="AG11" i="68"/>
  <c r="N30" i="68"/>
  <c r="AG40" i="68"/>
  <c r="AE14" i="68"/>
  <c r="AA14" i="68" s="1"/>
  <c r="N22" i="68"/>
  <c r="AD42" i="68"/>
  <c r="Y14" i="68"/>
  <c r="AG17" i="68"/>
  <c r="AD31" i="68"/>
  <c r="C12" i="68"/>
  <c r="Z37" i="68"/>
  <c r="AB37" i="68" s="1"/>
  <c r="C28" i="68"/>
  <c r="AH21" i="68"/>
  <c r="AG10" i="68"/>
  <c r="C10" i="68"/>
  <c r="N43" i="68"/>
  <c r="C36" i="68"/>
  <c r="AF32" i="68"/>
  <c r="N16" i="68"/>
  <c r="Y41" i="68"/>
  <c r="C11" i="68"/>
  <c r="AH22" i="68"/>
  <c r="I11" i="68"/>
  <c r="X27" i="68"/>
  <c r="Y36" i="68"/>
  <c r="I19" i="68"/>
  <c r="I24" i="68"/>
  <c r="AF26" i="68"/>
  <c r="AH43" i="68"/>
  <c r="AH36" i="68"/>
  <c r="N24" i="68"/>
  <c r="AF21" i="68"/>
  <c r="AH17" i="68"/>
  <c r="C19" i="68"/>
  <c r="Y15" i="68"/>
  <c r="N13" i="68"/>
  <c r="Y13" i="68"/>
  <c r="AD36" i="68"/>
  <c r="C34" i="68"/>
  <c r="AG41" i="68"/>
  <c r="AH35" i="68"/>
  <c r="I18" i="68"/>
  <c r="AD38" i="68"/>
  <c r="C43" i="68"/>
  <c r="Y39" i="68"/>
  <c r="X25" i="68"/>
  <c r="AE16" i="68"/>
  <c r="AA16" i="68" s="1"/>
  <c r="AF10" i="68"/>
  <c r="Y18" i="68"/>
  <c r="Z40" i="68"/>
  <c r="AB40" i="68" s="1"/>
  <c r="X33" i="68"/>
  <c r="Y12" i="68"/>
  <c r="AE43" i="68"/>
  <c r="AA43" i="68" s="1"/>
  <c r="AB43" i="68" s="1"/>
  <c r="Z38" i="68"/>
  <c r="X41" i="68"/>
  <c r="AD27" i="68"/>
  <c r="AE33" i="68"/>
  <c r="AA33" i="68" s="1"/>
  <c r="AG42" i="68"/>
  <c r="AD20" i="68"/>
  <c r="AF16" i="68"/>
  <c r="AC19" i="68"/>
  <c r="AC31" i="68"/>
  <c r="AC22" i="68"/>
  <c r="AC10" i="68"/>
  <c r="AC35" i="68"/>
  <c r="AC32" i="68"/>
  <c r="AC21" i="68"/>
  <c r="AC42" i="68"/>
  <c r="AB42" i="68"/>
  <c r="AB17" i="68" l="1"/>
  <c r="AB28" i="68"/>
  <c r="AB36" i="68"/>
  <c r="AB38" i="68"/>
  <c r="AB9" i="68"/>
  <c r="AB24" i="68"/>
  <c r="AB33" i="68"/>
  <c r="AB29" i="68"/>
  <c r="AB12" i="68"/>
  <c r="AB15" i="68"/>
  <c r="AB26" i="68"/>
  <c r="AC12" i="68"/>
  <c r="AB34" i="68"/>
  <c r="AB16" i="68"/>
  <c r="AC38" i="68"/>
  <c r="AB13" i="68"/>
  <c r="AB14" i="68"/>
  <c r="AB35" i="68"/>
  <c r="AB39" i="68"/>
  <c r="AE8" i="68"/>
  <c r="AA8" i="68" s="1"/>
  <c r="C8" i="68"/>
  <c r="AF8" i="68"/>
  <c r="Y8" i="68"/>
  <c r="X8" i="68"/>
  <c r="AB20" i="68"/>
  <c r="AH8" i="68"/>
  <c r="AB30" i="68"/>
  <c r="I8" i="68"/>
  <c r="AG8" i="68"/>
  <c r="N8" i="68"/>
  <c r="AB27" i="68"/>
  <c r="Z8" i="68"/>
  <c r="AC14" i="68"/>
  <c r="AC40" i="68"/>
  <c r="AB25" i="68"/>
  <c r="AB11" i="68"/>
  <c r="AB41" i="68"/>
  <c r="AB18" i="68"/>
  <c r="AB23" i="68"/>
  <c r="AC37" i="68"/>
  <c r="AB8" i="68" l="1"/>
  <c r="AC8"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C0FD251E-A546-4587-94AE-34C0DAFDA422}">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7817F3D5-7CFB-47A8-9E85-D91FC501629D}">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825C6324-2070-4364-8DE2-BAC1D59732F6}">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48E21F24-6BA0-4AA5-8228-B3F74C14C6DF}">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85B2A6FA-2F3C-41B2-AC65-50DF10DD6B64}">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22FA9B38-8946-4267-9442-24275F717785}">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53A8FE4C-2B61-42AB-A27A-2A3288684840}">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FDA29D73-1B1E-4030-960B-5BF64CD49AEA}">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24DFE25F-0562-45BF-AD88-B564A63EE005}">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137161FD-5F16-4FB1-AE21-A2B8B73CA647}">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BEBCF417-60C8-4FCB-BAE9-062E6A31E651}">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Christophe TRICONNET</author>
  </authors>
  <commentList>
    <comment ref="O5" authorId="0" shapeId="0" xr:uid="{FCDE6E04-3F07-440F-9402-3FFBC896EC7B}">
      <text>
        <r>
          <rPr>
            <b/>
            <sz val="9"/>
            <color indexed="81"/>
            <rFont val="Tahoma"/>
            <family val="2"/>
          </rPr>
          <t>Christophe TRICONNET:</t>
        </r>
        <r>
          <rPr>
            <sz val="9"/>
            <color indexed="81"/>
            <rFont val="Tahoma"/>
            <family val="2"/>
          </rPr>
          <t xml:space="preserve">
Modifier l'ordre de jeu si une erreur dans l'ordre proposé ou suivant avis directeur de jeu.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futureMetadata>
  <cellMetadata count="1">
    <bk>
      <rc t="1" v="0"/>
    </bk>
  </cellMetadata>
  <valueMetadata count="4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valueMetadata>
</metadata>
</file>

<file path=xl/sharedStrings.xml><?xml version="1.0" encoding="utf-8"?>
<sst xmlns="http://schemas.openxmlformats.org/spreadsheetml/2006/main" count="40479" uniqueCount="11542">
  <si>
    <t>013527H</t>
  </si>
  <si>
    <t>BILLARD CLUB CLICHOIS</t>
  </si>
  <si>
    <t>Pts</t>
  </si>
  <si>
    <t>Bonus</t>
  </si>
  <si>
    <t>ASS. BILLARD AMATEUR DE SAINT MAUR</t>
  </si>
  <si>
    <t>Clt</t>
  </si>
  <si>
    <t>ACADEMIE DE BILLARD D ARGENTEUIL</t>
  </si>
  <si>
    <t>ACADEMIE DE BILLARD DE MAISONS ALFORT</t>
  </si>
  <si>
    <t>Nom</t>
  </si>
  <si>
    <t>Prénom</t>
  </si>
  <si>
    <t>Club</t>
  </si>
  <si>
    <t>LECLERC</t>
  </si>
  <si>
    <t>CHRISTOPHE</t>
  </si>
  <si>
    <t>PATRICK</t>
  </si>
  <si>
    <t>PM</t>
  </si>
  <si>
    <t>D</t>
  </si>
  <si>
    <t>F</t>
  </si>
  <si>
    <t>MS</t>
  </si>
  <si>
    <t>R</t>
  </si>
  <si>
    <t>MPART</t>
  </si>
  <si>
    <t>MGP</t>
  </si>
  <si>
    <t>Licence</t>
  </si>
  <si>
    <t>G</t>
  </si>
  <si>
    <t>PTS</t>
  </si>
  <si>
    <t>N1</t>
  </si>
  <si>
    <t>N2</t>
  </si>
  <si>
    <t>N3</t>
  </si>
  <si>
    <t>LICENCE</t>
  </si>
  <si>
    <t>NOM</t>
  </si>
  <si>
    <t>PRENOM</t>
  </si>
  <si>
    <t>CLUB</t>
  </si>
  <si>
    <t>J1</t>
  </si>
  <si>
    <t>J2</t>
  </si>
  <si>
    <t>Ligue</t>
  </si>
  <si>
    <t>CDB</t>
  </si>
  <si>
    <t>Num Club</t>
  </si>
  <si>
    <t>Nom Club</t>
  </si>
  <si>
    <t>Prenom</t>
  </si>
  <si>
    <t>Date de naissance</t>
  </si>
  <si>
    <t>Sexe</t>
  </si>
  <si>
    <t>Adresse 1</t>
  </si>
  <si>
    <t>Adresse 2</t>
  </si>
  <si>
    <t>Adresse 3</t>
  </si>
  <si>
    <t>Code postal</t>
  </si>
  <si>
    <t>Ville</t>
  </si>
  <si>
    <t>Pays</t>
  </si>
  <si>
    <t>Tel fixe</t>
  </si>
  <si>
    <t>Tel port</t>
  </si>
  <si>
    <t>Email</t>
  </si>
  <si>
    <t>Lettre de la federation</t>
  </si>
  <si>
    <t>Categorie</t>
  </si>
  <si>
    <t>Discipline</t>
  </si>
  <si>
    <t>Arbitre</t>
  </si>
  <si>
    <t>Date licence</t>
  </si>
  <si>
    <t>Nationaliti</t>
  </si>
  <si>
    <t>010178M</t>
  </si>
  <si>
    <t>SERGE</t>
  </si>
  <si>
    <t>RIEGEL</t>
  </si>
  <si>
    <t>M</t>
  </si>
  <si>
    <t>40 RUE DU FAISAN DORE</t>
  </si>
  <si>
    <t>SUCY EN BRIE</t>
  </si>
  <si>
    <t>FRANCE</t>
  </si>
  <si>
    <t>serge.riegel@orange.fr</t>
  </si>
  <si>
    <t>OUI</t>
  </si>
  <si>
    <t>+21 ans</t>
  </si>
  <si>
    <t>Carambole</t>
  </si>
  <si>
    <t>010574S</t>
  </si>
  <si>
    <t>BILLARD CLUB DRAVEIL</t>
  </si>
  <si>
    <t>PATRICE</t>
  </si>
  <si>
    <t>GUICHAOUA</t>
  </si>
  <si>
    <t>45 AVENUE PIERRE BROSSOLETTE</t>
  </si>
  <si>
    <t>MONTGERON</t>
  </si>
  <si>
    <t>patrice.guichaoua@gmail.com</t>
  </si>
  <si>
    <t>012385J</t>
  </si>
  <si>
    <t>ALI</t>
  </si>
  <si>
    <t>ABDALCANNY</t>
  </si>
  <si>
    <t>19 AVENUE DU HAUT PAVE</t>
  </si>
  <si>
    <t>CERGY</t>
  </si>
  <si>
    <t>abdalcanny.aly@orange.fr</t>
  </si>
  <si>
    <t>012401Z</t>
  </si>
  <si>
    <t>AIGUILLON</t>
  </si>
  <si>
    <t>14 AVENUE DE L ILE DE FRANCE</t>
  </si>
  <si>
    <t>TAVERNY</t>
  </si>
  <si>
    <t>patrick.aiguillon@sfr.fr</t>
  </si>
  <si>
    <t>012406E</t>
  </si>
  <si>
    <t>PHILIPPE</t>
  </si>
  <si>
    <t>ALAZARD</t>
  </si>
  <si>
    <t>LUZANCY</t>
  </si>
  <si>
    <t>philippe.alazard@orange.fr</t>
  </si>
  <si>
    <t>012412K</t>
  </si>
  <si>
    <t>BILLARD ACADEMIE DE COULOMMIERS</t>
  </si>
  <si>
    <t>MICHEL</t>
  </si>
  <si>
    <t>ALIX</t>
  </si>
  <si>
    <t>14 RUE DU GAIN DU BOIS</t>
  </si>
  <si>
    <t>BOISSY LE CHATEL</t>
  </si>
  <si>
    <t>miclo614@gmail.com</t>
  </si>
  <si>
    <t>BILLARD CLUB VICINOIS</t>
  </si>
  <si>
    <t>BERNARD</t>
  </si>
  <si>
    <t>GUYANCOURT</t>
  </si>
  <si>
    <t>BILLARD CLUB D ETAMPES</t>
  </si>
  <si>
    <t>JEAN CLAUDE</t>
  </si>
  <si>
    <t>ETAMPES</t>
  </si>
  <si>
    <t>BILLARD CLUB LA GARENNE CLAMART</t>
  </si>
  <si>
    <t>DANIEL</t>
  </si>
  <si>
    <t>BOULOGNE BILLANCOURT</t>
  </si>
  <si>
    <t>012435H</t>
  </si>
  <si>
    <t>GERARD</t>
  </si>
  <si>
    <t>ANDRADE</t>
  </si>
  <si>
    <t>4 RUE FERNAND LEGER</t>
  </si>
  <si>
    <t>SARTROUVILLE</t>
  </si>
  <si>
    <t>andradegerard@gmail.com</t>
  </si>
  <si>
    <t>arbitre</t>
  </si>
  <si>
    <t>012438K</t>
  </si>
  <si>
    <t>A.M.B. ARPAJON</t>
  </si>
  <si>
    <t>LUC</t>
  </si>
  <si>
    <t>ANDRE</t>
  </si>
  <si>
    <t>10 RUE DE LA VANNE</t>
  </si>
  <si>
    <t>COURCOURONNES</t>
  </si>
  <si>
    <t>luc.andre.91@orange.fr</t>
  </si>
  <si>
    <t>S.C.M.C BILLARD CLUB</t>
  </si>
  <si>
    <t>GUY</t>
  </si>
  <si>
    <t>BILLARD BOIS COLOMBES</t>
  </si>
  <si>
    <t>RUEIL MALMAISON</t>
  </si>
  <si>
    <t>012460G</t>
  </si>
  <si>
    <t>BILLARD CLUB DE NANDY</t>
  </si>
  <si>
    <t>AUXIETRE</t>
  </si>
  <si>
    <t>49 RUE DE VILLEROY</t>
  </si>
  <si>
    <t>QUINCY SOUS SENART</t>
  </si>
  <si>
    <t>012474U</t>
  </si>
  <si>
    <t>BILLARD CLUB FRANCONVILLE</t>
  </si>
  <si>
    <t>BAILOT</t>
  </si>
  <si>
    <t>95 RUE DU BOIS DAGUERRE</t>
  </si>
  <si>
    <t>ST LEU LA FORET</t>
  </si>
  <si>
    <t>bailotpat@orange.fr</t>
  </si>
  <si>
    <t>ANTONIO</t>
  </si>
  <si>
    <t>CLICHY</t>
  </si>
  <si>
    <t>012498S</t>
  </si>
  <si>
    <t>ALAIN</t>
  </si>
  <si>
    <t>BARRET</t>
  </si>
  <si>
    <t>25 AVENUE MAURICE RAVEL</t>
  </si>
  <si>
    <t>CHENNEVIERES</t>
  </si>
  <si>
    <t>alain.barret52@gmail.com</t>
  </si>
  <si>
    <t>012504Y</t>
  </si>
  <si>
    <t>DOMINIQUE</t>
  </si>
  <si>
    <t>BASQUIN</t>
  </si>
  <si>
    <t>26 RUE DE LA ROUCHE</t>
  </si>
  <si>
    <t>LA CELLE LES BORDES</t>
  </si>
  <si>
    <t>dominique.basquin885@orange.fr</t>
  </si>
  <si>
    <t>012508C</t>
  </si>
  <si>
    <t>BATTMANN</t>
  </si>
  <si>
    <t>35 37 RUE DE L EGALITE</t>
  </si>
  <si>
    <t>COLOMBES</t>
  </si>
  <si>
    <t>pkbn@orange.fr</t>
  </si>
  <si>
    <t>012515J</t>
  </si>
  <si>
    <t>CLAUDE</t>
  </si>
  <si>
    <t>BAUDUIN</t>
  </si>
  <si>
    <t>9 RUE DE GINGLET</t>
  </si>
  <si>
    <t>claudebauduin@free.fr</t>
  </si>
  <si>
    <t>012519N</t>
  </si>
  <si>
    <t>CMO MORANGIS</t>
  </si>
  <si>
    <t>PASCAL</t>
  </si>
  <si>
    <t>BAYON</t>
  </si>
  <si>
    <t>127 RUE JEAN JAURES</t>
  </si>
  <si>
    <t>MAISONS ALFORT</t>
  </si>
  <si>
    <t>bayonpascal@gmail.com</t>
  </si>
  <si>
    <t>MALEK</t>
  </si>
  <si>
    <t>BAGNEUX</t>
  </si>
  <si>
    <t>012533B</t>
  </si>
  <si>
    <t>BILLARD CLUB PARISIEN</t>
  </si>
  <si>
    <t>REDA</t>
  </si>
  <si>
    <t>BELHAJ</t>
  </si>
  <si>
    <t>28 BD ARISTIDE BRIAND</t>
  </si>
  <si>
    <t>VILLIERS SUR MARNE</t>
  </si>
  <si>
    <t>reda.belhajj@gmail.com</t>
  </si>
  <si>
    <t>012551T</t>
  </si>
  <si>
    <t>BERGERARD</t>
  </si>
  <si>
    <t>35 RUE D ARCUEIL</t>
  </si>
  <si>
    <t>NANDY</t>
  </si>
  <si>
    <t>012557Z</t>
  </si>
  <si>
    <t>23 AV DU BOIS DE PLACE</t>
  </si>
  <si>
    <t>LISSES</t>
  </si>
  <si>
    <t>brigitte-patrice@wanadoo.fr</t>
  </si>
  <si>
    <t>012558A</t>
  </si>
  <si>
    <t>PIERRE</t>
  </si>
  <si>
    <t>6 RUE MOZART</t>
  </si>
  <si>
    <t>EAUBONNE</t>
  </si>
  <si>
    <t>bjp.pierre@gmail.com</t>
  </si>
  <si>
    <t>JACQUES</t>
  </si>
  <si>
    <t>ASS.SPORT CORBEIL ESSONNES</t>
  </si>
  <si>
    <t>JEAN PAUL</t>
  </si>
  <si>
    <t>MELUN</t>
  </si>
  <si>
    <t>012583Z</t>
  </si>
  <si>
    <t>BIDEL</t>
  </si>
  <si>
    <t>8 RUE DU SOULIER DU BRABANT</t>
  </si>
  <si>
    <t>ST DENIS</t>
  </si>
  <si>
    <t>patricebidel@hotmail.com</t>
  </si>
  <si>
    <t>012585B</t>
  </si>
  <si>
    <t>A. B. OZOIR LA FERRIERE</t>
  </si>
  <si>
    <t>GUILLAUME</t>
  </si>
  <si>
    <t>BIENNE</t>
  </si>
  <si>
    <t>57 AVENUE DES SOUCIS</t>
  </si>
  <si>
    <t>PONTAULT COMBAULT</t>
  </si>
  <si>
    <t>guillaime@animagie.com</t>
  </si>
  <si>
    <t>BILLARD CLUB DE LIVRY GARGAN</t>
  </si>
  <si>
    <t>JEAN PIERRE</t>
  </si>
  <si>
    <t>LIVRY GARGAN</t>
  </si>
  <si>
    <t>012594K</t>
  </si>
  <si>
    <t>BILLIARD</t>
  </si>
  <si>
    <t>16 RUE JACQUES PREVERT</t>
  </si>
  <si>
    <t>OZOIR LA FERRIERE</t>
  </si>
  <si>
    <t>alain.billiard@wanadoo.fr</t>
  </si>
  <si>
    <t>A. DE BILLARD COURBEVOIE-LA DEFENSE</t>
  </si>
  <si>
    <t>JEAN JACQUES</t>
  </si>
  <si>
    <t>BOUDIN</t>
  </si>
  <si>
    <t>AC.ROYALE DE BILLARD DE VERSAILLES</t>
  </si>
  <si>
    <t>012657V</t>
  </si>
  <si>
    <t>BIILLARD CLUB DE VERNOUILLET</t>
  </si>
  <si>
    <t>FREDERIC</t>
  </si>
  <si>
    <t>BOURHIS</t>
  </si>
  <si>
    <t>19 ALLEE DES BOIS</t>
  </si>
  <si>
    <t>VERNEUIL</t>
  </si>
  <si>
    <t>frederic.bourhis@wanadoo.fr</t>
  </si>
  <si>
    <t>012665D</t>
  </si>
  <si>
    <t>KAMEL</t>
  </si>
  <si>
    <t>BOUZEMANE</t>
  </si>
  <si>
    <t>12 RUE PIERRE BROSSOLETTE</t>
  </si>
  <si>
    <t>DRAVEIL</t>
  </si>
  <si>
    <t>kam-elec@wanadoo.fr</t>
  </si>
  <si>
    <t>CHATILLON</t>
  </si>
  <si>
    <t>UNITE SPORTIVE AVONNAISE BILLARD</t>
  </si>
  <si>
    <t>012727N</t>
  </si>
  <si>
    <t>GIUSEPPE</t>
  </si>
  <si>
    <t>CARADONNA</t>
  </si>
  <si>
    <t>2 RUE CLAUDE DEBUSSY</t>
  </si>
  <si>
    <t>RESIDENCE BALZAC</t>
  </si>
  <si>
    <t>ERMONT</t>
  </si>
  <si>
    <t>abargenteuil@free.fr</t>
  </si>
  <si>
    <t>NON</t>
  </si>
  <si>
    <t>012728O</t>
  </si>
  <si>
    <t>MARIE</t>
  </si>
  <si>
    <t>CARCY</t>
  </si>
  <si>
    <t>7 RUE ANTONIO GAUDI</t>
  </si>
  <si>
    <t>012734U</t>
  </si>
  <si>
    <t>EMMANUEL</t>
  </si>
  <si>
    <t>CARRE</t>
  </si>
  <si>
    <t>151 AVENUE JEAN JAURES</t>
  </si>
  <si>
    <t>MONTROUGE</t>
  </si>
  <si>
    <t>carr.emmanuel@orange.fr</t>
  </si>
  <si>
    <t>012736W</t>
  </si>
  <si>
    <t>ETIENNE</t>
  </si>
  <si>
    <t>CARRIERE</t>
  </si>
  <si>
    <t>225 RUE DES FEUGERES</t>
  </si>
  <si>
    <t>ORGEVAL</t>
  </si>
  <si>
    <t>etienne.carriere@me.com</t>
  </si>
  <si>
    <t>012742C</t>
  </si>
  <si>
    <t>FABRICE</t>
  </si>
  <si>
    <t>CASSARD</t>
  </si>
  <si>
    <t>5 RUE DU PONT DES CHASSES</t>
  </si>
  <si>
    <t>VIROFLAY</t>
  </si>
  <si>
    <t>fabrice.cassard@free.fr</t>
  </si>
  <si>
    <t>012743D</t>
  </si>
  <si>
    <t>CASSIAU</t>
  </si>
  <si>
    <t>51 RUE MENDES FRANCE</t>
  </si>
  <si>
    <t>MAGNY LES HAMEAUX</t>
  </si>
  <si>
    <t>bernard.cassiau-soustra@wanadoo.fr</t>
  </si>
  <si>
    <t>012745F</t>
  </si>
  <si>
    <t>ENTENTE SPORTIVE DE MASSY</t>
  </si>
  <si>
    <t>JEAN LOUIS</t>
  </si>
  <si>
    <t>CASTAINGS</t>
  </si>
  <si>
    <t>17 RUE DU BOIS DE BALISY</t>
  </si>
  <si>
    <t>EPINAY SUR ORGE</t>
  </si>
  <si>
    <t>jeanlouiscastaings@gmail.com</t>
  </si>
  <si>
    <t>JEAN</t>
  </si>
  <si>
    <t>CONFLANS STE HONORINE</t>
  </si>
  <si>
    <t>012774I</t>
  </si>
  <si>
    <t>CHAMPY</t>
  </si>
  <si>
    <t>22 RUE LATERALE</t>
  </si>
  <si>
    <t>CRETEIL</t>
  </si>
  <si>
    <t>champy.philippe@numericable.fr</t>
  </si>
  <si>
    <t>012795D</t>
  </si>
  <si>
    <t>CHETARD</t>
  </si>
  <si>
    <t>BRIE COMTE ROBERT</t>
  </si>
  <si>
    <t>chetardandre@gmail.com</t>
  </si>
  <si>
    <t>012800I</t>
  </si>
  <si>
    <t>TONY</t>
  </si>
  <si>
    <t>CHOMICKI</t>
  </si>
  <si>
    <t>19 RUE DES JONQUILLES</t>
  </si>
  <si>
    <t>CESSON</t>
  </si>
  <si>
    <t>tony.chomicki@wanadoo.fr</t>
  </si>
  <si>
    <t>CHRISTIAN</t>
  </si>
  <si>
    <t>OSNY</t>
  </si>
  <si>
    <t>NEUILLY PLAISANCE</t>
  </si>
  <si>
    <t>012869Z</t>
  </si>
  <si>
    <t>CRETIN</t>
  </si>
  <si>
    <t>269 AV DU GENERAL DE GAULLE</t>
  </si>
  <si>
    <t>LE PERREUX</t>
  </si>
  <si>
    <t>c.christian1957@hotmail.fr</t>
  </si>
  <si>
    <t>LAURENT</t>
  </si>
  <si>
    <t>DAVY</t>
  </si>
  <si>
    <t>174 RUE GALLIENI</t>
  </si>
  <si>
    <t>012903H</t>
  </si>
  <si>
    <t>ALBERT</t>
  </si>
  <si>
    <t>DE AMARAL</t>
  </si>
  <si>
    <t>29 RUE JEAN MOULIN</t>
  </si>
  <si>
    <t>012912Q</t>
  </si>
  <si>
    <t>JOSE</t>
  </si>
  <si>
    <t>DE QUEIROS</t>
  </si>
  <si>
    <t>46 RUE D ARGENTEUIL</t>
  </si>
  <si>
    <t>ST GRATIEN</t>
  </si>
  <si>
    <t>josedequeiros56@gmail.com</t>
  </si>
  <si>
    <t>PORTUGAL</t>
  </si>
  <si>
    <t>ARGENTEUIL</t>
  </si>
  <si>
    <t>HERVE</t>
  </si>
  <si>
    <t>012935N</t>
  </si>
  <si>
    <t>DELMAS</t>
  </si>
  <si>
    <t>35 RUE D ALSACE</t>
  </si>
  <si>
    <t>bernard.delmas@bbox.fr</t>
  </si>
  <si>
    <t>012950C</t>
  </si>
  <si>
    <t>DENIZET</t>
  </si>
  <si>
    <t>22 COURS PIERRE FRESNEY</t>
  </si>
  <si>
    <t>ANTONY</t>
  </si>
  <si>
    <t>012967T</t>
  </si>
  <si>
    <t>JEROME</t>
  </si>
  <si>
    <t>DESROZIERS</t>
  </si>
  <si>
    <t>28 RUE DU MOULIN A VENT</t>
  </si>
  <si>
    <t>jerome@desroziers.com</t>
  </si>
  <si>
    <t>012980G</t>
  </si>
  <si>
    <t>RICHARD</t>
  </si>
  <si>
    <t>DIALLO</t>
  </si>
  <si>
    <t>2 BOULEVARD BEAUMARCHAIS</t>
  </si>
  <si>
    <t>PARIS</t>
  </si>
  <si>
    <t>richard.diallo@gmail.com</t>
  </si>
  <si>
    <t>012986M</t>
  </si>
  <si>
    <t>DIERICK</t>
  </si>
  <si>
    <t>40 RUE ROYON</t>
  </si>
  <si>
    <t>PALAISEAU</t>
  </si>
  <si>
    <t>gerarddierick@orange.fr</t>
  </si>
  <si>
    <t>BEYNES BILLARD CARAMBOLE</t>
  </si>
  <si>
    <t>PLAISIR</t>
  </si>
  <si>
    <t>CHAMPIGNY SUR MARNE</t>
  </si>
  <si>
    <t>013026A</t>
  </si>
  <si>
    <t>A.S. THIERRY PONTAINE DE BILLARD</t>
  </si>
  <si>
    <t>FRANCIS</t>
  </si>
  <si>
    <t>DUCOURTHIAL</t>
  </si>
  <si>
    <t>128 AV DE LA LIBERATION</t>
  </si>
  <si>
    <t>LE MEE SUR SEINE</t>
  </si>
  <si>
    <t>f77duc@yahoo.fr</t>
  </si>
  <si>
    <t>DUMONT</t>
  </si>
  <si>
    <t>PRINGY</t>
  </si>
  <si>
    <t>013058G</t>
  </si>
  <si>
    <t>DUVERNOY</t>
  </si>
  <si>
    <t>56 RUE DU COLOMBIER</t>
  </si>
  <si>
    <t>LIEUSAINT</t>
  </si>
  <si>
    <t>cduvernoy@club-internet.fr</t>
  </si>
  <si>
    <t>013061J</t>
  </si>
  <si>
    <t>LOUIS</t>
  </si>
  <si>
    <t>EDELIN</t>
  </si>
  <si>
    <t>32 RUE EMILE ZOLA</t>
  </si>
  <si>
    <t>CHALETTE SUR LOING</t>
  </si>
  <si>
    <t>edelin.le@gmail.com</t>
  </si>
  <si>
    <t>ACADEMIE DE BILLARD DE MARINES</t>
  </si>
  <si>
    <t>013067P</t>
  </si>
  <si>
    <t>BILLARD CLUB DE GARGENVILLE</t>
  </si>
  <si>
    <t>EISENKREMER</t>
  </si>
  <si>
    <t>85 BD ADOLPHE LANGLOIS</t>
  </si>
  <si>
    <t>LIMAY</t>
  </si>
  <si>
    <t>eisenkremer.daniel@orange.fr</t>
  </si>
  <si>
    <t>013068Q</t>
  </si>
  <si>
    <t>KARIM</t>
  </si>
  <si>
    <t>EL HADI</t>
  </si>
  <si>
    <t>24 RUE MARTINET</t>
  </si>
  <si>
    <t>karim.el-hadi@orange.fr</t>
  </si>
  <si>
    <t>013077Z</t>
  </si>
  <si>
    <t>ESPINERA</t>
  </si>
  <si>
    <t>5 RUE DES CLOS</t>
  </si>
  <si>
    <t>BOISSISE LA BERTRAND</t>
  </si>
  <si>
    <t>espinera.gerard@hotmail.fr</t>
  </si>
  <si>
    <t>013079B</t>
  </si>
  <si>
    <t>CRISTINO</t>
  </si>
  <si>
    <t>EUSEBIO</t>
  </si>
  <si>
    <t>17 AVENUE DE LA REPUBLIQUE</t>
  </si>
  <si>
    <t>BROU SUR CHANTEREINE</t>
  </si>
  <si>
    <t>cristinoeusebio@gmail.com</t>
  </si>
  <si>
    <t>CHAMBOURCY</t>
  </si>
  <si>
    <t>013107D</t>
  </si>
  <si>
    <t>FELLOUS</t>
  </si>
  <si>
    <t>SARCELLES</t>
  </si>
  <si>
    <t>013113J</t>
  </si>
  <si>
    <t>FLORIAN</t>
  </si>
  <si>
    <t>FERRANDI</t>
  </si>
  <si>
    <t>2 ALLEE DES CIGOGNES</t>
  </si>
  <si>
    <t>AVON</t>
  </si>
  <si>
    <t>013114K</t>
  </si>
  <si>
    <t>FERRARA</t>
  </si>
  <si>
    <t>23 RUE DES FRANCS BOURGEOIS</t>
  </si>
  <si>
    <t>jean-pierre.ferrara@wanadoo.fr</t>
  </si>
  <si>
    <t>013118O</t>
  </si>
  <si>
    <t>MANUEL</t>
  </si>
  <si>
    <t>FERREIRA</t>
  </si>
  <si>
    <t>125 RUE DU CHEMIN VERT</t>
  </si>
  <si>
    <t>HALL 3</t>
  </si>
  <si>
    <t>antoine.ferreira30@sfr.fr</t>
  </si>
  <si>
    <t>013126W</t>
  </si>
  <si>
    <t>FLAMANT</t>
  </si>
  <si>
    <t>4 RUE DES GRANGES</t>
  </si>
  <si>
    <t>CHAUFFRY</t>
  </si>
  <si>
    <t>VITRY SUR SEINE</t>
  </si>
  <si>
    <t>013136G</t>
  </si>
  <si>
    <t>FOGHINAZZI</t>
  </si>
  <si>
    <t>4 RUE LOUIS VUITTON</t>
  </si>
  <si>
    <t>ASNIERES</t>
  </si>
  <si>
    <t>covuitton@gmail.com</t>
  </si>
  <si>
    <t>013144O</t>
  </si>
  <si>
    <t>FOUGEROUSE</t>
  </si>
  <si>
    <t>28 ROUTE DE CHAMPIGNY</t>
  </si>
  <si>
    <t>fougerouse@gmail.com</t>
  </si>
  <si>
    <t>013152W</t>
  </si>
  <si>
    <t>FOURNIER</t>
  </si>
  <si>
    <t>220 RUE DU FAUBOURG SAINT ANTOINE</t>
  </si>
  <si>
    <t>rvfournier16@gmail.com</t>
  </si>
  <si>
    <t>013156A</t>
  </si>
  <si>
    <t>FRANCHET</t>
  </si>
  <si>
    <t>27 CHEMIN SAINTE HONORINE</t>
  </si>
  <si>
    <t>BEAUCHAMP</t>
  </si>
  <si>
    <t>abccfj.franchet@gmail.com</t>
  </si>
  <si>
    <t>013159D</t>
  </si>
  <si>
    <t>BILLARDS PASSION</t>
  </si>
  <si>
    <t>FRERET</t>
  </si>
  <si>
    <t>8 BIS RUE DE BELLEVUE</t>
  </si>
  <si>
    <t>MORSANG SUR ORGE</t>
  </si>
  <si>
    <t>muriel.demacedo@sfr.fr</t>
  </si>
  <si>
    <t>013164I</t>
  </si>
  <si>
    <t>FUCHS</t>
  </si>
  <si>
    <t>6 RUE DE SAINT PAER</t>
  </si>
  <si>
    <t>ST DENIS LE FERMENT</t>
  </si>
  <si>
    <t>013168M</t>
  </si>
  <si>
    <t>FYNN</t>
  </si>
  <si>
    <t>7 HAMEAU DES RUETTES</t>
  </si>
  <si>
    <t>LES ALLUETS LE ROI</t>
  </si>
  <si>
    <t>patrick.fynn@free.fr</t>
  </si>
  <si>
    <t>JEAN LUC</t>
  </si>
  <si>
    <t>013216I</t>
  </si>
  <si>
    <t>FLORENT</t>
  </si>
  <si>
    <t>GEIST</t>
  </si>
  <si>
    <t>7 RUE CURIE</t>
  </si>
  <si>
    <t>CORMEILLES EN VEXIN</t>
  </si>
  <si>
    <t>fg95830@gmail.com</t>
  </si>
  <si>
    <t>013217J</t>
  </si>
  <si>
    <t>FRANCOIS</t>
  </si>
  <si>
    <t>1 SENTE DE LA FERME</t>
  </si>
  <si>
    <t>francois.geist@gmail.com</t>
  </si>
  <si>
    <t>013233Z</t>
  </si>
  <si>
    <t>M. J. C. PROVINS</t>
  </si>
  <si>
    <t>GIGUET</t>
  </si>
  <si>
    <t>36 RUE VICTOR HUGO</t>
  </si>
  <si>
    <t>SAINTE COLOMBE</t>
  </si>
  <si>
    <t>fgt77n@gmail.com</t>
  </si>
  <si>
    <t>GILLES</t>
  </si>
  <si>
    <t>PROVINS</t>
  </si>
  <si>
    <t>013244K</t>
  </si>
  <si>
    <t>JEAN MANUEL</t>
  </si>
  <si>
    <t>GIMENES</t>
  </si>
  <si>
    <t>6 RUE CORNEILLE</t>
  </si>
  <si>
    <t>ORSAY</t>
  </si>
  <si>
    <t>jeanmanuel.gimenes@gmail.com</t>
  </si>
  <si>
    <t>ELANCOURT</t>
  </si>
  <si>
    <t>013255V</t>
  </si>
  <si>
    <t>GLADIEUX</t>
  </si>
  <si>
    <t>64 BOULEVARD MICHELET</t>
  </si>
  <si>
    <t>NOISY LE SEC</t>
  </si>
  <si>
    <t>ggladieux@yahoo.fr</t>
  </si>
  <si>
    <t>013271L</t>
  </si>
  <si>
    <t>VINCENT</t>
  </si>
  <si>
    <t>ESBLY</t>
  </si>
  <si>
    <t>v.gougelin@gmail.com</t>
  </si>
  <si>
    <t>013273N</t>
  </si>
  <si>
    <t>GOURION</t>
  </si>
  <si>
    <t>3 PARC DELATTRE DE TASSIGNY</t>
  </si>
  <si>
    <t>COURBEVOIE</t>
  </si>
  <si>
    <t>013295J</t>
  </si>
  <si>
    <t>MARC</t>
  </si>
  <si>
    <t>GUEGUEN</t>
  </si>
  <si>
    <t>86 AVENUE DU GAL DE GAULLE</t>
  </si>
  <si>
    <t>m.gueguen@truffaut.com</t>
  </si>
  <si>
    <t>U.S CONFLANS STE HONORINE</t>
  </si>
  <si>
    <t>SURESNES</t>
  </si>
  <si>
    <t>Blackball</t>
  </si>
  <si>
    <t>ERAGNY SUR OISE</t>
  </si>
  <si>
    <t>GUILLOT</t>
  </si>
  <si>
    <t>OLLAINVILLE</t>
  </si>
  <si>
    <t>013317F</t>
  </si>
  <si>
    <t>GUILLOTIN</t>
  </si>
  <si>
    <t>46 RUE DE LA BELLE IMAGE</t>
  </si>
  <si>
    <t>gilles.guillotin@laposte.net</t>
  </si>
  <si>
    <t>013325N</t>
  </si>
  <si>
    <t>SURESH</t>
  </si>
  <si>
    <t>GUREWAN</t>
  </si>
  <si>
    <t>114 RUE DU BOIS SAINT MARTIN</t>
  </si>
  <si>
    <t>kdnemballages@gmail.com</t>
  </si>
  <si>
    <t>013334W</t>
  </si>
  <si>
    <t>ACADEMIE BILLARD CLUB DE GARGES</t>
  </si>
  <si>
    <t>GARGES LES GONESSE</t>
  </si>
  <si>
    <t>013335X</t>
  </si>
  <si>
    <t>HANSEL</t>
  </si>
  <si>
    <t>64 AV DU PRESIDENT ROOSEVELT</t>
  </si>
  <si>
    <t>THIAIS</t>
  </si>
  <si>
    <t>christgege5743@sfr.fr</t>
  </si>
  <si>
    <t>013345H</t>
  </si>
  <si>
    <t>BILLARD CLUB BRIARD</t>
  </si>
  <si>
    <t>ROMARIC</t>
  </si>
  <si>
    <t>HENRION</t>
  </si>
  <si>
    <t>7 RUE DU 19 MARS1962</t>
  </si>
  <si>
    <t>BAT 6</t>
  </si>
  <si>
    <t>altaflo-finances@laposte.net</t>
  </si>
  <si>
    <t>013348K</t>
  </si>
  <si>
    <t>EDGARD</t>
  </si>
  <si>
    <t>HERGAUX</t>
  </si>
  <si>
    <t>48 BIS RUE DES ECOUVILLIERS</t>
  </si>
  <si>
    <t>ehergaux@yahoo.com</t>
  </si>
  <si>
    <t>013358U</t>
  </si>
  <si>
    <t>FRANCK</t>
  </si>
  <si>
    <t>HOCQUET</t>
  </si>
  <si>
    <t>18 ALLEE DE LA PACAUDIERE</t>
  </si>
  <si>
    <t>VILLIERS ST FREDERIC</t>
  </si>
  <si>
    <t>franck.hocquet@gmail.com</t>
  </si>
  <si>
    <t>013365B</t>
  </si>
  <si>
    <t>BILLARD CLUB STREPINIACOIS</t>
  </si>
  <si>
    <t>HOUPLAIN</t>
  </si>
  <si>
    <t>ETRECHY</t>
  </si>
  <si>
    <t>acceuillant91@live.fr</t>
  </si>
  <si>
    <t>013415Z</t>
  </si>
  <si>
    <t>JOYEZ</t>
  </si>
  <si>
    <t>250 RUE SAINTE CROIX</t>
  </si>
  <si>
    <t>BRIIS SOUS FORGES</t>
  </si>
  <si>
    <t>coachingalacarte@orange.fr</t>
  </si>
  <si>
    <t>013418C</t>
  </si>
  <si>
    <t>PLAYER'S 95</t>
  </si>
  <si>
    <t>STELLA</t>
  </si>
  <si>
    <t>JULIEN</t>
  </si>
  <si>
    <t>50 RUE MAURICE RAVEL</t>
  </si>
  <si>
    <t>COURTENAY</t>
  </si>
  <si>
    <t>stella.julien@free.fr</t>
  </si>
  <si>
    <t>MARIE LOUISE</t>
  </si>
  <si>
    <t>JULLIEN</t>
  </si>
  <si>
    <t>GUERARD</t>
  </si>
  <si>
    <t>013423H</t>
  </si>
  <si>
    <t>JUMEAU</t>
  </si>
  <si>
    <t>19BIS RUE DELAPIERRE</t>
  </si>
  <si>
    <t>VERNEUIL SUR SEINE</t>
  </si>
  <si>
    <t>jl.jumeau@free.fr</t>
  </si>
  <si>
    <t>013425J</t>
  </si>
  <si>
    <t>DIDIER</t>
  </si>
  <si>
    <t>KALENSKY</t>
  </si>
  <si>
    <t>190 AVENUE DE CLICHY</t>
  </si>
  <si>
    <t>xenon2022@free.fr</t>
  </si>
  <si>
    <t>ERIC</t>
  </si>
  <si>
    <t>ROSNY SOUS BOIS</t>
  </si>
  <si>
    <t>013444C</t>
  </si>
  <si>
    <t>BILLARD CLUB DE BUCHELAY</t>
  </si>
  <si>
    <t>LABILLE</t>
  </si>
  <si>
    <t>2 RUE DE GUITRANCOURT</t>
  </si>
  <si>
    <t>PORCHEVILLE</t>
  </si>
  <si>
    <t>gajpla@gmail.com</t>
  </si>
  <si>
    <t>013447F</t>
  </si>
  <si>
    <t>LABOURIE</t>
  </si>
  <si>
    <t>10 RUE DES VERGERS</t>
  </si>
  <si>
    <t>VOISINS LE BRETONNEUX</t>
  </si>
  <si>
    <t>jeanclaude.labourie@free.fr</t>
  </si>
  <si>
    <t>013475H</t>
  </si>
  <si>
    <t>LANGLAIS</t>
  </si>
  <si>
    <t>2 RUE DU DR CHARCOT</t>
  </si>
  <si>
    <t>PARAY VIEILLE POSTE</t>
  </si>
  <si>
    <t>jean.jacques.langlais@cegetel.net</t>
  </si>
  <si>
    <t>013483P</t>
  </si>
  <si>
    <t>LARFA</t>
  </si>
  <si>
    <t>11 RUE DU PROGRES</t>
  </si>
  <si>
    <t>larfa.karim@wanadoo.fr</t>
  </si>
  <si>
    <t>013489V</t>
  </si>
  <si>
    <t>KAM LONG</t>
  </si>
  <si>
    <t>LAU</t>
  </si>
  <si>
    <t>25BIS RESID LE BOIS DU ROI</t>
  </si>
  <si>
    <t>LES ULIS</t>
  </si>
  <si>
    <t>013495B</t>
  </si>
  <si>
    <t>LAVOCAT DUBUIS</t>
  </si>
  <si>
    <t>4 BIS RUE JEAN FRANCOIS MILLET</t>
  </si>
  <si>
    <t>ST THIBAULT DES VIGNES</t>
  </si>
  <si>
    <t>vmax77400@yahoo.com</t>
  </si>
  <si>
    <t>LE ROY</t>
  </si>
  <si>
    <t>HARAVILLIERS</t>
  </si>
  <si>
    <t>013514U</t>
  </si>
  <si>
    <t>XAVIER</t>
  </si>
  <si>
    <t>9 RUE DE LA FONTAINE</t>
  </si>
  <si>
    <t>xavier.leroy3@orange.fr</t>
  </si>
  <si>
    <t>3 SQUARE HENRY DUNANT</t>
  </si>
  <si>
    <t>LES LILAS</t>
  </si>
  <si>
    <t>philippe.leclerc@93mail.fr</t>
  </si>
  <si>
    <t>013534O</t>
  </si>
  <si>
    <t>LECUGY</t>
  </si>
  <si>
    <t>41 BD D IGNY</t>
  </si>
  <si>
    <t>IGNY</t>
  </si>
  <si>
    <t>lolo91120@gmail.com</t>
  </si>
  <si>
    <t>013542W</t>
  </si>
  <si>
    <t>LE GAC</t>
  </si>
  <si>
    <t>38 AV FAIDHERBE</t>
  </si>
  <si>
    <t>plg1961@gmail.com</t>
  </si>
  <si>
    <t>JAMBVILLE</t>
  </si>
  <si>
    <t>013546A</t>
  </si>
  <si>
    <t>LEGER</t>
  </si>
  <si>
    <t>33 RUE PASTEUR</t>
  </si>
  <si>
    <t>BUCHELAY</t>
  </si>
  <si>
    <t>jmimie.leger@gmail.com</t>
  </si>
  <si>
    <t>013550E</t>
  </si>
  <si>
    <t>BILLARD CLUB DE CHAMPAGNE</t>
  </si>
  <si>
    <t>LEGRAND</t>
  </si>
  <si>
    <t>5 RUE SAINT EXUPERY</t>
  </si>
  <si>
    <t>CHAMPAGNE SUR SEINE</t>
  </si>
  <si>
    <t>guy.legrand54@sfr.fr</t>
  </si>
  <si>
    <t>013554I</t>
  </si>
  <si>
    <t>LEIBOVICI</t>
  </si>
  <si>
    <t>2 ALLEE GOUNOD</t>
  </si>
  <si>
    <t>LES CLAYES SOUS BOIS</t>
  </si>
  <si>
    <t>patrick.leibovici@numericable.fr</t>
  </si>
  <si>
    <t>013557L</t>
  </si>
  <si>
    <t>EDDIE</t>
  </si>
  <si>
    <t>LEJEUNE</t>
  </si>
  <si>
    <t>45 RUE DE MONTMELIAN</t>
  </si>
  <si>
    <t>SAMOREAU</t>
  </si>
  <si>
    <t>eddie.lejeune@wanadoo.fr</t>
  </si>
  <si>
    <t>013581J</t>
  </si>
  <si>
    <t>WILLIAM</t>
  </si>
  <si>
    <t>LEROY</t>
  </si>
  <si>
    <t>CES COTTON</t>
  </si>
  <si>
    <t>LE BLANC MESNIL</t>
  </si>
  <si>
    <t>willeroy93@yahoo.fr</t>
  </si>
  <si>
    <t>013598A</t>
  </si>
  <si>
    <t>LIEVIN</t>
  </si>
  <si>
    <t>16 RUE HENRIETTE</t>
  </si>
  <si>
    <t>CHELLES</t>
  </si>
  <si>
    <t>b.lievin@numericable.com</t>
  </si>
  <si>
    <t>MONTMORENCY</t>
  </si>
  <si>
    <t>013654E</t>
  </si>
  <si>
    <t>JACKY</t>
  </si>
  <si>
    <t>MARATRAT</t>
  </si>
  <si>
    <t>14 RUE DU PATIS</t>
  </si>
  <si>
    <t>POMMEUSE</t>
  </si>
  <si>
    <t>jacky.maratrat@free.fr</t>
  </si>
  <si>
    <t>013662M</t>
  </si>
  <si>
    <t>MARIAGE</t>
  </si>
  <si>
    <t>3 AVENUE DU PAVE NEUF</t>
  </si>
  <si>
    <t>NOISY LE GRAND</t>
  </si>
  <si>
    <t>christian1812@hotmail.fr</t>
  </si>
  <si>
    <t>013704C</t>
  </si>
  <si>
    <t>GERALD</t>
  </si>
  <si>
    <t>MAURICE</t>
  </si>
  <si>
    <t>31 RUE DE L EGLISE</t>
  </si>
  <si>
    <t>BRUYERES LE CHATEL</t>
  </si>
  <si>
    <t>gemolego@gmail.com</t>
  </si>
  <si>
    <t>013711J</t>
  </si>
  <si>
    <t>MAZURKIEWICZ</t>
  </si>
  <si>
    <t>34 RUE LOUIS DESHAYES</t>
  </si>
  <si>
    <t>MERU</t>
  </si>
  <si>
    <t>bernardbol@orange.fr</t>
  </si>
  <si>
    <t>GAGNY</t>
  </si>
  <si>
    <t>013722U</t>
  </si>
  <si>
    <t>MENNESSIER</t>
  </si>
  <si>
    <t>1 BD RICHARD GARNIER</t>
  </si>
  <si>
    <t>daniel.mennessier@sfr.fr</t>
  </si>
  <si>
    <t>013724W</t>
  </si>
  <si>
    <t>MICKAEL</t>
  </si>
  <si>
    <t>MERABTENE</t>
  </si>
  <si>
    <t>14 16 BOULEVARD VICTOR BORDIER</t>
  </si>
  <si>
    <t>MONTIGNY LES CORMEILLES</t>
  </si>
  <si>
    <t>michaelmerabtene@gmail.com</t>
  </si>
  <si>
    <t>013738K</t>
  </si>
  <si>
    <t>7 SQUARE YVES DU MANOIR</t>
  </si>
  <si>
    <t>MASSY</t>
  </si>
  <si>
    <t>louismichel.91130@free.fr</t>
  </si>
  <si>
    <t>013743P</t>
  </si>
  <si>
    <t>MILLER</t>
  </si>
  <si>
    <t>443 RUE DE BERNAU</t>
  </si>
  <si>
    <t>CHAMPIGNY</t>
  </si>
  <si>
    <t>jlmiller@free.fr</t>
  </si>
  <si>
    <t>013749V</t>
  </si>
  <si>
    <t>MIMPONTEL</t>
  </si>
  <si>
    <t>11 CHEMIN LATERAL</t>
  </si>
  <si>
    <t>LIVRY SUR SEINE</t>
  </si>
  <si>
    <t>gerard.mimpontel@wanadoo.fr</t>
  </si>
  <si>
    <t>CYRIL</t>
  </si>
  <si>
    <t>YERRES</t>
  </si>
  <si>
    <t>013772S</t>
  </si>
  <si>
    <t>MONZEIN</t>
  </si>
  <si>
    <t>c.monzein@orange.fr</t>
  </si>
  <si>
    <t>013780A</t>
  </si>
  <si>
    <t>CHRISTINE</t>
  </si>
  <si>
    <t>MOREL</t>
  </si>
  <si>
    <t>cmorel60@orange.fr</t>
  </si>
  <si>
    <t>013781B</t>
  </si>
  <si>
    <t>PIERRE YVES</t>
  </si>
  <si>
    <t>1 AVENUE DU BOIS DE CRAMART</t>
  </si>
  <si>
    <t>ST VRAIN</t>
  </si>
  <si>
    <t>pieryvesmorel@orange.fr</t>
  </si>
  <si>
    <t>013789J</t>
  </si>
  <si>
    <t>MORMICHE</t>
  </si>
  <si>
    <t>11BIS RUE THEO BONHOMME</t>
  </si>
  <si>
    <t>ECUELLES</t>
  </si>
  <si>
    <t>michel.mormiche@bbox.fr</t>
  </si>
  <si>
    <t>013796Q</t>
  </si>
  <si>
    <t>MOULAY</t>
  </si>
  <si>
    <t>37 RUE FRANCOIS VILLON</t>
  </si>
  <si>
    <t>SOISY SUR SEINE</t>
  </si>
  <si>
    <t>dmly91@gmail.com</t>
  </si>
  <si>
    <t>013811F</t>
  </si>
  <si>
    <t>GUILLERMO</t>
  </si>
  <si>
    <t>MURILLO</t>
  </si>
  <si>
    <t>211 BIS RUE DE BERCY</t>
  </si>
  <si>
    <t>murillomejiaguillermo@gmail.com</t>
  </si>
  <si>
    <t>COLOMBIE</t>
  </si>
  <si>
    <t>013815J</t>
  </si>
  <si>
    <t>AHCENE</t>
  </si>
  <si>
    <t>NANOUCHE</t>
  </si>
  <si>
    <t>23 RUE EDOUARD BRANLY</t>
  </si>
  <si>
    <t>LES MUREAUX</t>
  </si>
  <si>
    <t>nanoucheahcene@gmail.com</t>
  </si>
  <si>
    <t>ANTOINE</t>
  </si>
  <si>
    <t>013836E</t>
  </si>
  <si>
    <t>NIRIGE</t>
  </si>
  <si>
    <t>3 AVENUE CARNOT</t>
  </si>
  <si>
    <t>emmanuel.nirige@gmail.com</t>
  </si>
  <si>
    <t>ST MAURICE</t>
  </si>
  <si>
    <t>013851T</t>
  </si>
  <si>
    <t>OLLIVIER</t>
  </si>
  <si>
    <t>11 RUE DES LISERONS</t>
  </si>
  <si>
    <t>patrick-ollivier2@bbox.fr</t>
  </si>
  <si>
    <t>013852U</t>
  </si>
  <si>
    <t>SEBASTIEN</t>
  </si>
  <si>
    <t>OPSOMER</t>
  </si>
  <si>
    <t>81BIS RUE HENRI BARBUSSE</t>
  </si>
  <si>
    <t>NANTERRE</t>
  </si>
  <si>
    <t>seb.opsomer@gmail.com</t>
  </si>
  <si>
    <t>013861D</t>
  </si>
  <si>
    <t>LUCIEN</t>
  </si>
  <si>
    <t>OUVRARD</t>
  </si>
  <si>
    <t>20 AV DE MOUSSEAU</t>
  </si>
  <si>
    <t>EVRY</t>
  </si>
  <si>
    <t>lucien.ouvrard@free.fr</t>
  </si>
  <si>
    <t>013893J</t>
  </si>
  <si>
    <t>PELLUCHON</t>
  </si>
  <si>
    <t>12 RUE DE LA BEAUVOISIERE</t>
  </si>
  <si>
    <t>AVRAINVILLE</t>
  </si>
  <si>
    <t>fabrice.pelluchon@orange.fr</t>
  </si>
  <si>
    <t>013901R</t>
  </si>
  <si>
    <t>PERIER</t>
  </si>
  <si>
    <t>22 RUE DE LA CONCORDE</t>
  </si>
  <si>
    <t>perieral@wanadoo.fr</t>
  </si>
  <si>
    <t>013907X</t>
  </si>
  <si>
    <t>PERROT</t>
  </si>
  <si>
    <t>57 RUE MAUNOURY</t>
  </si>
  <si>
    <t>ST OUEN L AUMONE</t>
  </si>
  <si>
    <t>013916G</t>
  </si>
  <si>
    <t>PETKOFF</t>
  </si>
  <si>
    <t>927 RUE DE LA DAUBERIE BAT 953A</t>
  </si>
  <si>
    <t>JOUARS PONTCHARTRAIN</t>
  </si>
  <si>
    <t>didierpetkoff@aol.com</t>
  </si>
  <si>
    <t>013922M</t>
  </si>
  <si>
    <t>PEYROLE</t>
  </si>
  <si>
    <t>19 RUE LAURENCE SAVART</t>
  </si>
  <si>
    <t>philippe.peyrole@gmail.com</t>
  </si>
  <si>
    <t>013924O</t>
  </si>
  <si>
    <t>THAO</t>
  </si>
  <si>
    <t>PHAM</t>
  </si>
  <si>
    <t>28 RUE BERTHOLLET</t>
  </si>
  <si>
    <t>ARCUEIL</t>
  </si>
  <si>
    <t>phamthao1969@yahoo.fr</t>
  </si>
  <si>
    <t>013952Q</t>
  </si>
  <si>
    <t>SOISY SOUS MONTMORENCY</t>
  </si>
  <si>
    <t>michel.plaquevent@yahoo.fr</t>
  </si>
  <si>
    <t>013962A</t>
  </si>
  <si>
    <t>IONEL</t>
  </si>
  <si>
    <t>POPEA</t>
  </si>
  <si>
    <t>8 RUE FAIDHERBE</t>
  </si>
  <si>
    <t>popinter@free.fr</t>
  </si>
  <si>
    <t>013973L</t>
  </si>
  <si>
    <t>LIONEL</t>
  </si>
  <si>
    <t>POTISLAVOWSKI</t>
  </si>
  <si>
    <t>59 RUE JEAN BAPTISTE POTIN</t>
  </si>
  <si>
    <t>VANVES</t>
  </si>
  <si>
    <t>lpotis@ymail.com</t>
  </si>
  <si>
    <t>VILLABE</t>
  </si>
  <si>
    <t>013981T</t>
  </si>
  <si>
    <t>POULICET</t>
  </si>
  <si>
    <t>1 RESIDENCE LA SOURCE</t>
  </si>
  <si>
    <t>BAILLY</t>
  </si>
  <si>
    <t>014003P</t>
  </si>
  <si>
    <t>PROVOST</t>
  </si>
  <si>
    <t>14 RUE DES GRES</t>
  </si>
  <si>
    <t>claudeprovost98@gmail.com</t>
  </si>
  <si>
    <t>BOIS COLOMBES</t>
  </si>
  <si>
    <t>014011X</t>
  </si>
  <si>
    <t>PYTKOWICZ</t>
  </si>
  <si>
    <t>014021H</t>
  </si>
  <si>
    <t>BERTRAND</t>
  </si>
  <si>
    <t>RAMBEAU</t>
  </si>
  <si>
    <t>38 RUE DES CAILLLETS</t>
  </si>
  <si>
    <t>COULOMMIERS</t>
  </si>
  <si>
    <t>FERNAND</t>
  </si>
  <si>
    <t>014031R</t>
  </si>
  <si>
    <t>REIG</t>
  </si>
  <si>
    <t>24 RUE DE L YVETTE</t>
  </si>
  <si>
    <t>ENTREE B</t>
  </si>
  <si>
    <t>LONGJUMEAU</t>
  </si>
  <si>
    <t>ereig@live.fr</t>
  </si>
  <si>
    <t>014040A</t>
  </si>
  <si>
    <t>REVERCHON</t>
  </si>
  <si>
    <t>14 RUE DE LONGJUMEAU</t>
  </si>
  <si>
    <t>jereverchon@orange.fr</t>
  </si>
  <si>
    <t>014049J</t>
  </si>
  <si>
    <t>OLIVIER</t>
  </si>
  <si>
    <t>30 BIS RUE DE MONTMELIAN</t>
  </si>
  <si>
    <t>olivrich@orange.fr</t>
  </si>
  <si>
    <t>014050K</t>
  </si>
  <si>
    <t>STEPHANE</t>
  </si>
  <si>
    <t>6 CHEMIN DE LA MARINE</t>
  </si>
  <si>
    <t>LE FAYET</t>
  </si>
  <si>
    <t>SAMMERON</t>
  </si>
  <si>
    <t>stephane.richard@hotmail.fr</t>
  </si>
  <si>
    <t>014094C</t>
  </si>
  <si>
    <t>ROSTAGNO</t>
  </si>
  <si>
    <t>9 ALLEE LASSOUCHE</t>
  </si>
  <si>
    <t>FRANCONVILLE LA GARENNE</t>
  </si>
  <si>
    <t>014096E</t>
  </si>
  <si>
    <t>ROUFFET</t>
  </si>
  <si>
    <t>1 ALLEE ARNAULD D ANDILLY</t>
  </si>
  <si>
    <t>alain.rouffet@gmail.com</t>
  </si>
  <si>
    <t>014105N</t>
  </si>
  <si>
    <t>ROUZAY</t>
  </si>
  <si>
    <t>67 RUE DU PLESSIS BOUCHARD</t>
  </si>
  <si>
    <t>michel.rouzay@free.fr</t>
  </si>
  <si>
    <t>MARCEL</t>
  </si>
  <si>
    <t>VINCENNES</t>
  </si>
  <si>
    <t>014136S</t>
  </si>
  <si>
    <t>FERNANDO</t>
  </si>
  <si>
    <t>SARAIVA PEREIRA</t>
  </si>
  <si>
    <t>12 AVENUE SUZANNE</t>
  </si>
  <si>
    <t>LAGNY SUR MARNE</t>
  </si>
  <si>
    <t>fsaraiva@hotmail.fr</t>
  </si>
  <si>
    <t>014149F</t>
  </si>
  <si>
    <t>SCIORTINO</t>
  </si>
  <si>
    <t>3 PASSAGE MOULIN BRISE ECHALAS</t>
  </si>
  <si>
    <t>sciortinostephane@yahoo.fr</t>
  </si>
  <si>
    <t>014150G</t>
  </si>
  <si>
    <t>SCOMBART</t>
  </si>
  <si>
    <t>24 RUE DE LA FAISANDERIE</t>
  </si>
  <si>
    <t>p.scombart@gmail.com</t>
  </si>
  <si>
    <t>014153J</t>
  </si>
  <si>
    <t>GHISLAIN</t>
  </si>
  <si>
    <t>SCOQUART</t>
  </si>
  <si>
    <t>3 ROUTE DE MEAUX</t>
  </si>
  <si>
    <t>NEUFMOUTIERS EN BRIE</t>
  </si>
  <si>
    <t>014167X</t>
  </si>
  <si>
    <t>SERRA</t>
  </si>
  <si>
    <t>26 RUE DU MARCHE</t>
  </si>
  <si>
    <t>MAROLLES EN HUREPOIX</t>
  </si>
  <si>
    <t>serra.ds91@gmail.com</t>
  </si>
  <si>
    <t>014170A</t>
  </si>
  <si>
    <t>ROGER</t>
  </si>
  <si>
    <t>SIBAUD</t>
  </si>
  <si>
    <t>12 RUE DES CHAMPORTS</t>
  </si>
  <si>
    <t>roger.sibaud@sfr.fr</t>
  </si>
  <si>
    <t>IGOR</t>
  </si>
  <si>
    <t>SIMON</t>
  </si>
  <si>
    <t>014192W</t>
  </si>
  <si>
    <t>STAURI</t>
  </si>
  <si>
    <t>1 ALLEE DES MARRONNIERS</t>
  </si>
  <si>
    <t>014206K</t>
  </si>
  <si>
    <t>TAIEB</t>
  </si>
  <si>
    <t>61 AVENUE CAMELINAT</t>
  </si>
  <si>
    <t>ATHIS MONS</t>
  </si>
  <si>
    <t>digitalimage.paris@gmail.com</t>
  </si>
  <si>
    <t>FRANCONVILLE</t>
  </si>
  <si>
    <t>014216U</t>
  </si>
  <si>
    <t>TATIN</t>
  </si>
  <si>
    <t>9 RUE DE LA TOURNELLE</t>
  </si>
  <si>
    <t>VILLEPREUX</t>
  </si>
  <si>
    <t>tatin.patrick@wanadoo.fr</t>
  </si>
  <si>
    <t>VILLEPINTE</t>
  </si>
  <si>
    <t>014238Q</t>
  </si>
  <si>
    <t>JEAN MICHEL</t>
  </si>
  <si>
    <t>THIERRY</t>
  </si>
  <si>
    <t>7 RUE NOCARD</t>
  </si>
  <si>
    <t>CHARENTON LE PONT</t>
  </si>
  <si>
    <t>abma94700@gmail.com</t>
  </si>
  <si>
    <t>014242U</t>
  </si>
  <si>
    <t>THONAT</t>
  </si>
  <si>
    <t>16 RUE DE LA FONTAINE</t>
  </si>
  <si>
    <t>BOURAY SUR JUINE</t>
  </si>
  <si>
    <t>jean.thonat@orange.fr</t>
  </si>
  <si>
    <t>014243V</t>
  </si>
  <si>
    <t>THONG PHANH</t>
  </si>
  <si>
    <t>18 RUE GASTON MONMOUSSEAU</t>
  </si>
  <si>
    <t>IVRY SUR SEINE</t>
  </si>
  <si>
    <t>ORLY</t>
  </si>
  <si>
    <t>014269V</t>
  </si>
  <si>
    <t>BILLARD CLUB FERTOIS</t>
  </si>
  <si>
    <t>TRICONNET</t>
  </si>
  <si>
    <t>51 RUE DE VERDUN</t>
  </si>
  <si>
    <t>SAACY SUR MARNE</t>
  </si>
  <si>
    <t>ctriconnet@gmx.com</t>
  </si>
  <si>
    <t>014278E</t>
  </si>
  <si>
    <t>UBEDA</t>
  </si>
  <si>
    <t>7 AVENUE DE LA REPUBLIQUE</t>
  </si>
  <si>
    <t>man.ubed@yahoo.fr</t>
  </si>
  <si>
    <t>014308I</t>
  </si>
  <si>
    <t>VENET</t>
  </si>
  <si>
    <t>11 AV DE LA DIVISION LECLERC</t>
  </si>
  <si>
    <t>c.venet@wanadoo.fr</t>
  </si>
  <si>
    <t>014318S</t>
  </si>
  <si>
    <t>DAVID</t>
  </si>
  <si>
    <t>VETTENBURG</t>
  </si>
  <si>
    <t>41 RUE DE MEAUX</t>
  </si>
  <si>
    <t>JOSSIGNY</t>
  </si>
  <si>
    <t>squallvtn@gmail.com</t>
  </si>
  <si>
    <t>014321V</t>
  </si>
  <si>
    <t>VICARI</t>
  </si>
  <si>
    <t>54 AVENUE DU GENERAL LECLERC</t>
  </si>
  <si>
    <t>L HAY LES ROSES</t>
  </si>
  <si>
    <t>marcov94@hotmail.fr</t>
  </si>
  <si>
    <t>014325Z</t>
  </si>
  <si>
    <t>BRUNO</t>
  </si>
  <si>
    <t>VIDEAU</t>
  </si>
  <si>
    <t>57 RUE DE CAMBRONNE</t>
  </si>
  <si>
    <t>bvideau@gmail.com</t>
  </si>
  <si>
    <t>014337L</t>
  </si>
  <si>
    <t>VINGUEDASSALOM</t>
  </si>
  <si>
    <t>48 RUE NOLLET</t>
  </si>
  <si>
    <t>v.eric1959@gmail.com</t>
  </si>
  <si>
    <t>014348W</t>
  </si>
  <si>
    <t>WEBER</t>
  </si>
  <si>
    <t>9 PLACE DES CLEMATITES</t>
  </si>
  <si>
    <t>thweber2003@yahoo.fr</t>
  </si>
  <si>
    <t>014353B</t>
  </si>
  <si>
    <t>ELHACHEMI</t>
  </si>
  <si>
    <t>YAHIACHERIF</t>
  </si>
  <si>
    <t>12 RUE PARMENTIER</t>
  </si>
  <si>
    <t>NOGENT SUR MARNE</t>
  </si>
  <si>
    <t>martinepaget@orange.fr</t>
  </si>
  <si>
    <t>014364M</t>
  </si>
  <si>
    <t>ZURAWIECKI</t>
  </si>
  <si>
    <t>9 RUE DU MOULIN BAILLY</t>
  </si>
  <si>
    <t>totomagie@yahoo.ca</t>
  </si>
  <si>
    <t>014652O</t>
  </si>
  <si>
    <t>BASTIEN</t>
  </si>
  <si>
    <t>PANIS</t>
  </si>
  <si>
    <t>14 PLACE DES IMPRESSIONNISTES</t>
  </si>
  <si>
    <t>bastienpanis@hotmail.com</t>
  </si>
  <si>
    <t>016030O</t>
  </si>
  <si>
    <t>FABIEN</t>
  </si>
  <si>
    <t>GUERDER</t>
  </si>
  <si>
    <t>7 RUE DE GRENOBLE</t>
  </si>
  <si>
    <t>APPT 423</t>
  </si>
  <si>
    <t>ALFORTVILLE</t>
  </si>
  <si>
    <t>fabien.guerder@gmail.com</t>
  </si>
  <si>
    <t>016125F</t>
  </si>
  <si>
    <t>GRELIER</t>
  </si>
  <si>
    <t>4 IMPASSE DE LIEUTEL</t>
  </si>
  <si>
    <t>NEAUPHLE LE VIEUX</t>
  </si>
  <si>
    <t>fabrice.grelier@free.fr</t>
  </si>
  <si>
    <t>016878E</t>
  </si>
  <si>
    <t>MAGALI</t>
  </si>
  <si>
    <t>DECLUNDER</t>
  </si>
  <si>
    <t>115 BOULEVARD DE CRETEIL</t>
  </si>
  <si>
    <t>APPART 20 5 EME ETAGE</t>
  </si>
  <si>
    <t>ST MAUR DES FOSSES</t>
  </si>
  <si>
    <t>magalidec08@gmail.com</t>
  </si>
  <si>
    <t>017506I</t>
  </si>
  <si>
    <t>ROUSSEL</t>
  </si>
  <si>
    <t>6 SQUARE YVES FARGES</t>
  </si>
  <si>
    <t>CHEZ MME LEVRAI</t>
  </si>
  <si>
    <t>TRAPPES</t>
  </si>
  <si>
    <t>017581F</t>
  </si>
  <si>
    <t>JACQUET</t>
  </si>
  <si>
    <t>8 RUE PRUVOT</t>
  </si>
  <si>
    <t>dvjacquet@gmail.com</t>
  </si>
  <si>
    <t>018351V</t>
  </si>
  <si>
    <t>NICOLAS</t>
  </si>
  <si>
    <t>VERLEY</t>
  </si>
  <si>
    <t>112 RUE NOUVELLE</t>
  </si>
  <si>
    <t>BREUILLET</t>
  </si>
  <si>
    <t>nicolasverley@sfr.fr</t>
  </si>
  <si>
    <t>018509X</t>
  </si>
  <si>
    <t>HEYLLIARD</t>
  </si>
  <si>
    <t>11 AV AUGUSTE DUTREUX</t>
  </si>
  <si>
    <t>LA CELLE ST CLOUD</t>
  </si>
  <si>
    <t>c.heylliard@gmail.com</t>
  </si>
  <si>
    <t>019309R</t>
  </si>
  <si>
    <t>GODRANT</t>
  </si>
  <si>
    <t>RESIDENCE JEANNE CARNAJAC</t>
  </si>
  <si>
    <t>7 RUE DUVIVIER</t>
  </si>
  <si>
    <t>god.jpg95@gmail.com</t>
  </si>
  <si>
    <t>019854Q</t>
  </si>
  <si>
    <t>stephane.nole@orange.fr</t>
  </si>
  <si>
    <t>020210I</t>
  </si>
  <si>
    <t>DEWAELE</t>
  </si>
  <si>
    <t>56 RUE ARISTIDE BRIAND</t>
  </si>
  <si>
    <t>dewaele.serge@orange.fr</t>
  </si>
  <si>
    <t>020532S</t>
  </si>
  <si>
    <t>SYLVAIN</t>
  </si>
  <si>
    <t>ZARCONE</t>
  </si>
  <si>
    <t>280 RUE DES PUITS</t>
  </si>
  <si>
    <t>JOUY SOUS THELLE</t>
  </si>
  <si>
    <t>sylvainzarcone1@gmail.com</t>
  </si>
  <si>
    <t>020658O</t>
  </si>
  <si>
    <t>DESNEUX BOUTOUX</t>
  </si>
  <si>
    <t>16 RUE DE LA CHARMOIE</t>
  </si>
  <si>
    <t>THOMERY</t>
  </si>
  <si>
    <t>gilles.desneux@gmail.com</t>
  </si>
  <si>
    <t>020751D</t>
  </si>
  <si>
    <t>30 RUE SAINT EXUPERY</t>
  </si>
  <si>
    <t>dkoplus@yahoo.fr</t>
  </si>
  <si>
    <t>023198G</t>
  </si>
  <si>
    <t>JEAN FRANCOIS</t>
  </si>
  <si>
    <t>MILLET</t>
  </si>
  <si>
    <t>215 RUE SAINT MERRY</t>
  </si>
  <si>
    <t>FONTAINEBLEAU</t>
  </si>
  <si>
    <t>jfmi2209@gmail.com</t>
  </si>
  <si>
    <t>100053F</t>
  </si>
  <si>
    <t>LEBRUN</t>
  </si>
  <si>
    <t>5 SQUARE LEO DELIBES</t>
  </si>
  <si>
    <t>LONGPONT SUR ORGE</t>
  </si>
  <si>
    <t>patel@neuf.fr</t>
  </si>
  <si>
    <t>103040C</t>
  </si>
  <si>
    <t>U. S. M. GAGNY BILLARD</t>
  </si>
  <si>
    <t>INGENUO</t>
  </si>
  <si>
    <t>23 RUE DU DOCTEUR D HALLUIN</t>
  </si>
  <si>
    <t>michele.ingenuo@gmail.com</t>
  </si>
  <si>
    <t>103073J</t>
  </si>
  <si>
    <t>CYRILLE</t>
  </si>
  <si>
    <t>DERUEL</t>
  </si>
  <si>
    <t>69 RUE DE LA CONVENTION</t>
  </si>
  <si>
    <t>cderuel@gmail.com</t>
  </si>
  <si>
    <t>103121F</t>
  </si>
  <si>
    <t>LEBOEUF</t>
  </si>
  <si>
    <t>24 RUE DES JARDINS</t>
  </si>
  <si>
    <t>VERT</t>
  </si>
  <si>
    <t>marcelle.leboeuf@free.fr</t>
  </si>
  <si>
    <t>103127L</t>
  </si>
  <si>
    <t>DI GIOIA</t>
  </si>
  <si>
    <t>31 BIS BOULEVARD DE CRETEIL</t>
  </si>
  <si>
    <t>serge.digioia@wanadoo.fr</t>
  </si>
  <si>
    <t>103162U</t>
  </si>
  <si>
    <t>MARIGNIER</t>
  </si>
  <si>
    <t>33BIS RUE G MEDERIC</t>
  </si>
  <si>
    <t>103170C</t>
  </si>
  <si>
    <t>NEVEU</t>
  </si>
  <si>
    <t>9 RUE DES PRIMEVERES</t>
  </si>
  <si>
    <t>MEZIERES</t>
  </si>
  <si>
    <t>HOUIS</t>
  </si>
  <si>
    <t>103239T</t>
  </si>
  <si>
    <t>LESNE</t>
  </si>
  <si>
    <t>20 RUE JEAN MALHER</t>
  </si>
  <si>
    <t>VERNOUILLET</t>
  </si>
  <si>
    <t>lesnejeanclaude@yahoo.fr</t>
  </si>
  <si>
    <t>103241V</t>
  </si>
  <si>
    <t>JUMEL</t>
  </si>
  <si>
    <t>13 RUE DU CLOS THONESSE</t>
  </si>
  <si>
    <t>claunee.jumel@orange.fr</t>
  </si>
  <si>
    <t>103243X</t>
  </si>
  <si>
    <t>BARDET</t>
  </si>
  <si>
    <t>18 AV DE LA REPUBLIQUE</t>
  </si>
  <si>
    <t>totoph94@free.fr</t>
  </si>
  <si>
    <t>103337N</t>
  </si>
  <si>
    <t>JOSEPH</t>
  </si>
  <si>
    <t>MARTINEZ</t>
  </si>
  <si>
    <t>RESIDENCE DE L OREE DE SENART</t>
  </si>
  <si>
    <t>BAT COROT 1</t>
  </si>
  <si>
    <t>josmart@laposte.net</t>
  </si>
  <si>
    <t>JOHANN</t>
  </si>
  <si>
    <t>103412K</t>
  </si>
  <si>
    <t>SATOSHI</t>
  </si>
  <si>
    <t>ASHITATE</t>
  </si>
  <si>
    <t>LA GARENNE COLOMBES</t>
  </si>
  <si>
    <t>ashitje@gmail.com</t>
  </si>
  <si>
    <t>103421T</t>
  </si>
  <si>
    <t>ERSIN</t>
  </si>
  <si>
    <t>OZER</t>
  </si>
  <si>
    <t>42 RUE DE THANE</t>
  </si>
  <si>
    <t>ozerersin78@gmail.com</t>
  </si>
  <si>
    <t>103427Z</t>
  </si>
  <si>
    <t>COLLIDOR</t>
  </si>
  <si>
    <t>2 ALLEE DES ACACIAS</t>
  </si>
  <si>
    <t>collidor68@gmail.com</t>
  </si>
  <si>
    <t>103445R</t>
  </si>
  <si>
    <t>BOURG LA REINE</t>
  </si>
  <si>
    <t>francismasson@neuf.fr</t>
  </si>
  <si>
    <t>103513H</t>
  </si>
  <si>
    <t>PERRIN</t>
  </si>
  <si>
    <t>22 AV DES ECUREUILS</t>
  </si>
  <si>
    <t>DAMMARIE LES LYS</t>
  </si>
  <si>
    <t>international5quilles@gmail.com</t>
  </si>
  <si>
    <t>104033H</t>
  </si>
  <si>
    <t>DENIS</t>
  </si>
  <si>
    <t>GARNIER</t>
  </si>
  <si>
    <t>27 ALLEE DES CYTISES</t>
  </si>
  <si>
    <t>LA QUEUE EN BRIE</t>
  </si>
  <si>
    <t>dmgarnier@bbox.fr</t>
  </si>
  <si>
    <t>104060I</t>
  </si>
  <si>
    <t>PERRET</t>
  </si>
  <si>
    <t>95 BOULEVARD JEAN BOUIN</t>
  </si>
  <si>
    <t>NANGIS</t>
  </si>
  <si>
    <t>marcusperret@laposte.net</t>
  </si>
  <si>
    <t>104112I</t>
  </si>
  <si>
    <t>DEVILLEBICHOT</t>
  </si>
  <si>
    <t>35 ROUTE DE BRUYERES</t>
  </si>
  <si>
    <t>ST MAURICE MONTCOURONNE</t>
  </si>
  <si>
    <t>jc.devillebichot@orange.fr</t>
  </si>
  <si>
    <t>104113J</t>
  </si>
  <si>
    <t>DORIGNY</t>
  </si>
  <si>
    <t>12 RUE JEAN SANCERY</t>
  </si>
  <si>
    <t>SANNOIS</t>
  </si>
  <si>
    <t>dorigny.michel@orange.fr</t>
  </si>
  <si>
    <t>104154Y</t>
  </si>
  <si>
    <t>FOUCRET</t>
  </si>
  <si>
    <t>2 RUE CROIX JEAN MARIN</t>
  </si>
  <si>
    <t>MERIEL</t>
  </si>
  <si>
    <t>sf.yomani9694@hotmail.fr</t>
  </si>
  <si>
    <t>104179X</t>
  </si>
  <si>
    <t>11 RUE DES PLANTS BRUN</t>
  </si>
  <si>
    <t>104194M</t>
  </si>
  <si>
    <t>NOSSEIN</t>
  </si>
  <si>
    <t>18 RUE SIMONE SIGNORET</t>
  </si>
  <si>
    <t>GISORS</t>
  </si>
  <si>
    <t>104252S</t>
  </si>
  <si>
    <t>JORGE</t>
  </si>
  <si>
    <t>DA TRINDADE PAULINO</t>
  </si>
  <si>
    <t>2 RUE ARISTIDE BRIAND</t>
  </si>
  <si>
    <t>jorgepaulino@rocketmail.com</t>
  </si>
  <si>
    <t>105534A</t>
  </si>
  <si>
    <t>BAUDLOT</t>
  </si>
  <si>
    <t>2 RUE DES ESTERELLES</t>
  </si>
  <si>
    <t>CORMEILLES EN PARISIS</t>
  </si>
  <si>
    <t>bernard.baudlot@gmail.com</t>
  </si>
  <si>
    <t>105766Y</t>
  </si>
  <si>
    <t>ANTONA</t>
  </si>
  <si>
    <t>26 RUE LINOIS</t>
  </si>
  <si>
    <t>pierre.antona67@gmail.com</t>
  </si>
  <si>
    <t>105768A</t>
  </si>
  <si>
    <t>BARE</t>
  </si>
  <si>
    <t>5 RUE JEAN VARENNE</t>
  </si>
  <si>
    <t>davidbare68@yahoo.fr</t>
  </si>
  <si>
    <t>105778K</t>
  </si>
  <si>
    <t>YOUSRI</t>
  </si>
  <si>
    <t>KABBAJ</t>
  </si>
  <si>
    <t>35 AVENUE DE LA REPUBLIQUE</t>
  </si>
  <si>
    <t>AUBERVILLIERS</t>
  </si>
  <si>
    <t>kabbajyous@gmail.com</t>
  </si>
  <si>
    <t>105803J</t>
  </si>
  <si>
    <t>GARNEAU</t>
  </si>
  <si>
    <t>19 AVENUE EDOUARD VAILLANT</t>
  </si>
  <si>
    <t>talhouet-56@sfr.fr</t>
  </si>
  <si>
    <t>105958I</t>
  </si>
  <si>
    <t>PHOENIX BILLARD CLUB</t>
  </si>
  <si>
    <t>TANCREZ</t>
  </si>
  <si>
    <t>8 MAIL DES CATALPAS</t>
  </si>
  <si>
    <t>MONTIGNY LE BRETONNEUX</t>
  </si>
  <si>
    <t>o.tancrez@wanadoo.fr</t>
  </si>
  <si>
    <t>106013L</t>
  </si>
  <si>
    <t>BULLDOG COMPETITION ILE DE FRANCE</t>
  </si>
  <si>
    <t>YANNICK</t>
  </si>
  <si>
    <t>BEAUFILS</t>
  </si>
  <si>
    <t>50 PLACE ROGER ROUSSET</t>
  </si>
  <si>
    <t>VILLEFRANCHE SUR SAONE</t>
  </si>
  <si>
    <t>yannickbeaufils1@gmail.com</t>
  </si>
  <si>
    <t>106022U</t>
  </si>
  <si>
    <t>BENOIT</t>
  </si>
  <si>
    <t>FAERBER</t>
  </si>
  <si>
    <t>RUE DES POMMIERS</t>
  </si>
  <si>
    <t>JOUARRE</t>
  </si>
  <si>
    <t>carinefaerber@orange.fr</t>
  </si>
  <si>
    <t>107940O</t>
  </si>
  <si>
    <t>PAUL</t>
  </si>
  <si>
    <t>LUIGGI</t>
  </si>
  <si>
    <t>3 RUE DE BIARRITZ</t>
  </si>
  <si>
    <t>p.luiggi@orange.fr</t>
  </si>
  <si>
    <t>107975X</t>
  </si>
  <si>
    <t>LOIAL</t>
  </si>
  <si>
    <t>150 AVENUE ARISTIDE BRIAND</t>
  </si>
  <si>
    <t>LES PAVILLONS SOUS BOIS</t>
  </si>
  <si>
    <t>pascal.loial@gmail.com</t>
  </si>
  <si>
    <t>4 RUE DU GENERAL LECLERC</t>
  </si>
  <si>
    <t>107994Q</t>
  </si>
  <si>
    <t>MARLIERE</t>
  </si>
  <si>
    <t>7 AVENUE ANDRE LECLERC</t>
  </si>
  <si>
    <t>LE MESNIL ST DENIS</t>
  </si>
  <si>
    <t>c.marliere@free.fr</t>
  </si>
  <si>
    <t>107995R</t>
  </si>
  <si>
    <t>AGNUS</t>
  </si>
  <si>
    <t>4 RUE DE BOUGAINVILLE</t>
  </si>
  <si>
    <t>claude.richard.agnus@gmail.com</t>
  </si>
  <si>
    <t>108024U</t>
  </si>
  <si>
    <t>KUHN</t>
  </si>
  <si>
    <t>20 RUE PAUL MILLIEZ</t>
  </si>
  <si>
    <t>jean-claude.kuhn78@orange.fr</t>
  </si>
  <si>
    <t>108069N</t>
  </si>
  <si>
    <t>ANTHONY</t>
  </si>
  <si>
    <t>ROUILLE</t>
  </si>
  <si>
    <t>4 AVENUE JEAN PERRIN</t>
  </si>
  <si>
    <t>FONTENAY LE FLEURY</t>
  </si>
  <si>
    <t>a.rouille@sofiaimmo.fr</t>
  </si>
  <si>
    <t>108071P</t>
  </si>
  <si>
    <t>espositopat@free.fr</t>
  </si>
  <si>
    <t>108072Q</t>
  </si>
  <si>
    <t>FENEROL</t>
  </si>
  <si>
    <t>15 BIS RUE DE L AULNAYE HERMANT</t>
  </si>
  <si>
    <t>HARDRICOURT</t>
  </si>
  <si>
    <t>mamymaryse@voila.fr</t>
  </si>
  <si>
    <t>108081Z</t>
  </si>
  <si>
    <t>GUERIN</t>
  </si>
  <si>
    <t>19 RUE XAVIER DE RICARD</t>
  </si>
  <si>
    <t>FONTENAY SOUS BOIS</t>
  </si>
  <si>
    <t>artoire@free.fr</t>
  </si>
  <si>
    <t>108096O</t>
  </si>
  <si>
    <t>ROULLET</t>
  </si>
  <si>
    <t>84 RUE DU LIEUTENANT COLONEL</t>
  </si>
  <si>
    <t>DE MONTBRISON</t>
  </si>
  <si>
    <t>Olivierroullet92@gmail.com</t>
  </si>
  <si>
    <t>108113F</t>
  </si>
  <si>
    <t>LIOTARD</t>
  </si>
  <si>
    <t>6 PLACE DE LA FONTAINE</t>
  </si>
  <si>
    <t>VILLEJUIF</t>
  </si>
  <si>
    <t>gilles_153@hotmail.com</t>
  </si>
  <si>
    <t>LEVALLOIS PERRET</t>
  </si>
  <si>
    <t>108139F</t>
  </si>
  <si>
    <t>POZZO</t>
  </si>
  <si>
    <t>e.pozzo@pick-upservice.com</t>
  </si>
  <si>
    <t>109462C</t>
  </si>
  <si>
    <t>BILLARD CLUB DU KREMLIN BCK</t>
  </si>
  <si>
    <t>12 IMPASSE LOUISE MARGUERITE</t>
  </si>
  <si>
    <t>CACHAN</t>
  </si>
  <si>
    <t>bru911@hotmail.fr</t>
  </si>
  <si>
    <t>109482W</t>
  </si>
  <si>
    <t>LAUTI</t>
  </si>
  <si>
    <t>39BIS AV ANATOLE FRANCE</t>
  </si>
  <si>
    <t>lauti.marcel@yahoo.fr</t>
  </si>
  <si>
    <t>109519H</t>
  </si>
  <si>
    <t>PEREZ</t>
  </si>
  <si>
    <t>7 BIS AVENUE DES TILLEULS</t>
  </si>
  <si>
    <t>jerome.perez@ensta-paristech.fr</t>
  </si>
  <si>
    <t>MARCEAU</t>
  </si>
  <si>
    <t>ROBERT</t>
  </si>
  <si>
    <t>109607R</t>
  </si>
  <si>
    <t>TROTZIER</t>
  </si>
  <si>
    <t>35 RUE PASTEUR</t>
  </si>
  <si>
    <t>patrice.trotzier18@gmail.com</t>
  </si>
  <si>
    <t>FLORENCE</t>
  </si>
  <si>
    <t>110383N</t>
  </si>
  <si>
    <t>BURAK</t>
  </si>
  <si>
    <t>ICELLI</t>
  </si>
  <si>
    <t>17 PLACE GEORGES POMPIDOU</t>
  </si>
  <si>
    <t>burakicelli@gmail.com</t>
  </si>
  <si>
    <t>MARLY LE ROI</t>
  </si>
  <si>
    <t>110980M</t>
  </si>
  <si>
    <t>LANGLET</t>
  </si>
  <si>
    <t>4 SQUARE MONSIGNY</t>
  </si>
  <si>
    <t>LE CHESNAY ROCQUENCOURT</t>
  </si>
  <si>
    <t>fabienlanglet1@gmail.com</t>
  </si>
  <si>
    <t>110992Y</t>
  </si>
  <si>
    <t>ARGIS</t>
  </si>
  <si>
    <t>110995B</t>
  </si>
  <si>
    <t>MALAHIEUDE</t>
  </si>
  <si>
    <t>42 RUE EMILE EUDES</t>
  </si>
  <si>
    <t>claude.malahieude@gmail.com</t>
  </si>
  <si>
    <t>111050E</t>
  </si>
  <si>
    <t>BRIGITTE</t>
  </si>
  <si>
    <t>RICHAUD</t>
  </si>
  <si>
    <t>4 BIS RUE CRAPOTTE</t>
  </si>
  <si>
    <t>CONFLANS</t>
  </si>
  <si>
    <t>brigrichaud@free.fr</t>
  </si>
  <si>
    <t>111318M</t>
  </si>
  <si>
    <t>SEVERINE</t>
  </si>
  <si>
    <t>TITAUX</t>
  </si>
  <si>
    <t>2 RUE JEAN ROSTAND</t>
  </si>
  <si>
    <t>severine.titaux@laposte.fr</t>
  </si>
  <si>
    <t>111337F</t>
  </si>
  <si>
    <t>ARNAUD</t>
  </si>
  <si>
    <t>GONTHIER</t>
  </si>
  <si>
    <t>113 AVENUE GAMBETTA</t>
  </si>
  <si>
    <t>arnaud.gonthier@yahoo.fr</t>
  </si>
  <si>
    <t>DUHAMEL</t>
  </si>
  <si>
    <t>111704I</t>
  </si>
  <si>
    <t>YVES</t>
  </si>
  <si>
    <t>MUS</t>
  </si>
  <si>
    <t>3 AVENUE DU 27 AOUT 1944</t>
  </si>
  <si>
    <t>MONTRY</t>
  </si>
  <si>
    <t>LEFEVRE</t>
  </si>
  <si>
    <t>BUSSY ST GEORGES</t>
  </si>
  <si>
    <t>111888K</t>
  </si>
  <si>
    <t>GEORGES</t>
  </si>
  <si>
    <t>SALZENSTEIN</t>
  </si>
  <si>
    <t>23 RUE JULES LOPARD</t>
  </si>
  <si>
    <t>georges.salzy@hotmail.fr</t>
  </si>
  <si>
    <t>WU</t>
  </si>
  <si>
    <t>CHINE</t>
  </si>
  <si>
    <t>112124M</t>
  </si>
  <si>
    <t>BONNEAU</t>
  </si>
  <si>
    <t>3 ALLEE D ESSEAUNE</t>
  </si>
  <si>
    <t>REAU</t>
  </si>
  <si>
    <t>bbnbillard@gmail.com</t>
  </si>
  <si>
    <t>MERCIER</t>
  </si>
  <si>
    <t>113447J</t>
  </si>
  <si>
    <t>BOUVET</t>
  </si>
  <si>
    <t>2 RUE DES PEPINIERES</t>
  </si>
  <si>
    <t>abouvet41@gmail.com</t>
  </si>
  <si>
    <t>113490A</t>
  </si>
  <si>
    <t>CHMIELNICKI</t>
  </si>
  <si>
    <t>60 RUE DU PLATEAU DU MOULIN</t>
  </si>
  <si>
    <t>dolina@rockemail.com</t>
  </si>
  <si>
    <t>113492C</t>
  </si>
  <si>
    <t>FALLOUX</t>
  </si>
  <si>
    <t>37 RUE ARISTIDE BRIAND</t>
  </si>
  <si>
    <t>CONFLANS SAINTE HONRINE</t>
  </si>
  <si>
    <t>bernard.ormes@orange.fr</t>
  </si>
  <si>
    <t>113560S</t>
  </si>
  <si>
    <t>BIE</t>
  </si>
  <si>
    <t>13 RUE MARIGNAN</t>
  </si>
  <si>
    <t>LA VARENNE ST HILAIRE</t>
  </si>
  <si>
    <t>biechris@gmail.com</t>
  </si>
  <si>
    <t>113564W</t>
  </si>
  <si>
    <t>GOSSELIN</t>
  </si>
  <si>
    <t>174 AVENUE DE PARIS</t>
  </si>
  <si>
    <t>gosselin.olivier@gmail.com</t>
  </si>
  <si>
    <t>113683L</t>
  </si>
  <si>
    <t>FAVERO</t>
  </si>
  <si>
    <t>4 RUE D ALSACE</t>
  </si>
  <si>
    <t>TREMBLAY EN FRANCE</t>
  </si>
  <si>
    <t>favero.alain@orange.fr</t>
  </si>
  <si>
    <t>VERSAILLES</t>
  </si>
  <si>
    <t>113786K</t>
  </si>
  <si>
    <t>GOULAM</t>
  </si>
  <si>
    <t>4 RUE HENRI MATISSE</t>
  </si>
  <si>
    <t>BONNIERES</t>
  </si>
  <si>
    <t>jag92@free.fr</t>
  </si>
  <si>
    <t>113805D</t>
  </si>
  <si>
    <t>SIAME</t>
  </si>
  <si>
    <t>10 RUE ANNE FRANCK</t>
  </si>
  <si>
    <t>6 RUE DU STADE</t>
  </si>
  <si>
    <t>113891L</t>
  </si>
  <si>
    <t>VANGHELUWE</t>
  </si>
  <si>
    <t>3 RUE DE LA HAUTE BORNE</t>
  </si>
  <si>
    <t>SEPT SORTS</t>
  </si>
  <si>
    <t>georges.vangheluwe@orange.fr</t>
  </si>
  <si>
    <t>113903X</t>
  </si>
  <si>
    <t>MORGAN</t>
  </si>
  <si>
    <t>LAIGRE</t>
  </si>
  <si>
    <t>5 ALLEE DES PIVOINES</t>
  </si>
  <si>
    <t>RUBELLES</t>
  </si>
  <si>
    <t>morgan.laigre@outlook.com</t>
  </si>
  <si>
    <t>113912G</t>
  </si>
  <si>
    <t>SPETZ</t>
  </si>
  <si>
    <t>3 TER LIMOSIN</t>
  </si>
  <si>
    <t>BEAUTHEIL SAINTS</t>
  </si>
  <si>
    <t>florent.spetz@gmail.com</t>
  </si>
  <si>
    <t>113918M</t>
  </si>
  <si>
    <t>VANEL</t>
  </si>
  <si>
    <t>4 ALLEE EMILE ZOLA</t>
  </si>
  <si>
    <t>LE PLESSIS TREVISE</t>
  </si>
  <si>
    <t>stephane.vanel@orange.fr</t>
  </si>
  <si>
    <t>113941J</t>
  </si>
  <si>
    <t>BOUQUET</t>
  </si>
  <si>
    <t>48 BOULEVARD DU COLONEL FABIEN</t>
  </si>
  <si>
    <t>MALAKOFF</t>
  </si>
  <si>
    <t>pbouquet1@gmail.com</t>
  </si>
  <si>
    <t>113954W</t>
  </si>
  <si>
    <t>PRIMAULT</t>
  </si>
  <si>
    <t>11 RUE DES PIQUETTES</t>
  </si>
  <si>
    <t>MARGENCY</t>
  </si>
  <si>
    <t>e.primault@orange.fr</t>
  </si>
  <si>
    <t>113957Z</t>
  </si>
  <si>
    <t>HOLIVE</t>
  </si>
  <si>
    <t>127 BD DE SAINT DENIS</t>
  </si>
  <si>
    <t>michelholive@gmail.com</t>
  </si>
  <si>
    <t>BELGIQUE</t>
  </si>
  <si>
    <t>CLAMART</t>
  </si>
  <si>
    <t>billard.clamart@live.fr</t>
  </si>
  <si>
    <t>RENE</t>
  </si>
  <si>
    <t>113978U</t>
  </si>
  <si>
    <t>REVAULT</t>
  </si>
  <si>
    <t>58 RUE GUTENBERG</t>
  </si>
  <si>
    <t>revaultclaudine69@gmail.com</t>
  </si>
  <si>
    <t>114471T</t>
  </si>
  <si>
    <t>ZHENYUAN</t>
  </si>
  <si>
    <t>HU</t>
  </si>
  <si>
    <t>zhenyuan@hotmail.fr</t>
  </si>
  <si>
    <t>114507D</t>
  </si>
  <si>
    <t>NADJAR</t>
  </si>
  <si>
    <t>1 ALLEE DES LILAS</t>
  </si>
  <si>
    <t>LE PLESSIS ROBINSON</t>
  </si>
  <si>
    <t>benoitnadjar69@gmail.com</t>
  </si>
  <si>
    <t>MATHIEU</t>
  </si>
  <si>
    <t>NOE</t>
  </si>
  <si>
    <t>5 RUE NIEPCE</t>
  </si>
  <si>
    <t>ST PIERRE DU PERRAY</t>
  </si>
  <si>
    <t>114584C</t>
  </si>
  <si>
    <t>AUBOUET</t>
  </si>
  <si>
    <t>11 ALLEE DES BERGERIES</t>
  </si>
  <si>
    <t>billard.draveil@gmail.com</t>
  </si>
  <si>
    <t>114588G</t>
  </si>
  <si>
    <t>LORILLERE</t>
  </si>
  <si>
    <t>6 AV FOCH</t>
  </si>
  <si>
    <t>michel.lorillere@sfr.fr</t>
  </si>
  <si>
    <t>114621N</t>
  </si>
  <si>
    <t>DANIELE</t>
  </si>
  <si>
    <t>JOREAU</t>
  </si>
  <si>
    <t>60BIS RUE PAUL VAILLANT COUTURIER</t>
  </si>
  <si>
    <t>VIGNEUX SUR SEINE</t>
  </si>
  <si>
    <t>daniele.joreau@gmail.com</t>
  </si>
  <si>
    <t>114622O</t>
  </si>
  <si>
    <t>ROBERTO</t>
  </si>
  <si>
    <t>LAMPLE</t>
  </si>
  <si>
    <t>8 ALLEE MANSARD</t>
  </si>
  <si>
    <t>jlample@wanadoo.fr</t>
  </si>
  <si>
    <t>115313D</t>
  </si>
  <si>
    <t>JEAN MARIE</t>
  </si>
  <si>
    <t>POT</t>
  </si>
  <si>
    <t>9 ROUTE DE LIEUSAINT</t>
  </si>
  <si>
    <t>TIGERY</t>
  </si>
  <si>
    <t>jeanmariepot@hotmail.fr</t>
  </si>
  <si>
    <t>115316G</t>
  </si>
  <si>
    <t>11 BD COMBES MARNES</t>
  </si>
  <si>
    <t>CORBEIL ESSONNES</t>
  </si>
  <si>
    <t>louis.marcel1935@gmail.com</t>
  </si>
  <si>
    <t>115685L</t>
  </si>
  <si>
    <t>NATHANAEL</t>
  </si>
  <si>
    <t>WEHL</t>
  </si>
  <si>
    <t>113 BIS CHEMIN DU VIEUX PAVE</t>
  </si>
  <si>
    <t>DE BRUYERE</t>
  </si>
  <si>
    <t>ST GERMAIN LES ARPAJONS</t>
  </si>
  <si>
    <t>nath.ow.home@gmail.com</t>
  </si>
  <si>
    <t>116636A</t>
  </si>
  <si>
    <t>LAPERT</t>
  </si>
  <si>
    <t>131 RUE DE LA MARNE</t>
  </si>
  <si>
    <t>ERAGNY</t>
  </si>
  <si>
    <t>patrick.lapert@orange.fr</t>
  </si>
  <si>
    <t>116952E</t>
  </si>
  <si>
    <t>JEAN MARC</t>
  </si>
  <si>
    <t>BALLIN</t>
  </si>
  <si>
    <t>88BIS RUE DE LA REPUBLIQUE</t>
  </si>
  <si>
    <t>jmballin@free.fr</t>
  </si>
  <si>
    <t>PAOLO</t>
  </si>
  <si>
    <t>RIZZI</t>
  </si>
  <si>
    <t>ST REMY LES CHEVREUSE</t>
  </si>
  <si>
    <t>117476I</t>
  </si>
  <si>
    <t>SOLENE</t>
  </si>
  <si>
    <t>ferrandisolene@gmail.com</t>
  </si>
  <si>
    <t>117483P</t>
  </si>
  <si>
    <t>HENRI</t>
  </si>
  <si>
    <t>AUCLAIR</t>
  </si>
  <si>
    <t>8 GRANDE RUE ST MAURICE</t>
  </si>
  <si>
    <t>MONTEREAU</t>
  </si>
  <si>
    <t>henriauclair@gmail.com</t>
  </si>
  <si>
    <t>117499F</t>
  </si>
  <si>
    <t>CLEMENT</t>
  </si>
  <si>
    <t>DUGAY</t>
  </si>
  <si>
    <t>12 ALLEE DU FOND DU ROULEAU</t>
  </si>
  <si>
    <t>amonadresse@hotmail.fr</t>
  </si>
  <si>
    <t>117501H</t>
  </si>
  <si>
    <t>CEDRIC</t>
  </si>
  <si>
    <t>PELOSO</t>
  </si>
  <si>
    <t>2 AVENUE FOCH</t>
  </si>
  <si>
    <t>FONTENAY</t>
  </si>
  <si>
    <t>cedric.peloso@orange.fr</t>
  </si>
  <si>
    <t>117586O</t>
  </si>
  <si>
    <t>LAURIN</t>
  </si>
  <si>
    <t>43BIS RUE VAUQUELIN</t>
  </si>
  <si>
    <t>HOUILLES</t>
  </si>
  <si>
    <t>j.laurin83@gmail.com</t>
  </si>
  <si>
    <t>117592U</t>
  </si>
  <si>
    <t>CHILLOUX</t>
  </si>
  <si>
    <t>33 RUE DE PONTOISE</t>
  </si>
  <si>
    <t>HERBLAY</t>
  </si>
  <si>
    <t>fchilloux@yahoo.fr</t>
  </si>
  <si>
    <t>117671V</t>
  </si>
  <si>
    <t>ALEX</t>
  </si>
  <si>
    <t>MONTPELLIER</t>
  </si>
  <si>
    <t>162 BOULEVARD DE MAGENTA</t>
  </si>
  <si>
    <t>CHEZ YIJUN QIU</t>
  </si>
  <si>
    <t>alex.lee@live.fr</t>
  </si>
  <si>
    <t>118031R</t>
  </si>
  <si>
    <t>TRAN</t>
  </si>
  <si>
    <t>LE HUAN CUA</t>
  </si>
  <si>
    <t>27 RUE MOZART</t>
  </si>
  <si>
    <t>lehuancuatran@gmail.com</t>
  </si>
  <si>
    <t>118705P</t>
  </si>
  <si>
    <t>ANNE MARIE</t>
  </si>
  <si>
    <t>noe.anne.marie@gmail.com</t>
  </si>
  <si>
    <t>119524C</t>
  </si>
  <si>
    <t>CHEVRIER</t>
  </si>
  <si>
    <t>21 RESIDENCE DE GRASSE VILLAGE</t>
  </si>
  <si>
    <t>FEUCHEROLLES</t>
  </si>
  <si>
    <t>chevrierpatrick@neuf.fr</t>
  </si>
  <si>
    <t>119631F</t>
  </si>
  <si>
    <t>LUCAS</t>
  </si>
  <si>
    <t>3 RUE DU VERT PRE</t>
  </si>
  <si>
    <t>GOURNAY SUR MARNE</t>
  </si>
  <si>
    <t>philippelucas1@hotmail.fr</t>
  </si>
  <si>
    <t>VICTOR</t>
  </si>
  <si>
    <t>JOINVILLE LE PONT</t>
  </si>
  <si>
    <t>VILLEMOMBLE</t>
  </si>
  <si>
    <t>120130K</t>
  </si>
  <si>
    <t>BREGERE</t>
  </si>
  <si>
    <t>15 RUE NORMANDE</t>
  </si>
  <si>
    <t>BALLAINVILLIERS</t>
  </si>
  <si>
    <t>seb3024@hotmail.fr</t>
  </si>
  <si>
    <t>120146A</t>
  </si>
  <si>
    <t>ALEXANDRE</t>
  </si>
  <si>
    <t>115 AV DU GENERAL DE GAULLE</t>
  </si>
  <si>
    <t>alexandre-michel@hotmail.fr</t>
  </si>
  <si>
    <t>120365L</t>
  </si>
  <si>
    <t>GANCEL</t>
  </si>
  <si>
    <t>21 RUE DES CHAMPS ROGER</t>
  </si>
  <si>
    <t>CHATOU</t>
  </si>
  <si>
    <t>ph.gancel@hotmail.fr</t>
  </si>
  <si>
    <t>120367N</t>
  </si>
  <si>
    <t>LUST</t>
  </si>
  <si>
    <t>13 RUE HENRI SPISSCHAERT</t>
  </si>
  <si>
    <t>120639Z</t>
  </si>
  <si>
    <t>HELLAL</t>
  </si>
  <si>
    <t>3 RUE DU MARECHAL VAILLANT</t>
  </si>
  <si>
    <t>denis.hellal@yahoo.fr</t>
  </si>
  <si>
    <t>120805J</t>
  </si>
  <si>
    <t>MURIELLE</t>
  </si>
  <si>
    <t>VAUTHIER</t>
  </si>
  <si>
    <t>7 RUE FRANCIS COMBE</t>
  </si>
  <si>
    <t>vauthier.murielle@neuf.fr</t>
  </si>
  <si>
    <t>120827F</t>
  </si>
  <si>
    <t>PALMERO</t>
  </si>
  <si>
    <t>25 RUE NICOLAS BOILEAU</t>
  </si>
  <si>
    <t>JOUY LE MOUTIER</t>
  </si>
  <si>
    <t>ppalmero@orange.fr</t>
  </si>
  <si>
    <t>120849B</t>
  </si>
  <si>
    <t>PERONNO</t>
  </si>
  <si>
    <t>24 RUE ARISTIDE BRIAND</t>
  </si>
  <si>
    <t>ANDILLY</t>
  </si>
  <si>
    <t>rene.peronno@gmail.com</t>
  </si>
  <si>
    <t>120852E</t>
  </si>
  <si>
    <t>JOHN</t>
  </si>
  <si>
    <t>YACK</t>
  </si>
  <si>
    <t>2 RUE DU GUE</t>
  </si>
  <si>
    <t>DEUIL LA BARRE</t>
  </si>
  <si>
    <t>yack.john@gmail.com</t>
  </si>
  <si>
    <t>120854G</t>
  </si>
  <si>
    <t>BLUE BIDA HOUSE CLUB</t>
  </si>
  <si>
    <t>BARRE</t>
  </si>
  <si>
    <t>8 RUE PAUL VAILLANT COUTURIER</t>
  </si>
  <si>
    <t>mouzet22@gmail.com</t>
  </si>
  <si>
    <t>121134A</t>
  </si>
  <si>
    <t>BENHAMOU</t>
  </si>
  <si>
    <t>11 RUE DES AUBEPINES</t>
  </si>
  <si>
    <t>MORIGNY CHAMPIGNY</t>
  </si>
  <si>
    <t>jacky.benhamou@laposte.net</t>
  </si>
  <si>
    <t>AULNAY SOUS BOIS</t>
  </si>
  <si>
    <t>MITRY MORY</t>
  </si>
  <si>
    <t>122092W</t>
  </si>
  <si>
    <t>8 RUE DU CUL DE SAC</t>
  </si>
  <si>
    <t>VILLERS SUR FERE</t>
  </si>
  <si>
    <t>pascal.robert63@sfr.fr</t>
  </si>
  <si>
    <t>122105J</t>
  </si>
  <si>
    <t>HOUBART</t>
  </si>
  <si>
    <t>11 RESIDENCE DU NOUVEAU PARC</t>
  </si>
  <si>
    <t>41 RUE DU MARECHAL FOCH</t>
  </si>
  <si>
    <t>ANDRESY</t>
  </si>
  <si>
    <t>houbart.cyriane@neuf.fr</t>
  </si>
  <si>
    <t>122235J</t>
  </si>
  <si>
    <t>4 RUE HENRI FERCHAL</t>
  </si>
  <si>
    <t>perrinvincent@live.fr</t>
  </si>
  <si>
    <t>123434M</t>
  </si>
  <si>
    <t>CORNEUX</t>
  </si>
  <si>
    <t>21 RUE DE LA VARENNE</t>
  </si>
  <si>
    <t>brigitte.corneux@gmail.com</t>
  </si>
  <si>
    <t>123838A</t>
  </si>
  <si>
    <t>LALAOUA</t>
  </si>
  <si>
    <t>1 PLACE DU FRONT POPULAIRE</t>
  </si>
  <si>
    <t>NOISIEL</t>
  </si>
  <si>
    <t>lalaoua@gmail.com</t>
  </si>
  <si>
    <t>123844G</t>
  </si>
  <si>
    <t>SITBON</t>
  </si>
  <si>
    <t>17 ALLEE CENTRALE</t>
  </si>
  <si>
    <t>lsitbon@yahoo.fr</t>
  </si>
  <si>
    <t>BENJAMIN</t>
  </si>
  <si>
    <t>123875L</t>
  </si>
  <si>
    <t>FERON</t>
  </si>
  <si>
    <t>60 RUE PIERRE CORNEILLE</t>
  </si>
  <si>
    <t>EGLY</t>
  </si>
  <si>
    <t>jean.feron@club-internet.fr</t>
  </si>
  <si>
    <t>123884U</t>
  </si>
  <si>
    <t>MARIETTE</t>
  </si>
  <si>
    <t>59 RUE DES SOURCES</t>
  </si>
  <si>
    <t>lucmariette@hotmail.com</t>
  </si>
  <si>
    <t>CHATENAY MALABRY</t>
  </si>
  <si>
    <t>123951J</t>
  </si>
  <si>
    <t>ALYCE</t>
  </si>
  <si>
    <t>MARCOTTE</t>
  </si>
  <si>
    <t>marcottealyce@yahoo.fr</t>
  </si>
  <si>
    <t>123965X</t>
  </si>
  <si>
    <t>BARRABES</t>
  </si>
  <si>
    <t>5 RUE DU CHAMP GAILLARD</t>
  </si>
  <si>
    <t>yannick.barrabes@gmail.com</t>
  </si>
  <si>
    <t>123985R</t>
  </si>
  <si>
    <t>LEMOINE</t>
  </si>
  <si>
    <t>2 RUE DES LONGUES RAIES</t>
  </si>
  <si>
    <t>124027H</t>
  </si>
  <si>
    <t>THEBEAULT</t>
  </si>
  <si>
    <t>36 ROUTE DE CHAMBORD</t>
  </si>
  <si>
    <t>MONTLIVAULT</t>
  </si>
  <si>
    <t>christophe.thebeault@live.fr</t>
  </si>
  <si>
    <t>124369L</t>
  </si>
  <si>
    <t>DESJOURS</t>
  </si>
  <si>
    <t>51 AVENUE DES HAMEAUX</t>
  </si>
  <si>
    <t>RIS ORANGIS</t>
  </si>
  <si>
    <t>desjphil91@gmail.com</t>
  </si>
  <si>
    <t>ROLAND</t>
  </si>
  <si>
    <t>PUTEAUX</t>
  </si>
  <si>
    <t>124758K</t>
  </si>
  <si>
    <t>JOURDAIN</t>
  </si>
  <si>
    <t>18 RUE DE L ABREUVOIR</t>
  </si>
  <si>
    <t>MEAUX</t>
  </si>
  <si>
    <t>roger.jourdain354@orange.fr</t>
  </si>
  <si>
    <t>124799Z</t>
  </si>
  <si>
    <t>NAZIMKHAN</t>
  </si>
  <si>
    <t>REMTOULA</t>
  </si>
  <si>
    <t>19 AVENUE DE LA REPUBLIQUE</t>
  </si>
  <si>
    <t>RESIDENCE LES PEROUSES</t>
  </si>
  <si>
    <t>ROMAGNAT</t>
  </si>
  <si>
    <t>nazimkhan.remtoula@gmail.com</t>
  </si>
  <si>
    <t>124892O</t>
  </si>
  <si>
    <t>CHAMPAGNE</t>
  </si>
  <si>
    <t>71 BIS RUE DU PETIT VAUX</t>
  </si>
  <si>
    <t>jpierrechamp@aol.com</t>
  </si>
  <si>
    <t>Snooker</t>
  </si>
  <si>
    <t>125019L</t>
  </si>
  <si>
    <t>DAFYDD</t>
  </si>
  <si>
    <t>HUGHES</t>
  </si>
  <si>
    <t>8 RUE REMY BELLEAU</t>
  </si>
  <si>
    <t>FONDETTES</t>
  </si>
  <si>
    <t>bulldog.billiards@gmail.com</t>
  </si>
  <si>
    <t>125022O</t>
  </si>
  <si>
    <t>GALAIS</t>
  </si>
  <si>
    <t>1 RUE DES FRERES LUMIERE</t>
  </si>
  <si>
    <t>GARGENVILLE</t>
  </si>
  <si>
    <t>r.galais@wanadoo.fr</t>
  </si>
  <si>
    <t>125422Y</t>
  </si>
  <si>
    <t>MIRMAN</t>
  </si>
  <si>
    <t>62 AVENUE MAZARIN</t>
  </si>
  <si>
    <t>CHILLY MAZARIN</t>
  </si>
  <si>
    <t>stephanemirman8312@gmail.com</t>
  </si>
  <si>
    <t>125424A</t>
  </si>
  <si>
    <t>ANGELO</t>
  </si>
  <si>
    <t>NOTARIANNI</t>
  </si>
  <si>
    <t>1 ALLEE DE L AMITIE</t>
  </si>
  <si>
    <t>angelo.notarianni@club-internet.fr</t>
  </si>
  <si>
    <t>125428E</t>
  </si>
  <si>
    <t>GRENINGER</t>
  </si>
  <si>
    <t>57 RUE DU MARECHAL FOCH</t>
  </si>
  <si>
    <t>pagr91@free.fr</t>
  </si>
  <si>
    <t>125437N</t>
  </si>
  <si>
    <t>MASSIS</t>
  </si>
  <si>
    <t>KOCU</t>
  </si>
  <si>
    <t>2 ALLEE TOULOUSE LAUTREC</t>
  </si>
  <si>
    <t>massis1@hotmail.fr</t>
  </si>
  <si>
    <t>125441R</t>
  </si>
  <si>
    <t>GALLAIS</t>
  </si>
  <si>
    <t>4 ALLEE DE CHAMPAGNE</t>
  </si>
  <si>
    <t>gallaisdavid@msn.com</t>
  </si>
  <si>
    <t>126072Y</t>
  </si>
  <si>
    <t>JEAN CHRISTOPHE</t>
  </si>
  <si>
    <t>ROUBY</t>
  </si>
  <si>
    <t>10 AVENUE PIERRE CORNEILLE</t>
  </si>
  <si>
    <t>MORANGIS</t>
  </si>
  <si>
    <t>126075B</t>
  </si>
  <si>
    <t>ERWAN</t>
  </si>
  <si>
    <t>LE GALL</t>
  </si>
  <si>
    <t>1 RUE DE LA LIBERTE</t>
  </si>
  <si>
    <t>SAVIGNY SUR ORGE</t>
  </si>
  <si>
    <t>erwan_legall@orange.fr</t>
  </si>
  <si>
    <t>126676E</t>
  </si>
  <si>
    <t>AIJAZ</t>
  </si>
  <si>
    <t>HAJI ADAM</t>
  </si>
  <si>
    <t>77 AVENUE MARCEAU</t>
  </si>
  <si>
    <t>aijaz.hajiadam@gmail.com</t>
  </si>
  <si>
    <t>126692U</t>
  </si>
  <si>
    <t>CORBEAUX</t>
  </si>
  <si>
    <t>27 RUE RENE RENAULT</t>
  </si>
  <si>
    <t>kaphinayon@gmail.com</t>
  </si>
  <si>
    <t>ACHERES</t>
  </si>
  <si>
    <t>126905Z</t>
  </si>
  <si>
    <t>HAUTECOEUR</t>
  </si>
  <si>
    <t>CITE DES GUETTES R 5</t>
  </si>
  <si>
    <t>ST MAMMES</t>
  </si>
  <si>
    <t>thierry.hautecoeur@yahoo.com</t>
  </si>
  <si>
    <t>126911F</t>
  </si>
  <si>
    <t>RIGNOLS</t>
  </si>
  <si>
    <t>LA CANTINE ROUTE DE CHAUMES</t>
  </si>
  <si>
    <t>OZOUER LE VOULGIS</t>
  </si>
  <si>
    <t>rignols.didier@outlook.fr</t>
  </si>
  <si>
    <t>126919N</t>
  </si>
  <si>
    <t>MUSSARD</t>
  </si>
  <si>
    <t>60 ALLEE DES ORGES</t>
  </si>
  <si>
    <t>patrice.mussard1945@orange.fr</t>
  </si>
  <si>
    <t>126988E</t>
  </si>
  <si>
    <t>MOSSINO</t>
  </si>
  <si>
    <t>52 AVENUE DE LA REPUBLIQUE</t>
  </si>
  <si>
    <t>ARNOUVILLE LES GONESSE</t>
  </si>
  <si>
    <t>marcmossino@hotmail.com</t>
  </si>
  <si>
    <t>126992I</t>
  </si>
  <si>
    <t>GRANDEMANGE DENIZOT</t>
  </si>
  <si>
    <t>3 RUE RACINE</t>
  </si>
  <si>
    <t>nicolasgd@gmail.com</t>
  </si>
  <si>
    <t>127020K</t>
  </si>
  <si>
    <t>DOUILLET</t>
  </si>
  <si>
    <t>9 RUE DES BOULEAUX</t>
  </si>
  <si>
    <t>127021L</t>
  </si>
  <si>
    <t>GOUERE</t>
  </si>
  <si>
    <t>2 ALLEE DES CHATAIGNIERS</t>
  </si>
  <si>
    <t>MERY SUR OISE</t>
  </si>
  <si>
    <t>127610C</t>
  </si>
  <si>
    <t>LE RUYET</t>
  </si>
  <si>
    <t>490 AVENUE DE LA GARE</t>
  </si>
  <si>
    <t>pierreleruyet@noos.fr</t>
  </si>
  <si>
    <t>127631X</t>
  </si>
  <si>
    <t>TROMAS</t>
  </si>
  <si>
    <t>6 CLOS DE CERNAY</t>
  </si>
  <si>
    <t>eric.tromas@gmail.com</t>
  </si>
  <si>
    <t>127855N</t>
  </si>
  <si>
    <t>RADOVAN</t>
  </si>
  <si>
    <t>OPALIC</t>
  </si>
  <si>
    <t>25 RUE LE SUEUR</t>
  </si>
  <si>
    <t>radovan.opalic@sfr.fr</t>
  </si>
  <si>
    <t>129152K</t>
  </si>
  <si>
    <t>GERMANICUS</t>
  </si>
  <si>
    <t>1 RUE DU BOIS DES ROCHES</t>
  </si>
  <si>
    <t>CHATEAUFORT</t>
  </si>
  <si>
    <t>philippe.germanicus@gmail.com</t>
  </si>
  <si>
    <t>129153L</t>
  </si>
  <si>
    <t>ANDRE MARC</t>
  </si>
  <si>
    <t>LATHOUMETIE</t>
  </si>
  <si>
    <t>28 RUE DIDEROT</t>
  </si>
  <si>
    <t>CHEVREUSE</t>
  </si>
  <si>
    <t>am.lathoumetie@gmail.com</t>
  </si>
  <si>
    <t>129205L</t>
  </si>
  <si>
    <t>ALEXANDRINE</t>
  </si>
  <si>
    <t>BERTON</t>
  </si>
  <si>
    <t>5 BOULEVARD JULES VALLES</t>
  </si>
  <si>
    <t>berton.alexandrine@yahoo.com</t>
  </si>
  <si>
    <t>129212S</t>
  </si>
  <si>
    <t>SENA</t>
  </si>
  <si>
    <t>9 PLACE DE L EGLISE</t>
  </si>
  <si>
    <t>superfralic@gmail.com</t>
  </si>
  <si>
    <t>129283L</t>
  </si>
  <si>
    <t>MARX</t>
  </si>
  <si>
    <t>3BIS RUE DE LA FILEUSE</t>
  </si>
  <si>
    <t>PARC DE LA FILEUSE BAT B</t>
  </si>
  <si>
    <t>ST FARGEAU PONTHIERRY</t>
  </si>
  <si>
    <t>manu-marx@orange.fr</t>
  </si>
  <si>
    <t>129286O</t>
  </si>
  <si>
    <t>DUBOIS</t>
  </si>
  <si>
    <t>56 RUE DE LA LIBERATION</t>
  </si>
  <si>
    <t>BOISSY LE CUTTE</t>
  </si>
  <si>
    <t>sebdub.sd@gmail.com</t>
  </si>
  <si>
    <t>129509D</t>
  </si>
  <si>
    <t>FABIO</t>
  </si>
  <si>
    <t>238 AVENUE DES GRANDS GODETS</t>
  </si>
  <si>
    <t>rizzifabio.pro@gmail.com</t>
  </si>
  <si>
    <t>129520O</t>
  </si>
  <si>
    <t>KELLNER</t>
  </si>
  <si>
    <t>60 RUE DE PARIS</t>
  </si>
  <si>
    <t>pkellner39@gmail.com</t>
  </si>
  <si>
    <t>129573P</t>
  </si>
  <si>
    <t>30 RUE DES GRANDS MAISONS</t>
  </si>
  <si>
    <t>129781P</t>
  </si>
  <si>
    <t>KARLO</t>
  </si>
  <si>
    <t>PROSEN</t>
  </si>
  <si>
    <t>10 RUE GABRIEL PERI</t>
  </si>
  <si>
    <t>lidijacarlo@free.fr</t>
  </si>
  <si>
    <t>129809R</t>
  </si>
  <si>
    <t>SANDRA</t>
  </si>
  <si>
    <t>HERBOMEZ</t>
  </si>
  <si>
    <t>3 RUE OMAR KHAYYAM</t>
  </si>
  <si>
    <t>sandra_herbomez@yahoo.fr</t>
  </si>
  <si>
    <t>129820C</t>
  </si>
  <si>
    <t>PASCUAL</t>
  </si>
  <si>
    <t>1 BOULEVARD JEAN JAURES</t>
  </si>
  <si>
    <t>BAT C APPT 45</t>
  </si>
  <si>
    <t>FRESNES</t>
  </si>
  <si>
    <t>pierre147@orange.fr</t>
  </si>
  <si>
    <t>129824G</t>
  </si>
  <si>
    <t>DELALANDE</t>
  </si>
  <si>
    <t>21 RUE ROBERT SCHUMANN</t>
  </si>
  <si>
    <t>129842Y</t>
  </si>
  <si>
    <t>GONCALVES</t>
  </si>
  <si>
    <t>7 RUE PAUL BELMONDO</t>
  </si>
  <si>
    <t>oliviergoncalves95@gmail.com</t>
  </si>
  <si>
    <t>130020U</t>
  </si>
  <si>
    <t>VISAL</t>
  </si>
  <si>
    <t>PEOU</t>
  </si>
  <si>
    <t>7 RUE CLAUDE BERNARD</t>
  </si>
  <si>
    <t>peouvisal@gmail.com</t>
  </si>
  <si>
    <t>CAMBODGE</t>
  </si>
  <si>
    <t>130210C</t>
  </si>
  <si>
    <t>9 SENTE DU NOYER</t>
  </si>
  <si>
    <t>jjgueringuerin@aol.fr</t>
  </si>
  <si>
    <t>130964C</t>
  </si>
  <si>
    <t>BARILLEC</t>
  </si>
  <si>
    <t>37 CHEMIN DES REGARDS</t>
  </si>
  <si>
    <t>pierre.barillec@free.fr</t>
  </si>
  <si>
    <t>130966E</t>
  </si>
  <si>
    <t>AMIR</t>
  </si>
  <si>
    <t>SHAFI</t>
  </si>
  <si>
    <t>280 RUE SAINT HONORE</t>
  </si>
  <si>
    <t>amir_enterprises@yahoo.com</t>
  </si>
  <si>
    <t>130973L</t>
  </si>
  <si>
    <t>BILLARD CLUB 8&amp;9</t>
  </si>
  <si>
    <t>EVE</t>
  </si>
  <si>
    <t>2 RUE DE MULHOUSE</t>
  </si>
  <si>
    <t>alexandre.eve@live.fr</t>
  </si>
  <si>
    <t>131196A</t>
  </si>
  <si>
    <t>RAYMOND</t>
  </si>
  <si>
    <t>DAMASCENE GALPIN</t>
  </si>
  <si>
    <t>7 RUE DE LA CROIX</t>
  </si>
  <si>
    <t>HAMEAU DE VILARE</t>
  </si>
  <si>
    <t>CITRY</t>
  </si>
  <si>
    <t>ange530@yahoo.fr</t>
  </si>
  <si>
    <t>131368Q</t>
  </si>
  <si>
    <t>MARNEAU</t>
  </si>
  <si>
    <t>21 RUE DE LA MOUREE</t>
  </si>
  <si>
    <t>pierre.marneau@wanadoo.fr</t>
  </si>
  <si>
    <t>132296I</t>
  </si>
  <si>
    <t>VIVENOT</t>
  </si>
  <si>
    <t>27 RUE FRANCOEUR</t>
  </si>
  <si>
    <t>VIRY CHATILLON</t>
  </si>
  <si>
    <t>j-b-vivenot@orange.fr</t>
  </si>
  <si>
    <t>132299L</t>
  </si>
  <si>
    <t>CROIZER</t>
  </si>
  <si>
    <t>9B RUE DE GLATIGNY</t>
  </si>
  <si>
    <t>LEUVILLE SUR ORGE</t>
  </si>
  <si>
    <t>rene.croizer@orange.fr</t>
  </si>
  <si>
    <t>132632G</t>
  </si>
  <si>
    <t>POTTIER</t>
  </si>
  <si>
    <t>4 SQUARE DE TOCQUEVILLE</t>
  </si>
  <si>
    <t>LE CHESNAY</t>
  </si>
  <si>
    <t>mmpottier@gmail.com</t>
  </si>
  <si>
    <t>132636K</t>
  </si>
  <si>
    <t>MAUPETIT</t>
  </si>
  <si>
    <t>8 RUE DE LA BRECHE DU PUITS</t>
  </si>
  <si>
    <t>ANDELU</t>
  </si>
  <si>
    <t>ac.maupetit@outlook.fr</t>
  </si>
  <si>
    <t>132644S</t>
  </si>
  <si>
    <t>VOISIN</t>
  </si>
  <si>
    <t>28 SQUARE DU PONT COLBERT</t>
  </si>
  <si>
    <t>132646U</t>
  </si>
  <si>
    <t>CHATELET</t>
  </si>
  <si>
    <t>1 ALLEE DES ROSIERS</t>
  </si>
  <si>
    <t>VILLENNES SUR SEINE</t>
  </si>
  <si>
    <t>achatelet@free.fr</t>
  </si>
  <si>
    <t>MARTIN</t>
  </si>
  <si>
    <t>132698U</t>
  </si>
  <si>
    <t>4 CHEMIN DE L OSEILLE</t>
  </si>
  <si>
    <t>PRESLES EN BRIE</t>
  </si>
  <si>
    <t>patrickmalek@free.fr</t>
  </si>
  <si>
    <t>132716M</t>
  </si>
  <si>
    <t>BOURGOIN</t>
  </si>
  <si>
    <t>37 MAIL DE LA FONTAINE RONDE</t>
  </si>
  <si>
    <t>SAVIGNY LE TEMPLE</t>
  </si>
  <si>
    <t>bourgoin.denis60@gmail.com</t>
  </si>
  <si>
    <t>132721R</t>
  </si>
  <si>
    <t>JIMMY</t>
  </si>
  <si>
    <t>PAPALOUKAS</t>
  </si>
  <si>
    <t>33 TER RUE DU 26 AOUT 1944</t>
  </si>
  <si>
    <t>papaloukasjimmy@gmail.com</t>
  </si>
  <si>
    <t>132768M</t>
  </si>
  <si>
    <t>BONNO</t>
  </si>
  <si>
    <t>2 RUE DU GENERAL LECLERC</t>
  </si>
  <si>
    <t>didier.bonno@gmail.com</t>
  </si>
  <si>
    <t>132888C</t>
  </si>
  <si>
    <t>L HERONDE</t>
  </si>
  <si>
    <t>155 AVENUE DU GENERAL LECLERC</t>
  </si>
  <si>
    <t>GILBERT</t>
  </si>
  <si>
    <t>133258I</t>
  </si>
  <si>
    <t>VAVASSEUR</t>
  </si>
  <si>
    <t>8 AVENUE PAUL CEZANNE</t>
  </si>
  <si>
    <t>BAT A8 ETAGE 7 APP 4</t>
  </si>
  <si>
    <t>sebvav62@yahoo.fr</t>
  </si>
  <si>
    <t>133261L</t>
  </si>
  <si>
    <t>34 AVENUE DES MARRONNIERS</t>
  </si>
  <si>
    <t>lefevre.jerome.1985@gmail.com</t>
  </si>
  <si>
    <t>133301Z</t>
  </si>
  <si>
    <t>POIRET</t>
  </si>
  <si>
    <t>2 RUE RAOUL LESCENE</t>
  </si>
  <si>
    <t>ST MARTIN LA GARENNE</t>
  </si>
  <si>
    <t>jean-claude_poiret@orange.fr</t>
  </si>
  <si>
    <t>133303B</t>
  </si>
  <si>
    <t>RIVA</t>
  </si>
  <si>
    <t>9 RUE DES MOUSSETS</t>
  </si>
  <si>
    <t>patrick.riva@yahoo.fr</t>
  </si>
  <si>
    <t>133357D</t>
  </si>
  <si>
    <t>PORCU</t>
  </si>
  <si>
    <t>17 ROUTE DE CHAUFFOUR</t>
  </si>
  <si>
    <t>BOIS FOURGON</t>
  </si>
  <si>
    <t>VILLECONIN</t>
  </si>
  <si>
    <t>frederic.porcu@gmail.com</t>
  </si>
  <si>
    <t>133703L</t>
  </si>
  <si>
    <t>DEROO</t>
  </si>
  <si>
    <t>16 COUR POMPONNE DE BELLIEVRE</t>
  </si>
  <si>
    <t>david.deroo@hotmail.fr</t>
  </si>
  <si>
    <t>133738U</t>
  </si>
  <si>
    <t>PRIEUR</t>
  </si>
  <si>
    <t>61 RUE ANDRE CHENIER</t>
  </si>
  <si>
    <t>jacquesprieur@laposte.net</t>
  </si>
  <si>
    <t>133831J</t>
  </si>
  <si>
    <t>BONIN</t>
  </si>
  <si>
    <t>7 RUE DE L HOPITAL</t>
  </si>
  <si>
    <t>LA ROCHE GUYON</t>
  </si>
  <si>
    <t>jeanclaude.bonin@laposte.net</t>
  </si>
  <si>
    <t>133837P</t>
  </si>
  <si>
    <t>41 RUE DE LA FONTAINE</t>
  </si>
  <si>
    <t>MORAINVILLIERS</t>
  </si>
  <si>
    <t>pierre.chatelet@cegetel.net</t>
  </si>
  <si>
    <t>133840S</t>
  </si>
  <si>
    <t>CAROFF</t>
  </si>
  <si>
    <t>25 RUE ROBERT HARDOUIN</t>
  </si>
  <si>
    <t>134027X</t>
  </si>
  <si>
    <t>BOURBAN</t>
  </si>
  <si>
    <t>25 RUE FIZEAU</t>
  </si>
  <si>
    <t>dominique.bourban@gmail.com</t>
  </si>
  <si>
    <t>134291B</t>
  </si>
  <si>
    <t>ZHONG ZHE</t>
  </si>
  <si>
    <t>JIN</t>
  </si>
  <si>
    <t>54 RUE DES ENTREPRENEURS</t>
  </si>
  <si>
    <t>jinzhongzhe@hotmail.fr</t>
  </si>
  <si>
    <t>134307R</t>
  </si>
  <si>
    <t>TRUFFAUT</t>
  </si>
  <si>
    <t>40 RUE JULES MASSENET</t>
  </si>
  <si>
    <t>gerald.truffaut@outlook.fr</t>
  </si>
  <si>
    <t>134791H</t>
  </si>
  <si>
    <t>LAPERTOT</t>
  </si>
  <si>
    <t>1 ALLEE DE LA VOIRIE AUX LOUPS</t>
  </si>
  <si>
    <t>michel.lapertot@gmail.com</t>
  </si>
  <si>
    <t>134793J</t>
  </si>
  <si>
    <t>MEROT</t>
  </si>
  <si>
    <t>7 RUE ARISTIDE BRIAND</t>
  </si>
  <si>
    <t>d.o.m@free.fr</t>
  </si>
  <si>
    <t>134839D</t>
  </si>
  <si>
    <t>CORBET</t>
  </si>
  <si>
    <t>5 RUE DE PRE</t>
  </si>
  <si>
    <t>134845J</t>
  </si>
  <si>
    <t>LINGELSER</t>
  </si>
  <si>
    <t>9 RUE DU CHAMP LANDRY</t>
  </si>
  <si>
    <t>MOUROUX</t>
  </si>
  <si>
    <t>maudjfr@homail.fr</t>
  </si>
  <si>
    <t>134846K</t>
  </si>
  <si>
    <t>TRIPOT</t>
  </si>
  <si>
    <t>10 RUE DU ROCHER</t>
  </si>
  <si>
    <t>ST AUGUSTIN</t>
  </si>
  <si>
    <t>michel.tripot911@gmail.com</t>
  </si>
  <si>
    <t>134887Z</t>
  </si>
  <si>
    <t>CHARPENTIER</t>
  </si>
  <si>
    <t>2 AVENUE DE COUSALES</t>
  </si>
  <si>
    <t>BESSANCOURT</t>
  </si>
  <si>
    <t>phiphicharpentier@gmail.com</t>
  </si>
  <si>
    <t>134929P</t>
  </si>
  <si>
    <t>3 RUE LEON GAMBETTA</t>
  </si>
  <si>
    <t>CHAVILLE</t>
  </si>
  <si>
    <t>djamstiti@outlook.fr</t>
  </si>
  <si>
    <t>134983R</t>
  </si>
  <si>
    <t>MICHAUD</t>
  </si>
  <si>
    <t>62 RUE VICTOR HUGO</t>
  </si>
  <si>
    <t>ymichaud66@laposte.net</t>
  </si>
  <si>
    <t>135075F</t>
  </si>
  <si>
    <t>GASCON</t>
  </si>
  <si>
    <t>28 RUE DAUBIGNY</t>
  </si>
  <si>
    <t>PONTOISE</t>
  </si>
  <si>
    <t>robertgascon@orange.fr</t>
  </si>
  <si>
    <t>135104I</t>
  </si>
  <si>
    <t>PRUDHOMME</t>
  </si>
  <si>
    <t>13 RUELLE DU MOULIN</t>
  </si>
  <si>
    <t>JPRU007@YAHOO.FR</t>
  </si>
  <si>
    <t>135223X</t>
  </si>
  <si>
    <t>VAHIT</t>
  </si>
  <si>
    <t>KUNT</t>
  </si>
  <si>
    <t>10 RUE CLAUDE LEVI STRAUSS</t>
  </si>
  <si>
    <t>BOBIGNY</t>
  </si>
  <si>
    <t>civa93@hotmail.fr</t>
  </si>
  <si>
    <t>TURQUIE</t>
  </si>
  <si>
    <t>135306C</t>
  </si>
  <si>
    <t>JOEL</t>
  </si>
  <si>
    <t>ARNOUX</t>
  </si>
  <si>
    <t>4 RUE DES SAPINS</t>
  </si>
  <si>
    <t>joelarnoux8@gmail.com</t>
  </si>
  <si>
    <t>135312I</t>
  </si>
  <si>
    <t>SENG KEO</t>
  </si>
  <si>
    <t>SOUKHANOUVONG</t>
  </si>
  <si>
    <t>5 RUE NUNGESSER ET COLI</t>
  </si>
  <si>
    <t>MANTES LA JOLIE</t>
  </si>
  <si>
    <t>toutie78@hotmail.fr</t>
  </si>
  <si>
    <t>135325V</t>
  </si>
  <si>
    <t>BRANCOURT</t>
  </si>
  <si>
    <t>15 PLACE DES HAUTS TAILLIS</t>
  </si>
  <si>
    <t>a.brancourt1@aliceadsl.fr</t>
  </si>
  <si>
    <t>135326W</t>
  </si>
  <si>
    <t>GAUCHOUX</t>
  </si>
  <si>
    <t>5 RUE JOLIOT CURIE</t>
  </si>
  <si>
    <t>COURDIMANCHE</t>
  </si>
  <si>
    <t>gauchoux@laresidence.fr</t>
  </si>
  <si>
    <t>135337H</t>
  </si>
  <si>
    <t>VASSEUR</t>
  </si>
  <si>
    <t>5 BIS RUE SAINT VINCENT</t>
  </si>
  <si>
    <t>MAULE</t>
  </si>
  <si>
    <t>gev-maule@hotmail.fr</t>
  </si>
  <si>
    <t>135358C</t>
  </si>
  <si>
    <t>FLORYAN</t>
  </si>
  <si>
    <t>46 BIS BOULEVARD ROBESPIERE</t>
  </si>
  <si>
    <t>POISSY</t>
  </si>
  <si>
    <t>floydoudou@hotmail.com</t>
  </si>
  <si>
    <t>LINAS</t>
  </si>
  <si>
    <t>135399R</t>
  </si>
  <si>
    <t>MIRLICOURTOIS</t>
  </si>
  <si>
    <t>63 SQUARE DU NORD</t>
  </si>
  <si>
    <t>GONESSE</t>
  </si>
  <si>
    <t>sittingbull1956@hotmail.fr</t>
  </si>
  <si>
    <t>135462C</t>
  </si>
  <si>
    <t>DERHI</t>
  </si>
  <si>
    <t>40 RUE HENRI GILBERT</t>
  </si>
  <si>
    <t>claude.derhi@hotmail.fr</t>
  </si>
  <si>
    <t>135469J</t>
  </si>
  <si>
    <t>MOREAU</t>
  </si>
  <si>
    <t>1 IMPASSE DU ROYAUME</t>
  </si>
  <si>
    <t>BURES SUR YVETTE</t>
  </si>
  <si>
    <t>jl.moreau1@free.fr</t>
  </si>
  <si>
    <t>135744Y</t>
  </si>
  <si>
    <t>CARANNANTE</t>
  </si>
  <si>
    <t>15 RUE DE LA VALLEE</t>
  </si>
  <si>
    <t>VERNON</t>
  </si>
  <si>
    <t>crjer@hotmail.com</t>
  </si>
  <si>
    <t>135955B</t>
  </si>
  <si>
    <t>CRINON</t>
  </si>
  <si>
    <t>10 RUE NUNGESSER ET COLI</t>
  </si>
  <si>
    <t>xcrinon@gmail.com</t>
  </si>
  <si>
    <t>135962I</t>
  </si>
  <si>
    <t>8 RUE DE LA GRANGE</t>
  </si>
  <si>
    <t>xavier.golf@hotmail.fr</t>
  </si>
  <si>
    <t>135973T</t>
  </si>
  <si>
    <t>SOFYA</t>
  </si>
  <si>
    <t>BAYLATRY</t>
  </si>
  <si>
    <t>1 RUE DE L HOTEL DE VILLE</t>
  </si>
  <si>
    <t>NEUILLY SUR SEINE</t>
  </si>
  <si>
    <t>sofya.logacheva@gmail.com</t>
  </si>
  <si>
    <t>135981B</t>
  </si>
  <si>
    <t>MATTHIEU</t>
  </si>
  <si>
    <t>VERRECCHIA</t>
  </si>
  <si>
    <t>81 RUE DE FONTENAY</t>
  </si>
  <si>
    <t>matthieu.verrecchia@gmail.com</t>
  </si>
  <si>
    <t>136220G</t>
  </si>
  <si>
    <t>VERONIQUE</t>
  </si>
  <si>
    <t>LABOUREAU</t>
  </si>
  <si>
    <t>56 RUE DU PARC</t>
  </si>
  <si>
    <t>vlabour@club-internet.fr</t>
  </si>
  <si>
    <t>136401F</t>
  </si>
  <si>
    <t>DOURNAUX</t>
  </si>
  <si>
    <t>8 RUE FRAGONARD</t>
  </si>
  <si>
    <t>ISSY LES MOULINEAUX</t>
  </si>
  <si>
    <t>lxuanruod@gmail.com</t>
  </si>
  <si>
    <t>136403H</t>
  </si>
  <si>
    <t>NGUYEN</t>
  </si>
  <si>
    <t>nguyen.baylatry@gmail.com</t>
  </si>
  <si>
    <t>136703V</t>
  </si>
  <si>
    <t>DUPUY</t>
  </si>
  <si>
    <t>84 BIS CHEMIN DES BOEUFS</t>
  </si>
  <si>
    <t>dupuypierre95@gmail.com</t>
  </si>
  <si>
    <t>136743J</t>
  </si>
  <si>
    <t>FLAGEUL</t>
  </si>
  <si>
    <t>18 RUE DES GASCONS</t>
  </si>
  <si>
    <t>serge.flageul@wanadoo.fr</t>
  </si>
  <si>
    <t>136976I</t>
  </si>
  <si>
    <t>13 RUE D AULNAY</t>
  </si>
  <si>
    <t>BAZEMONT</t>
  </si>
  <si>
    <t>jour.mcl@orange.fr</t>
  </si>
  <si>
    <t>137035P</t>
  </si>
  <si>
    <t>LABLANCHE</t>
  </si>
  <si>
    <t>10 RUE GUYNEMER</t>
  </si>
  <si>
    <t>g.lablanche@hotmail.fr</t>
  </si>
  <si>
    <t>137099B</t>
  </si>
  <si>
    <t>BOURGEON</t>
  </si>
  <si>
    <t>12 CLOS FORGET</t>
  </si>
  <si>
    <t>VIGNY</t>
  </si>
  <si>
    <t>137333B</t>
  </si>
  <si>
    <t>ERISAY</t>
  </si>
  <si>
    <t>LE PRIEURE</t>
  </si>
  <si>
    <t>BATIMENT RENE SAUTIN N 36</t>
  </si>
  <si>
    <t>LES ANDELYS</t>
  </si>
  <si>
    <t>fabrice.erisay@wanadoo.fr</t>
  </si>
  <si>
    <t>137385B</t>
  </si>
  <si>
    <t>81 BIS AVENUE CARNOT</t>
  </si>
  <si>
    <t>claude.simon@outlook.com</t>
  </si>
  <si>
    <t>137394K</t>
  </si>
  <si>
    <t>DUNG</t>
  </si>
  <si>
    <t>PHAN</t>
  </si>
  <si>
    <t>CLICHY SOUS BOIS</t>
  </si>
  <si>
    <t>dungid@gmail.com</t>
  </si>
  <si>
    <t>137837L</t>
  </si>
  <si>
    <t>SIAMAK</t>
  </si>
  <si>
    <t>MOSTAFAVI</t>
  </si>
  <si>
    <t>26 RUE DU NOUVEAU BEZONS</t>
  </si>
  <si>
    <t>BEZONS</t>
  </si>
  <si>
    <t>mnsiamak@hotmail.com</t>
  </si>
  <si>
    <t>137895R</t>
  </si>
  <si>
    <t>JAFFRENNOU</t>
  </si>
  <si>
    <t>4 RUELLE DE LA VANNE</t>
  </si>
  <si>
    <t>EPIAIS RHUS</t>
  </si>
  <si>
    <t>138056W</t>
  </si>
  <si>
    <t>pierre.vdl@live.fr</t>
  </si>
  <si>
    <t>138060A</t>
  </si>
  <si>
    <t>LE SAGE</t>
  </si>
  <si>
    <t>5 ALLEE DE LA FERME GUILLAUME</t>
  </si>
  <si>
    <t>j-le-sage@orange.fr</t>
  </si>
  <si>
    <t>138061B</t>
  </si>
  <si>
    <t>BELINGARD</t>
  </si>
  <si>
    <t>17 CHEMIN DES VIEILLES VIGNES</t>
  </si>
  <si>
    <t>eric.belingard@free.fr</t>
  </si>
  <si>
    <t>138066G</t>
  </si>
  <si>
    <t>LEBROT</t>
  </si>
  <si>
    <t>4 AVENUE FOCH</t>
  </si>
  <si>
    <t>guylebrot@gmail.com</t>
  </si>
  <si>
    <t>SEVRAN</t>
  </si>
  <si>
    <t>138088C</t>
  </si>
  <si>
    <t>MARIE ANTOINETTE</t>
  </si>
  <si>
    <t>EVENOU</t>
  </si>
  <si>
    <t>61 RUE DES FEUILLARDES</t>
  </si>
  <si>
    <t>SAMOIS SUR SEINE</t>
  </si>
  <si>
    <t>wemar1@orange.fr</t>
  </si>
  <si>
    <t>138121J</t>
  </si>
  <si>
    <t>LE BRUSTIEC</t>
  </si>
  <si>
    <t>ROSNY SUR SEINE</t>
  </si>
  <si>
    <t>jclebrus@club-internet.fr</t>
  </si>
  <si>
    <t>138123L</t>
  </si>
  <si>
    <t>GEFFROY</t>
  </si>
  <si>
    <t>7 BIS BOULEVARD ARISTIDE BRIAND</t>
  </si>
  <si>
    <t>138129R</t>
  </si>
  <si>
    <t>BOUYER</t>
  </si>
  <si>
    <t>1 ALLEE DES FAONS</t>
  </si>
  <si>
    <t>bouyer.jp@wanadoo.fr</t>
  </si>
  <si>
    <t>LE RAINCY</t>
  </si>
  <si>
    <t>138254M</t>
  </si>
  <si>
    <t>CAIRE</t>
  </si>
  <si>
    <t>175 RUE JEAN PIERRE TIMBAUD</t>
  </si>
  <si>
    <t>138266Y</t>
  </si>
  <si>
    <t>11 VILLA MARGURERITE</t>
  </si>
  <si>
    <t>p.thonat@laposte.net</t>
  </si>
  <si>
    <t>138286S</t>
  </si>
  <si>
    <t>63 RUE DU DOCTEUR ROUX</t>
  </si>
  <si>
    <t>mathieuferreira03@gmail.com</t>
  </si>
  <si>
    <t>138296C</t>
  </si>
  <si>
    <t>COUTIER</t>
  </si>
  <si>
    <t>7 IMPASSE SCAPIN</t>
  </si>
  <si>
    <t>jlc.coutier@gmail.com</t>
  </si>
  <si>
    <t>138915X</t>
  </si>
  <si>
    <t>jl.cior@gmail.com</t>
  </si>
  <si>
    <t>138917Z</t>
  </si>
  <si>
    <t>LEFEBVRE</t>
  </si>
  <si>
    <t>8 RUE VAN GOGH</t>
  </si>
  <si>
    <t>vilef78@orange.fr</t>
  </si>
  <si>
    <t>138920C</t>
  </si>
  <si>
    <t>MAUGUY</t>
  </si>
  <si>
    <t>27 RUE DU GRAND PARC</t>
  </si>
  <si>
    <t>mauguy.laurent@free.fr</t>
  </si>
  <si>
    <t>138925H</t>
  </si>
  <si>
    <t>GENDRAUD</t>
  </si>
  <si>
    <t>6 AVENUE MISS HOWARD</t>
  </si>
  <si>
    <t>dagendraud@gmail.com</t>
  </si>
  <si>
    <t>138934Q</t>
  </si>
  <si>
    <t>BLAISOT</t>
  </si>
  <si>
    <t>20 RUE PAUL VALERY</t>
  </si>
  <si>
    <t>michelblaisot@hotmail.fr</t>
  </si>
  <si>
    <t>139024C</t>
  </si>
  <si>
    <t>MAIX</t>
  </si>
  <si>
    <t>7 AVENUE GASTON BERTHIER</t>
  </si>
  <si>
    <t>139026E</t>
  </si>
  <si>
    <t>23 RUE DU COUDRAY</t>
  </si>
  <si>
    <t>FREPILLON</t>
  </si>
  <si>
    <t>139107H</t>
  </si>
  <si>
    <t>HAGNERE</t>
  </si>
  <si>
    <t>43 RUE PIERRE CORNEILLE</t>
  </si>
  <si>
    <t>AMIENS</t>
  </si>
  <si>
    <t>christ-bille@orange.fr</t>
  </si>
  <si>
    <t>139123X</t>
  </si>
  <si>
    <t>DELIDAIS</t>
  </si>
  <si>
    <t>16 RUE PAUL FEVAL</t>
  </si>
  <si>
    <t>christian.delidais@gmail.com</t>
  </si>
  <si>
    <t>139189L</t>
  </si>
  <si>
    <t>COULON</t>
  </si>
  <si>
    <t>1 ROUTE DE SAINT GERMAIN</t>
  </si>
  <si>
    <t>xcoul.home@wanadoo.fr</t>
  </si>
  <si>
    <t>139191N</t>
  </si>
  <si>
    <t>YOULI</t>
  </si>
  <si>
    <t>GAVRILOV</t>
  </si>
  <si>
    <t>20 ALLEE DU 6 JUIN 1944</t>
  </si>
  <si>
    <t>DOURDAN</t>
  </si>
  <si>
    <t>RUSSIE</t>
  </si>
  <si>
    <t>youli.gavrilov@gmail.com</t>
  </si>
  <si>
    <t>139193P</t>
  </si>
  <si>
    <t>HUIBAN</t>
  </si>
  <si>
    <t>10 SQUARE FRANZ LISZT</t>
  </si>
  <si>
    <t>guyhuiban@gmail.com</t>
  </si>
  <si>
    <t>139436Y</t>
  </si>
  <si>
    <t>PILLIER</t>
  </si>
  <si>
    <t>3 ALLEE DU CLOS AU GUE</t>
  </si>
  <si>
    <t>pillierjacques@gmail.com</t>
  </si>
  <si>
    <t>139536U</t>
  </si>
  <si>
    <t>FREYSZ</t>
  </si>
  <si>
    <t>6 RUE FRANCOIS DELAGE</t>
  </si>
  <si>
    <t>jc.freysz@wanadoo.fr</t>
  </si>
  <si>
    <t>ROUCHON</t>
  </si>
  <si>
    <t>139690S</t>
  </si>
  <si>
    <t>GUINGAND</t>
  </si>
  <si>
    <t>19 RUE DU GENERAL DE GAULLE</t>
  </si>
  <si>
    <t>guingand.florian@gmail.com</t>
  </si>
  <si>
    <t>139712O</t>
  </si>
  <si>
    <t>MARAND</t>
  </si>
  <si>
    <t>6 BIS RUE DES NOYERS</t>
  </si>
  <si>
    <t>LIVERDY</t>
  </si>
  <si>
    <t>139923R</t>
  </si>
  <si>
    <t>BRENA</t>
  </si>
  <si>
    <t>59 RUE DE LA STATION</t>
  </si>
  <si>
    <t>onze_de_pike@hotmail.fr</t>
  </si>
  <si>
    <t>139991H</t>
  </si>
  <si>
    <t>LLEDO</t>
  </si>
  <si>
    <t>33 RUE LEONARD DE VINCI</t>
  </si>
  <si>
    <t>andre.lledo@laposte.net</t>
  </si>
  <si>
    <t>140008Y</t>
  </si>
  <si>
    <t>DEBRY</t>
  </si>
  <si>
    <t>8 VILLA CROIX NIVERT</t>
  </si>
  <si>
    <t>f_debry@hotmail.com</t>
  </si>
  <si>
    <t>140021L</t>
  </si>
  <si>
    <t>TRONIOU</t>
  </si>
  <si>
    <t>238 RUE ARISTIDE BRIAND</t>
  </si>
  <si>
    <t>alain.canari@wanadoo.fr</t>
  </si>
  <si>
    <t>140039D</t>
  </si>
  <si>
    <t>ALEXIS</t>
  </si>
  <si>
    <t>JACQUOT</t>
  </si>
  <si>
    <t>25 RUE DES GIROLLES</t>
  </si>
  <si>
    <t>alex270286@hotmail.com</t>
  </si>
  <si>
    <t>140066E</t>
  </si>
  <si>
    <t>MARRUCHO</t>
  </si>
  <si>
    <t>jcmarrucho@yahoo.fr</t>
  </si>
  <si>
    <t>140067F</t>
  </si>
  <si>
    <t>MOURAYRE</t>
  </si>
  <si>
    <t>9 PLACE GERMAINE TAILLEFERRE</t>
  </si>
  <si>
    <t>denis.mourayre@hotmail.fr</t>
  </si>
  <si>
    <t>140297B</t>
  </si>
  <si>
    <t>VASCO</t>
  </si>
  <si>
    <t>DOS SANTOS</t>
  </si>
  <si>
    <t>10 RUE COUDESSOUS</t>
  </si>
  <si>
    <t>VENDREST</t>
  </si>
  <si>
    <t>dossantosannie@orange.fr</t>
  </si>
  <si>
    <t>140306K</t>
  </si>
  <si>
    <t>TESSON</t>
  </si>
  <si>
    <t>26 RUE DU PARC DE CLAGNY</t>
  </si>
  <si>
    <t>fpg.tesson@wanadoo.fr</t>
  </si>
  <si>
    <t>140314S</t>
  </si>
  <si>
    <t>BIHOREL</t>
  </si>
  <si>
    <t>1A RUE DU PLATEAU</t>
  </si>
  <si>
    <t>LA FRETTE SUR SEINE</t>
  </si>
  <si>
    <t>rolandbihorel@gmail.com</t>
  </si>
  <si>
    <t>140315T</t>
  </si>
  <si>
    <t>BAROUX</t>
  </si>
  <si>
    <t>6 ALLEE DES AUBEPINES</t>
  </si>
  <si>
    <t>abecourix@gmail.com</t>
  </si>
  <si>
    <t>140424Y</t>
  </si>
  <si>
    <t>GOLDMANN</t>
  </si>
  <si>
    <t>10 RUE DE NUISEMENT</t>
  </si>
  <si>
    <t>ST ARNOULT EN YVELINES</t>
  </si>
  <si>
    <t>goldmann@club-internet.fr</t>
  </si>
  <si>
    <t>VILLETTE</t>
  </si>
  <si>
    <t>140579X</t>
  </si>
  <si>
    <t>LEVOIVENEL</t>
  </si>
  <si>
    <t>25 ALLEE DES CHARMES</t>
  </si>
  <si>
    <t>ph.levoivenel@gmail.com</t>
  </si>
  <si>
    <t>140580Y</t>
  </si>
  <si>
    <t>JELGER</t>
  </si>
  <si>
    <t>71 RUE DANTON</t>
  </si>
  <si>
    <t>BATIMENT A</t>
  </si>
  <si>
    <t>jelger.guy@bbox.fr</t>
  </si>
  <si>
    <t>140941V</t>
  </si>
  <si>
    <t>PREVOST</t>
  </si>
  <si>
    <t>120 RUE JEAN JAURES</t>
  </si>
  <si>
    <t>141146S</t>
  </si>
  <si>
    <t>LASNE</t>
  </si>
  <si>
    <t>152 RUE DE ROCHEFORT</t>
  </si>
  <si>
    <t>christian.lasne2@wanadoo.fr</t>
  </si>
  <si>
    <t>141291H</t>
  </si>
  <si>
    <t>LOISEAU</t>
  </si>
  <si>
    <t>39 RUE HAUTE</t>
  </si>
  <si>
    <t>MISSY SUR YONNE</t>
  </si>
  <si>
    <t>danloi2619@gmail.com</t>
  </si>
  <si>
    <t>141308Y</t>
  </si>
  <si>
    <t>CARLIN</t>
  </si>
  <si>
    <t>15 RUE DES GLATIGNIES</t>
  </si>
  <si>
    <t>michel.carlin@sfr.fr</t>
  </si>
  <si>
    <t>DOMONT</t>
  </si>
  <si>
    <t>141486U</t>
  </si>
  <si>
    <t>DUCHEMIN</t>
  </si>
  <si>
    <t>5 ALLEE DE LA POMERAIE</t>
  </si>
  <si>
    <t>didierduchemin78@gmail.com</t>
  </si>
  <si>
    <t>142206M</t>
  </si>
  <si>
    <t>LOZE</t>
  </si>
  <si>
    <t>62 RUE GUSTAVE VATONNE</t>
  </si>
  <si>
    <t>GIF SUR YVETTE</t>
  </si>
  <si>
    <t>cl.loze@orange.fr</t>
  </si>
  <si>
    <t>142208O</t>
  </si>
  <si>
    <t>SAMUEL</t>
  </si>
  <si>
    <t>ITTAH</t>
  </si>
  <si>
    <t>francilien.credit@orange.fr</t>
  </si>
  <si>
    <t>142366Q</t>
  </si>
  <si>
    <t>LI</t>
  </si>
  <si>
    <t>26 RUE CHEF DE VILLE</t>
  </si>
  <si>
    <t>LA ROCHELLE</t>
  </si>
  <si>
    <t>maxwood93500@gmail.com</t>
  </si>
  <si>
    <t>142375Z</t>
  </si>
  <si>
    <t>7 BIS RUELLE DES SAULES</t>
  </si>
  <si>
    <t>renethd@yahoo.fr</t>
  </si>
  <si>
    <t>142379D</t>
  </si>
  <si>
    <t>LIGER</t>
  </si>
  <si>
    <t>6 AVENUE PASTOURELLE</t>
  </si>
  <si>
    <t>gerard.liger@free.fr</t>
  </si>
  <si>
    <t>142400Y</t>
  </si>
  <si>
    <t>ANNE</t>
  </si>
  <si>
    <t>64 RUE VICTOR HUGO</t>
  </si>
  <si>
    <t>ericanne.billard@gmail.com</t>
  </si>
  <si>
    <t>142463J</t>
  </si>
  <si>
    <t>RESIDENCE LA BADAUDIERE</t>
  </si>
  <si>
    <t>BAT F APP 131</t>
  </si>
  <si>
    <t>pat91.bertrand@orange.fr</t>
  </si>
  <si>
    <t>142464K</t>
  </si>
  <si>
    <t>ELISE</t>
  </si>
  <si>
    <t>SOUCHET</t>
  </si>
  <si>
    <t>12 RUE DES MARTYRS</t>
  </si>
  <si>
    <t>ARPAJON</t>
  </si>
  <si>
    <t>souchet.elise@orange.fr</t>
  </si>
  <si>
    <t>142482C</t>
  </si>
  <si>
    <t>ROSSIGNOL</t>
  </si>
  <si>
    <t>8 RUE DES VERGERS</t>
  </si>
  <si>
    <t>JUZIERS</t>
  </si>
  <si>
    <t>chantal.rossignol693@gmail.com</t>
  </si>
  <si>
    <t>142504Y</t>
  </si>
  <si>
    <t>5 RUE DES CHARDONNERETS</t>
  </si>
  <si>
    <t>FONTENAY TRESIGNY</t>
  </si>
  <si>
    <t>perrin.guy@hotmail.fr</t>
  </si>
  <si>
    <t>142514I</t>
  </si>
  <si>
    <t>16 RUE DES PAQUERETTES</t>
  </si>
  <si>
    <t>nguyenjeanclaude@sfr.fr</t>
  </si>
  <si>
    <t>142641F</t>
  </si>
  <si>
    <t>DEFRUYT</t>
  </si>
  <si>
    <t>2 ALLEE DE LA PERSPECTIVE</t>
  </si>
  <si>
    <t>didier.defruyt@wanadoo.fr</t>
  </si>
  <si>
    <t>142664C</t>
  </si>
  <si>
    <t>GARCIA</t>
  </si>
  <si>
    <t>25 RUE JEAN PAUL SARTRE</t>
  </si>
  <si>
    <t>142665D</t>
  </si>
  <si>
    <t>MERLIER</t>
  </si>
  <si>
    <t>33 RUE JEAN PAUL SARTRE</t>
  </si>
  <si>
    <t>patrickmerlier@worldonline.fr</t>
  </si>
  <si>
    <t>142843Z</t>
  </si>
  <si>
    <t>CARRIE</t>
  </si>
  <si>
    <t>35 RUE JEAN BAPTISTE LAMARCK</t>
  </si>
  <si>
    <t>alain.carrie@wanadoo.fr</t>
  </si>
  <si>
    <t>142848E</t>
  </si>
  <si>
    <t>RANI</t>
  </si>
  <si>
    <t>AZOULA</t>
  </si>
  <si>
    <t>9 AVENUE PAUL VERLAINE</t>
  </si>
  <si>
    <t>NEUILLY SUR MARNE</t>
  </si>
  <si>
    <t>rani.azoula@gmail.com</t>
  </si>
  <si>
    <t>142849F</t>
  </si>
  <si>
    <t>BOUCHEREAU</t>
  </si>
  <si>
    <t>35 AVENUE DE VERDUN</t>
  </si>
  <si>
    <t>bc596@yahoo.fr</t>
  </si>
  <si>
    <t>142850G</t>
  </si>
  <si>
    <t>CHAVANCE</t>
  </si>
  <si>
    <t>49 RUE DU CHEMIN VERT</t>
  </si>
  <si>
    <t>paulchavance@hotmail.com</t>
  </si>
  <si>
    <t>143048W</t>
  </si>
  <si>
    <t>PEGORER</t>
  </si>
  <si>
    <t>6 SQUARE POUSSIN</t>
  </si>
  <si>
    <t>jlpmb4652@gmail.com</t>
  </si>
  <si>
    <t>DELAHAYE</t>
  </si>
  <si>
    <t>ST GERMAIN EN LAYE</t>
  </si>
  <si>
    <t>FRANCOISE</t>
  </si>
  <si>
    <t>143257X</t>
  </si>
  <si>
    <t>JANTZEN</t>
  </si>
  <si>
    <t>20 BIS BLD PAUL NICLAUSSE</t>
  </si>
  <si>
    <t>FAREMOUTIERS</t>
  </si>
  <si>
    <t>143411V</t>
  </si>
  <si>
    <t>LEMEN</t>
  </si>
  <si>
    <t>11 ALLEE DE CLAIRBOIS</t>
  </si>
  <si>
    <t>143711J</t>
  </si>
  <si>
    <t>CONRIE</t>
  </si>
  <si>
    <t>21 RUE D HERBEVILLLE</t>
  </si>
  <si>
    <t>CRESPIERES</t>
  </si>
  <si>
    <t>christian.conrie@wanadoo.fr</t>
  </si>
  <si>
    <t>143712K</t>
  </si>
  <si>
    <t>TOUSTOU</t>
  </si>
  <si>
    <t>29 RUE DE LA PAIX</t>
  </si>
  <si>
    <t>jeanalbert.toustou@gmail.com</t>
  </si>
  <si>
    <t>143716O</t>
  </si>
  <si>
    <t>THOMAS</t>
  </si>
  <si>
    <t>LE COAT</t>
  </si>
  <si>
    <t>3 RUE D AUERSTAEDT</t>
  </si>
  <si>
    <t>t.lecoat91@gmail.com</t>
  </si>
  <si>
    <t>143826U</t>
  </si>
  <si>
    <t>MANCY</t>
  </si>
  <si>
    <t>27 BIS RUE RASPAIL</t>
  </si>
  <si>
    <t>pierre.mancy@orange.fr</t>
  </si>
  <si>
    <t>143986Y</t>
  </si>
  <si>
    <t>HUAGE</t>
  </si>
  <si>
    <t>CHEN</t>
  </si>
  <si>
    <t>23 BIS RUE SAINT MAURICE</t>
  </si>
  <si>
    <t>huage.chen@gmail.com</t>
  </si>
  <si>
    <t>LE VESINET</t>
  </si>
  <si>
    <t>144080O</t>
  </si>
  <si>
    <t>GIBERGY</t>
  </si>
  <si>
    <t>16 RUE DU BOIS DE CHARS</t>
  </si>
  <si>
    <t>NUCOURT</t>
  </si>
  <si>
    <t>144287N</t>
  </si>
  <si>
    <t>BISSONNIER</t>
  </si>
  <si>
    <t>10 RUE DU ROND POINT</t>
  </si>
  <si>
    <t>BRY SUR MARNE</t>
  </si>
  <si>
    <t>pbissonnier@wanadoo.fr</t>
  </si>
  <si>
    <t>144491J</t>
  </si>
  <si>
    <t>MEUWISSEN</t>
  </si>
  <si>
    <t>RUE DE VILLE</t>
  </si>
  <si>
    <t>TOURNAN EN BRIE</t>
  </si>
  <si>
    <t>christianmeuwissen@gmail.com</t>
  </si>
  <si>
    <t>144645H</t>
  </si>
  <si>
    <t>BELINE</t>
  </si>
  <si>
    <t>1 RUE OLIVIER DE MAGNY</t>
  </si>
  <si>
    <t>alain.beline@orange.fr</t>
  </si>
  <si>
    <t>144646I</t>
  </si>
  <si>
    <t>BEAUPIED</t>
  </si>
  <si>
    <t>2 RUE FRANCOIS MALHERBE</t>
  </si>
  <si>
    <t>beauf2000@free.fr</t>
  </si>
  <si>
    <t>144760S</t>
  </si>
  <si>
    <t>MOUSSET</t>
  </si>
  <si>
    <t>2 COURS DES CHAUMES</t>
  </si>
  <si>
    <t>COMBS LA VILLE</t>
  </si>
  <si>
    <t>danielmousset@aol.com</t>
  </si>
  <si>
    <t>144867V</t>
  </si>
  <si>
    <t>AN</t>
  </si>
  <si>
    <t>101 RUE DE LA TOUR</t>
  </si>
  <si>
    <t>anliparis@qq.com</t>
  </si>
  <si>
    <t>144876E</t>
  </si>
  <si>
    <t>CARLOS</t>
  </si>
  <si>
    <t>PINTO</t>
  </si>
  <si>
    <t>5 BIS RUE DU COLONEL FABIEN</t>
  </si>
  <si>
    <t>VILLENEUVE LE ROI</t>
  </si>
  <si>
    <t>carlos_pinto@hotmail.fr</t>
  </si>
  <si>
    <t>145130Y</t>
  </si>
  <si>
    <t>MENORET</t>
  </si>
  <si>
    <t>29 RUE DES ALBATROS VAL DES 4 PIGNONS</t>
  </si>
  <si>
    <t>BEYNES</t>
  </si>
  <si>
    <t>gilles.menoret@wanadoo.fr</t>
  </si>
  <si>
    <t>145136E</t>
  </si>
  <si>
    <t>IZNEROWICZ</t>
  </si>
  <si>
    <t>33 RUE FRANCOIS MAURIAC</t>
  </si>
  <si>
    <t>pi.senna@free.fr</t>
  </si>
  <si>
    <t>145284W</t>
  </si>
  <si>
    <t>BRULFERT</t>
  </si>
  <si>
    <t>12 RUE DE CHANGIS</t>
  </si>
  <si>
    <t>USSY SUR MARNE</t>
  </si>
  <si>
    <t>brulfert.alain@bbox.fr</t>
  </si>
  <si>
    <t>145289B</t>
  </si>
  <si>
    <t>LOPES</t>
  </si>
  <si>
    <t>3 RUE DU VEXIN</t>
  </si>
  <si>
    <t>jorgelopes78@hotmail.fr</t>
  </si>
  <si>
    <t>145291D</t>
  </si>
  <si>
    <t>18 RUE DE LA JUSTICE</t>
  </si>
  <si>
    <t>lefebvyv@free.fr</t>
  </si>
  <si>
    <t>145606G</t>
  </si>
  <si>
    <t>GILLOT</t>
  </si>
  <si>
    <t>117 BIS RUE DE PARIS</t>
  </si>
  <si>
    <t>olivier.gillot94@free.fr</t>
  </si>
  <si>
    <t>MEUDON LA FORET</t>
  </si>
  <si>
    <t>145673V</t>
  </si>
  <si>
    <t>COHEN</t>
  </si>
  <si>
    <t>5 RUE DU 8 MAI 1945 BAT A</t>
  </si>
  <si>
    <t>sandy.ys@hotmai.fr</t>
  </si>
  <si>
    <t>145688K</t>
  </si>
  <si>
    <t>LEVEILLE</t>
  </si>
  <si>
    <t>11 RUE DU BOCAGE</t>
  </si>
  <si>
    <t>ludyvine95@gmail.com</t>
  </si>
  <si>
    <t>146031P</t>
  </si>
  <si>
    <t>IVAYLO</t>
  </si>
  <si>
    <t>MARKOV</t>
  </si>
  <si>
    <t>97 GRANDE RUE</t>
  </si>
  <si>
    <t>muffi_m@abv.bg</t>
  </si>
  <si>
    <t>BULGARIE</t>
  </si>
  <si>
    <t>academie.de.billard@orange.fr</t>
  </si>
  <si>
    <t>CHANTAL</t>
  </si>
  <si>
    <t>146710S</t>
  </si>
  <si>
    <t>CHARBOGNE</t>
  </si>
  <si>
    <t>4 RESIDENCE LA LUTECE</t>
  </si>
  <si>
    <t>146714W</t>
  </si>
  <si>
    <t>ISABELLE</t>
  </si>
  <si>
    <t>DOUX</t>
  </si>
  <si>
    <t>237 C BOIS GALLOIS AUX COURROIS</t>
  </si>
  <si>
    <t>doux_8@msn.com</t>
  </si>
  <si>
    <t>-21 ans</t>
  </si>
  <si>
    <t>146994B</t>
  </si>
  <si>
    <t>2 PLACE DE LA HARENGERIE</t>
  </si>
  <si>
    <t>fl3009@neuf.fr</t>
  </si>
  <si>
    <t>147259P</t>
  </si>
  <si>
    <t>BONNEAUX</t>
  </si>
  <si>
    <t>8 RUE DU 19 MARS 1962</t>
  </si>
  <si>
    <t>bonneaux-bernard@laposte.net</t>
  </si>
  <si>
    <t>147421Q</t>
  </si>
  <si>
    <t>GAUCHER</t>
  </si>
  <si>
    <t>20 AVENUE DE BEAUJEU</t>
  </si>
  <si>
    <t>patrick.gaucher.titi@gmail.com</t>
  </si>
  <si>
    <t>147548D</t>
  </si>
  <si>
    <t>BRAMO</t>
  </si>
  <si>
    <t>4 TER RUE DES FRERES DHERET</t>
  </si>
  <si>
    <t>CONFLANS ST HONORINE</t>
  </si>
  <si>
    <t>bramo01020305@gmail.com</t>
  </si>
  <si>
    <t>147571D</t>
  </si>
  <si>
    <t>ALIAS</t>
  </si>
  <si>
    <t>6 SENTIER DES PIERROTTES</t>
  </si>
  <si>
    <t>pascal.alias@wanadoo.fr</t>
  </si>
  <si>
    <t>147640D</t>
  </si>
  <si>
    <t>GAUVAIN</t>
  </si>
  <si>
    <t>BAZIN</t>
  </si>
  <si>
    <t>127B RUE MAURICE RECHSTEINER</t>
  </si>
  <si>
    <t>gauvain.bazin@gmail.com</t>
  </si>
  <si>
    <t>147693L</t>
  </si>
  <si>
    <t>DEBUE</t>
  </si>
  <si>
    <t>26 RUE DE TOURAINE</t>
  </si>
  <si>
    <t>147795X</t>
  </si>
  <si>
    <t>GRUSELLE</t>
  </si>
  <si>
    <t>122 AVENUE DU PARC</t>
  </si>
  <si>
    <t>gruselle.fabien@gmail.com</t>
  </si>
  <si>
    <t>147796Y</t>
  </si>
  <si>
    <t>ELFEGE</t>
  </si>
  <si>
    <t>MALASSIGNE</t>
  </si>
  <si>
    <t>lutinelfe@gmail.com</t>
  </si>
  <si>
    <t>147887X</t>
  </si>
  <si>
    <t>BRUERE</t>
  </si>
  <si>
    <t>31 BOULEVARD ARAGO</t>
  </si>
  <si>
    <t>philippe.bruere@gmail.com</t>
  </si>
  <si>
    <t>148066R</t>
  </si>
  <si>
    <t>CELINE</t>
  </si>
  <si>
    <t>EYMARD BIANCHI FERRARI</t>
  </si>
  <si>
    <t>54 BD VICTOR HUGO</t>
  </si>
  <si>
    <t>grain2cel@yahoo.fr</t>
  </si>
  <si>
    <t>148183T</t>
  </si>
  <si>
    <t>DANIAU</t>
  </si>
  <si>
    <t>20 RUE JEAN ROSTAND</t>
  </si>
  <si>
    <t>ch.danio@wanadoo.fr</t>
  </si>
  <si>
    <t>148225P</t>
  </si>
  <si>
    <t>DURAND</t>
  </si>
  <si>
    <t>9 RUE JEAN PAUL MARAT</t>
  </si>
  <si>
    <t>tiery.duran@gmail.com</t>
  </si>
  <si>
    <t>148262E</t>
  </si>
  <si>
    <t>DE SAZILLY</t>
  </si>
  <si>
    <t>28 RUE DU PARC DE CLAGNY</t>
  </si>
  <si>
    <t>desazillyf@gmail.com</t>
  </si>
  <si>
    <t>148332F</t>
  </si>
  <si>
    <t>NGOC THAO</t>
  </si>
  <si>
    <t>1 MAIL FEDERICO GARCIA LORCA</t>
  </si>
  <si>
    <t>thaohien93@yahoo.fr</t>
  </si>
  <si>
    <t>148333G</t>
  </si>
  <si>
    <t>BICH</t>
  </si>
  <si>
    <t>MA PHUOC</t>
  </si>
  <si>
    <t>46 AVENUE HENRY DUNANT</t>
  </si>
  <si>
    <t>bichmp@yahoo.com</t>
  </si>
  <si>
    <t>billard.morangis@wanadoo.fr</t>
  </si>
  <si>
    <t>148390T</t>
  </si>
  <si>
    <t>BALLIHAUT</t>
  </si>
  <si>
    <t>60 TER RUE PARMENTIER</t>
  </si>
  <si>
    <t>christophe.ballihaut@gmail.com</t>
  </si>
  <si>
    <t>148485X</t>
  </si>
  <si>
    <t>BACHELLIER</t>
  </si>
  <si>
    <t>15 RUE DE LA GARENNE</t>
  </si>
  <si>
    <t>BOISEMONT</t>
  </si>
  <si>
    <t>bachellier.philippe@neuf.fr</t>
  </si>
  <si>
    <t>148652D</t>
  </si>
  <si>
    <t>AMBROSIONI</t>
  </si>
  <si>
    <t>162 RUE ETIENNE DOLET</t>
  </si>
  <si>
    <t>ambro666@orange.fr</t>
  </si>
  <si>
    <t>PONCE</t>
  </si>
  <si>
    <t>148884F</t>
  </si>
  <si>
    <t>QUANG VINH</t>
  </si>
  <si>
    <t>DINH</t>
  </si>
  <si>
    <t>3 SQUARE DE LA PEPINIERE</t>
  </si>
  <si>
    <t>CHEVILLY LARUE</t>
  </si>
  <si>
    <t>dinh.quangvinh88@yahoo.fr</t>
  </si>
  <si>
    <t>149129X</t>
  </si>
  <si>
    <t>PONLET</t>
  </si>
  <si>
    <t>10 SQUARE DU DRAGON</t>
  </si>
  <si>
    <t>pierre.ponlet@gmail.com</t>
  </si>
  <si>
    <t>149255J</t>
  </si>
  <si>
    <t>JEREMY</t>
  </si>
  <si>
    <t>MADDISON</t>
  </si>
  <si>
    <t>23 RUE JEAN DE LA FONTAINE</t>
  </si>
  <si>
    <t>jem1472013@gmail.com</t>
  </si>
  <si>
    <t>149275F</t>
  </si>
  <si>
    <t>BIDAUT</t>
  </si>
  <si>
    <t>13 AVENUE MICHEL ANGE</t>
  </si>
  <si>
    <t>jacques.bidaut@gmail.com</t>
  </si>
  <si>
    <t>149281M</t>
  </si>
  <si>
    <t>POPINEAU</t>
  </si>
  <si>
    <t>47 RUE DE VERGENNES</t>
  </si>
  <si>
    <t>x.popineau@laposte.net</t>
  </si>
  <si>
    <t>149286S</t>
  </si>
  <si>
    <t>YASSER</t>
  </si>
  <si>
    <t>MOBYN</t>
  </si>
  <si>
    <t>29 RUE GEORGES PICQUART</t>
  </si>
  <si>
    <t>yassermobyn@hotmail.fr</t>
  </si>
  <si>
    <t>149295C</t>
  </si>
  <si>
    <t>26 BIS RUE ALFRED DUBOIS</t>
  </si>
  <si>
    <t>MARCOUSSIS</t>
  </si>
  <si>
    <t>angema1@orange.fr</t>
  </si>
  <si>
    <t>149332S</t>
  </si>
  <si>
    <t>BORIE</t>
  </si>
  <si>
    <t>8 RUE GAMBETTA</t>
  </si>
  <si>
    <t>gerardborie@free.fr</t>
  </si>
  <si>
    <t>149333T</t>
  </si>
  <si>
    <t>ROSE</t>
  </si>
  <si>
    <t>RUSSO MILLET</t>
  </si>
  <si>
    <t>149422Q</t>
  </si>
  <si>
    <t>BENNETOT</t>
  </si>
  <si>
    <t>22 RUE DU NOVEMBRE 1918</t>
  </si>
  <si>
    <t>vince.tibo@gmail.com</t>
  </si>
  <si>
    <t>149495V</t>
  </si>
  <si>
    <t>DANG</t>
  </si>
  <si>
    <t>56 RUE MONTTESSUY</t>
  </si>
  <si>
    <t>JUVISY SUR ORGE</t>
  </si>
  <si>
    <t>patrick.dang.10@gmail.com</t>
  </si>
  <si>
    <t>149537Q</t>
  </si>
  <si>
    <t>BOUGOUIN</t>
  </si>
  <si>
    <t>77 BIS RUE JEAN GABIN</t>
  </si>
  <si>
    <t>BOIS D ARCY</t>
  </si>
  <si>
    <t>evanda54@live.fr</t>
  </si>
  <si>
    <t>149550E</t>
  </si>
  <si>
    <t>ROHRMANN</t>
  </si>
  <si>
    <t>4 RUE PIERRE ET MARIE CURIE</t>
  </si>
  <si>
    <t>didier.r959@gmail.com</t>
  </si>
  <si>
    <t>149554J</t>
  </si>
  <si>
    <t>gillesgerard46@orange.fr</t>
  </si>
  <si>
    <t>149663C</t>
  </si>
  <si>
    <t>CATHERINE</t>
  </si>
  <si>
    <t>DESGROUAS</t>
  </si>
  <si>
    <t>43 CHEMIN DES COMMUNS</t>
  </si>
  <si>
    <t>AUVERS ST GEORGES</t>
  </si>
  <si>
    <t>catherine.desgrouas0027@orange.fr</t>
  </si>
  <si>
    <t>149682Y</t>
  </si>
  <si>
    <t>ELHADJI TOUMANE</t>
  </si>
  <si>
    <t>isabelletoumane@yahoo.fr</t>
  </si>
  <si>
    <t>149853J</t>
  </si>
  <si>
    <t>MEDINGER</t>
  </si>
  <si>
    <t>657 AV DE LA GARE</t>
  </si>
  <si>
    <t>149859Q</t>
  </si>
  <si>
    <t>AYRAULT</t>
  </si>
  <si>
    <t>13 ALLEE CLOS SAINT MEDARD</t>
  </si>
  <si>
    <t>pierre.ayrault@bbox.fr</t>
  </si>
  <si>
    <t>149860R</t>
  </si>
  <si>
    <t>ROMAND</t>
  </si>
  <si>
    <t>1 BIS RUE DE LA TRICHERIE</t>
  </si>
  <si>
    <t>romand_p@club-internet.fr</t>
  </si>
  <si>
    <t>149923K</t>
  </si>
  <si>
    <t>MICHEL ALEX</t>
  </si>
  <si>
    <t>LERAT</t>
  </si>
  <si>
    <t>6 RUE DU MARECHAL FOCH</t>
  </si>
  <si>
    <t>ratuscompany@free.fr</t>
  </si>
  <si>
    <t>149924L</t>
  </si>
  <si>
    <t>VANDENBROUCK</t>
  </si>
  <si>
    <t>2 BIS RUE FERRER</t>
  </si>
  <si>
    <t>vdb@infonie.fr</t>
  </si>
  <si>
    <t>149927P</t>
  </si>
  <si>
    <t>GERMAIN</t>
  </si>
  <si>
    <t>DESHAYES</t>
  </si>
  <si>
    <t>19 RUE DU PARC DES BERGERIES</t>
  </si>
  <si>
    <t>germain.deshayes@orange.fr</t>
  </si>
  <si>
    <t>149928Q</t>
  </si>
  <si>
    <t>LECOQ</t>
  </si>
  <si>
    <t>15 RUE CHARLES MORY</t>
  </si>
  <si>
    <t>sandiego2@orange.fr</t>
  </si>
  <si>
    <t>149944H</t>
  </si>
  <si>
    <t>GAUTIER</t>
  </si>
  <si>
    <t>7 ROUTE DE NUCOURT</t>
  </si>
  <si>
    <t>LE BELLAY EN VEXIN</t>
  </si>
  <si>
    <t>begautier@aol.com</t>
  </si>
  <si>
    <t>CHAMPEAUX</t>
  </si>
  <si>
    <t>LE</t>
  </si>
  <si>
    <t>150070V</t>
  </si>
  <si>
    <t>47 RUE DE NEUNKIRCHEN</t>
  </si>
  <si>
    <t>MANTES LA VILLE</t>
  </si>
  <si>
    <t>georguy@orange.fr</t>
  </si>
  <si>
    <t>150128H</t>
  </si>
  <si>
    <t>STEPHEN</t>
  </si>
  <si>
    <t>CARSON</t>
  </si>
  <si>
    <t>28 BIS AV D ARPAJON</t>
  </si>
  <si>
    <t>s.carson@dbmail.com</t>
  </si>
  <si>
    <t>150181Q</t>
  </si>
  <si>
    <t>CAUWET</t>
  </si>
  <si>
    <t>36 RUE D EAUBONNE</t>
  </si>
  <si>
    <t>marccauwet@hotmail.com</t>
  </si>
  <si>
    <t>150294N</t>
  </si>
  <si>
    <t>CHUN HAO</t>
  </si>
  <si>
    <t>8 ALLEE LOUIS LABBE</t>
  </si>
  <si>
    <t>1046199725@99.COM</t>
  </si>
  <si>
    <t>150323V</t>
  </si>
  <si>
    <t>GUIGNARD</t>
  </si>
  <si>
    <t>2 RUE BERNARDIN DE ST PIERRE</t>
  </si>
  <si>
    <t>cguins@sfr.fr</t>
  </si>
  <si>
    <t>150327Z</t>
  </si>
  <si>
    <t>LAMBERT</t>
  </si>
  <si>
    <t>33 TER AVENUE JEAN JAURES</t>
  </si>
  <si>
    <t>pr.lambert@bbox.fr</t>
  </si>
  <si>
    <t>150331D</t>
  </si>
  <si>
    <t>IDRISS</t>
  </si>
  <si>
    <t>OMARI</t>
  </si>
  <si>
    <t>14 RUE DES ACACIAS</t>
  </si>
  <si>
    <t>idriss.omari@gmail.com</t>
  </si>
  <si>
    <t>MAROC</t>
  </si>
  <si>
    <t>150408M</t>
  </si>
  <si>
    <t>GHISLAINE</t>
  </si>
  <si>
    <t>LE TRIBOT</t>
  </si>
  <si>
    <t>9 ALLEE FREDERIC CHOPIN</t>
  </si>
  <si>
    <t>le-tribot.ghislaine@orange.fr</t>
  </si>
  <si>
    <t>150496H</t>
  </si>
  <si>
    <t>GOUVEIA</t>
  </si>
  <si>
    <t>11 BIS AVENUE LIEGEARD</t>
  </si>
  <si>
    <t>paologouveia93190@gmail.com</t>
  </si>
  <si>
    <t>150497J</t>
  </si>
  <si>
    <t>victor.gouveia@yahoo.fr</t>
  </si>
  <si>
    <t>150674B</t>
  </si>
  <si>
    <t>SANDOR</t>
  </si>
  <si>
    <t>25 RUE FELIX EBOUE</t>
  </si>
  <si>
    <t>stephane.sandor1@bbox.fr</t>
  </si>
  <si>
    <t>150854X</t>
  </si>
  <si>
    <t>DELABARRE</t>
  </si>
  <si>
    <t>8 RUE DE LA FONTAINE</t>
  </si>
  <si>
    <t>delabarre.michel@orange.fr</t>
  </si>
  <si>
    <t>150944V</t>
  </si>
  <si>
    <t>GUSTIN</t>
  </si>
  <si>
    <t>78 RUE DE METZ</t>
  </si>
  <si>
    <t>151338Y</t>
  </si>
  <si>
    <t>MAGRE</t>
  </si>
  <si>
    <t>76 RUE LOUISE MICHEL</t>
  </si>
  <si>
    <t>eric.magre@free.fr</t>
  </si>
  <si>
    <t>151437F</t>
  </si>
  <si>
    <t>FAVIEN</t>
  </si>
  <si>
    <t>65 ALLEE JEAN BAPTISTE CLEMENT</t>
  </si>
  <si>
    <t>ch.favien1953@icloud.com</t>
  </si>
  <si>
    <t>151598F</t>
  </si>
  <si>
    <t>MIKAEL</t>
  </si>
  <si>
    <t>BONARD</t>
  </si>
  <si>
    <t>1 RUE DE L EGLISE</t>
  </si>
  <si>
    <t>ST PRIX</t>
  </si>
  <si>
    <t>bonarmik@yahoo.fr</t>
  </si>
  <si>
    <t>151658W</t>
  </si>
  <si>
    <t>LE CAM</t>
  </si>
  <si>
    <t>25 RUE ERNEST RENAN</t>
  </si>
  <si>
    <t>VILLENEUVE ST GEORGES</t>
  </si>
  <si>
    <t>pm.drainlecam@free.fr</t>
  </si>
  <si>
    <t>151733C</t>
  </si>
  <si>
    <t>9 RUE JEAN JAURES</t>
  </si>
  <si>
    <t>michel.clement@myeasybox.com</t>
  </si>
  <si>
    <t>151920F</t>
  </si>
  <si>
    <t>JARENO</t>
  </si>
  <si>
    <t>25 ALLEE DES SAPINS</t>
  </si>
  <si>
    <t>MONDREVILLE</t>
  </si>
  <si>
    <t>josecarambole@gmail.com</t>
  </si>
  <si>
    <t>152269K</t>
  </si>
  <si>
    <t>BIEUVILLE</t>
  </si>
  <si>
    <t>33 AVENUE DE LA REDOUTE</t>
  </si>
  <si>
    <t>michel.bieuville@laposte.net</t>
  </si>
  <si>
    <t>152349X</t>
  </si>
  <si>
    <t>HEUZE</t>
  </si>
  <si>
    <t>10 RUE DU GENERAL DE GAULLE</t>
  </si>
  <si>
    <t>VAUX SUR SEINE</t>
  </si>
  <si>
    <t>philippe.heuze@cofelyineo-gdfsuez.com</t>
  </si>
  <si>
    <t>152435Q</t>
  </si>
  <si>
    <t>CARLE</t>
  </si>
  <si>
    <t>10 RUE CHARLES DE GAULLE</t>
  </si>
  <si>
    <t>carlejeanpaul@gmail.com</t>
  </si>
  <si>
    <t>152532W</t>
  </si>
  <si>
    <t>1 ALLEE COLETTE</t>
  </si>
  <si>
    <t>CONCHES SUR GONDOIRE</t>
  </si>
  <si>
    <t>r.franchet@aliceadsl.fr</t>
  </si>
  <si>
    <t>152590J</t>
  </si>
  <si>
    <t>CAILLIEZ</t>
  </si>
  <si>
    <t>2 ALLEE FRANCOIS VILLON</t>
  </si>
  <si>
    <t>cailliez.jose@wanadoo.fr</t>
  </si>
  <si>
    <t>152638L</t>
  </si>
  <si>
    <t>BENI</t>
  </si>
  <si>
    <t>23 RUE JEAN MERMOZ</t>
  </si>
  <si>
    <t>LE KREMLIN BICETRE</t>
  </si>
  <si>
    <t>clement.beni@gmail.com</t>
  </si>
  <si>
    <t>ADAM</t>
  </si>
  <si>
    <t>152729K</t>
  </si>
  <si>
    <t>152765Z</t>
  </si>
  <si>
    <t>LOUESDON</t>
  </si>
  <si>
    <t>4 RUE MONTEL</t>
  </si>
  <si>
    <t>tlouesdon@gmail.com</t>
  </si>
  <si>
    <t>152813B</t>
  </si>
  <si>
    <t>28 B RUE DE MONTTESSUY</t>
  </si>
  <si>
    <t>mercier-christian@bbox.fr</t>
  </si>
  <si>
    <t>152964Q</t>
  </si>
  <si>
    <t>ALBERTO</t>
  </si>
  <si>
    <t>CASALE</t>
  </si>
  <si>
    <t>17 RUE DE LA GALISSONNIERE</t>
  </si>
  <si>
    <t>albertocasale@yahoo.com</t>
  </si>
  <si>
    <t>ITALIE</t>
  </si>
  <si>
    <t>152968V</t>
  </si>
  <si>
    <t>RISO</t>
  </si>
  <si>
    <t>19 RUE DE PLOUGASTEL</t>
  </si>
  <si>
    <t>christian.riso@free.fr</t>
  </si>
  <si>
    <t>152971Y</t>
  </si>
  <si>
    <t>MAYET</t>
  </si>
  <si>
    <t>19 TER RUE DES CERISIERS</t>
  </si>
  <si>
    <t>michele.mayet@orange.fr</t>
  </si>
  <si>
    <t>153056Q</t>
  </si>
  <si>
    <t>ZHONG</t>
  </si>
  <si>
    <t>TONG</t>
  </si>
  <si>
    <t>4 RUE DE FONTENAY</t>
  </si>
  <si>
    <t>tz23227@gmail.com</t>
  </si>
  <si>
    <t>153059T</t>
  </si>
  <si>
    <t>15 RUE PASTEUR</t>
  </si>
  <si>
    <t>j-p.frederic@orange.fr</t>
  </si>
  <si>
    <t>153123N</t>
  </si>
  <si>
    <t>CRAPOULET</t>
  </si>
  <si>
    <t>1 RUE DU MOULIN FIDEL</t>
  </si>
  <si>
    <t>PLESSIS ROBINSON</t>
  </si>
  <si>
    <t>gegecrap@bbox.fr</t>
  </si>
  <si>
    <t>153125Q</t>
  </si>
  <si>
    <t>alain.floch@free.fr</t>
  </si>
  <si>
    <t>153219S</t>
  </si>
  <si>
    <t>MENTION</t>
  </si>
  <si>
    <t>4 ALLEE DES GRANDS ARBRES</t>
  </si>
  <si>
    <t>claude.mention@orange.fr</t>
  </si>
  <si>
    <t>153310R</t>
  </si>
  <si>
    <t>SOPHIANE</t>
  </si>
  <si>
    <t>GOUASMIA</t>
  </si>
  <si>
    <t>24 RUE DE LA TERRASSE</t>
  </si>
  <si>
    <t>gouasmia.sophiane@gmail.com</t>
  </si>
  <si>
    <t>153675N</t>
  </si>
  <si>
    <t>ABELA</t>
  </si>
  <si>
    <t>3 IMPASSE ALBERT CAMUS</t>
  </si>
  <si>
    <t>abela.jean-louis@neuf.fr</t>
  </si>
  <si>
    <t>153678R</t>
  </si>
  <si>
    <t>STEINHAUSER</t>
  </si>
  <si>
    <t>1 VILLA DE L EGLANTINE</t>
  </si>
  <si>
    <t>john.steinhauser@sfr.fr</t>
  </si>
  <si>
    <t>153705W</t>
  </si>
  <si>
    <t>CHEVREL</t>
  </si>
  <si>
    <t>60 BIS RUE DE LIVILLIERS</t>
  </si>
  <si>
    <t>nmjl95@orange.fr</t>
  </si>
  <si>
    <t>153786J</t>
  </si>
  <si>
    <t>KLINKA</t>
  </si>
  <si>
    <t>39 RUE DU 8 MAI 1945</t>
  </si>
  <si>
    <t>DOUCHY LES MINES</t>
  </si>
  <si>
    <t>alexisklinka@icloud.com</t>
  </si>
  <si>
    <t>154178K</t>
  </si>
  <si>
    <t>66 RUE DE LA CONVENTION</t>
  </si>
  <si>
    <t>frederic@akorus.fr</t>
  </si>
  <si>
    <t>154179L</t>
  </si>
  <si>
    <t>THIERY</t>
  </si>
  <si>
    <t>LEMONIER</t>
  </si>
  <si>
    <t>36 RUE DU MARECHAL LECLERC</t>
  </si>
  <si>
    <t>thierylemonier@gmail.com</t>
  </si>
  <si>
    <t>ROCHE</t>
  </si>
  <si>
    <t>154263C</t>
  </si>
  <si>
    <t>DONAT</t>
  </si>
  <si>
    <t>18 RUE MAXIMILIEN LAMBERT</t>
  </si>
  <si>
    <t>donat.pierre@gmail.com</t>
  </si>
  <si>
    <t>154289F</t>
  </si>
  <si>
    <t>MAX</t>
  </si>
  <si>
    <t>THENOT</t>
  </si>
  <si>
    <t>43 AV LUCIEN CLAUSE</t>
  </si>
  <si>
    <t>BRETIGNY SUR ORGE</t>
  </si>
  <si>
    <t>max.thenot@libertysurf.fr</t>
  </si>
  <si>
    <t>154485T</t>
  </si>
  <si>
    <t>GESLIN</t>
  </si>
  <si>
    <t>37 AVENUE DE BECHEVRET</t>
  </si>
  <si>
    <t>BOISSY SOUS ST YON</t>
  </si>
  <si>
    <t>jessbond007@hotmail.fr</t>
  </si>
  <si>
    <t>154486V</t>
  </si>
  <si>
    <t>EHMANN</t>
  </si>
  <si>
    <t>12 RUE JEAN PIERRE GARDEBLED</t>
  </si>
  <si>
    <t>154493C</t>
  </si>
  <si>
    <t>PORLIER</t>
  </si>
  <si>
    <t>13 BIS HAMEAU DES PERDRIETS</t>
  </si>
  <si>
    <t>SIGNY SIGNETS</t>
  </si>
  <si>
    <t>michel.porlier@free.fr</t>
  </si>
  <si>
    <t>CHENNEVIERES SUR MARNE</t>
  </si>
  <si>
    <t>154565F</t>
  </si>
  <si>
    <t>SOCHET</t>
  </si>
  <si>
    <t>MARINES</t>
  </si>
  <si>
    <t>154617M</t>
  </si>
  <si>
    <t>TRICHARD</t>
  </si>
  <si>
    <t>3 CLOS DU LEMAN</t>
  </si>
  <si>
    <t>jltrichard34@live.fr</t>
  </si>
  <si>
    <t>154638K</t>
  </si>
  <si>
    <t>ZINETTI</t>
  </si>
  <si>
    <t>5 RUE JEAN PAUL SARTRE</t>
  </si>
  <si>
    <t>jeanmarc.zinetti@gmail.com</t>
  </si>
  <si>
    <t>154853T</t>
  </si>
  <si>
    <t>CHASSAING</t>
  </si>
  <si>
    <t>6 ALLEE DES 2 CEDRES</t>
  </si>
  <si>
    <t>chassaing.jean-pierre@orange.fr</t>
  </si>
  <si>
    <t>155170N</t>
  </si>
  <si>
    <t>MAXIMILIEN</t>
  </si>
  <si>
    <t>LLAMEDO</t>
  </si>
  <si>
    <t>1 RUE DES TROIS MOLES</t>
  </si>
  <si>
    <t>MILLY LA FORET</t>
  </si>
  <si>
    <t>maxho6@yahoo.fr</t>
  </si>
  <si>
    <t>155212J</t>
  </si>
  <si>
    <t>CHARLES</t>
  </si>
  <si>
    <t>GAROIS</t>
  </si>
  <si>
    <t>7 RUE SIMON DE MONTFORT</t>
  </si>
  <si>
    <t>charles.garois@wanadoo.fr</t>
  </si>
  <si>
    <t>MAXIME</t>
  </si>
  <si>
    <t>155569X</t>
  </si>
  <si>
    <t>CURE</t>
  </si>
  <si>
    <t>26 AVENUE DE SAINT GERMAIN</t>
  </si>
  <si>
    <t>BATIMENT 5</t>
  </si>
  <si>
    <t>cure.thomas@gmail.com</t>
  </si>
  <si>
    <t>156100Z</t>
  </si>
  <si>
    <t>RUDY</t>
  </si>
  <si>
    <t>BODELIN</t>
  </si>
  <si>
    <t>53 AVENUE CHATEAU BRIAND</t>
  </si>
  <si>
    <t>MEZY SUR SEINE</t>
  </si>
  <si>
    <t>rud1024@hotmail.fr</t>
  </si>
  <si>
    <t>156101A</t>
  </si>
  <si>
    <t>10 BIS RUE JEAN DE LA FONTAINE</t>
  </si>
  <si>
    <t>156106F</t>
  </si>
  <si>
    <t>LUTUN</t>
  </si>
  <si>
    <t>69 RUE DU MARAIS</t>
  </si>
  <si>
    <t>JUZIER</t>
  </si>
  <si>
    <t>156112M</t>
  </si>
  <si>
    <t>DUPINET</t>
  </si>
  <si>
    <t>49 RUE DU MARECHAL JOFFRE</t>
  </si>
  <si>
    <t>PARMAIN</t>
  </si>
  <si>
    <t>bernard.dupinet@neuf.fr</t>
  </si>
  <si>
    <t>156232S</t>
  </si>
  <si>
    <t>VULLIEN</t>
  </si>
  <si>
    <t>2 BOULEVARD JACQUES AMYOT</t>
  </si>
  <si>
    <t>VAUJOURS</t>
  </si>
  <si>
    <t>sylvain.vullien@gmail.com</t>
  </si>
  <si>
    <t>156241C</t>
  </si>
  <si>
    <t>RHYAN</t>
  </si>
  <si>
    <t>PAJO</t>
  </si>
  <si>
    <t>8 SQ LAONNAIS</t>
  </si>
  <si>
    <t>Rhyan_pajo@yahoo.com</t>
  </si>
  <si>
    <t>156244F</t>
  </si>
  <si>
    <t>BRIOIT</t>
  </si>
  <si>
    <t>4 RUE DE MOSCOU</t>
  </si>
  <si>
    <t>bernard.brioit@free.fr</t>
  </si>
  <si>
    <t>156245G</t>
  </si>
  <si>
    <t>FISCHER</t>
  </si>
  <si>
    <t>SENTE DES CHATAIGNIERS</t>
  </si>
  <si>
    <t>LES CEDRES</t>
  </si>
  <si>
    <t>GARCHES</t>
  </si>
  <si>
    <t>fredericmar00@gmail.com</t>
  </si>
  <si>
    <t>156248K</t>
  </si>
  <si>
    <t>VIDAL</t>
  </si>
  <si>
    <t>BENATAR</t>
  </si>
  <si>
    <t>111 RUE DES TENNEROLLES</t>
  </si>
  <si>
    <t>ST CLOUD</t>
  </si>
  <si>
    <t>vidal.benatar@wanadoo.fr</t>
  </si>
  <si>
    <t>156249L</t>
  </si>
  <si>
    <t>VISTICOT</t>
  </si>
  <si>
    <t>jean-paul.visticot@wanadoo.fr</t>
  </si>
  <si>
    <t>156314G</t>
  </si>
  <si>
    <t>THEODORUS</t>
  </si>
  <si>
    <t>SCHOMAKER</t>
  </si>
  <si>
    <t>9 AVENUE DES ETATS UNIS</t>
  </si>
  <si>
    <t>t.schomaker@hotmail.fr</t>
  </si>
  <si>
    <t>PAYS-BAS</t>
  </si>
  <si>
    <t>156358E</t>
  </si>
  <si>
    <t>TRIBALLAT</t>
  </si>
  <si>
    <t>69 C LE ROLE RUE DANTON</t>
  </si>
  <si>
    <t>triballat-ccmfj@wanadoo.fr</t>
  </si>
  <si>
    <t>156433L</t>
  </si>
  <si>
    <t>MEYER</t>
  </si>
  <si>
    <t>23 RUE JULES MICHELET</t>
  </si>
  <si>
    <t>meyeryves78@gmail.com</t>
  </si>
  <si>
    <t>156516B</t>
  </si>
  <si>
    <t>CHANTRON</t>
  </si>
  <si>
    <t>4 RUE DU MAT D ARTIMON</t>
  </si>
  <si>
    <t>gilbertchantron68@gmail.com</t>
  </si>
  <si>
    <t>156543F</t>
  </si>
  <si>
    <t>FRANCISCO</t>
  </si>
  <si>
    <t>FERNANDES ALVES</t>
  </si>
  <si>
    <t>16 RUE DE BRETAGNE</t>
  </si>
  <si>
    <t>fransisco1967@laposte.net</t>
  </si>
  <si>
    <t>156727F</t>
  </si>
  <si>
    <t>SENIZERGUES</t>
  </si>
  <si>
    <t>11 RUE LUCIEN ROUGERIE</t>
  </si>
  <si>
    <t>TOUSSUS LE NOBLE</t>
  </si>
  <si>
    <t>didier.seniz@yahoo.com</t>
  </si>
  <si>
    <t>156728G</t>
  </si>
  <si>
    <t>MUSTAPHA</t>
  </si>
  <si>
    <t>SAYD TAHIRI LEROUX</t>
  </si>
  <si>
    <t>1 SQUARE PAUL VERLAINE</t>
  </si>
  <si>
    <t>mus.stahiri@gmail.com</t>
  </si>
  <si>
    <t>156768A</t>
  </si>
  <si>
    <t>YONG</t>
  </si>
  <si>
    <t>9 PLACE DU 19 MARS 1962</t>
  </si>
  <si>
    <t>ROMAINVILLE</t>
  </si>
  <si>
    <t>leonlifr95@gmail.com</t>
  </si>
  <si>
    <t>156936H</t>
  </si>
  <si>
    <t>GHIONE</t>
  </si>
  <si>
    <t>4 CHEMIN DES HEZES</t>
  </si>
  <si>
    <t>CHAPET</t>
  </si>
  <si>
    <t>jerome.ghione@orange.fr</t>
  </si>
  <si>
    <t>156938K</t>
  </si>
  <si>
    <t>10 CHEMIN DU TROU A GLAISE</t>
  </si>
  <si>
    <t>gerard.houis@sfr.fr</t>
  </si>
  <si>
    <t>156947V</t>
  </si>
  <si>
    <t>BARBIER</t>
  </si>
  <si>
    <t>12 RUE DE COME</t>
  </si>
  <si>
    <t>thierry_44_barbier@yahoo.fr</t>
  </si>
  <si>
    <t>156975A</t>
  </si>
  <si>
    <t>FELIPE</t>
  </si>
  <si>
    <t>MUNOZ</t>
  </si>
  <si>
    <t>39BIS RUE JULES VEDRINES</t>
  </si>
  <si>
    <t>munoz8@orange.fr</t>
  </si>
  <si>
    <t>157084T</t>
  </si>
  <si>
    <t>DARRE</t>
  </si>
  <si>
    <t>6 RUE DU POIS</t>
  </si>
  <si>
    <t>AUVERS SUR OISE</t>
  </si>
  <si>
    <t>cdarre@club-internet.fr</t>
  </si>
  <si>
    <t>JOUARS PONCHARTRAIN</t>
  </si>
  <si>
    <t>157166H</t>
  </si>
  <si>
    <t>FABRE</t>
  </si>
  <si>
    <t>5 ALLEE DU PRESSOIR</t>
  </si>
  <si>
    <t>FERRIERES EN BRIE</t>
  </si>
  <si>
    <t>frpifabre@gmail.com</t>
  </si>
  <si>
    <t>157167J</t>
  </si>
  <si>
    <t>HELOISE</t>
  </si>
  <si>
    <t>LEGUEN</t>
  </si>
  <si>
    <t>19 RUE DUPONT</t>
  </si>
  <si>
    <t>heloiselg@hotmail.fr</t>
  </si>
  <si>
    <t>157233F</t>
  </si>
  <si>
    <t>RECEP</t>
  </si>
  <si>
    <t>COKAL</t>
  </si>
  <si>
    <t>17 RUE DES CEDRES</t>
  </si>
  <si>
    <t>recepcokal@orange.fr</t>
  </si>
  <si>
    <t>157316W</t>
  </si>
  <si>
    <t>NABOULET</t>
  </si>
  <si>
    <t>2 CHEMIN DU PATE</t>
  </si>
  <si>
    <t>LARDY</t>
  </si>
  <si>
    <t>naboulet.michel@orange.fr</t>
  </si>
  <si>
    <t>157339W</t>
  </si>
  <si>
    <t>14 RUE DES CARRIERES</t>
  </si>
  <si>
    <t>jpf.vauthier@sfr.fr</t>
  </si>
  <si>
    <t>157508E</t>
  </si>
  <si>
    <t>ROHART</t>
  </si>
  <si>
    <t>15 RESIDENCE CADET DE VAUX</t>
  </si>
  <si>
    <t>cadetfoot@gmail.com</t>
  </si>
  <si>
    <t>157535J</t>
  </si>
  <si>
    <t>PIBOURDIN</t>
  </si>
  <si>
    <t>10 AVENUE LEON BLUM</t>
  </si>
  <si>
    <t>ericpib@yahoo.fr</t>
  </si>
  <si>
    <t>157770P</t>
  </si>
  <si>
    <t>CAREO</t>
  </si>
  <si>
    <t>9 RUE PAUL DOUMER</t>
  </si>
  <si>
    <t>yannick.careo@cegetel.net</t>
  </si>
  <si>
    <t>157837M</t>
  </si>
  <si>
    <t>MOUSSIT</t>
  </si>
  <si>
    <t>49 RUE DE LA LIBERTE</t>
  </si>
  <si>
    <t>jackmousse95210@outlook.fr</t>
  </si>
  <si>
    <t>157921D</t>
  </si>
  <si>
    <t>LINO</t>
  </si>
  <si>
    <t>25 RUE DETHAN</t>
  </si>
  <si>
    <t>lino.goncalves@orange.fr</t>
  </si>
  <si>
    <t>157992F</t>
  </si>
  <si>
    <t>LE FAUCHEUX</t>
  </si>
  <si>
    <t>6 RUELLE DU PUITS LE GRAND LUD</t>
  </si>
  <si>
    <t>lefaucheuxpat@yahoo.fr</t>
  </si>
  <si>
    <t>158181L</t>
  </si>
  <si>
    <t>JANTET</t>
  </si>
  <si>
    <t>9 RUE PAULINE KERGOMARD</t>
  </si>
  <si>
    <t>p.jantet@yahoo.fr</t>
  </si>
  <si>
    <t>158352X</t>
  </si>
  <si>
    <t>FOURMOND</t>
  </si>
  <si>
    <t>23 RUE JEAN MOULIN</t>
  </si>
  <si>
    <t>jfourmond@retinco.com</t>
  </si>
  <si>
    <t>158711M</t>
  </si>
  <si>
    <t>LAILLE</t>
  </si>
  <si>
    <t>64 AVENUE DU 11 NOVEMBRE</t>
  </si>
  <si>
    <t>th.laille@free.fr</t>
  </si>
  <si>
    <t>158860Z</t>
  </si>
  <si>
    <t>PEZARD</t>
  </si>
  <si>
    <t>14 RUE DE LA COMMANDERIE</t>
  </si>
  <si>
    <t>ESSISES</t>
  </si>
  <si>
    <t>gerard.tamtam@gmail.com</t>
  </si>
  <si>
    <t>158866F</t>
  </si>
  <si>
    <t>MAYER</t>
  </si>
  <si>
    <t>2 CHEMIN DES ILES</t>
  </si>
  <si>
    <t>MORSANG SUR SEINE</t>
  </si>
  <si>
    <t>didier.mayer@gmail.com</t>
  </si>
  <si>
    <t>LEMIRE</t>
  </si>
  <si>
    <t>159497R</t>
  </si>
  <si>
    <t>RENARD</t>
  </si>
  <si>
    <t>22 RUE DE L ECOSSE</t>
  </si>
  <si>
    <t>stefanren64@gmail.com</t>
  </si>
  <si>
    <t>159498S</t>
  </si>
  <si>
    <t>ANGE VALERIE</t>
  </si>
  <si>
    <t>stefange64@live.fr</t>
  </si>
  <si>
    <t>159571X</t>
  </si>
  <si>
    <t>CASTILLON</t>
  </si>
  <si>
    <t>23 RUE DES VIGNES</t>
  </si>
  <si>
    <t>nollitsac_lionel@yahoo.fr</t>
  </si>
  <si>
    <t>159577D</t>
  </si>
  <si>
    <t>HECTOR</t>
  </si>
  <si>
    <t>ECHEVERRY MARIN</t>
  </si>
  <si>
    <t>10 RUE PARMENTIER</t>
  </si>
  <si>
    <t>159618Y</t>
  </si>
  <si>
    <t>ABDELHAMID</t>
  </si>
  <si>
    <t>CHERAGA</t>
  </si>
  <si>
    <t>205 BD MACDONALD</t>
  </si>
  <si>
    <t>abdel.paris@sfr.fr</t>
  </si>
  <si>
    <t>159678N</t>
  </si>
  <si>
    <t>13 CLOS DU FER OUVRE</t>
  </si>
  <si>
    <t>LE PERRAY</t>
  </si>
  <si>
    <t>lormarper@laposte.net</t>
  </si>
  <si>
    <t>MONTREUIL</t>
  </si>
  <si>
    <t>159867T</t>
  </si>
  <si>
    <t>SEAN</t>
  </si>
  <si>
    <t>LAUME</t>
  </si>
  <si>
    <t>50 RUE SAINT PIERRE</t>
  </si>
  <si>
    <t>sl.seanlaume@gmail.com</t>
  </si>
  <si>
    <t>160032Y</t>
  </si>
  <si>
    <t>TEA</t>
  </si>
  <si>
    <t>37 RUE VICTOR MASSE</t>
  </si>
  <si>
    <t>160101Y</t>
  </si>
  <si>
    <t>IDIER</t>
  </si>
  <si>
    <t>21 GRANDE RUE DE MAULNY</t>
  </si>
  <si>
    <t>MELZ SUR SEINE</t>
  </si>
  <si>
    <t>idierstephane@orange.fr</t>
  </si>
  <si>
    <t>160115N</t>
  </si>
  <si>
    <t>ROBINSON</t>
  </si>
  <si>
    <t>ROLLER</t>
  </si>
  <si>
    <t>208 RUE DE TOLBIAC</t>
  </si>
  <si>
    <t>roller.robinson@gmail.com</t>
  </si>
  <si>
    <t>160116P</t>
  </si>
  <si>
    <t>BORDIER</t>
  </si>
  <si>
    <t>107 AVENUE DU GENERAL LECLERC</t>
  </si>
  <si>
    <t>opbo@me.com</t>
  </si>
  <si>
    <t>160156H</t>
  </si>
  <si>
    <t>CHENGYU</t>
  </si>
  <si>
    <t>WANG</t>
  </si>
  <si>
    <t>31 BD SUCHET</t>
  </si>
  <si>
    <t>y-19@live.fr</t>
  </si>
  <si>
    <t>160158K</t>
  </si>
  <si>
    <t>ALEXANDRA</t>
  </si>
  <si>
    <t>LELESCU</t>
  </si>
  <si>
    <t>12 RUE DE VOUILLE</t>
  </si>
  <si>
    <t>alexandra.lelescu@gmail.com</t>
  </si>
  <si>
    <t>160241A</t>
  </si>
  <si>
    <t>BENZAKOUR</t>
  </si>
  <si>
    <t>77 AVENUE DE MEAUX</t>
  </si>
  <si>
    <t>karim.benzakour@hotmail.com</t>
  </si>
  <si>
    <t>160268E</t>
  </si>
  <si>
    <t>CORENTIN</t>
  </si>
  <si>
    <t>NOURY</t>
  </si>
  <si>
    <t>10 RUE DES MOISSONS</t>
  </si>
  <si>
    <t>LOTISSEMENT ST AUBIN DES CHAMPS</t>
  </si>
  <si>
    <t>EVRECY</t>
  </si>
  <si>
    <t>ntotof2@yahoo.fr</t>
  </si>
  <si>
    <t>160337E</t>
  </si>
  <si>
    <t>KANN</t>
  </si>
  <si>
    <t>82 BOULEVARD MASSENA</t>
  </si>
  <si>
    <t>mrchen.kann@gmail.com</t>
  </si>
  <si>
    <t>160372S</t>
  </si>
  <si>
    <t>ADRIEN</t>
  </si>
  <si>
    <t>adrien.pinto@gmail.com</t>
  </si>
  <si>
    <t>160407F</t>
  </si>
  <si>
    <t>BADREDDINE</t>
  </si>
  <si>
    <t>CHKIRAT</t>
  </si>
  <si>
    <t>5 LES LIMANDES BEIGES</t>
  </si>
  <si>
    <t>badr_7@live.fr</t>
  </si>
  <si>
    <t>160499F</t>
  </si>
  <si>
    <t>VIET HOANG</t>
  </si>
  <si>
    <t>73 RUE DE LA PAIX</t>
  </si>
  <si>
    <t>160509R</t>
  </si>
  <si>
    <t>9 RUE DES POMMIERS</t>
  </si>
  <si>
    <t>CHANTELOUP LES VIGNES</t>
  </si>
  <si>
    <t>160512V</t>
  </si>
  <si>
    <t>GOROSTIZA MURCIA</t>
  </si>
  <si>
    <t>23 RUE DU REFUGE BAT 2</t>
  </si>
  <si>
    <t>CARLOS.GOROSTIZA@WANADOO.FR</t>
  </si>
  <si>
    <t>ESPAGNE</t>
  </si>
  <si>
    <t>160559W</t>
  </si>
  <si>
    <t>CAFFIN</t>
  </si>
  <si>
    <t>20 RUE DU CAILLON</t>
  </si>
  <si>
    <t>ccaffin@orange.fr</t>
  </si>
  <si>
    <t>32 RUE DE PARIS</t>
  </si>
  <si>
    <t>160696V</t>
  </si>
  <si>
    <t>SAID</t>
  </si>
  <si>
    <t>4 RUE DE BRETAGNE</t>
  </si>
  <si>
    <t>msaid7502@gmail.com</t>
  </si>
  <si>
    <t>MONTESSON</t>
  </si>
  <si>
    <t>160797E</t>
  </si>
  <si>
    <t>GREGORY</t>
  </si>
  <si>
    <t>42 RUE LEPIC</t>
  </si>
  <si>
    <t>g.perezmoureau@gmail.com</t>
  </si>
  <si>
    <t>161022Z</t>
  </si>
  <si>
    <t>VILLOUTREIX</t>
  </si>
  <si>
    <t>9 PLACE ALEXANDRE 1ER</t>
  </si>
  <si>
    <t>jlvilloutreix@gmail.com</t>
  </si>
  <si>
    <t>161355L</t>
  </si>
  <si>
    <t>NICOLAU BERGERET</t>
  </si>
  <si>
    <t>22 RUE DU THILLARD</t>
  </si>
  <si>
    <t>LE PERREUX SUR MARNE</t>
  </si>
  <si>
    <t>bnb-photos@orange.fr</t>
  </si>
  <si>
    <t>161378L</t>
  </si>
  <si>
    <t>MARJOLET</t>
  </si>
  <si>
    <t>19A RUE DES ROUSSIERES</t>
  </si>
  <si>
    <t>marjolet.jlpat@club-internet.fr</t>
  </si>
  <si>
    <t>161415B</t>
  </si>
  <si>
    <t>MEUNIER</t>
  </si>
  <si>
    <t>7 ALLEE DES ALOUETTES</t>
  </si>
  <si>
    <t>mi.meunier@yahoo.fr</t>
  </si>
  <si>
    <t>161463D</t>
  </si>
  <si>
    <t>LOPEZ</t>
  </si>
  <si>
    <t>14 SQUARE DES PLATANES</t>
  </si>
  <si>
    <t>djrl.daniellopez@gmail.com</t>
  </si>
  <si>
    <t>161565P</t>
  </si>
  <si>
    <t>THOIN</t>
  </si>
  <si>
    <t>3 ALLEE DU DOCTEUR BERGONIE</t>
  </si>
  <si>
    <t>patrick.thoin@free.fr</t>
  </si>
  <si>
    <t>SCEAUX</t>
  </si>
  <si>
    <t>161750Q</t>
  </si>
  <si>
    <t>STOURME</t>
  </si>
  <si>
    <t>54 RUE DE LA MONTAGNE SAVART</t>
  </si>
  <si>
    <t>philippe.stourme@free.fr</t>
  </si>
  <si>
    <t>HENRY</t>
  </si>
  <si>
    <t>162092M</t>
  </si>
  <si>
    <t>83 RUE MAL DE LATTRE DE TASSIGNY</t>
  </si>
  <si>
    <t>tikito7@gmail.com</t>
  </si>
  <si>
    <t>162200E</t>
  </si>
  <si>
    <t>LEONARDO</t>
  </si>
  <si>
    <t>MOREIRA</t>
  </si>
  <si>
    <t>11 RUE ANTOINE CHAPERON</t>
  </si>
  <si>
    <t>ROANNE</t>
  </si>
  <si>
    <t>leonardo_carneiromoreira@outlook.com</t>
  </si>
  <si>
    <t>162414M</t>
  </si>
  <si>
    <t>ARNOULD</t>
  </si>
  <si>
    <t>34 LE VINOT</t>
  </si>
  <si>
    <t>ST DENIS LES REBAIS</t>
  </si>
  <si>
    <t>parnouldcgt56@aol.com</t>
  </si>
  <si>
    <t>162495A</t>
  </si>
  <si>
    <t>LESLIE</t>
  </si>
  <si>
    <t>2 IMPASSE DES PAVILLONS</t>
  </si>
  <si>
    <t>rousselleslie3@gmail.com</t>
  </si>
  <si>
    <t>162603S</t>
  </si>
  <si>
    <t>ROUSSEAU</t>
  </si>
  <si>
    <t>18 RUE DE BEAUCHAMP</t>
  </si>
  <si>
    <t>jm.rousseau8@gmail.com</t>
  </si>
  <si>
    <t>162661F</t>
  </si>
  <si>
    <t>POULAIN</t>
  </si>
  <si>
    <t>28 RUE NEUVE DES PRES</t>
  </si>
  <si>
    <t>poulainbruno77@orange.fr</t>
  </si>
  <si>
    <t>162696T</t>
  </si>
  <si>
    <t>LIAM</t>
  </si>
  <si>
    <t>BOURU</t>
  </si>
  <si>
    <t>24 ALLEE DE LA DORDOGNE</t>
  </si>
  <si>
    <t>licorne666@free.fr</t>
  </si>
  <si>
    <t>162707F</t>
  </si>
  <si>
    <t>LESPARGOT</t>
  </si>
  <si>
    <t>matthieu.lespargot@gmail.com</t>
  </si>
  <si>
    <t>162777G</t>
  </si>
  <si>
    <t>STYCZEN</t>
  </si>
  <si>
    <t>121 AV DE FONTAINEBLEAU</t>
  </si>
  <si>
    <t>styczenpierre@gmail.com</t>
  </si>
  <si>
    <t>162785Q</t>
  </si>
  <si>
    <t>ZERBIB</t>
  </si>
  <si>
    <t>5 RUE DES MOULINS</t>
  </si>
  <si>
    <t>patrickzerbib1@free.fr</t>
  </si>
  <si>
    <t>162820D</t>
  </si>
  <si>
    <t>CHRISTIAENS</t>
  </si>
  <si>
    <t>15 RUE JEAN GABIN</t>
  </si>
  <si>
    <t>thluth@free.fr</t>
  </si>
  <si>
    <t>162972T</t>
  </si>
  <si>
    <t>ELISABETH</t>
  </si>
  <si>
    <t>VIOLON</t>
  </si>
  <si>
    <t>38 RUE CHARLES MICHELS</t>
  </si>
  <si>
    <t>violonelisabeth@gmail.com</t>
  </si>
  <si>
    <t>162973V</t>
  </si>
  <si>
    <t>gerard.violon@orange.fr</t>
  </si>
  <si>
    <t>162978A</t>
  </si>
  <si>
    <t>CACHEIRO</t>
  </si>
  <si>
    <t>15 RUE CHEVREUL</t>
  </si>
  <si>
    <t>mcacheiro@gmail.com</t>
  </si>
  <si>
    <t>162979B</t>
  </si>
  <si>
    <t>TIXIER</t>
  </si>
  <si>
    <t>87 RUE BOILEAU</t>
  </si>
  <si>
    <t>163050D</t>
  </si>
  <si>
    <t>DUCATEL</t>
  </si>
  <si>
    <t>14 RUE DE LA POIREE</t>
  </si>
  <si>
    <t>ducatelmaryse@free.fr</t>
  </si>
  <si>
    <t>163053G</t>
  </si>
  <si>
    <t>CHAUVIN</t>
  </si>
  <si>
    <t>10 ALLEE ANTOINE DE ST EXUPERY</t>
  </si>
  <si>
    <t>jeanlouis.chauvin8@dbmail.com</t>
  </si>
  <si>
    <t>FARID</t>
  </si>
  <si>
    <t>ROBIN</t>
  </si>
  <si>
    <t>MATIAS</t>
  </si>
  <si>
    <t>163133T</t>
  </si>
  <si>
    <t>QUILIN</t>
  </si>
  <si>
    <t>5 RUE DE L ABBE LEONARD</t>
  </si>
  <si>
    <t>163137Y</t>
  </si>
  <si>
    <t>104 RUE DE GOURNAY</t>
  </si>
  <si>
    <t>BAT B1</t>
  </si>
  <si>
    <t>legrandfranck@hotmail.com</t>
  </si>
  <si>
    <t>163141C</t>
  </si>
  <si>
    <t>SORNIN</t>
  </si>
  <si>
    <t>17 BIS RUE DU MUGUET</t>
  </si>
  <si>
    <t>dsornin@free.fr</t>
  </si>
  <si>
    <t>163145G</t>
  </si>
  <si>
    <t>SERGIO</t>
  </si>
  <si>
    <t>LILLO ARAYA</t>
  </si>
  <si>
    <t>16 AVENUE PIERRE CORNEILLE</t>
  </si>
  <si>
    <t>sergiotl_8@hotmail.com</t>
  </si>
  <si>
    <t>163147J</t>
  </si>
  <si>
    <t>BONNAFFOUX</t>
  </si>
  <si>
    <t>14 AVENUE LOUIS BLANC</t>
  </si>
  <si>
    <t>andrebon@free.fr</t>
  </si>
  <si>
    <t>163261H</t>
  </si>
  <si>
    <t>MOTOYUKI</t>
  </si>
  <si>
    <t>MIYAGAWA</t>
  </si>
  <si>
    <t>10 SQUARE VAILLANT 204</t>
  </si>
  <si>
    <t>araigneedumatin@yahoo.co.jp</t>
  </si>
  <si>
    <t>JAPON</t>
  </si>
  <si>
    <t>163276Z</t>
  </si>
  <si>
    <t>10 ALLEE ARISTIDE MAILLOL</t>
  </si>
  <si>
    <t>delahayepatrick@wanadoo.fr</t>
  </si>
  <si>
    <t>163282F</t>
  </si>
  <si>
    <t>LAHOUSINE</t>
  </si>
  <si>
    <t>AARAB</t>
  </si>
  <si>
    <t>5 PROMENADE DE LA CLAIRIERE</t>
  </si>
  <si>
    <t>lahousine.aarab@gmail.com</t>
  </si>
  <si>
    <t>163323A</t>
  </si>
  <si>
    <t>LAGRAVERE</t>
  </si>
  <si>
    <t>12 RUE DE LA POINTE SIRETTE</t>
  </si>
  <si>
    <t>olaes@free.fr</t>
  </si>
  <si>
    <t>163351F</t>
  </si>
  <si>
    <t>CHANEL</t>
  </si>
  <si>
    <t>43 QUAI ARISTIDE BRIAND</t>
  </si>
  <si>
    <t>TRIEL SUR SEINE</t>
  </si>
  <si>
    <t>chanelchantal@orange.fr</t>
  </si>
  <si>
    <t>163368Z</t>
  </si>
  <si>
    <t>PAPIN</t>
  </si>
  <si>
    <t>27 RUE SAINT EXUPERY</t>
  </si>
  <si>
    <t>papin.jean-christophe@wanadoo.fr</t>
  </si>
  <si>
    <t>163426M</t>
  </si>
  <si>
    <t>BERIZIKY</t>
  </si>
  <si>
    <t>1 RUE ANDRE MAUROIS</t>
  </si>
  <si>
    <t>gberiziky@gmail.com</t>
  </si>
  <si>
    <t>163427N</t>
  </si>
  <si>
    <t>53 AVENUE DE PARIS</t>
  </si>
  <si>
    <t>michel.mercier6@wanadoo.fr</t>
  </si>
  <si>
    <t>163549W</t>
  </si>
  <si>
    <t>EL ARID</t>
  </si>
  <si>
    <t>20 RUE FANNY</t>
  </si>
  <si>
    <t>tonyarid@hotmail.com</t>
  </si>
  <si>
    <t>163560H</t>
  </si>
  <si>
    <t>jeanpaullecoq@wanadoo.fr</t>
  </si>
  <si>
    <t>163643Y</t>
  </si>
  <si>
    <t>INTHIPHAB</t>
  </si>
  <si>
    <t>inthiphab.christophe@gmail.com</t>
  </si>
  <si>
    <t>ASNIERES SUR SEINE</t>
  </si>
  <si>
    <t>163708T</t>
  </si>
  <si>
    <t>HENDRICKX</t>
  </si>
  <si>
    <t>99 RUE DU POINT DU JOUR</t>
  </si>
  <si>
    <t>phendrickx66@gmail.com</t>
  </si>
  <si>
    <t>163950G</t>
  </si>
  <si>
    <t>MALLET</t>
  </si>
  <si>
    <t>17 RUE PIERRE CURIE</t>
  </si>
  <si>
    <t>malpout@free.fr</t>
  </si>
  <si>
    <t>164106B</t>
  </si>
  <si>
    <t>LASSERRE</t>
  </si>
  <si>
    <t>10 RUE MIRABEAU</t>
  </si>
  <si>
    <t>fredericlasserre52@gmail.com</t>
  </si>
  <si>
    <t>164134G</t>
  </si>
  <si>
    <t>POUGES</t>
  </si>
  <si>
    <t>66 ROUTE DE SEINE PORT</t>
  </si>
  <si>
    <t>claudepouges@me.com</t>
  </si>
  <si>
    <t>164140N</t>
  </si>
  <si>
    <t>BOYADJIAN</t>
  </si>
  <si>
    <t>13 SQUARE DES RHODODENDRONS</t>
  </si>
  <si>
    <t>boyadjian.gerard@orange.fr</t>
  </si>
  <si>
    <t>164161L</t>
  </si>
  <si>
    <t>BRASSART</t>
  </si>
  <si>
    <t>22 RUE DE RENEUSE</t>
  </si>
  <si>
    <t>VILLEPARISIS</t>
  </si>
  <si>
    <t>bastien.brassart@hotmail.fr</t>
  </si>
  <si>
    <t>CONFLANS SAINTE HONORINE</t>
  </si>
  <si>
    <t>JEAN PHILIPPE</t>
  </si>
  <si>
    <t>164356Y</t>
  </si>
  <si>
    <t>MICLOTTE</t>
  </si>
  <si>
    <t>21 CHEMIN DES SABLES</t>
  </si>
  <si>
    <t>jeanpierremiclotte@icloud.com</t>
  </si>
  <si>
    <t>164700X</t>
  </si>
  <si>
    <t>QUEVERUE</t>
  </si>
  <si>
    <t>16 RUE EDOUARD VAILLANT</t>
  </si>
  <si>
    <t>queverue@free.fr</t>
  </si>
  <si>
    <t>164736L</t>
  </si>
  <si>
    <t>JOHACHIM</t>
  </si>
  <si>
    <t>GUERREIRO</t>
  </si>
  <si>
    <t>8 RUE DU 8 MAI</t>
  </si>
  <si>
    <t>AUBERGENVILLE</t>
  </si>
  <si>
    <t>guerreiro.manuel@gmail.com</t>
  </si>
  <si>
    <t>164852M</t>
  </si>
  <si>
    <t>PORNIN</t>
  </si>
  <si>
    <t>47 BD DE PORT ROYAL</t>
  </si>
  <si>
    <t>christianpornin@sfr.fr</t>
  </si>
  <si>
    <t>164909Z</t>
  </si>
  <si>
    <t>GIROD</t>
  </si>
  <si>
    <t>6 RUE LOUIS HAUSSMANN</t>
  </si>
  <si>
    <t>girodv@free.fr</t>
  </si>
  <si>
    <t>164942K</t>
  </si>
  <si>
    <t>GALLON</t>
  </si>
  <si>
    <t>18 ALLEE DU MOULIN MAHEUX</t>
  </si>
  <si>
    <t>jacquesgallon@orange.fr</t>
  </si>
  <si>
    <t>165010J</t>
  </si>
  <si>
    <t>MAUGUIERE</t>
  </si>
  <si>
    <t>6 SQUARE DES GENETS</t>
  </si>
  <si>
    <t>daniel.mauguiere1551@gmail.com</t>
  </si>
  <si>
    <t>165232A</t>
  </si>
  <si>
    <t>POTET</t>
  </si>
  <si>
    <t>54 PARC DU PLESSIS PICARD</t>
  </si>
  <si>
    <t>joel.potet0342@free.fr</t>
  </si>
  <si>
    <t>165344X</t>
  </si>
  <si>
    <t>FOURNOT</t>
  </si>
  <si>
    <t>34 RUE LOUIS POTTIER</t>
  </si>
  <si>
    <t>pkfournot@wanadoo.fr</t>
  </si>
  <si>
    <t>165366W</t>
  </si>
  <si>
    <t>VEILLARD</t>
  </si>
  <si>
    <t>10 RESIDENCE DU GRAND JARDIN</t>
  </si>
  <si>
    <t>daniel.veillard@hotmail.fr</t>
  </si>
  <si>
    <t>165468G</t>
  </si>
  <si>
    <t>RAMELET</t>
  </si>
  <si>
    <t>26 AV DES PRIMEVERES</t>
  </si>
  <si>
    <t>famille.ramelet@gmail.com</t>
  </si>
  <si>
    <t>165469H</t>
  </si>
  <si>
    <t>dumontchristine95@gmail.com</t>
  </si>
  <si>
    <t>165492H</t>
  </si>
  <si>
    <t>LE VERN</t>
  </si>
  <si>
    <t>82 RUE PIERRE CURIE</t>
  </si>
  <si>
    <t>p.levern@hotmail.fr</t>
  </si>
  <si>
    <t>165508A</t>
  </si>
  <si>
    <t>MARIETE</t>
  </si>
  <si>
    <t>LESARTRE</t>
  </si>
  <si>
    <t>9 RUE DE LA BONNE MERE</t>
  </si>
  <si>
    <t>maritelesartre@yahoo.fr</t>
  </si>
  <si>
    <t>165700J</t>
  </si>
  <si>
    <t>MARTIAL</t>
  </si>
  <si>
    <t>PREVOT</t>
  </si>
  <si>
    <t>27 RUE EUGENE DERRIEN</t>
  </si>
  <si>
    <t>PAVILLON 14</t>
  </si>
  <si>
    <t>Martial.Prevot94@orange.fr</t>
  </si>
  <si>
    <t>165702L</t>
  </si>
  <si>
    <t>VALLEE</t>
  </si>
  <si>
    <t>24 RUE BRUNO BRAUN</t>
  </si>
  <si>
    <t>thiery.vallee@orange.fr</t>
  </si>
  <si>
    <t>165822R</t>
  </si>
  <si>
    <t>KLEIN</t>
  </si>
  <si>
    <t>27 RUE DU SERGENT BAUCHAT</t>
  </si>
  <si>
    <t>christianklein@noos.fr</t>
  </si>
  <si>
    <t>165899A</t>
  </si>
  <si>
    <t>BOURGY</t>
  </si>
  <si>
    <t>22 RUE DE BEL AIR</t>
  </si>
  <si>
    <t>BOISSISE LE ROI</t>
  </si>
  <si>
    <t>philippebourgy@gmail.com</t>
  </si>
  <si>
    <t>165900B</t>
  </si>
  <si>
    <t>LUCZAK</t>
  </si>
  <si>
    <t>BOIS DES CHARTREUX</t>
  </si>
  <si>
    <t>COURQUETAINE</t>
  </si>
  <si>
    <t>jf.luczak@orange.fr</t>
  </si>
  <si>
    <t>165924C</t>
  </si>
  <si>
    <t>FAYT</t>
  </si>
  <si>
    <t>2 AVENUE LAVOISIER</t>
  </si>
  <si>
    <t>bernard.fayt@free.fr</t>
  </si>
  <si>
    <t>165930J</t>
  </si>
  <si>
    <t>PLANELLES</t>
  </si>
  <si>
    <t>27 RUE DES COQUELICOTS</t>
  </si>
  <si>
    <t>165939T</t>
  </si>
  <si>
    <t>CAYET</t>
  </si>
  <si>
    <t>1 RUE DE LA PAIX</t>
  </si>
  <si>
    <t>cayetchristian@aol.com</t>
  </si>
  <si>
    <t>165959Q</t>
  </si>
  <si>
    <t>HYTTE</t>
  </si>
  <si>
    <t>6 AVENUE DE BOURGOGNE</t>
  </si>
  <si>
    <t>JJ260519@live.fr</t>
  </si>
  <si>
    <t>166047L</t>
  </si>
  <si>
    <t>NICOLE</t>
  </si>
  <si>
    <t>BEN SALAH</t>
  </si>
  <si>
    <t>10 GRANDE RUE</t>
  </si>
  <si>
    <t>nicole.bensalah@free.fr</t>
  </si>
  <si>
    <t>166093L</t>
  </si>
  <si>
    <t>FLAIRE</t>
  </si>
  <si>
    <t>21 CH DU MILIEU DES VIGNES DE NOUZET</t>
  </si>
  <si>
    <t>flaire.guy@neuf.fr</t>
  </si>
  <si>
    <t>166094M</t>
  </si>
  <si>
    <t>DELOBEL</t>
  </si>
  <si>
    <t>7 ALLEE DU VERCORS</t>
  </si>
  <si>
    <t>BATIMENT 12 PORTE 3 BROSSELETTE</t>
  </si>
  <si>
    <t>jpddelobel@gmail.com</t>
  </si>
  <si>
    <t>166103X</t>
  </si>
  <si>
    <t>MAITRASSE</t>
  </si>
  <si>
    <t>12 ALLEE DES AUBEPINES</t>
  </si>
  <si>
    <t>166111F</t>
  </si>
  <si>
    <t>DOBOSZ</t>
  </si>
  <si>
    <t>5 RUE DES COLUMIERS</t>
  </si>
  <si>
    <t>MORET SUR LOING</t>
  </si>
  <si>
    <t>georges.dobosz@orange.fr</t>
  </si>
  <si>
    <t>166262V</t>
  </si>
  <si>
    <t>4 RUE HENRI BESSON</t>
  </si>
  <si>
    <t>LA NORVILLE</t>
  </si>
  <si>
    <t>philippeparis5@aol.com</t>
  </si>
  <si>
    <t>166287X</t>
  </si>
  <si>
    <t>BUTLEN</t>
  </si>
  <si>
    <t>1 BIS AVENUE VICTOR HUGO</t>
  </si>
  <si>
    <t>166290A</t>
  </si>
  <si>
    <t>dd.lambert@bbox.fr</t>
  </si>
  <si>
    <t>166307T</t>
  </si>
  <si>
    <t>2B RUE DU DOCTEUR DUBORGIA</t>
  </si>
  <si>
    <t>BOUGIVAL</t>
  </si>
  <si>
    <t>andre.g.michel@sfr.fr</t>
  </si>
  <si>
    <t>166390J</t>
  </si>
  <si>
    <t>10 AVENUE DU MONT BLANC</t>
  </si>
  <si>
    <t>fournier.alain1@free.fr</t>
  </si>
  <si>
    <t>166476C</t>
  </si>
  <si>
    <t>RICHEZ</t>
  </si>
  <si>
    <t>RUE DE LA FORET</t>
  </si>
  <si>
    <t>CHALAUTRE LA GRANDE</t>
  </si>
  <si>
    <t>xavier-richez@orange.fr</t>
  </si>
  <si>
    <t>166658A</t>
  </si>
  <si>
    <t>1 CHEMIN DE LA FONTAINE DES COURGENTS</t>
  </si>
  <si>
    <t>jmg_95@orange.fr</t>
  </si>
  <si>
    <t>166752C</t>
  </si>
  <si>
    <t>UNVOIS</t>
  </si>
  <si>
    <t>34 RUE LEO LAGRANGE</t>
  </si>
  <si>
    <t>lunvois@gmail.com</t>
  </si>
  <si>
    <t>166774B</t>
  </si>
  <si>
    <t>CHAUVEL</t>
  </si>
  <si>
    <t>mk_stef@hotmail.com</t>
  </si>
  <si>
    <t>166907W</t>
  </si>
  <si>
    <t>PONTE</t>
  </si>
  <si>
    <t>13 RUE DE L ORGE</t>
  </si>
  <si>
    <t>jeanpaulponte78@gmail.com</t>
  </si>
  <si>
    <t>167153N</t>
  </si>
  <si>
    <t>PAUC</t>
  </si>
  <si>
    <t>59 AV GEORGES CLEMENCEAU</t>
  </si>
  <si>
    <t>tapauc@neuf.fr</t>
  </si>
  <si>
    <t>167213D</t>
  </si>
  <si>
    <t>GERNEZ</t>
  </si>
  <si>
    <t>7 RUE SUCHET</t>
  </si>
  <si>
    <t>jpgernez@yahoo.fr</t>
  </si>
  <si>
    <t>167240H</t>
  </si>
  <si>
    <t>FRAYSSE</t>
  </si>
  <si>
    <t>65 RUE DES MOULINS</t>
  </si>
  <si>
    <t>frayssed@free.fr</t>
  </si>
  <si>
    <t>167454Q</t>
  </si>
  <si>
    <t>GERAUD</t>
  </si>
  <si>
    <t>DE PIERREFEU</t>
  </si>
  <si>
    <t>1 RUE ALBERT JOLY</t>
  </si>
  <si>
    <t>depierrefeug@gmail.com</t>
  </si>
  <si>
    <t>SAAD</t>
  </si>
  <si>
    <t>EPINAY SUR SEINE</t>
  </si>
  <si>
    <t>167786B</t>
  </si>
  <si>
    <t>ELIAS</t>
  </si>
  <si>
    <t>TANNOURY</t>
  </si>
  <si>
    <t>54 RUE FRANCOIS PINSON</t>
  </si>
  <si>
    <t>tannouryelias@hotmail.com</t>
  </si>
  <si>
    <t>167800R</t>
  </si>
  <si>
    <t>STUBBE</t>
  </si>
  <si>
    <t>46 RUE MARTRE</t>
  </si>
  <si>
    <t>franckstubbe@yahoo.fr</t>
  </si>
  <si>
    <t>167955K</t>
  </si>
  <si>
    <t>MOHAMMED</t>
  </si>
  <si>
    <t>SAADOUD</t>
  </si>
  <si>
    <t>56 RUE JEAN JAURES</t>
  </si>
  <si>
    <t>saadoud.mohammed@gmail.com</t>
  </si>
  <si>
    <t>ZIMMERMANN</t>
  </si>
  <si>
    <t>PIERRELAYE</t>
  </si>
  <si>
    <t>168001K</t>
  </si>
  <si>
    <t>LECUYER</t>
  </si>
  <si>
    <t>18 AVENUE DE PARIS</t>
  </si>
  <si>
    <t>didierlecuyer7@gmail.com</t>
  </si>
  <si>
    <t>168007R</t>
  </si>
  <si>
    <t>VIRGILE</t>
  </si>
  <si>
    <t>MESSAGER</t>
  </si>
  <si>
    <t>57 RUE DE TOQUEVILLE</t>
  </si>
  <si>
    <t>Virgile.messager8@gmail.com</t>
  </si>
  <si>
    <t>JEAN YVES</t>
  </si>
  <si>
    <t>168161J</t>
  </si>
  <si>
    <t>57 AVENUE DU MANTOIS</t>
  </si>
  <si>
    <t>michel.fischer27@gmail.com</t>
  </si>
  <si>
    <t>168214R</t>
  </si>
  <si>
    <t>WALID</t>
  </si>
  <si>
    <t>LAABOUDI</t>
  </si>
  <si>
    <t>12 RUE DES GRANDS PECHERS</t>
  </si>
  <si>
    <t>walidlaaboudi2@gmail.com</t>
  </si>
  <si>
    <t>168285T</t>
  </si>
  <si>
    <t>8 CHEMIN DES BAS ROCHERS</t>
  </si>
  <si>
    <t>LA VILLE DU BOIS</t>
  </si>
  <si>
    <t>pmvillette@free.fr</t>
  </si>
  <si>
    <t>168286V</t>
  </si>
  <si>
    <t>GOETHALS</t>
  </si>
  <si>
    <t>9 CHEMIN DES BAS ROCHERS</t>
  </si>
  <si>
    <t>bergoe@wanadoo.fr</t>
  </si>
  <si>
    <t>168325M</t>
  </si>
  <si>
    <t>REGIS</t>
  </si>
  <si>
    <t>PAURON</t>
  </si>
  <si>
    <t>internet.pauron@gmail.com</t>
  </si>
  <si>
    <t>FOULON</t>
  </si>
  <si>
    <t>168344H</t>
  </si>
  <si>
    <t>ABDELAZIZ</t>
  </si>
  <si>
    <t>BENJELLOUN</t>
  </si>
  <si>
    <t>17 19 RUE DOMREMY</t>
  </si>
  <si>
    <t>benjelloun.abdelaziz1@gmail.com</t>
  </si>
  <si>
    <t>168387E</t>
  </si>
  <si>
    <t>18 RUE DU PETIT BONTEMPS</t>
  </si>
  <si>
    <t>michel.vidal72@orange.fr</t>
  </si>
  <si>
    <t>168407B</t>
  </si>
  <si>
    <t>LEBARBIER</t>
  </si>
  <si>
    <t>16 BIS BOULEVARD LITTRE</t>
  </si>
  <si>
    <t>MESNIL LE ROI</t>
  </si>
  <si>
    <t>jmlglcl@gmail.com</t>
  </si>
  <si>
    <t>168408C</t>
  </si>
  <si>
    <t>168415K</t>
  </si>
  <si>
    <t>JENIFER</t>
  </si>
  <si>
    <t>LACOME</t>
  </si>
  <si>
    <t>13 RUE ALINE</t>
  </si>
  <si>
    <t>bernardlacome@yahoo.fr</t>
  </si>
  <si>
    <t>168647M</t>
  </si>
  <si>
    <t>DE POOTER</t>
  </si>
  <si>
    <t>32 RUE MARCELLIN BERTHELOT</t>
  </si>
  <si>
    <t>depooter@wanadoo.fr</t>
  </si>
  <si>
    <t>168750Z</t>
  </si>
  <si>
    <t>NUREDIN</t>
  </si>
  <si>
    <t>AGUSHI</t>
  </si>
  <si>
    <t>18 RUE JEAN ETIENNE GUETTARD</t>
  </si>
  <si>
    <t>dini1999@hotmail.fr</t>
  </si>
  <si>
    <t>168796Z</t>
  </si>
  <si>
    <t>GERBAULT</t>
  </si>
  <si>
    <t>6 RUE ANATOLE FRANCE</t>
  </si>
  <si>
    <t>RANTIGNY</t>
  </si>
  <si>
    <t>gerbaultgargouil@orange.fr</t>
  </si>
  <si>
    <t>168797A</t>
  </si>
  <si>
    <t>ROMAIN</t>
  </si>
  <si>
    <t>4 RUE EUGENE DELAHOUTRE</t>
  </si>
  <si>
    <t>CLERMONT SUR OISE</t>
  </si>
  <si>
    <t>fifi.service@orange.fr</t>
  </si>
  <si>
    <t>168871F</t>
  </si>
  <si>
    <t>PIART</t>
  </si>
  <si>
    <t>7 AVENUE DU MARECHAL JUIN</t>
  </si>
  <si>
    <t>CARRIERES SUR SEINE</t>
  </si>
  <si>
    <t>danseur78@orange.fr</t>
  </si>
  <si>
    <t>168882S</t>
  </si>
  <si>
    <t>WEILL</t>
  </si>
  <si>
    <t>10 AVENUE DU PLATEAU</t>
  </si>
  <si>
    <t>denis.weill@icloud.com</t>
  </si>
  <si>
    <t>169025Y</t>
  </si>
  <si>
    <t>xavier.dunat@free.fr</t>
  </si>
  <si>
    <t>169043S</t>
  </si>
  <si>
    <t>169084M</t>
  </si>
  <si>
    <t>FRANZETTI</t>
  </si>
  <si>
    <t>41 BD FELIX FAURE</t>
  </si>
  <si>
    <t>franzettimarc@free.fr</t>
  </si>
  <si>
    <t>169102G</t>
  </si>
  <si>
    <t>PROCOT</t>
  </si>
  <si>
    <t>79 BD PASTEUR</t>
  </si>
  <si>
    <t>christianprocot@gmail.com</t>
  </si>
  <si>
    <t>169180R</t>
  </si>
  <si>
    <t>PAIS</t>
  </si>
  <si>
    <t>87 RUE PIERRE ET MARIE CURIE</t>
  </si>
  <si>
    <t>manuelpais@free.fr</t>
  </si>
  <si>
    <t>169184W</t>
  </si>
  <si>
    <t>nicolasdelenne@aol.com</t>
  </si>
  <si>
    <t>169230W</t>
  </si>
  <si>
    <t>DJAMEL</t>
  </si>
  <si>
    <t>BOUMENIKHE</t>
  </si>
  <si>
    <t>122 RUE DE GOURRAY</t>
  </si>
  <si>
    <t>djamel.boumenikhe@gmail.com</t>
  </si>
  <si>
    <t>169253W</t>
  </si>
  <si>
    <t>FOUQUET</t>
  </si>
  <si>
    <t>9 RUE ANDRE CHENIER</t>
  </si>
  <si>
    <t>mr.fouquet@gmail.com</t>
  </si>
  <si>
    <t>169262F</t>
  </si>
  <si>
    <t>DELPHINE</t>
  </si>
  <si>
    <t>5 RUE DE LA CRISTALLERIE</t>
  </si>
  <si>
    <t>delphine@famillebernard.fr</t>
  </si>
  <si>
    <t>169265J</t>
  </si>
  <si>
    <t>ABDALLAH</t>
  </si>
  <si>
    <t>164B AVENUE DE PARIS</t>
  </si>
  <si>
    <t>abdallah.anthony@gmail.com</t>
  </si>
  <si>
    <t>169284E</t>
  </si>
  <si>
    <t>COLLET</t>
  </si>
  <si>
    <t>69 AVENUE ROGER ALBOY</t>
  </si>
  <si>
    <t>gcollet.dieu@orange.fr</t>
  </si>
  <si>
    <t>169373B</t>
  </si>
  <si>
    <t>THEA</t>
  </si>
  <si>
    <t>9 RUE PAUL DOITTAU</t>
  </si>
  <si>
    <t>APPARTEMENT 433 3EME ETAGE</t>
  </si>
  <si>
    <t>claudeji91@gmail.com</t>
  </si>
  <si>
    <t>169374C</t>
  </si>
  <si>
    <t>KEVIN</t>
  </si>
  <si>
    <t>169386Q</t>
  </si>
  <si>
    <t>1 RUE DU DAUPHINE</t>
  </si>
  <si>
    <t>maroufomar701@gmail.com</t>
  </si>
  <si>
    <t>169390V</t>
  </si>
  <si>
    <t>MATTINELLI</t>
  </si>
  <si>
    <t>61 RUE LEONARD DE VINCI</t>
  </si>
  <si>
    <t>fmattinelli@gmail.com</t>
  </si>
  <si>
    <t>169399E</t>
  </si>
  <si>
    <t>BRILLAUD</t>
  </si>
  <si>
    <t>8 RUE SAINT EXUPERY</t>
  </si>
  <si>
    <t>169420C</t>
  </si>
  <si>
    <t>TCHERNTSOV</t>
  </si>
  <si>
    <t>5 RUE MARIOTTE</t>
  </si>
  <si>
    <t>IGOR.TCHERNTSOV@GMAIL.COM</t>
  </si>
  <si>
    <t>169431P</t>
  </si>
  <si>
    <t>BALAY</t>
  </si>
  <si>
    <t>14 ALLEE EMILE ZOLA</t>
  </si>
  <si>
    <t>cagilaba2001@gmail.com</t>
  </si>
  <si>
    <t>169489C</t>
  </si>
  <si>
    <t>OMAR</t>
  </si>
  <si>
    <t>MAROUF</t>
  </si>
  <si>
    <t>ALGERIE</t>
  </si>
  <si>
    <t>169536D</t>
  </si>
  <si>
    <t>MENDEL</t>
  </si>
  <si>
    <t>20 RUE LAMBLARDIE</t>
  </si>
  <si>
    <t>mendelgilles@gmail.com</t>
  </si>
  <si>
    <t>169542K</t>
  </si>
  <si>
    <t>MAZOYER</t>
  </si>
  <si>
    <t>7 RUE ELSA TRIOLET</t>
  </si>
  <si>
    <t>christian.mazoyer@bbox.fr</t>
  </si>
  <si>
    <t>169579A</t>
  </si>
  <si>
    <t>RICHY</t>
  </si>
  <si>
    <t>16 AVENUE D AUVERGNE</t>
  </si>
  <si>
    <t>richy.francois@sfr.fr</t>
  </si>
  <si>
    <t>169640R</t>
  </si>
  <si>
    <t>COLIN</t>
  </si>
  <si>
    <t>JOUGLA</t>
  </si>
  <si>
    <t>149 RUE DE BELLEVILLE</t>
  </si>
  <si>
    <t>colinjougla81@gmail.com</t>
  </si>
  <si>
    <t>169682M</t>
  </si>
  <si>
    <t>pierre.delvigne208@gmail.com</t>
  </si>
  <si>
    <t>169683N</t>
  </si>
  <si>
    <t>11 ALLEE EMILE ZOLA</t>
  </si>
  <si>
    <t>mickdlh@gmail.com</t>
  </si>
  <si>
    <t>169747H</t>
  </si>
  <si>
    <t>PAPELARD</t>
  </si>
  <si>
    <t>7 CHEMIN D AIGREMONT</t>
  </si>
  <si>
    <t>ST MARTIN DE BRETHENCOURT</t>
  </si>
  <si>
    <t>georges.papelard1@orange.fr</t>
  </si>
  <si>
    <t>169917S</t>
  </si>
  <si>
    <t>MAGNIN</t>
  </si>
  <si>
    <t>13 RUE DU ROND POINT</t>
  </si>
  <si>
    <t>marydenemilaud@wanadoo.FR</t>
  </si>
  <si>
    <t>169937P</t>
  </si>
  <si>
    <t>GHASSAN</t>
  </si>
  <si>
    <t>27 RUE JULES LEFEBVRE</t>
  </si>
  <si>
    <t>ghassan.saad@orange.fr</t>
  </si>
  <si>
    <t>169938Q</t>
  </si>
  <si>
    <t>4 ALLEE DES ACACIAS</t>
  </si>
  <si>
    <t>l.jean-paul@neuf.fr</t>
  </si>
  <si>
    <t>169971B</t>
  </si>
  <si>
    <t>NOEL</t>
  </si>
  <si>
    <t>LEDARD</t>
  </si>
  <si>
    <t>3 BIS RUE DU CLOS SERMON</t>
  </si>
  <si>
    <t>ledard.noel@orange.fr</t>
  </si>
  <si>
    <t>169991Y</t>
  </si>
  <si>
    <t>MALEPLATE</t>
  </si>
  <si>
    <t>40 AVENUE DE BONNEUIL</t>
  </si>
  <si>
    <t>ymaleplate@gmail.com</t>
  </si>
  <si>
    <t>170219W</t>
  </si>
  <si>
    <t>MARWEN</t>
  </si>
  <si>
    <t>HMANDI</t>
  </si>
  <si>
    <t>7 RUE JEAN XXIII</t>
  </si>
  <si>
    <t>BRUNOY</t>
  </si>
  <si>
    <t>Hmandi.marwen@gmail.com</t>
  </si>
  <si>
    <t>170229G</t>
  </si>
  <si>
    <t>RALLET</t>
  </si>
  <si>
    <t>1 RUE BARBES</t>
  </si>
  <si>
    <t>170231J</t>
  </si>
  <si>
    <t>HUI BON HOA</t>
  </si>
  <si>
    <t>40 RUE DE LA TUILERIE</t>
  </si>
  <si>
    <t>jeanmarc.huibonhoa@gmail.com</t>
  </si>
  <si>
    <t>170372M</t>
  </si>
  <si>
    <t>HOUEL</t>
  </si>
  <si>
    <t>43 RUE DE SILLY</t>
  </si>
  <si>
    <t>benjaminhouel@gmail.com</t>
  </si>
  <si>
    <t>170676S</t>
  </si>
  <si>
    <t>LORIOT</t>
  </si>
  <si>
    <t>75 RUE ARISTIDE BRIAND</t>
  </si>
  <si>
    <t>christian.loriot@outlook.fr</t>
  </si>
  <si>
    <t>170790R</t>
  </si>
  <si>
    <t>TIMMERMAN</t>
  </si>
  <si>
    <t>3 RUE DES MURGETS</t>
  </si>
  <si>
    <t>CONFLANS STE HONNORINE</t>
  </si>
  <si>
    <t>170791S</t>
  </si>
  <si>
    <t>1 RUE DU BEL AIR</t>
  </si>
  <si>
    <t>MAURECOURT</t>
  </si>
  <si>
    <t>roland.timmerman@orange.fr</t>
  </si>
  <si>
    <t>170920H</t>
  </si>
  <si>
    <t>FABRIZIO</t>
  </si>
  <si>
    <t>ANDRIA</t>
  </si>
  <si>
    <t>12 AVENUE PAUL DOUMER</t>
  </si>
  <si>
    <t>BOIS LE ROI</t>
  </si>
  <si>
    <t>andriafab@gmail.com</t>
  </si>
  <si>
    <t>171040N</t>
  </si>
  <si>
    <t>FETON</t>
  </si>
  <si>
    <t>7 RUE DE LA MARECHALERIE</t>
  </si>
  <si>
    <t>gilbertfeton@gmail.com</t>
  </si>
  <si>
    <t>171272Q</t>
  </si>
  <si>
    <t>ABDERRAHIM</t>
  </si>
  <si>
    <t>ELBACHIRI</t>
  </si>
  <si>
    <t>elbachiriabderrahim4@gmail.com</t>
  </si>
  <si>
    <t>171332F</t>
  </si>
  <si>
    <t>LUQUAIN</t>
  </si>
  <si>
    <t>4 RUE CLAUDE DEBUSSY</t>
  </si>
  <si>
    <t>daniel.luquain@orange.fr</t>
  </si>
  <si>
    <t>171488A</t>
  </si>
  <si>
    <t>MARTEL</t>
  </si>
  <si>
    <t>55 BIS RUE DES BOIS</t>
  </si>
  <si>
    <t>jeanluc095@hotmail.com</t>
  </si>
  <si>
    <t>171551T</t>
  </si>
  <si>
    <t>HAVET</t>
  </si>
  <si>
    <t>29 RUE DE REUILLY</t>
  </si>
  <si>
    <t>christianhavet@gmail.com</t>
  </si>
  <si>
    <t>171596S</t>
  </si>
  <si>
    <t>PANDIANI</t>
  </si>
  <si>
    <t>58 RUE DU FOUR A BRIQUES</t>
  </si>
  <si>
    <t>LES ESSARTS LE ROI</t>
  </si>
  <si>
    <t>christophe.pandiani@orange.fr</t>
  </si>
  <si>
    <t>171705L</t>
  </si>
  <si>
    <t>BENEZET TOULZE</t>
  </si>
  <si>
    <t>56 RUE FOCH</t>
  </si>
  <si>
    <t>CHARTRETTES</t>
  </si>
  <si>
    <t>PHILIPPE.BENEZET@FREE.FR</t>
  </si>
  <si>
    <t>171798M</t>
  </si>
  <si>
    <t>55 RUE DU GENERAL LECLERC</t>
  </si>
  <si>
    <t>marleg@wanadoo.fr</t>
  </si>
  <si>
    <t>171909H</t>
  </si>
  <si>
    <t>TAVERNIER</t>
  </si>
  <si>
    <t>33 RUE PAUL BOUCHARD</t>
  </si>
  <si>
    <t>eric.tavernier@gmail.com</t>
  </si>
  <si>
    <t>171916Q</t>
  </si>
  <si>
    <t>171917R</t>
  </si>
  <si>
    <t>CARDOSO</t>
  </si>
  <si>
    <t>15 AVENUE HENRI BESSE</t>
  </si>
  <si>
    <t>CAUFFRY</t>
  </si>
  <si>
    <t>benjam.cardoso@gmail.com</t>
  </si>
  <si>
    <t>171986R</t>
  </si>
  <si>
    <t>PATRICIA</t>
  </si>
  <si>
    <t>FERNANDES</t>
  </si>
  <si>
    <t>50 CHEMIN DES CAILLETTES</t>
  </si>
  <si>
    <t>spykiki@hotmail.fr</t>
  </si>
  <si>
    <t>171987S</t>
  </si>
  <si>
    <t>NATHAN</t>
  </si>
  <si>
    <t>FERNANDES DE MAGALHAES</t>
  </si>
  <si>
    <t>172081V</t>
  </si>
  <si>
    <t>RIGNAULT</t>
  </si>
  <si>
    <t>4 RUE DE LA COTE DE VALORGE</t>
  </si>
  <si>
    <t>yves.rignault@gmail.com</t>
  </si>
  <si>
    <t>172083X</t>
  </si>
  <si>
    <t>DUBAELE</t>
  </si>
  <si>
    <t>19 ALLEE DES AUBEPINES</t>
  </si>
  <si>
    <t>LE PLESSIS PATE</t>
  </si>
  <si>
    <t>jcev.dub@free.fr</t>
  </si>
  <si>
    <t>172084Y</t>
  </si>
  <si>
    <t>VIGNON</t>
  </si>
  <si>
    <t>8 CHEMIN DES FONCEAUX</t>
  </si>
  <si>
    <t>vignon91@free.fr</t>
  </si>
  <si>
    <t>172085Z</t>
  </si>
  <si>
    <t>DELAUNAY</t>
  </si>
  <si>
    <t>29 AVENUE DE LA REPUBLIQUE</t>
  </si>
  <si>
    <t>BAT A9</t>
  </si>
  <si>
    <t>daniel.delaunay0111@orange.fr</t>
  </si>
  <si>
    <t>172099P</t>
  </si>
  <si>
    <t>YASSINE</t>
  </si>
  <si>
    <t>CHEBAANE</t>
  </si>
  <si>
    <t>12 RUE HEINRICH</t>
  </si>
  <si>
    <t>Chebaane.yessine@gmail.com</t>
  </si>
  <si>
    <t>TUNISIE</t>
  </si>
  <si>
    <t>172173V</t>
  </si>
  <si>
    <t>STAVROS</t>
  </si>
  <si>
    <t>STAVROPOULOS</t>
  </si>
  <si>
    <t>12 RUE D ODESSA</t>
  </si>
  <si>
    <t>stavropoullos.s@gmail.com</t>
  </si>
  <si>
    <t>GRECE</t>
  </si>
  <si>
    <t>172207G</t>
  </si>
  <si>
    <t>DESMARES</t>
  </si>
  <si>
    <t>24 RUE ANDRE CHENIER</t>
  </si>
  <si>
    <t>jerome.desmares@orange.fr</t>
  </si>
  <si>
    <t>172209J</t>
  </si>
  <si>
    <t>LECOMTE</t>
  </si>
  <si>
    <t>20 RUE AUGUSTE RENOIR</t>
  </si>
  <si>
    <t>MEZIERE SUR SEINE</t>
  </si>
  <si>
    <t>FONTENAY AUX ROSES</t>
  </si>
  <si>
    <t>172438H</t>
  </si>
  <si>
    <t>ETHAN</t>
  </si>
  <si>
    <t>BARRAULT</t>
  </si>
  <si>
    <t>40 A RUE MATHILDE</t>
  </si>
  <si>
    <t>ethanbarrault2018@gmail.com</t>
  </si>
  <si>
    <t>172439J</t>
  </si>
  <si>
    <t>pascalbarrault@free.fr</t>
  </si>
  <si>
    <t>172482F</t>
  </si>
  <si>
    <t>LACOMBE</t>
  </si>
  <si>
    <t>20 PASSAGE FOUBERT</t>
  </si>
  <si>
    <t>corentin.lacombe.2@gmail.com</t>
  </si>
  <si>
    <t>172516S</t>
  </si>
  <si>
    <t>172518V</t>
  </si>
  <si>
    <t>ROCHARD</t>
  </si>
  <si>
    <t>15 RUE DU HEURTELOUP</t>
  </si>
  <si>
    <t>LONGUES</t>
  </si>
  <si>
    <t>mr3110@wanadoo.fr</t>
  </si>
  <si>
    <t>172550E</t>
  </si>
  <si>
    <t>RAUL</t>
  </si>
  <si>
    <t>FERNANDES DE SA</t>
  </si>
  <si>
    <t>40 ROUTE DE BOISSY</t>
  </si>
  <si>
    <t>ST YON</t>
  </si>
  <si>
    <t>fernandes777@msn.com</t>
  </si>
  <si>
    <t>172620F</t>
  </si>
  <si>
    <t>BARBOT</t>
  </si>
  <si>
    <t>3 AVENUE JEAN FRANCOIS MILLET</t>
  </si>
  <si>
    <t>BRIE COMPTE ROBERT</t>
  </si>
  <si>
    <t>philip100@orange.fr</t>
  </si>
  <si>
    <t>172628P</t>
  </si>
  <si>
    <t>CHERPIN</t>
  </si>
  <si>
    <t>2BIS RUE LOUIS PASTEUR</t>
  </si>
  <si>
    <t>ABLEIGE</t>
  </si>
  <si>
    <t>172629Q</t>
  </si>
  <si>
    <t>EDO</t>
  </si>
  <si>
    <t>36 RUE ARISTIDE BRIAND</t>
  </si>
  <si>
    <t>legoyot@live.fr</t>
  </si>
  <si>
    <t>172691H</t>
  </si>
  <si>
    <t>SABAH</t>
  </si>
  <si>
    <t>6 ALLEE DES ORMES</t>
  </si>
  <si>
    <t>gsabah@free.fr</t>
  </si>
  <si>
    <t>173513B</t>
  </si>
  <si>
    <t>PERNOT</t>
  </si>
  <si>
    <t>4 RUE DES ECOLES</t>
  </si>
  <si>
    <t>CANNES ECLUSE</t>
  </si>
  <si>
    <t>helios@laposte.net</t>
  </si>
  <si>
    <t>173516E</t>
  </si>
  <si>
    <t>LACROIX</t>
  </si>
  <si>
    <t>8 RUE FRANCOIS COUPERIN</t>
  </si>
  <si>
    <t>lacroixlouis@sfr.fr</t>
  </si>
  <si>
    <t>173517F</t>
  </si>
  <si>
    <t>42 AVENUE GALLIENI</t>
  </si>
  <si>
    <t>langlet.p@free.fr</t>
  </si>
  <si>
    <t>173539E</t>
  </si>
  <si>
    <t>LELEU</t>
  </si>
  <si>
    <t>106 AV DU GENERALE DE GAULLE</t>
  </si>
  <si>
    <t>leleuwbenoit@gmail.com</t>
  </si>
  <si>
    <t>173614L</t>
  </si>
  <si>
    <t>MICHAEL</t>
  </si>
  <si>
    <t>JUSTAUME</t>
  </si>
  <si>
    <t>40 RUE DES GROUX</t>
  </si>
  <si>
    <t>michael-justaume@live.fr</t>
  </si>
  <si>
    <t>173635J</t>
  </si>
  <si>
    <t>BISSON</t>
  </si>
  <si>
    <t>45 RUE DE L HOUCHETTE</t>
  </si>
  <si>
    <t>facobisson@orange.fr</t>
  </si>
  <si>
    <t>LOIC</t>
  </si>
  <si>
    <t>173893P</t>
  </si>
  <si>
    <t>LAVI</t>
  </si>
  <si>
    <t>HSU</t>
  </si>
  <si>
    <t>43 BOULEVARD DE SEBASTOPOL</t>
  </si>
  <si>
    <t>lavihsu@gmail.com</t>
  </si>
  <si>
    <t>NOUVELLE-ZELANDE</t>
  </si>
  <si>
    <t>173895R</t>
  </si>
  <si>
    <t>RONDEPIERRE</t>
  </si>
  <si>
    <t>7 ROUTE DES GARDES</t>
  </si>
  <si>
    <t>MEUDON</t>
  </si>
  <si>
    <t>alexis.rondepierre@gmail.com</t>
  </si>
  <si>
    <t>173930E</t>
  </si>
  <si>
    <t>gerard.leroy14@orange.fr</t>
  </si>
  <si>
    <t>173972A</t>
  </si>
  <si>
    <t>NATHALIE</t>
  </si>
  <si>
    <t>GURZYNSKI</t>
  </si>
  <si>
    <t>3 PASSAGE DU MOULIN BRISE ECHALAT</t>
  </si>
  <si>
    <t>natgurzynski84@gmail.com</t>
  </si>
  <si>
    <t>174224Z</t>
  </si>
  <si>
    <t>MICHELE</t>
  </si>
  <si>
    <t>lejeune.michele@wanadoo.fr</t>
  </si>
  <si>
    <t>174239Q</t>
  </si>
  <si>
    <t>JOANNA</t>
  </si>
  <si>
    <t>6 BIS AVENUE DES IRIS</t>
  </si>
  <si>
    <t>joanna.m203@gmail.com</t>
  </si>
  <si>
    <t>174244W</t>
  </si>
  <si>
    <t>JEAN BAPTISTE</t>
  </si>
  <si>
    <t>BRANCHU</t>
  </si>
  <si>
    <t>1BIS RUE DE L ASSEMBLEE NATIONALE</t>
  </si>
  <si>
    <t>jb.branchu-calmels@laposte.net</t>
  </si>
  <si>
    <t>174291X</t>
  </si>
  <si>
    <t>ANOUK</t>
  </si>
  <si>
    <t>JAMEZ</t>
  </si>
  <si>
    <t>18 RUE PARMENTIER</t>
  </si>
  <si>
    <t>anouk.jamez@gmail.com</t>
  </si>
  <si>
    <t>174293Z</t>
  </si>
  <si>
    <t>DANY</t>
  </si>
  <si>
    <t>ARMOOGUM</t>
  </si>
  <si>
    <t>10 BIS RUE LEON HUTIN</t>
  </si>
  <si>
    <t>adanyker09@gmail.com</t>
  </si>
  <si>
    <t>174297D</t>
  </si>
  <si>
    <t>LE BARS</t>
  </si>
  <si>
    <t>14 RUE DES TANNEURS</t>
  </si>
  <si>
    <t>BOUFFEMONT</t>
  </si>
  <si>
    <t>christian@le-bars.net</t>
  </si>
  <si>
    <t>174300G</t>
  </si>
  <si>
    <t>MELANIE</t>
  </si>
  <si>
    <t>FOURNET</t>
  </si>
  <si>
    <t>400 CHEMIN DE LA CROIX AUX BUIS</t>
  </si>
  <si>
    <t>174329N</t>
  </si>
  <si>
    <t>DONES</t>
  </si>
  <si>
    <t>9 RUE RENE BASCHET</t>
  </si>
  <si>
    <t>174342C</t>
  </si>
  <si>
    <t>119 RUE DES PYRENEE</t>
  </si>
  <si>
    <t>andrejeanlecoq@gmail.com</t>
  </si>
  <si>
    <t>174503C</t>
  </si>
  <si>
    <t>LOUBIGNAC</t>
  </si>
  <si>
    <t>39 RUE HONORE DE BALZAC</t>
  </si>
  <si>
    <t>loubignacjeanclaude@gmail.com</t>
  </si>
  <si>
    <t>174560P</t>
  </si>
  <si>
    <t>JULIO</t>
  </si>
  <si>
    <t>VICENTE</t>
  </si>
  <si>
    <t>80 RUE PIERRE CUTIE</t>
  </si>
  <si>
    <t>174568Y</t>
  </si>
  <si>
    <t>THEOPHILE</t>
  </si>
  <si>
    <t>5 ALLEE DES CAPUCINES</t>
  </si>
  <si>
    <t>jose.theophile@yahoo.fr</t>
  </si>
  <si>
    <t>174588V</t>
  </si>
  <si>
    <t>MORTEN</t>
  </si>
  <si>
    <t>HOEGHOLM</t>
  </si>
  <si>
    <t>59 RUE DE LA REPUBLIQUE</t>
  </si>
  <si>
    <t>morten.hoegholm@gmail.com</t>
  </si>
  <si>
    <t>DANEMARK</t>
  </si>
  <si>
    <t>174635W</t>
  </si>
  <si>
    <t>BRAGADO</t>
  </si>
  <si>
    <t>74 RUE CHEVREUIL</t>
  </si>
  <si>
    <t>174702T</t>
  </si>
  <si>
    <t>TERZI</t>
  </si>
  <si>
    <t>17 RUE DU PRESIDENT DOUMER</t>
  </si>
  <si>
    <t>c.terzi@orange.fr</t>
  </si>
  <si>
    <t>174777A</t>
  </si>
  <si>
    <t>BRODIN</t>
  </si>
  <si>
    <t>299 RUE DES PYRENEES</t>
  </si>
  <si>
    <t>5brealisations@free.fr</t>
  </si>
  <si>
    <t>174818V</t>
  </si>
  <si>
    <t>12 AVENUE JEAN MOULIN</t>
  </si>
  <si>
    <t>APPT 59</t>
  </si>
  <si>
    <t>arnaudrobinpro@gmail.com</t>
  </si>
  <si>
    <t>174978T</t>
  </si>
  <si>
    <t>68 ROUTE NATIONALE</t>
  </si>
  <si>
    <t>ARTHIES</t>
  </si>
  <si>
    <t>175075Z</t>
  </si>
  <si>
    <t>GILDAS</t>
  </si>
  <si>
    <t>4 RUE DES LONGUES RAIES</t>
  </si>
  <si>
    <t>gildas.prieur@gmail.com</t>
  </si>
  <si>
    <t>175089P</t>
  </si>
  <si>
    <t>DEBRIS</t>
  </si>
  <si>
    <t>28 AVENUE FAIDHERBE</t>
  </si>
  <si>
    <t>vdebris92@gmail.com</t>
  </si>
  <si>
    <t>175090Q</t>
  </si>
  <si>
    <t>MAILLARD</t>
  </si>
  <si>
    <t>2 RUE DE MONTCIENT</t>
  </si>
  <si>
    <t>romain.maillard@free.fr</t>
  </si>
  <si>
    <t>175258Y</t>
  </si>
  <si>
    <t>DIEN</t>
  </si>
  <si>
    <t>TA</t>
  </si>
  <si>
    <t>1 ALLEE DU PETIT ROSNE</t>
  </si>
  <si>
    <t>dien.ta@orange.fr</t>
  </si>
  <si>
    <t>175271M</t>
  </si>
  <si>
    <t>SUREAU LEMAN</t>
  </si>
  <si>
    <t>3 RUE RAVEL</t>
  </si>
  <si>
    <t>NOZAY</t>
  </si>
  <si>
    <t>3cf@free.fr</t>
  </si>
  <si>
    <t>175306A</t>
  </si>
  <si>
    <t>TERRY</t>
  </si>
  <si>
    <t>LENGRAND</t>
  </si>
  <si>
    <t>4 RUE DES MERISIERS</t>
  </si>
  <si>
    <t>BOUSSY ST ANTOINE</t>
  </si>
  <si>
    <t>terry.lengrand@gmail.com</t>
  </si>
  <si>
    <t>175318N</t>
  </si>
  <si>
    <t>LAUMOND</t>
  </si>
  <si>
    <t>1 RUE DU ROND POINT</t>
  </si>
  <si>
    <t>laumondc@orange.fr</t>
  </si>
  <si>
    <t>MADAGASCAR</t>
  </si>
  <si>
    <t>175344R</t>
  </si>
  <si>
    <t>MICHON</t>
  </si>
  <si>
    <t>71 RUE PARIS</t>
  </si>
  <si>
    <t>175371W</t>
  </si>
  <si>
    <t>MORVAN</t>
  </si>
  <si>
    <t>GROUPE PASTEUR</t>
  </si>
  <si>
    <t>136 RUE JULES GUESDE</t>
  </si>
  <si>
    <t>175393V</t>
  </si>
  <si>
    <t>CLAIRE</t>
  </si>
  <si>
    <t>BAS</t>
  </si>
  <si>
    <t>2 SQUARE DE SAINT GERMAIN</t>
  </si>
  <si>
    <t>clairebas@hotmail.fr</t>
  </si>
  <si>
    <t>175418X</t>
  </si>
  <si>
    <t>THAN AN ALEXANDRE</t>
  </si>
  <si>
    <t>13 RUE DES MURIERS</t>
  </si>
  <si>
    <t>alexthan.nguyen@sfr.fr</t>
  </si>
  <si>
    <t>175652B</t>
  </si>
  <si>
    <t>1 SQUARE DE MONDOVI</t>
  </si>
  <si>
    <t>chduh@outlook.fr</t>
  </si>
  <si>
    <t>175675B</t>
  </si>
  <si>
    <t>ELISA</t>
  </si>
  <si>
    <t>SOLARI</t>
  </si>
  <si>
    <t>48 ALLEE DE LA CHARMILLE</t>
  </si>
  <si>
    <t>elisa.solari2006@gmail.com</t>
  </si>
  <si>
    <t>175685M</t>
  </si>
  <si>
    <t>38 AVENUE DE GANAY</t>
  </si>
  <si>
    <t>dchauvin490@gmail.com</t>
  </si>
  <si>
    <t>175784V</t>
  </si>
  <si>
    <t>45 AVENUE ARISTIDE BRIAND</t>
  </si>
  <si>
    <t>benji.meyer78@gmail.com</t>
  </si>
  <si>
    <t>175844K</t>
  </si>
  <si>
    <t>RAGAIN</t>
  </si>
  <si>
    <t>14 B RUE MONTBAURON</t>
  </si>
  <si>
    <t>bernard.ragain@gmail.com</t>
  </si>
  <si>
    <t>175851S</t>
  </si>
  <si>
    <t>FITIA SAROBIDY</t>
  </si>
  <si>
    <t>RAZAFIPANANINA</t>
  </si>
  <si>
    <t>3 RUE MAGUERITE CHAPON</t>
  </si>
  <si>
    <t>razafifitia@gmail.com</t>
  </si>
  <si>
    <t>175905B</t>
  </si>
  <si>
    <t>TISSERON</t>
  </si>
  <si>
    <t>3 ALLEE DE VILLENEUVE</t>
  </si>
  <si>
    <t>GOMETZ LE CHATEL</t>
  </si>
  <si>
    <t>tisseron.yves@free.fr</t>
  </si>
  <si>
    <t>176028K</t>
  </si>
  <si>
    <t xml:space="preserve">.    </t>
  </si>
  <si>
    <t>eric.moreau3@wanadoo.fr</t>
  </si>
  <si>
    <t>176134A</t>
  </si>
  <si>
    <t>MARC EDUARD</t>
  </si>
  <si>
    <t>SMAUSZ</t>
  </si>
  <si>
    <t>BAT 103 AV HENRI BERQUEREL</t>
  </si>
  <si>
    <t>smauszmarc@yahoo.com</t>
  </si>
  <si>
    <t>ROUMANIE</t>
  </si>
  <si>
    <t>176143K</t>
  </si>
  <si>
    <t>CHARBEL</t>
  </si>
  <si>
    <t>ABI KHALIL</t>
  </si>
  <si>
    <t>82 RUE DUTOT</t>
  </si>
  <si>
    <t>charbel.ak.7@hotmail.com</t>
  </si>
  <si>
    <t>LIBAN</t>
  </si>
  <si>
    <t>176390D</t>
  </si>
  <si>
    <t>DUCHENE</t>
  </si>
  <si>
    <t>12 ALLEE LOUIS XI</t>
  </si>
  <si>
    <t>MONTLHERY</t>
  </si>
  <si>
    <t>duchenej@wanadoo.fr</t>
  </si>
  <si>
    <t>176411B</t>
  </si>
  <si>
    <t>PENN</t>
  </si>
  <si>
    <t>18 RUE DE PENVERNE</t>
  </si>
  <si>
    <t>PAIMPOL</t>
  </si>
  <si>
    <t>lebollant@outlook.fr</t>
  </si>
  <si>
    <t>176510J</t>
  </si>
  <si>
    <t>OUTREQUIN</t>
  </si>
  <si>
    <t>18 RUE DES ROUSSIERES</t>
  </si>
  <si>
    <t>ghis.outrequin@orange.fr</t>
  </si>
  <si>
    <t>HUBERT</t>
  </si>
  <si>
    <t>176575E</t>
  </si>
  <si>
    <t>thierrybelis9@gmail.com</t>
  </si>
  <si>
    <t>176588T</t>
  </si>
  <si>
    <t>PAUL HENRI</t>
  </si>
  <si>
    <t>23 RUE CHAMP LAGARDE</t>
  </si>
  <si>
    <t>9 RESIDENCE DES PEPINIERES</t>
  </si>
  <si>
    <t>paulhenribeauchamp@gmail.com</t>
  </si>
  <si>
    <t>176596C</t>
  </si>
  <si>
    <t>LING</t>
  </si>
  <si>
    <t>197 ROUTE DE CORBEIL</t>
  </si>
  <si>
    <t>SAINTE GENEVIEVE DES BOIS</t>
  </si>
  <si>
    <t>herveling@hotmail.fr</t>
  </si>
  <si>
    <t>176637X</t>
  </si>
  <si>
    <t>AUSTRUY</t>
  </si>
  <si>
    <t>5 RUE ALBERT BERTHIER</t>
  </si>
  <si>
    <t>HERICY</t>
  </si>
  <si>
    <t>patrice.austruy@wanadoo.fr</t>
  </si>
  <si>
    <t>176839R</t>
  </si>
  <si>
    <t>STOLL</t>
  </si>
  <si>
    <t>65 AVENUE VICTOR HUGO</t>
  </si>
  <si>
    <t>magali.stoll@wanadoo.fr</t>
  </si>
  <si>
    <t>176886S</t>
  </si>
  <si>
    <t>CAVILLOT</t>
  </si>
  <si>
    <t>6 BIS RUE DES FAUVETTES</t>
  </si>
  <si>
    <t>pascal.cavillot@gmail.com</t>
  </si>
  <si>
    <t>176928N</t>
  </si>
  <si>
    <t>AUFFRET</t>
  </si>
  <si>
    <t>3TER RUE DE LARDY</t>
  </si>
  <si>
    <t>jyauffret91@gmail.com</t>
  </si>
  <si>
    <t>176929P</t>
  </si>
  <si>
    <t>CHATEAU</t>
  </si>
  <si>
    <t>122 CHEMIN DE LA HAYE DE ROCHEFORT</t>
  </si>
  <si>
    <t>BULLION</t>
  </si>
  <si>
    <t>am.chateau78@gmail.com</t>
  </si>
  <si>
    <t>LA VARENNE</t>
  </si>
  <si>
    <t>177057D</t>
  </si>
  <si>
    <t>PAGEL</t>
  </si>
  <si>
    <t>24 AVENUE CARNOT</t>
  </si>
  <si>
    <t>samuel.pagel@sfr.fr</t>
  </si>
  <si>
    <t>177059F</t>
  </si>
  <si>
    <t>TOUHAMI</t>
  </si>
  <si>
    <t>5 COUDESOUS</t>
  </si>
  <si>
    <t>touhamimathlouti@gmail.com</t>
  </si>
  <si>
    <t>177060G</t>
  </si>
  <si>
    <t>DELCROIX</t>
  </si>
  <si>
    <t>71 RUE DU CHEF DE VILLE</t>
  </si>
  <si>
    <t>la.passementerie@wanadoo.fr</t>
  </si>
  <si>
    <t>177107H</t>
  </si>
  <si>
    <t>SEIGLER</t>
  </si>
  <si>
    <t>1 SQUARE DE LA BIEVRE</t>
  </si>
  <si>
    <t>177113P</t>
  </si>
  <si>
    <t>TANG</t>
  </si>
  <si>
    <t>bbhc@stang.sh</t>
  </si>
  <si>
    <t>177121Y</t>
  </si>
  <si>
    <t>FLEUROT</t>
  </si>
  <si>
    <t>5 RUE DES CHEVAUX D ANTAN</t>
  </si>
  <si>
    <t>fleurot.andre@orange.fr</t>
  </si>
  <si>
    <t>177131J</t>
  </si>
  <si>
    <t>LEGOUT</t>
  </si>
  <si>
    <t>10 QUATER GRANDE RUE</t>
  </si>
  <si>
    <t>VERNEUIL SUR SEINE 78480</t>
  </si>
  <si>
    <t>ericlegout63@gmail.com</t>
  </si>
  <si>
    <t>177132K</t>
  </si>
  <si>
    <t>DEWERDT</t>
  </si>
  <si>
    <t>hervedewerdt@gmail.com</t>
  </si>
  <si>
    <t>177141V</t>
  </si>
  <si>
    <t>CAMBRILLAT</t>
  </si>
  <si>
    <t>9 RUE LUCIEN ROUGERIE</t>
  </si>
  <si>
    <t>christian.cambrillat@orange.fr</t>
  </si>
  <si>
    <t>177173E</t>
  </si>
  <si>
    <t>SARRAT</t>
  </si>
  <si>
    <t>16 RUE JOACHIM DU BELLAY</t>
  </si>
  <si>
    <t>ericsarrat@yahoo.fr</t>
  </si>
  <si>
    <t>177198G</t>
  </si>
  <si>
    <t>RUGET</t>
  </si>
  <si>
    <t>14 RUE DU BOIS</t>
  </si>
  <si>
    <t>POMPONNE</t>
  </si>
  <si>
    <t>ddmruget@gmail.com</t>
  </si>
  <si>
    <t>177242E</t>
  </si>
  <si>
    <t>THERET</t>
  </si>
  <si>
    <t>15 RUE DU GENERAL DELESTRAINT</t>
  </si>
  <si>
    <t>theret.eric@gmail.com</t>
  </si>
  <si>
    <t>177245H</t>
  </si>
  <si>
    <t>6 ALLEE DE PATAY</t>
  </si>
  <si>
    <t>vi.matias@laposte.net</t>
  </si>
  <si>
    <t>177291H</t>
  </si>
  <si>
    <t>ZERMATI</t>
  </si>
  <si>
    <t>ROUTE DE MAUDETOUR</t>
  </si>
  <si>
    <t>GENAINVILLE</t>
  </si>
  <si>
    <t>177316K</t>
  </si>
  <si>
    <t>POISSONNIER</t>
  </si>
  <si>
    <t>8 CHEMIN DE SAMOIS</t>
  </si>
  <si>
    <t>ARBONNE LA FORET</t>
  </si>
  <si>
    <t>ppoissonnier.arcs@orange.fr</t>
  </si>
  <si>
    <t>177336G</t>
  </si>
  <si>
    <t>ADRIAN</t>
  </si>
  <si>
    <t>DUBUC CALDIRAC</t>
  </si>
  <si>
    <t>94 AVENUE JOSEPH KESSEL</t>
  </si>
  <si>
    <t>adrian.dubuc.caldirac@gmail.com</t>
  </si>
  <si>
    <t>177337H</t>
  </si>
  <si>
    <t>JUENET</t>
  </si>
  <si>
    <t>9 RUE LOUIS BREGUET</t>
  </si>
  <si>
    <t>juenetjeanjacques@hotmail.fr</t>
  </si>
  <si>
    <t>177354B</t>
  </si>
  <si>
    <t>ULYSSE</t>
  </si>
  <si>
    <t>KASKASSIADES</t>
  </si>
  <si>
    <t>22 RUE CHARLES ROYER</t>
  </si>
  <si>
    <t>ulysse.kaskassiades@free.fr</t>
  </si>
  <si>
    <t>177429H</t>
  </si>
  <si>
    <t>MARCO</t>
  </si>
  <si>
    <t>BRAZ</t>
  </si>
  <si>
    <t>11 RUE JEAN BONNEFOIX</t>
  </si>
  <si>
    <t>braz_marco@yahoo.fr</t>
  </si>
  <si>
    <t>177444Z</t>
  </si>
  <si>
    <t>AYMANE</t>
  </si>
  <si>
    <t>NACHCHAR</t>
  </si>
  <si>
    <t>3 BIS COURS NAPOLEON BONAPARTE</t>
  </si>
  <si>
    <t>Ayman.nachchar@gmail.com</t>
  </si>
  <si>
    <t>177468A</t>
  </si>
  <si>
    <t>CONCENTRAIT</t>
  </si>
  <si>
    <t>7 RUE GRANDE</t>
  </si>
  <si>
    <t>concentrait.luc@gmail.com</t>
  </si>
  <si>
    <t>177507S</t>
  </si>
  <si>
    <t>YSUF</t>
  </si>
  <si>
    <t>SAPYYAPY</t>
  </si>
  <si>
    <t>25 ALLEE DES NOISETIERS</t>
  </si>
  <si>
    <t>ysufsapyyapy@gmail.com</t>
  </si>
  <si>
    <t>177533W</t>
  </si>
  <si>
    <t>11 RUE GALILEE</t>
  </si>
  <si>
    <t>epoiret@aol.com</t>
  </si>
  <si>
    <t>177535Y</t>
  </si>
  <si>
    <t>DEMAREST</t>
  </si>
  <si>
    <t>35 RUE FERON BOUSSELY</t>
  </si>
  <si>
    <t>dom.demarest@orange.fr</t>
  </si>
  <si>
    <t>177716V</t>
  </si>
  <si>
    <t>GAMEIRO</t>
  </si>
  <si>
    <t>7 AVENUE DES COURLAINS</t>
  </si>
  <si>
    <t>chevalabon@gmail.com</t>
  </si>
  <si>
    <t>177730K</t>
  </si>
  <si>
    <t>JOAO</t>
  </si>
  <si>
    <t>VELOSO</t>
  </si>
  <si>
    <t>80 CHEMIN DE LA FERTE ALLAIS</t>
  </si>
  <si>
    <t>rodrigues-px@hotmail.com</t>
  </si>
  <si>
    <t>NOGUEIRA</t>
  </si>
  <si>
    <t>2 AVENUE DU ROUSSILLON</t>
  </si>
  <si>
    <t>dou1210@hotmail.fr</t>
  </si>
  <si>
    <t>177788Y</t>
  </si>
  <si>
    <t>GENDRON</t>
  </si>
  <si>
    <t>73 RUE DE GOURNAY</t>
  </si>
  <si>
    <t>egiovannangeli@gmail.com</t>
  </si>
  <si>
    <t>177847M</t>
  </si>
  <si>
    <t>MARECHAL</t>
  </si>
  <si>
    <t>1 BOULEVARD CHRISTIAN JULLIEN</t>
  </si>
  <si>
    <t>frederic.marechal1959@gmail.com</t>
  </si>
  <si>
    <t>177875S</t>
  </si>
  <si>
    <t>NEIMY</t>
  </si>
  <si>
    <t>30 ALLEE DES IRLANDAIS</t>
  </si>
  <si>
    <t>neimy.reda85@gmail.com</t>
  </si>
  <si>
    <t>177879X</t>
  </si>
  <si>
    <t>ROUBINOWITZ</t>
  </si>
  <si>
    <t>9 VILLA HORTENSE</t>
  </si>
  <si>
    <t>thierryroubi@hotmail.fr</t>
  </si>
  <si>
    <t>177936J</t>
  </si>
  <si>
    <t>JUAN VICENTE</t>
  </si>
  <si>
    <t>MASANET MAS</t>
  </si>
  <si>
    <t>20 RUE DE L AGRICULTURE</t>
  </si>
  <si>
    <t>juanvimasanet@hotmail.com</t>
  </si>
  <si>
    <t>177939M</t>
  </si>
  <si>
    <t>ANAIS</t>
  </si>
  <si>
    <t>MOUTARLIER</t>
  </si>
  <si>
    <t>22 RUE DES VINAIGRIERS</t>
  </si>
  <si>
    <t>Anaismoutarlier@gmail.com</t>
  </si>
  <si>
    <t>177946V</t>
  </si>
  <si>
    <t>FERAUDET GIROD</t>
  </si>
  <si>
    <t>17 RUE PHILIPPE DE DANGEAU</t>
  </si>
  <si>
    <t>mferaudet@gmail.com</t>
  </si>
  <si>
    <t>177955E</t>
  </si>
  <si>
    <t>CLERO</t>
  </si>
  <si>
    <t>5 SQUARE FRANCOIS MITTERAND</t>
  </si>
  <si>
    <t>joel.clero@hotmail.com</t>
  </si>
  <si>
    <t>177978E</t>
  </si>
  <si>
    <t>SKANDER</t>
  </si>
  <si>
    <t>EL FEKIH</t>
  </si>
  <si>
    <t>5 RUE DES MEUNIERS</t>
  </si>
  <si>
    <t>skander.elfekih@esprit.tn</t>
  </si>
  <si>
    <t>178059S</t>
  </si>
  <si>
    <t>NELVIN</t>
  </si>
  <si>
    <t>SASHALA NAIK</t>
  </si>
  <si>
    <t>30 RUE DE L ORANGERIE</t>
  </si>
  <si>
    <t>nelvin.naik@gmail.com</t>
  </si>
  <si>
    <t>178158A</t>
  </si>
  <si>
    <t>LEBLANC</t>
  </si>
  <si>
    <t>12 RUE DE SEBILLON</t>
  </si>
  <si>
    <t>leblanc_claude@orange.fr</t>
  </si>
  <si>
    <t>178279G</t>
  </si>
  <si>
    <t>TAN PHUONG</t>
  </si>
  <si>
    <t>8 IMPASSE DE L ORGE</t>
  </si>
  <si>
    <t>tannguyen91220@yahoo.fr</t>
  </si>
  <si>
    <t>178280H</t>
  </si>
  <si>
    <t>PAULE</t>
  </si>
  <si>
    <t>ANDREIS</t>
  </si>
  <si>
    <t>31 CHEMIN DES NOURREES</t>
  </si>
  <si>
    <t>paule.andreis@orange.fr</t>
  </si>
  <si>
    <t>178285N</t>
  </si>
  <si>
    <t>178311R</t>
  </si>
  <si>
    <t>BARICHEFF</t>
  </si>
  <si>
    <t>1 RUE H DE MONTHERLANT</t>
  </si>
  <si>
    <t>CARRIERE S SEINE</t>
  </si>
  <si>
    <t>geraud.baricheff@gmail.com</t>
  </si>
  <si>
    <t>178403R</t>
  </si>
  <si>
    <t>ISMAEL</t>
  </si>
  <si>
    <t>2 RUE SAINTE CROIX</t>
  </si>
  <si>
    <t>ismael_pinto@hotmail.fr</t>
  </si>
  <si>
    <t>178428T</t>
  </si>
  <si>
    <t>TIESSE</t>
  </si>
  <si>
    <t>ALEXANDRETIESSE@GMAIL.com</t>
  </si>
  <si>
    <t>178429V</t>
  </si>
  <si>
    <t>LEVY</t>
  </si>
  <si>
    <t>23 RUE JULIETTE DODU</t>
  </si>
  <si>
    <t>llevy75@gmail.com</t>
  </si>
  <si>
    <t>178452V</t>
  </si>
  <si>
    <t>AURORE</t>
  </si>
  <si>
    <t>PORTEJOIE</t>
  </si>
  <si>
    <t>66 RUE CHAMP LAGARDE</t>
  </si>
  <si>
    <t>aurore.portejoie@gmail.com</t>
  </si>
  <si>
    <t>178502Z</t>
  </si>
  <si>
    <t>MASSOL</t>
  </si>
  <si>
    <t>22 RUE DE VOUILLE</t>
  </si>
  <si>
    <t>lmassol@gmail.com</t>
  </si>
  <si>
    <t>178620C</t>
  </si>
  <si>
    <t>RAKSZAWA</t>
  </si>
  <si>
    <t>2 RUE DES POURTOURS</t>
  </si>
  <si>
    <t>gregoz77.r@gmail.com</t>
  </si>
  <si>
    <t>178629M</t>
  </si>
  <si>
    <t>NARCISO</t>
  </si>
  <si>
    <t>TORTOSA</t>
  </si>
  <si>
    <t>51 QUAI DU HALAGE</t>
  </si>
  <si>
    <t>narcissetortosa99@gmail.com</t>
  </si>
  <si>
    <t>178637W</t>
  </si>
  <si>
    <t>FATJON</t>
  </si>
  <si>
    <t>LAMCE</t>
  </si>
  <si>
    <t>166 RUE RATEAU</t>
  </si>
  <si>
    <t>LA COURNEUVE</t>
  </si>
  <si>
    <t>fationlamce@gmail.com</t>
  </si>
  <si>
    <t>ALBANIE</t>
  </si>
  <si>
    <t>178638X</t>
  </si>
  <si>
    <t>AWAD</t>
  </si>
  <si>
    <t>9 SQUARE HENRI REGNAULT</t>
  </si>
  <si>
    <t>juliendu92400@live.fr</t>
  </si>
  <si>
    <t>CHRISTELLE</t>
  </si>
  <si>
    <t>178671H</t>
  </si>
  <si>
    <t>3 CHEMIN D AIGREMONT</t>
  </si>
  <si>
    <t>zim@free.fr</t>
  </si>
  <si>
    <t>178674L</t>
  </si>
  <si>
    <t>PHI LONG</t>
  </si>
  <si>
    <t>DOAN</t>
  </si>
  <si>
    <t>26 ALLEE ALBERT THOMAS</t>
  </si>
  <si>
    <t>philong11193@gmail.com</t>
  </si>
  <si>
    <t>178845X</t>
  </si>
  <si>
    <t>DEPARDIEU</t>
  </si>
  <si>
    <t>14 RUE JACQUES COEUR</t>
  </si>
  <si>
    <t>dd-daniel.depardieu@wanadoo.fr</t>
  </si>
  <si>
    <t>178888T</t>
  </si>
  <si>
    <t>LEROI</t>
  </si>
  <si>
    <t>25 RUE DU PLAN</t>
  </si>
  <si>
    <t>FERNANDEZ</t>
  </si>
  <si>
    <t>179101A</t>
  </si>
  <si>
    <t>31 RUE DU NIGERE</t>
  </si>
  <si>
    <t>jeanphilippe.joseph@gmail.com</t>
  </si>
  <si>
    <t>179220E</t>
  </si>
  <si>
    <t>MEHDI</t>
  </si>
  <si>
    <t>DAGHBOUCHE</t>
  </si>
  <si>
    <t>43 BIS RUE MARCADET</t>
  </si>
  <si>
    <t>mahdidaghbouche173@gmail.com</t>
  </si>
  <si>
    <t>179222G</t>
  </si>
  <si>
    <t>GODFIN</t>
  </si>
  <si>
    <t>77 BIS ROUTE DE MAROLLES</t>
  </si>
  <si>
    <t>CHEPTAINVILLE</t>
  </si>
  <si>
    <t>d.godfin@gmail.com</t>
  </si>
  <si>
    <t>179264C</t>
  </si>
  <si>
    <t>SAMIR</t>
  </si>
  <si>
    <t>AKEL</t>
  </si>
  <si>
    <t>4 PLACE PRINCESSE PALATINE</t>
  </si>
  <si>
    <t>akelgilbert@gmail.com</t>
  </si>
  <si>
    <t>179291G</t>
  </si>
  <si>
    <t>TORRES</t>
  </si>
  <si>
    <t>6 COURS SAINT VINCENT</t>
  </si>
  <si>
    <t>n.torres92@yahoo.fr</t>
  </si>
  <si>
    <t>179327W</t>
  </si>
  <si>
    <t>PASQUIER</t>
  </si>
  <si>
    <t>8 RUE MAXIMILIEN LUCE</t>
  </si>
  <si>
    <t>BONNIERES SUR SEINE</t>
  </si>
  <si>
    <t>catherine.pasquier@ird.fr</t>
  </si>
  <si>
    <t>179390P</t>
  </si>
  <si>
    <t>LAVOINE</t>
  </si>
  <si>
    <t>17 AVENUE DU TRAVAIL</t>
  </si>
  <si>
    <t>mireille.lavoine@orange.fr</t>
  </si>
  <si>
    <t>179495D</t>
  </si>
  <si>
    <t>HORTH</t>
  </si>
  <si>
    <t>15 AVENUE DE LA PROVIDENCE</t>
  </si>
  <si>
    <t>thomas.horth@hotmail.com</t>
  </si>
  <si>
    <t>179514Z</t>
  </si>
  <si>
    <t>EDERY</t>
  </si>
  <si>
    <t>179529Q</t>
  </si>
  <si>
    <t>HOCQUERELLE</t>
  </si>
  <si>
    <t>9 RUE BEL AIR</t>
  </si>
  <si>
    <t>MAUPERTUIS</t>
  </si>
  <si>
    <t>billardacademiecoulommiers@gmail.com</t>
  </si>
  <si>
    <t>DEROTTE</t>
  </si>
  <si>
    <t>LE PECQ</t>
  </si>
  <si>
    <t>179736Q</t>
  </si>
  <si>
    <t>6 RUE VOLTAIRE</t>
  </si>
  <si>
    <t>benjaminlemire@yahoo.fr</t>
  </si>
  <si>
    <t>179747C</t>
  </si>
  <si>
    <t>NILANJAN</t>
  </si>
  <si>
    <t>SAHA</t>
  </si>
  <si>
    <t>73 RUE PEREIRE</t>
  </si>
  <si>
    <t>nilanjan.saha.pmp@gmail.com</t>
  </si>
  <si>
    <t>INDE</t>
  </si>
  <si>
    <t>179748D</t>
  </si>
  <si>
    <t>VIVEKADITYA</t>
  </si>
  <si>
    <t>vivekaditya.saha@gmail.com</t>
  </si>
  <si>
    <t>179949X</t>
  </si>
  <si>
    <t>SARRAZIN</t>
  </si>
  <si>
    <t>8 RUE LAMARTINE</t>
  </si>
  <si>
    <t>SAINTE GENIEVE DES BOIS</t>
  </si>
  <si>
    <t>stefsarrazin@wanadoo.fr</t>
  </si>
  <si>
    <t>179968S</t>
  </si>
  <si>
    <t>SUBTIL</t>
  </si>
  <si>
    <t>15 RUE DES PRECHEURS</t>
  </si>
  <si>
    <t>jeanpierre.subtil@gmail.com</t>
  </si>
  <si>
    <t>180006J</t>
  </si>
  <si>
    <t>118 BIS RUE LADY ASHBURTON</t>
  </si>
  <si>
    <t>beredom@laposte.net</t>
  </si>
  <si>
    <t>180007K</t>
  </si>
  <si>
    <t>BARRAT</t>
  </si>
  <si>
    <t>18 AVENUE BOULE</t>
  </si>
  <si>
    <t>180035Q</t>
  </si>
  <si>
    <t>VALDO</t>
  </si>
  <si>
    <t>2 CHEMIN ST SAUVEUR MIRBEL</t>
  </si>
  <si>
    <t>LONGNES</t>
  </si>
  <si>
    <t>valdoriva@gmail.com</t>
  </si>
  <si>
    <t>180055M</t>
  </si>
  <si>
    <t>BERNOU</t>
  </si>
  <si>
    <t>3 TER RUE DU TEMPLE</t>
  </si>
  <si>
    <t>mibernou5000@gmail.com</t>
  </si>
  <si>
    <t>180076K</t>
  </si>
  <si>
    <t>REBOUL</t>
  </si>
  <si>
    <t>10 SQUARE DELACROIX</t>
  </si>
  <si>
    <t>180098J</t>
  </si>
  <si>
    <t>RAYE</t>
  </si>
  <si>
    <t>joelraye.30@gmail.com</t>
  </si>
  <si>
    <t>180114B</t>
  </si>
  <si>
    <t>19 RUE DES PETITS CHAMPS</t>
  </si>
  <si>
    <t>SAVIGNY SUE ORGE</t>
  </si>
  <si>
    <t>180137B</t>
  </si>
  <si>
    <t>BOURRELLIS</t>
  </si>
  <si>
    <t>nbourrellis@gmail.com</t>
  </si>
  <si>
    <t>180172P</t>
  </si>
  <si>
    <t>LARCHE</t>
  </si>
  <si>
    <t>31 AVENUE DE PARIS</t>
  </si>
  <si>
    <t>180177V</t>
  </si>
  <si>
    <t>CELIA</t>
  </si>
  <si>
    <t>122 RUE DE GOURNAY</t>
  </si>
  <si>
    <t>180203Y</t>
  </si>
  <si>
    <t>COTILLARD</t>
  </si>
  <si>
    <t>37 RUE DES SABLES</t>
  </si>
  <si>
    <t>roland94budo@aol.com</t>
  </si>
  <si>
    <t>180237K</t>
  </si>
  <si>
    <t>MASSE</t>
  </si>
  <si>
    <t>50 CHEMIN DE LA MARECHE</t>
  </si>
  <si>
    <t>TESSANCOURT SUR AVBETTE</t>
  </si>
  <si>
    <t>massetess@gmail.com</t>
  </si>
  <si>
    <t>AXEL</t>
  </si>
  <si>
    <t>180275B</t>
  </si>
  <si>
    <t>DIZABO</t>
  </si>
  <si>
    <t>61 AVENUE DES CHEVREFEUILLES</t>
  </si>
  <si>
    <t>Fdizabo@gmail.com</t>
  </si>
  <si>
    <t>180276C</t>
  </si>
  <si>
    <t>RIBEYRE</t>
  </si>
  <si>
    <t>5 ALLEE PAUL CEZANNE</t>
  </si>
  <si>
    <t>alain.ribeyre@gmail.com</t>
  </si>
  <si>
    <t>SOUFIANE</t>
  </si>
  <si>
    <t>180344B</t>
  </si>
  <si>
    <t>20 RUE SOUFFLET</t>
  </si>
  <si>
    <t>phcolin7@gmail.com</t>
  </si>
  <si>
    <t>180360T</t>
  </si>
  <si>
    <t>RABIER</t>
  </si>
  <si>
    <t>36 RUE DE LA MARNE</t>
  </si>
  <si>
    <t>papychristian@gmail.com</t>
  </si>
  <si>
    <t>180575C</t>
  </si>
  <si>
    <t>CENAB</t>
  </si>
  <si>
    <t>UGUR</t>
  </si>
  <si>
    <t>67 RUE PARMENTIER</t>
  </si>
  <si>
    <t>mobuler8@gmail.com</t>
  </si>
  <si>
    <t>180639X</t>
  </si>
  <si>
    <t>8 RUE DU VAL D ORGE</t>
  </si>
  <si>
    <t>thierry@lesdubois.fr</t>
  </si>
  <si>
    <t>180879H</t>
  </si>
  <si>
    <t>DION</t>
  </si>
  <si>
    <t>27 ROUTE DE MARCOUSSIS</t>
  </si>
  <si>
    <t>patrice.rider95@gmail.com</t>
  </si>
  <si>
    <t>180880J</t>
  </si>
  <si>
    <t>GAUTHERET</t>
  </si>
  <si>
    <t>29 AVENUE DE LA REPUBLIQUE BAT D5</t>
  </si>
  <si>
    <t>gautheret.michel@bbox.fr</t>
  </si>
  <si>
    <t>181217A</t>
  </si>
  <si>
    <t>JANVIER</t>
  </si>
  <si>
    <t>12 F RUE DU PARC</t>
  </si>
  <si>
    <t>Decouverte</t>
  </si>
  <si>
    <t>181296L</t>
  </si>
  <si>
    <t>FRAULAUD</t>
  </si>
  <si>
    <t>arnaud.fraulaud@gmail.com</t>
  </si>
  <si>
    <t>181297M</t>
  </si>
  <si>
    <t>LASCAR</t>
  </si>
  <si>
    <t>181315G</t>
  </si>
  <si>
    <t>GOBERT</t>
  </si>
  <si>
    <t>28BIS RUE DE MONTCEAUX</t>
  </si>
  <si>
    <t>TRILPORT</t>
  </si>
  <si>
    <t>marcgobert1950@gmail.com</t>
  </si>
  <si>
    <t>181341K</t>
  </si>
  <si>
    <t>MELVIN</t>
  </si>
  <si>
    <t>RENGASAMY</t>
  </si>
  <si>
    <t>23 IMP JEAN JAURES ESC 20 APP 2021</t>
  </si>
  <si>
    <t>mdrengasamy@gmail.com</t>
  </si>
  <si>
    <t>181387K</t>
  </si>
  <si>
    <t>VALERIE</t>
  </si>
  <si>
    <t>HAUMER</t>
  </si>
  <si>
    <t>vhaumer@gmail.com</t>
  </si>
  <si>
    <t>181412M</t>
  </si>
  <si>
    <t>FELIX</t>
  </si>
  <si>
    <t>OBREGON</t>
  </si>
  <si>
    <t>68 RUE DE LA REPUBLIQUE</t>
  </si>
  <si>
    <t>obregon.felix@gmail.com</t>
  </si>
  <si>
    <t>181413N</t>
  </si>
  <si>
    <t>90 BIS QUAI DE SEINE</t>
  </si>
  <si>
    <t>jeanjacquesvidal@orange.fr</t>
  </si>
  <si>
    <t>181441T</t>
  </si>
  <si>
    <t>MILA</t>
  </si>
  <si>
    <t>YANG</t>
  </si>
  <si>
    <t>94 21</t>
  </si>
  <si>
    <t>Avenir</t>
  </si>
  <si>
    <t>181467X</t>
  </si>
  <si>
    <t>DUPEYROT RODIER</t>
  </si>
  <si>
    <t>10 AVENUE LUCIEN LOYAUTE</t>
  </si>
  <si>
    <t>181509S</t>
  </si>
  <si>
    <t>AKHZIZ</t>
  </si>
  <si>
    <t>13 RUE DIDEROT</t>
  </si>
  <si>
    <t>a.akhziz91@gmail.com</t>
  </si>
  <si>
    <t>181510T</t>
  </si>
  <si>
    <t>AHMED</t>
  </si>
  <si>
    <t>1 RUE DES FRERES LUMIERES</t>
  </si>
  <si>
    <t>APPT 342</t>
  </si>
  <si>
    <t>EVRY COURCOURONNES</t>
  </si>
  <si>
    <t>akhzizahmed@hotmail.fr</t>
  </si>
  <si>
    <t>181546H</t>
  </si>
  <si>
    <t>MEROUANE</t>
  </si>
  <si>
    <t>EL MNABHI</t>
  </si>
  <si>
    <t>100 BD PAUL VAILLANT COUTURIER</t>
  </si>
  <si>
    <t>merouane.elmnabhi@gmail.com</t>
  </si>
  <si>
    <t>BOIRIE</t>
  </si>
  <si>
    <t>42 AVENUE D OSSEVILLE</t>
  </si>
  <si>
    <t>181567F</t>
  </si>
  <si>
    <t>SLAMA</t>
  </si>
  <si>
    <t>61 AVENUE DU GENERAL DE GAULLE</t>
  </si>
  <si>
    <t>patrick.slama@outlook.fr</t>
  </si>
  <si>
    <t>181579T</t>
  </si>
  <si>
    <t>MYRIAM</t>
  </si>
  <si>
    <t>ESCAFFIT</t>
  </si>
  <si>
    <t>14 RUE DE L EGALITE</t>
  </si>
  <si>
    <t>myrian.escaffit@orange.fr</t>
  </si>
  <si>
    <t>181605X</t>
  </si>
  <si>
    <t>ALAE</t>
  </si>
  <si>
    <t>RAHMANI</t>
  </si>
  <si>
    <t>158 AVENUE HENRI BARBUSSE</t>
  </si>
  <si>
    <t>ra7mani.alae@gmail.com</t>
  </si>
  <si>
    <t>181614G</t>
  </si>
  <si>
    <t>AUDREY</t>
  </si>
  <si>
    <t>101 AVENUE LOUIS BLANC</t>
  </si>
  <si>
    <t>locstmaur94@yahoo.fr</t>
  </si>
  <si>
    <t>181639J</t>
  </si>
  <si>
    <t>PHILIP</t>
  </si>
  <si>
    <t>MANNION</t>
  </si>
  <si>
    <t>20 CHEMIN DE CLAIREFONTAINE</t>
  </si>
  <si>
    <t>philpmannion@gmail.com</t>
  </si>
  <si>
    <t>181642M</t>
  </si>
  <si>
    <t>YOUNES</t>
  </si>
  <si>
    <t>TAOUSSI</t>
  </si>
  <si>
    <t>9 LES MARADAS VERTS</t>
  </si>
  <si>
    <t>taoussi.younnes@gmail.com</t>
  </si>
  <si>
    <t>181732K</t>
  </si>
  <si>
    <t>jujuboirie1@gmail.com</t>
  </si>
  <si>
    <t>181770B</t>
  </si>
  <si>
    <t>DENTON</t>
  </si>
  <si>
    <t>43 GRANDE RUE</t>
  </si>
  <si>
    <t>mc.denton@wanadoo.fr</t>
  </si>
  <si>
    <t>181773E</t>
  </si>
  <si>
    <t>MONIER</t>
  </si>
  <si>
    <t>21 RUE DE STE GENEVIEVE</t>
  </si>
  <si>
    <t>ST MICHEL SUR ORGE</t>
  </si>
  <si>
    <t>nanard.monier@orange.fr</t>
  </si>
  <si>
    <t>181784R</t>
  </si>
  <si>
    <t>DALLEAU</t>
  </si>
  <si>
    <t>27 AVENUE DU COUDRAY</t>
  </si>
  <si>
    <t>LE COUDRAY MONTCEAUX</t>
  </si>
  <si>
    <t>vincent.dalleau@orange.fr</t>
  </si>
  <si>
    <t>181794C</t>
  </si>
  <si>
    <t>LEWIS STEPHANE</t>
  </si>
  <si>
    <t>AGBOSSE</t>
  </si>
  <si>
    <t>1 BIS BOULEVARD DE LA REPUBLIQUE</t>
  </si>
  <si>
    <t>lewis.agbosse@gmail.com</t>
  </si>
  <si>
    <t>COTE D'IVOIRE</t>
  </si>
  <si>
    <t>181863C</t>
  </si>
  <si>
    <t>TAI BAO</t>
  </si>
  <si>
    <t>NI</t>
  </si>
  <si>
    <t>21 BD BESSIERES</t>
  </si>
  <si>
    <t>NI.TAIBAO1994@GMAIL.COM</t>
  </si>
  <si>
    <t>181864D</t>
  </si>
  <si>
    <t>YEJIA</t>
  </si>
  <si>
    <t>SHI</t>
  </si>
  <si>
    <t>12 RUE DE LORRAINE</t>
  </si>
  <si>
    <t>YEJIA.SHI@HOTMAIL.COM</t>
  </si>
  <si>
    <t>181870K</t>
  </si>
  <si>
    <t>21 RUE DES PLANTES</t>
  </si>
  <si>
    <t>BREUIL BOIS ROBERT</t>
  </si>
  <si>
    <t>michele.olivier46@gmail.com</t>
  </si>
  <si>
    <t>181883Z</t>
  </si>
  <si>
    <t>DEGREEF</t>
  </si>
  <si>
    <t>6A RUE DES PONTS</t>
  </si>
  <si>
    <t>PEPPANGE</t>
  </si>
  <si>
    <t>LUXEMBOURG</t>
  </si>
  <si>
    <t>hdegreef@vonet.lu</t>
  </si>
  <si>
    <t>GWENAELLE</t>
  </si>
  <si>
    <t>8 AVENUE DES MARAIS</t>
  </si>
  <si>
    <t>181944Q</t>
  </si>
  <si>
    <t>DREAU</t>
  </si>
  <si>
    <t>thomasdreau29@gmail.com</t>
  </si>
  <si>
    <t>181962K</t>
  </si>
  <si>
    <t>TRISTAN</t>
  </si>
  <si>
    <t>1 AVENUE GALLIENI</t>
  </si>
  <si>
    <t>VERT LE PETIT</t>
  </si>
  <si>
    <t>laurene.claret@laposte.net</t>
  </si>
  <si>
    <t>182009L</t>
  </si>
  <si>
    <t>CAMILLE</t>
  </si>
  <si>
    <t>96 RUE MAGENTA</t>
  </si>
  <si>
    <t>ASNIERES SEINE</t>
  </si>
  <si>
    <t>cmllrenard@gmail.com</t>
  </si>
  <si>
    <t>182038S</t>
  </si>
  <si>
    <t>MUNIER</t>
  </si>
  <si>
    <t>42 RUE LUCIEN ROUGERIE</t>
  </si>
  <si>
    <t>charlesmunier@yahoo.fr</t>
  </si>
  <si>
    <t>182046B</t>
  </si>
  <si>
    <t>jgendron82@gmail.com</t>
  </si>
  <si>
    <t>182062T</t>
  </si>
  <si>
    <t>TAMODARANE</t>
  </si>
  <si>
    <t>67 RUE DES ROBINETTES</t>
  </si>
  <si>
    <t>182085T</t>
  </si>
  <si>
    <t>MADMOUNE</t>
  </si>
  <si>
    <t>yarchidok@gmail.com</t>
  </si>
  <si>
    <t>182094D</t>
  </si>
  <si>
    <t>DENESVRE</t>
  </si>
  <si>
    <t>36 AVENUE DU GENERAL DE GAULE</t>
  </si>
  <si>
    <t>ABLON SUR SEINE</t>
  </si>
  <si>
    <t>gregory.denesvre@gmail.com</t>
  </si>
  <si>
    <t>182106R</t>
  </si>
  <si>
    <t>ROUX</t>
  </si>
  <si>
    <t>17 BIS RUE DU 14 JUILLET</t>
  </si>
  <si>
    <t>rouxma4m@gmail.com</t>
  </si>
  <si>
    <t>182134X</t>
  </si>
  <si>
    <t>TITAUD</t>
  </si>
  <si>
    <t>christelle.titaud@yahoo.fr</t>
  </si>
  <si>
    <t>182145J</t>
  </si>
  <si>
    <t>17 RUE DE LA VALLEE BARBET</t>
  </si>
  <si>
    <t>gilles.martin@aol.fr</t>
  </si>
  <si>
    <t>182166G</t>
  </si>
  <si>
    <t>XANH</t>
  </si>
  <si>
    <t>20 ALLEE DE L HERBIER</t>
  </si>
  <si>
    <t>michel.xanh@hotmail.fr</t>
  </si>
  <si>
    <t>182172N</t>
  </si>
  <si>
    <t>182186D</t>
  </si>
  <si>
    <t>FOUCHER</t>
  </si>
  <si>
    <t>24 RUE DE LA JUINE</t>
  </si>
  <si>
    <t>jp.foucher@orange.fr</t>
  </si>
  <si>
    <t>182187E</t>
  </si>
  <si>
    <t>SAULE</t>
  </si>
  <si>
    <t>50 RUE CLAUDE DEBUSSY</t>
  </si>
  <si>
    <t>philippe.saule@orange.fr</t>
  </si>
  <si>
    <t>MARQUES</t>
  </si>
  <si>
    <t>182338T</t>
  </si>
  <si>
    <t>HICHEM</t>
  </si>
  <si>
    <t>MAHIDDINE</t>
  </si>
  <si>
    <t>13 AVENUE DU BOIS</t>
  </si>
  <si>
    <t>mahiddine.hichem06@gmail.com</t>
  </si>
  <si>
    <t>182347D</t>
  </si>
  <si>
    <t>BENARD</t>
  </si>
  <si>
    <t>47 AVENUE DU PRESIDENT WILSON</t>
  </si>
  <si>
    <t>louisbenard94@gmail.com</t>
  </si>
  <si>
    <t>182368B</t>
  </si>
  <si>
    <t>SAIDANI</t>
  </si>
  <si>
    <t>ZINEDDINE</t>
  </si>
  <si>
    <t>8 RUE DU GENERALE GALLIENI</t>
  </si>
  <si>
    <t>saidanizinou419@gmail.com</t>
  </si>
  <si>
    <t>182382R</t>
  </si>
  <si>
    <t>BEATRICE</t>
  </si>
  <si>
    <t>182390A</t>
  </si>
  <si>
    <t>BRIAND</t>
  </si>
  <si>
    <t>5 RUE DE LA GARE</t>
  </si>
  <si>
    <t>SOIGNOLLES EN BRIE</t>
  </si>
  <si>
    <t>nicolasbriand@live.fr</t>
  </si>
  <si>
    <t>182401M</t>
  </si>
  <si>
    <t>MARIELLE</t>
  </si>
  <si>
    <t>DIEUDONNE</t>
  </si>
  <si>
    <t>12 ALLEE GAUGUIN</t>
  </si>
  <si>
    <t>LEO</t>
  </si>
  <si>
    <t>182428R</t>
  </si>
  <si>
    <t>SUN</t>
  </si>
  <si>
    <t>4 RUE DU RELAIS</t>
  </si>
  <si>
    <t>oliviersun.95@gmail.com</t>
  </si>
  <si>
    <t>182471N</t>
  </si>
  <si>
    <t>JOSE ALBERTO</t>
  </si>
  <si>
    <t>5 RUE DE LA PIROUETTE</t>
  </si>
  <si>
    <t>jose.gouveia92@gmail.com</t>
  </si>
  <si>
    <t>182472P</t>
  </si>
  <si>
    <t>CHRITINE</t>
  </si>
  <si>
    <t>COQUILLARD</t>
  </si>
  <si>
    <t>16 RUE DU PRE FLEURI</t>
  </si>
  <si>
    <t>christinecoquillard77@gmail.com</t>
  </si>
  <si>
    <t>182474R</t>
  </si>
  <si>
    <t>SANDRO</t>
  </si>
  <si>
    <t>SOFIA DE ALMEIDA</t>
  </si>
  <si>
    <t>17 RUE DU COLONEL FELIX BRUNET</t>
  </si>
  <si>
    <t>MENNECY</t>
  </si>
  <si>
    <t>sandromennecy@gmail.com</t>
  </si>
  <si>
    <t>182475S</t>
  </si>
  <si>
    <t>PENTURE</t>
  </si>
  <si>
    <t>3 TER RUE DE L ISLE AMET</t>
  </si>
  <si>
    <t>MAISSE</t>
  </si>
  <si>
    <t>penturerudy@yahoo.fr</t>
  </si>
  <si>
    <t>182476T</t>
  </si>
  <si>
    <t>BUSSON</t>
  </si>
  <si>
    <t>14 CHEMIN DES ROCHES</t>
  </si>
  <si>
    <t>neeklas@gmail.com</t>
  </si>
  <si>
    <t>182477V</t>
  </si>
  <si>
    <t>OLIVEIRA SANTOS</t>
  </si>
  <si>
    <t>6 CHEMIN DE MINAS</t>
  </si>
  <si>
    <t>BOISSY LA RIVIERE</t>
  </si>
  <si>
    <t>a.tango@orange.fr</t>
  </si>
  <si>
    <t>182478W</t>
  </si>
  <si>
    <t>BARANTON</t>
  </si>
  <si>
    <t>21 RUE ROSE CHERI</t>
  </si>
  <si>
    <t>e.stephbar91@outlook.fr</t>
  </si>
  <si>
    <t>182479X</t>
  </si>
  <si>
    <t>MUYLAERT</t>
  </si>
  <si>
    <t>37 RUE HONORE DE BALZAC</t>
  </si>
  <si>
    <t>eliotmuylaert@gmail.com</t>
  </si>
  <si>
    <t>182480Y</t>
  </si>
  <si>
    <t>FARAIN</t>
  </si>
  <si>
    <t>2 RUE DES SABLONS</t>
  </si>
  <si>
    <t>BOISSY S S ST YON</t>
  </si>
  <si>
    <t>jfarain@hotmail.fr</t>
  </si>
  <si>
    <t>PHILLIPE</t>
  </si>
  <si>
    <t>182568T</t>
  </si>
  <si>
    <t>GLIN</t>
  </si>
  <si>
    <t>2 VILLA BUFFON</t>
  </si>
  <si>
    <t>jgetrechy@gmail.com</t>
  </si>
  <si>
    <t>182569V</t>
  </si>
  <si>
    <t>26 RUE DE LA VALLEE BARBOT</t>
  </si>
  <si>
    <t>yves-serra@sfr.fr</t>
  </si>
  <si>
    <t>MAEL</t>
  </si>
  <si>
    <t>182668C</t>
  </si>
  <si>
    <t>CHARDONNIERAS</t>
  </si>
  <si>
    <t>84 BIS RUE JEAN JAURES</t>
  </si>
  <si>
    <t>singridhermand@gmail.com</t>
  </si>
  <si>
    <t>VALENTIN</t>
  </si>
  <si>
    <t>182725P</t>
  </si>
  <si>
    <t>3 RUE VILVADI</t>
  </si>
  <si>
    <t>frederic.nguyen@live.fr</t>
  </si>
  <si>
    <t>182749Q</t>
  </si>
  <si>
    <t>VANHEE</t>
  </si>
  <si>
    <t>21 RUE FUSTEL DE COULANGES</t>
  </si>
  <si>
    <t>phvanhee@gmail.com</t>
  </si>
  <si>
    <t>182750R</t>
  </si>
  <si>
    <t>LE SAGER</t>
  </si>
  <si>
    <t>16 AVENUE JEAN JAURES</t>
  </si>
  <si>
    <t>kersager@free.fr</t>
  </si>
  <si>
    <t>182755X</t>
  </si>
  <si>
    <t>LEDAMOISEL</t>
  </si>
  <si>
    <t>LES JONCHERETTES</t>
  </si>
  <si>
    <t>117 CHEMIN DE LA HUNIERE</t>
  </si>
  <si>
    <t>corinne-olivier.ledamoisel@wanadoo.fr</t>
  </si>
  <si>
    <t>182800W</t>
  </si>
  <si>
    <t>ULRICH</t>
  </si>
  <si>
    <t>TCHOUA NYA</t>
  </si>
  <si>
    <t>22 RUE LOUIS BLANC</t>
  </si>
  <si>
    <t>tchouau@gmail.com</t>
  </si>
  <si>
    <t>182807D</t>
  </si>
  <si>
    <t>NAVARRO</t>
  </si>
  <si>
    <t>2 BOULEVARD SAINT DENIS</t>
  </si>
  <si>
    <t>fabien.navarro@gmail.com</t>
  </si>
  <si>
    <t>183005T</t>
  </si>
  <si>
    <t>JIAYUE</t>
  </si>
  <si>
    <t>CHANG</t>
  </si>
  <si>
    <t>4 RUE LECUIROT</t>
  </si>
  <si>
    <t>HUANGSHI</t>
  </si>
  <si>
    <t>jiayuechang1@gmail.com</t>
  </si>
  <si>
    <t>183032Y</t>
  </si>
  <si>
    <t>TAREK</t>
  </si>
  <si>
    <t>FAIDI</t>
  </si>
  <si>
    <t>7 BIS RUE OBERKAMPF</t>
  </si>
  <si>
    <t>tarekfaidi91@hotmail.fr</t>
  </si>
  <si>
    <t>183034A</t>
  </si>
  <si>
    <t>KHELIFA</t>
  </si>
  <si>
    <t>SARAOUI</t>
  </si>
  <si>
    <t>5 RUE DU GRAND PIGNON</t>
  </si>
  <si>
    <t>khelifasa83@gmail.com</t>
  </si>
  <si>
    <t>183064H</t>
  </si>
  <si>
    <t>GOUDOUX</t>
  </si>
  <si>
    <t>25 RUE DU GENERAL LECLERC</t>
  </si>
  <si>
    <t>eric.goudoux@gmail.com</t>
  </si>
  <si>
    <t>183088J</t>
  </si>
  <si>
    <t>DA</t>
  </si>
  <si>
    <t>14 RUE CIVIALE</t>
  </si>
  <si>
    <t>904528734@qq.com</t>
  </si>
  <si>
    <t>183130E</t>
  </si>
  <si>
    <t>ANNICK</t>
  </si>
  <si>
    <t>ISAMBART</t>
  </si>
  <si>
    <t>9 ALLEE DU ROCHER</t>
  </si>
  <si>
    <t>annick.isambart@laposte.net</t>
  </si>
  <si>
    <t>183133H</t>
  </si>
  <si>
    <t>183217Z</t>
  </si>
  <si>
    <t>BAYRAM</t>
  </si>
  <si>
    <t>EZZI</t>
  </si>
  <si>
    <t>36 PLACE DES SAISONS</t>
  </si>
  <si>
    <t>183226J</t>
  </si>
  <si>
    <t>JULYAN</t>
  </si>
  <si>
    <t>DEFLANDRE</t>
  </si>
  <si>
    <t>3 BIS RUE DU COLOMBIER</t>
  </si>
  <si>
    <t>183264A</t>
  </si>
  <si>
    <t>39 RUE DESCARTES</t>
  </si>
  <si>
    <t>wangwulin1881@gmail.com</t>
  </si>
  <si>
    <t>AMINE</t>
  </si>
  <si>
    <t>183394R</t>
  </si>
  <si>
    <t>LAURENTINA</t>
  </si>
  <si>
    <t>24 RUE DE L ARMORIQUE</t>
  </si>
  <si>
    <t>laurentina_marques@hotmail.fr</t>
  </si>
  <si>
    <t>183404C</t>
  </si>
  <si>
    <t>ANDRE FILIPE</t>
  </si>
  <si>
    <t>FREITAS DA SILVA</t>
  </si>
  <si>
    <t>2 RUE ANDRE LE NOTRE</t>
  </si>
  <si>
    <t>andre.filipe.freitas.silva@gmail.com</t>
  </si>
  <si>
    <t>183429E</t>
  </si>
  <si>
    <t>MINH DUNG</t>
  </si>
  <si>
    <t>DAO</t>
  </si>
  <si>
    <t>15 RUE HENRI HERVE</t>
  </si>
  <si>
    <t>VIET NAM</t>
  </si>
  <si>
    <t>BAPTISTE</t>
  </si>
  <si>
    <t>183450C</t>
  </si>
  <si>
    <t>BARTHET</t>
  </si>
  <si>
    <t>4 B AVENUE DE LA FONTAINE</t>
  </si>
  <si>
    <t>phibarth@yahoo.fr</t>
  </si>
  <si>
    <t>CORINNE</t>
  </si>
  <si>
    <t>LUIS</t>
  </si>
  <si>
    <t>CLICHY LA GARENNE</t>
  </si>
  <si>
    <t>183491X</t>
  </si>
  <si>
    <t>COURGEON</t>
  </si>
  <si>
    <t>4 RUE LACRETELLE</t>
  </si>
  <si>
    <t>jean-pierre.courgeon@orange.fr</t>
  </si>
  <si>
    <t>183528M</t>
  </si>
  <si>
    <t>1 ALLEE DU PARC</t>
  </si>
  <si>
    <t>PORTE 175</t>
  </si>
  <si>
    <t>THORIGNY SUR MARNE</t>
  </si>
  <si>
    <t>alain.lust@gmail.com</t>
  </si>
  <si>
    <t>183557T</t>
  </si>
  <si>
    <t>PAISANT</t>
  </si>
  <si>
    <t>fl.paisant@gmail.com</t>
  </si>
  <si>
    <t>183622P</t>
  </si>
  <si>
    <t>ERICK</t>
  </si>
  <si>
    <t>2 TER RUE ALFRED FOURNIER</t>
  </si>
  <si>
    <t>erick.derotte@orange.fr</t>
  </si>
  <si>
    <t>183628W</t>
  </si>
  <si>
    <t>VERDIER</t>
  </si>
  <si>
    <t>12 RUE CHAMP LAGARDE</t>
  </si>
  <si>
    <t>b.verdier@gmx.fr</t>
  </si>
  <si>
    <t>183638G</t>
  </si>
  <si>
    <t>YAICHE</t>
  </si>
  <si>
    <t>4 AVENUE GEORGES LEREDU</t>
  </si>
  <si>
    <t>severine.loan@sfr.fr</t>
  </si>
  <si>
    <t>AURELIEN</t>
  </si>
  <si>
    <t>183798F</t>
  </si>
  <si>
    <t>LA FERTE GAUCHER</t>
  </si>
  <si>
    <t>lergerard@wanadoo.fr</t>
  </si>
  <si>
    <t>183802K</t>
  </si>
  <si>
    <t>VYLUNEL</t>
  </si>
  <si>
    <t>KHUN</t>
  </si>
  <si>
    <t>38 ALLEE MONTMARTRE</t>
  </si>
  <si>
    <t>vylunel.khun@yahoo.fr</t>
  </si>
  <si>
    <t>183848K</t>
  </si>
  <si>
    <t>ROUSSELLE</t>
  </si>
  <si>
    <t>37 RUE PAUL DOUMER</t>
  </si>
  <si>
    <t>183901S</t>
  </si>
  <si>
    <t>EL AISSAOUI</t>
  </si>
  <si>
    <t>22 RUE L YVETTE</t>
  </si>
  <si>
    <t>183962J</t>
  </si>
  <si>
    <t>BLONDIN</t>
  </si>
  <si>
    <t>22 RUE DE VERDUN</t>
  </si>
  <si>
    <t>stefbl91@gmail.com</t>
  </si>
  <si>
    <t>184020X</t>
  </si>
  <si>
    <t>BOURDILA</t>
  </si>
  <si>
    <t>182 QUAI ADRIEN MENTIENNE</t>
  </si>
  <si>
    <t>bourdila.philippe29@free.fr</t>
  </si>
  <si>
    <t>184031J</t>
  </si>
  <si>
    <t>JUAN JULIAN</t>
  </si>
  <si>
    <t>RODRIGUEZ</t>
  </si>
  <si>
    <t>142 RUE GABRIEL PERI</t>
  </si>
  <si>
    <t>julien.rodriguez@numericable.com</t>
  </si>
  <si>
    <t>184034M</t>
  </si>
  <si>
    <t>ANH KHOA</t>
  </si>
  <si>
    <t>leanhkhoa199937@gmail.com</t>
  </si>
  <si>
    <t>184058N</t>
  </si>
  <si>
    <t>3 AVENUE QUESNAY</t>
  </si>
  <si>
    <t>pa.auclair@gmail.com</t>
  </si>
  <si>
    <t>184175Q</t>
  </si>
  <si>
    <t>EL MOUHTARIM</t>
  </si>
  <si>
    <t>34 AVENUE ALBERT 1ER</t>
  </si>
  <si>
    <t>yassine.elmouhtarim@gmail.com</t>
  </si>
  <si>
    <t>184194L</t>
  </si>
  <si>
    <t>VILLET</t>
  </si>
  <si>
    <t>20 RUE DE L ESPERANCE</t>
  </si>
  <si>
    <t>famillevillet@free.fr</t>
  </si>
  <si>
    <t>184202V</t>
  </si>
  <si>
    <t>SMAIL</t>
  </si>
  <si>
    <t>LHADJ</t>
  </si>
  <si>
    <t>19 RUE ADOLPHE MARC DUFOUR</t>
  </si>
  <si>
    <t>saha81@hotmail.fr</t>
  </si>
  <si>
    <t>184295W</t>
  </si>
  <si>
    <t>PEDRO</t>
  </si>
  <si>
    <t>139 BIS RUE SAINT JEAN</t>
  </si>
  <si>
    <t>fpedro05@orange.fr</t>
  </si>
  <si>
    <t>184448M</t>
  </si>
  <si>
    <t>GAALOUL</t>
  </si>
  <si>
    <t>alextrayme@yahoo.fr</t>
  </si>
  <si>
    <t>184450P</t>
  </si>
  <si>
    <t>PERON</t>
  </si>
  <si>
    <t>15C ROUTE DE GIF</t>
  </si>
  <si>
    <t>VILLIERS LE BACLE</t>
  </si>
  <si>
    <t>peronfabien@gmail.com</t>
  </si>
  <si>
    <t>184464E</t>
  </si>
  <si>
    <t>MERCERON</t>
  </si>
  <si>
    <t>13 RUE DE LA FERRONNERIE</t>
  </si>
  <si>
    <t>merceronf175@gmail.com</t>
  </si>
  <si>
    <t>Numero</t>
  </si>
  <si>
    <t>Date affiliation</t>
  </si>
  <si>
    <t>Tel club</t>
  </si>
  <si>
    <t>Site Web</t>
  </si>
  <si>
    <t>Pass scolaire</t>
  </si>
  <si>
    <t>Prisident</t>
  </si>
  <si>
    <t xml:space="preserve"> </t>
  </si>
  <si>
    <t>Secritaire</t>
  </si>
  <si>
    <t>Trisorier</t>
  </si>
  <si>
    <t>Contact (courrier)</t>
  </si>
  <si>
    <t>Correspondant</t>
  </si>
  <si>
    <t>Responsable formation</t>
  </si>
  <si>
    <t>Responsable arbitres</t>
  </si>
  <si>
    <t>Responsable carambole</t>
  </si>
  <si>
    <t>Responsable amiricain</t>
  </si>
  <si>
    <t>Responsable blackball</t>
  </si>
  <si>
    <t>Responsable snooker</t>
  </si>
  <si>
    <t>Responsable discipline</t>
  </si>
  <si>
    <t>Nb carambole 3.10 m</t>
  </si>
  <si>
    <t>Nb carambole 2.80 m</t>
  </si>
  <si>
    <t>Nb carambole (autres dimensions)</t>
  </si>
  <si>
    <t>Nb blackball</t>
  </si>
  <si>
    <t>Nb snooker</t>
  </si>
  <si>
    <t>Nb amiricain</t>
  </si>
  <si>
    <t>Type de salle</t>
  </si>
  <si>
    <t>Acchs handicapis</t>
  </si>
  <si>
    <t>Date AG</t>
  </si>
  <si>
    <t>Sigle</t>
  </si>
  <si>
    <t>Siret</t>
  </si>
  <si>
    <t>RNA</t>
  </si>
  <si>
    <t>Tel salle</t>
  </si>
  <si>
    <t>Tel responsable sportif</t>
  </si>
  <si>
    <t>Contrat republicain</t>
  </si>
  <si>
    <t>6 RUE GABRIEL PERI</t>
  </si>
  <si>
    <t>billardclub.buchelay@outlook.fr</t>
  </si>
  <si>
    <t>Non</t>
  </si>
  <si>
    <t>JOEL ARNOUX</t>
  </si>
  <si>
    <t>JEAN PIERRE LABILLE</t>
  </si>
  <si>
    <t>MICHEL CLEMENT</t>
  </si>
  <si>
    <t>Municipale</t>
  </si>
  <si>
    <t>Oui</t>
  </si>
  <si>
    <t>26 RUE D ESTIENNE D ORVES</t>
  </si>
  <si>
    <t>billard.club.bois.colombes@gmail.com</t>
  </si>
  <si>
    <t>ANDRE ZURAWIECKI</t>
  </si>
  <si>
    <t>ALAIN PERIER</t>
  </si>
  <si>
    <t>BBC</t>
  </si>
  <si>
    <t>CMOM SECTION BILLARD</t>
  </si>
  <si>
    <t>3 RUE COLETTE BESSON</t>
  </si>
  <si>
    <t>bmorangis@gmail.com</t>
  </si>
  <si>
    <t>billardmorangis.fr</t>
  </si>
  <si>
    <t>GERARD LABLANCHE</t>
  </si>
  <si>
    <t>PIERRE YVES MOREL</t>
  </si>
  <si>
    <t>CHRISTOPHE DUVERNOY</t>
  </si>
  <si>
    <t>GERALD TRUFFAUT</t>
  </si>
  <si>
    <t>SALLE ROMAIN ROLLAND</t>
  </si>
  <si>
    <t>26BIS BOULEVARD DE LA RESISTANCE</t>
  </si>
  <si>
    <t>http://www.abargenteuil.fr</t>
  </si>
  <si>
    <t>PATRICK OLLIVIER</t>
  </si>
  <si>
    <t>MARC LEGER</t>
  </si>
  <si>
    <t>VIRGINIE DESLANDES</t>
  </si>
  <si>
    <t>Abargenteuil@free.fr</t>
  </si>
  <si>
    <t>GERARD ANDRADE</t>
  </si>
  <si>
    <t>SANDRA HERBOMEZ</t>
  </si>
  <si>
    <t>GILLES DEFFORGE</t>
  </si>
  <si>
    <t>GAUVAIN BAZIN</t>
  </si>
  <si>
    <t>MANUEL FERREIRA</t>
  </si>
  <si>
    <t>ABA</t>
  </si>
  <si>
    <t>SECTION BILLARD</t>
  </si>
  <si>
    <t>33 RUE DES PRES DE L ABBE</t>
  </si>
  <si>
    <t>5billards2gargenville@gmail.com</t>
  </si>
  <si>
    <t>DANIEL EISENKREMER</t>
  </si>
  <si>
    <t>RICHARD GALAIS</t>
  </si>
  <si>
    <t>DOMINIQUE LAMBERT</t>
  </si>
  <si>
    <t>JEAN CLAUDE BONIN</t>
  </si>
  <si>
    <t>billard-courbevoie@wanadoo.fr</t>
  </si>
  <si>
    <t>billard-courbevoie.com</t>
  </si>
  <si>
    <t>DAVID GALLAIS</t>
  </si>
  <si>
    <t>Gallaisdavid@msn.com</t>
  </si>
  <si>
    <t>JULIEN DAVY</t>
  </si>
  <si>
    <t>BRUNO VIDEAU</t>
  </si>
  <si>
    <t>ABCD</t>
  </si>
  <si>
    <t>SALLE ASSOCIATIVE RUE DES HETRES</t>
  </si>
  <si>
    <t>CENTRE COMMERCIAL BUTTE MONCTEAU</t>
  </si>
  <si>
    <t>billard.avon@outlook.fr</t>
  </si>
  <si>
    <t>SOLENE FERRANDI</t>
  </si>
  <si>
    <t>012948A</t>
  </si>
  <si>
    <t>MARIE LOUISE DENIS</t>
  </si>
  <si>
    <t>billard.avon@free.fr</t>
  </si>
  <si>
    <t>USA</t>
  </si>
  <si>
    <t>34 AV DE LA REPUBLIQUE</t>
  </si>
  <si>
    <t>abasm94@gmail.com</t>
  </si>
  <si>
    <t>http://www.abasm.asso.fr/</t>
  </si>
  <si>
    <t>ALAIN BARRET</t>
  </si>
  <si>
    <t>JEROME DESROZIERS</t>
  </si>
  <si>
    <t>FABRICE FOUGEROUSE</t>
  </si>
  <si>
    <t>ABASM</t>
  </si>
  <si>
    <t>111 RUE FERAY</t>
  </si>
  <si>
    <t>club@ascebillard.fr</t>
  </si>
  <si>
    <t>ascebillard.fr</t>
  </si>
  <si>
    <t>FRANCK LEGRAND</t>
  </si>
  <si>
    <t>ANNE MARIE NOE</t>
  </si>
  <si>
    <t>NICOLAS DELENNE</t>
  </si>
  <si>
    <t>THIERRY WEBER</t>
  </si>
  <si>
    <t>3 RUE DES ECOLES</t>
  </si>
  <si>
    <t>bcbrie@free.fr</t>
  </si>
  <si>
    <t>DELPHINE BERNARD</t>
  </si>
  <si>
    <t>DANIEL MOUSSET</t>
  </si>
  <si>
    <t>PATRICK BAZONNAIS</t>
  </si>
  <si>
    <t>PASCAL STAURI</t>
  </si>
  <si>
    <t>GYMNASE RAYMOND VITTE</t>
  </si>
  <si>
    <t>billard.mjc.provins@free.fr</t>
  </si>
  <si>
    <t>FABRICE GIGUET</t>
  </si>
  <si>
    <t>STEPHANE IDIER</t>
  </si>
  <si>
    <t>PATRICK MARNEAU</t>
  </si>
  <si>
    <t>6 RUE CLAUDE  DEBUSSY</t>
  </si>
  <si>
    <t>billardvoisins@free.fr</t>
  </si>
  <si>
    <t>billardvoisins.free.fr</t>
  </si>
  <si>
    <t>BERNARD CASSIAU</t>
  </si>
  <si>
    <t>ANGE VALERIE RENARD</t>
  </si>
  <si>
    <t>JEAN LOUIS CIOR</t>
  </si>
  <si>
    <t>JEAN CLAUDE LABOURIE</t>
  </si>
  <si>
    <t>ALAIN BOUVET</t>
  </si>
  <si>
    <t>SEBASTIEN VAVASSEUR</t>
  </si>
  <si>
    <t>LAURENT MAUGUY</t>
  </si>
  <si>
    <t>BCV</t>
  </si>
  <si>
    <t>W782001267</t>
  </si>
  <si>
    <t>9 RUE DE MARNE</t>
  </si>
  <si>
    <t>http://www.abma.fr</t>
  </si>
  <si>
    <t>FREDERIC PONCE</t>
  </si>
  <si>
    <t>PAUL BRODIN</t>
  </si>
  <si>
    <t>PIERRE MANCY</t>
  </si>
  <si>
    <t>SURESH GUREWAN</t>
  </si>
  <si>
    <t>FRANCISCO FERNANDES ALVES</t>
  </si>
  <si>
    <t>CENTRE ANDRE CHARRE</t>
  </si>
  <si>
    <t>10 ROUTE DE LA GARENNE</t>
  </si>
  <si>
    <t>www.billard-clamart.com</t>
  </si>
  <si>
    <t>MICHEL DELABARRE</t>
  </si>
  <si>
    <t>ALAIN FLOCH</t>
  </si>
  <si>
    <t>PATRICK DELAHAYE</t>
  </si>
  <si>
    <t>BCGC</t>
  </si>
  <si>
    <t>CENTRE SPORTIF JEAN JAURES</t>
  </si>
  <si>
    <t>21 RUE RENE BLOUET</t>
  </si>
  <si>
    <t>abcgarges@orange.fr</t>
  </si>
  <si>
    <t>billard-garges.fr</t>
  </si>
  <si>
    <t>JEAN PAUL HANGARD</t>
  </si>
  <si>
    <t>GERARD MIRLICOURTOIS</t>
  </si>
  <si>
    <t>MARC MOSSINO</t>
  </si>
  <si>
    <t>JEAN PIERRE GODRANT</t>
  </si>
  <si>
    <t>A.B.C.GARGES</t>
  </si>
  <si>
    <t>W952005312</t>
  </si>
  <si>
    <t>U. S CONFLANS SECTION BILLARD</t>
  </si>
  <si>
    <t>Salle Raymond Marneux</t>
  </si>
  <si>
    <t>1 rue Charles Bourseul</t>
  </si>
  <si>
    <t>billardconflans@laposte.net</t>
  </si>
  <si>
    <t>http://billardconflans.free.fr</t>
  </si>
  <si>
    <t>BERNARD FALLOUX</t>
  </si>
  <si>
    <t>DENIS TIMMERMAN</t>
  </si>
  <si>
    <t>BRIGITTE RICHAUD</t>
  </si>
  <si>
    <t>PATRICK GAMEIRO</t>
  </si>
  <si>
    <t>USC section billard</t>
  </si>
  <si>
    <t>SALLE ANGELO DI PALMA</t>
  </si>
  <si>
    <t>BATIMENT COMMUNAL</t>
  </si>
  <si>
    <t>PLACE ROLAND DORGELES</t>
  </si>
  <si>
    <t>bcc77430@gmail.com</t>
  </si>
  <si>
    <t>OLIVIER RICHARD</t>
  </si>
  <si>
    <t>EDDIE LEJEUNE</t>
  </si>
  <si>
    <t>MARIE ANTOINETTE EVENOU</t>
  </si>
  <si>
    <t>BCC</t>
  </si>
  <si>
    <t>W774002252</t>
  </si>
  <si>
    <t>58 BOULEVARD BERCHERE</t>
  </si>
  <si>
    <t>Billard.carambole.etampes@gmail.com</t>
  </si>
  <si>
    <t>PIERRE VANDERLINDEN</t>
  </si>
  <si>
    <t>TIERRY BELIS</t>
  </si>
  <si>
    <t>GERARD LEROY</t>
  </si>
  <si>
    <t>JEAN PIERRE CIRET</t>
  </si>
  <si>
    <t>jeanpierreciret1602@gmail.com</t>
  </si>
  <si>
    <t>C/O NEW BILLARD</t>
  </si>
  <si>
    <t>23 25 AVENUE DE FONTAINEBLEAU</t>
  </si>
  <si>
    <t>billardclub.kremlin@gmail.com</t>
  </si>
  <si>
    <t>https://www.facebook.com/billardBCK</t>
  </si>
  <si>
    <t>LAURENT DOURNAUX</t>
  </si>
  <si>
    <t>NGUYEN BAYLATRY</t>
  </si>
  <si>
    <t>BENJAMIN HOUEL</t>
  </si>
  <si>
    <t>Commerciale</t>
  </si>
  <si>
    <t>BCK</t>
  </si>
  <si>
    <t>W943003267</t>
  </si>
  <si>
    <t>11 RUE DU PETIT CONDETZ</t>
  </si>
  <si>
    <t>LA FERTE SOUS JOUARRE</t>
  </si>
  <si>
    <t>billard.club.fertois@aliceadsl.fr</t>
  </si>
  <si>
    <t>ROGER JOURDAIN</t>
  </si>
  <si>
    <t>RAYMOND DAMASCENE GALPIN</t>
  </si>
  <si>
    <t>PATRICK ARNOULD</t>
  </si>
  <si>
    <t>Privie</t>
  </si>
  <si>
    <t>MAISON DES ASSOCIATIONS</t>
  </si>
  <si>
    <t>RUE DU COMMERCE</t>
  </si>
  <si>
    <t>VAL DES 4 PIGNONS</t>
  </si>
  <si>
    <t>billard-beynes@wanadoo.fr</t>
  </si>
  <si>
    <t>PATRICK TATIN</t>
  </si>
  <si>
    <t>JEAN LUC MARJOLET</t>
  </si>
  <si>
    <t>PATRICK MERLIER</t>
  </si>
  <si>
    <t>gp.merlier@aliceadsl.fr</t>
  </si>
  <si>
    <t>JEAN LUC GARCIA</t>
  </si>
  <si>
    <t>jlb.garcia2@free.fr</t>
  </si>
  <si>
    <t>W782002312</t>
  </si>
  <si>
    <t>6 RUE PASTEUR</t>
  </si>
  <si>
    <t>PONTHIERRY</t>
  </si>
  <si>
    <t>billard-club.astb@wanadoo.fr</t>
  </si>
  <si>
    <t>PIERRE STYCZEN</t>
  </si>
  <si>
    <t>JEAN FRANCOIS MILLET</t>
  </si>
  <si>
    <t>FRANCIS DUCOURTHIAL</t>
  </si>
  <si>
    <t>ducourthial.francis@orange.fr</t>
  </si>
  <si>
    <t>ASTB</t>
  </si>
  <si>
    <t>1 RUE MONTBAURON</t>
  </si>
  <si>
    <t>01 39 50 68 56</t>
  </si>
  <si>
    <t>arbversailles@gmail.com</t>
  </si>
  <si>
    <t>arbversailles.fr</t>
  </si>
  <si>
    <t>JEAN LOUIS PEGORER</t>
  </si>
  <si>
    <t>DANIEL LOPEZ</t>
  </si>
  <si>
    <t>THEODORUS SCHOMAKER</t>
  </si>
  <si>
    <t>STEPHANE NOLE</t>
  </si>
  <si>
    <t>JEAN PAUL LE COQ</t>
  </si>
  <si>
    <t>GERARD BOYADJIAN</t>
  </si>
  <si>
    <t>A.R.B.V</t>
  </si>
  <si>
    <t>W784002898</t>
  </si>
  <si>
    <t>2 RUE DE LA FERME DU PRESBYTERE</t>
  </si>
  <si>
    <t>abof@live.fr</t>
  </si>
  <si>
    <t>VINCENT GOUGELIN</t>
  </si>
  <si>
    <t>ANDRE LLEDO</t>
  </si>
  <si>
    <t>ALAIN BILLIARD</t>
  </si>
  <si>
    <t>GERARD LALAOUA</t>
  </si>
  <si>
    <t>DENIS GARNIER</t>
  </si>
  <si>
    <t>ABOF</t>
  </si>
  <si>
    <t>42 ALLEE JOSEPH NOIZE</t>
  </si>
  <si>
    <t>abclg@free.fr</t>
  </si>
  <si>
    <t>ALAIN FAVERO</t>
  </si>
  <si>
    <t>THIERRY LOUESDON</t>
  </si>
  <si>
    <t>MICHEL LAPERTOT</t>
  </si>
  <si>
    <t>SYLVAIN VULLIEN</t>
  </si>
  <si>
    <t>ABCLG</t>
  </si>
  <si>
    <t>23 RUE DU BUISSON SAINT REMY</t>
  </si>
  <si>
    <t>XAVIER LE ROY</t>
  </si>
  <si>
    <t>CHRISTINE MOREL</t>
  </si>
  <si>
    <t>ERIC JAFFRENNOU</t>
  </si>
  <si>
    <t>ABM</t>
  </si>
  <si>
    <t>AVENUE DU NOYER LAMBERT</t>
  </si>
  <si>
    <t>Centre Omni Sport (COS) PISCINE</t>
  </si>
  <si>
    <t>esmbillard@laposte.net</t>
  </si>
  <si>
    <t>https://www.billard-massy.fr</t>
  </si>
  <si>
    <t>PATRICK JOYEZ</t>
  </si>
  <si>
    <t>QUANG VINH DINH</t>
  </si>
  <si>
    <t>LOUIS MICHEL</t>
  </si>
  <si>
    <t>THIERRY GOLDMANN</t>
  </si>
  <si>
    <t>06 23 76 72 93</t>
  </si>
  <si>
    <t>3 RUE AUGUSTIN FRESNEL</t>
  </si>
  <si>
    <t>http://www.billards-passion.com</t>
  </si>
  <si>
    <t>SEBASTIEN DUBOIS</t>
  </si>
  <si>
    <t>SEVERINE TITAUX</t>
  </si>
  <si>
    <t>EMMANUEL MARX</t>
  </si>
  <si>
    <t>2 AV SAINT-EXUPERY</t>
  </si>
  <si>
    <t>ESPACE MAISON BLANCHE</t>
  </si>
  <si>
    <t>billardchatillon@gmail.com</t>
  </si>
  <si>
    <t>www.billardchatillon.com</t>
  </si>
  <si>
    <t>LIONEL POTISLAVOWSKI</t>
  </si>
  <si>
    <t>DOMINIQUE BOURBAN</t>
  </si>
  <si>
    <t>174394J</t>
  </si>
  <si>
    <t>GUY MAILLE</t>
  </si>
  <si>
    <t>guymaille92@gmail.com</t>
  </si>
  <si>
    <t>FRANCIS MASSON</t>
  </si>
  <si>
    <t>FELIPE MUNOZ</t>
  </si>
  <si>
    <t>SCMC BILLARD CLUB</t>
  </si>
  <si>
    <t>W921001396</t>
  </si>
  <si>
    <t xml:space="preserve">SALLE ROGER BAUMEYEUR </t>
  </si>
  <si>
    <t xml:space="preserve">  CSL/BD RHIN ET DANUBE</t>
  </si>
  <si>
    <t>bcfranconville@free.fr</t>
  </si>
  <si>
    <t>http://www.billardfranconville.com</t>
  </si>
  <si>
    <t>SERGE FLAGEUL</t>
  </si>
  <si>
    <t>XAVIER DUNAT</t>
  </si>
  <si>
    <t>PATRICK BAILOT</t>
  </si>
  <si>
    <t>GHISLAINE LE TRIBOT</t>
  </si>
  <si>
    <t>GILDAS PRIEUR</t>
  </si>
  <si>
    <t>JEAN FRANCOIS ROHART</t>
  </si>
  <si>
    <t>BCF</t>
  </si>
  <si>
    <t>14 PORTE DU JOUR au Forum des Halles</t>
  </si>
  <si>
    <t>Acchs aprhs le cinima UGC</t>
  </si>
  <si>
    <t>billardclubparisien@gmail.com</t>
  </si>
  <si>
    <t>REDA BELHAJ</t>
  </si>
  <si>
    <t>GREGORY PEREZ</t>
  </si>
  <si>
    <t>FREDERIC DEBRY</t>
  </si>
  <si>
    <t>ALEX MONTPELLIER</t>
  </si>
  <si>
    <t>FABIEN GUERDER</t>
  </si>
  <si>
    <t>CHENGYU WANG</t>
  </si>
  <si>
    <t>BCP</t>
  </si>
  <si>
    <t>RUE DU MOULIN TROCHARD</t>
  </si>
  <si>
    <t>MICHEL TRIPOT</t>
  </si>
  <si>
    <t>JACKY MARATRAT</t>
  </si>
  <si>
    <t>jacky.maratrat@orange.fr</t>
  </si>
  <si>
    <t>MICHEL ALIX</t>
  </si>
  <si>
    <t>44 rue du Bout des Creuses</t>
  </si>
  <si>
    <t>Village des Associations</t>
  </si>
  <si>
    <t>06 21 76 41 39</t>
  </si>
  <si>
    <t>http://billardclub-draveil.over-blog.com/pages/Nous_contacter-5107946.html</t>
  </si>
  <si>
    <t>ERIC ANNE</t>
  </si>
  <si>
    <t>ANDRE FLEUROT</t>
  </si>
  <si>
    <t>CLAUDE DUCATEL</t>
  </si>
  <si>
    <t>BCD</t>
  </si>
  <si>
    <t>6 RUE DU VAL DE SEINE</t>
  </si>
  <si>
    <t>asev.vernouillet@gmail.com</t>
  </si>
  <si>
    <t>https://asev-billard.kalisport.com/</t>
  </si>
  <si>
    <t>JEAN LUC JUMEAU</t>
  </si>
  <si>
    <t>JEAN LOUIS CHAUVIN</t>
  </si>
  <si>
    <t>JEAN PIERRE BOUYER</t>
  </si>
  <si>
    <t>JEROME GHIONE</t>
  </si>
  <si>
    <t>PATRICK ESPOSITO</t>
  </si>
  <si>
    <t>ASEV</t>
  </si>
  <si>
    <t>W783001815</t>
  </si>
  <si>
    <t>8 RUE BONNET</t>
  </si>
  <si>
    <t>billard.clichois@gmail.com</t>
  </si>
  <si>
    <t>http://billardclichois.canalblog.com</t>
  </si>
  <si>
    <t>PATRICK BATTMANN</t>
  </si>
  <si>
    <t>ALEXANDRE TIESSE</t>
  </si>
  <si>
    <t>BERNARD DELMAS</t>
  </si>
  <si>
    <t>MICHEL PLAQUEVENT</t>
  </si>
  <si>
    <t>ESPACE CONCORDE</t>
  </si>
  <si>
    <t>18 BD ABEL CORNATON</t>
  </si>
  <si>
    <t>billard.arpajon@bbox.fr</t>
  </si>
  <si>
    <t>GERALD MAURICE</t>
  </si>
  <si>
    <t>GERARD FOURNIER</t>
  </si>
  <si>
    <t>PATRICE BERNARD</t>
  </si>
  <si>
    <t>FREDERIC SENA</t>
  </si>
  <si>
    <t>A.M.B.A.</t>
  </si>
  <si>
    <t>W913004399</t>
  </si>
  <si>
    <t>12 BIS BOULEVARD DES LAVANDIERES</t>
  </si>
  <si>
    <t>bcs91@outlook.fr</t>
  </si>
  <si>
    <t>GUY LEBROT</t>
  </si>
  <si>
    <t>DENIS MAGNIN</t>
  </si>
  <si>
    <t>FREDERIC PORCU</t>
  </si>
  <si>
    <t>B.C.S. Etrichy</t>
  </si>
  <si>
    <t>3 RUE RAPHAEL CORBY</t>
  </si>
  <si>
    <t>bulldogcidf@gmail.com</t>
  </si>
  <si>
    <t>https://bulldog.eatbu.com/</t>
  </si>
  <si>
    <t>FABIEN LANGLET</t>
  </si>
  <si>
    <t>CHRISTOPHE BALLIHAUT</t>
  </si>
  <si>
    <t>NICOLAS GRANDEMANGE DENIZOT</t>
  </si>
  <si>
    <t>MAISON DES ARTS DE LA DANSE DU BILLARD</t>
  </si>
  <si>
    <t>195 ALLEE DES SORBIERS</t>
  </si>
  <si>
    <t>CHEMIN D ARVIGNY</t>
  </si>
  <si>
    <t>billardclubnandy@bbox.fr</t>
  </si>
  <si>
    <t>PATRICE MUSSARD</t>
  </si>
  <si>
    <t>patrice.mussard@wanadoo.fr</t>
  </si>
  <si>
    <t>GERARD ESPINERA</t>
  </si>
  <si>
    <t>DENIS BOURGOIN</t>
  </si>
  <si>
    <t>TONY CHOMICKI</t>
  </si>
  <si>
    <t>2 BIS PLACE DU GENERAL DE GAULLE</t>
  </si>
  <si>
    <t>usmgbillard@hotmail.com</t>
  </si>
  <si>
    <t>DANY ARMOOGUM</t>
  </si>
  <si>
    <t>PHILIPPE STOURME</t>
  </si>
  <si>
    <t>FRANCOIS RICHY</t>
  </si>
  <si>
    <t>USMG Billard</t>
  </si>
  <si>
    <t>9-11 COURS DEBILLE</t>
  </si>
  <si>
    <t>Club8et9@gmail.com</t>
  </si>
  <si>
    <t>ALEXANDRE EVE</t>
  </si>
  <si>
    <t>160231P</t>
  </si>
  <si>
    <t>GREGORY MOULINES</t>
  </si>
  <si>
    <t>g.moulines@free.fr</t>
  </si>
  <si>
    <t>7 rue Francis COMBE</t>
  </si>
  <si>
    <t>players95club@gmail.com</t>
  </si>
  <si>
    <t>PATRICK LAPERT</t>
  </si>
  <si>
    <t>MURIELLE VAUTHIER</t>
  </si>
  <si>
    <t>JEAN PIERRE VAUTHIER</t>
  </si>
  <si>
    <t>104183B</t>
  </si>
  <si>
    <t>OLIVIER DEVILLERS</t>
  </si>
  <si>
    <t>bluebidahouseclub@gmail.com</t>
  </si>
  <si>
    <t>https://www.facebook.com/bluebidahouseclub/</t>
  </si>
  <si>
    <t>ISABELLE ELHADJI TOUMANE</t>
  </si>
  <si>
    <t>RICARDO CHAVEZ</t>
  </si>
  <si>
    <t>FREDERIC BARRE</t>
  </si>
  <si>
    <t>B.B.H.C.</t>
  </si>
  <si>
    <t>8 BIS AVENUE CHARLES DE GAULLE</t>
  </si>
  <si>
    <t>phoenixbillardclub@gmail.com</t>
  </si>
  <si>
    <t>MICKAEL DELAS HERAS</t>
  </si>
  <si>
    <t>PIERRE DELVIGNE</t>
  </si>
  <si>
    <t>OLIVIER ROULLET</t>
  </si>
  <si>
    <t xml:space="preserve">Poule de </t>
  </si>
  <si>
    <t>TdJ</t>
  </si>
  <si>
    <t>Billard</t>
  </si>
  <si>
    <t>Match 1</t>
  </si>
  <si>
    <t>Match 2</t>
  </si>
  <si>
    <t>P</t>
  </si>
  <si>
    <t>Match 3</t>
  </si>
  <si>
    <t>si deux qualifiés au tour suivant</t>
  </si>
  <si>
    <t>Poule de</t>
  </si>
  <si>
    <t>G1</t>
  </si>
  <si>
    <t>G2</t>
  </si>
  <si>
    <t>*si égalité classement par meilleure série puis rang d'arrivée</t>
  </si>
  <si>
    <t>Match 4</t>
  </si>
  <si>
    <t>P1</t>
  </si>
  <si>
    <t>P2</t>
  </si>
  <si>
    <t>Match 5</t>
  </si>
  <si>
    <t>non joué</t>
  </si>
  <si>
    <t>Match 6</t>
  </si>
  <si>
    <t>Match 7</t>
  </si>
  <si>
    <t>Match 8</t>
  </si>
  <si>
    <t>Match 9</t>
  </si>
  <si>
    <t>Match 10</t>
  </si>
  <si>
    <t>Match 11</t>
  </si>
  <si>
    <t>Match 12</t>
  </si>
  <si>
    <t>Match 13</t>
  </si>
  <si>
    <t>Match 14</t>
  </si>
  <si>
    <t>Match 15</t>
  </si>
  <si>
    <t>Match 16</t>
  </si>
  <si>
    <t>Match 17</t>
  </si>
  <si>
    <t>Match 18</t>
  </si>
  <si>
    <t>Match 19</t>
  </si>
  <si>
    <t>Match 20</t>
  </si>
  <si>
    <t>Match 21</t>
  </si>
  <si>
    <t>Match 22</t>
  </si>
  <si>
    <t>Match 23</t>
  </si>
  <si>
    <t>Match 24</t>
  </si>
  <si>
    <t>Match 25</t>
  </si>
  <si>
    <t>Match 26</t>
  </si>
  <si>
    <t>Match 27</t>
  </si>
  <si>
    <t>Match 28</t>
  </si>
  <si>
    <t>RESULTATS</t>
  </si>
  <si>
    <t>nom</t>
  </si>
  <si>
    <t>prénom</t>
  </si>
  <si>
    <t>club</t>
  </si>
  <si>
    <t>CLT</t>
  </si>
  <si>
    <t>Distance :</t>
  </si>
  <si>
    <t>LIEU :</t>
  </si>
  <si>
    <t>3 Bandes</t>
  </si>
  <si>
    <t>TOURS DE JEU</t>
  </si>
  <si>
    <t>N° Billard</t>
  </si>
  <si>
    <t>Match</t>
  </si>
  <si>
    <t>JOUEUR 1</t>
  </si>
  <si>
    <t>VS</t>
  </si>
  <si>
    <t>JOUEUR 2</t>
  </si>
  <si>
    <t>Rencontre</t>
  </si>
  <si>
    <t>Pts J1</t>
  </si>
  <si>
    <t>Pts J2</t>
  </si>
  <si>
    <t>MS J1</t>
  </si>
  <si>
    <t>MS J2</t>
  </si>
  <si>
    <t>1-6</t>
  </si>
  <si>
    <t>1-5</t>
  </si>
  <si>
    <t>1-4</t>
  </si>
  <si>
    <t>1-3</t>
  </si>
  <si>
    <t>1-2</t>
  </si>
  <si>
    <t>2-6</t>
  </si>
  <si>
    <t>2-5</t>
  </si>
  <si>
    <t>2-4</t>
  </si>
  <si>
    <t>2-3</t>
  </si>
  <si>
    <t>2-1</t>
  </si>
  <si>
    <t>3-6</t>
  </si>
  <si>
    <t>3-5</t>
  </si>
  <si>
    <t>3-4</t>
  </si>
  <si>
    <t>3-2</t>
  </si>
  <si>
    <t>3-1</t>
  </si>
  <si>
    <t>4-6</t>
  </si>
  <si>
    <t>4-5</t>
  </si>
  <si>
    <t>4-3</t>
  </si>
  <si>
    <t>4-2</t>
  </si>
  <si>
    <t>4-1</t>
  </si>
  <si>
    <t>5-6</t>
  </si>
  <si>
    <t>5-4</t>
  </si>
  <si>
    <t>5-3</t>
  </si>
  <si>
    <t>5-2</t>
  </si>
  <si>
    <t>5-1</t>
  </si>
  <si>
    <t>6-5</t>
  </si>
  <si>
    <t>6-4</t>
  </si>
  <si>
    <t>6-3</t>
  </si>
  <si>
    <t>6-2</t>
  </si>
  <si>
    <t>6-1</t>
  </si>
  <si>
    <t>Reprises :</t>
  </si>
  <si>
    <t>DATE :</t>
  </si>
  <si>
    <t>Clt J1</t>
  </si>
  <si>
    <t>Clt J2</t>
  </si>
  <si>
    <t>Logo</t>
  </si>
  <si>
    <t>N° club</t>
  </si>
  <si>
    <t>mode</t>
  </si>
  <si>
    <t>R1</t>
  </si>
  <si>
    <t>R2</t>
  </si>
  <si>
    <t>R3</t>
  </si>
  <si>
    <t>Cadre</t>
  </si>
  <si>
    <t>Bande</t>
  </si>
  <si>
    <t>Distance réduite :</t>
  </si>
  <si>
    <t>Libre</t>
  </si>
  <si>
    <t>GC</t>
  </si>
  <si>
    <t>PC</t>
  </si>
  <si>
    <t>Catégorie</t>
  </si>
  <si>
    <t>Abréviation</t>
  </si>
  <si>
    <t>Distance</t>
  </si>
  <si>
    <t xml:space="preserve">Pts </t>
  </si>
  <si>
    <t>Reprises</t>
  </si>
  <si>
    <t>format</t>
  </si>
  <si>
    <t>Coins</t>
  </si>
  <si>
    <t>Forfait</t>
  </si>
  <si>
    <t xml:space="preserve">* Si un joueur abandonne ou est sanctionné par l'arbitre, il convient d'inscrire "Ab." à la place des points, la série du joueur ne doit pas être enregistrée par contre le score du joueur adverse doit être enregistré au moment de l'abandon. </t>
  </si>
  <si>
    <t>Mpart</t>
  </si>
  <si>
    <t>Clt Tdj</t>
  </si>
  <si>
    <t>Ab.</t>
  </si>
  <si>
    <t xml:space="preserve">Liste des joueurs </t>
  </si>
  <si>
    <t>Moy. Arr.</t>
  </si>
  <si>
    <t>Cat</t>
  </si>
  <si>
    <t>Pts Rk</t>
  </si>
  <si>
    <t>PHASE COMPETITION :</t>
  </si>
  <si>
    <t>DIRECTEUR DE JEU :</t>
  </si>
  <si>
    <t>Bonus total</t>
  </si>
  <si>
    <t>Bonus CAT</t>
  </si>
  <si>
    <t>Bonus Moy</t>
  </si>
  <si>
    <t>M 1</t>
  </si>
  <si>
    <t>M 2</t>
  </si>
  <si>
    <t>M 3</t>
  </si>
  <si>
    <t>B1</t>
  </si>
  <si>
    <t>B2</t>
  </si>
  <si>
    <t>B3</t>
  </si>
  <si>
    <t>47/2</t>
  </si>
  <si>
    <t>42/2</t>
  </si>
  <si>
    <t>N1/N2</t>
  </si>
  <si>
    <t>J Poule</t>
  </si>
  <si>
    <t>PR JDS</t>
  </si>
  <si>
    <t>PR 3B</t>
  </si>
  <si>
    <t>Numéro</t>
  </si>
  <si>
    <t>Joueur</t>
  </si>
  <si>
    <t>Moyenne 2m80</t>
  </si>
  <si>
    <t>Moyenne 3m10</t>
  </si>
  <si>
    <t>Saison</t>
  </si>
  <si>
    <t>012385 J</t>
  </si>
  <si>
    <t>ABDALCANNY ALI</t>
  </si>
  <si>
    <t>—</t>
  </si>
  <si>
    <t>09010 – ACADEMIE DE BILLARD D ARGENTEUIL</t>
  </si>
  <si>
    <t>153675 N</t>
  </si>
  <si>
    <t>ABELA JEAN LOUIS</t>
  </si>
  <si>
    <t>09061 – ACADEMIE DE BILLARD DE MARINES</t>
  </si>
  <si>
    <t>141158 E</t>
  </si>
  <si>
    <t>ADMONT JEAN PIERRE</t>
  </si>
  <si>
    <t>09031 – ACADEMIE DE BILLARD DE MAISONS ALFORT</t>
  </si>
  <si>
    <t>012401 Z</t>
  </si>
  <si>
    <t>AIGUILLON PATRICK</t>
  </si>
  <si>
    <t>N3 </t>
  </si>
  <si>
    <t>09088 – BILLARD CLUB CLICHOIS</t>
  </si>
  <si>
    <t>012402 A</t>
  </si>
  <si>
    <t>AIRAULT ANTHONY</t>
  </si>
  <si>
    <t>09009 – CMO MORANGIS</t>
  </si>
  <si>
    <t>012403 B</t>
  </si>
  <si>
    <t>AIRAULT JEAN MICHEL</t>
  </si>
  <si>
    <t>155854 G</t>
  </si>
  <si>
    <t>ALALOF PHILIPPE</t>
  </si>
  <si>
    <t>126763 N</t>
  </si>
  <si>
    <t>ALALOUCHE AZIZ</t>
  </si>
  <si>
    <t>09059 – A. B. OZOIR LA FERRIERE</t>
  </si>
  <si>
    <t>012406 E</t>
  </si>
  <si>
    <t>ALAZARD PHILIPPE</t>
  </si>
  <si>
    <t>012410 I</t>
  </si>
  <si>
    <t>ALEJO MANUEL</t>
  </si>
  <si>
    <t>120146 A</t>
  </si>
  <si>
    <t>ALEXANDRE MICHEL</t>
  </si>
  <si>
    <t>147571 D</t>
  </si>
  <si>
    <t>ALIAS PASCAL</t>
  </si>
  <si>
    <t>09064 – ENTENTE SPORTIVE DE MASSY</t>
  </si>
  <si>
    <t>148652 D</t>
  </si>
  <si>
    <t>AMBROSIONI CHRISTOPHE</t>
  </si>
  <si>
    <t>012432 E</t>
  </si>
  <si>
    <t>AMILCAR JORGE</t>
  </si>
  <si>
    <t>09017 – A. DE BILLARD COURBEVOIE-LA DEFENSE</t>
  </si>
  <si>
    <t>012435 H</t>
  </si>
  <si>
    <t>ANDRADE GERARD</t>
  </si>
  <si>
    <t>105582 W</t>
  </si>
  <si>
    <t>ANDRAULT GILLES</t>
  </si>
  <si>
    <t>012438 K</t>
  </si>
  <si>
    <t>ANDRE LUC</t>
  </si>
  <si>
    <t>09095 – A.M.B. ARPAJON</t>
  </si>
  <si>
    <t>170920 H</t>
  </si>
  <si>
    <t>ANDRIA FABRIZIO</t>
  </si>
  <si>
    <t>R1 </t>
  </si>
  <si>
    <t>09040 – BILLARD CLUB DE CHAMPAGNE</t>
  </si>
  <si>
    <t>142400 Y</t>
  </si>
  <si>
    <t>ANNE ERIC</t>
  </si>
  <si>
    <t>09082 – BILLARD CLUB DRAVEIL</t>
  </si>
  <si>
    <t>103242 W</t>
  </si>
  <si>
    <t>ANTONICELLI ROLAND</t>
  </si>
  <si>
    <t>143412 W</t>
  </si>
  <si>
    <t>APOLDA PIERRE</t>
  </si>
  <si>
    <t>012441 N</t>
  </si>
  <si>
    <t>APPEL CHRISTIAN</t>
  </si>
  <si>
    <t>09046 – BILLARD CLUB DE L HAY LES ROSES</t>
  </si>
  <si>
    <t>150616 N</t>
  </si>
  <si>
    <t>ARALDI LAURENT</t>
  </si>
  <si>
    <t>110666 K</t>
  </si>
  <si>
    <t>ARBEY LIONEL</t>
  </si>
  <si>
    <t>125423 Z</t>
  </si>
  <si>
    <t>ARCOPINTO GIOVANNI</t>
  </si>
  <si>
    <t>09068 – S.C.M.C BILLARD CLUB</t>
  </si>
  <si>
    <t>110992 Y</t>
  </si>
  <si>
    <t>ARGIS MICKAEL</t>
  </si>
  <si>
    <t>012444 Q</t>
  </si>
  <si>
    <t>ARIBAUD GUY</t>
  </si>
  <si>
    <t>145594 U</t>
  </si>
  <si>
    <t>ARISTIDE CHRISTIAN</t>
  </si>
  <si>
    <t>09045 – BILLARD CLUB DU KREMLIN BCK</t>
  </si>
  <si>
    <t>162414 M</t>
  </si>
  <si>
    <t>ARNOULD PATRICK</t>
  </si>
  <si>
    <t>09049 – BILLARD CLUB FERTOIS</t>
  </si>
  <si>
    <t>103412 K</t>
  </si>
  <si>
    <t>ASHITATE SATOSHI</t>
  </si>
  <si>
    <t>012453 Z</t>
  </si>
  <si>
    <t>ATALAY GUVEN</t>
  </si>
  <si>
    <t>09007 – BILLARD BOIS COLOMBES</t>
  </si>
  <si>
    <t>117483 P</t>
  </si>
  <si>
    <t>AUCLAIR HENRI</t>
  </si>
  <si>
    <t>127624 Q</t>
  </si>
  <si>
    <t>AUGUSTIN CHRISTOPHE</t>
  </si>
  <si>
    <t>09030 – BILLARD CLUB VICINOIS</t>
  </si>
  <si>
    <t>012460 G</t>
  </si>
  <si>
    <t>AUXIETRE MICHEL</t>
  </si>
  <si>
    <t>N2 </t>
  </si>
  <si>
    <t>09105 – BILLARD CLUB DE NANDY</t>
  </si>
  <si>
    <t>117347 J</t>
  </si>
  <si>
    <t>AVENEAU FABRICE</t>
  </si>
  <si>
    <t>151921 G</t>
  </si>
  <si>
    <t>AYAD JOHN</t>
  </si>
  <si>
    <t>149859 Q</t>
  </si>
  <si>
    <t>AYRAULT PIERRE</t>
  </si>
  <si>
    <t>09052 – BEYNES BILLARD CARAMBOLE</t>
  </si>
  <si>
    <t>159971 G</t>
  </si>
  <si>
    <t>BAHO JOSE</t>
  </si>
  <si>
    <t>132694 Q</t>
  </si>
  <si>
    <t>BAIGNE JACQUES</t>
  </si>
  <si>
    <t>09055 – A.S. THIERRY PONTAINE DE BILLARD</t>
  </si>
  <si>
    <t>136073 P</t>
  </si>
  <si>
    <t>BAILLY FRANCIS</t>
  </si>
  <si>
    <t>09043 – BILLARD CLUB D ETAMPES</t>
  </si>
  <si>
    <t>012474 U</t>
  </si>
  <si>
    <t>BAILOT PATRICK</t>
  </si>
  <si>
    <t>09069 – BILLARD CLUB FRANCONVILLE</t>
  </si>
  <si>
    <t>120806 K</t>
  </si>
  <si>
    <t>BAJEUX JEAN</t>
  </si>
  <si>
    <t>169431 P</t>
  </si>
  <si>
    <t>BALAY GILLES</t>
  </si>
  <si>
    <t>155884 P</t>
  </si>
  <si>
    <t>BALENCI THIERRY</t>
  </si>
  <si>
    <t>132291 D</t>
  </si>
  <si>
    <t>BARASCUD GUILLAUME</t>
  </si>
  <si>
    <t>09104 – BILLARD DU COEUR D'ESSONNE</t>
  </si>
  <si>
    <t>163284 H</t>
  </si>
  <si>
    <t>BARBE FRANCOISE</t>
  </si>
  <si>
    <t>012490 K</t>
  </si>
  <si>
    <t>BARBOT HERVE</t>
  </si>
  <si>
    <t>09056 – AC.ROYALE DE BILLARD DE VERSAILLES</t>
  </si>
  <si>
    <t>103243 X</t>
  </si>
  <si>
    <t>BARDET CHRISTOPHE</t>
  </si>
  <si>
    <t>012497 R</t>
  </si>
  <si>
    <t>BARRERA ANTONIO</t>
  </si>
  <si>
    <t>012498 S</t>
  </si>
  <si>
    <t>BARRET ALAIN</t>
  </si>
  <si>
    <t>09024 – ASS. BILLARD AMATEUR DE SAINT MAUR</t>
  </si>
  <si>
    <t>108140 G</t>
  </si>
  <si>
    <t>BARTKOWIAK STEVE</t>
  </si>
  <si>
    <t>125431 H</t>
  </si>
  <si>
    <t>BASSET JEAN YVES</t>
  </si>
  <si>
    <t>012508 C</t>
  </si>
  <si>
    <t>BATTMANN PATRICK</t>
  </si>
  <si>
    <t>105534 A</t>
  </si>
  <si>
    <t>BAUDLOT BERNARD</t>
  </si>
  <si>
    <t>106421 D</t>
  </si>
  <si>
    <t>BAUDON DOMINIQUE</t>
  </si>
  <si>
    <t>012514 I</t>
  </si>
  <si>
    <t>BAUDUIN BRUNO</t>
  </si>
  <si>
    <t>012515 J</t>
  </si>
  <si>
    <t>BAUDUIN CLAUDE</t>
  </si>
  <si>
    <t>117766 M</t>
  </si>
  <si>
    <t>BAUDUIN SEBASTIEN</t>
  </si>
  <si>
    <t>012519 N</t>
  </si>
  <si>
    <t>BAYON PASCAL</t>
  </si>
  <si>
    <t>140096 I</t>
  </si>
  <si>
    <t>BAZIN VINCENT</t>
  </si>
  <si>
    <t>012531 Z</t>
  </si>
  <si>
    <t>BELDJOUDI MALEK</t>
  </si>
  <si>
    <t>09032 – BILLARD CLUB LA GARENNE CLAMART</t>
  </si>
  <si>
    <t>138061 B</t>
  </si>
  <si>
    <t>BELINGARD ERIC</t>
  </si>
  <si>
    <t>R2 </t>
  </si>
  <si>
    <t>09096 – BILLARD CLUB STREPINIACOIS</t>
  </si>
  <si>
    <t>140106 S</t>
  </si>
  <si>
    <t>BELLENGER FREDERIC</t>
  </si>
  <si>
    <t>135324 U</t>
  </si>
  <si>
    <t>BELLEZ MICHEL</t>
  </si>
  <si>
    <t>09038 – U.S CONFLANS STE HONORINE</t>
  </si>
  <si>
    <t>137827 B</t>
  </si>
  <si>
    <t>BENAINOUS MAXIM</t>
  </si>
  <si>
    <t>012544 M</t>
  </si>
  <si>
    <t>BENAINOUS MICHEL</t>
  </si>
  <si>
    <t>156705 G</t>
  </si>
  <si>
    <t>BENDAYAN JACKY</t>
  </si>
  <si>
    <t>012547 P</t>
  </si>
  <si>
    <t>BENDJILALI NOURDINE</t>
  </si>
  <si>
    <t>113662 Q</t>
  </si>
  <si>
    <t>BENSAID DENIS</t>
  </si>
  <si>
    <t>993 – Licenciés indépendants 93</t>
  </si>
  <si>
    <t>012557 Z</t>
  </si>
  <si>
    <t>BERNARD PATRICE</t>
  </si>
  <si>
    <t>138084 Y</t>
  </si>
  <si>
    <t>BERNARDI CLAUDE</t>
  </si>
  <si>
    <t>09028 – M. J. C. PROVINS</t>
  </si>
  <si>
    <t>117442 A</t>
  </si>
  <si>
    <t>BERRARD ERIC</t>
  </si>
  <si>
    <t>012561 D</t>
  </si>
  <si>
    <t>BERREUR MICHEL</t>
  </si>
  <si>
    <t>012567 J</t>
  </si>
  <si>
    <t>BERTHOMIER JACQUES</t>
  </si>
  <si>
    <t>012569 L</t>
  </si>
  <si>
    <t>BERTHON JEAN PAUL</t>
  </si>
  <si>
    <t>09025 – ASS.SPORT CORBEIL ESSONNES</t>
  </si>
  <si>
    <t>129205 L</t>
  </si>
  <si>
    <t>BERTON ALEXANDRINE</t>
  </si>
  <si>
    <t>142463 J</t>
  </si>
  <si>
    <t>BERTRAND PATRICK</t>
  </si>
  <si>
    <t>156645 R</t>
  </si>
  <si>
    <t>BETTON JEAN MICHEL</t>
  </si>
  <si>
    <t>012579 V</t>
  </si>
  <si>
    <t>BEYER ROLAND</t>
  </si>
  <si>
    <t>09077 – BILLARD ACADEMIE DE COULOMMIERS</t>
  </si>
  <si>
    <t>135082 M</t>
  </si>
  <si>
    <t>BIANCHIN FABRE JEAN JACQUES</t>
  </si>
  <si>
    <t>126980 W</t>
  </si>
  <si>
    <t>BIBAUT PIERRE</t>
  </si>
  <si>
    <t>149275 F</t>
  </si>
  <si>
    <t>BIDAUT JACQUES</t>
  </si>
  <si>
    <t>012583 Z</t>
  </si>
  <si>
    <t>BIDEL PATRICE</t>
  </si>
  <si>
    <t>113560 S</t>
  </si>
  <si>
    <t>BIE CHRISTIAN</t>
  </si>
  <si>
    <t>012585 B</t>
  </si>
  <si>
    <t>BIENNE GUILLAUME</t>
  </si>
  <si>
    <t>152269 K</t>
  </si>
  <si>
    <t>BIEUVILLE MICHEL</t>
  </si>
  <si>
    <t>140314 S</t>
  </si>
  <si>
    <t>BIHOREL ROLAND</t>
  </si>
  <si>
    <t>012594 K</t>
  </si>
  <si>
    <t>BILLIARD ALAIN</t>
  </si>
  <si>
    <t>105944 U</t>
  </si>
  <si>
    <t>BILLY PIERRE</t>
  </si>
  <si>
    <t>Masters</t>
  </si>
  <si>
    <t>156100 Z</t>
  </si>
  <si>
    <t>BODELIN RUDY</t>
  </si>
  <si>
    <t>09016 – BILLARD CLUB DE GARGENVILLE</t>
  </si>
  <si>
    <t>155821 W</t>
  </si>
  <si>
    <t>BOISSET JEAN PIERRE</t>
  </si>
  <si>
    <t>112124 M</t>
  </si>
  <si>
    <t>BONNEAU BENOIT</t>
  </si>
  <si>
    <t>134984 S</t>
  </si>
  <si>
    <t>BOUAKKA SOFIAN</t>
  </si>
  <si>
    <t>012640 E</t>
  </si>
  <si>
    <t>BOUDIN JEAN JACQUES</t>
  </si>
  <si>
    <t>132270 I</t>
  </si>
  <si>
    <t>BOULAIRE YANNICK</t>
  </si>
  <si>
    <t>012652 Q</t>
  </si>
  <si>
    <t>BOURGEOIS DIDIER</t>
  </si>
  <si>
    <t>147801 D</t>
  </si>
  <si>
    <t>BOURGEOIS VINCENT</t>
  </si>
  <si>
    <t>132716 M</t>
  </si>
  <si>
    <t>BOURGOIN DENIS</t>
  </si>
  <si>
    <t>012657 V</t>
  </si>
  <si>
    <t>BOURHIS FREDERIC</t>
  </si>
  <si>
    <t>09084 – BIILLARD CLUB DE VERNOUILLET</t>
  </si>
  <si>
    <t>012665 D</t>
  </si>
  <si>
    <t>BOUZEMANE KAMEL</t>
  </si>
  <si>
    <t>165442 D</t>
  </si>
  <si>
    <t>BOYENVAL GERARD</t>
  </si>
  <si>
    <t>09021 – UNITE SPORTIVE AVONNAISE BILLARD</t>
  </si>
  <si>
    <t>103467 N</t>
  </si>
  <si>
    <t>BOYER ALAIN</t>
  </si>
  <si>
    <t>157616 X</t>
  </si>
  <si>
    <t>BRACH EMMANUEL</t>
  </si>
  <si>
    <t>012668 G</t>
  </si>
  <si>
    <t>BRASERO EDDY</t>
  </si>
  <si>
    <t>142367 R</t>
  </si>
  <si>
    <t>BRAVO FRANCOIS XAVIER</t>
  </si>
  <si>
    <t>09070 – BILLARD CLUB PARISIEN</t>
  </si>
  <si>
    <t>012671 J</t>
  </si>
  <si>
    <t>BRETEL GERARD</t>
  </si>
  <si>
    <t>156244 F</t>
  </si>
  <si>
    <t>BRIOIT BERNARD</t>
  </si>
  <si>
    <t>145284 W</t>
  </si>
  <si>
    <t>BRULFERT ALAIN</t>
  </si>
  <si>
    <t>103163 V</t>
  </si>
  <si>
    <t>BUCAILLE LIONEL</t>
  </si>
  <si>
    <t>012692 E</t>
  </si>
  <si>
    <t>BUI VAN MINH</t>
  </si>
  <si>
    <t>132873 N</t>
  </si>
  <si>
    <t>BURGEI JEROME</t>
  </si>
  <si>
    <t>108088 G</t>
  </si>
  <si>
    <t>BURGEVIN CLAUDE</t>
  </si>
  <si>
    <t>011504 M</t>
  </si>
  <si>
    <t>CAGNIOT NICOLAS</t>
  </si>
  <si>
    <t>012711 X</t>
  </si>
  <si>
    <t>CAILLIER RAYMOND</t>
  </si>
  <si>
    <t>138254 M</t>
  </si>
  <si>
    <t>CAIRE PATRICE</t>
  </si>
  <si>
    <t>154343 P</t>
  </si>
  <si>
    <t>CALLAR JACQUES</t>
  </si>
  <si>
    <t>144848 C</t>
  </si>
  <si>
    <t>CANCIAN ANTOINE</t>
  </si>
  <si>
    <t>012726 M</t>
  </si>
  <si>
    <t>CAPRIN ALAIN</t>
  </si>
  <si>
    <t>012727 N</t>
  </si>
  <si>
    <t>CARADONNA GIUSEPPE</t>
  </si>
  <si>
    <t>162915 G</t>
  </si>
  <si>
    <t>CARDINAL DENIS</t>
  </si>
  <si>
    <t>152435 Q</t>
  </si>
  <si>
    <t>CARLE JEAN PAUL</t>
  </si>
  <si>
    <t>133840 S</t>
  </si>
  <si>
    <t>CAROFF NICOLAS</t>
  </si>
  <si>
    <t>126098 Y</t>
  </si>
  <si>
    <t>CARON MAURICE</t>
  </si>
  <si>
    <t>142843 Z</t>
  </si>
  <si>
    <t>CARRIE ALAIN</t>
  </si>
  <si>
    <t>012736 W</t>
  </si>
  <si>
    <t>CARRIERE ETIENNE</t>
  </si>
  <si>
    <t>150128 H</t>
  </si>
  <si>
    <t>CARSON STEPHEN</t>
  </si>
  <si>
    <t>012745 F</t>
  </si>
  <si>
    <t>CASTAINGS JEAN LOUIS</t>
  </si>
  <si>
    <t>012751 L</t>
  </si>
  <si>
    <t>CAUBIN SEBASTIEN</t>
  </si>
  <si>
    <t>130928 S</t>
  </si>
  <si>
    <t>CAUCHOIX CLAUDE</t>
  </si>
  <si>
    <t>09044 – AUVERS BILLARD CLUB</t>
  </si>
  <si>
    <t>012754 O</t>
  </si>
  <si>
    <t>CAVELLE FABRICE</t>
  </si>
  <si>
    <t>09014 – BILLARD CLUB LA COMETE</t>
  </si>
  <si>
    <t>012762 W</t>
  </si>
  <si>
    <t>CEZARD GERARD</t>
  </si>
  <si>
    <t>012768 C</t>
  </si>
  <si>
    <t>CHALIER OLIVIER</t>
  </si>
  <si>
    <t>124892 O</t>
  </si>
  <si>
    <t>CHAMPAGNE JEAN PIERRE</t>
  </si>
  <si>
    <t>012772 G</t>
  </si>
  <si>
    <t>CHAMPEY JEAN PAUL</t>
  </si>
  <si>
    <t>163351 F</t>
  </si>
  <si>
    <t>CHANEL CHANTAL</t>
  </si>
  <si>
    <t>012777 L</t>
  </si>
  <si>
    <t>CHARF ERIC</t>
  </si>
  <si>
    <t>103516 K</t>
  </si>
  <si>
    <t>CHARLATTE MARC</t>
  </si>
  <si>
    <t>012778 M</t>
  </si>
  <si>
    <t>CHARLES CHRISTIAN</t>
  </si>
  <si>
    <t>166693 N</t>
  </si>
  <si>
    <t>CHARPENTIER JEAN MICHEL</t>
  </si>
  <si>
    <t>132646 U</t>
  </si>
  <si>
    <t>CHATELET ALAIN</t>
  </si>
  <si>
    <t>175685 M</t>
  </si>
  <si>
    <t>CHAUVIN DANIEL</t>
  </si>
  <si>
    <t>133746 C</t>
  </si>
  <si>
    <t>CHEHENSE FREDERIC</t>
  </si>
  <si>
    <t>012795 D</t>
  </si>
  <si>
    <t>CHETARD ANDRE</t>
  </si>
  <si>
    <t>111054 I</t>
  </si>
  <si>
    <t>CHEVALLIER FRANCOIS</t>
  </si>
  <si>
    <t>127812 W</t>
  </si>
  <si>
    <t>CHEVALLIER JEAN JACQUES</t>
  </si>
  <si>
    <t>09106 – ASCEA GRAND RUE</t>
  </si>
  <si>
    <t>119524 C</t>
  </si>
  <si>
    <t>CHEVRIER PATRICK</t>
  </si>
  <si>
    <t>117592 U</t>
  </si>
  <si>
    <t>CHILLOUX FREDERIC</t>
  </si>
  <si>
    <t>012798 G</t>
  </si>
  <si>
    <t>CHOJNOWSKI CHARLES</t>
  </si>
  <si>
    <t>012800 I</t>
  </si>
  <si>
    <t>CHOMICKI TONY</t>
  </si>
  <si>
    <t>160016 F</t>
  </si>
  <si>
    <t>CHUNG HOAN TOAN</t>
  </si>
  <si>
    <t>09060 – BILLARD CLUB DE LIVRY GARGAN</t>
  </si>
  <si>
    <t>012810 S</t>
  </si>
  <si>
    <t>CICE CHRISTIAN</t>
  </si>
  <si>
    <t>171278 X</t>
  </si>
  <si>
    <t>COELHO DANIEL</t>
  </si>
  <si>
    <t>012822 E</t>
  </si>
  <si>
    <t>COEUGNET GERARD</t>
  </si>
  <si>
    <t>145673 V</t>
  </si>
  <si>
    <t>COHEN DAVID</t>
  </si>
  <si>
    <t>114560 E</t>
  </si>
  <si>
    <t>COIGNARD EMMANUEL</t>
  </si>
  <si>
    <t>157233 F</t>
  </si>
  <si>
    <t>COKAL RECEP</t>
  </si>
  <si>
    <t>134888 A</t>
  </si>
  <si>
    <t>COLSON DENIS</t>
  </si>
  <si>
    <t>140069 H</t>
  </si>
  <si>
    <t>COMBE JEAN CLAUDE</t>
  </si>
  <si>
    <t>09026 – BILLARD CLUB BRIARD</t>
  </si>
  <si>
    <t>123238 Y</t>
  </si>
  <si>
    <t>CORRONEL GERARD</t>
  </si>
  <si>
    <t>012850 G</t>
  </si>
  <si>
    <t>COTTY ALAIN</t>
  </si>
  <si>
    <t>130911 B</t>
  </si>
  <si>
    <t>COUQUE ROMAIN</t>
  </si>
  <si>
    <t>012857 N</t>
  </si>
  <si>
    <t>COURAULT LAURENCE</t>
  </si>
  <si>
    <t>165704 N</t>
  </si>
  <si>
    <t>COVEMAEKER DOMINIQUE</t>
  </si>
  <si>
    <t>153123 N</t>
  </si>
  <si>
    <t>CRAPOULET GERARD</t>
  </si>
  <si>
    <t>132299 L</t>
  </si>
  <si>
    <t>CROIZER RENE</t>
  </si>
  <si>
    <t>012874 E</t>
  </si>
  <si>
    <t>CUCUROU MARLENE</t>
  </si>
  <si>
    <t>120111 R</t>
  </si>
  <si>
    <t>DA COSTA JOAO</t>
  </si>
  <si>
    <t>012879 J</t>
  </si>
  <si>
    <t>DA CRUZ LEOPOLDO</t>
  </si>
  <si>
    <t>132875 P</t>
  </si>
  <si>
    <t>DA SILVA PHILIPPE</t>
  </si>
  <si>
    <t>152591 K</t>
  </si>
  <si>
    <t>DABONE ANTOINE</t>
  </si>
  <si>
    <t>131196 A</t>
  </si>
  <si>
    <t>DAMASCENE GALPIN RAYMOND</t>
  </si>
  <si>
    <t>148183 T</t>
  </si>
  <si>
    <t>DANIAU CHRISTIAN</t>
  </si>
  <si>
    <t>157084 T</t>
  </si>
  <si>
    <t>DARRE CHRISTIAN</t>
  </si>
  <si>
    <t>012898 C</t>
  </si>
  <si>
    <t>DAUDIGNAC MARC</t>
  </si>
  <si>
    <t>140334 M</t>
  </si>
  <si>
    <t>DAVRIL ERIC</t>
  </si>
  <si>
    <t>178285 N</t>
  </si>
  <si>
    <t>DAVY JULIEN</t>
  </si>
  <si>
    <t>012902 G</t>
  </si>
  <si>
    <t>DAVY LAURENT</t>
  </si>
  <si>
    <t>012903 H</t>
  </si>
  <si>
    <t>DE AMARAL ALBERT</t>
  </si>
  <si>
    <t>012912 Q</t>
  </si>
  <si>
    <t>DE QUEIROS JOSE</t>
  </si>
  <si>
    <t>012913 R</t>
  </si>
  <si>
    <t>DE SOUSA RODRIGUES DOMINIQUE</t>
  </si>
  <si>
    <t>016878 E</t>
  </si>
  <si>
    <t>DECLUNDER MAGALI</t>
  </si>
  <si>
    <t>150854 X</t>
  </si>
  <si>
    <t>DELABARRE MICHEL</t>
  </si>
  <si>
    <t>143206 Y</t>
  </si>
  <si>
    <t>DELAHAYE ERIC</t>
  </si>
  <si>
    <t>129824 G</t>
  </si>
  <si>
    <t>DELALANDE CHRISTIAN</t>
  </si>
  <si>
    <t>143224 Q</t>
  </si>
  <si>
    <t>DELAPLACE EMMANUEL</t>
  </si>
  <si>
    <t>012929 H</t>
  </si>
  <si>
    <t>DELBOS MICHEL</t>
  </si>
  <si>
    <t>110989 V</t>
  </si>
  <si>
    <t>DELCAMP JEAN LOUIS</t>
  </si>
  <si>
    <t>012932 K</t>
  </si>
  <si>
    <t>DELFORGE HERVE</t>
  </si>
  <si>
    <t>012935 N</t>
  </si>
  <si>
    <t>DELMAS BERNARD</t>
  </si>
  <si>
    <t>166094 M</t>
  </si>
  <si>
    <t>DELOBEL JEAN PAUL</t>
  </si>
  <si>
    <t>103504 Y</t>
  </si>
  <si>
    <t>DEMARIA JACKY</t>
  </si>
  <si>
    <t>141457 R</t>
  </si>
  <si>
    <t>DEMEDE MICHEL</t>
  </si>
  <si>
    <t>012950 C</t>
  </si>
  <si>
    <t>DENIZET PHILIPPE</t>
  </si>
  <si>
    <t>143258 Y</t>
  </si>
  <si>
    <t>DER MINAKIAN DANIEL</t>
  </si>
  <si>
    <t>135462 C</t>
  </si>
  <si>
    <t>DERHI CLAUDE</t>
  </si>
  <si>
    <t>104243 J</t>
  </si>
  <si>
    <t>DESFONTAINES GILLES</t>
  </si>
  <si>
    <t>149663 C</t>
  </si>
  <si>
    <t>DESGROUAS CATHERINE</t>
  </si>
  <si>
    <t>020658 O</t>
  </si>
  <si>
    <t>DESNEUX BOUTOUX GILLES</t>
  </si>
  <si>
    <t>012967 T</t>
  </si>
  <si>
    <t>DESROZIERS JEROME</t>
  </si>
  <si>
    <t>104112 I</t>
  </si>
  <si>
    <t>DEVILLEBICHOT JEAN CLAUDE</t>
  </si>
  <si>
    <t>020210 I</t>
  </si>
  <si>
    <t>DEWAELE SERGE</t>
  </si>
  <si>
    <t>103127 L</t>
  </si>
  <si>
    <t>DI GIOIA SERGE</t>
  </si>
  <si>
    <t>012980 G</t>
  </si>
  <si>
    <t>DIALLO RICHARD</t>
  </si>
  <si>
    <t>012990 Q</t>
  </si>
  <si>
    <t>DINAND MICHEL</t>
  </si>
  <si>
    <t>148884 F</t>
  </si>
  <si>
    <t>DINH QUANG VINH</t>
  </si>
  <si>
    <t>012998 Y</t>
  </si>
  <si>
    <t>DJIAN DIDIER</t>
  </si>
  <si>
    <t>178674 L</t>
  </si>
  <si>
    <t>DOAN PHI LONG</t>
  </si>
  <si>
    <t>154263 C</t>
  </si>
  <si>
    <t>DONAT PIERRE</t>
  </si>
  <si>
    <t>138062 C</t>
  </si>
  <si>
    <t>DOS ANJOS NICOLAS</t>
  </si>
  <si>
    <t>140297 B</t>
  </si>
  <si>
    <t>DOS SANTOS VASCO</t>
  </si>
  <si>
    <t>013010 K</t>
  </si>
  <si>
    <t>DOUSSOT PIERRE</t>
  </si>
  <si>
    <t>146714 W</t>
  </si>
  <si>
    <t>DOUX ISABELLE</t>
  </si>
  <si>
    <t>124670 A</t>
  </si>
  <si>
    <t>DRAGIC AIME</t>
  </si>
  <si>
    <t>134929 P</t>
  </si>
  <si>
    <t>DUBOIS THIERRY</t>
  </si>
  <si>
    <t>N1 </t>
  </si>
  <si>
    <t>129845 B</t>
  </si>
  <si>
    <t>117582 K</t>
  </si>
  <si>
    <t>DUBUC MATHIEU</t>
  </si>
  <si>
    <t>013026 A</t>
  </si>
  <si>
    <t>DUCOURTHIAL FRANCIS</t>
  </si>
  <si>
    <t>169261 E</t>
  </si>
  <si>
    <t>DUFFAU DOMINIQUE</t>
  </si>
  <si>
    <t>013032 G</t>
  </si>
  <si>
    <t>DUGAST PASCAL</t>
  </si>
  <si>
    <t>013038 M</t>
  </si>
  <si>
    <t>DUMONT REMY</t>
  </si>
  <si>
    <t>133265 P</t>
  </si>
  <si>
    <t>DUPAGNE ALAIN</t>
  </si>
  <si>
    <t>146395 P</t>
  </si>
  <si>
    <t>DUPONT PIERRE LUC</t>
  </si>
  <si>
    <t>013043 R</t>
  </si>
  <si>
    <t>DUPONT STEPHANE</t>
  </si>
  <si>
    <t>150539 E</t>
  </si>
  <si>
    <t>DUPRE BERNARD</t>
  </si>
  <si>
    <t>013045 T</t>
  </si>
  <si>
    <t>DUPUY PHILIPPE</t>
  </si>
  <si>
    <t>011389 B</t>
  </si>
  <si>
    <t>DURANCET DAVID</t>
  </si>
  <si>
    <t>013055 D</t>
  </si>
  <si>
    <t>DUVAL CHRISTOPHE</t>
  </si>
  <si>
    <t>134792 I</t>
  </si>
  <si>
    <t>DUVAL GERARD</t>
  </si>
  <si>
    <t>013058 G</t>
  </si>
  <si>
    <t>DUVERNOY CHRISTOPHE</t>
  </si>
  <si>
    <t>108830 U</t>
  </si>
  <si>
    <t>EBONGUE MISSIPO RENE</t>
  </si>
  <si>
    <t>159577 D</t>
  </si>
  <si>
    <t>ECHEVERRY MARIN HECTOR</t>
  </si>
  <si>
    <t>Masters </t>
  </si>
  <si>
    <t>013061 J</t>
  </si>
  <si>
    <t>EDELIN LOUIS</t>
  </si>
  <si>
    <t>179514 Z</t>
  </si>
  <si>
    <t>EDERY ANDRE</t>
  </si>
  <si>
    <t>172629 Q</t>
  </si>
  <si>
    <t>EDO PASCAL</t>
  </si>
  <si>
    <t>126916 K</t>
  </si>
  <si>
    <t>ENZ CLAUDE</t>
  </si>
  <si>
    <t>013077 Z</t>
  </si>
  <si>
    <t>ESPINERA GERARD</t>
  </si>
  <si>
    <t>108071 P</t>
  </si>
  <si>
    <t>ESPOSITO PATRICK</t>
  </si>
  <si>
    <t>130973 L</t>
  </si>
  <si>
    <t>EVE ALEXANDRE</t>
  </si>
  <si>
    <t>09126 – BILLARD CLUB 8&amp;9</t>
  </si>
  <si>
    <t>148066 R</t>
  </si>
  <si>
    <t>EYMARD BIANCHI FERRARI CELINE</t>
  </si>
  <si>
    <t>013082 E</t>
  </si>
  <si>
    <t>FABERT PATRICK</t>
  </si>
  <si>
    <t>105555 V</t>
  </si>
  <si>
    <t>FABRE BERNARD</t>
  </si>
  <si>
    <t>09033 – ACADEMIE BILLARD CLUB DE GARGES</t>
  </si>
  <si>
    <t>106022 U</t>
  </si>
  <si>
    <t>FAERBER BENOIT</t>
  </si>
  <si>
    <t>013087 J</t>
  </si>
  <si>
    <t>FAGET ALAIN</t>
  </si>
  <si>
    <t>111136 M</t>
  </si>
  <si>
    <t>FAURE JEAN CLAUDE</t>
  </si>
  <si>
    <t>151437 F</t>
  </si>
  <si>
    <t>FAVIEN CHRISTIAN</t>
  </si>
  <si>
    <t>120708 Q</t>
  </si>
  <si>
    <t>FAY PASCAL</t>
  </si>
  <si>
    <t>113921 P</t>
  </si>
  <si>
    <t>FELLAH BACHIR</t>
  </si>
  <si>
    <t>013107 D</t>
  </si>
  <si>
    <t>FELLOUS HERVE</t>
  </si>
  <si>
    <t>108072 Q</t>
  </si>
  <si>
    <t>FENEROL MICHEL</t>
  </si>
  <si>
    <t>143225 R</t>
  </si>
  <si>
    <t>FEREDY VICTOR</t>
  </si>
  <si>
    <t>013110 G</t>
  </si>
  <si>
    <t>FERNANDES MICHEL</t>
  </si>
  <si>
    <t>156543 F</t>
  </si>
  <si>
    <t>FERNANDES ALVES FRANCISCO</t>
  </si>
  <si>
    <t>013113 J</t>
  </si>
  <si>
    <t>FERRANDI FLORIAN</t>
  </si>
  <si>
    <t>013114 K</t>
  </si>
  <si>
    <t>FERRARA JEAN PIERRE</t>
  </si>
  <si>
    <t>013118 O</t>
  </si>
  <si>
    <t>FERREIRA MANUEL</t>
  </si>
  <si>
    <t>020751 D</t>
  </si>
  <si>
    <t>171040 N</t>
  </si>
  <si>
    <t>FETON GILBERT</t>
  </si>
  <si>
    <t>103334 K</t>
  </si>
  <si>
    <t>FEVER MARC</t>
  </si>
  <si>
    <t>013126 W</t>
  </si>
  <si>
    <t>FLAMANT CHRISTOPHE</t>
  </si>
  <si>
    <t>013136 G</t>
  </si>
  <si>
    <t>FOGHINAZZI RICHARD</t>
  </si>
  <si>
    <t>126908 C</t>
  </si>
  <si>
    <t>FONTAINE ALBAN</t>
  </si>
  <si>
    <t>126909 D</t>
  </si>
  <si>
    <t>FONTAINE JEAN</t>
  </si>
  <si>
    <t>104154 Y</t>
  </si>
  <si>
    <t>FOUCRET STEPHANE</t>
  </si>
  <si>
    <t>169253 W</t>
  </si>
  <si>
    <t>FOUQUET EMMANUEL</t>
  </si>
  <si>
    <t>142845 B</t>
  </si>
  <si>
    <t>FOURCAULT DANIEL</t>
  </si>
  <si>
    <t>013149 T</t>
  </si>
  <si>
    <t>FOURCROY LIONEL</t>
  </si>
  <si>
    <t>013150 U</t>
  </si>
  <si>
    <t>FOURDAN LOUIS</t>
  </si>
  <si>
    <t>013152 W</t>
  </si>
  <si>
    <t>FOURNIER HERVE</t>
  </si>
  <si>
    <t>117604 G</t>
  </si>
  <si>
    <t>FOY ROBERT</t>
  </si>
  <si>
    <t>09062 – BILLARD CLUB GOUSSAINVILLOIS</t>
  </si>
  <si>
    <t>113877 X</t>
  </si>
  <si>
    <t>FRA JEAN CHARLES</t>
  </si>
  <si>
    <t>152532 W</t>
  </si>
  <si>
    <t>FRANCHET RICHARD</t>
  </si>
  <si>
    <t>013159 D</t>
  </si>
  <si>
    <t>FRERET EMMANUEL</t>
  </si>
  <si>
    <t>09065 – BILLARDS PASSION</t>
  </si>
  <si>
    <t>139536 U</t>
  </si>
  <si>
    <t>FREYSZ JEAN CLAUDE</t>
  </si>
  <si>
    <t>013161 F</t>
  </si>
  <si>
    <t>FRICHET WILLIAM</t>
  </si>
  <si>
    <t>129151 J</t>
  </si>
  <si>
    <t>FUSELLIER JOEL</t>
  </si>
  <si>
    <t>013168 M</t>
  </si>
  <si>
    <t>FYNN PATRICK</t>
  </si>
  <si>
    <t>134375 H</t>
  </si>
  <si>
    <t>GAGNEBET ALAIN</t>
  </si>
  <si>
    <t>125022 O</t>
  </si>
  <si>
    <t>GALAIS RICHARD</t>
  </si>
  <si>
    <t>125441 R</t>
  </si>
  <si>
    <t>GALLAIS DAVID</t>
  </si>
  <si>
    <t>120365 L</t>
  </si>
  <si>
    <t>GANCEL PHILIPPE</t>
  </si>
  <si>
    <t>013183 B</t>
  </si>
  <si>
    <t>GANDON EUGENE</t>
  </si>
  <si>
    <t>142664 C</t>
  </si>
  <si>
    <t>GARCIA JEAN LUC</t>
  </si>
  <si>
    <t>013193 L</t>
  </si>
  <si>
    <t>GARDEL DINO</t>
  </si>
  <si>
    <t>104033 H</t>
  </si>
  <si>
    <t>GARNIER DENIS</t>
  </si>
  <si>
    <t>124960 E</t>
  </si>
  <si>
    <t>GARRIDO JOSE</t>
  </si>
  <si>
    <t>127176 K</t>
  </si>
  <si>
    <t>GATINEAU DAVID</t>
  </si>
  <si>
    <t>135326 W</t>
  </si>
  <si>
    <t>GAUCHOUX LAURENT</t>
  </si>
  <si>
    <t>120151 F</t>
  </si>
  <si>
    <t>GAUDIN THIERRY</t>
  </si>
  <si>
    <t>103321 X</t>
  </si>
  <si>
    <t>GAURET GERARD</t>
  </si>
  <si>
    <t>115319 J</t>
  </si>
  <si>
    <t>GAURET JEAN FRANCOIS</t>
  </si>
  <si>
    <t>013203 V</t>
  </si>
  <si>
    <t>GAURET JEAN LUC</t>
  </si>
  <si>
    <t>117363 Z</t>
  </si>
  <si>
    <t>GAURET MAURICE</t>
  </si>
  <si>
    <t>142675 N</t>
  </si>
  <si>
    <t>GAUVIN ALEXANDRE</t>
  </si>
  <si>
    <t>147256 L</t>
  </si>
  <si>
    <t>GAUVIN ANTOINE</t>
  </si>
  <si>
    <t>143227 T</t>
  </si>
  <si>
    <t>GAYRAUD FRANCOISE</t>
  </si>
  <si>
    <t>013215 H</t>
  </si>
  <si>
    <t>GAZAL BERNARD</t>
  </si>
  <si>
    <t>013216 I</t>
  </si>
  <si>
    <t>GEIST FLORENT</t>
  </si>
  <si>
    <t>013217 J</t>
  </si>
  <si>
    <t>GEIST FRANCOIS</t>
  </si>
  <si>
    <t>013218 K</t>
  </si>
  <si>
    <t>GENET JEROME</t>
  </si>
  <si>
    <t>113475 L</t>
  </si>
  <si>
    <t>GERVAIS JEAN MARC</t>
  </si>
  <si>
    <t>154485 T</t>
  </si>
  <si>
    <t>GESLIN CHRISTOPHE</t>
  </si>
  <si>
    <t>013226 S</t>
  </si>
  <si>
    <t>GHANEMIAN VARTIVAR</t>
  </si>
  <si>
    <t>144080 O</t>
  </si>
  <si>
    <t>GIBERGY DANIEL</t>
  </si>
  <si>
    <t>013233 Z</t>
  </si>
  <si>
    <t>GIGUET FABRICE</t>
  </si>
  <si>
    <t>013234 A</t>
  </si>
  <si>
    <t>GIGUET GILLES</t>
  </si>
  <si>
    <t>013235 B</t>
  </si>
  <si>
    <t>GIL CHRISTIAN</t>
  </si>
  <si>
    <t>149554 J</t>
  </si>
  <si>
    <t>GILLES GERARD</t>
  </si>
  <si>
    <t>145606 G</t>
  </si>
  <si>
    <t>GILLOT OLIVIER</t>
  </si>
  <si>
    <t>013244 K</t>
  </si>
  <si>
    <t>GIMENES JEAN MANUEL</t>
  </si>
  <si>
    <t>013247 N</t>
  </si>
  <si>
    <t>GIOVINETTI CARLO</t>
  </si>
  <si>
    <t>019309 R</t>
  </si>
  <si>
    <t>GODRANT JEAN PIERRE</t>
  </si>
  <si>
    <t>103168 A</t>
  </si>
  <si>
    <t>GOETSH GERARD</t>
  </si>
  <si>
    <t>140424 Y</t>
  </si>
  <si>
    <t>GOLDMANN THIERRY</t>
  </si>
  <si>
    <t>157921 D</t>
  </si>
  <si>
    <t>GONCALVES LINO</t>
  </si>
  <si>
    <t>09002 – BILLARD CLUB DE BUCHELAY</t>
  </si>
  <si>
    <t>111337 F</t>
  </si>
  <si>
    <t>GONTHIER ARNAUD</t>
  </si>
  <si>
    <t>113564 W</t>
  </si>
  <si>
    <t>GOSSELIN OLIVIER</t>
  </si>
  <si>
    <t>156047 R</t>
  </si>
  <si>
    <t>GOUBAULT DANIEL</t>
  </si>
  <si>
    <t>013269 J</t>
  </si>
  <si>
    <t>GOUDIFA CHRISTIAN</t>
  </si>
  <si>
    <t>127021 L</t>
  </si>
  <si>
    <t>GOUERE PIERRE</t>
  </si>
  <si>
    <t>113786 K</t>
  </si>
  <si>
    <t>GOULAM JEAN</t>
  </si>
  <si>
    <t>013273 N</t>
  </si>
  <si>
    <t>GOURION PHILIPPE</t>
  </si>
  <si>
    <t>150497 J</t>
  </si>
  <si>
    <t>GOUVEIA VICTOR</t>
  </si>
  <si>
    <t>108137 D</t>
  </si>
  <si>
    <t>GRANERO JOSE</t>
  </si>
  <si>
    <t>141150 W</t>
  </si>
  <si>
    <t>GREHIER NICOLAS</t>
  </si>
  <si>
    <t>125428 E</t>
  </si>
  <si>
    <t>GRENINGER PATRICK</t>
  </si>
  <si>
    <t>013297 L</t>
  </si>
  <si>
    <t>GUENET FREDERIC</t>
  </si>
  <si>
    <t>103415 N</t>
  </si>
  <si>
    <t>GUEREDRAT PIERRE</t>
  </si>
  <si>
    <t>111111 N</t>
  </si>
  <si>
    <t>GUERIF NATHALIE</t>
  </si>
  <si>
    <t>09071 – ESPACE AMERICAIN CLUB BILLARD</t>
  </si>
  <si>
    <t>135962 I</t>
  </si>
  <si>
    <t>GUERIN XAVIER</t>
  </si>
  <si>
    <t>013309 X</t>
  </si>
  <si>
    <t>GUILBERT ERIC</t>
  </si>
  <si>
    <t>013317 F</t>
  </si>
  <si>
    <t>GUILLOTIN GILLES</t>
  </si>
  <si>
    <t>013320 I</t>
  </si>
  <si>
    <t>GUINARD GERARD</t>
  </si>
  <si>
    <t>139690 S</t>
  </si>
  <si>
    <t>GUINGAND FLORIAN</t>
  </si>
  <si>
    <t>013325 N</t>
  </si>
  <si>
    <t>GUREWAN SURESH</t>
  </si>
  <si>
    <t>173972 A</t>
  </si>
  <si>
    <t>GURZYNSKI NATHALIE</t>
  </si>
  <si>
    <t>013329 R</t>
  </si>
  <si>
    <t>HALBOUT GEORGES</t>
  </si>
  <si>
    <t>104146 Q</t>
  </si>
  <si>
    <t>HANGARD CEDRIC</t>
  </si>
  <si>
    <t>013335 X</t>
  </si>
  <si>
    <t>HANSEL GERARD</t>
  </si>
  <si>
    <t>114567 L</t>
  </si>
  <si>
    <t>HARY MATHIEU</t>
  </si>
  <si>
    <t>108816 G</t>
  </si>
  <si>
    <t>HAUTECOEUR CLAUDE</t>
  </si>
  <si>
    <t>149172 T</t>
  </si>
  <si>
    <t>HAYEM JACKIE</t>
  </si>
  <si>
    <t>120639 Z</t>
  </si>
  <si>
    <t>HELLAL DENIS</t>
  </si>
  <si>
    <t>163708 T</t>
  </si>
  <si>
    <t>HENDRICKX PASCAL</t>
  </si>
  <si>
    <t>013345 H</t>
  </si>
  <si>
    <t>HENRION ROMARIC</t>
  </si>
  <si>
    <t>163976 K</t>
  </si>
  <si>
    <t>HENRIQUET MARC</t>
  </si>
  <si>
    <t>123880 Q</t>
  </si>
  <si>
    <t>HERON CHARLY</t>
  </si>
  <si>
    <t>138126 O</t>
  </si>
  <si>
    <t>HERRAULT PATRICK</t>
  </si>
  <si>
    <t>013352 O</t>
  </si>
  <si>
    <t>HEURTIER JACQUES</t>
  </si>
  <si>
    <t>013354 Q</t>
  </si>
  <si>
    <t>HIERNARD JEAN</t>
  </si>
  <si>
    <t>142395 T</t>
  </si>
  <si>
    <t>HIEYTE GERARD</t>
  </si>
  <si>
    <t>133647 H</t>
  </si>
  <si>
    <t>HO NHUT CHINH</t>
  </si>
  <si>
    <t>013356 S</t>
  </si>
  <si>
    <t>HOANG TRONG RICHARD</t>
  </si>
  <si>
    <t>013358 U</t>
  </si>
  <si>
    <t>HOCQUET FRANCK</t>
  </si>
  <si>
    <t>174588 V</t>
  </si>
  <si>
    <t>HOEGHOLM MORTEN</t>
  </si>
  <si>
    <t>113957 Z</t>
  </si>
  <si>
    <t>HOLIVE MICHEL</t>
  </si>
  <si>
    <t>122105 J</t>
  </si>
  <si>
    <t>HOUBART MICHEL</t>
  </si>
  <si>
    <t>109512 A</t>
  </si>
  <si>
    <t>HOUDEBINE TONY</t>
  </si>
  <si>
    <t>120412 G</t>
  </si>
  <si>
    <t>HOUDOU ROLAND</t>
  </si>
  <si>
    <t>013365 B</t>
  </si>
  <si>
    <t>HOUPLAIN MICHEL</t>
  </si>
  <si>
    <t>013370 G</t>
  </si>
  <si>
    <t>HUBERT MICHEL</t>
  </si>
  <si>
    <t>143207 Z</t>
  </si>
  <si>
    <t>HURAULT RELI</t>
  </si>
  <si>
    <t>013377 N</t>
  </si>
  <si>
    <t>HUYNH QUAN SUU ANTOINE</t>
  </si>
  <si>
    <t>110383 N</t>
  </si>
  <si>
    <t>ICELLI BURAK</t>
  </si>
  <si>
    <t>160101 Y</t>
  </si>
  <si>
    <t>IDIER STEPHANE</t>
  </si>
  <si>
    <t>013381 R</t>
  </si>
  <si>
    <t>IMSEL NECDET</t>
  </si>
  <si>
    <t>120252 C</t>
  </si>
  <si>
    <t>IQUI JEAN FRANCK</t>
  </si>
  <si>
    <t>142208 O</t>
  </si>
  <si>
    <t>ITTAH SAMUEL</t>
  </si>
  <si>
    <t>017581 F</t>
  </si>
  <si>
    <t>JACQUET DAVID</t>
  </si>
  <si>
    <t>137895 R</t>
  </si>
  <si>
    <t>JAFFRENNOU ERIC</t>
  </si>
  <si>
    <t>013393 D</t>
  </si>
  <si>
    <t>JAGU CLAUDE</t>
  </si>
  <si>
    <t>137829 D</t>
  </si>
  <si>
    <t>JANOTS ERIC</t>
  </si>
  <si>
    <t>143257 X</t>
  </si>
  <si>
    <t>JANTZEN JOSE</t>
  </si>
  <si>
    <t>151920 F</t>
  </si>
  <si>
    <t>JARENO JOSE</t>
  </si>
  <si>
    <t>013399 J</t>
  </si>
  <si>
    <t>JARRETY DIDIER</t>
  </si>
  <si>
    <t>152265 F</t>
  </si>
  <si>
    <t>JARRIER CHRISTIAN</t>
  </si>
  <si>
    <t>118718 C</t>
  </si>
  <si>
    <t>013406 Q</t>
  </si>
  <si>
    <t>JOUBI BERNARD</t>
  </si>
  <si>
    <t>124758 K</t>
  </si>
  <si>
    <t>JOURDAIN ROGER</t>
  </si>
  <si>
    <t>013415 Z</t>
  </si>
  <si>
    <t>JOYEZ PATRICK</t>
  </si>
  <si>
    <t>013421 F</t>
  </si>
  <si>
    <t>JULLIEN MARIE LOUISE</t>
  </si>
  <si>
    <t>013423 H</t>
  </si>
  <si>
    <t>JUMEAU JEAN LUC</t>
  </si>
  <si>
    <t>139918 M</t>
  </si>
  <si>
    <t>KACIMI YANNIS</t>
  </si>
  <si>
    <t>141149 V</t>
  </si>
  <si>
    <t>KALENSKY DANIEL</t>
  </si>
  <si>
    <t>013425 J</t>
  </si>
  <si>
    <t>KALENSKY DIDIER</t>
  </si>
  <si>
    <t>013428 M</t>
  </si>
  <si>
    <t>KEREBEL ERIC</t>
  </si>
  <si>
    <t>132470 A</t>
  </si>
  <si>
    <t>KHAYAT DOMINIQUE</t>
  </si>
  <si>
    <t>125437 N</t>
  </si>
  <si>
    <t>KOCU MASSIS</t>
  </si>
  <si>
    <t>108024 U</t>
  </si>
  <si>
    <t>KUHN JEAN CLAUDE</t>
  </si>
  <si>
    <t>120654 O</t>
  </si>
  <si>
    <t>KUNDOLFF JACQUES</t>
  </si>
  <si>
    <t>135223 X</t>
  </si>
  <si>
    <t>KUNT VAHIT</t>
  </si>
  <si>
    <t>118148 E</t>
  </si>
  <si>
    <t>KUTSAR TANJU</t>
  </si>
  <si>
    <t>136220 G</t>
  </si>
  <si>
    <t>LABOUREAU VERONIQUE</t>
  </si>
  <si>
    <t>013447 F</t>
  </si>
  <si>
    <t>LABOURIE JEAN CLAUDE</t>
  </si>
  <si>
    <t>124761 N</t>
  </si>
  <si>
    <t>LACROIX JULIEN</t>
  </si>
  <si>
    <t>144265 R</t>
  </si>
  <si>
    <t>LAFRIQUE JEAN FRANCOIS</t>
  </si>
  <si>
    <t>104059 H</t>
  </si>
  <si>
    <t>LAHAYE JEAN CLAUDE</t>
  </si>
  <si>
    <t>131160 Q</t>
  </si>
  <si>
    <t>LAMBIN FREDERIC</t>
  </si>
  <si>
    <t>132839 F</t>
  </si>
  <si>
    <t>LANCEZEUX JEAN JACQUES</t>
  </si>
  <si>
    <t>013475 H</t>
  </si>
  <si>
    <t>LANGLAIS JEAN JACQUES</t>
  </si>
  <si>
    <t>013476 I</t>
  </si>
  <si>
    <t>LANQUETIN DIDIER</t>
  </si>
  <si>
    <t>013479 L</t>
  </si>
  <si>
    <t>LANVIN LIONEL</t>
  </si>
  <si>
    <t>134791 H</t>
  </si>
  <si>
    <t>LAPERTOT MICHEL</t>
  </si>
  <si>
    <t>013485 R</t>
  </si>
  <si>
    <t>LARIVE FREDERIC</t>
  </si>
  <si>
    <t>141146 S</t>
  </si>
  <si>
    <t>LASNE CHRISTIAN</t>
  </si>
  <si>
    <t>126984 A</t>
  </si>
  <si>
    <t>LAUMONT PAUL</t>
  </si>
  <si>
    <t>013495 B</t>
  </si>
  <si>
    <t>LAVOCAT DUBUIS ALAIN</t>
  </si>
  <si>
    <t>013499 F</t>
  </si>
  <si>
    <t>LE COAT JEAN PHILIPPE</t>
  </si>
  <si>
    <t>143716 O</t>
  </si>
  <si>
    <t>LE COAT THOMAS</t>
  </si>
  <si>
    <t>013503 J</t>
  </si>
  <si>
    <t>LE DAIN SERGE</t>
  </si>
  <si>
    <t>013542 W</t>
  </si>
  <si>
    <t>LE GAC PHILIPPE</t>
  </si>
  <si>
    <t>118031 R</t>
  </si>
  <si>
    <t>LE HUAN CUA TRAN</t>
  </si>
  <si>
    <t>124878 A</t>
  </si>
  <si>
    <t>LE MOAL JEAN</t>
  </si>
  <si>
    <t>140428 C</t>
  </si>
  <si>
    <t>LE NOUVEL PHILIPPE</t>
  </si>
  <si>
    <t>111043 X</t>
  </si>
  <si>
    <t>LE PICAULT MARC</t>
  </si>
  <si>
    <t>117441 Z</t>
  </si>
  <si>
    <t>LE PORT LIONEL</t>
  </si>
  <si>
    <t>013513 T</t>
  </si>
  <si>
    <t>LE ROY JEAN PIERRE</t>
  </si>
  <si>
    <t>013514 U</t>
  </si>
  <si>
    <t>LE ROY XAVIER</t>
  </si>
  <si>
    <t>138060 A</t>
  </si>
  <si>
    <t>LE SAGE JEAN</t>
  </si>
  <si>
    <t>150408 M</t>
  </si>
  <si>
    <t>LE TRIBOT GHISLAINE</t>
  </si>
  <si>
    <t>168407 B</t>
  </si>
  <si>
    <t>LEBARBIER CATHERINE</t>
  </si>
  <si>
    <t>168408 C</t>
  </si>
  <si>
    <t>LEBARBIER JEAN MARC</t>
  </si>
  <si>
    <t>144267 T</t>
  </si>
  <si>
    <t>LEBEC MICHEL</t>
  </si>
  <si>
    <t>100053 F</t>
  </si>
  <si>
    <t>LEBRUN PATRICK</t>
  </si>
  <si>
    <t>013526 G</t>
  </si>
  <si>
    <t>LECLERC MICHEL</t>
  </si>
  <si>
    <t>013527 H</t>
  </si>
  <si>
    <t>LECLERC PHILIPPE</t>
  </si>
  <si>
    <t>163907 K</t>
  </si>
  <si>
    <t>LECLUSE PHILIPPE</t>
  </si>
  <si>
    <t>168001 K</t>
  </si>
  <si>
    <t>LECUYER DIDIER</t>
  </si>
  <si>
    <t>169971 B</t>
  </si>
  <si>
    <t>LEDARD NOEL</t>
  </si>
  <si>
    <t>121405 L</t>
  </si>
  <si>
    <t>LEFEBVRE JONATHAN</t>
  </si>
  <si>
    <t>013546 A</t>
  </si>
  <si>
    <t>LEGER JEAN</t>
  </si>
  <si>
    <t>163137 Y</t>
  </si>
  <si>
    <t>LEGRAND FRANCK</t>
  </si>
  <si>
    <t>013550 E</t>
  </si>
  <si>
    <t>LEGRAND GUY</t>
  </si>
  <si>
    <t>013551 F</t>
  </si>
  <si>
    <t>LEGRAND JACQUES</t>
  </si>
  <si>
    <t>108138 E</t>
  </si>
  <si>
    <t>LEHBIL AIDA</t>
  </si>
  <si>
    <t>013554 I</t>
  </si>
  <si>
    <t>LEIBOVICI PATRICK</t>
  </si>
  <si>
    <t>013557 L</t>
  </si>
  <si>
    <t>LEJEUNE EDDIE</t>
  </si>
  <si>
    <t>147409 C</t>
  </si>
  <si>
    <t>LELAY JEAN YVES</t>
  </si>
  <si>
    <t>120821 Z</t>
  </si>
  <si>
    <t>LEMEE JULIEN</t>
  </si>
  <si>
    <t>143411 V</t>
  </si>
  <si>
    <t>LEMEN JEAN JACQUES</t>
  </si>
  <si>
    <t>013567 V</t>
  </si>
  <si>
    <t>LEON LAURENT</t>
  </si>
  <si>
    <t>141638 Q</t>
  </si>
  <si>
    <t>LEPORI BRUNO</t>
  </si>
  <si>
    <t>114581 Z</t>
  </si>
  <si>
    <t>LEROUX REMI</t>
  </si>
  <si>
    <t>103261 P</t>
  </si>
  <si>
    <t>LEROY PASCAL</t>
  </si>
  <si>
    <t>139549 H</t>
  </si>
  <si>
    <t>LEROY WILFRID</t>
  </si>
  <si>
    <t>013581 J</t>
  </si>
  <si>
    <t>LEROY WILLIAM</t>
  </si>
  <si>
    <t>178429 V</t>
  </si>
  <si>
    <t>LEVY LAURENT</t>
  </si>
  <si>
    <t>013592 U</t>
  </si>
  <si>
    <t>LHARDY FRANCOIS</t>
  </si>
  <si>
    <t>013598 A</t>
  </si>
  <si>
    <t>LIEVIN BERNARD</t>
  </si>
  <si>
    <t>108113 F</t>
  </si>
  <si>
    <t>LIOTARD GILLES</t>
  </si>
  <si>
    <t>120115 V</t>
  </si>
  <si>
    <t>LIVET YVON</t>
  </si>
  <si>
    <t>155170 N</t>
  </si>
  <si>
    <t>LLAMEDO MAXIMILIEN</t>
  </si>
  <si>
    <t>140581 Z</t>
  </si>
  <si>
    <t>LODEHO STEPHANE</t>
  </si>
  <si>
    <t>149913 Z</t>
  </si>
  <si>
    <t>LOIZET LAURENT</t>
  </si>
  <si>
    <t>013604 G</t>
  </si>
  <si>
    <t>LOMBARD JEAN NOEL</t>
  </si>
  <si>
    <t>013608 K</t>
  </si>
  <si>
    <t>LOPEZ ROQUE</t>
  </si>
  <si>
    <t>013618 U</t>
  </si>
  <si>
    <t>LOURDOU GERARD</t>
  </si>
  <si>
    <t>144284 K</t>
  </si>
  <si>
    <t>LOVREIRO RAFAEL</t>
  </si>
  <si>
    <t>107940 O</t>
  </si>
  <si>
    <t>LUIGGI PAUL</t>
  </si>
  <si>
    <t>013640 Q</t>
  </si>
  <si>
    <t>MAISONNEUVE DOMINIQUE</t>
  </si>
  <si>
    <t>110995 B</t>
  </si>
  <si>
    <t>MALAHIEUDE CLAUDE</t>
  </si>
  <si>
    <t>147125 T</t>
  </si>
  <si>
    <t>MALAMAS ALEXIS</t>
  </si>
  <si>
    <t>147796 Y</t>
  </si>
  <si>
    <t>MALASSIGNE ELFEGE</t>
  </si>
  <si>
    <t>132698 U</t>
  </si>
  <si>
    <t>MALEK PATRICK</t>
  </si>
  <si>
    <t>143826 U</t>
  </si>
  <si>
    <t>MANCY PIERRE</t>
  </si>
  <si>
    <t>148632 G</t>
  </si>
  <si>
    <t>MANE FRANCOIS</t>
  </si>
  <si>
    <t>013649 Z</t>
  </si>
  <si>
    <t>MANETTI JEAN PIERRE</t>
  </si>
  <si>
    <t>152174 G</t>
  </si>
  <si>
    <t>MANSOUR MAHMOUD</t>
  </si>
  <si>
    <t>013654 E</t>
  </si>
  <si>
    <t>MARATRAT JACKY</t>
  </si>
  <si>
    <t>127814 Y</t>
  </si>
  <si>
    <t>MARCANDELLA CLAUDE</t>
  </si>
  <si>
    <t>129274 C</t>
  </si>
  <si>
    <t>MARCHAND JEAN PIERRE</t>
  </si>
  <si>
    <t>013657 H</t>
  </si>
  <si>
    <t>MARECHAL PIERRE</t>
  </si>
  <si>
    <t>132702 Y</t>
  </si>
  <si>
    <t>MARGUILLIER MATHIEU</t>
  </si>
  <si>
    <t>013662 M</t>
  </si>
  <si>
    <t>MARIAGE CHRISTIAN</t>
  </si>
  <si>
    <t>123884 U</t>
  </si>
  <si>
    <t>MARIETTE LUC</t>
  </si>
  <si>
    <t>161378 L</t>
  </si>
  <si>
    <t>MARJOLET JEAN LUC</t>
  </si>
  <si>
    <t>129560 C</t>
  </si>
  <si>
    <t>MARKUC RENE</t>
  </si>
  <si>
    <t>09047 – BILLARD CLUB DE CHATEAU LANDON</t>
  </si>
  <si>
    <t>133266 Q</t>
  </si>
  <si>
    <t>MARNEAU JULIEN</t>
  </si>
  <si>
    <t>131368 Q</t>
  </si>
  <si>
    <t>MARNEAU PATRICK</t>
  </si>
  <si>
    <t>140066 E</t>
  </si>
  <si>
    <t>MARRUCHO JEAN CLAUDE</t>
  </si>
  <si>
    <t>118721 F</t>
  </si>
  <si>
    <t>MARTINACHE XAVIER</t>
  </si>
  <si>
    <t>013695 T</t>
  </si>
  <si>
    <t>MATHIOT RENE</t>
  </si>
  <si>
    <t>177059 F</t>
  </si>
  <si>
    <t>013696 U</t>
  </si>
  <si>
    <t>MATHON BERUET EMMANUEL</t>
  </si>
  <si>
    <t>09027 – BILLARD CLUB DE SOUPPES</t>
  </si>
  <si>
    <t>013698 W</t>
  </si>
  <si>
    <t>MATRAND JEAN FERNAND</t>
  </si>
  <si>
    <t>152971 Y</t>
  </si>
  <si>
    <t>MAYET JEAN FRANCOIS</t>
  </si>
  <si>
    <t>013711 J</t>
  </si>
  <si>
    <t>MAZURKIEWICZ BERNARD</t>
  </si>
  <si>
    <t>142516 K</t>
  </si>
  <si>
    <t>MECHAT YANI</t>
  </si>
  <si>
    <t>013714 M</t>
  </si>
  <si>
    <t>MEHEUST ROBERT</t>
  </si>
  <si>
    <t>169536 D</t>
  </si>
  <si>
    <t>MENDEL GILLES</t>
  </si>
  <si>
    <t>013725 X</t>
  </si>
  <si>
    <t>MERCHEZ ANDRE</t>
  </si>
  <si>
    <t>124642 Y</t>
  </si>
  <si>
    <t>MERCIER ROBIN</t>
  </si>
  <si>
    <t>134793 J</t>
  </si>
  <si>
    <t>MEROT DOMINIQUE</t>
  </si>
  <si>
    <t>153594 A</t>
  </si>
  <si>
    <t>MESZES ALEXANDRE</t>
  </si>
  <si>
    <t>134983 R</t>
  </si>
  <si>
    <t>MICHAUD YVES</t>
  </si>
  <si>
    <t>104179 X</t>
  </si>
  <si>
    <t>MICHEL FREDERIC</t>
  </si>
  <si>
    <t>013738 K</t>
  </si>
  <si>
    <t>MICHEL LOUIS</t>
  </si>
  <si>
    <t>013743 P</t>
  </si>
  <si>
    <t>MILLER JEAN LUC</t>
  </si>
  <si>
    <t>023198 G</t>
  </si>
  <si>
    <t>MILLET JEAN FRANCOIS</t>
  </si>
  <si>
    <t>013749 V</t>
  </si>
  <si>
    <t>MIMPONTEL GERARD</t>
  </si>
  <si>
    <t>013752 Y</t>
  </si>
  <si>
    <t>MIRABILE GIUSEPPE</t>
  </si>
  <si>
    <t>09079 – LES INSOMNIAQUES</t>
  </si>
  <si>
    <t>013753 Z</t>
  </si>
  <si>
    <t>MIRLAUD MAURICE</t>
  </si>
  <si>
    <t>135957 D</t>
  </si>
  <si>
    <t>MIRMAN KEVIN</t>
  </si>
  <si>
    <t>125422 Y</t>
  </si>
  <si>
    <t>MIRMAN STEPHANE</t>
  </si>
  <si>
    <t>129204 K</t>
  </si>
  <si>
    <t>MIRMAN VINCENT</t>
  </si>
  <si>
    <t>013758 E</t>
  </si>
  <si>
    <t>MOLET CLAUDE</t>
  </si>
  <si>
    <t>149603 M</t>
  </si>
  <si>
    <t>MOLL JEAN JACQUES</t>
  </si>
  <si>
    <t>117671 V</t>
  </si>
  <si>
    <t>MONTPELLIER ALEX</t>
  </si>
  <si>
    <t>123853 P</t>
  </si>
  <si>
    <t>MONTUY BENJAMIN</t>
  </si>
  <si>
    <t>013780 A</t>
  </si>
  <si>
    <t>MOREL CHRISTINE</t>
  </si>
  <si>
    <t>013781 B</t>
  </si>
  <si>
    <t>MOREL PIERRE YVES</t>
  </si>
  <si>
    <t>013786 G</t>
  </si>
  <si>
    <t>MORIN THIERRY</t>
  </si>
  <si>
    <t>013789 J</t>
  </si>
  <si>
    <t>MORMICHE MICHEL</t>
  </si>
  <si>
    <t>126988 E</t>
  </si>
  <si>
    <t>MOSSINO MARC</t>
  </si>
  <si>
    <t>137837 L</t>
  </si>
  <si>
    <t>MOSTAFAVI SIAMAK</t>
  </si>
  <si>
    <t>013796 Q</t>
  </si>
  <si>
    <t>MOULAY DIDIER</t>
  </si>
  <si>
    <t>157837 M</t>
  </si>
  <si>
    <t>MOUSSIT JACQUES</t>
  </si>
  <si>
    <t>013811 F</t>
  </si>
  <si>
    <t>MURILLO GUILLERMO</t>
  </si>
  <si>
    <t>111704 I</t>
  </si>
  <si>
    <t>MUS YVES</t>
  </si>
  <si>
    <t>115245 N</t>
  </si>
  <si>
    <t>MUSNIER SYLVAIN</t>
  </si>
  <si>
    <t>126919 N</t>
  </si>
  <si>
    <t>MUSSARD PATRICE</t>
  </si>
  <si>
    <t>132895 J</t>
  </si>
  <si>
    <t>N GUYEN ANTOINE</t>
  </si>
  <si>
    <t>157316 W</t>
  </si>
  <si>
    <t>NABOULET MICHEL</t>
  </si>
  <si>
    <t>013813 H</t>
  </si>
  <si>
    <t>NAJAR ABDERRAZAK</t>
  </si>
  <si>
    <t>013814 I</t>
  </si>
  <si>
    <t>NANNINI VICTORIO</t>
  </si>
  <si>
    <t>013823 R</t>
  </si>
  <si>
    <t>NEUTS JEAN CLAUDE</t>
  </si>
  <si>
    <t>013824 S</t>
  </si>
  <si>
    <t>NEVES REIS CARLOS</t>
  </si>
  <si>
    <t>018914 M</t>
  </si>
  <si>
    <t>NGUYEN DUC</t>
  </si>
  <si>
    <t>147552 H</t>
  </si>
  <si>
    <t>NGUYEN HUY</t>
  </si>
  <si>
    <t>142514 I</t>
  </si>
  <si>
    <t>NGUYEN JEAN CLAUDE</t>
  </si>
  <si>
    <t>123463 P</t>
  </si>
  <si>
    <t>NGUYEN CAO ALAIN</t>
  </si>
  <si>
    <t>123401 F</t>
  </si>
  <si>
    <t>NGUYEN DONG SON</t>
  </si>
  <si>
    <t>129573 P</t>
  </si>
  <si>
    <t>NICOLAS RENE</t>
  </si>
  <si>
    <t>013836 E</t>
  </si>
  <si>
    <t>NIRIGE EMMANUEL</t>
  </si>
  <si>
    <t>013842 K</t>
  </si>
  <si>
    <t>NOIROT JEAN PIERRE</t>
  </si>
  <si>
    <t>100154 C</t>
  </si>
  <si>
    <t>NOLEAU NOEL</t>
  </si>
  <si>
    <t>104194 M</t>
  </si>
  <si>
    <t>NOSSEIN PHILIPPE</t>
  </si>
  <si>
    <t>125424 A</t>
  </si>
  <si>
    <t>NOTARIANNI ANGELO</t>
  </si>
  <si>
    <t>143058 G</t>
  </si>
  <si>
    <t>NOULET DORIAN</t>
  </si>
  <si>
    <t>013859 B</t>
  </si>
  <si>
    <t>OUAHRIROU SEDRIK</t>
  </si>
  <si>
    <t>153680 T</t>
  </si>
  <si>
    <t>OULD ALI BERNARD</t>
  </si>
  <si>
    <t>013861 D</t>
  </si>
  <si>
    <t>OUVRARD LUCIEN</t>
  </si>
  <si>
    <t>013863 F</t>
  </si>
  <si>
    <t>PACETTI CLAUDE</t>
  </si>
  <si>
    <t>167386 R</t>
  </si>
  <si>
    <t>PALACIOS DELIO</t>
  </si>
  <si>
    <t>136957 P</t>
  </si>
  <si>
    <t>PALLOT DOMINIQUE</t>
  </si>
  <si>
    <t>014652 O</t>
  </si>
  <si>
    <t>PANIS BASTIEN</t>
  </si>
  <si>
    <t>013874 Q</t>
  </si>
  <si>
    <t>PARISI JEAN CLAUDE</t>
  </si>
  <si>
    <t>158296 L</t>
  </si>
  <si>
    <t>PECQUET XAVIER</t>
  </si>
  <si>
    <t>138756 U</t>
  </si>
  <si>
    <t>PELLETIER MICHEL</t>
  </si>
  <si>
    <t>013893 J</t>
  </si>
  <si>
    <t>PELLUCHON FABRICE</t>
  </si>
  <si>
    <t>167387 S</t>
  </si>
  <si>
    <t>PENDILLA ROBENS</t>
  </si>
  <si>
    <t>013895 L</t>
  </si>
  <si>
    <t>PENNETIER JEAN LOUIS</t>
  </si>
  <si>
    <t>109519 H</t>
  </si>
  <si>
    <t>PEREZ JEROME</t>
  </si>
  <si>
    <t>013901 R</t>
  </si>
  <si>
    <t>PERIER ALAIN</t>
  </si>
  <si>
    <t>104060 I</t>
  </si>
  <si>
    <t>PERRET MARC</t>
  </si>
  <si>
    <t>103513 H</t>
  </si>
  <si>
    <t>PERRIN ERIC</t>
  </si>
  <si>
    <t>122235 J</t>
  </si>
  <si>
    <t>PERRIN VINCENT</t>
  </si>
  <si>
    <t>013907 X</t>
  </si>
  <si>
    <t>PERROT PASCAL</t>
  </si>
  <si>
    <t>144749 H</t>
  </si>
  <si>
    <t>PERSEGOL JEAN PIERRE</t>
  </si>
  <si>
    <t>013916 G</t>
  </si>
  <si>
    <t>PETKOFF DIDIER</t>
  </si>
  <si>
    <t>013917 H</t>
  </si>
  <si>
    <t>PETKOFF GEORGES</t>
  </si>
  <si>
    <t>108129 V</t>
  </si>
  <si>
    <t>PETRIDIS JEAN MICHEL</t>
  </si>
  <si>
    <t>158860 Z</t>
  </si>
  <si>
    <t>PEZARD GERARD</t>
  </si>
  <si>
    <t>015350 K</t>
  </si>
  <si>
    <t>PFEIFFER GUY</t>
  </si>
  <si>
    <t>013924 O</t>
  </si>
  <si>
    <t>PHAM THAO</t>
  </si>
  <si>
    <t>130543 X</t>
  </si>
  <si>
    <t>PHAM THIBAUT</t>
  </si>
  <si>
    <t>109499 N</t>
  </si>
  <si>
    <t>PIATECKI BENJAMIN</t>
  </si>
  <si>
    <t>157535 J</t>
  </si>
  <si>
    <t>PIBOURDIN ERIC</t>
  </si>
  <si>
    <t>132690 M</t>
  </si>
  <si>
    <t>PICHET CLAUDE</t>
  </si>
  <si>
    <t>013932 W</t>
  </si>
  <si>
    <t>PICHON JEAN LUC</t>
  </si>
  <si>
    <t>013933 X</t>
  </si>
  <si>
    <t>PICHON THIERRY</t>
  </si>
  <si>
    <t>140023 N</t>
  </si>
  <si>
    <t>PICOLLET MICHEL</t>
  </si>
  <si>
    <t>103180 M</t>
  </si>
  <si>
    <t>PIGUET ANDRE</t>
  </si>
  <si>
    <t>139436 Y</t>
  </si>
  <si>
    <t>PILLIER JACQUES</t>
  </si>
  <si>
    <t>152784 V</t>
  </si>
  <si>
    <t>PINO DAMIEN</t>
  </si>
  <si>
    <t>151320 D</t>
  </si>
  <si>
    <t>PINO PHILIPPE</t>
  </si>
  <si>
    <t>141774 W</t>
  </si>
  <si>
    <t>PINSON CHRISTIAN</t>
  </si>
  <si>
    <t>130968 G</t>
  </si>
  <si>
    <t>PINTO ALBERT</t>
  </si>
  <si>
    <t>114580 Y</t>
  </si>
  <si>
    <t>PLANELLES ERIC</t>
  </si>
  <si>
    <t>013952 Q</t>
  </si>
  <si>
    <t>PLAQUEVENT MICHEL</t>
  </si>
  <si>
    <t>123886 W</t>
  </si>
  <si>
    <t>POINDESSOUS GILLES</t>
  </si>
  <si>
    <t>013961 Z</t>
  </si>
  <si>
    <t>PONZO JOSEPH</t>
  </si>
  <si>
    <t>154493 C</t>
  </si>
  <si>
    <t>PORLIER MICHEL</t>
  </si>
  <si>
    <t>115313 D</t>
  </si>
  <si>
    <t>POT JEAN MARIE</t>
  </si>
  <si>
    <t>013973 L</t>
  </si>
  <si>
    <t>POTISLAVOWSKI LIONEL</t>
  </si>
  <si>
    <t>013975 N</t>
  </si>
  <si>
    <t>POTOCZNIAK PIERRE</t>
  </si>
  <si>
    <t>132632 G</t>
  </si>
  <si>
    <t>POTTIER MICHEL</t>
  </si>
  <si>
    <t>164134 G</t>
  </si>
  <si>
    <t>POUGES CLAUDE</t>
  </si>
  <si>
    <t>162661 F</t>
  </si>
  <si>
    <t>POULAIN BRUNO</t>
  </si>
  <si>
    <t>108139 F</t>
  </si>
  <si>
    <t>POZZO ERIC</t>
  </si>
  <si>
    <t>122108 M</t>
  </si>
  <si>
    <t>PRAS DAVID</t>
  </si>
  <si>
    <t>013992 E</t>
  </si>
  <si>
    <t>PREVOST NATHALIE</t>
  </si>
  <si>
    <t>143260 A</t>
  </si>
  <si>
    <t>PRIEUR JEAN CLAUDE</t>
  </si>
  <si>
    <t>144845 Z</t>
  </si>
  <si>
    <t>PRIEURE PHILIPPE</t>
  </si>
  <si>
    <t>138085 Z</t>
  </si>
  <si>
    <t>PRIGENT JEAN MARC</t>
  </si>
  <si>
    <t>113954 W</t>
  </si>
  <si>
    <t>PRIMAULT EMMANUEL</t>
  </si>
  <si>
    <t>013999 L</t>
  </si>
  <si>
    <t>PROCHILO VINCENT</t>
  </si>
  <si>
    <t>132693 P</t>
  </si>
  <si>
    <t>PROUX MARCEL</t>
  </si>
  <si>
    <t>014003 P</t>
  </si>
  <si>
    <t>PROVOST CLAUDE</t>
  </si>
  <si>
    <t>014011 X</t>
  </si>
  <si>
    <t>PYTKOWICZ JULIEN</t>
  </si>
  <si>
    <t>163133 T</t>
  </si>
  <si>
    <t>QUILIN JEAN JACQUES</t>
  </si>
  <si>
    <t>147173 W</t>
  </si>
  <si>
    <t>QUINSAC PASCAL</t>
  </si>
  <si>
    <t>178620 C</t>
  </si>
  <si>
    <t>RAKSZAWA GREGORY</t>
  </si>
  <si>
    <t>103113 X</t>
  </si>
  <si>
    <t>RANGDET DAVID</t>
  </si>
  <si>
    <t>014026 M</t>
  </si>
  <si>
    <t>RAULT JULIEN</t>
  </si>
  <si>
    <t>014027 N</t>
  </si>
  <si>
    <t>RAUX FERNAND</t>
  </si>
  <si>
    <t>180098 J</t>
  </si>
  <si>
    <t>RAYE JOEL</t>
  </si>
  <si>
    <t>103039 B</t>
  </si>
  <si>
    <t>REAUX FRANCOIS XAVIER</t>
  </si>
  <si>
    <t>124243 P</t>
  </si>
  <si>
    <t>REBOUX FRANCK</t>
  </si>
  <si>
    <t>014031 R</t>
  </si>
  <si>
    <t>REIG ERIC</t>
  </si>
  <si>
    <t>124449 N</t>
  </si>
  <si>
    <t>RENAUX DAMIEN</t>
  </si>
  <si>
    <t>113978 U</t>
  </si>
  <si>
    <t>REVAULT CYRIL</t>
  </si>
  <si>
    <t>014040 A</t>
  </si>
  <si>
    <t>REVERCHON JEAN</t>
  </si>
  <si>
    <t>105592 G</t>
  </si>
  <si>
    <t>RIBEIRO DANIEL</t>
  </si>
  <si>
    <t>014050 K</t>
  </si>
  <si>
    <t>RICHARD STEPHANE</t>
  </si>
  <si>
    <t>111050 E</t>
  </si>
  <si>
    <t>RICHAUD BRIGITTE</t>
  </si>
  <si>
    <t>166476 C</t>
  </si>
  <si>
    <t>RICHEZ XAVIER</t>
  </si>
  <si>
    <t>129202 I</t>
  </si>
  <si>
    <t>RICHOUX MATHIEU</t>
  </si>
  <si>
    <t>010178 M</t>
  </si>
  <si>
    <t>RIEGEL SERGE</t>
  </si>
  <si>
    <t>124889 L</t>
  </si>
  <si>
    <t>RIGAUDEAU JEAN CHRISTOPHE</t>
  </si>
  <si>
    <t>014059 T</t>
  </si>
  <si>
    <t>RIGLET PATRICK</t>
  </si>
  <si>
    <t>126911 F</t>
  </si>
  <si>
    <t>RIGNOLS DIDIER</t>
  </si>
  <si>
    <t>014065 Z</t>
  </si>
  <si>
    <t>RIOU LUC</t>
  </si>
  <si>
    <t>129509 D</t>
  </si>
  <si>
    <t>RIZZI FABIO</t>
  </si>
  <si>
    <t>116960 M</t>
  </si>
  <si>
    <t>RIZZI PAOLO</t>
  </si>
  <si>
    <t>122092 W</t>
  </si>
  <si>
    <t>ROBERT PASCAL</t>
  </si>
  <si>
    <t>114522 S</t>
  </si>
  <si>
    <t>ROBERTY ROBERT</t>
  </si>
  <si>
    <t>014081 P</t>
  </si>
  <si>
    <t>RODRIGUEZ JULIEN</t>
  </si>
  <si>
    <t>152589 H</t>
  </si>
  <si>
    <t>ROPARTZ ALEXIS</t>
  </si>
  <si>
    <t>134376 I</t>
  </si>
  <si>
    <t>ROQUES TITOUAN</t>
  </si>
  <si>
    <t>144850 E</t>
  </si>
  <si>
    <t>ROSSINI DOMINIQUE</t>
  </si>
  <si>
    <t>126072 Y</t>
  </si>
  <si>
    <t>ROUBY JEAN CHRISTOPHE</t>
  </si>
  <si>
    <t>014096 E</t>
  </si>
  <si>
    <t>ROUFFET ALAIN</t>
  </si>
  <si>
    <t>152162 T</t>
  </si>
  <si>
    <t>ROUGETTE ALEXANDRE</t>
  </si>
  <si>
    <t>136063 F</t>
  </si>
  <si>
    <t>ROUILLON JACQUES</t>
  </si>
  <si>
    <t>138525 X</t>
  </si>
  <si>
    <t>ROULET JEAN CLAUDE</t>
  </si>
  <si>
    <t>158718 V</t>
  </si>
  <si>
    <t>ROULIN DANIEL</t>
  </si>
  <si>
    <t>117485 R</t>
  </si>
  <si>
    <t>ROUQUETTE MICHEL</t>
  </si>
  <si>
    <t>017506 I</t>
  </si>
  <si>
    <t>ROUSSEL PATRICE</t>
  </si>
  <si>
    <t>122895 T</t>
  </si>
  <si>
    <t>ROUX CEDRIC</t>
  </si>
  <si>
    <t>113438 A</t>
  </si>
  <si>
    <t>ROUXEL DENIS</t>
  </si>
  <si>
    <t>159467 J</t>
  </si>
  <si>
    <t>SAGET XAVIER</t>
  </si>
  <si>
    <t>014123 F</t>
  </si>
  <si>
    <t>SAINT GEORGES GUY</t>
  </si>
  <si>
    <t>111888 K</t>
  </si>
  <si>
    <t>SALZENSTEIN GEORGES</t>
  </si>
  <si>
    <t>014136 S</t>
  </si>
  <si>
    <t>SARAIVA PEREIRA FERNANDO</t>
  </si>
  <si>
    <t>156728 G</t>
  </si>
  <si>
    <t>SAYD TAHIRI LEROUX MUSTAPHA</t>
  </si>
  <si>
    <t>152546 L</t>
  </si>
  <si>
    <t>SCHOUMACKER REMI</t>
  </si>
  <si>
    <t>014149 F</t>
  </si>
  <si>
    <t>SCIORTINO STEPHANE</t>
  </si>
  <si>
    <t>014150 G</t>
  </si>
  <si>
    <t>SCOMBART PHILIPPE</t>
  </si>
  <si>
    <t>014158 O</t>
  </si>
  <si>
    <t>SEGUIN BERNARD</t>
  </si>
  <si>
    <t>132717 N</t>
  </si>
  <si>
    <t>SEGUIN JACQUES</t>
  </si>
  <si>
    <t>014162 S</t>
  </si>
  <si>
    <t>SENAT ROBERT</t>
  </si>
  <si>
    <t>156727 F</t>
  </si>
  <si>
    <t>SENIZERGUES DIDIER</t>
  </si>
  <si>
    <t>014165 V</t>
  </si>
  <si>
    <t>SENNEPIN JEAN CLAUDE</t>
  </si>
  <si>
    <t>014170 A</t>
  </si>
  <si>
    <t>SIBAUD ROGER</t>
  </si>
  <si>
    <t>118147 D</t>
  </si>
  <si>
    <t>SIDER SEBASTIEN</t>
  </si>
  <si>
    <t>137385 B</t>
  </si>
  <si>
    <t>SIMON CLAUDE</t>
  </si>
  <si>
    <t>103185 R</t>
  </si>
  <si>
    <t>SINDACO ANTONIO</t>
  </si>
  <si>
    <t>014180 K</t>
  </si>
  <si>
    <t>SMADJA ERIC</t>
  </si>
  <si>
    <t>154565 F</t>
  </si>
  <si>
    <t>SOCHET ANDRE</t>
  </si>
  <si>
    <t>168393 L</t>
  </si>
  <si>
    <t>SORTAIS JACKY</t>
  </si>
  <si>
    <t>014185 P</t>
  </si>
  <si>
    <t>SOUC JOSE</t>
  </si>
  <si>
    <t>014186 Q</t>
  </si>
  <si>
    <t>SOULIMANE AMINE</t>
  </si>
  <si>
    <t>014190 U</t>
  </si>
  <si>
    <t>SQUINABOL JACQUES</t>
  </si>
  <si>
    <t>176839 R</t>
  </si>
  <si>
    <t>STOLL MAGALI</t>
  </si>
  <si>
    <t>162777 G</t>
  </si>
  <si>
    <t>STYCZEN PIERRE</t>
  </si>
  <si>
    <t>124951 V</t>
  </si>
  <si>
    <t>SULEM PAUL</t>
  </si>
  <si>
    <t>014200 E</t>
  </si>
  <si>
    <t>SUTYLA JEAN</t>
  </si>
  <si>
    <t>109508 W</t>
  </si>
  <si>
    <t>SYBI YOUNES HICHAME</t>
  </si>
  <si>
    <t>014205 J</t>
  </si>
  <si>
    <t>TACHNAKIAN RICHARD</t>
  </si>
  <si>
    <t>126326 S</t>
  </si>
  <si>
    <t>TACHOIRE THIERRY</t>
  </si>
  <si>
    <t>123964 W</t>
  </si>
  <si>
    <t>TADIEU GERARD</t>
  </si>
  <si>
    <t>014206 K</t>
  </si>
  <si>
    <t>TAIEB ALAIN</t>
  </si>
  <si>
    <t>137894 Q</t>
  </si>
  <si>
    <t>TALOT RODOLPHE</t>
  </si>
  <si>
    <t>014209 N</t>
  </si>
  <si>
    <t>TAMODARANE SELVA</t>
  </si>
  <si>
    <t>014210 O</t>
  </si>
  <si>
    <t>TANGUY RENE</t>
  </si>
  <si>
    <t>014212 Q</t>
  </si>
  <si>
    <t>TARAMELLI DANIEL</t>
  </si>
  <si>
    <t>014216 U</t>
  </si>
  <si>
    <t>TATIN PATRICK</t>
  </si>
  <si>
    <t>014217 V</t>
  </si>
  <si>
    <t>TAUZIAS BARRIER MARCEL</t>
  </si>
  <si>
    <t>160032 Y</t>
  </si>
  <si>
    <t>TEA ERIC</t>
  </si>
  <si>
    <t>149171 S</t>
  </si>
  <si>
    <t>TEIXEIRA JOSE</t>
  </si>
  <si>
    <t>014225 D</t>
  </si>
  <si>
    <t>TENREIRO ARISTIDE</t>
  </si>
  <si>
    <t>154289 F</t>
  </si>
  <si>
    <t>THENOT MAX</t>
  </si>
  <si>
    <t>014227 F</t>
  </si>
  <si>
    <t>THEODEN PATRICK</t>
  </si>
  <si>
    <t>014238 Q</t>
  </si>
  <si>
    <t>THIERRY JEAN MICHEL</t>
  </si>
  <si>
    <t>014242 U</t>
  </si>
  <si>
    <t>THONAT JEAN</t>
  </si>
  <si>
    <t>138266 Y</t>
  </si>
  <si>
    <t>THONAT PHILIPPE</t>
  </si>
  <si>
    <t>014243 V</t>
  </si>
  <si>
    <t>THONG PHANH OLIVIER</t>
  </si>
  <si>
    <t>014251 D</t>
  </si>
  <si>
    <t>TORAL HERNANDEZ GERALD</t>
  </si>
  <si>
    <t>178629 M</t>
  </si>
  <si>
    <t>TORTOSA NARCISO</t>
  </si>
  <si>
    <t>014263 P</t>
  </si>
  <si>
    <t>TRAN KIEU</t>
  </si>
  <si>
    <t>132937 Z</t>
  </si>
  <si>
    <t>TRAN MINH CHAU AUGUSTE</t>
  </si>
  <si>
    <t>126976 S</t>
  </si>
  <si>
    <t>TREILLE GERARD</t>
  </si>
  <si>
    <t>014269 V</t>
  </si>
  <si>
    <t>TRICONNET CHRISTOPHE</t>
  </si>
  <si>
    <t>014271 X</t>
  </si>
  <si>
    <t>TRIFAULT AMAND</t>
  </si>
  <si>
    <t>128089 N</t>
  </si>
  <si>
    <t>TROMAS DIDIER</t>
  </si>
  <si>
    <t>09020 – CLICHY MONTMARTRE BILLARD CLUB</t>
  </si>
  <si>
    <t>127631 X</t>
  </si>
  <si>
    <t>TROMAS ERIC</t>
  </si>
  <si>
    <t>140021 L</t>
  </si>
  <si>
    <t>TRONIOU ALAIN</t>
  </si>
  <si>
    <t>109607 R</t>
  </si>
  <si>
    <t>TROTZIER PATRICE</t>
  </si>
  <si>
    <t>133648 I</t>
  </si>
  <si>
    <t>TRUONG PHUOC THAI</t>
  </si>
  <si>
    <t>171069 V</t>
  </si>
  <si>
    <t>VALEUR BAPTISTE</t>
  </si>
  <si>
    <t>113891 L</t>
  </si>
  <si>
    <t>VANGHELUWE GEORGES</t>
  </si>
  <si>
    <t>138059 Z</t>
  </si>
  <si>
    <t>VARIOT JOSUAH</t>
  </si>
  <si>
    <t>014308 I</t>
  </si>
  <si>
    <t>VENET CHRISTIAN</t>
  </si>
  <si>
    <t>014312 M</t>
  </si>
  <si>
    <t>VENTURA MANUEL</t>
  </si>
  <si>
    <t>018351 V</t>
  </si>
  <si>
    <t>VERLEY NICOLAS</t>
  </si>
  <si>
    <t>126745 V</t>
  </si>
  <si>
    <t>VERSINI PAUL</t>
  </si>
  <si>
    <t>135321 R</t>
  </si>
  <si>
    <t>VERSON PHILLIPE</t>
  </si>
  <si>
    <t>014318 S</t>
  </si>
  <si>
    <t>VETTENBURG DAVID</t>
  </si>
  <si>
    <t>014321 V</t>
  </si>
  <si>
    <t>VICARI MARC</t>
  </si>
  <si>
    <t>102169 P</t>
  </si>
  <si>
    <t>VIDAL JEAN MICHEL</t>
  </si>
  <si>
    <t>014325 Z</t>
  </si>
  <si>
    <t>VIDEAU BRUNO</t>
  </si>
  <si>
    <t>122158 K</t>
  </si>
  <si>
    <t>VIGNEROL YANNIS</t>
  </si>
  <si>
    <t>014333 H</t>
  </si>
  <si>
    <t>VILLETTE MICHEL</t>
  </si>
  <si>
    <t>017665 L</t>
  </si>
  <si>
    <t>VINCENT FRANCIS</t>
  </si>
  <si>
    <t>014337 L</t>
  </si>
  <si>
    <t>VINGUEDASSALOM ERIC</t>
  </si>
  <si>
    <t>014339 N</t>
  </si>
  <si>
    <t>VIOMESNIL MAURICE</t>
  </si>
  <si>
    <t>121975 J</t>
  </si>
  <si>
    <t>VIRFOLLET DAMIEN</t>
  </si>
  <si>
    <t>126936 E</t>
  </si>
  <si>
    <t>VO DINH BICH</t>
  </si>
  <si>
    <t>113963 F</t>
  </si>
  <si>
    <t>VUILLEMIN BERNARD</t>
  </si>
  <si>
    <t>014348 W</t>
  </si>
  <si>
    <t>WEBER THIERRY</t>
  </si>
  <si>
    <t>168882 S</t>
  </si>
  <si>
    <t>WEILL DENIS</t>
  </si>
  <si>
    <t>171108 M</t>
  </si>
  <si>
    <t>WELSCH REMY</t>
  </si>
  <si>
    <t>120852 E</t>
  </si>
  <si>
    <t>YACK JOHN</t>
  </si>
  <si>
    <t>137830 E</t>
  </si>
  <si>
    <t>YADAN DOV</t>
  </si>
  <si>
    <t>142369 T</t>
  </si>
  <si>
    <t>YOUNES NIZAR</t>
  </si>
  <si>
    <t>014354 C</t>
  </si>
  <si>
    <t>YVER BERNARD</t>
  </si>
  <si>
    <t>109954 A</t>
  </si>
  <si>
    <t>ZAPATA ANTOINE</t>
  </si>
  <si>
    <t>020532 S</t>
  </si>
  <si>
    <t>ZARCONE SYLVAIN</t>
  </si>
  <si>
    <t>014357 F</t>
  </si>
  <si>
    <t>ZAYANI ALAIN</t>
  </si>
  <si>
    <t>140068 G</t>
  </si>
  <si>
    <t>ZBAREN JEAN</t>
  </si>
  <si>
    <t>158041 J</t>
  </si>
  <si>
    <t>ZEA LEON DUVAN</t>
  </si>
  <si>
    <t>162785 Q</t>
  </si>
  <si>
    <t>ZERBIB PATRICK</t>
  </si>
  <si>
    <t>014360 I</t>
  </si>
  <si>
    <t>ZIRNHELT BERNARD</t>
  </si>
  <si>
    <t>014364 M</t>
  </si>
  <si>
    <t>ZURAWIECKI ANDRE</t>
  </si>
  <si>
    <t>Club organisateur</t>
  </si>
  <si>
    <t>133369 P</t>
  </si>
  <si>
    <t>ABUAF ROBERT</t>
  </si>
  <si>
    <t>152728 J</t>
  </si>
  <si>
    <t>ADAM SERGE</t>
  </si>
  <si>
    <t>012412 K</t>
  </si>
  <si>
    <t>ALIX MICHEL</t>
  </si>
  <si>
    <t>150722 D</t>
  </si>
  <si>
    <t>ALLEGRE MARC</t>
  </si>
  <si>
    <t>124674 E</t>
  </si>
  <si>
    <t>AMSTERDAMER ROLAND</t>
  </si>
  <si>
    <t>123077 T</t>
  </si>
  <si>
    <t>BATAL VINCENT</t>
  </si>
  <si>
    <t>138043 J</t>
  </si>
  <si>
    <t>BATISTA JEAN PAUL</t>
  </si>
  <si>
    <t>138042 I</t>
  </si>
  <si>
    <t>BATISTA JESSY</t>
  </si>
  <si>
    <t>152729 K</t>
  </si>
  <si>
    <t>BAZONNAIS PATRICK</t>
  </si>
  <si>
    <t>012538 G</t>
  </si>
  <si>
    <t>BELLINI JEAN</t>
  </si>
  <si>
    <t>105548 O</t>
  </si>
  <si>
    <t>BELLINI PIERRE</t>
  </si>
  <si>
    <t>169262 F</t>
  </si>
  <si>
    <t>BERNARD DELPHINE</t>
  </si>
  <si>
    <t>142512 G</t>
  </si>
  <si>
    <t>BINET JEAN MARC</t>
  </si>
  <si>
    <t>111024 E</t>
  </si>
  <si>
    <t>BIOTTEAU CYRIL</t>
  </si>
  <si>
    <t>115140 M</t>
  </si>
  <si>
    <t>BOGILLOT ERWAN</t>
  </si>
  <si>
    <t>136750 Q</t>
  </si>
  <si>
    <t>BONDIL FERNAND</t>
  </si>
  <si>
    <t>133831 J</t>
  </si>
  <si>
    <t>BONIN JEAN CLAUDE</t>
  </si>
  <si>
    <t>160443 V</t>
  </si>
  <si>
    <t>BONIN PATRICK</t>
  </si>
  <si>
    <t>161827 Z</t>
  </si>
  <si>
    <t>BORGA LAURENT</t>
  </si>
  <si>
    <t>149332 S</t>
  </si>
  <si>
    <t>BORIE GERARD</t>
  </si>
  <si>
    <t>149537 Q</t>
  </si>
  <si>
    <t>BOUGOUIN JEAN MICHEL</t>
  </si>
  <si>
    <t>138257 P</t>
  </si>
  <si>
    <t>BOULARD GILBERT</t>
  </si>
  <si>
    <t>137099 B</t>
  </si>
  <si>
    <t>BOURGEON BRUNO</t>
  </si>
  <si>
    <t>133354 A</t>
  </si>
  <si>
    <t>BOUSQUET VALENTIN</t>
  </si>
  <si>
    <t>146910 K</t>
  </si>
  <si>
    <t>BOUVAIS GABRIEL</t>
  </si>
  <si>
    <t>012670 I</t>
  </si>
  <si>
    <t>BRETAGNE ALAIN</t>
  </si>
  <si>
    <t>120633 T</t>
  </si>
  <si>
    <t>BRIDENNE JACQUES</t>
  </si>
  <si>
    <t>162978 A</t>
  </si>
  <si>
    <t>CACHEIRO MARC</t>
  </si>
  <si>
    <t>138109 X</t>
  </si>
  <si>
    <t>CARCABAL PIERRE</t>
  </si>
  <si>
    <t>012734 U</t>
  </si>
  <si>
    <t>CARRE EMMANUEL</t>
  </si>
  <si>
    <t>012743 D</t>
  </si>
  <si>
    <t>CASSIAU BERNARD</t>
  </si>
  <si>
    <t>012774 I</t>
  </si>
  <si>
    <t>CHAMPY PHILIPPE</t>
  </si>
  <si>
    <t>146710 S</t>
  </si>
  <si>
    <t>CHARBOGNE JEAN FRANCOIS</t>
  </si>
  <si>
    <t>111340 I</t>
  </si>
  <si>
    <t>CHENU CHRISTIAN</t>
  </si>
  <si>
    <t>113490 A</t>
  </si>
  <si>
    <t>CHMIELNICKI PASCAL</t>
  </si>
  <si>
    <t>012814 W</t>
  </si>
  <si>
    <t>CLERMONTE SERGE</t>
  </si>
  <si>
    <t>012375 Z</t>
  </si>
  <si>
    <t>CLIPET BRUNO</t>
  </si>
  <si>
    <t>117429 N</t>
  </si>
  <si>
    <t>CORNE PIERRE</t>
  </si>
  <si>
    <t>121672 S</t>
  </si>
  <si>
    <t>COTTAZ JEAN CLAUDE</t>
  </si>
  <si>
    <t>139189 L</t>
  </si>
  <si>
    <t>COULON XAVIER</t>
  </si>
  <si>
    <t>142373 X</t>
  </si>
  <si>
    <t>COUVELARD PASCAL</t>
  </si>
  <si>
    <t>135955 B</t>
  </si>
  <si>
    <t>CRINON XAVIER</t>
  </si>
  <si>
    <t>141770 S</t>
  </si>
  <si>
    <t>CZIERPKA JACQUES</t>
  </si>
  <si>
    <t>156770 C</t>
  </si>
  <si>
    <t>DA CUNHA JEREMY</t>
  </si>
  <si>
    <t>178260 L</t>
  </si>
  <si>
    <t>DA SILVA HERMINIO</t>
  </si>
  <si>
    <t>143555 J</t>
  </si>
  <si>
    <t>DAUTEUR PATRICK</t>
  </si>
  <si>
    <t>100865 L</t>
  </si>
  <si>
    <t>DAVID CHRISTOPHE</t>
  </si>
  <si>
    <t>163276 Z</t>
  </si>
  <si>
    <t>DELAHAYE PATRICK</t>
  </si>
  <si>
    <t>144281 H</t>
  </si>
  <si>
    <t>DELALANDE GUY</t>
  </si>
  <si>
    <t>133703 L</t>
  </si>
  <si>
    <t>DEROO DAVID</t>
  </si>
  <si>
    <t>124893 P</t>
  </si>
  <si>
    <t>DESBROSSES GUY</t>
  </si>
  <si>
    <t>124369 L</t>
  </si>
  <si>
    <t>DESJOURS PHILIPPE</t>
  </si>
  <si>
    <t>129203 J</t>
  </si>
  <si>
    <t>DHERBECOURT BERNARD</t>
  </si>
  <si>
    <t>147797 Z</t>
  </si>
  <si>
    <t>DIAZ VINCENT</t>
  </si>
  <si>
    <t>123909 T</t>
  </si>
  <si>
    <t>DOLIVET PIERRE</t>
  </si>
  <si>
    <t>020257 D</t>
  </si>
  <si>
    <t>DONG CONG HUYNH</t>
  </si>
  <si>
    <t>163127 M</t>
  </si>
  <si>
    <t>DOUCET DOMINIQUE</t>
  </si>
  <si>
    <t>145804 W</t>
  </si>
  <si>
    <t>DUBUC PATRICE</t>
  </si>
  <si>
    <t>129413 L</t>
  </si>
  <si>
    <t>DUMONT ANITA</t>
  </si>
  <si>
    <t>165469 H</t>
  </si>
  <si>
    <t>DUMONT CHRISTINE</t>
  </si>
  <si>
    <t>136703 V</t>
  </si>
  <si>
    <t>DUPUY PIERRE</t>
  </si>
  <si>
    <t>148225 P</t>
  </si>
  <si>
    <t>DURAND THIERRY</t>
  </si>
  <si>
    <t>113925 T</t>
  </si>
  <si>
    <t>DUVAL ERIC</t>
  </si>
  <si>
    <t>013071 T</t>
  </si>
  <si>
    <t>ENGEL PIERRE</t>
  </si>
  <si>
    <t>113683 L</t>
  </si>
  <si>
    <t>FAVERO ALAIN</t>
  </si>
  <si>
    <t>130149 T</t>
  </si>
  <si>
    <t>FAVRET JACQUES</t>
  </si>
  <si>
    <t>013144 O</t>
  </si>
  <si>
    <t>FOUGEROUSE FABRICE</t>
  </si>
  <si>
    <t>158352 X</t>
  </si>
  <si>
    <t>FOURMOND JEAN LUC</t>
  </si>
  <si>
    <t>013156 A</t>
  </si>
  <si>
    <t>FRANCHET CHRISTOPHE</t>
  </si>
  <si>
    <t>155958 V</t>
  </si>
  <si>
    <t>FRANTZ BENOIT</t>
  </si>
  <si>
    <t>013164 I</t>
  </si>
  <si>
    <t>FUCHS GERARD</t>
  </si>
  <si>
    <t>125425 B</t>
  </si>
  <si>
    <t>GABRIOLO JEAN PIERRE</t>
  </si>
  <si>
    <t>146580 S</t>
  </si>
  <si>
    <t>GAUDARD ALAIN</t>
  </si>
  <si>
    <t>149944 H</t>
  </si>
  <si>
    <t>GAUTIER BRUNO</t>
  </si>
  <si>
    <t>103750 K</t>
  </si>
  <si>
    <t>GAYET DENIS</t>
  </si>
  <si>
    <t>138123 L</t>
  </si>
  <si>
    <t>GEFFROY BERNARD</t>
  </si>
  <si>
    <t>167213 D</t>
  </si>
  <si>
    <t>GERNEZ JEAN PHILIPPE</t>
  </si>
  <si>
    <t>013227 T</t>
  </si>
  <si>
    <t>GHIAOURAS DENIS</t>
  </si>
  <si>
    <t>147250 E</t>
  </si>
  <si>
    <t>GLIZE BERNARD</t>
  </si>
  <si>
    <t>156381 E</t>
  </si>
  <si>
    <t>GRIVE JEAN CLAUDE</t>
  </si>
  <si>
    <t>013296 K</t>
  </si>
  <si>
    <t>GUEMPIK CLAUDE</t>
  </si>
  <si>
    <t>108081 Z</t>
  </si>
  <si>
    <t>GUERIN JACQUES</t>
  </si>
  <si>
    <t>150323 V</t>
  </si>
  <si>
    <t>GUIGNARD CHRISTIAN</t>
  </si>
  <si>
    <t>153124 P</t>
  </si>
  <si>
    <t>GUIJARRO JEAN PIERRE</t>
  </si>
  <si>
    <t>162797 D</t>
  </si>
  <si>
    <t>GUILBON MICHEL</t>
  </si>
  <si>
    <t>135310 G</t>
  </si>
  <si>
    <t>HAMET JEROME</t>
  </si>
  <si>
    <t>013348 K</t>
  </si>
  <si>
    <t>HERGAUX EDGARD</t>
  </si>
  <si>
    <t>155028 J</t>
  </si>
  <si>
    <t>HORLAIT OLIVIER</t>
  </si>
  <si>
    <t>111882 E</t>
  </si>
  <si>
    <t>IMBERT GUY</t>
  </si>
  <si>
    <t>136976 I</t>
  </si>
  <si>
    <t>JOURDAIN MARC</t>
  </si>
  <si>
    <t>119233 X</t>
  </si>
  <si>
    <t>KNITTEL HERVE</t>
  </si>
  <si>
    <t>132888 C</t>
  </si>
  <si>
    <t>L HERONDE MICHEL</t>
  </si>
  <si>
    <t>126914 I</t>
  </si>
  <si>
    <t>LABARRE PIERRE</t>
  </si>
  <si>
    <t>137035 P</t>
  </si>
  <si>
    <t>LABLANCHE GERARD</t>
  </si>
  <si>
    <t>136221 H</t>
  </si>
  <si>
    <t>LABOUREAU DANIEL</t>
  </si>
  <si>
    <t>149703 W</t>
  </si>
  <si>
    <t>LABRIT ALAIN</t>
  </si>
  <si>
    <t>163323 A</t>
  </si>
  <si>
    <t>LAGRAVERE OLIVIER</t>
  </si>
  <si>
    <t>123838 A</t>
  </si>
  <si>
    <t>LALAOUA GERARD</t>
  </si>
  <si>
    <t>114622 O</t>
  </si>
  <si>
    <t>LAMPLE ROBERTO</t>
  </si>
  <si>
    <t>117586 O</t>
  </si>
  <si>
    <t>LAURIN JACQUES</t>
  </si>
  <si>
    <t>109482 W</t>
  </si>
  <si>
    <t>LAUTI MARCEL</t>
  </si>
  <si>
    <t>108073 R</t>
  </si>
  <si>
    <t>LAZARE PHILIPPE</t>
  </si>
  <si>
    <t>138121 J</t>
  </si>
  <si>
    <t>LE BRUSTIEC JEAN CLAUDE</t>
  </si>
  <si>
    <t>141135 H</t>
  </si>
  <si>
    <t>LEBEL ANDRE</t>
  </si>
  <si>
    <t>157143 H</t>
  </si>
  <si>
    <t>LECLERCQ QUENTIN</t>
  </si>
  <si>
    <t>145291 D</t>
  </si>
  <si>
    <t>LEFEBVRE YVES</t>
  </si>
  <si>
    <t>159678 N</t>
  </si>
  <si>
    <t>LEMOINE MICHEL</t>
  </si>
  <si>
    <t>154179 L</t>
  </si>
  <si>
    <t>LEMONIER THIERY</t>
  </si>
  <si>
    <t>136067 J</t>
  </si>
  <si>
    <t>LEPOIVRE JACQUES</t>
  </si>
  <si>
    <t>155952 N</t>
  </si>
  <si>
    <t>LEVEQUE THIERRY</t>
  </si>
  <si>
    <t>134845 J</t>
  </si>
  <si>
    <t>LINGELSER JEAN FRANCOIS</t>
  </si>
  <si>
    <t>144067 B</t>
  </si>
  <si>
    <t>LOMINE YANN</t>
  </si>
  <si>
    <t>161463 D</t>
  </si>
  <si>
    <t>LOPEZ DANIEL</t>
  </si>
  <si>
    <t>119631 F</t>
  </si>
  <si>
    <t>LUCAS PHILIPPE</t>
  </si>
  <si>
    <t>163353 H</t>
  </si>
  <si>
    <t>LUXEY CHRISTOPHE</t>
  </si>
  <si>
    <t>148333 G</t>
  </si>
  <si>
    <t>MA PHUOC BICH</t>
  </si>
  <si>
    <t>124647 D</t>
  </si>
  <si>
    <t>MADELEINE DANIEL</t>
  </si>
  <si>
    <t>09054 – CLUB DE BILLARD DU MANET</t>
  </si>
  <si>
    <t>113556 O</t>
  </si>
  <si>
    <t>MAGEN SERGE</t>
  </si>
  <si>
    <t>126085 L</t>
  </si>
  <si>
    <t>MAGNAVAL JEAN CLAUDE</t>
  </si>
  <si>
    <t>139024 C</t>
  </si>
  <si>
    <t>MAIX GERARD</t>
  </si>
  <si>
    <t>103162 U</t>
  </si>
  <si>
    <t>MARIGNIER DANIEL</t>
  </si>
  <si>
    <t>132683 F</t>
  </si>
  <si>
    <t>MARTIN MICHEL</t>
  </si>
  <si>
    <t>165010 J</t>
  </si>
  <si>
    <t>MAUGUIERE DANIEL</t>
  </si>
  <si>
    <t>138920 C</t>
  </si>
  <si>
    <t>MAUGUY LAURENT</t>
  </si>
  <si>
    <t>013705 D</t>
  </si>
  <si>
    <t>MAURICE JEAN PIERRE</t>
  </si>
  <si>
    <t>132309 V</t>
  </si>
  <si>
    <t>MENARD JEAN PIERRE</t>
  </si>
  <si>
    <t>013732 E</t>
  </si>
  <si>
    <t>METAIS JEAN</t>
  </si>
  <si>
    <t>150618 Q</t>
  </si>
  <si>
    <t>MOINDREAU MICHEL</t>
  </si>
  <si>
    <t>134295 F</t>
  </si>
  <si>
    <t>MOITA VICTOR</t>
  </si>
  <si>
    <t>154539 C</t>
  </si>
  <si>
    <t>MOLIN LUDOVIC</t>
  </si>
  <si>
    <t>135469 J</t>
  </si>
  <si>
    <t>MOREAU JEAN LOUIS</t>
  </si>
  <si>
    <t>144760 S</t>
  </si>
  <si>
    <t>MOUSSET DANIEL</t>
  </si>
  <si>
    <t>156975 A</t>
  </si>
  <si>
    <t>MUNOZ FELIPE</t>
  </si>
  <si>
    <t>151311 T</t>
  </si>
  <si>
    <t>NGUYEN NGOC SON</t>
  </si>
  <si>
    <t>133734 Q</t>
  </si>
  <si>
    <t>NIGEON PAUL</t>
  </si>
  <si>
    <t>118705 P</t>
  </si>
  <si>
    <t>NOE ANNE MARIE</t>
  </si>
  <si>
    <t>114568 M</t>
  </si>
  <si>
    <t>NOE LASZLO</t>
  </si>
  <si>
    <t>013851 T</t>
  </si>
  <si>
    <t>OLLIVIER PATRICK</t>
  </si>
  <si>
    <t>013852 U</t>
  </si>
  <si>
    <t>OPSOMER SEBASTIEN</t>
  </si>
  <si>
    <t>139680 I</t>
  </si>
  <si>
    <t>PALARIC VALENTIN</t>
  </si>
  <si>
    <t>124382 Y</t>
  </si>
  <si>
    <t>PAUL MICHEL</t>
  </si>
  <si>
    <t>129388 M</t>
  </si>
  <si>
    <t>PEIGNEN ALAIN</t>
  </si>
  <si>
    <t>103291 T</t>
  </si>
  <si>
    <t>PEREZ PHILIPPE</t>
  </si>
  <si>
    <t>142504 Y</t>
  </si>
  <si>
    <t>PERRIN GUY</t>
  </si>
  <si>
    <t>013922 M</t>
  </si>
  <si>
    <t>PEYROLE PHILIPPE</t>
  </si>
  <si>
    <t>148332 F</t>
  </si>
  <si>
    <t>PHAM NGOC THAO</t>
  </si>
  <si>
    <t>168871 F</t>
  </si>
  <si>
    <t>PIART ALAIN</t>
  </si>
  <si>
    <t>019393 X</t>
  </si>
  <si>
    <t>PICHON NICOLAS</t>
  </si>
  <si>
    <t>142521 P</t>
  </si>
  <si>
    <t>PIESSE PHILIPPE</t>
  </si>
  <si>
    <t>013942 G</t>
  </si>
  <si>
    <t>PINSON ERIC</t>
  </si>
  <si>
    <t>09092 – CLUB LE 55</t>
  </si>
  <si>
    <t>154522 J</t>
  </si>
  <si>
    <t>PIVONET FRANCIS</t>
  </si>
  <si>
    <t>133301 Z</t>
  </si>
  <si>
    <t>POIRET JEAN CLAUDE</t>
  </si>
  <si>
    <t>177316 K</t>
  </si>
  <si>
    <t>POISSONNIER PHILIPPE</t>
  </si>
  <si>
    <t>154178 K</t>
  </si>
  <si>
    <t>PONCE FREDERIC</t>
  </si>
  <si>
    <t>149129 X</t>
  </si>
  <si>
    <t>PONLET PIERRE</t>
  </si>
  <si>
    <t>013962 A</t>
  </si>
  <si>
    <t>POPEA IONEL</t>
  </si>
  <si>
    <t>133357 D</t>
  </si>
  <si>
    <t>PORCU FREDERIC</t>
  </si>
  <si>
    <t>132691 N</t>
  </si>
  <si>
    <t>POTTIER JEAN MARIE</t>
  </si>
  <si>
    <t>117413 X</t>
  </si>
  <si>
    <t>POUILLAT ETIENNE</t>
  </si>
  <si>
    <t>159109 V</t>
  </si>
  <si>
    <t>POULET SERGE</t>
  </si>
  <si>
    <t>013981 T</t>
  </si>
  <si>
    <t>POULICET GERARD</t>
  </si>
  <si>
    <t>133738 U</t>
  </si>
  <si>
    <t>PRIEUR JACQUES</t>
  </si>
  <si>
    <t>014010 W</t>
  </si>
  <si>
    <t>PY BERNARD</t>
  </si>
  <si>
    <t>014021 H</t>
  </si>
  <si>
    <t>RAMBEAU BERTRAND</t>
  </si>
  <si>
    <t>140322 A</t>
  </si>
  <si>
    <t>RAYNAUD MARC</t>
  </si>
  <si>
    <t>014035 V</t>
  </si>
  <si>
    <t>RENARD JEAN PIERRE</t>
  </si>
  <si>
    <t>126078 E</t>
  </si>
  <si>
    <t>RIBEIRO FRANCK</t>
  </si>
  <si>
    <t>014049 J</t>
  </si>
  <si>
    <t>RICHARD OLIVIER</t>
  </si>
  <si>
    <t>014058 S</t>
  </si>
  <si>
    <t>RIGLET JEAN</t>
  </si>
  <si>
    <t>157508 E</t>
  </si>
  <si>
    <t>ROHART JEAN FRANCOIS</t>
  </si>
  <si>
    <t>162603 S</t>
  </si>
  <si>
    <t>ROUSSEAU JEAN MICHEL</t>
  </si>
  <si>
    <t>014116 Y</t>
  </si>
  <si>
    <t>RUTIN MARCEL</t>
  </si>
  <si>
    <t>147038 Z</t>
  </si>
  <si>
    <t>SAADA DANIEL</t>
  </si>
  <si>
    <t>137915 L</t>
  </si>
  <si>
    <t>SCHWARZ JEAN CLAUDE</t>
  </si>
  <si>
    <t>014153 J</t>
  </si>
  <si>
    <t>SCOQUART GHISLAIN</t>
  </si>
  <si>
    <t>129212 S</t>
  </si>
  <si>
    <t>SENA FREDERIC</t>
  </si>
  <si>
    <t>023229 L</t>
  </si>
  <si>
    <t>SERRA LAURENT</t>
  </si>
  <si>
    <t>142464 K</t>
  </si>
  <si>
    <t>SOUCHET ELISE</t>
  </si>
  <si>
    <t>126697 Z</t>
  </si>
  <si>
    <t>SOUCHET LIONEL</t>
  </si>
  <si>
    <t>135312 I</t>
  </si>
  <si>
    <t>SOUKHANOUVONG SENG KEO</t>
  </si>
  <si>
    <t>166221 A</t>
  </si>
  <si>
    <t>SUDORRUSLAN JEAN MICHEL</t>
  </si>
  <si>
    <t>014207 L</t>
  </si>
  <si>
    <t>TALOT JEAN PIERRE</t>
  </si>
  <si>
    <t>149318 C</t>
  </si>
  <si>
    <t>THERET JEAN MICHEL</t>
  </si>
  <si>
    <t>134307 R</t>
  </si>
  <si>
    <t>TRUFFAUT GERALD</t>
  </si>
  <si>
    <t>137384 A</t>
  </si>
  <si>
    <t>VAJOU GREGORY</t>
  </si>
  <si>
    <t>014288 O</t>
  </si>
  <si>
    <t>VANDER POEST GILBERT</t>
  </si>
  <si>
    <t>132621 V</t>
  </si>
  <si>
    <t>VANDERHOEVEN MIKAEL</t>
  </si>
  <si>
    <t>113559 R</t>
  </si>
  <si>
    <t>VICENTE VICTOR</t>
  </si>
  <si>
    <t>136062 E</t>
  </si>
  <si>
    <t>WEISSER ERIC</t>
  </si>
  <si>
    <t>142325 B</t>
  </si>
  <si>
    <t>YVELIN JEAN LOUP</t>
  </si>
  <si>
    <t>168279 M</t>
  </si>
  <si>
    <t>ZERMATI MAX</t>
  </si>
  <si>
    <t>159110 W</t>
  </si>
  <si>
    <t>ZILTENER CHRISTIAN</t>
  </si>
  <si>
    <t>154638 K</t>
  </si>
  <si>
    <t>ZINETTI JEAN MARC</t>
  </si>
  <si>
    <t>123440 S</t>
  </si>
  <si>
    <t>CHERPIN MAXENCE</t>
  </si>
  <si>
    <t>012558 A</t>
  </si>
  <si>
    <t>BERNARD PIERRE</t>
  </si>
  <si>
    <t>012659 X</t>
  </si>
  <si>
    <t>BOUROUBA ABTELWAHID</t>
  </si>
  <si>
    <t>013027 B</t>
  </si>
  <si>
    <t>DUCOUTUMANY LAMBERT</t>
  </si>
  <si>
    <t>013683 H</t>
  </si>
  <si>
    <t>MARTINEZ JEAN MARC</t>
  </si>
  <si>
    <t>113823 V</t>
  </si>
  <si>
    <t>PICCO JEAN PIERRE</t>
  </si>
  <si>
    <t>127828 M</t>
  </si>
  <si>
    <t>CAUL FUTY DENIS</t>
  </si>
  <si>
    <t>117428 M</t>
  </si>
  <si>
    <t>CHAMPION CHRISTIAN</t>
  </si>
  <si>
    <t>127857 P</t>
  </si>
  <si>
    <t>DRIEUX FABIEN</t>
  </si>
  <si>
    <t>105931 H</t>
  </si>
  <si>
    <t>DUPONT JEAN JACQUES</t>
  </si>
  <si>
    <t>09085 – SHOOT AGAIN PARIS NATION</t>
  </si>
  <si>
    <t>013197 P</t>
  </si>
  <si>
    <t>GASNOT MICHEL</t>
  </si>
  <si>
    <t>013265 F</t>
  </si>
  <si>
    <t>GORE THIERRY</t>
  </si>
  <si>
    <t>020209 H</t>
  </si>
  <si>
    <t>GUENNEGAN SAMUEL</t>
  </si>
  <si>
    <t>126075 B</t>
  </si>
  <si>
    <t>LE GALL ERWAN</t>
  </si>
  <si>
    <t>103239 T</t>
  </si>
  <si>
    <t>LESNE JEAN CLAUDE</t>
  </si>
  <si>
    <t>013744 Q</t>
  </si>
  <si>
    <t>MILLET JACQUES</t>
  </si>
  <si>
    <t>124636 S</t>
  </si>
  <si>
    <t>MILOSEVIC DEJAN</t>
  </si>
  <si>
    <t>013782 C</t>
  </si>
  <si>
    <t>MORENO MIGUEL</t>
  </si>
  <si>
    <t>119632 G</t>
  </si>
  <si>
    <t>NELSON LAURENT</t>
  </si>
  <si>
    <t>135407 Z</t>
  </si>
  <si>
    <t>NGUYEN THAN AN</t>
  </si>
  <si>
    <t>013974 M</t>
  </si>
  <si>
    <t>POTIT PATRICK</t>
  </si>
  <si>
    <t>014043 D</t>
  </si>
  <si>
    <t>RICARD LIONEL</t>
  </si>
  <si>
    <t>014192 W</t>
  </si>
  <si>
    <t>STAURI PASCAL</t>
  </si>
  <si>
    <t>111093 V</t>
  </si>
  <si>
    <t>CHEVALLIER CHRISTIAN</t>
  </si>
  <si>
    <t>138937 T</t>
  </si>
  <si>
    <t>DESCHAMPS DANIEL</t>
  </si>
  <si>
    <t>013122 S</t>
  </si>
  <si>
    <t>FIOR JEAN PIERRE</t>
  </si>
  <si>
    <t>013205 X</t>
  </si>
  <si>
    <t>GAUTHEY CHRISTOPHE</t>
  </si>
  <si>
    <t>013214 G</t>
  </si>
  <si>
    <t>GAYON DIDIER</t>
  </si>
  <si>
    <t>013483 P</t>
  </si>
  <si>
    <t>LARFA KARIM</t>
  </si>
  <si>
    <t>140324 C</t>
  </si>
  <si>
    <t>LE PLEU BERNARD</t>
  </si>
  <si>
    <t>013822 Q</t>
  </si>
  <si>
    <t>NENNOT ANTOINE</t>
  </si>
  <si>
    <t>113881 B</t>
  </si>
  <si>
    <t>PARISOT BERNARD</t>
  </si>
  <si>
    <t>109291 N</t>
  </si>
  <si>
    <t>RAOULT PIERRE JEAN</t>
  </si>
  <si>
    <t>162729 E</t>
  </si>
  <si>
    <t>TIPHENE GUILLAUME</t>
  </si>
  <si>
    <t>133009 T</t>
  </si>
  <si>
    <t>WEIL JULIEN</t>
  </si>
  <si>
    <t>013068 Q</t>
  </si>
  <si>
    <t>EL HADI KARIM</t>
  </si>
  <si>
    <t>119622 W</t>
  </si>
  <si>
    <t>AFFOLTER YVES</t>
  </si>
  <si>
    <t>R4</t>
  </si>
  <si>
    <t>103519 N</t>
  </si>
  <si>
    <t>ALLEGRINI GERARD</t>
  </si>
  <si>
    <t>977 – Licenciés indépendants 77</t>
  </si>
  <si>
    <t>144263 P</t>
  </si>
  <si>
    <t>ALLENET JEAN CLAUDE</t>
  </si>
  <si>
    <t>R3 </t>
  </si>
  <si>
    <t>143713 L</t>
  </si>
  <si>
    <t>BARRE AURELIEN</t>
  </si>
  <si>
    <t>143714 M</t>
  </si>
  <si>
    <t>BARRE NICOLAS</t>
  </si>
  <si>
    <t>012504 Y</t>
  </si>
  <si>
    <t>BASQUIN DOMINIQUE</t>
  </si>
  <si>
    <t>148174 J</t>
  </si>
  <si>
    <t>BASSEZ AMRITA</t>
  </si>
  <si>
    <t>147640 D</t>
  </si>
  <si>
    <t>BAZIN GAUVAIN</t>
  </si>
  <si>
    <t>169918 T</t>
  </si>
  <si>
    <t>BAZIRE JEAN PHILIPPE</t>
  </si>
  <si>
    <t>142643 H</t>
  </si>
  <si>
    <t>BEAUFILS BENJAMIN</t>
  </si>
  <si>
    <t>154008 A</t>
  </si>
  <si>
    <t>BEDEL JEAN JACQUES</t>
  </si>
  <si>
    <t>R4 </t>
  </si>
  <si>
    <t>166047 L</t>
  </si>
  <si>
    <t>BEN SALAH NICOLE</t>
  </si>
  <si>
    <t>124364 G</t>
  </si>
  <si>
    <t>BENAINOUS JONATHAN</t>
  </si>
  <si>
    <t>141315 F</t>
  </si>
  <si>
    <t>BENISTAND SYLVAIN</t>
  </si>
  <si>
    <t>012551 T</t>
  </si>
  <si>
    <t>BERGERARD LUC</t>
  </si>
  <si>
    <t>118708 S</t>
  </si>
  <si>
    <t>BERTON GUILLAUME</t>
  </si>
  <si>
    <t>145669 R</t>
  </si>
  <si>
    <t>BESSON LAURENT</t>
  </si>
  <si>
    <t>103317 T</t>
  </si>
  <si>
    <t>BETENCOURT JEAN</t>
  </si>
  <si>
    <t>012578 U</t>
  </si>
  <si>
    <t>BEUGNON JEAN CLAUDE</t>
  </si>
  <si>
    <t>012582 Y</t>
  </si>
  <si>
    <t>BIDE ROGER</t>
  </si>
  <si>
    <t>012593 J</t>
  </si>
  <si>
    <t>BILLAULT JEAN PIERRE</t>
  </si>
  <si>
    <t>152526 P</t>
  </si>
  <si>
    <t>BLANCHET THOMAS</t>
  </si>
  <si>
    <t>164179 F</t>
  </si>
  <si>
    <t>BONNET ERIC</t>
  </si>
  <si>
    <t>130133 D</t>
  </si>
  <si>
    <t>BORDEREAU SUDAN FREDERIC</t>
  </si>
  <si>
    <t>140064 C</t>
  </si>
  <si>
    <t>BOULLE BERNARD</t>
  </si>
  <si>
    <t>134027 X</t>
  </si>
  <si>
    <t>BOURBAN DOMINIQUE</t>
  </si>
  <si>
    <t>162696 T</t>
  </si>
  <si>
    <t>BOURU LIAM</t>
  </si>
  <si>
    <t>117427 L</t>
  </si>
  <si>
    <t>BOUTTE DANIEL</t>
  </si>
  <si>
    <t>113447 J</t>
  </si>
  <si>
    <t>BOUVET ALAIN</t>
  </si>
  <si>
    <t>164140 N</t>
  </si>
  <si>
    <t>BOYADJIAN GERARD</t>
  </si>
  <si>
    <t>135325 V</t>
  </si>
  <si>
    <t>BRANCOURT ANNE MARIE</t>
  </si>
  <si>
    <t>144404 A</t>
  </si>
  <si>
    <t>BRIERRE JOEL</t>
  </si>
  <si>
    <t>147887 X</t>
  </si>
  <si>
    <t>BRUERE PHILIPPE</t>
  </si>
  <si>
    <t>012710 W</t>
  </si>
  <si>
    <t>CAILLAUD ANDRE</t>
  </si>
  <si>
    <t>145596 W</t>
  </si>
  <si>
    <t>CAILLERET PASCAL</t>
  </si>
  <si>
    <t>152964 Q</t>
  </si>
  <si>
    <t>CASALE ALBERTO</t>
  </si>
  <si>
    <t>150235 Z</t>
  </si>
  <si>
    <t>CATIZONE BERARDI MATTEO</t>
  </si>
  <si>
    <t>137881 D</t>
  </si>
  <si>
    <t>CHALUMEAU AUDREY</t>
  </si>
  <si>
    <t>140329 H</t>
  </si>
  <si>
    <t>CHAPELEIN JEROME</t>
  </si>
  <si>
    <t>141340 E</t>
  </si>
  <si>
    <t>CHARVOZ LUDOVIC</t>
  </si>
  <si>
    <t>141161 H</t>
  </si>
  <si>
    <t>CHATRY YANNICK</t>
  </si>
  <si>
    <t>132863 D</t>
  </si>
  <si>
    <t>CHAUSSIVERT AXEL</t>
  </si>
  <si>
    <t>111438 C</t>
  </si>
  <si>
    <t>CHAUVEAU PHILIPPE</t>
  </si>
  <si>
    <t>163053 G</t>
  </si>
  <si>
    <t>CHAUVIN JEAN LOUIS</t>
  </si>
  <si>
    <t>123411 P</t>
  </si>
  <si>
    <t>CHELIN SEBASTIEN</t>
  </si>
  <si>
    <t>135307 D</t>
  </si>
  <si>
    <t>CISSE MARCEL</t>
  </si>
  <si>
    <t>135362 G</t>
  </si>
  <si>
    <t>CLERMONTE CEDRIC</t>
  </si>
  <si>
    <t>177955 E</t>
  </si>
  <si>
    <t>CLERO JOEL</t>
  </si>
  <si>
    <t>154437 R</t>
  </si>
  <si>
    <t>COLAS ETIENNE</t>
  </si>
  <si>
    <t>122109 N</t>
  </si>
  <si>
    <t>COLLARD ALEXANDRE</t>
  </si>
  <si>
    <t>135088 S</t>
  </si>
  <si>
    <t>COLLET CHARLES ERIC</t>
  </si>
  <si>
    <t>134839 D</t>
  </si>
  <si>
    <t>CORBET BRUNO</t>
  </si>
  <si>
    <t>135480 U</t>
  </si>
  <si>
    <t>COSTE CHAREYRE MAXIME</t>
  </si>
  <si>
    <t>135481 V</t>
  </si>
  <si>
    <t>COSTE CHAREYRE ROXANNE</t>
  </si>
  <si>
    <t>139192 O</t>
  </si>
  <si>
    <t>COTARD GUILLAUME</t>
  </si>
  <si>
    <t>135486 A</t>
  </si>
  <si>
    <t>COUGOULIC VINCENT</t>
  </si>
  <si>
    <t>155169 M</t>
  </si>
  <si>
    <t>COURATIN JEAN DANIEL</t>
  </si>
  <si>
    <t>160825 K</t>
  </si>
  <si>
    <t>COURVOISIER WILLIAM</t>
  </si>
  <si>
    <t>138296 C</t>
  </si>
  <si>
    <t>COUTIER JEAN LUC</t>
  </si>
  <si>
    <t>174145 N</t>
  </si>
  <si>
    <t>COUVREUR BRUNO</t>
  </si>
  <si>
    <t>123412 Q</t>
  </si>
  <si>
    <t>CROLARD IVAN</t>
  </si>
  <si>
    <t>153431 Y</t>
  </si>
  <si>
    <t>CUVELIER BERNADETTE</t>
  </si>
  <si>
    <t>123862 Y</t>
  </si>
  <si>
    <t>DA SILVA RIBEIRO JOAQUIM</t>
  </si>
  <si>
    <t>138639 H</t>
  </si>
  <si>
    <t>DARCY BILLITIS</t>
  </si>
  <si>
    <t>147692 K</t>
  </si>
  <si>
    <t>DAVID MARIE AUDE</t>
  </si>
  <si>
    <t>143823 R</t>
  </si>
  <si>
    <t>DELALANDE THOMAS</t>
  </si>
  <si>
    <t>177060 G</t>
  </si>
  <si>
    <t>DELCROIX JEAN PIERRE</t>
  </si>
  <si>
    <t>149927 P</t>
  </si>
  <si>
    <t>DESHAYES GERMAIN</t>
  </si>
  <si>
    <t>160951 X</t>
  </si>
  <si>
    <t>DI BELLONIO GERARD</t>
  </si>
  <si>
    <t>163862 L</t>
  </si>
  <si>
    <t>DOS REIS AROUJO PEDRO</t>
  </si>
  <si>
    <t>147420 P</t>
  </si>
  <si>
    <t>DROUOT FREDERIC</t>
  </si>
  <si>
    <t>173553 V</t>
  </si>
  <si>
    <t>DUBUSSET ALEXANDRE</t>
  </si>
  <si>
    <t>146043 B</t>
  </si>
  <si>
    <t>DUC HIPPOLYTE</t>
  </si>
  <si>
    <t>127372 Y</t>
  </si>
  <si>
    <t>DUPAS VINCENT</t>
  </si>
  <si>
    <t>133370 Q</t>
  </si>
  <si>
    <t>DUPLAQUET AYMERIC</t>
  </si>
  <si>
    <t>146704 M</t>
  </si>
  <si>
    <t>DUVAL CHANTAL</t>
  </si>
  <si>
    <t>143830 Y</t>
  </si>
  <si>
    <t>DUVERNE DIDIER</t>
  </si>
  <si>
    <t>154486 V</t>
  </si>
  <si>
    <t>EHMANN SERGE</t>
  </si>
  <si>
    <t>149552 G</t>
  </si>
  <si>
    <t>EL AWAM MEHDI</t>
  </si>
  <si>
    <t>144859 N</t>
  </si>
  <si>
    <t>ELHADNAOUI ABDENBI</t>
  </si>
  <si>
    <t>113682 K</t>
  </si>
  <si>
    <t>ETIENNE FREDERIC</t>
  </si>
  <si>
    <t>166960 D</t>
  </si>
  <si>
    <t>ETIENNE RAPHAEL</t>
  </si>
  <si>
    <t>113492 C</t>
  </si>
  <si>
    <t>FALLOUX BERNARD</t>
  </si>
  <si>
    <t>127371 X</t>
  </si>
  <si>
    <t>FAVERO RENAUD</t>
  </si>
  <si>
    <t>013102 Y</t>
  </si>
  <si>
    <t>FAVRE CORINNE</t>
  </si>
  <si>
    <t>165924 C</t>
  </si>
  <si>
    <t>FAYT BERNARD</t>
  </si>
  <si>
    <t>162883 X</t>
  </si>
  <si>
    <t>FERREIRA EMMA</t>
  </si>
  <si>
    <t>156245 G</t>
  </si>
  <si>
    <t>FISCHER FREDERIC</t>
  </si>
  <si>
    <t>139989 F</t>
  </si>
  <si>
    <t>FORTUCCI LUCAS</t>
  </si>
  <si>
    <t>135770 Y</t>
  </si>
  <si>
    <t>FOUQUET JEAN PIERRE</t>
  </si>
  <si>
    <t>162952 X</t>
  </si>
  <si>
    <t>FRANDEBOEUF DORIAN</t>
  </si>
  <si>
    <t>155959 W</t>
  </si>
  <si>
    <t>FRANTZ EDEN</t>
  </si>
  <si>
    <t>167240 H</t>
  </si>
  <si>
    <t>FRAYSSE DIDIER</t>
  </si>
  <si>
    <t>145676 Y</t>
  </si>
  <si>
    <t>FREUSLON ROMAIN</t>
  </si>
  <si>
    <t>145609 J</t>
  </si>
  <si>
    <t>FROMIGUE CHRISTIAN</t>
  </si>
  <si>
    <t>168945 L</t>
  </si>
  <si>
    <t>FULGA ION</t>
  </si>
  <si>
    <t>135482 W</t>
  </si>
  <si>
    <t>GAGEANT CLAUDE</t>
  </si>
  <si>
    <t>159647 E</t>
  </si>
  <si>
    <t>GALKO JEAN FRANCOIS</t>
  </si>
  <si>
    <t>177716 V</t>
  </si>
  <si>
    <t>GAMEIRO PATRICK</t>
  </si>
  <si>
    <t>155212 J</t>
  </si>
  <si>
    <t>GAROIS CHARLES</t>
  </si>
  <si>
    <t>147421 Q</t>
  </si>
  <si>
    <t>GAUCHER PATRICK</t>
  </si>
  <si>
    <t>132408 Q</t>
  </si>
  <si>
    <t>GEOFFROY STEPHANE</t>
  </si>
  <si>
    <t>147249 D</t>
  </si>
  <si>
    <t>GIGLI ALDO</t>
  </si>
  <si>
    <t>144884 M</t>
  </si>
  <si>
    <t>GIRY SYLVAIN</t>
  </si>
  <si>
    <t>013255 V</t>
  </si>
  <si>
    <t>GLADIEUX GERARD</t>
  </si>
  <si>
    <t>153605 M</t>
  </si>
  <si>
    <t>GOETTELMANN DOMINIQUE</t>
  </si>
  <si>
    <t>161081 N</t>
  </si>
  <si>
    <t>GOLDMANN CLEMENT</t>
  </si>
  <si>
    <t>160512 V</t>
  </si>
  <si>
    <t>GOROSTIZA MURCIA CARLOS</t>
  </si>
  <si>
    <t>142093 D</t>
  </si>
  <si>
    <t>GOUTARD JACQUES</t>
  </si>
  <si>
    <t>150496 H</t>
  </si>
  <si>
    <t>GOUVEIA PAOLO</t>
  </si>
  <si>
    <t>146192 U</t>
  </si>
  <si>
    <t>GRAVIOU BLAIN ANTONIN</t>
  </si>
  <si>
    <t>105608 W</t>
  </si>
  <si>
    <t>GROSJEAN STEPHANE</t>
  </si>
  <si>
    <t>09117 – CLUB NANDEEN BILLARD COMPETITION</t>
  </si>
  <si>
    <t>174978 T</t>
  </si>
  <si>
    <t>GUERIN MICHEL</t>
  </si>
  <si>
    <t>140436 K</t>
  </si>
  <si>
    <t>GUEVEL MICKAEL</t>
  </si>
  <si>
    <t>157368 C</t>
  </si>
  <si>
    <t>GUINGAND MICHEL</t>
  </si>
  <si>
    <t>150944 V</t>
  </si>
  <si>
    <t>GUSTIN PHILIPPE</t>
  </si>
  <si>
    <t>108507 J</t>
  </si>
  <si>
    <t>HABERT SYLVAIN</t>
  </si>
  <si>
    <t>160029 V</t>
  </si>
  <si>
    <t>HAIE PATRICK</t>
  </si>
  <si>
    <t>113793 R</t>
  </si>
  <si>
    <t>HAMART DIDIER</t>
  </si>
  <si>
    <t>155032 N</t>
  </si>
  <si>
    <t>HEINEN BERNARD</t>
  </si>
  <si>
    <t>166095 N</t>
  </si>
  <si>
    <t>HELLEU JEROME</t>
  </si>
  <si>
    <t>167000 X</t>
  </si>
  <si>
    <t>HERBRETEAU YOAN</t>
  </si>
  <si>
    <t>154866 H</t>
  </si>
  <si>
    <t>HERMIER JEAN PIERRE</t>
  </si>
  <si>
    <t>123881 R</t>
  </si>
  <si>
    <t>HERON MARGUERITE</t>
  </si>
  <si>
    <t>139919 N</t>
  </si>
  <si>
    <t>HILDMANN ANTON</t>
  </si>
  <si>
    <t>160078 Y</t>
  </si>
  <si>
    <t>HOEFMAN NANCY</t>
  </si>
  <si>
    <t>113965 H</t>
  </si>
  <si>
    <t>HOLIVE CHARLES</t>
  </si>
  <si>
    <t>178392 E</t>
  </si>
  <si>
    <t>HORNEZ OLIVIER</t>
  </si>
  <si>
    <t>142465 L</t>
  </si>
  <si>
    <t>HUGUET GUILLAUME</t>
  </si>
  <si>
    <t>170231 J</t>
  </si>
  <si>
    <t>HUI BON HOA JEAN MARC</t>
  </si>
  <si>
    <t>140369 V</t>
  </si>
  <si>
    <t>INGOUF MICHAEL</t>
  </si>
  <si>
    <t>013387 X</t>
  </si>
  <si>
    <t>JABAUD BERNARD</t>
  </si>
  <si>
    <t>013388 Y</t>
  </si>
  <si>
    <t>JABLONSKI MICHEL</t>
  </si>
  <si>
    <t>127813 X</t>
  </si>
  <si>
    <t>JACQUIN PASCAL</t>
  </si>
  <si>
    <t>163055 J</t>
  </si>
  <si>
    <t>JAUGEAS SERGE</t>
  </si>
  <si>
    <t>156772 E</t>
  </si>
  <si>
    <t>JENDOUBI INESS</t>
  </si>
  <si>
    <t>156773 F</t>
  </si>
  <si>
    <t>JENDOUBI ZINEDINE HAKIM</t>
  </si>
  <si>
    <t>114621 N</t>
  </si>
  <si>
    <t>JOREAU DANIELE</t>
  </si>
  <si>
    <t>135095 Z</t>
  </si>
  <si>
    <t>JURISIC NICOLAS</t>
  </si>
  <si>
    <t>129520 O</t>
  </si>
  <si>
    <t>KELLNER PIERRE</t>
  </si>
  <si>
    <t>103463 J</t>
  </si>
  <si>
    <t>KERIZAC FRANCK</t>
  </si>
  <si>
    <t>151748 T</t>
  </si>
  <si>
    <t>KHARRAT EYA</t>
  </si>
  <si>
    <t>156723 B</t>
  </si>
  <si>
    <t>KNIEBIHLER CLEMENT</t>
  </si>
  <si>
    <t>140940 U</t>
  </si>
  <si>
    <t>KOCHER YVES</t>
  </si>
  <si>
    <t>152946 W</t>
  </si>
  <si>
    <t>LABACHE STEPHANE</t>
  </si>
  <si>
    <t>013450 I</t>
  </si>
  <si>
    <t>LACOMBLEZ CHRISTIAN</t>
  </si>
  <si>
    <t>168415 K</t>
  </si>
  <si>
    <t>LACOME JENIFER</t>
  </si>
  <si>
    <t>133338 K</t>
  </si>
  <si>
    <t>LANGHAME PIERRE</t>
  </si>
  <si>
    <t>137910 G</t>
  </si>
  <si>
    <t>LE BOULCH YANN</t>
  </si>
  <si>
    <t>162092 M</t>
  </si>
  <si>
    <t>LE CAM FABRICE</t>
  </si>
  <si>
    <t>163560 H</t>
  </si>
  <si>
    <t>LE COQ JEAN PAUL</t>
  </si>
  <si>
    <t>170102 T</t>
  </si>
  <si>
    <t>LE ROY LOAN</t>
  </si>
  <si>
    <t>160100 X</t>
  </si>
  <si>
    <t>LE ROY MAELYS</t>
  </si>
  <si>
    <t>145809 B</t>
  </si>
  <si>
    <t>LE TRIBOT VICTORIA</t>
  </si>
  <si>
    <t>163139 A</t>
  </si>
  <si>
    <t>LEBLANC OLIVIER</t>
  </si>
  <si>
    <t>138066 G</t>
  </si>
  <si>
    <t>LEBROT GUY</t>
  </si>
  <si>
    <t>155644 D</t>
  </si>
  <si>
    <t>LECLERC SERGE</t>
  </si>
  <si>
    <t>142470 Q</t>
  </si>
  <si>
    <t>LECLERCQ NICOLAS</t>
  </si>
  <si>
    <t>150115 T</t>
  </si>
  <si>
    <t>LEFEVRE CLAUDE</t>
  </si>
  <si>
    <t>160250 K</t>
  </si>
  <si>
    <t>LEGRILL CHRISTINE</t>
  </si>
  <si>
    <t>136739 F</t>
  </si>
  <si>
    <t>LEMERGER JOHAN</t>
  </si>
  <si>
    <t>160239 Y</t>
  </si>
  <si>
    <t>LEPINAY LUCAS</t>
  </si>
  <si>
    <t>129786 U</t>
  </si>
  <si>
    <t>LEROUX FREDERIC</t>
  </si>
  <si>
    <t>153441 J</t>
  </si>
  <si>
    <t>LESCOUET EVELINE</t>
  </si>
  <si>
    <t>143717 P</t>
  </si>
  <si>
    <t>LETAILLEUR HUGO</t>
  </si>
  <si>
    <t>140579 X</t>
  </si>
  <si>
    <t>LEVOIVENEL PHILIPPE</t>
  </si>
  <si>
    <t>140418 S</t>
  </si>
  <si>
    <t>LEVY ANDRE</t>
  </si>
  <si>
    <t>150617 P</t>
  </si>
  <si>
    <t>LOISON GUSTAVE</t>
  </si>
  <si>
    <t>09050 – MAISON COMMUNALE DES LOISIRS ET DE LA CULTURE</t>
  </si>
  <si>
    <t>132975 L</t>
  </si>
  <si>
    <t>LOREAU TANGUY</t>
  </si>
  <si>
    <t>152765 Z</t>
  </si>
  <si>
    <t>LOUESDON THIERRY</t>
  </si>
  <si>
    <t>129299 B</t>
  </si>
  <si>
    <t>LOUSSOUARN DIDIER</t>
  </si>
  <si>
    <t>140312 Q</t>
  </si>
  <si>
    <t>LOUVET MAXIME</t>
  </si>
  <si>
    <t>139920 O</t>
  </si>
  <si>
    <t>LOUVET QUENTIN</t>
  </si>
  <si>
    <t>146880 G</t>
  </si>
  <si>
    <t>LUCAS ALAIN</t>
  </si>
  <si>
    <t>147496 X</t>
  </si>
  <si>
    <t>LUCRON OLIVIER</t>
  </si>
  <si>
    <t>156106 F</t>
  </si>
  <si>
    <t>LUTUN THIERRY</t>
  </si>
  <si>
    <t>129270 Y</t>
  </si>
  <si>
    <t>LY CYRIL</t>
  </si>
  <si>
    <t>135467 H</t>
  </si>
  <si>
    <t>MAHLER STEPHANIE</t>
  </si>
  <si>
    <t>021608 C</t>
  </si>
  <si>
    <t>MALGUY DANIEL</t>
  </si>
  <si>
    <t>140013 D</t>
  </si>
  <si>
    <t>MALLARD CLAUDE</t>
  </si>
  <si>
    <t>153666 D</t>
  </si>
  <si>
    <t>MAOLET BRYTHON</t>
  </si>
  <si>
    <t>159012 P</t>
  </si>
  <si>
    <t>MARCINISZYN VICTOR</t>
  </si>
  <si>
    <t>013663 N</t>
  </si>
  <si>
    <t>MARIE ALAIN</t>
  </si>
  <si>
    <t>131205 J</t>
  </si>
  <si>
    <t>MARTIN JEAN CLAUDE</t>
  </si>
  <si>
    <t>153447 Q</t>
  </si>
  <si>
    <t>MARTIN ROGER</t>
  </si>
  <si>
    <t>144762 U</t>
  </si>
  <si>
    <t>MARY ANTHONY</t>
  </si>
  <si>
    <t>013692 Q</t>
  </si>
  <si>
    <t>MASSAIA JEAN PIERRE</t>
  </si>
  <si>
    <t>132636 K</t>
  </si>
  <si>
    <t>MAUPETIT ALAIN</t>
  </si>
  <si>
    <t>149853 J</t>
  </si>
  <si>
    <t>MEDINGER LAURENT</t>
  </si>
  <si>
    <t>153477 Y</t>
  </si>
  <si>
    <t>MELQUIOND GUILLAUME</t>
  </si>
  <si>
    <t>146706 O</t>
  </si>
  <si>
    <t>MIAUX JOEL</t>
  </si>
  <si>
    <t>109518 G</t>
  </si>
  <si>
    <t>MICHEL CHRISTINE</t>
  </si>
  <si>
    <t>154476 J</t>
  </si>
  <si>
    <t>MIQUEL VINCENT</t>
  </si>
  <si>
    <t>175159 Q</t>
  </si>
  <si>
    <t>MONCOMBLE HUGO</t>
  </si>
  <si>
    <t>141162 I</t>
  </si>
  <si>
    <t>MONTEIRO MANUEL</t>
  </si>
  <si>
    <t>013775 V</t>
  </si>
  <si>
    <t>MORANT PAUL</t>
  </si>
  <si>
    <t>139928 W</t>
  </si>
  <si>
    <t>MORISOT FABIEN</t>
  </si>
  <si>
    <t>142267 V</t>
  </si>
  <si>
    <t>MORVAN PETER</t>
  </si>
  <si>
    <t>140067 F</t>
  </si>
  <si>
    <t>MOURAYRE DENIS</t>
  </si>
  <si>
    <t>117615 R</t>
  </si>
  <si>
    <t>MUNOS DANIEL</t>
  </si>
  <si>
    <t>142515 J</t>
  </si>
  <si>
    <t>NGUYEN JEAN CYRIL</t>
  </si>
  <si>
    <t>154574 Q</t>
  </si>
  <si>
    <t>NICOLAS CLEMENT</t>
  </si>
  <si>
    <t>135396 O</t>
  </si>
  <si>
    <t>NURISSO GERARD</t>
  </si>
  <si>
    <t>132631 F</t>
  </si>
  <si>
    <t>OLCESE DOMINIQUE</t>
  </si>
  <si>
    <t>132622 W</t>
  </si>
  <si>
    <t>OLCESE PATRICK</t>
  </si>
  <si>
    <t>122175 B</t>
  </si>
  <si>
    <t>OLIVE VALENTIN</t>
  </si>
  <si>
    <t>109975 V</t>
  </si>
  <si>
    <t>OLIVER NORBERT</t>
  </si>
  <si>
    <t>149634 W</t>
  </si>
  <si>
    <t>OLIVIER GERALDINE</t>
  </si>
  <si>
    <t>143941 F</t>
  </si>
  <si>
    <t>PARISSE ALEXANDRA</t>
  </si>
  <si>
    <t>132310 W</t>
  </si>
  <si>
    <t>PASCAL DANIEL</t>
  </si>
  <si>
    <t>129223 D</t>
  </si>
  <si>
    <t>PASSARD ALEXANDRE</t>
  </si>
  <si>
    <t>163358 N</t>
  </si>
  <si>
    <t>PASTRE DE FREITAS ENZO</t>
  </si>
  <si>
    <t>168325 M</t>
  </si>
  <si>
    <t>PAURON REGIS</t>
  </si>
  <si>
    <t>139929 X</t>
  </si>
  <si>
    <t>PENAUD ROMAIN</t>
  </si>
  <si>
    <t>138072 M</t>
  </si>
  <si>
    <t>PEREIRA MATHIEU</t>
  </si>
  <si>
    <t>156345 Q</t>
  </si>
  <si>
    <t>PERELMAN PASCALE</t>
  </si>
  <si>
    <t>123885 V</t>
  </si>
  <si>
    <t>PEREZ FLORENT</t>
  </si>
  <si>
    <t>113923 R</t>
  </si>
  <si>
    <t>PERRIER PHILIPPE</t>
  </si>
  <si>
    <t>139995 L</t>
  </si>
  <si>
    <t>PETERS MAXENCE</t>
  </si>
  <si>
    <t>166531 M</t>
  </si>
  <si>
    <t>PETIT MICHEL</t>
  </si>
  <si>
    <t>114563 H</t>
  </si>
  <si>
    <t>PIATECKI BORIS</t>
  </si>
  <si>
    <t>139996 M</t>
  </si>
  <si>
    <t>PIESSE YANN</t>
  </si>
  <si>
    <t>152785 W</t>
  </si>
  <si>
    <t>PINO NATHAN</t>
  </si>
  <si>
    <t>151454 Z</t>
  </si>
  <si>
    <t>POITEVINEAU LIONEL</t>
  </si>
  <si>
    <t>125430 G</t>
  </si>
  <si>
    <t>POMMEPUY SERGE</t>
  </si>
  <si>
    <t>149281 M</t>
  </si>
  <si>
    <t>POPINEAU XAVIER</t>
  </si>
  <si>
    <t>165232 A</t>
  </si>
  <si>
    <t>POTET JOEL</t>
  </si>
  <si>
    <t>136740 G</t>
  </si>
  <si>
    <t>POUILLE JEREMY</t>
  </si>
  <si>
    <t>130038 M</t>
  </si>
  <si>
    <t>POUILLE KEVIN</t>
  </si>
  <si>
    <t>138083 X</t>
  </si>
  <si>
    <t>PREVET PHILIPPE</t>
  </si>
  <si>
    <t>140941 V</t>
  </si>
  <si>
    <t>PREVOST MARC</t>
  </si>
  <si>
    <t>169072 Z</t>
  </si>
  <si>
    <t>PRIMORIN CLOVIS</t>
  </si>
  <si>
    <t>164700 X</t>
  </si>
  <si>
    <t>QUEVERUE PHILIPPE</t>
  </si>
  <si>
    <t>152596 Q</t>
  </si>
  <si>
    <t>QUIN ROBERT BHEEMA</t>
  </si>
  <si>
    <t>170229 G</t>
  </si>
  <si>
    <t>RALLET JEAN FRANCOIS</t>
  </si>
  <si>
    <t>141483 R</t>
  </si>
  <si>
    <t>RETIF GABRIELLA</t>
  </si>
  <si>
    <t>124373 P</t>
  </si>
  <si>
    <t>REVAULT CLAUDINE</t>
  </si>
  <si>
    <t>153875 F</t>
  </si>
  <si>
    <t>RIBEIRO LUCAS</t>
  </si>
  <si>
    <t>142364 O</t>
  </si>
  <si>
    <t>RICCI RAPHAEL</t>
  </si>
  <si>
    <t>014061 V</t>
  </si>
  <si>
    <t>RIMBAULT MATHIEU</t>
  </si>
  <si>
    <t>150932 G</t>
  </si>
  <si>
    <t>RINGHAUSEN VINCENT</t>
  </si>
  <si>
    <t>144752 K</t>
  </si>
  <si>
    <t>ROGER CORENTIN</t>
  </si>
  <si>
    <t>133377 X</t>
  </si>
  <si>
    <t>ROHEE HUGUES</t>
  </si>
  <si>
    <t>152588 G</t>
  </si>
  <si>
    <t>ROPARTZ ADRIEN</t>
  </si>
  <si>
    <t>131232 K</t>
  </si>
  <si>
    <t>ROUMY ALAIN</t>
  </si>
  <si>
    <t>172477 A</t>
  </si>
  <si>
    <t>ROY NUNES JULES</t>
  </si>
  <si>
    <t>177198 G</t>
  </si>
  <si>
    <t>RUGET DANIEL</t>
  </si>
  <si>
    <t>149333 T</t>
  </si>
  <si>
    <t>RUSSO MILLET ROSE</t>
  </si>
  <si>
    <t>132283 V</t>
  </si>
  <si>
    <t>SAUGNAC CATHERINE</t>
  </si>
  <si>
    <t>132284 W</t>
  </si>
  <si>
    <t>SAUGNAC HERVE</t>
  </si>
  <si>
    <t>132285 X</t>
  </si>
  <si>
    <t>SAUGNAC RENAUD</t>
  </si>
  <si>
    <t>134848 M</t>
  </si>
  <si>
    <t>SCHONBUCH CHARLES</t>
  </si>
  <si>
    <t>147422 R</t>
  </si>
  <si>
    <t>SELLES NICOLAS</t>
  </si>
  <si>
    <t>157107 T</t>
  </si>
  <si>
    <t>SERVANTON ALEXANDRE</t>
  </si>
  <si>
    <t>162977 Z</t>
  </si>
  <si>
    <t>SEYRLING GERHARD</t>
  </si>
  <si>
    <t>149641 D</t>
  </si>
  <si>
    <t>SIMONIN LAURIANE</t>
  </si>
  <si>
    <t>149591 Z</t>
  </si>
  <si>
    <t>SPENLE PASCAL</t>
  </si>
  <si>
    <t>167800 R</t>
  </si>
  <si>
    <t>STUBBE FRANCK</t>
  </si>
  <si>
    <t>175258 Y</t>
  </si>
  <si>
    <t>TA DIEN</t>
  </si>
  <si>
    <t>105958 I</t>
  </si>
  <si>
    <t>TANCREZ OLIVIER</t>
  </si>
  <si>
    <t>09130 – PHOENIX BILLARD CLUB</t>
  </si>
  <si>
    <t>152513 A</t>
  </si>
  <si>
    <t>TARALLE GUY</t>
  </si>
  <si>
    <t>123847 J</t>
  </si>
  <si>
    <t>THEROUIN CLAUDE</t>
  </si>
  <si>
    <t>178428 T</t>
  </si>
  <si>
    <t>TIESSE ALEXANDRE</t>
  </si>
  <si>
    <t>152004 X</t>
  </si>
  <si>
    <t>TIMSIT LIONEL</t>
  </si>
  <si>
    <t>156935 G</t>
  </si>
  <si>
    <t>TO ALEXANDRE</t>
  </si>
  <si>
    <t>153028 K</t>
  </si>
  <si>
    <t>TOUBON HERVE</t>
  </si>
  <si>
    <t>156411 M</t>
  </si>
  <si>
    <t>TURPIN JEAN LOUIS</t>
  </si>
  <si>
    <t>143709 H</t>
  </si>
  <si>
    <t>VALENTIN BENJAMIN</t>
  </si>
  <si>
    <t>149535 N</t>
  </si>
  <si>
    <t>VASSEUR CHRISTOPHE</t>
  </si>
  <si>
    <t>133258 I</t>
  </si>
  <si>
    <t>VAVASSEUR SEBASTIEN</t>
  </si>
  <si>
    <t>153252 D</t>
  </si>
  <si>
    <t>VIGNOLLES JEAN PIERRE</t>
  </si>
  <si>
    <t>147794 W</t>
  </si>
  <si>
    <t>VINCENT JEROME</t>
  </si>
  <si>
    <t>156249 L</t>
  </si>
  <si>
    <t>VISTICOT JEAN PAUL</t>
  </si>
  <si>
    <t>142654 S</t>
  </si>
  <si>
    <t>VITRY JEAN CHRISTOPHE</t>
  </si>
  <si>
    <t>166108 C</t>
  </si>
  <si>
    <t>VRILLAUD FRIZZIERO CELIAN</t>
  </si>
  <si>
    <t>143726 Y</t>
  </si>
  <si>
    <t>VU LE CUONG</t>
  </si>
  <si>
    <t>173924 Y</t>
  </si>
  <si>
    <t>YAN FRANCIS</t>
  </si>
  <si>
    <t>160033 Z</t>
  </si>
  <si>
    <t>ZAKHARIUK MICHEL</t>
  </si>
  <si>
    <t>177291 H</t>
  </si>
  <si>
    <t>Poules 3 joueurs</t>
  </si>
  <si>
    <t>Poules 4 joueurs</t>
  </si>
  <si>
    <t>Poules 5 joueurs</t>
  </si>
  <si>
    <t>Poules 6 joueurs</t>
  </si>
  <si>
    <t>Nb J</t>
  </si>
  <si>
    <t>Nb P</t>
  </si>
  <si>
    <t>LOGOS CLUBS :</t>
  </si>
  <si>
    <t>DATE</t>
  </si>
  <si>
    <t>Directeur de jeu</t>
  </si>
  <si>
    <t>Type de compétition :</t>
  </si>
  <si>
    <t>Nb de joueurs / poule :</t>
  </si>
  <si>
    <t>Liste des joueurs</t>
  </si>
  <si>
    <t xml:space="preserve">prénom </t>
  </si>
  <si>
    <t>Moy Gén</t>
  </si>
  <si>
    <t>Poule B</t>
  </si>
  <si>
    <t>Poule C</t>
  </si>
  <si>
    <t>Poule D</t>
  </si>
  <si>
    <t>Poule E</t>
  </si>
  <si>
    <t>Poule F</t>
  </si>
  <si>
    <t>Poule G</t>
  </si>
  <si>
    <t>Poule H</t>
  </si>
  <si>
    <t>Poule I</t>
  </si>
  <si>
    <t>Poule J</t>
  </si>
  <si>
    <t>Nombre de poules</t>
  </si>
  <si>
    <t>Recalculer le serpentin :</t>
  </si>
  <si>
    <t>Poule K</t>
  </si>
  <si>
    <t>Poule L</t>
  </si>
  <si>
    <t>Composition des poules</t>
  </si>
  <si>
    <t>Reclassement des joueurs</t>
  </si>
  <si>
    <t>GESTION DES JOUEURS</t>
  </si>
  <si>
    <t>Phase Poules</t>
  </si>
  <si>
    <t>Phase Finale</t>
  </si>
  <si>
    <t>Clt M</t>
  </si>
  <si>
    <t>Colonne2</t>
  </si>
  <si>
    <t>Colonne3</t>
  </si>
  <si>
    <t>Colonne4</t>
  </si>
  <si>
    <t>Colonne5</t>
  </si>
  <si>
    <t>Colonne6</t>
  </si>
  <si>
    <t>Colonne7</t>
  </si>
  <si>
    <t>Colonne8</t>
  </si>
  <si>
    <t>Colonne9</t>
  </si>
  <si>
    <t>Colonne10</t>
  </si>
  <si>
    <t>Colonne11</t>
  </si>
  <si>
    <t>Colonne12</t>
  </si>
  <si>
    <t>Colonne13</t>
  </si>
  <si>
    <t>Colonne14</t>
  </si>
  <si>
    <t>Colonne15</t>
  </si>
  <si>
    <t>Colonne16</t>
  </si>
  <si>
    <t>Colonne17</t>
  </si>
  <si>
    <t>Colonne18</t>
  </si>
  <si>
    <t>Colonne19</t>
  </si>
  <si>
    <t>Colonne20</t>
  </si>
  <si>
    <t>Colonne21</t>
  </si>
  <si>
    <t>Colonne22</t>
  </si>
  <si>
    <t>Colonne23</t>
  </si>
  <si>
    <t>Colonne24</t>
  </si>
  <si>
    <t>Colonne25</t>
  </si>
  <si>
    <t>Colonne26</t>
  </si>
  <si>
    <t>Colonne27</t>
  </si>
  <si>
    <t>Colonne28</t>
  </si>
  <si>
    <t>Colonne29</t>
  </si>
  <si>
    <t>Colonne30</t>
  </si>
  <si>
    <t>Colonne31</t>
  </si>
  <si>
    <t>Colonne32</t>
  </si>
  <si>
    <t>Colonne33</t>
  </si>
  <si>
    <t>Colonne34</t>
  </si>
  <si>
    <t>Colonne35</t>
  </si>
  <si>
    <t>Colonne36</t>
  </si>
  <si>
    <t>Colonne37</t>
  </si>
  <si>
    <t>Colonne38</t>
  </si>
  <si>
    <t>Colonne39</t>
  </si>
  <si>
    <t>Colonne40</t>
  </si>
  <si>
    <t>Colonne41</t>
  </si>
  <si>
    <t>Colonne42</t>
  </si>
  <si>
    <t>Colonne43</t>
  </si>
  <si>
    <t>Colonne44</t>
  </si>
  <si>
    <t>Colonne45</t>
  </si>
  <si>
    <t>Colonne46</t>
  </si>
  <si>
    <t>Colonne47</t>
  </si>
  <si>
    <t>Colonne48</t>
  </si>
  <si>
    <t>Colonne49</t>
  </si>
  <si>
    <t>Colonne50</t>
  </si>
  <si>
    <t>Colonne51</t>
  </si>
  <si>
    <t>Colonne52</t>
  </si>
  <si>
    <t>Colonne53</t>
  </si>
  <si>
    <t>Colonne54</t>
  </si>
  <si>
    <t>Colonne55</t>
  </si>
  <si>
    <t>Colonne56</t>
  </si>
  <si>
    <t>Colonne57</t>
  </si>
  <si>
    <t>Colonne58</t>
  </si>
  <si>
    <t>Colonne59</t>
  </si>
  <si>
    <t>Colonne60</t>
  </si>
  <si>
    <t>Colonne61</t>
  </si>
  <si>
    <t>Colonne62</t>
  </si>
  <si>
    <t>Colonne63</t>
  </si>
  <si>
    <t>Colonne64</t>
  </si>
  <si>
    <t>Colonne65</t>
  </si>
  <si>
    <t>Colonne66</t>
  </si>
  <si>
    <t>Colonne67</t>
  </si>
  <si>
    <t>Colonne68</t>
  </si>
  <si>
    <t>Colonne69</t>
  </si>
  <si>
    <t>Colonne70</t>
  </si>
  <si>
    <t>Colonne71</t>
  </si>
  <si>
    <t>Colonne72</t>
  </si>
  <si>
    <t>Colonne73</t>
  </si>
  <si>
    <t>Colonne74</t>
  </si>
  <si>
    <t>Colonne75</t>
  </si>
  <si>
    <t>Colonne76</t>
  </si>
  <si>
    <t>Colonne77</t>
  </si>
  <si>
    <t>Colonne78</t>
  </si>
  <si>
    <t>Colonne79</t>
  </si>
  <si>
    <t>Colonne80</t>
  </si>
  <si>
    <t>Colonne81</t>
  </si>
  <si>
    <t>Colonne82</t>
  </si>
  <si>
    <t>Colonne83</t>
  </si>
  <si>
    <t>Colonne84</t>
  </si>
  <si>
    <t>Colonne85</t>
  </si>
  <si>
    <t>Colonne86</t>
  </si>
  <si>
    <t>Colonne87</t>
  </si>
  <si>
    <t>Colonne88</t>
  </si>
  <si>
    <t>Colonne89</t>
  </si>
  <si>
    <t>Colonne90</t>
  </si>
  <si>
    <t>Colonne91</t>
  </si>
  <si>
    <t>Colonne92</t>
  </si>
  <si>
    <t>Colonne93</t>
  </si>
  <si>
    <t>Colonne94</t>
  </si>
  <si>
    <t>Colonne95</t>
  </si>
  <si>
    <t>Colonne96</t>
  </si>
  <si>
    <t>Colonne97</t>
  </si>
  <si>
    <t>Colonne98</t>
  </si>
  <si>
    <t>Colonne99</t>
  </si>
  <si>
    <t>Colonne100</t>
  </si>
  <si>
    <t>Colonne101</t>
  </si>
  <si>
    <t>Colonne102</t>
  </si>
  <si>
    <t>Colonne103</t>
  </si>
  <si>
    <t>Colonne104</t>
  </si>
  <si>
    <t>Colonne105</t>
  </si>
  <si>
    <t>Colonne106</t>
  </si>
  <si>
    <t>Colonne107</t>
  </si>
  <si>
    <t>Colonne108</t>
  </si>
  <si>
    <t>Colonne109</t>
  </si>
  <si>
    <t>Colonne110</t>
  </si>
  <si>
    <t>Colonne111</t>
  </si>
  <si>
    <t>Colonne112</t>
  </si>
  <si>
    <t>Colonne113</t>
  </si>
  <si>
    <t>Colonne114</t>
  </si>
  <si>
    <t>Colonne115</t>
  </si>
  <si>
    <t>Colonne116</t>
  </si>
  <si>
    <t>Colonne117</t>
  </si>
  <si>
    <t>Colonne118</t>
  </si>
  <si>
    <t>Colonne119</t>
  </si>
  <si>
    <t>Colonne120</t>
  </si>
  <si>
    <t>Colonne121</t>
  </si>
  <si>
    <t>Colonne122</t>
  </si>
  <si>
    <t>Colonne123</t>
  </si>
  <si>
    <t>Colonne124</t>
  </si>
  <si>
    <t>Colonne125</t>
  </si>
  <si>
    <t>Colonne126</t>
  </si>
  <si>
    <t>Colonne127</t>
  </si>
  <si>
    <t>Colonne128</t>
  </si>
  <si>
    <t>Colonne129</t>
  </si>
  <si>
    <t>Colonne130</t>
  </si>
  <si>
    <t>Colonne131</t>
  </si>
  <si>
    <t>Colonne132</t>
  </si>
  <si>
    <t>Colonne133</t>
  </si>
  <si>
    <t>Colonne134</t>
  </si>
  <si>
    <t>Colonne135</t>
  </si>
  <si>
    <t>Colonne136</t>
  </si>
  <si>
    <t>Colonne137</t>
  </si>
  <si>
    <t>Colonne138</t>
  </si>
  <si>
    <t>Colonne139</t>
  </si>
  <si>
    <t>Colonne140</t>
  </si>
  <si>
    <t>Colonne141</t>
  </si>
  <si>
    <t>Colonne142</t>
  </si>
  <si>
    <t>Colonne143</t>
  </si>
  <si>
    <t>Colonne144</t>
  </si>
  <si>
    <t>Colonne145</t>
  </si>
  <si>
    <t>Colonne146</t>
  </si>
  <si>
    <t>Colonne147</t>
  </si>
  <si>
    <t>Colonne148</t>
  </si>
  <si>
    <t>Colonne149</t>
  </si>
  <si>
    <t>Colonne150</t>
  </si>
  <si>
    <t>Colonne151</t>
  </si>
  <si>
    <t>Colonne152</t>
  </si>
  <si>
    <t>Colonne153</t>
  </si>
  <si>
    <t>Colonne154</t>
  </si>
  <si>
    <t>Colonne155</t>
  </si>
  <si>
    <t>Colonne156</t>
  </si>
  <si>
    <t>Colonne157</t>
  </si>
  <si>
    <t>Colonne158</t>
  </si>
  <si>
    <t>Colonne159</t>
  </si>
  <si>
    <t>Colonne160</t>
  </si>
  <si>
    <t>Colonne161</t>
  </si>
  <si>
    <t>Colonne162</t>
  </si>
  <si>
    <t>Colonne163</t>
  </si>
  <si>
    <t>Colonne164</t>
  </si>
  <si>
    <t>Colonne165</t>
  </si>
  <si>
    <t>Colonne166</t>
  </si>
  <si>
    <t>Colonne167</t>
  </si>
  <si>
    <t>Colonne168</t>
  </si>
  <si>
    <t>Colonne169</t>
  </si>
  <si>
    <t>Colonne170</t>
  </si>
  <si>
    <t>Colonne171</t>
  </si>
  <si>
    <t>Colonne172</t>
  </si>
  <si>
    <t>Colonne173</t>
  </si>
  <si>
    <t>Colonne174</t>
  </si>
  <si>
    <t>Colonne175</t>
  </si>
  <si>
    <t>Colonne176</t>
  </si>
  <si>
    <t>Colonne177</t>
  </si>
  <si>
    <t>Colonne178</t>
  </si>
  <si>
    <t>Colonne179</t>
  </si>
  <si>
    <t>Colonne180</t>
  </si>
  <si>
    <t>Colonne181</t>
  </si>
  <si>
    <t>Colonne182</t>
  </si>
  <si>
    <t>Colonne183</t>
  </si>
  <si>
    <t>Colonne184</t>
  </si>
  <si>
    <t>Colonne185</t>
  </si>
  <si>
    <t>Colonne186</t>
  </si>
  <si>
    <t>Colonne187</t>
  </si>
  <si>
    <t>Colonne188</t>
  </si>
  <si>
    <t>Colonne189</t>
  </si>
  <si>
    <t>Colonne190</t>
  </si>
  <si>
    <t>Colonne191</t>
  </si>
  <si>
    <t>Colonne192</t>
  </si>
  <si>
    <t>Colonne193</t>
  </si>
  <si>
    <t>Colonne194</t>
  </si>
  <si>
    <t>Colonne195</t>
  </si>
  <si>
    <t>Colonne196</t>
  </si>
  <si>
    <t>Colonne197</t>
  </si>
  <si>
    <t>Colonne198</t>
  </si>
  <si>
    <t>Colonne199</t>
  </si>
  <si>
    <t>Colonne200</t>
  </si>
  <si>
    <t>Colonne201</t>
  </si>
  <si>
    <t>Colonne202</t>
  </si>
  <si>
    <t>Colonne203</t>
  </si>
  <si>
    <t>Colonne204</t>
  </si>
  <si>
    <t>Colonne205</t>
  </si>
  <si>
    <t>Colonne206</t>
  </si>
  <si>
    <t>Colonne207</t>
  </si>
  <si>
    <t>Colonne208</t>
  </si>
  <si>
    <t>Colonne209</t>
  </si>
  <si>
    <t>Colonne210</t>
  </si>
  <si>
    <t>Colonne211</t>
  </si>
  <si>
    <t>Colonne212</t>
  </si>
  <si>
    <t>Colonne213</t>
  </si>
  <si>
    <t>Colonne214</t>
  </si>
  <si>
    <t>Colonne215</t>
  </si>
  <si>
    <t>Colonne216</t>
  </si>
  <si>
    <t>Colonne217</t>
  </si>
  <si>
    <t>Colonne218</t>
  </si>
  <si>
    <t>Colonne219</t>
  </si>
  <si>
    <t>Colonne220</t>
  </si>
  <si>
    <t>Colonne221</t>
  </si>
  <si>
    <t>Colonne222</t>
  </si>
  <si>
    <t>Colonne223</t>
  </si>
  <si>
    <t>Colonne224</t>
  </si>
  <si>
    <t>Colonne225</t>
  </si>
  <si>
    <t>Colonne226</t>
  </si>
  <si>
    <t>Colonne227</t>
  </si>
  <si>
    <t>Colonne228</t>
  </si>
  <si>
    <t>Colonne229</t>
  </si>
  <si>
    <t>Colonne230</t>
  </si>
  <si>
    <t>Colonne231</t>
  </si>
  <si>
    <t>Colonne232</t>
  </si>
  <si>
    <t>Colonne233</t>
  </si>
  <si>
    <t>Colonne234</t>
  </si>
  <si>
    <t>Colonne235</t>
  </si>
  <si>
    <t>Colonne236</t>
  </si>
  <si>
    <t>Colonne237</t>
  </si>
  <si>
    <t>Colonne238</t>
  </si>
  <si>
    <t>Colonne239</t>
  </si>
  <si>
    <t>Colonne240</t>
  </si>
  <si>
    <t>Colonne241</t>
  </si>
  <si>
    <t>Colonne242</t>
  </si>
  <si>
    <t>Colonne243</t>
  </si>
  <si>
    <t>Colonne244</t>
  </si>
  <si>
    <t>Colonne245</t>
  </si>
  <si>
    <t>Colonne246</t>
  </si>
  <si>
    <t>Colonne247</t>
  </si>
  <si>
    <t>Colonne248</t>
  </si>
  <si>
    <t>Colonne249</t>
  </si>
  <si>
    <t>Colonne250</t>
  </si>
  <si>
    <t>Colonne251</t>
  </si>
  <si>
    <t>Colonne252</t>
  </si>
  <si>
    <t>Colonne253</t>
  </si>
  <si>
    <t>Colonne254</t>
  </si>
  <si>
    <t>Colonne255</t>
  </si>
  <si>
    <t>Colonne256</t>
  </si>
  <si>
    <t>Colonne257</t>
  </si>
  <si>
    <t>Colonne258</t>
  </si>
  <si>
    <t>Colonne259</t>
  </si>
  <si>
    <t>Colonne260</t>
  </si>
  <si>
    <t>Colonne261</t>
  </si>
  <si>
    <t>Colonne262</t>
  </si>
  <si>
    <t>Colonne263</t>
  </si>
  <si>
    <t>Colonne264</t>
  </si>
  <si>
    <t>Colonne265</t>
  </si>
  <si>
    <t>Colonne266</t>
  </si>
  <si>
    <t>Colonne267</t>
  </si>
  <si>
    <t>Colonne268</t>
  </si>
  <si>
    <t>Colonne269</t>
  </si>
  <si>
    <t>Colonne270</t>
  </si>
  <si>
    <t>Colonne271</t>
  </si>
  <si>
    <t>Colonne272</t>
  </si>
  <si>
    <t>Colonne273</t>
  </si>
  <si>
    <t>Colonne274</t>
  </si>
  <si>
    <t>Colonne275</t>
  </si>
  <si>
    <t>Colonne276</t>
  </si>
  <si>
    <t>Colonne277</t>
  </si>
  <si>
    <t>Colonne278</t>
  </si>
  <si>
    <t>Colonne279</t>
  </si>
  <si>
    <t>Colonne280</t>
  </si>
  <si>
    <t>Colonne281</t>
  </si>
  <si>
    <t>Colonne282</t>
  </si>
  <si>
    <t>Colonne283</t>
  </si>
  <si>
    <t>Colonne284</t>
  </si>
  <si>
    <t>Colonne285</t>
  </si>
  <si>
    <t>Colonne286</t>
  </si>
  <si>
    <t>Colonne287</t>
  </si>
  <si>
    <t>Colonne288</t>
  </si>
  <si>
    <t>Colonne289</t>
  </si>
  <si>
    <t>Colonne290</t>
  </si>
  <si>
    <t>Colonne291</t>
  </si>
  <si>
    <t>Colonne292</t>
  </si>
  <si>
    <t>Colonne293</t>
  </si>
  <si>
    <t>Colonne294</t>
  </si>
  <si>
    <t>Colonne295</t>
  </si>
  <si>
    <t>Colonne296</t>
  </si>
  <si>
    <t>Colonne297</t>
  </si>
  <si>
    <t>Colonne298</t>
  </si>
  <si>
    <t>Colonne299</t>
  </si>
  <si>
    <t>Colonne300</t>
  </si>
  <si>
    <t>Colonne301</t>
  </si>
  <si>
    <t>Colonne302</t>
  </si>
  <si>
    <t>Colonne303</t>
  </si>
  <si>
    <t>Colonne304</t>
  </si>
  <si>
    <t>Colonne305</t>
  </si>
  <si>
    <t>Colonne306</t>
  </si>
  <si>
    <t>Colonne307</t>
  </si>
  <si>
    <t>Colonne308</t>
  </si>
  <si>
    <t>Colonne309</t>
  </si>
  <si>
    <t>Colonne310</t>
  </si>
  <si>
    <t>Colonne311</t>
  </si>
  <si>
    <t>Colonne312</t>
  </si>
  <si>
    <t>Colonne313</t>
  </si>
  <si>
    <t>Colonne314</t>
  </si>
  <si>
    <t>Colonne315</t>
  </si>
  <si>
    <t>Colonne316</t>
  </si>
  <si>
    <t>Colonne317</t>
  </si>
  <si>
    <t>Colonne318</t>
  </si>
  <si>
    <t>Colonne319</t>
  </si>
  <si>
    <t>Colonne320</t>
  </si>
  <si>
    <t>Colonne321</t>
  </si>
  <si>
    <t>Colonne322</t>
  </si>
  <si>
    <t>Colonne323</t>
  </si>
  <si>
    <t>Colonne324</t>
  </si>
  <si>
    <t>Colonne325</t>
  </si>
  <si>
    <t>Colonne326</t>
  </si>
  <si>
    <t>Colonne327</t>
  </si>
  <si>
    <t>Colonne328</t>
  </si>
  <si>
    <t>Colonne329</t>
  </si>
  <si>
    <t>Colonne330</t>
  </si>
  <si>
    <t>Colonne331</t>
  </si>
  <si>
    <t>Colonne332</t>
  </si>
  <si>
    <t>Colonne333</t>
  </si>
  <si>
    <t>Colonne334</t>
  </si>
  <si>
    <t>Colonne335</t>
  </si>
  <si>
    <t>Colonne336</t>
  </si>
  <si>
    <t>Colonne337</t>
  </si>
  <si>
    <t>Colonne338</t>
  </si>
  <si>
    <t>Colonne339</t>
  </si>
  <si>
    <t>Colonne340</t>
  </si>
  <si>
    <t>Colonne341</t>
  </si>
  <si>
    <t>Colonne342</t>
  </si>
  <si>
    <t>Colonne343</t>
  </si>
  <si>
    <t>Colonne344</t>
  </si>
  <si>
    <t>Colonne345</t>
  </si>
  <si>
    <t>Colonne346</t>
  </si>
  <si>
    <t>Colonne347</t>
  </si>
  <si>
    <t>Colonne348</t>
  </si>
  <si>
    <t>Colonne349</t>
  </si>
  <si>
    <t>Colonne350</t>
  </si>
  <si>
    <t>Colonne351</t>
  </si>
  <si>
    <t>Colonne352</t>
  </si>
  <si>
    <t>Colonne353</t>
  </si>
  <si>
    <t>Colonne354</t>
  </si>
  <si>
    <t>Colonne355</t>
  </si>
  <si>
    <t>Colonne356</t>
  </si>
  <si>
    <t>Colonne357</t>
  </si>
  <si>
    <t>Colonne358</t>
  </si>
  <si>
    <t>Colonne359</t>
  </si>
  <si>
    <t>Colonne360</t>
  </si>
  <si>
    <t>Colonne361</t>
  </si>
  <si>
    <t>Colonne362</t>
  </si>
  <si>
    <t>Colonne363</t>
  </si>
  <si>
    <t>Colonne364</t>
  </si>
  <si>
    <t>Colonne365</t>
  </si>
  <si>
    <t>Mode de jeu et cat.</t>
  </si>
  <si>
    <t>R1/R2</t>
  </si>
  <si>
    <t>Dames</t>
  </si>
  <si>
    <t>R2 LBIF</t>
  </si>
  <si>
    <t>R3 LBIF</t>
  </si>
  <si>
    <t>N3 LBIF</t>
  </si>
  <si>
    <t>R1 LBIF</t>
  </si>
  <si>
    <t>Dames LBIF</t>
  </si>
  <si>
    <t>Dames N3</t>
  </si>
  <si>
    <t>Dames LBIF 1</t>
  </si>
  <si>
    <t>Dames LBIF 2</t>
  </si>
  <si>
    <t>Dames FFB</t>
  </si>
  <si>
    <t>Mode de jeu et catégorie</t>
  </si>
  <si>
    <t>Compétition n°</t>
  </si>
  <si>
    <t>Hcp</t>
  </si>
  <si>
    <t>NB Joueurs</t>
  </si>
  <si>
    <t>Ordre Tour de jeu</t>
  </si>
  <si>
    <t>09131 – LA CARAMBOLE VIGNEUSIENNE</t>
  </si>
  <si>
    <t>180137 B</t>
  </si>
  <si>
    <t>BOURRELLIS NICOLAS</t>
  </si>
  <si>
    <t>174244 W</t>
  </si>
  <si>
    <t>BRANCHU JEAN BAPTISTE</t>
  </si>
  <si>
    <t>164694 Q</t>
  </si>
  <si>
    <t>BUISSON PHILIPPE</t>
  </si>
  <si>
    <t>182330 K</t>
  </si>
  <si>
    <t>CAICEDO HENRI</t>
  </si>
  <si>
    <t>181784 R</t>
  </si>
  <si>
    <t>DALLEAU VINCENT</t>
  </si>
  <si>
    <t>167454 Q</t>
  </si>
  <si>
    <t>DE PIERREFEU GERAUD</t>
  </si>
  <si>
    <t>179690 Q</t>
  </si>
  <si>
    <t>DERANCOURT VINCENT</t>
  </si>
  <si>
    <t>141486 U</t>
  </si>
  <si>
    <t>DUCHEMIN DIDIER</t>
  </si>
  <si>
    <t>013119 P</t>
  </si>
  <si>
    <t>183023 N</t>
  </si>
  <si>
    <t>FIGAROL YAN</t>
  </si>
  <si>
    <t>153995 L</t>
  </si>
  <si>
    <t>FLEURY GERARD</t>
  </si>
  <si>
    <t>169084 M</t>
  </si>
  <si>
    <t>FRANZETTI MARC</t>
  </si>
  <si>
    <t>157090 A</t>
  </si>
  <si>
    <t>GALLET DANIEL</t>
  </si>
  <si>
    <t>181315 G</t>
  </si>
  <si>
    <t>GOBERT MARC</t>
  </si>
  <si>
    <t>130210 C</t>
  </si>
  <si>
    <t>GUERIN JEAN JACQUES</t>
  </si>
  <si>
    <t>010574 S</t>
  </si>
  <si>
    <t>GUICHAOUA PATRICE</t>
  </si>
  <si>
    <t>126905 Z</t>
  </si>
  <si>
    <t>HAUTECOEUR THIERRY</t>
  </si>
  <si>
    <t>169100 E</t>
  </si>
  <si>
    <t>IZARD JACQUES</t>
  </si>
  <si>
    <t>182483 B</t>
  </si>
  <si>
    <t>JORAND PHILLIPE</t>
  </si>
  <si>
    <t>179101 A</t>
  </si>
  <si>
    <t>JOSEPH JEAN PHILIPPE</t>
  </si>
  <si>
    <t>173614 L</t>
  </si>
  <si>
    <t>JUSTAUME MICHAEL</t>
  </si>
  <si>
    <t>180172 P</t>
  </si>
  <si>
    <t>LARCHE JEAN PIERRE</t>
  </si>
  <si>
    <t>183798 F</t>
  </si>
  <si>
    <t>LEROY GERARD</t>
  </si>
  <si>
    <t>020242 O</t>
  </si>
  <si>
    <t>LEROY WILFRIED</t>
  </si>
  <si>
    <t>181958 F</t>
  </si>
  <si>
    <t>LHOMME ERIC</t>
  </si>
  <si>
    <t>144710 U</t>
  </si>
  <si>
    <t>LOPEZ BRUNO</t>
  </si>
  <si>
    <t>183528 M</t>
  </si>
  <si>
    <t>LUST ALAIN</t>
  </si>
  <si>
    <t>MATHLOUTHI TOUHAMI</t>
  </si>
  <si>
    <t>174610 T</t>
  </si>
  <si>
    <t>MUZERELLE SOPHIE</t>
  </si>
  <si>
    <t>182807 D</t>
  </si>
  <si>
    <t>NAVARRO FABIEN</t>
  </si>
  <si>
    <t>178279 G</t>
  </si>
  <si>
    <t>NGUYEN TAN PHUONG</t>
  </si>
  <si>
    <t>162663 H</t>
  </si>
  <si>
    <t>PARDE MATHIS</t>
  </si>
  <si>
    <t>173513 B</t>
  </si>
  <si>
    <t>PERNOT EMMANUEL</t>
  </si>
  <si>
    <t>177533 W</t>
  </si>
  <si>
    <t>POIRET ERIC</t>
  </si>
  <si>
    <t>160509 R</t>
  </si>
  <si>
    <t>ROUCHON PATRICK</t>
  </si>
  <si>
    <t>177173 E</t>
  </si>
  <si>
    <t>SARRAT ERIC</t>
  </si>
  <si>
    <t>169455 Q</t>
  </si>
  <si>
    <t>SAVERINO GIUSEPPE</t>
  </si>
  <si>
    <t>147307 R</t>
  </si>
  <si>
    <t>SEPTAVAUX LOUIS</t>
  </si>
  <si>
    <t>179968 S</t>
  </si>
  <si>
    <t>SUBTIL JEAN PIERRE</t>
  </si>
  <si>
    <t>014259 L</t>
  </si>
  <si>
    <t>TOUZET ANNE LAURE</t>
  </si>
  <si>
    <t>181923 S</t>
  </si>
  <si>
    <t>VITTORI FREDERIC</t>
  </si>
  <si>
    <t>182166 G</t>
  </si>
  <si>
    <t>XANH MICHEL</t>
  </si>
  <si>
    <t>Colonne1</t>
  </si>
  <si>
    <t>179264 C</t>
  </si>
  <si>
    <t>AKEL SAMIR</t>
  </si>
  <si>
    <t>169937 P</t>
  </si>
  <si>
    <t>SAAD GHASSAN</t>
  </si>
  <si>
    <t>180575 C</t>
  </si>
  <si>
    <t>UGUR CENAB</t>
  </si>
  <si>
    <t>176637 X</t>
  </si>
  <si>
    <t>AUSTRUY PATRICE</t>
  </si>
  <si>
    <t>183403 B</t>
  </si>
  <si>
    <t>BERDAH JEAN CLAUDE</t>
  </si>
  <si>
    <t>012742 C</t>
  </si>
  <si>
    <t>CASSARD FABRICE</t>
  </si>
  <si>
    <t>123875 L</t>
  </si>
  <si>
    <t>FERON JEAN</t>
  </si>
  <si>
    <t>183469 Y</t>
  </si>
  <si>
    <t>MONTOYA LUIS</t>
  </si>
  <si>
    <t>Colonne366</t>
  </si>
  <si>
    <t>Colonne3652</t>
  </si>
  <si>
    <t>Colonne3653</t>
  </si>
  <si>
    <t>Colonne3654</t>
  </si>
  <si>
    <t>Colonne3655</t>
  </si>
  <si>
    <t>Colonne3656</t>
  </si>
  <si>
    <t>Colonne3657</t>
  </si>
  <si>
    <t>Colonne3658</t>
  </si>
  <si>
    <t>Colonne3659</t>
  </si>
  <si>
    <t>Colonne36510</t>
  </si>
  <si>
    <t>Colonne36511</t>
  </si>
  <si>
    <t>Colonne36512</t>
  </si>
  <si>
    <t>Colonne36513</t>
  </si>
  <si>
    <t>Colonne36514</t>
  </si>
  <si>
    <t>Colonne36515</t>
  </si>
  <si>
    <t>Colonne36516</t>
  </si>
  <si>
    <t>Colonne36517</t>
  </si>
  <si>
    <t>Colonne36518</t>
  </si>
  <si>
    <t>Colonne36519</t>
  </si>
  <si>
    <t>Colonne36520</t>
  </si>
  <si>
    <t>Colonne36521</t>
  </si>
  <si>
    <t>Colonne36522</t>
  </si>
  <si>
    <t>Colonne36523</t>
  </si>
  <si>
    <t>Colonne36524</t>
  </si>
  <si>
    <t>Colonne36525</t>
  </si>
  <si>
    <t>Colonne36526</t>
  </si>
  <si>
    <t>Colonne36527</t>
  </si>
  <si>
    <t>Colonne36528</t>
  </si>
  <si>
    <t>Colonne36529</t>
  </si>
  <si>
    <t>Colonne36530</t>
  </si>
  <si>
    <t>Colonne36531</t>
  </si>
  <si>
    <t>Colonne36532</t>
  </si>
  <si>
    <t>Colonne36533</t>
  </si>
  <si>
    <t>Colonne36534</t>
  </si>
  <si>
    <t>Colonne36535</t>
  </si>
  <si>
    <t>Colonne36536</t>
  </si>
  <si>
    <t>Colonne36537</t>
  </si>
  <si>
    <t>Colonne36538</t>
  </si>
  <si>
    <t>Colonne36539</t>
  </si>
  <si>
    <t>Colonne36540</t>
  </si>
  <si>
    <t>BT1</t>
  </si>
  <si>
    <t>BT2</t>
  </si>
  <si>
    <t>BT3</t>
  </si>
  <si>
    <t>CLUB REF</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</si>
  <si>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</si>
  <si>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</si>
  <si>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</si>
  <si>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</si>
  <si>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</si>
  <si>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</si>
  <si>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</si>
  <si>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</si>
  <si>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</si>
  <si>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</si>
  <si>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</si>
  <si>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</si>
  <si>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</si>
  <si>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</si>
  <si>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</si>
  <si>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</si>
  <si>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</si>
  <si>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</si>
  <si>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</si>
  <si>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</si>
  <si>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</si>
  <si>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</si>
  <si>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</si>
  <si>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012403B</t>
  </si>
  <si>
    <t>AIRAULT</t>
  </si>
  <si>
    <t>6 RUE DE L ORMETEAU</t>
  </si>
  <si>
    <t>airault.jm@free.fr</t>
  </si>
  <si>
    <t>Américain</t>
  </si>
  <si>
    <t>012582Y</t>
  </si>
  <si>
    <t>LA CARAMBOLE VIGNEUSIENNE</t>
  </si>
  <si>
    <t>BIDE</t>
  </si>
  <si>
    <t>134 RUE PIERRE BROSSOLETTE</t>
  </si>
  <si>
    <t>OREE DE SENART ANDERSEN 1</t>
  </si>
  <si>
    <t>roger.bide@orange.fr</t>
  </si>
  <si>
    <t>012634Y</t>
  </si>
  <si>
    <t>47 RUE DU CHASSE LIEVRE</t>
  </si>
  <si>
    <t>bordier.muriel@wanadoo.fr</t>
  </si>
  <si>
    <t>marie.carcy@orange.fr</t>
  </si>
  <si>
    <t>012768C</t>
  </si>
  <si>
    <t>CHALIER</t>
  </si>
  <si>
    <t>13 COUR DU COUVENT</t>
  </si>
  <si>
    <t>olivier.chalier.3@gmail.com</t>
  </si>
  <si>
    <t>16 AV  DE LA FAVORITE</t>
  </si>
  <si>
    <t>013033H</t>
  </si>
  <si>
    <t>DUJARDIN</t>
  </si>
  <si>
    <t>45 RUE DE L ABBAYE</t>
  </si>
  <si>
    <t>BALLANCOURT S ESSONNE</t>
  </si>
  <si>
    <t>emmanuel.dujardin@gmail.com</t>
  </si>
  <si>
    <t>5  RUE EUGENE RENAULT</t>
  </si>
  <si>
    <t>hervefellous26@yahoo.fr</t>
  </si>
  <si>
    <t>013119P</t>
  </si>
  <si>
    <t>284 CITE BLANCHE DE CASTILLE</t>
  </si>
  <si>
    <t>brima@live.fr</t>
  </si>
  <si>
    <t>013304S</t>
  </si>
  <si>
    <t>JOAQUIM</t>
  </si>
  <si>
    <t>guerreiro.olinda@gmail.com</t>
  </si>
  <si>
    <t>013420E</t>
  </si>
  <si>
    <t>71 AVENUE DUMOTEL</t>
  </si>
  <si>
    <t>EJ92@hotmail.fr</t>
  </si>
  <si>
    <t>013479L</t>
  </si>
  <si>
    <t>LANVIN</t>
  </si>
  <si>
    <t>24 RUE DES RAMIERS</t>
  </si>
  <si>
    <t>lionel_usa@hotmail.com</t>
  </si>
  <si>
    <t>013731D</t>
  </si>
  <si>
    <t>MESNY</t>
  </si>
  <si>
    <t>20 RUE DES SOURCES</t>
  </si>
  <si>
    <t>patrice.mesny@free.fr</t>
  </si>
  <si>
    <t>32 RUE DES LIERRES</t>
  </si>
  <si>
    <t>BOISSY SANS AVOIR</t>
  </si>
  <si>
    <t>gpoulicet@free.fr</t>
  </si>
  <si>
    <t>9 RUE PARMENTIER</t>
  </si>
  <si>
    <t>jpytkowicz@gmail.com</t>
  </si>
  <si>
    <t>rambeau.bertrand@orange.fr</t>
  </si>
  <si>
    <t>stauri.p@sfr.fr</t>
  </si>
  <si>
    <t>olivier829@hotmail.fr</t>
  </si>
  <si>
    <t>rousselpatrice97@gmail.com</t>
  </si>
  <si>
    <t>103052O</t>
  </si>
  <si>
    <t>lolosola@free.fr</t>
  </si>
  <si>
    <t>103141Z</t>
  </si>
  <si>
    <t>54 RUE LESUEUR</t>
  </si>
  <si>
    <t>eliane.prevost@orange.fr</t>
  </si>
  <si>
    <t>daniel.marignier@hotmail.fr</t>
  </si>
  <si>
    <t>103223D</t>
  </si>
  <si>
    <t>Billard club de Vélizy</t>
  </si>
  <si>
    <t>MAGGI</t>
  </si>
  <si>
    <t>112 RUE JULES FERRY</t>
  </si>
  <si>
    <t>VELIZY VILLACOUBLAY</t>
  </si>
  <si>
    <t>cmaggi@tofi.org</t>
  </si>
  <si>
    <t>103334K</t>
  </si>
  <si>
    <t>FEVER</t>
  </si>
  <si>
    <t>8 DOMAINE DE VILLIERS</t>
  </si>
  <si>
    <t>voldenuit1261@free.fr</t>
  </si>
  <si>
    <t>13 RUE DE L ARRIVEE</t>
  </si>
  <si>
    <t>103417P</t>
  </si>
  <si>
    <t>BONIFACE</t>
  </si>
  <si>
    <t>109 AVENUE D ARGENTEUIL</t>
  </si>
  <si>
    <t>bonicline@gmail.com</t>
  </si>
  <si>
    <t>nonos2506@gmail.com</t>
  </si>
  <si>
    <t>106220K</t>
  </si>
  <si>
    <t>LEBAUPAIN</t>
  </si>
  <si>
    <t>2 ALLEE HENRI WILSON</t>
  </si>
  <si>
    <t>florentlebaupain@gmail.com</t>
  </si>
  <si>
    <t>34 AVENUE MORERE</t>
  </si>
  <si>
    <t>108140G</t>
  </si>
  <si>
    <t>STEVE</t>
  </si>
  <si>
    <t>BARTKOWIAK</t>
  </si>
  <si>
    <t>1 RUE DE L ANCIENNE ECOLE</t>
  </si>
  <si>
    <t>L HAY DES ROSES</t>
  </si>
  <si>
    <t>steve.bartkowiak@gmail.com</t>
  </si>
  <si>
    <t>110423B</t>
  </si>
  <si>
    <t>LEBAILLIF</t>
  </si>
  <si>
    <t>16 RUE DU GENERAL NIOX</t>
  </si>
  <si>
    <t>laurentlebaillif6413@gmail.com</t>
  </si>
  <si>
    <t>30 AVENUE DE VERDUN</t>
  </si>
  <si>
    <t>michaelargis11260@gmail.com</t>
  </si>
  <si>
    <t>4 AVENUE DIVISION LECLERC</t>
  </si>
  <si>
    <t>115161H</t>
  </si>
  <si>
    <t>AURELIA</t>
  </si>
  <si>
    <t>EVEN</t>
  </si>
  <si>
    <t>80RUE DU CHEMIN VERT</t>
  </si>
  <si>
    <t>aurelia.even@yahoo.fr</t>
  </si>
  <si>
    <t>117496C</t>
  </si>
  <si>
    <t>GERVAIS</t>
  </si>
  <si>
    <t>7 BIS AVENUE GALLIENI</t>
  </si>
  <si>
    <t>aurel.yop@hotmail.fr</t>
  </si>
  <si>
    <t>120244U</t>
  </si>
  <si>
    <t>BONNOMET</t>
  </si>
  <si>
    <t>53 RUE DE L AMIRAL MOUCHEZ</t>
  </si>
  <si>
    <t>mickael.bonnomet@orange.fr</t>
  </si>
  <si>
    <t>120252C</t>
  </si>
  <si>
    <t>JEAN FRANCK</t>
  </si>
  <si>
    <t>IQUI</t>
  </si>
  <si>
    <t>9 RUE LIONEL HURTEBIZE</t>
  </si>
  <si>
    <t>CHAMPS SUR MARNE</t>
  </si>
  <si>
    <t>iquijf9ball@hotmail.fr</t>
  </si>
  <si>
    <t>120409D</t>
  </si>
  <si>
    <t>25 AVENUE DU PARC</t>
  </si>
  <si>
    <t>BOISSY ST LEGER</t>
  </si>
  <si>
    <t>jlsibaud94470@gmail.com</t>
  </si>
  <si>
    <t>120412G</t>
  </si>
  <si>
    <t>HOUDOU</t>
  </si>
  <si>
    <t>77 AVENUE DU PRESIDENT</t>
  </si>
  <si>
    <t>roland.houdou@bbox.fr</t>
  </si>
  <si>
    <t>121529F</t>
  </si>
  <si>
    <t>AZIZULLAH</t>
  </si>
  <si>
    <t>HAMRAH</t>
  </si>
  <si>
    <t>2 CITE VERTE</t>
  </si>
  <si>
    <t>hamrahaziz147@gmail.com</t>
  </si>
  <si>
    <t>123857T</t>
  </si>
  <si>
    <t>GUYMONTEIL</t>
  </si>
  <si>
    <t>31 AV SAINT JACQUES</t>
  </si>
  <si>
    <t>40 AVENUE DU BAC</t>
  </si>
  <si>
    <t>124304Y</t>
  </si>
  <si>
    <t>DOUGNAC</t>
  </si>
  <si>
    <t>4 RUE DE MANDERESSE</t>
  </si>
  <si>
    <t>PANAZOL</t>
  </si>
  <si>
    <t>emmanueldougnac87@gmail.com</t>
  </si>
  <si>
    <t>125395X</t>
  </si>
  <si>
    <t>JIHAD</t>
  </si>
  <si>
    <t>CHAKIB</t>
  </si>
  <si>
    <t>6 RUE DES PEUPLIERS</t>
  </si>
  <si>
    <t>jihad.chakib@gmail.com</t>
  </si>
  <si>
    <t>jcrouby.texa@gmail.com</t>
  </si>
  <si>
    <t>douilletdom@gmail.com</t>
  </si>
  <si>
    <t>127813X</t>
  </si>
  <si>
    <t>JACQUIN</t>
  </si>
  <si>
    <t>112 AVENUE DE VERDUN</t>
  </si>
  <si>
    <t>pascaljac@aol.com</t>
  </si>
  <si>
    <t>celiausa@club-internet.fr</t>
  </si>
  <si>
    <t>130967F</t>
  </si>
  <si>
    <t>32 RUE DE SAINT GRATIEN</t>
  </si>
  <si>
    <t>csimon95@gmail.com</t>
  </si>
  <si>
    <t>131160Q</t>
  </si>
  <si>
    <t>LAMBIN</t>
  </si>
  <si>
    <t>15 RUE LIBERAL BRUANT</t>
  </si>
  <si>
    <t>lherondemichel5@gmail.com</t>
  </si>
  <si>
    <t>ncaroff1@gmail.com</t>
  </si>
  <si>
    <t>135321R</t>
  </si>
  <si>
    <t>VERSON</t>
  </si>
  <si>
    <t>10 RUE JULES FERRY</t>
  </si>
  <si>
    <t>135748C</t>
  </si>
  <si>
    <t>RIBEIRO</t>
  </si>
  <si>
    <t>2B RUE DES ETANGS</t>
  </si>
  <si>
    <t>ST ETIENNE SOUS BAILLEUL</t>
  </si>
  <si>
    <t>pyro.rib@orange.fr</t>
  </si>
  <si>
    <t>136221H</t>
  </si>
  <si>
    <t>136750Q</t>
  </si>
  <si>
    <t>BONDIL</t>
  </si>
  <si>
    <t>27 RUE AMELIE</t>
  </si>
  <si>
    <t>brunobourgeon@hotmail.fr</t>
  </si>
  <si>
    <t>eric.jaffrennou@bbox.fr</t>
  </si>
  <si>
    <t>geffroyb78520@gmail.com</t>
  </si>
  <si>
    <t>138747L</t>
  </si>
  <si>
    <t>DE MEY</t>
  </si>
  <si>
    <t>7 RUE DE LA FOSSE CLAIRETTE</t>
  </si>
  <si>
    <t>jc.dm@outlook.fr</t>
  </si>
  <si>
    <t>139967J</t>
  </si>
  <si>
    <t>GLISE</t>
  </si>
  <si>
    <t>22 AVENUE DE LA RENAISSANCE</t>
  </si>
  <si>
    <t>aglise@gmail.com</t>
  </si>
  <si>
    <t>139970M</t>
  </si>
  <si>
    <t>CAMBIER</t>
  </si>
  <si>
    <t>51 RUE MISS CAVELL</t>
  </si>
  <si>
    <t>ericcambier07@gmail.com</t>
  </si>
  <si>
    <t>3 SQUARE DES MARTYRS DE SOWETO</t>
  </si>
  <si>
    <t>mhmprevost@hotmail.fr</t>
  </si>
  <si>
    <t>14 RUE DE L ESPERANCE</t>
  </si>
  <si>
    <t>jantzenjose@protonmail.com</t>
  </si>
  <si>
    <t>143846O</t>
  </si>
  <si>
    <t>RIYADH</t>
  </si>
  <si>
    <t>BENGHALEM</t>
  </si>
  <si>
    <t>30 RUE JULES GENOVESI</t>
  </si>
  <si>
    <t>riyadhbenghalem@gmail.com</t>
  </si>
  <si>
    <t>144710U</t>
  </si>
  <si>
    <t>2 ALLEE JARDIN HENRY</t>
  </si>
  <si>
    <t>VIARMES</t>
  </si>
  <si>
    <t>bl2@free.fr</t>
  </si>
  <si>
    <t>144863R</t>
  </si>
  <si>
    <t>LAGARDE</t>
  </si>
  <si>
    <t>7 RUE AIME MOROT</t>
  </si>
  <si>
    <t>ESCALIER C BAL 6</t>
  </si>
  <si>
    <t>johann.lagarde@free.fr</t>
  </si>
  <si>
    <t>146407B</t>
  </si>
  <si>
    <t>QUETEL</t>
  </si>
  <si>
    <t>7 RUE ARISTIDE BRIANT</t>
  </si>
  <si>
    <t>hubertquetel@me.com</t>
  </si>
  <si>
    <t>146568G</t>
  </si>
  <si>
    <t>BEAUJOU</t>
  </si>
  <si>
    <t>2 CHEMIN DES VIGNES DE L ETANG</t>
  </si>
  <si>
    <t>beaujou28260@icloud.com</t>
  </si>
  <si>
    <t>147227E</t>
  </si>
  <si>
    <t>FAREZ</t>
  </si>
  <si>
    <t>4 VILLA MOZART</t>
  </si>
  <si>
    <t>147307R</t>
  </si>
  <si>
    <t>SEPTAVAUX</t>
  </si>
  <si>
    <t>9 RESIDENCE DE LA VILLEPARC</t>
  </si>
  <si>
    <t>louis.septavaux@gmail.com</t>
  </si>
  <si>
    <t>149245Y</t>
  </si>
  <si>
    <t>WEISS</t>
  </si>
  <si>
    <t>5 BIS RUE DU PAVILLON</t>
  </si>
  <si>
    <t>lc.weiss@live.fr</t>
  </si>
  <si>
    <t>150615M</t>
  </si>
  <si>
    <t>ANNERON</t>
  </si>
  <si>
    <t>11 IMPASSE DES CARRIERES</t>
  </si>
  <si>
    <t>alain.anneron@hotmail.fr</t>
  </si>
  <si>
    <t>150618Q</t>
  </si>
  <si>
    <t>MOINDREAU</t>
  </si>
  <si>
    <t>14 ALLEE LOUIS ARAGON</t>
  </si>
  <si>
    <t>michel.moindreau@gmail.com</t>
  </si>
  <si>
    <t>152092S</t>
  </si>
  <si>
    <t>BOUNIF</t>
  </si>
  <si>
    <t>17 RUE OLIVIER DE SERRES</t>
  </si>
  <si>
    <t>APPARTEMENT 22</t>
  </si>
  <si>
    <t>amine.bounif@gmail.com</t>
  </si>
  <si>
    <t>152265F</t>
  </si>
  <si>
    <t>JARRIER</t>
  </si>
  <si>
    <t>15 BOULEVARD PABLO PICASSO</t>
  </si>
  <si>
    <t>cojbkk94@yahoo.fr</t>
  </si>
  <si>
    <t>152857Z</t>
  </si>
  <si>
    <t>MICHELET</t>
  </si>
  <si>
    <t>5 AVENUE DES MOUSSEAUX</t>
  </si>
  <si>
    <t>jcdmichelet@laposte.fr</t>
  </si>
  <si>
    <t>153706X</t>
  </si>
  <si>
    <t>BEDROSSIAN</t>
  </si>
  <si>
    <t>1 RUE FRANCOIS VILLON</t>
  </si>
  <si>
    <t>alain.bedrossian@sfr.fr</t>
  </si>
  <si>
    <t>153995L</t>
  </si>
  <si>
    <t>FLEURY</t>
  </si>
  <si>
    <t>14 RUE DE BRUXELLES</t>
  </si>
  <si>
    <t>ANGERVILLE</t>
  </si>
  <si>
    <t>garofleur@wanadoo.fr</t>
  </si>
  <si>
    <t>RES DU BUISSON DE BLEU</t>
  </si>
  <si>
    <t>1 CLOS DE L EPTE</t>
  </si>
  <si>
    <t>BAZINCOURT SUR EPTE</t>
  </si>
  <si>
    <t>155169M</t>
  </si>
  <si>
    <t>JEAN DANIEL</t>
  </si>
  <si>
    <t>COURATIN</t>
  </si>
  <si>
    <t>28 RUE ROBERT GIRAUDINEAU</t>
  </si>
  <si>
    <t>jdbillard94@gmail.com</t>
  </si>
  <si>
    <t>155522W</t>
  </si>
  <si>
    <t>BOUVIER</t>
  </si>
  <si>
    <t>10 ALLEE DES AMONTS</t>
  </si>
  <si>
    <t>logo.bouvier@gmail.com</t>
  </si>
  <si>
    <t>155642B</t>
  </si>
  <si>
    <t>OSSANT</t>
  </si>
  <si>
    <t>33 RUE MAGENTA</t>
  </si>
  <si>
    <t>ASNIIERES SEINE</t>
  </si>
  <si>
    <t>ossant33@gmail.com</t>
  </si>
  <si>
    <t>155952N</t>
  </si>
  <si>
    <t>LEVEQUE</t>
  </si>
  <si>
    <t>20 AVENUE DES TREFLES</t>
  </si>
  <si>
    <t>thierry.leveque91@orange.fr</t>
  </si>
  <si>
    <t>30 RUE DE LA MARQUETTE</t>
  </si>
  <si>
    <t>156705G</t>
  </si>
  <si>
    <t>BENDAYAN</t>
  </si>
  <si>
    <t>6 AVENUE ANATOLE FRANCE</t>
  </si>
  <si>
    <t>158041J</t>
  </si>
  <si>
    <t>DUVAN</t>
  </si>
  <si>
    <t>ZEA LEON</t>
  </si>
  <si>
    <t>RESIDENCE DU VAL 10 B</t>
  </si>
  <si>
    <t>ateeric158@gmail.com</t>
  </si>
  <si>
    <t>160113L</t>
  </si>
  <si>
    <t>CARPENTIER</t>
  </si>
  <si>
    <t>10 RUE CLAUDE DEBUSSY</t>
  </si>
  <si>
    <t>philippe.carpentier07@gmx.fr</t>
  </si>
  <si>
    <t>60 RUE DE CAUMARTIN</t>
  </si>
  <si>
    <t>huangdk95@gmail.com</t>
  </si>
  <si>
    <t>162663H</t>
  </si>
  <si>
    <t>MATHIS</t>
  </si>
  <si>
    <t>PARDE</t>
  </si>
  <si>
    <t>3 ALLEE JACQUES LALLOE</t>
  </si>
  <si>
    <t>mathis.parde@laposte.net</t>
  </si>
  <si>
    <t>44 AVENUE DU BEL AIR</t>
  </si>
  <si>
    <t>jeanjacquesquilin@gmail.com</t>
  </si>
  <si>
    <t>163315R</t>
  </si>
  <si>
    <t>LE NIGER</t>
  </si>
  <si>
    <t>16 RUE DE L AVENIR</t>
  </si>
  <si>
    <t>francois.leniger@gmail.com</t>
  </si>
  <si>
    <t>112 AVENUE DE LA RESITANCE</t>
  </si>
  <si>
    <t>163861K</t>
  </si>
  <si>
    <t>CAMPAGNE</t>
  </si>
  <si>
    <t>13 CLOS DES PETITES MAISONS</t>
  </si>
  <si>
    <t>campagne.dominique2@wanadoo.fr</t>
  </si>
  <si>
    <t>17B RUE GABRIEL PERI</t>
  </si>
  <si>
    <t>166095N</t>
  </si>
  <si>
    <t>HELLEU</t>
  </si>
  <si>
    <t>9 RUE NEUVE</t>
  </si>
  <si>
    <t>jeromehelleu91@gmail.com</t>
  </si>
  <si>
    <t>butphenix@gmail.com</t>
  </si>
  <si>
    <t>47 BIS BD ANTOINE GIROUST</t>
  </si>
  <si>
    <t>BUSSY ST GEORGES 77600</t>
  </si>
  <si>
    <t>167386R</t>
  </si>
  <si>
    <t>DELIO</t>
  </si>
  <si>
    <t>PALACIOS</t>
  </si>
  <si>
    <t>87 RUE DU MARECHAL LECLERC</t>
  </si>
  <si>
    <t>SAINT MAURICE</t>
  </si>
  <si>
    <t>168953V</t>
  </si>
  <si>
    <t>ANOUAR</t>
  </si>
  <si>
    <t>BAKRI</t>
  </si>
  <si>
    <t>598 RUE DANIEL BLERVAQUE</t>
  </si>
  <si>
    <t>CARRIERES SOUS POISSY</t>
  </si>
  <si>
    <t>bakri.anouar@gmail.com</t>
  </si>
  <si>
    <t>169121C</t>
  </si>
  <si>
    <t>CASEN</t>
  </si>
  <si>
    <t>5 CITE DES CHAMPSBOURGS</t>
  </si>
  <si>
    <t>valentincase@live.fr</t>
  </si>
  <si>
    <t>169553X</t>
  </si>
  <si>
    <t>BIERNACKI</t>
  </si>
  <si>
    <t>146 AVENUE DU GENERAL DE GAULLE</t>
  </si>
  <si>
    <t>biernacki.philippe@numericable.fr</t>
  </si>
  <si>
    <t>DE LAS HERAS</t>
  </si>
  <si>
    <t>170133C</t>
  </si>
  <si>
    <t>8 RUE PAUL LANGEVIN</t>
  </si>
  <si>
    <t>patrick.dossantos2@gmail.com</t>
  </si>
  <si>
    <t>jeff_rallet@hotmail.com</t>
  </si>
  <si>
    <t>170376R</t>
  </si>
  <si>
    <t>CHOKRI</t>
  </si>
  <si>
    <t>CHTIOUI</t>
  </si>
  <si>
    <t>16 RUE DE L EGLISE</t>
  </si>
  <si>
    <t>chtioui.chokri@gmail.com</t>
  </si>
  <si>
    <t>170588X</t>
  </si>
  <si>
    <t>BELMONT</t>
  </si>
  <si>
    <t>22 RUE DUPRE</t>
  </si>
  <si>
    <t>6 ALLEES DES BOUTON D OR</t>
  </si>
  <si>
    <t>171843L</t>
  </si>
  <si>
    <t>FRANCO</t>
  </si>
  <si>
    <t>PINTUS</t>
  </si>
  <si>
    <t>89 RUE DU GENERALE DE GAULE</t>
  </si>
  <si>
    <t>franco23@hotmail.fr</t>
  </si>
  <si>
    <t>jcherpin@wanadoo.fr</t>
  </si>
  <si>
    <t>m.bragado@orange.fr</t>
  </si>
  <si>
    <t>174898G</t>
  </si>
  <si>
    <t>m.guerin4@wanadoo.fr</t>
  </si>
  <si>
    <t>cmic@cmarchi.com</t>
  </si>
  <si>
    <t>175474H</t>
  </si>
  <si>
    <t>VALENTINE</t>
  </si>
  <si>
    <t>KARCZEWSKI</t>
  </si>
  <si>
    <t>2 ROND POINT SAINT THIBAULT</t>
  </si>
  <si>
    <t>CHAMPCUEIL</t>
  </si>
  <si>
    <t>valentine.ka@hotmail.fr</t>
  </si>
  <si>
    <t>MATHLOUTHI</t>
  </si>
  <si>
    <t>2 PLACE MAURICE RAVEL</t>
  </si>
  <si>
    <t>177276R</t>
  </si>
  <si>
    <t>BASORA</t>
  </si>
  <si>
    <t>30 RUE DE LA FOSSE AUX MOINES</t>
  </si>
  <si>
    <t>PERTHES EN GATINAIS</t>
  </si>
  <si>
    <t>bernard.basora@safrangroup.com</t>
  </si>
  <si>
    <t>177286C</t>
  </si>
  <si>
    <t>CAZABONNE</t>
  </si>
  <si>
    <t>1 ALLEE DES PEUPLIERS</t>
  </si>
  <si>
    <t>patcaza@hotmail.fr</t>
  </si>
  <si>
    <t>178618A</t>
  </si>
  <si>
    <t>ABDELLAH</t>
  </si>
  <si>
    <t>LALAOUI LKHALDI</t>
  </si>
  <si>
    <t>60 BOULVARD PAUL VAILLANT COUTURIER</t>
  </si>
  <si>
    <t>abdo760i@gmail.com</t>
  </si>
  <si>
    <t>178892Y</t>
  </si>
  <si>
    <t>VASCART</t>
  </si>
  <si>
    <t>6 RUE A CHENIER</t>
  </si>
  <si>
    <t>gwen.vascart@gmail.com</t>
  </si>
  <si>
    <t>4 ALLEE DU PRESIDENT KENNEDY</t>
  </si>
  <si>
    <t>CHEVILLY LA RUE</t>
  </si>
  <si>
    <t>12 RUE PAUL BERT</t>
  </si>
  <si>
    <t>180302F</t>
  </si>
  <si>
    <t>TIRITILLI</t>
  </si>
  <si>
    <t>49 RUE DES ETATS GENERAUX</t>
  </si>
  <si>
    <t>atiritilli@free.fr</t>
  </si>
  <si>
    <t>6 BIS RUE JEAN MOULIN</t>
  </si>
  <si>
    <t>27 AV DU GENERAL PIERRE BILLOTTE</t>
  </si>
  <si>
    <t>melanyben@hotmail.fr</t>
  </si>
  <si>
    <t>76 AVENUE DU BAC</t>
  </si>
  <si>
    <t>patrick.dupeyrot-rodier@orange.fr</t>
  </si>
  <si>
    <t>181602T</t>
  </si>
  <si>
    <t>OSWALD</t>
  </si>
  <si>
    <t>86 RUE DE PARIS</t>
  </si>
  <si>
    <t>valpatem@wandoo.fr</t>
  </si>
  <si>
    <t>35 RUE JULES VEDRINES</t>
  </si>
  <si>
    <t>181958F</t>
  </si>
  <si>
    <t>LHOMME</t>
  </si>
  <si>
    <t>10 ALLEE STE CECILE</t>
  </si>
  <si>
    <t>eric.lhomme91670@gmail.com</t>
  </si>
  <si>
    <t>69 RUE JULES MICHELET</t>
  </si>
  <si>
    <t>80 BIS RUE DES GRANDS MAISONS</t>
  </si>
  <si>
    <t>182719H</t>
  </si>
  <si>
    <t>MANH THANG</t>
  </si>
  <si>
    <t>BUI</t>
  </si>
  <si>
    <t>1 RUE DE LA PELOUSE</t>
  </si>
  <si>
    <t>thang.bui240801@gmail.com</t>
  </si>
  <si>
    <t>182789J</t>
  </si>
  <si>
    <t>CHAABANE</t>
  </si>
  <si>
    <t>18 RUE PIERRE CORNEILLE</t>
  </si>
  <si>
    <t>med_yassine_chab@outlook.fr</t>
  </si>
  <si>
    <t>183008X</t>
  </si>
  <si>
    <t>DAVIDE</t>
  </si>
  <si>
    <t>DI BLASI</t>
  </si>
  <si>
    <t>12 AVENUE DU CHATELET</t>
  </si>
  <si>
    <t>LESIGNY</t>
  </si>
  <si>
    <t>52 RUE DU COLONEL MOLL</t>
  </si>
  <si>
    <t>ezzibayram@gmail.com</t>
  </si>
  <si>
    <t>md.insa@yahoo.com</t>
  </si>
  <si>
    <t>57 ROUTE DE REBAIS</t>
  </si>
  <si>
    <t>amine.el.aissaoui@gmail.com</t>
  </si>
  <si>
    <t>10 VILA D ESTE</t>
  </si>
  <si>
    <t>184604G</t>
  </si>
  <si>
    <t>KHALIL</t>
  </si>
  <si>
    <t>ZEROUAL</t>
  </si>
  <si>
    <t>6 RUE DU MASSIF CENTRAL</t>
  </si>
  <si>
    <t>zeroualkhalil01@gmail.com</t>
  </si>
  <si>
    <t>184644A</t>
  </si>
  <si>
    <t>CHARKOUT</t>
  </si>
  <si>
    <t>66 AVENUE DE LA REPUBLIQUE</t>
  </si>
  <si>
    <t>charkoutsaad@gmail.com</t>
  </si>
  <si>
    <t>184665Y</t>
  </si>
  <si>
    <t>BOURNIZEL</t>
  </si>
  <si>
    <t>43 RUE DE LA COLONIE</t>
  </si>
  <si>
    <t>jlbournizel@yahoo.fr</t>
  </si>
  <si>
    <t>184666Z</t>
  </si>
  <si>
    <t>84 RUE DE LA CHAPELLE</t>
  </si>
  <si>
    <t>jean.pierre.bournizel@gmail.com</t>
  </si>
  <si>
    <t>184699K</t>
  </si>
  <si>
    <t>MARIE ALICE</t>
  </si>
  <si>
    <t>DEFOI</t>
  </si>
  <si>
    <t>12 RUE MARCEL CLAVIER</t>
  </si>
  <si>
    <t>malou.defoi@hothmail.fr</t>
  </si>
  <si>
    <t>184747M</t>
  </si>
  <si>
    <t>ROUAULT</t>
  </si>
  <si>
    <t>61 AV D ARPAJON</t>
  </si>
  <si>
    <t>LES RUELLES D EGLY D7</t>
  </si>
  <si>
    <t>pascal.rouault@free.fr</t>
  </si>
  <si>
    <t>184810F</t>
  </si>
  <si>
    <t>BOISSEUILH</t>
  </si>
  <si>
    <t>74 BD DE LA GRIBELETTE</t>
  </si>
  <si>
    <t>thboisseuilh@gmail.com</t>
  </si>
  <si>
    <t>184812H</t>
  </si>
  <si>
    <t>MAINGUY</t>
  </si>
  <si>
    <t>18 CHEMIN DE LA MESSE</t>
  </si>
  <si>
    <t>184814K</t>
  </si>
  <si>
    <t>MENDY</t>
  </si>
  <si>
    <t>8 PLACE AMBROISE PARE</t>
  </si>
  <si>
    <t>VIGNEUX</t>
  </si>
  <si>
    <t>monny91270@gmail.com</t>
  </si>
  <si>
    <t>184830C</t>
  </si>
  <si>
    <t>3 CLOS LE LAUNAY</t>
  </si>
  <si>
    <t>ST LAMBERT</t>
  </si>
  <si>
    <t>gui.gueguen78@hotmail.fr</t>
  </si>
  <si>
    <t>184877D</t>
  </si>
  <si>
    <t>15 BIS</t>
  </si>
  <si>
    <t>RUE DE MAINVILLE</t>
  </si>
  <si>
    <t>audreyohana2022@gmail.com</t>
  </si>
  <si>
    <t>184953L</t>
  </si>
  <si>
    <t>GRAS</t>
  </si>
  <si>
    <t>13 ALLEE LOUIS XI</t>
  </si>
  <si>
    <t>michel.gras291257@gmail.com</t>
  </si>
  <si>
    <t>184963X</t>
  </si>
  <si>
    <t>GUYOU</t>
  </si>
  <si>
    <t>11 RUE PIERRE BONTE</t>
  </si>
  <si>
    <t>SAGY</t>
  </si>
  <si>
    <t>PS007568B</t>
  </si>
  <si>
    <t>TEO</t>
  </si>
  <si>
    <t>FRIEDMANN</t>
  </si>
  <si>
    <t>9 IMPASSE DU VERT COTEAU</t>
  </si>
  <si>
    <t>Scolaire</t>
  </si>
  <si>
    <t>185224F</t>
  </si>
  <si>
    <t>MOLLICONE</t>
  </si>
  <si>
    <t>9 RUE DE L EGLISE</t>
  </si>
  <si>
    <t>antoinemollicone91@gmail.com</t>
  </si>
  <si>
    <t>185271G</t>
  </si>
  <si>
    <t>LABONNE</t>
  </si>
  <si>
    <t>3 QUAI DE LA RUELLE</t>
  </si>
  <si>
    <t>francisthegood@gmail.com</t>
  </si>
  <si>
    <t>185359C</t>
  </si>
  <si>
    <t>TEBOUL</t>
  </si>
  <si>
    <t>5 CHEMIN DU CEDRE</t>
  </si>
  <si>
    <t>alain.teboul@laposte.net</t>
  </si>
  <si>
    <t>185478G</t>
  </si>
  <si>
    <t>CHARLIER</t>
  </si>
  <si>
    <t>25 RUE DE LUZY</t>
  </si>
  <si>
    <t>jeancharlier8@gmail.com</t>
  </si>
  <si>
    <t>185489T</t>
  </si>
  <si>
    <t>AILLOT</t>
  </si>
  <si>
    <t>56 ALLEE EUGENE DELACROIX</t>
  </si>
  <si>
    <t>aillot.b@gmail.com</t>
  </si>
  <si>
    <t>185514W</t>
  </si>
  <si>
    <t>SHILIN</t>
  </si>
  <si>
    <t>ZHANG</t>
  </si>
  <si>
    <t>4 RUE PASQUIER</t>
  </si>
  <si>
    <t>185515X</t>
  </si>
  <si>
    <t>RAED</t>
  </si>
  <si>
    <t>JEBABLI</t>
  </si>
  <si>
    <t>6 ALLEE ARTHUR GUERIN</t>
  </si>
  <si>
    <t>r.djebabli@gmail.com</t>
  </si>
  <si>
    <t>185601Q</t>
  </si>
  <si>
    <t>MERLET</t>
  </si>
  <si>
    <t>3 AVENUE VINTIMILLE</t>
  </si>
  <si>
    <t>patrickmerlet35@gmail.com</t>
  </si>
  <si>
    <t>185616G</t>
  </si>
  <si>
    <t>JEFF</t>
  </si>
  <si>
    <t>SAMOUN</t>
  </si>
  <si>
    <t>44 RUE SAINT ANTOINE</t>
  </si>
  <si>
    <t>185617H</t>
  </si>
  <si>
    <t>SCOTTIE</t>
  </si>
  <si>
    <t>RADIOMANANA</t>
  </si>
  <si>
    <t>2 PARVIS DE LA BIEVRE</t>
  </si>
  <si>
    <t>APPT114</t>
  </si>
  <si>
    <t>scottieshadgett@gmail.com</t>
  </si>
  <si>
    <t>185707F</t>
  </si>
  <si>
    <t>BADR</t>
  </si>
  <si>
    <t>BELGOURCH</t>
  </si>
  <si>
    <t>1A RUE BERNARD PALISSY</t>
  </si>
  <si>
    <t>belgourchbadr@gmail.com</t>
  </si>
  <si>
    <t>185748A</t>
  </si>
  <si>
    <t>MOITRON</t>
  </si>
  <si>
    <t>9 GRANDE RUE</t>
  </si>
  <si>
    <t>BRIERES LES SCELLES</t>
  </si>
  <si>
    <t>pierre_moitron@orange.fr</t>
  </si>
  <si>
    <t>185750C</t>
  </si>
  <si>
    <t>ERTURK</t>
  </si>
  <si>
    <t>80 RUE ETIENNE DOLET</t>
  </si>
  <si>
    <t>jeremy.erturk06@gmail.com</t>
  </si>
  <si>
    <t>185775E</t>
  </si>
  <si>
    <t>LHERMITTE</t>
  </si>
  <si>
    <t>3 ALLEE DES BATTUES</t>
  </si>
  <si>
    <t>paradox.94430@gmail.com</t>
  </si>
  <si>
    <t>185783N</t>
  </si>
  <si>
    <t>GAYNES</t>
  </si>
  <si>
    <t>6 RUE DE LA SOUCHE PICARD</t>
  </si>
  <si>
    <t>fredericgaynes@gmail.com</t>
  </si>
  <si>
    <t>185784P</t>
  </si>
  <si>
    <t>8 RUE DU PERIGORD</t>
  </si>
  <si>
    <t>BOUTERVILLIERS</t>
  </si>
  <si>
    <t>pbenoit008@gmail.com</t>
  </si>
  <si>
    <t>185785Q</t>
  </si>
  <si>
    <t>BEZAULT</t>
  </si>
  <si>
    <t>5 BIS RUE DES MARTROIS</t>
  </si>
  <si>
    <t>e.bezault@orange.fr</t>
  </si>
  <si>
    <t>185796C</t>
  </si>
  <si>
    <t>MONIQUE</t>
  </si>
  <si>
    <t>25 RUE DE COLOMBES</t>
  </si>
  <si>
    <t>marmonique@free.fr</t>
  </si>
  <si>
    <t>185797D</t>
  </si>
  <si>
    <t>BEN LAHOUCINE</t>
  </si>
  <si>
    <t>15 RUE D ESTIENNE D ORVES</t>
  </si>
  <si>
    <t>suzanna.bedikian@gmail.com</t>
  </si>
  <si>
    <t>185816Z</t>
  </si>
  <si>
    <t>VIDELIER</t>
  </si>
  <si>
    <t>20 RUE DE CHATEAUTHIERRY</t>
  </si>
  <si>
    <t>bvidelier78@orange.fr</t>
  </si>
  <si>
    <t>185834T</t>
  </si>
  <si>
    <t>NIDAL</t>
  </si>
  <si>
    <t>DAKHAMA</t>
  </si>
  <si>
    <t>36 AVENUE DU GENERAL LECLERC</t>
  </si>
  <si>
    <t>nidal.dakhama@gmail.com</t>
  </si>
  <si>
    <t>185850L</t>
  </si>
  <si>
    <t>LE GRILL</t>
  </si>
  <si>
    <t>APPT 1567 RESIDENCE ROUSSILLON</t>
  </si>
  <si>
    <t>christinelegrill@laposte.net</t>
  </si>
  <si>
    <t>185855R</t>
  </si>
  <si>
    <t>BRINI</t>
  </si>
  <si>
    <t>43 RUE DU GENERAL LECLERC</t>
  </si>
  <si>
    <t>briniahmed029@gmail.com</t>
  </si>
  <si>
    <t>185876P</t>
  </si>
  <si>
    <t>MARYVONNE</t>
  </si>
  <si>
    <t>185878R</t>
  </si>
  <si>
    <t>SHOURYADITYA</t>
  </si>
  <si>
    <t>ST GEMAIN EN LAYE</t>
  </si>
  <si>
    <t>shouryaditya.saha@gmail.com</t>
  </si>
  <si>
    <t>185884Y</t>
  </si>
  <si>
    <t>pyro.rib@outlook.fr</t>
  </si>
  <si>
    <t>185885Z</t>
  </si>
  <si>
    <t>DU BASTY</t>
  </si>
  <si>
    <t>28 RUE DES EPINETTES</t>
  </si>
  <si>
    <t>pierre.dubasty@laposte.net</t>
  </si>
  <si>
    <t>185896L</t>
  </si>
  <si>
    <t>MAHLOUL</t>
  </si>
  <si>
    <t>7 RUE ELYSEE RECLUS</t>
  </si>
  <si>
    <t>guyot.mahloul@gmail.com</t>
  </si>
  <si>
    <t>185900Q</t>
  </si>
  <si>
    <t>88 RUE DANTON</t>
  </si>
  <si>
    <t>185903T</t>
  </si>
  <si>
    <t>QUANG HIEU</t>
  </si>
  <si>
    <t>NGO</t>
  </si>
  <si>
    <t>120 RUE CAMILLE GROULT</t>
  </si>
  <si>
    <t>BATIMENT MARS CHEZ VU 0404</t>
  </si>
  <si>
    <t>quanghieungo1998@gmail.com</t>
  </si>
  <si>
    <t>185932A</t>
  </si>
  <si>
    <t>BELHAT</t>
  </si>
  <si>
    <t>24 BOULEVARD ANTONIN COLLET BILLON</t>
  </si>
  <si>
    <t>belhat.ali@gmail.com</t>
  </si>
  <si>
    <t>185933B</t>
  </si>
  <si>
    <t>PETTER</t>
  </si>
  <si>
    <t>CADET</t>
  </si>
  <si>
    <t>61 RUE L OUVERDIERE</t>
  </si>
  <si>
    <t>VILLIERS SUR LE ROULE</t>
  </si>
  <si>
    <t>petter.cadet@gmail.com</t>
  </si>
  <si>
    <t>185947R</t>
  </si>
  <si>
    <t>VAN DUNG</t>
  </si>
  <si>
    <t>2 RUE GAMBETTA</t>
  </si>
  <si>
    <t>RESTO PHO PASTEUR</t>
  </si>
  <si>
    <t>tienthanh2105@icloud.com</t>
  </si>
  <si>
    <t>185950V</t>
  </si>
  <si>
    <t>DOYEN</t>
  </si>
  <si>
    <t>ddo@ryujin.fr</t>
  </si>
  <si>
    <t>185970R</t>
  </si>
  <si>
    <t>GODON</t>
  </si>
  <si>
    <t>4 ALLEE DU CLOS</t>
  </si>
  <si>
    <t>PETITE MAISON</t>
  </si>
  <si>
    <t>godon-michel@bbox.fr</t>
  </si>
  <si>
    <t>185971S</t>
  </si>
  <si>
    <t>ZADROZYNSKI</t>
  </si>
  <si>
    <t>8 RUE CAMILLE GUILLAUME</t>
  </si>
  <si>
    <t>zadro.e@gmail.com</t>
  </si>
  <si>
    <t>185973V</t>
  </si>
  <si>
    <t>AOUINI</t>
  </si>
  <si>
    <t>54 RUE PIERRE SEMARD</t>
  </si>
  <si>
    <t>davidof91@hotmail.fr</t>
  </si>
  <si>
    <t>185980C</t>
  </si>
  <si>
    <t>VIET ANH</t>
  </si>
  <si>
    <t>18 AV DE FONTAINEBLEAU</t>
  </si>
  <si>
    <t>vietanhc12@gmail.com</t>
  </si>
  <si>
    <t>185981D</t>
  </si>
  <si>
    <t>TRUNG</t>
  </si>
  <si>
    <t>137 AV DE VERDUN</t>
  </si>
  <si>
    <t>trung30302@gmail.com</t>
  </si>
  <si>
    <t>185992Q</t>
  </si>
  <si>
    <t>FAUSTO</t>
  </si>
  <si>
    <t>CATALLO</t>
  </si>
  <si>
    <t>57 B RUE ALEXANDRE DUMAS</t>
  </si>
  <si>
    <t>catallo.fausto@gmail.com</t>
  </si>
  <si>
    <t>185993R</t>
  </si>
  <si>
    <t>MICAEL</t>
  </si>
  <si>
    <t>ABITBOL</t>
  </si>
  <si>
    <t>49 RUE GASTON VIAL</t>
  </si>
  <si>
    <t>micaelabitbol67@gmail.com</t>
  </si>
  <si>
    <t>186002B</t>
  </si>
  <si>
    <t>SOLER</t>
  </si>
  <si>
    <t>5 AVENUE LOUIS PASTEUR</t>
  </si>
  <si>
    <t>soler.corinne@gmail.com</t>
  </si>
  <si>
    <t>186006F</t>
  </si>
  <si>
    <t>GROUD</t>
  </si>
  <si>
    <t>88 RUE DES GRANDS CHAMPS</t>
  </si>
  <si>
    <t>vanessa.groud@free.fr</t>
  </si>
  <si>
    <t>186021X</t>
  </si>
  <si>
    <t>SANDRINE</t>
  </si>
  <si>
    <t>DUREL</t>
  </si>
  <si>
    <t>15 RUE ALPHONSE DAUDET</t>
  </si>
  <si>
    <t>sandrinedurel21@gmail.com</t>
  </si>
  <si>
    <t>186068Y</t>
  </si>
  <si>
    <t>DIEGO</t>
  </si>
  <si>
    <t>VALENTIERRA IZURIETA</t>
  </si>
  <si>
    <t>18 RUE DE LA CROIX RAMBOURG</t>
  </si>
  <si>
    <t>dvalentierra@hotmail.com</t>
  </si>
  <si>
    <t>186074E</t>
  </si>
  <si>
    <t>JEAN BERNARD</t>
  </si>
  <si>
    <t>JOUFFROY</t>
  </si>
  <si>
    <t>2 AVENUE DU GENERAL DE GAULLE</t>
  </si>
  <si>
    <t>jb.jou77@gmail.com</t>
  </si>
  <si>
    <t>186102K</t>
  </si>
  <si>
    <t>ABADIE</t>
  </si>
  <si>
    <t>6 RUE ALBERT ET FERIAUD</t>
  </si>
  <si>
    <t>kephil31@gmail.com</t>
  </si>
  <si>
    <t>186106P</t>
  </si>
  <si>
    <t>MICHOT</t>
  </si>
  <si>
    <t>81 AVENUE DES MARRONNIERS</t>
  </si>
  <si>
    <t>aljf.jami-michot@orange.fr</t>
  </si>
  <si>
    <t>186112W</t>
  </si>
  <si>
    <t>BENHEMMA</t>
  </si>
  <si>
    <t>51 RUE J B  LAMARCK</t>
  </si>
  <si>
    <t>benhemmaandre@gmail.com</t>
  </si>
  <si>
    <t>186114Y</t>
  </si>
  <si>
    <t>GASPAR</t>
  </si>
  <si>
    <t>123BIS RUE DESIRE CLEMENT</t>
  </si>
  <si>
    <t>marielouisegaspar@gmail.com</t>
  </si>
  <si>
    <t>186133T</t>
  </si>
  <si>
    <t>PIUZZI</t>
  </si>
  <si>
    <t>55 RUE DE BOURGOGNE</t>
  </si>
  <si>
    <t>brunofirstspIrit@gmail.com</t>
  </si>
  <si>
    <t>186136X</t>
  </si>
  <si>
    <t>LE NESTOUR</t>
  </si>
  <si>
    <t>9 RUE DES LILAS</t>
  </si>
  <si>
    <t>clenestour78@gmail.com</t>
  </si>
  <si>
    <t>186142D</t>
  </si>
  <si>
    <t>BLANC</t>
  </si>
  <si>
    <t>9 CHEMIN DES PATURES</t>
  </si>
  <si>
    <t>blancmarc@icloud.com</t>
  </si>
  <si>
    <t>186149L</t>
  </si>
  <si>
    <t>SABATHIER</t>
  </si>
  <si>
    <t>11 BIS AVENUE DE VERDUN</t>
  </si>
  <si>
    <t>EZANVILLE</t>
  </si>
  <si>
    <t>laurentsabathier@yahoo.fr</t>
  </si>
  <si>
    <t>186150M</t>
  </si>
  <si>
    <t>HAYE</t>
  </si>
  <si>
    <t>RUE CANIVET N  1</t>
  </si>
  <si>
    <t>a.haye77120@gmail.com</t>
  </si>
  <si>
    <t>186157V</t>
  </si>
  <si>
    <t>ENZO</t>
  </si>
  <si>
    <t>MITIDIERI</t>
  </si>
  <si>
    <t>2 IMPASSE DU CLAIR BASSIN</t>
  </si>
  <si>
    <t>NZO.MITIDIERI@GMAIL.COM</t>
  </si>
  <si>
    <t>186158W</t>
  </si>
  <si>
    <t>186161Z</t>
  </si>
  <si>
    <t>NASSIM</t>
  </si>
  <si>
    <t>NASRY</t>
  </si>
  <si>
    <t>2 RUE MAURICE BERTEAUX</t>
  </si>
  <si>
    <t>nassimnasry@hotmail.fr</t>
  </si>
  <si>
    <t>186163B</t>
  </si>
  <si>
    <t>BARREZ</t>
  </si>
  <si>
    <t>6 RUE ARGOT</t>
  </si>
  <si>
    <t>adrienbarrez@hotmail.com</t>
  </si>
  <si>
    <t>186164C</t>
  </si>
  <si>
    <t>BENNET</t>
  </si>
  <si>
    <t>baptistebennet91@hotmail.com</t>
  </si>
  <si>
    <t>186173M</t>
  </si>
  <si>
    <t>OTHMANE</t>
  </si>
  <si>
    <t>BOUAMAR</t>
  </si>
  <si>
    <t>67 RUE VICTOR HUGO</t>
  </si>
  <si>
    <t>othmane.bouamar@gmail.com</t>
  </si>
  <si>
    <t>186188D</t>
  </si>
  <si>
    <t>LAZIC</t>
  </si>
  <si>
    <t>5 PLACE DES TISSERANDS</t>
  </si>
  <si>
    <t>laurent.lazic@dbmail.com</t>
  </si>
  <si>
    <t>186190F</t>
  </si>
  <si>
    <t>HAI</t>
  </si>
  <si>
    <t>145 RUE DE CHEVILLY</t>
  </si>
  <si>
    <t>lehai.design@gmail.com</t>
  </si>
  <si>
    <t>186200R</t>
  </si>
  <si>
    <t>YOKO</t>
  </si>
  <si>
    <t>SATO</t>
  </si>
  <si>
    <t>40 BIS AVENUE SAINT LOUIS</t>
  </si>
  <si>
    <t>satoyoko@orange.fr</t>
  </si>
  <si>
    <t>186237G</t>
  </si>
  <si>
    <t>BAUTISTA</t>
  </si>
  <si>
    <t>16 22 AVENUE EMILE ZOLA</t>
  </si>
  <si>
    <t>henry-bautista@live.fr</t>
  </si>
  <si>
    <t>DOMINICAINE (REPUBLIQUE)</t>
  </si>
  <si>
    <t>186258E</t>
  </si>
  <si>
    <t>LEOCADIE</t>
  </si>
  <si>
    <t>SZYP</t>
  </si>
  <si>
    <t>37 RUE PASTEUR</t>
  </si>
  <si>
    <t>szyp.leocadie@gmail.com</t>
  </si>
  <si>
    <t>186273W</t>
  </si>
  <si>
    <t>TRUNNG HIEU</t>
  </si>
  <si>
    <t>6 RUE APPERT</t>
  </si>
  <si>
    <t>trung-hieu.nguyen@outlook.com</t>
  </si>
  <si>
    <t>186283G</t>
  </si>
  <si>
    <t>HUY HOANG</t>
  </si>
  <si>
    <t>48 AVENUE LAPLACE</t>
  </si>
  <si>
    <t>phamhuyhoang1999@gmail.com</t>
  </si>
  <si>
    <t>186300A</t>
  </si>
  <si>
    <t>MARSY</t>
  </si>
  <si>
    <t>25 QUAI DU PORT AU FOUARRE</t>
  </si>
  <si>
    <t>marsy.bernard@numericable.fr</t>
  </si>
  <si>
    <t>186318V</t>
  </si>
  <si>
    <t>ELANORE</t>
  </si>
  <si>
    <t>AUDIGOU</t>
  </si>
  <si>
    <t>LOGEMENT 29</t>
  </si>
  <si>
    <t>elanore.audigou@gmail.com</t>
  </si>
  <si>
    <t>186322Z</t>
  </si>
  <si>
    <t>QUYEN ANH</t>
  </si>
  <si>
    <t>96 PLACE ANDRE MALRAUX</t>
  </si>
  <si>
    <t>APPT44</t>
  </si>
  <si>
    <t>nqa113@gmail.com</t>
  </si>
  <si>
    <t>186364V</t>
  </si>
  <si>
    <t>SEGURA</t>
  </si>
  <si>
    <t>48 ALLEE DES FOUGERES</t>
  </si>
  <si>
    <t>toniofree10@free.fr</t>
  </si>
  <si>
    <t>186365W</t>
  </si>
  <si>
    <t>RANIA</t>
  </si>
  <si>
    <t>48 ALLEE DES FOURGERES</t>
  </si>
  <si>
    <t>rania@rahbe.net</t>
  </si>
  <si>
    <t>186366X</t>
  </si>
  <si>
    <t>SEGURA RAHBE</t>
  </si>
  <si>
    <t>anais77segrab@gmail.com</t>
  </si>
  <si>
    <t>186372D</t>
  </si>
  <si>
    <t>PINHO E SILVA</t>
  </si>
  <si>
    <t>3 RUE JACQUES BREL</t>
  </si>
  <si>
    <t>pinho.manuel@akeonet.com</t>
  </si>
  <si>
    <t>186418D</t>
  </si>
  <si>
    <t>RAVOUX</t>
  </si>
  <si>
    <t>52 RUE GABRIEL PERI</t>
  </si>
  <si>
    <t>MAISON ALFORT</t>
  </si>
  <si>
    <t>jtom92@gmail.com</t>
  </si>
  <si>
    <t>186468H</t>
  </si>
  <si>
    <t>40 BIS RUE MARC SANGNIER</t>
  </si>
  <si>
    <t>p.rodriguez58@orange.fr</t>
  </si>
  <si>
    <t>186469J</t>
  </si>
  <si>
    <t>COMTE</t>
  </si>
  <si>
    <t>6 RUE DU GENERAL GALLIENI</t>
  </si>
  <si>
    <t>m.comte.91@gmail.com</t>
  </si>
  <si>
    <t>186476R</t>
  </si>
  <si>
    <t>TICHY</t>
  </si>
  <si>
    <t>38 RUE EUGENE BOURDILLON</t>
  </si>
  <si>
    <t>cyrille.tichy@7030.fr</t>
  </si>
  <si>
    <t>186477S</t>
  </si>
  <si>
    <t>BRETONNIERE</t>
  </si>
  <si>
    <t>30 RUE ERNEST RENAN</t>
  </si>
  <si>
    <t>o.bretonniere@icloud.com</t>
  </si>
  <si>
    <t>186478T</t>
  </si>
  <si>
    <t>HADRI</t>
  </si>
  <si>
    <t>BOUBKER</t>
  </si>
  <si>
    <t>49 RUE VILLIERS DE L ISLE ADAM</t>
  </si>
  <si>
    <t>benhadri@yahoo.fr</t>
  </si>
  <si>
    <t>186484A</t>
  </si>
  <si>
    <t>BIADI</t>
  </si>
  <si>
    <t>29 RUE CAUCHY</t>
  </si>
  <si>
    <t>ARCEUIL</t>
  </si>
  <si>
    <t>biadiamine5@gmail.com</t>
  </si>
  <si>
    <t>186493K</t>
  </si>
  <si>
    <t>FELSENHELD</t>
  </si>
  <si>
    <t>25 RUE DE LA CERISAIE</t>
  </si>
  <si>
    <t>SEVRES</t>
  </si>
  <si>
    <t>felsenheld.francois@bbox.fr</t>
  </si>
  <si>
    <t>186494L</t>
  </si>
  <si>
    <t>CARREAU</t>
  </si>
  <si>
    <t>11 AVENUE DE PICARDIE</t>
  </si>
  <si>
    <t>claude.carreau@yahoo.fr</t>
  </si>
  <si>
    <t>186495M</t>
  </si>
  <si>
    <t>CRUCIANI</t>
  </si>
  <si>
    <t>16 RUE DU GENERAL EXELMANS</t>
  </si>
  <si>
    <t>cruciani.jeanpierre@sfr.fr</t>
  </si>
  <si>
    <t>186496N</t>
  </si>
  <si>
    <t>GRIFFON</t>
  </si>
  <si>
    <t>4 RUE MARYSE HILSZ</t>
  </si>
  <si>
    <t>qarama@free.fr</t>
  </si>
  <si>
    <t>186497P</t>
  </si>
  <si>
    <t>RATEAU</t>
  </si>
  <si>
    <t>50 RUE DU GENERAL EXELMANS</t>
  </si>
  <si>
    <t>rateau.patrick@gmail.com</t>
  </si>
  <si>
    <t>186498Q</t>
  </si>
  <si>
    <t>MORELLEC</t>
  </si>
  <si>
    <t>46 RUE DU GENERAL EXELMANS</t>
  </si>
  <si>
    <t>krismorel2@gmail.com</t>
  </si>
  <si>
    <t>186499R</t>
  </si>
  <si>
    <t>GENTIL</t>
  </si>
  <si>
    <t>40 RUE DUPLESSIS</t>
  </si>
  <si>
    <t>emmanuel.gentil78@gmail.com</t>
  </si>
  <si>
    <t>186500S</t>
  </si>
  <si>
    <t>CARTRET</t>
  </si>
  <si>
    <t>17 RUE FERON BOUSSELY</t>
  </si>
  <si>
    <t>roger.cartret@gmail.com</t>
  </si>
  <si>
    <t>186522R</t>
  </si>
  <si>
    <t>MICHELIN</t>
  </si>
  <si>
    <t>13 RUE JEAN RACINE</t>
  </si>
  <si>
    <t>patrick.michelin@free.fr</t>
  </si>
  <si>
    <t>186524T</t>
  </si>
  <si>
    <t>REPERT</t>
  </si>
  <si>
    <t>7 TER AVENUE PAUL CEZANNE</t>
  </si>
  <si>
    <t>repert.gerard@gmail.com</t>
  </si>
  <si>
    <t>186530A</t>
  </si>
  <si>
    <t>POIDEVIN</t>
  </si>
  <si>
    <t>27 RUE DE LA JOUTE AUX CERFS</t>
  </si>
  <si>
    <t>LE PERAY EN YVELINES</t>
  </si>
  <si>
    <t>eric.poidevin@orange.fr</t>
  </si>
  <si>
    <t>186555C</t>
  </si>
  <si>
    <t>BERETTI</t>
  </si>
  <si>
    <t>6  AVENUE ANATOLE FRANCE</t>
  </si>
  <si>
    <t>didierberetti@wanadoo.fr</t>
  </si>
  <si>
    <t>186593T</t>
  </si>
  <si>
    <t>ARTHUR</t>
  </si>
  <si>
    <t>BAUDOUIN</t>
  </si>
  <si>
    <t>2 ALLEE RENEE</t>
  </si>
  <si>
    <t>arthur.baudouin2002@gmail.com</t>
  </si>
  <si>
    <t>186598Z</t>
  </si>
  <si>
    <t>3 RES MOZART</t>
  </si>
  <si>
    <t>APP 302</t>
  </si>
  <si>
    <t>jerome_maillard@yahoo.fr</t>
  </si>
  <si>
    <t>186604F</t>
  </si>
  <si>
    <t>MATTHEW</t>
  </si>
  <si>
    <t>AVIGNONE</t>
  </si>
  <si>
    <t>18 RUE LISFRANC</t>
  </si>
  <si>
    <t>matthew.avignone@gmail.com</t>
  </si>
  <si>
    <t>ETATS-UNIS</t>
  </si>
  <si>
    <t>186643Y</t>
  </si>
  <si>
    <t>HAKOUNE</t>
  </si>
  <si>
    <t>40 ROUTE DE DAMIETTE</t>
  </si>
  <si>
    <t>jacqueshak@gmail.com</t>
  </si>
  <si>
    <t>186646B</t>
  </si>
  <si>
    <t>KHEIDER</t>
  </si>
  <si>
    <t>SAHNOUNE</t>
  </si>
  <si>
    <t>1 RUE DES EGLANTINES</t>
  </si>
  <si>
    <t>keider91@hotmail.fr</t>
  </si>
  <si>
    <t>186653J</t>
  </si>
  <si>
    <t>AZZEDINE</t>
  </si>
  <si>
    <t>BENAMAR</t>
  </si>
  <si>
    <t>58 BOULEVARD DE BELLEVUE</t>
  </si>
  <si>
    <t>azzedine.benamar1@gmail.com</t>
  </si>
  <si>
    <t>186659Q</t>
  </si>
  <si>
    <t>PICON</t>
  </si>
  <si>
    <t>18 RUE DES BORDES</t>
  </si>
  <si>
    <t>piconpaul@orange.fr</t>
  </si>
  <si>
    <t>186660R</t>
  </si>
  <si>
    <t>LOUE</t>
  </si>
  <si>
    <t>10 AVENUE DU MAIL</t>
  </si>
  <si>
    <t>ours.sicilien@gmail.com</t>
  </si>
  <si>
    <t>186670C</t>
  </si>
  <si>
    <t>CHARRUYER</t>
  </si>
  <si>
    <t>62 AVENUE JEANNE LEGER</t>
  </si>
  <si>
    <t>philippe.charruyer@club-internet.fr</t>
  </si>
  <si>
    <t>186671D</t>
  </si>
  <si>
    <t>ANNE FREDERIQUE</t>
  </si>
  <si>
    <t>MAUTAINT</t>
  </si>
  <si>
    <t>113 AVENUE DE PARIS</t>
  </si>
  <si>
    <t>afmautaint@hotmail.com</t>
  </si>
  <si>
    <t>186705Q</t>
  </si>
  <si>
    <t>VENOT</t>
  </si>
  <si>
    <t>2 ALLEE DES ECOLES</t>
  </si>
  <si>
    <t>renevenot261@gmail.com</t>
  </si>
  <si>
    <t>186707S</t>
  </si>
  <si>
    <t>AIDAN</t>
  </si>
  <si>
    <t>DOWD</t>
  </si>
  <si>
    <t>76 AVENUE HENRI BARBUSSE</t>
  </si>
  <si>
    <t>IRLANDE, ou EIRE</t>
  </si>
  <si>
    <t>186712Y</t>
  </si>
  <si>
    <t>DANG KHOA</t>
  </si>
  <si>
    <t>VO</t>
  </si>
  <si>
    <t>33 RUE DE VERDUN</t>
  </si>
  <si>
    <t>vdkhoa.ferrieres@gmail.com</t>
  </si>
  <si>
    <t>186713Z</t>
  </si>
  <si>
    <t>HOLLANDO</t>
  </si>
  <si>
    <t>43 RUE DE L EGLISE</t>
  </si>
  <si>
    <t>hollando.jeff@gmail.com</t>
  </si>
  <si>
    <t>186714A</t>
  </si>
  <si>
    <t>MARIA</t>
  </si>
  <si>
    <t>BRAZINA</t>
  </si>
  <si>
    <t>mariabrazina@gmail.com</t>
  </si>
  <si>
    <t>186717D</t>
  </si>
  <si>
    <t>ERGAND</t>
  </si>
  <si>
    <t>MOULIN DE BASSET</t>
  </si>
  <si>
    <t>j.ergand@jei.fr</t>
  </si>
  <si>
    <t>186718E</t>
  </si>
  <si>
    <t>TESSIER</t>
  </si>
  <si>
    <t>13 ALLEE POTTIER</t>
  </si>
  <si>
    <t>domannites@bbox.fr</t>
  </si>
  <si>
    <t>186719F</t>
  </si>
  <si>
    <t>ANISSA</t>
  </si>
  <si>
    <t>LAZREG</t>
  </si>
  <si>
    <t>12 RUE THEOPHILE LE TIEC</t>
  </si>
  <si>
    <t>anisamelhaoui9@gmail.com</t>
  </si>
  <si>
    <t>186720G</t>
  </si>
  <si>
    <t>PLOTTON</t>
  </si>
  <si>
    <t>11 RUE DES BEDEAUX</t>
  </si>
  <si>
    <t>tourbillon@hotmail.fr</t>
  </si>
  <si>
    <t>186721H</t>
  </si>
  <si>
    <t>MIRET</t>
  </si>
  <si>
    <t>70 HAMEAU DE LA JONQUE</t>
  </si>
  <si>
    <t>jacques.miret@wanadoo.fr</t>
  </si>
  <si>
    <t>186723K</t>
  </si>
  <si>
    <t>LYNA</t>
  </si>
  <si>
    <t>186726N</t>
  </si>
  <si>
    <t>MOHAMED ANIS</t>
  </si>
  <si>
    <t>BOUBRED</t>
  </si>
  <si>
    <t>26 RUE DES IRIS</t>
  </si>
  <si>
    <t>nissours@yahoo.fr</t>
  </si>
  <si>
    <t>186730S</t>
  </si>
  <si>
    <t>CHARTERS</t>
  </si>
  <si>
    <t>7 AVENUE DE LA PLEINE HAUTE</t>
  </si>
  <si>
    <t>CROSNE</t>
  </si>
  <si>
    <t>jose.charters@free.fr</t>
  </si>
  <si>
    <t>186777T</t>
  </si>
  <si>
    <t>JIARUI</t>
  </si>
  <si>
    <t>13 RUE DE BETHISY</t>
  </si>
  <si>
    <t>Caichenjiarui@gmail.com</t>
  </si>
  <si>
    <t>186779W</t>
  </si>
  <si>
    <t>NEIL VLADIMIR</t>
  </si>
  <si>
    <t>SIERRA</t>
  </si>
  <si>
    <t>6 RUE EMILE ZOLA</t>
  </si>
  <si>
    <t>Sierraneilvladimir@gmail.com</t>
  </si>
  <si>
    <t>PHILIPPINES</t>
  </si>
  <si>
    <t>186780X</t>
  </si>
  <si>
    <t>70 AVENUE DE VERDUN</t>
  </si>
  <si>
    <t>546279008@qq.com</t>
  </si>
  <si>
    <t>186781Y</t>
  </si>
  <si>
    <t>MATHYS</t>
  </si>
  <si>
    <t>LAVIEVILLE</t>
  </si>
  <si>
    <t>16 RUE PIXEXECOURT</t>
  </si>
  <si>
    <t>Mathys.lv@hotmail.com</t>
  </si>
  <si>
    <t>186783A</t>
  </si>
  <si>
    <t>CHENYU</t>
  </si>
  <si>
    <t>GAO</t>
  </si>
  <si>
    <t>3 SQ HECTOR BERLIOZ</t>
  </si>
  <si>
    <t>Chenyu.gao@gmail.com</t>
  </si>
  <si>
    <t>186784B</t>
  </si>
  <si>
    <t>BUANIC</t>
  </si>
  <si>
    <t>9 RUE DES FOUGERES</t>
  </si>
  <si>
    <t>anthonybuanic@gmail.com</t>
  </si>
  <si>
    <t>186811F</t>
  </si>
  <si>
    <t>ARRIM</t>
  </si>
  <si>
    <t>7 AVENUE CARNOT</t>
  </si>
  <si>
    <t>omar.arrim@gmail.com</t>
  </si>
  <si>
    <t>186812G</t>
  </si>
  <si>
    <t>ORNETTI</t>
  </si>
  <si>
    <t>7 BOULEVARD GUYNEMER</t>
  </si>
  <si>
    <t>ericornetti@yahoo.fr</t>
  </si>
  <si>
    <t>186815K</t>
  </si>
  <si>
    <t>MINH DUC</t>
  </si>
  <si>
    <t>220 RUE DU FAUBOURG ANTOINE</t>
  </si>
  <si>
    <t>nmduc2312@gmail.com</t>
  </si>
  <si>
    <t>186834F</t>
  </si>
  <si>
    <t>CLAVIER</t>
  </si>
  <si>
    <t>13 ALLEE DES GARDES ROYALES</t>
  </si>
  <si>
    <t>charles-clavier@live.com</t>
  </si>
  <si>
    <t>186838K</t>
  </si>
  <si>
    <t>MARRAS</t>
  </si>
  <si>
    <t>9 ALLEE CAMELINAT</t>
  </si>
  <si>
    <t>alain.marras@gmail.com</t>
  </si>
  <si>
    <t>186846T</t>
  </si>
  <si>
    <t>BOUVIGNIES</t>
  </si>
  <si>
    <t>10 RUE COLLANGE</t>
  </si>
  <si>
    <t>pascal.bv@me.com</t>
  </si>
  <si>
    <t>186848W</t>
  </si>
  <si>
    <t>VILLAR PALOMINO</t>
  </si>
  <si>
    <t>4 RUE COYPEL</t>
  </si>
  <si>
    <t>villarpalomino@gmail.com</t>
  </si>
  <si>
    <t>186869T</t>
  </si>
  <si>
    <t>MARTY</t>
  </si>
  <si>
    <t>36 RUE DE JEMMAPPES</t>
  </si>
  <si>
    <t>philmarty01@gmail.com</t>
  </si>
  <si>
    <t>186875A</t>
  </si>
  <si>
    <t>WILFRID</t>
  </si>
  <si>
    <t>POMME</t>
  </si>
  <si>
    <t>15 RUE JOSEPH ERHARD</t>
  </si>
  <si>
    <t>willis9477@yahoo.com</t>
  </si>
  <si>
    <t>186913R</t>
  </si>
  <si>
    <t>MALECOT</t>
  </si>
  <si>
    <t>8 RUE DES BAS JARDINS</t>
  </si>
  <si>
    <t>malekoum23@gmail.com</t>
  </si>
  <si>
    <t>186914S</t>
  </si>
  <si>
    <t>POMMEREAU</t>
  </si>
  <si>
    <t>8 ROUTE DE SOUZY</t>
  </si>
  <si>
    <t>pommereau.mael@gmail.com</t>
  </si>
  <si>
    <t>186915T</t>
  </si>
  <si>
    <t>CECILE</t>
  </si>
  <si>
    <t>REMY POMMEREAU</t>
  </si>
  <si>
    <t>ciciremy@hotmail.fr</t>
  </si>
  <si>
    <t>186920Z</t>
  </si>
  <si>
    <t>CHENEVEZ</t>
  </si>
  <si>
    <t>3 RUE DES 3 SOEURS</t>
  </si>
  <si>
    <t>echenevez@free.fr</t>
  </si>
  <si>
    <t>186922B</t>
  </si>
  <si>
    <t>echevenez@free.fr</t>
  </si>
  <si>
    <t>186923C</t>
  </si>
  <si>
    <t>ZAKARIA</t>
  </si>
  <si>
    <t>AYARI</t>
  </si>
  <si>
    <t>141 AVENUE MAURICE BERTEAUX</t>
  </si>
  <si>
    <t>zakariaayari1@gmail.com</t>
  </si>
  <si>
    <t>186936R</t>
  </si>
  <si>
    <t>ABEL</t>
  </si>
  <si>
    <t>VILLEDIEU</t>
  </si>
  <si>
    <t>22 RUE DE LA PECHERIE</t>
  </si>
  <si>
    <t>abelvilledieu@gmail.com</t>
  </si>
  <si>
    <t>186942Y</t>
  </si>
  <si>
    <t>BURGART</t>
  </si>
  <si>
    <t>29 RUE HOCHE</t>
  </si>
  <si>
    <t>186944A</t>
  </si>
  <si>
    <t>VIGANI BURGART</t>
  </si>
  <si>
    <t>186955M</t>
  </si>
  <si>
    <t>40 AVENUE DU GENERAL LOUIS MORAND</t>
  </si>
  <si>
    <t>maillard.herve@orange.fr</t>
  </si>
  <si>
    <t>186957P</t>
  </si>
  <si>
    <t>DAOUD</t>
  </si>
  <si>
    <t>6 IMPASSE DES CLOS MILON</t>
  </si>
  <si>
    <t>186985V</t>
  </si>
  <si>
    <t>SERRE</t>
  </si>
  <si>
    <t>106 RUE DE SAINTE GENEVIEVE</t>
  </si>
  <si>
    <t>chsledragon@gmail.com</t>
  </si>
  <si>
    <t>186991B</t>
  </si>
  <si>
    <t>JAMES</t>
  </si>
  <si>
    <t>DURANGO LOPES</t>
  </si>
  <si>
    <t>186992C</t>
  </si>
  <si>
    <t>MAURICIO</t>
  </si>
  <si>
    <t>VILLALOBOS</t>
  </si>
  <si>
    <t>14 RUE DROUOT</t>
  </si>
  <si>
    <t>186993D</t>
  </si>
  <si>
    <t>GUILLOU</t>
  </si>
  <si>
    <t>186994E</t>
  </si>
  <si>
    <t>LAURIER</t>
  </si>
  <si>
    <t>186995F</t>
  </si>
  <si>
    <t>LESIGNE</t>
  </si>
  <si>
    <t>186996G</t>
  </si>
  <si>
    <t>BA</t>
  </si>
  <si>
    <t>LEE</t>
  </si>
  <si>
    <t>187003P</t>
  </si>
  <si>
    <t>MARTINS</t>
  </si>
  <si>
    <t>54 TER ROUTE DE CHAUFFOUR</t>
  </si>
  <si>
    <t>maxime.martins.pro@gmail.com</t>
  </si>
  <si>
    <t>187006S</t>
  </si>
  <si>
    <t>BEILLON</t>
  </si>
  <si>
    <t>14 RUE DE PUISEUX</t>
  </si>
  <si>
    <t>VAUREAL</t>
  </si>
  <si>
    <t>ph.beillon@gmail.com</t>
  </si>
  <si>
    <t>187026P</t>
  </si>
  <si>
    <t>PINEAU</t>
  </si>
  <si>
    <t>21 RUE DEBUSSY</t>
  </si>
  <si>
    <t>pineaufrancois69@gmail.com</t>
  </si>
  <si>
    <t>187037B</t>
  </si>
  <si>
    <t>SERAPHIN</t>
  </si>
  <si>
    <t>4 CHEMIN DU MOULIN NEUF</t>
  </si>
  <si>
    <t>SOUZY LA BRICHE</t>
  </si>
  <si>
    <t>tontonkingkong91@gmail.com</t>
  </si>
  <si>
    <t>187053T</t>
  </si>
  <si>
    <t>1 CHEMIN DU RUE D AVRIL</t>
  </si>
  <si>
    <t>hub.lionel@gmail.com</t>
  </si>
  <si>
    <t>187056X</t>
  </si>
  <si>
    <t>TUAN DUY</t>
  </si>
  <si>
    <t>187058Z</t>
  </si>
  <si>
    <t>MANDOU</t>
  </si>
  <si>
    <t>12 RUE FULTON</t>
  </si>
  <si>
    <t>pascal.mandou@orange.fr</t>
  </si>
  <si>
    <t>187069L</t>
  </si>
  <si>
    <t>ADELE</t>
  </si>
  <si>
    <t>PERRAULT</t>
  </si>
  <si>
    <t>8 ROUTE DE SAMOIS</t>
  </si>
  <si>
    <t>187070M</t>
  </si>
  <si>
    <t>MARGOT</t>
  </si>
  <si>
    <t>187074R</t>
  </si>
  <si>
    <t>GOUELIBO</t>
  </si>
  <si>
    <t>10 RUE DE LA CROIX DES VIGNES</t>
  </si>
  <si>
    <t>patgouelibo@laposte.net</t>
  </si>
  <si>
    <t>187098S</t>
  </si>
  <si>
    <t>3 ALLEE AUGUSTE RENOIR</t>
  </si>
  <si>
    <t>stefXV@gmail.com</t>
  </si>
  <si>
    <t>187112H</t>
  </si>
  <si>
    <t>SABINE</t>
  </si>
  <si>
    <t>8 AVENUE FRIEDLAND</t>
  </si>
  <si>
    <t>kerene555@gmail.com</t>
  </si>
  <si>
    <t>187117N</t>
  </si>
  <si>
    <t>arnaud.glise@fr.abb.com</t>
  </si>
  <si>
    <t>187118P</t>
  </si>
  <si>
    <t>KEFENG</t>
  </si>
  <si>
    <t>NIE</t>
  </si>
  <si>
    <t>9 PLACE DU MARCHE</t>
  </si>
  <si>
    <t>kefeng.yiwen@gmail.com</t>
  </si>
  <si>
    <t>187136J</t>
  </si>
  <si>
    <t>BOUDALY</t>
  </si>
  <si>
    <t>59 RUE SAINT BLAISE BL5</t>
  </si>
  <si>
    <t>Mehdi.boudaly@icloud.com</t>
  </si>
  <si>
    <t>187147W</t>
  </si>
  <si>
    <t>EL MESRAOUI</t>
  </si>
  <si>
    <t>44 AVENUE DE PARIS</t>
  </si>
  <si>
    <t>elmesraouisoufiane1@gmail.com</t>
  </si>
  <si>
    <t>187149Y</t>
  </si>
  <si>
    <t>ROFRIGUEZ</t>
  </si>
  <si>
    <t>6 RUE FURTADO HEINE</t>
  </si>
  <si>
    <t>rofriguez.alberto3@hotmail.com</t>
  </si>
  <si>
    <t>187166R</t>
  </si>
  <si>
    <t>5 AVENUE PIERRE ALLAIRE</t>
  </si>
  <si>
    <t>alrendre@hotmail.com</t>
  </si>
  <si>
    <t>187176C</t>
  </si>
  <si>
    <t>GARREAU</t>
  </si>
  <si>
    <t>41BOULEVARD VOLTAIRE</t>
  </si>
  <si>
    <t>sgarreau2@fastmail.com</t>
  </si>
  <si>
    <t>187187P</t>
  </si>
  <si>
    <t>9 RUE DE BARBEAU</t>
  </si>
  <si>
    <t>187189R</t>
  </si>
  <si>
    <t>WARGON</t>
  </si>
  <si>
    <t>max.wargon@gmail.com</t>
  </si>
  <si>
    <t>187193W</t>
  </si>
  <si>
    <t>CHAMPALIER</t>
  </si>
  <si>
    <t>4 BIS RUE DENISE</t>
  </si>
  <si>
    <t>clobruma@free.fr</t>
  </si>
  <si>
    <t>187203G</t>
  </si>
  <si>
    <t>9 ROUTE DE BOUTIGNY</t>
  </si>
  <si>
    <t>gilbertfoulon@free.fr</t>
  </si>
  <si>
    <t>POINTS RANKING POULES</t>
  </si>
  <si>
    <t>POINTS RANKING MINI-TOURNOI</t>
  </si>
  <si>
    <t>PR DISTRICT</t>
  </si>
  <si>
    <t>POINTS RANKING TOURNOI MAJEUR</t>
  </si>
  <si>
    <t xml:space="preserve">PR DAMES </t>
  </si>
  <si>
    <t xml:space="preserve">Gest. </t>
  </si>
  <si>
    <t>JDSR</t>
  </si>
  <si>
    <t>Pts Bonus</t>
  </si>
  <si>
    <t>Cat. si NC</t>
  </si>
  <si>
    <t>Clt.</t>
  </si>
  <si>
    <t>Finale</t>
  </si>
  <si>
    <t>1/8 de finale 1</t>
  </si>
  <si>
    <t>1/8 de finale 2</t>
  </si>
  <si>
    <t>1/8 de finale 3</t>
  </si>
  <si>
    <t>1/8 de finale 4</t>
  </si>
  <si>
    <t>1/8 de finale 5</t>
  </si>
  <si>
    <t>1/8 de finale 6</t>
  </si>
  <si>
    <t>1/8 de finale 7</t>
  </si>
  <si>
    <t>1/8 de finale 8</t>
  </si>
  <si>
    <t xml:space="preserve"> 1/4 de finale 1</t>
  </si>
  <si>
    <t xml:space="preserve"> 1/4 de finale 2</t>
  </si>
  <si>
    <t xml:space="preserve"> 1/4 de finale 3</t>
  </si>
  <si>
    <t xml:space="preserve"> 1/4 de finale 4</t>
  </si>
  <si>
    <t>1/2 finale 1</t>
  </si>
  <si>
    <t>1/2 finale 2</t>
  </si>
  <si>
    <t>Classement 3vs4</t>
  </si>
  <si>
    <t>Classement 5vs6</t>
  </si>
  <si>
    <t>Classement 7vs8</t>
  </si>
  <si>
    <t>Matchs de classement</t>
  </si>
  <si>
    <t>Consolante</t>
  </si>
  <si>
    <t>OPEN</t>
  </si>
  <si>
    <t>Vainqueur en
Prolongation</t>
  </si>
  <si>
    <t>163976K</t>
  </si>
  <si>
    <t>163121F</t>
  </si>
  <si>
    <t>AFONSO</t>
  </si>
  <si>
    <t>6 TER BD RENARD BENOIT</t>
  </si>
  <si>
    <t>EPONE</t>
  </si>
  <si>
    <t>012497R</t>
  </si>
  <si>
    <t>BARRERA</t>
  </si>
  <si>
    <t>8 AVENUE ANATOLE FRANCE</t>
  </si>
  <si>
    <t>barreras@orange.fr</t>
  </si>
  <si>
    <t>187304R</t>
  </si>
  <si>
    <t>BENJELLOUN TOUIMI</t>
  </si>
  <si>
    <t>ISMAIL</t>
  </si>
  <si>
    <t>8 PROMENADE EUROPA</t>
  </si>
  <si>
    <t>NANTES</t>
  </si>
  <si>
    <t>ismail.benj@gmail.com</t>
  </si>
  <si>
    <t>181555S</t>
  </si>
  <si>
    <t>herveghoost@gmail.com</t>
  </si>
  <si>
    <t>149989G</t>
  </si>
  <si>
    <t>BONNIN</t>
  </si>
  <si>
    <t>2 RUE DE VARVANNES</t>
  </si>
  <si>
    <t>187330V</t>
  </si>
  <si>
    <t>BOUGRAINVILLE</t>
  </si>
  <si>
    <t>36 RUE DE LA MARE DES NOUES</t>
  </si>
  <si>
    <t>bougrainvilleaurelien@gmail.com</t>
  </si>
  <si>
    <t>171776N</t>
  </si>
  <si>
    <t>CANO</t>
  </si>
  <si>
    <t>23 RUE DE LA REUNION</t>
  </si>
  <si>
    <t>andre.cano1953@gmail.com</t>
  </si>
  <si>
    <t>147771W</t>
  </si>
  <si>
    <t>CARRIAT</t>
  </si>
  <si>
    <t>4 ALLEE DES SYCOMORES</t>
  </si>
  <si>
    <t>joel.carriat@gmail.com</t>
  </si>
  <si>
    <t>166693N</t>
  </si>
  <si>
    <t>1 RUE DES MACONS</t>
  </si>
  <si>
    <t>jmbcharpentier@orange.fr</t>
  </si>
  <si>
    <t>175713S</t>
  </si>
  <si>
    <t>CHASTAN</t>
  </si>
  <si>
    <t>93 RUE DES ANGLAIS</t>
  </si>
  <si>
    <t>didier.chastan6@orange.fr</t>
  </si>
  <si>
    <t>111438C</t>
  </si>
  <si>
    <t>CHAUVEAU</t>
  </si>
  <si>
    <t>12BIS RUE MARTIN BERNARD</t>
  </si>
  <si>
    <t>philippe.chauveau75@gmail.com</t>
  </si>
  <si>
    <t>187370N</t>
  </si>
  <si>
    <t>CHETOUANE</t>
  </si>
  <si>
    <t>10 IMPASSE DU ROSSIGNOL</t>
  </si>
  <si>
    <t>187305S</t>
  </si>
  <si>
    <t>CLOMBE</t>
  </si>
  <si>
    <t>clombe-thierry@hotmail.fr</t>
  </si>
  <si>
    <t>171278X</t>
  </si>
  <si>
    <t>COELHO</t>
  </si>
  <si>
    <t>24 ALLEE DES BOURSEAUX</t>
  </si>
  <si>
    <t>coelho.daniel@laposte.net</t>
  </si>
  <si>
    <t>012822E</t>
  </si>
  <si>
    <t>COEUGNET</t>
  </si>
  <si>
    <t>2 RUE SIMONE BIGOT</t>
  </si>
  <si>
    <t>coeugnet.gerard@gmail.com</t>
  </si>
  <si>
    <t>176018Z</t>
  </si>
  <si>
    <t>COILLET</t>
  </si>
  <si>
    <t>16 BIS RUE DES FONTAINES</t>
  </si>
  <si>
    <t>soprims@orange.fr</t>
  </si>
  <si>
    <t>168124T</t>
  </si>
  <si>
    <t>COLONNA</t>
  </si>
  <si>
    <t>13 RUE HUGEDE</t>
  </si>
  <si>
    <t>colonna.jean-paul@laposte.net</t>
  </si>
  <si>
    <t>181707H</t>
  </si>
  <si>
    <t>DELAMOTTE</t>
  </si>
  <si>
    <t>42 RUE DE LA BARRE</t>
  </si>
  <si>
    <t>ENGHIEN LES BAINS</t>
  </si>
  <si>
    <t>delamotte.thierry@neuf.fr</t>
  </si>
  <si>
    <t>184383R</t>
  </si>
  <si>
    <t>DELOISY</t>
  </si>
  <si>
    <t>32 RUE DES BROSSES</t>
  </si>
  <si>
    <t>012990Q</t>
  </si>
  <si>
    <t>DINAND</t>
  </si>
  <si>
    <t>10 RUE PIERRE CARTELLIER</t>
  </si>
  <si>
    <t>michel.dinand@numericable.fr</t>
  </si>
  <si>
    <t>163127M</t>
  </si>
  <si>
    <t>DOUCET</t>
  </si>
  <si>
    <t>5 RUE DE SAMPIGNY</t>
  </si>
  <si>
    <t>2d.vision.opticien@wanadoo.fr</t>
  </si>
  <si>
    <t>187365H</t>
  </si>
  <si>
    <t>DUMAS</t>
  </si>
  <si>
    <t>MATHILDE</t>
  </si>
  <si>
    <t>60 RUE DU 11 NOVEMBRE 1918</t>
  </si>
  <si>
    <t>mthlddms@gmail.com</t>
  </si>
  <si>
    <t>183473C</t>
  </si>
  <si>
    <t>DUPONT MORA</t>
  </si>
  <si>
    <t>12 RUE DES BATELIERS</t>
  </si>
  <si>
    <t>ST OUEN</t>
  </si>
  <si>
    <t>sylvain.d-m@hotmail.fr</t>
  </si>
  <si>
    <t>187381A</t>
  </si>
  <si>
    <t>EKO MINTSA</t>
  </si>
  <si>
    <t>CHRISTOPHER</t>
  </si>
  <si>
    <t>32 RUE HENRI MATISSE</t>
  </si>
  <si>
    <t>ekomintsachristopher@gmail.com</t>
  </si>
  <si>
    <t>178909R</t>
  </si>
  <si>
    <t>15 RUE VICTOR HUGO</t>
  </si>
  <si>
    <t>luc.frdz@gmail.com</t>
  </si>
  <si>
    <t>176441J</t>
  </si>
  <si>
    <t>FIAUX</t>
  </si>
  <si>
    <t>JEAN FRED</t>
  </si>
  <si>
    <t>17 RUE DE CHAMPAGNE</t>
  </si>
  <si>
    <t>MACHAULT</t>
  </si>
  <si>
    <t>jeanfred.fiaux@gmail.com</t>
  </si>
  <si>
    <t>113493D</t>
  </si>
  <si>
    <t>FOURGEAUD</t>
  </si>
  <si>
    <t>2 RUE EDOUARD BRANLY</t>
  </si>
  <si>
    <t>179238Z</t>
  </si>
  <si>
    <t>26 ALLEE FERRET BRIET</t>
  </si>
  <si>
    <t>jeanmichel.fournier@wanadoo.fr</t>
  </si>
  <si>
    <t>176109Y</t>
  </si>
  <si>
    <t>GAILLET</t>
  </si>
  <si>
    <t>98 RUE MAGENTA</t>
  </si>
  <si>
    <t>gailletpg@gmail.com</t>
  </si>
  <si>
    <t>109629N</t>
  </si>
  <si>
    <t>2 LOTISSEMENT SAINT ROCH</t>
  </si>
  <si>
    <t>PLUMERGAT</t>
  </si>
  <si>
    <t>flogaillet@protonmail.com</t>
  </si>
  <si>
    <t>185172Z</t>
  </si>
  <si>
    <t>27 RUE DU VAL</t>
  </si>
  <si>
    <t>gaspar.b@hotmail.fr</t>
  </si>
  <si>
    <t>187387G</t>
  </si>
  <si>
    <t>GASTE</t>
  </si>
  <si>
    <t>135 AVENUE GABRIEL PERI</t>
  </si>
  <si>
    <t>Gastem@free.fr</t>
  </si>
  <si>
    <t>187395Q</t>
  </si>
  <si>
    <t>GHALLEB</t>
  </si>
  <si>
    <t>3 CHEMIN DES FONTAINES</t>
  </si>
  <si>
    <t>ahmedsousse5@gmail.com</t>
  </si>
  <si>
    <t>013234A</t>
  </si>
  <si>
    <t>1 COUR DES BENEDICTINS</t>
  </si>
  <si>
    <t>gilles.giguet@mairie-provins.fr</t>
  </si>
  <si>
    <t>013245L</t>
  </si>
  <si>
    <t>GIORDANO</t>
  </si>
  <si>
    <t>10 PLACE ROMAIN ROLLAND</t>
  </si>
  <si>
    <t>fanfan.giordano@gmail.com</t>
  </si>
  <si>
    <t>131158O</t>
  </si>
  <si>
    <t>GITTON</t>
  </si>
  <si>
    <t>18 RUE DES CLAUDINES</t>
  </si>
  <si>
    <t>michel.gitton18@free.fr</t>
  </si>
  <si>
    <t>172323H</t>
  </si>
  <si>
    <t>GRAINE BESSAC</t>
  </si>
  <si>
    <t>DOROTHEE</t>
  </si>
  <si>
    <t>37 RUE DE LA BONNE AVENTURE</t>
  </si>
  <si>
    <t>dorothee.bessac@hotmail.fr</t>
  </si>
  <si>
    <t>187372Q</t>
  </si>
  <si>
    <t>GRAZIANI</t>
  </si>
  <si>
    <t>EDMOND</t>
  </si>
  <si>
    <t>2 RUE DU CAPITAINE BASTIEN</t>
  </si>
  <si>
    <t>edmond.graziani@orange.fr</t>
  </si>
  <si>
    <t>187209N</t>
  </si>
  <si>
    <t>HAUET</t>
  </si>
  <si>
    <t>4 RUE D ANDILLY</t>
  </si>
  <si>
    <t>philippe.hauet@free.fr</t>
  </si>
  <si>
    <t>174330P</t>
  </si>
  <si>
    <t>HECKA</t>
  </si>
  <si>
    <t>19 ALLEE HENRI MATISSE</t>
  </si>
  <si>
    <t>jean-michel@hecka.fr</t>
  </si>
  <si>
    <t>HENRIQUET</t>
  </si>
  <si>
    <t>74 RUE DU CHENE</t>
  </si>
  <si>
    <t>MAROLLES EN BRIE</t>
  </si>
  <si>
    <t>mhenriquet94@gmail.com</t>
  </si>
  <si>
    <t>150419Z</t>
  </si>
  <si>
    <t>1 ALLEE DE LERINS</t>
  </si>
  <si>
    <t>FEROLLES ATTILY</t>
  </si>
  <si>
    <t>jean-francois.jacquot0460@orange.fr</t>
  </si>
  <si>
    <t>013428M</t>
  </si>
  <si>
    <t>KEREBEL</t>
  </si>
  <si>
    <t>12 MAIL CENTRE VILLE</t>
  </si>
  <si>
    <t>eric.kerebel@free.fr</t>
  </si>
  <si>
    <t>187366J</t>
  </si>
  <si>
    <t>KING</t>
  </si>
  <si>
    <t>8 RUE DANIELLE CASANOVA</t>
  </si>
  <si>
    <t>jf.king@wanadoo.fr</t>
  </si>
  <si>
    <t>119630E</t>
  </si>
  <si>
    <t>JACQUELINE</t>
  </si>
  <si>
    <t>116BIS RUE DE JOINVILLE</t>
  </si>
  <si>
    <t>jaqueline.leclerc@wanadoo.fr</t>
  </si>
  <si>
    <t>013526G</t>
  </si>
  <si>
    <t>116 BIS RUE DE JOINVILLE</t>
  </si>
  <si>
    <t>187386F</t>
  </si>
  <si>
    <t>MAGAUD</t>
  </si>
  <si>
    <t>73 BD BESSIERES</t>
  </si>
  <si>
    <t>187329T</t>
  </si>
  <si>
    <t>MAINTROT</t>
  </si>
  <si>
    <t>24 RUE HENRIETTE D ENTRAGUES</t>
  </si>
  <si>
    <t>maintrot.alain@gmail.com</t>
  </si>
  <si>
    <t>118417N</t>
  </si>
  <si>
    <t>MARTIN BARBAZ</t>
  </si>
  <si>
    <t>93 AVENUE VERDIER</t>
  </si>
  <si>
    <t>n.martin.barbaz@gmail.com</t>
  </si>
  <si>
    <t>173977F</t>
  </si>
  <si>
    <t>MEZIERE</t>
  </si>
  <si>
    <t>JACK</t>
  </si>
  <si>
    <t>5 RUE DE L ESPERANCE</t>
  </si>
  <si>
    <t>jack.meziere@wanadoo.fr</t>
  </si>
  <si>
    <t>173978G</t>
  </si>
  <si>
    <t>23 RUE DE LA FOSSE MOREAU</t>
  </si>
  <si>
    <t>m.meziere@orange.fr</t>
  </si>
  <si>
    <t>142676O</t>
  </si>
  <si>
    <t>MOHAMED</t>
  </si>
  <si>
    <t>NOOR</t>
  </si>
  <si>
    <t>BOUQUEVAL</t>
  </si>
  <si>
    <t>nooreef@free.fr</t>
  </si>
  <si>
    <t>187306T</t>
  </si>
  <si>
    <t>MONHAROUL</t>
  </si>
  <si>
    <t>11 RUE DES EPOUX GUILLET</t>
  </si>
  <si>
    <t>pidlum@free.fr</t>
  </si>
  <si>
    <t>123853P</t>
  </si>
  <si>
    <t>MONTUY</t>
  </si>
  <si>
    <t>7 RUE DE BOISSY</t>
  </si>
  <si>
    <t>benjym95@hotmail.fr</t>
  </si>
  <si>
    <t>159466H</t>
  </si>
  <si>
    <t>MORY</t>
  </si>
  <si>
    <t>198 BOULEVARD DE CRETEIL</t>
  </si>
  <si>
    <t>jcmory@wanadoo.fr</t>
  </si>
  <si>
    <t>179239A</t>
  </si>
  <si>
    <t>NARBONNE</t>
  </si>
  <si>
    <t>19 BIS RUE HENRI REGNAULT</t>
  </si>
  <si>
    <t>lilouclub4@yahoo.fr</t>
  </si>
  <si>
    <t>162678Z</t>
  </si>
  <si>
    <t>NOURRISSON</t>
  </si>
  <si>
    <t>3 RUE LUCIEN SAMPAIX</t>
  </si>
  <si>
    <t>ST CYR L ECOLE</t>
  </si>
  <si>
    <t>patrice.nourrisson@yahoo.fr</t>
  </si>
  <si>
    <t>013863F</t>
  </si>
  <si>
    <t>PACETTI</t>
  </si>
  <si>
    <t>1BIS RUE LUCIEN SAMPAIX</t>
  </si>
  <si>
    <t>VALENTON</t>
  </si>
  <si>
    <t>claudepacetti@gmail.com</t>
  </si>
  <si>
    <t>169545N</t>
  </si>
  <si>
    <t>PARADIS MOALIC</t>
  </si>
  <si>
    <t>QUENTIN</t>
  </si>
  <si>
    <t>41 RUE JULES FERRY</t>
  </si>
  <si>
    <t>olivier.paradis@laposte.net</t>
  </si>
  <si>
    <t>134265B</t>
  </si>
  <si>
    <t>1 RUE DE BOISSY</t>
  </si>
  <si>
    <t>francis.france95@yahoo.fr</t>
  </si>
  <si>
    <t>169456R</t>
  </si>
  <si>
    <t>PILLARD</t>
  </si>
  <si>
    <t>1 RUE DES ANEMONES</t>
  </si>
  <si>
    <t>coralie.pillard@wanadoo.fr</t>
  </si>
  <si>
    <t>138921D</t>
  </si>
  <si>
    <t>POEZEVARA</t>
  </si>
  <si>
    <t>8 ALLEE DES ROMARINS</t>
  </si>
  <si>
    <t>thierry.poezevara@neuf.fr</t>
  </si>
  <si>
    <t>013975N</t>
  </si>
  <si>
    <t>POTOCZNIAK</t>
  </si>
  <si>
    <t>11 BIS CHEMIN DES ECHAUDES</t>
  </si>
  <si>
    <t>cotop@free.fr</t>
  </si>
  <si>
    <t>187385E</t>
  </si>
  <si>
    <t>113 AVENUE EDOUARD HERRIOT</t>
  </si>
  <si>
    <t>yoyopoulain1950@gmail.com</t>
  </si>
  <si>
    <t>183492Y</t>
  </si>
  <si>
    <t>POULIGNY</t>
  </si>
  <si>
    <t>16 CHEMIN DU PETIT VAL</t>
  </si>
  <si>
    <t>claude.pouligny@free.fr</t>
  </si>
  <si>
    <t>187265Z</t>
  </si>
  <si>
    <t>PRAMPART</t>
  </si>
  <si>
    <t>39 RUE EXELMANS</t>
  </si>
  <si>
    <t>sprampart@msn.com</t>
  </si>
  <si>
    <t>144845Z</t>
  </si>
  <si>
    <t>PRIEURE</t>
  </si>
  <si>
    <t>9 ALLEE DES ROMARINS</t>
  </si>
  <si>
    <t>philippe.prieure51@gmail.com</t>
  </si>
  <si>
    <t>175325W</t>
  </si>
  <si>
    <t>RAKOTONOAH</t>
  </si>
  <si>
    <t>45 AVENUE DU GENERAL DE GAULLE</t>
  </si>
  <si>
    <t>mandimby.rako@gmail.com</t>
  </si>
  <si>
    <t>arb@3ds.com</t>
  </si>
  <si>
    <t>154247K</t>
  </si>
  <si>
    <t>11 RUE DES ERABLES</t>
  </si>
  <si>
    <t>ROCQUENCOURT</t>
  </si>
  <si>
    <t>roche.koblo@gmail.com</t>
  </si>
  <si>
    <t>142838U</t>
  </si>
  <si>
    <t>RODRIGUES</t>
  </si>
  <si>
    <t>72 QUATER AVENUE DE CHANTEREINE</t>
  </si>
  <si>
    <t>COURTRY</t>
  </si>
  <si>
    <t>sebastien_rodrigues@yahoo.fr</t>
  </si>
  <si>
    <t>138525X</t>
  </si>
  <si>
    <t>ROULET</t>
  </si>
  <si>
    <t>7 LOT LES GERARD</t>
  </si>
  <si>
    <t>HAUTEFEUILLE</t>
  </si>
  <si>
    <t>117485R</t>
  </si>
  <si>
    <t>ROUQUETTE</t>
  </si>
  <si>
    <t>5 RUE DES MESANGES</t>
  </si>
  <si>
    <t>michelrouquette77@gmail.com</t>
  </si>
  <si>
    <t>159467J</t>
  </si>
  <si>
    <t>SAGET</t>
  </si>
  <si>
    <t>63 AVENUE DIDEROT</t>
  </si>
  <si>
    <t>xaviersaget2@gmail.com</t>
  </si>
  <si>
    <t>132401J</t>
  </si>
  <si>
    <t>SILLION</t>
  </si>
  <si>
    <t>15 RUE MECHAIN</t>
  </si>
  <si>
    <t>bsillion@club-internet.fr</t>
  </si>
  <si>
    <t>014176G</t>
  </si>
  <si>
    <t>7 RUE DES PERVENCHES</t>
  </si>
  <si>
    <t>gorisi@laposte.net</t>
  </si>
  <si>
    <t>185059B</t>
  </si>
  <si>
    <t>15 RUE DU DOCTEUR CHARCOT</t>
  </si>
  <si>
    <t>arnaud.villedieu@mis91.fr</t>
  </si>
  <si>
    <t>014357F</t>
  </si>
  <si>
    <t>ZAYANI</t>
  </si>
  <si>
    <t>26 RUE CARNOT</t>
  </si>
  <si>
    <t>alain@zayani.org</t>
  </si>
  <si>
    <t>159110W</t>
  </si>
  <si>
    <t>ZILTENER</t>
  </si>
  <si>
    <t>20 CHEMIN DES JUSTICES</t>
  </si>
  <si>
    <t>BRIE</t>
  </si>
  <si>
    <t>christian.ziltener@sfr.fr</t>
  </si>
  <si>
    <t>187388H</t>
  </si>
  <si>
    <t>ZIMMER</t>
  </si>
  <si>
    <t>31 RUE DE BERNE</t>
  </si>
  <si>
    <t>zimmerpierre@orange.fr</t>
  </si>
  <si>
    <t>014360I</t>
  </si>
  <si>
    <t>ZIRNHELT</t>
  </si>
  <si>
    <t>7 ALLEE DES HAUTS BOIS</t>
  </si>
  <si>
    <t>183234S</t>
  </si>
  <si>
    <t>ZOUINA</t>
  </si>
  <si>
    <t>LOTTFI</t>
  </si>
  <si>
    <t>19 PLACE DU BOIS TAILLI</t>
  </si>
  <si>
    <t>zouina.lottfi@orange.fr</t>
  </si>
  <si>
    <t>014217V</t>
  </si>
  <si>
    <t>TAUZIAS BARRIER</t>
  </si>
  <si>
    <t>9 BD DES CHAMPEAUX</t>
  </si>
  <si>
    <t>marjeu@wanadoo.fr</t>
  </si>
  <si>
    <t>MERIADEC</t>
  </si>
  <si>
    <t>111135L</t>
  </si>
  <si>
    <t>CLAPERON</t>
  </si>
  <si>
    <t>37BIS AV MISS CAVELL</t>
  </si>
  <si>
    <t>jmbclaperon@hotmail.fr</t>
  </si>
  <si>
    <t>126700C</t>
  </si>
  <si>
    <t>NOVAIS</t>
  </si>
  <si>
    <t>4 ALLEE LOUIS NOGUERES</t>
  </si>
  <si>
    <t>manuel.novais@hotmail.fr</t>
  </si>
  <si>
    <t>140428C</t>
  </si>
  <si>
    <t>LE NOUVEL</t>
  </si>
  <si>
    <t>8 BIS RUE DE PARIS</t>
  </si>
  <si>
    <t>philippln@hotmail.fr</t>
  </si>
  <si>
    <t>33  RUE DE ROSSIGNY</t>
  </si>
  <si>
    <t>144281H</t>
  </si>
  <si>
    <t>3 RUE DES TILLEULS</t>
  </si>
  <si>
    <t>guy.delalande@fmib.fr</t>
  </si>
  <si>
    <t>153677Q</t>
  </si>
  <si>
    <t>RAULET</t>
  </si>
  <si>
    <t>22 ALLEE CANTABILE</t>
  </si>
  <si>
    <t>xavier.danslemonde@gmail.com</t>
  </si>
  <si>
    <t>156685K</t>
  </si>
  <si>
    <t>IZIDRO</t>
  </si>
  <si>
    <t>6 CHEMIN DES ACACIAS</t>
  </si>
  <si>
    <t>EVEQUEMONT</t>
  </si>
  <si>
    <t>157235H</t>
  </si>
  <si>
    <t>GRODECOEUR</t>
  </si>
  <si>
    <t>41 RUE DU MARTROY</t>
  </si>
  <si>
    <t>jp.grodecoeur@orange.fr</t>
  </si>
  <si>
    <t>169308F</t>
  </si>
  <si>
    <t>CORCESSIN</t>
  </si>
  <si>
    <t>15 RUE YVETTE TROIPOUX</t>
  </si>
  <si>
    <t>corcessin.joel@free.fr</t>
  </si>
  <si>
    <t>2 RUE DES CARNEAUX</t>
  </si>
  <si>
    <t>187418Q</t>
  </si>
  <si>
    <t>BIN</t>
  </si>
  <si>
    <t>LIU</t>
  </si>
  <si>
    <t>22 RUE VOLTAIRE</t>
  </si>
  <si>
    <t>liu.bin@live.fr</t>
  </si>
  <si>
    <t>187419R</t>
  </si>
  <si>
    <t>LABARTHE</t>
  </si>
  <si>
    <t>13 RUE DE LA REUNION</t>
  </si>
  <si>
    <t>labjp@hotmail.com</t>
  </si>
  <si>
    <t>PR JDS 9</t>
  </si>
  <si>
    <t>Classement du 1/4 de finale</t>
  </si>
  <si>
    <t>Distances Open</t>
  </si>
  <si>
    <t>Cat.</t>
  </si>
  <si>
    <t>bande</t>
  </si>
  <si>
    <t>Vainqueur</t>
  </si>
  <si>
    <t>MATCH DE CLASSEMENT 7 VS 8</t>
  </si>
  <si>
    <t>MATCH DE CLASSEMENT 5 VS 6</t>
  </si>
  <si>
    <t>MATCH DE CLASSEMENT 3 VS 4</t>
  </si>
  <si>
    <t>PHASE FINALE</t>
  </si>
  <si>
    <t>Pt B</t>
  </si>
  <si>
    <t>Pt rk</t>
  </si>
  <si>
    <t>Ptrk+PtB</t>
  </si>
  <si>
    <t>RG Poule</t>
  </si>
  <si>
    <t>Rg Finale</t>
  </si>
  <si>
    <t>PHASE POULES</t>
  </si>
  <si>
    <t>Clt poule</t>
  </si>
  <si>
    <t>Pts clt</t>
  </si>
  <si>
    <t>bonus</t>
  </si>
  <si>
    <t>Pts Clt  Total</t>
  </si>
  <si>
    <t>Clt Finale</t>
  </si>
  <si>
    <t>licence</t>
  </si>
  <si>
    <t>Vic prolong</t>
  </si>
  <si>
    <t>pts</t>
  </si>
  <si>
    <t>cat</t>
  </si>
  <si>
    <t>% Joueur</t>
  </si>
  <si>
    <t>% adv.</t>
  </si>
  <si>
    <t xml:space="preserve">Rep. </t>
  </si>
  <si>
    <t>Moy.</t>
  </si>
  <si>
    <t>Clt du 1/4 de finale</t>
  </si>
  <si>
    <t>012453Z</t>
  </si>
  <si>
    <t>GUVEN</t>
  </si>
  <si>
    <t>ATALAY</t>
  </si>
  <si>
    <t>96 RUE DIDEROT</t>
  </si>
  <si>
    <t>atalaygu@outlook.fr</t>
  </si>
  <si>
    <t>012567J</t>
  </si>
  <si>
    <t>BERTHOMIER</t>
  </si>
  <si>
    <t>43 RUE JACQUES LOUIS BERNIER</t>
  </si>
  <si>
    <t>jacques.berthomier@free.fr</t>
  </si>
  <si>
    <t>012646K</t>
  </si>
  <si>
    <t>BOUR</t>
  </si>
  <si>
    <t>6 SQUARE DES MARRONNIERS</t>
  </si>
  <si>
    <t>danielbour@free.fr</t>
  </si>
  <si>
    <t>012710W</t>
  </si>
  <si>
    <t>CAILLAUD</t>
  </si>
  <si>
    <t>21BIS VILLA DENISE</t>
  </si>
  <si>
    <t>acaillaud@bbox.fr</t>
  </si>
  <si>
    <t>012810S</t>
  </si>
  <si>
    <t>CICE</t>
  </si>
  <si>
    <t>4 RUE JEAN JAURES</t>
  </si>
  <si>
    <t>christiancice@yahoo.fr</t>
  </si>
  <si>
    <t>012913R</t>
  </si>
  <si>
    <t>DE SOUSA RODRIGUES</t>
  </si>
  <si>
    <t>39 BOULEVARD PIERRE CURIE</t>
  </si>
  <si>
    <t>013010K</t>
  </si>
  <si>
    <t>DOUSSOT</t>
  </si>
  <si>
    <t>21 RUE JEAN SAVU</t>
  </si>
  <si>
    <t>pdoussot@gmail.com</t>
  </si>
  <si>
    <t>013311Z</t>
  </si>
  <si>
    <t>GUILHEM</t>
  </si>
  <si>
    <t>5 SQUARE DE LA CONCORDE</t>
  </si>
  <si>
    <t>tonyguilhem@gmail.com</t>
  </si>
  <si>
    <t>013314C</t>
  </si>
  <si>
    <t>GUILLERM</t>
  </si>
  <si>
    <t>24 BIS RUE CLAUDE BENARD</t>
  </si>
  <si>
    <t>bernard.guillerm95@orange.fr</t>
  </si>
  <si>
    <t>013333V</t>
  </si>
  <si>
    <t>HANEQUAND</t>
  </si>
  <si>
    <t>2 RUE DE PALAISOT</t>
  </si>
  <si>
    <t>013599B</t>
  </si>
  <si>
    <t>LION</t>
  </si>
  <si>
    <t>6 A RUE RENAUD</t>
  </si>
  <si>
    <t>faz37@free.fr</t>
  </si>
  <si>
    <t>013618U</t>
  </si>
  <si>
    <t>LOURDOU</t>
  </si>
  <si>
    <t>17 RUE JEAN ALLEMANE</t>
  </si>
  <si>
    <t>gerard-lourdou@live.fr</t>
  </si>
  <si>
    <t>013708G</t>
  </si>
  <si>
    <t>MAURIN</t>
  </si>
  <si>
    <t>6 AV DE LA VALLEE</t>
  </si>
  <si>
    <t>pym.maurin@free.fr</t>
  </si>
  <si>
    <t>013720S</t>
  </si>
  <si>
    <t>MENARD</t>
  </si>
  <si>
    <t>37 RUE GEORGES DOURET</t>
  </si>
  <si>
    <t>013758E</t>
  </si>
  <si>
    <t>MOLET</t>
  </si>
  <si>
    <t>52 BIS AVENUE D IENA</t>
  </si>
  <si>
    <t>acmolet@yahoo.fr</t>
  </si>
  <si>
    <t>013822Q</t>
  </si>
  <si>
    <t>NENNOT</t>
  </si>
  <si>
    <t>1 RUE MAURICE AUDIN</t>
  </si>
  <si>
    <t>APPT 131164</t>
  </si>
  <si>
    <t>michelle.nennot@hotmail.fr</t>
  </si>
  <si>
    <t>013876S</t>
  </si>
  <si>
    <t>PARRA</t>
  </si>
  <si>
    <t>20 RUE LISFRANC</t>
  </si>
  <si>
    <t>vmichka@orange.fr</t>
  </si>
  <si>
    <t>014010W</t>
  </si>
  <si>
    <t>PY</t>
  </si>
  <si>
    <t>20 RUE DE LA PAIX</t>
  </si>
  <si>
    <t>py_bernard@hotmail.com</t>
  </si>
  <si>
    <t>014027N</t>
  </si>
  <si>
    <t>RAUX</t>
  </si>
  <si>
    <t>20 RUE DUVERDIN</t>
  </si>
  <si>
    <t>SOINDRES</t>
  </si>
  <si>
    <t>rauxfernand32@outlook.com</t>
  </si>
  <si>
    <t>thierryjean1948@gmail.com</t>
  </si>
  <si>
    <t>014259L</t>
  </si>
  <si>
    <t>ANNE LAURE</t>
  </si>
  <si>
    <t>TOUZET</t>
  </si>
  <si>
    <t>22 RUE DU BOIS</t>
  </si>
  <si>
    <t>annelauretouzet@gmail.com</t>
  </si>
  <si>
    <t>NOLE</t>
  </si>
  <si>
    <t>8 CHEMIN DU HALAGE</t>
  </si>
  <si>
    <t>POSES</t>
  </si>
  <si>
    <t>103356G</t>
  </si>
  <si>
    <t>3 RUE GUSTAVE FLOURENS</t>
  </si>
  <si>
    <t>johann16@msn.fr</t>
  </si>
  <si>
    <t>ESPOSITO</t>
  </si>
  <si>
    <t>19 CHEMIN DES MARAIS</t>
  </si>
  <si>
    <t>LA VILLE NEUVE EN CHEVRIE LES MAR</t>
  </si>
  <si>
    <t>108116I</t>
  </si>
  <si>
    <t>HANTALA</t>
  </si>
  <si>
    <t>40 RUE DE MEUDON</t>
  </si>
  <si>
    <t>miruni@60gmail.com</t>
  </si>
  <si>
    <t>113433V</t>
  </si>
  <si>
    <t>21 ROUTE DE VILLEGATS</t>
  </si>
  <si>
    <t>CHAUFFOUR LES BONNIERES</t>
  </si>
  <si>
    <t>negparnor@orange.fr</t>
  </si>
  <si>
    <t>113829B</t>
  </si>
  <si>
    <t>COIFFIER</t>
  </si>
  <si>
    <t>9 RUE VICTOR BASCH</t>
  </si>
  <si>
    <t>113879Z</t>
  </si>
  <si>
    <t>GRANDMAGNAC</t>
  </si>
  <si>
    <t>16 AV DES ANEMONES</t>
  </si>
  <si>
    <t>lednah59@orange.fr</t>
  </si>
  <si>
    <t>116960M</t>
  </si>
  <si>
    <t>238 AVENUE DES GRANDDS GODETS</t>
  </si>
  <si>
    <t>paolo.web@akeonet.com</t>
  </si>
  <si>
    <t>118718C</t>
  </si>
  <si>
    <t>2 RUE DES FONTAINES</t>
  </si>
  <si>
    <t>MAILLOT</t>
  </si>
  <si>
    <t>Marcpointjean@gmail.com</t>
  </si>
  <si>
    <t>119641P</t>
  </si>
  <si>
    <t>VITO</t>
  </si>
  <si>
    <t>DURANO</t>
  </si>
  <si>
    <t>3 AV JEAN JAURES</t>
  </si>
  <si>
    <t>hv.durano@free.fr</t>
  </si>
  <si>
    <t>120115V</t>
  </si>
  <si>
    <t>YVON</t>
  </si>
  <si>
    <t>LIVET</t>
  </si>
  <si>
    <t>76 RUE HENRI MARTIN</t>
  </si>
  <si>
    <t>yvonlivet@gmail.com</t>
  </si>
  <si>
    <t>121531H</t>
  </si>
  <si>
    <t>BATON</t>
  </si>
  <si>
    <t>8 ALLEE DES GERANIUMS</t>
  </si>
  <si>
    <t>rene.baton@free.fr</t>
  </si>
  <si>
    <t>123412Q</t>
  </si>
  <si>
    <t>IVAN</t>
  </si>
  <si>
    <t>CROLARD</t>
  </si>
  <si>
    <t>9 RUE EDOUARD VALLERAND</t>
  </si>
  <si>
    <t>ivan.crolard@yahoo.fr</t>
  </si>
  <si>
    <t>124868Q</t>
  </si>
  <si>
    <t>GARCIA LOURENCO</t>
  </si>
  <si>
    <t>12 RUE DES ORMES</t>
  </si>
  <si>
    <t>STE GENEVIEVE DES BOIS</t>
  </si>
  <si>
    <t>tony.lourenco@live.fr</t>
  </si>
  <si>
    <t>126098Y</t>
  </si>
  <si>
    <t>CARON</t>
  </si>
  <si>
    <t>4 RUE DU PLATEAU</t>
  </si>
  <si>
    <t>maurice.caron1@gmail.com</t>
  </si>
  <si>
    <t>126326S</t>
  </si>
  <si>
    <t>TACHOIRE</t>
  </si>
  <si>
    <t>5 RUE DES ECOLES</t>
  </si>
  <si>
    <t>nta.tachoire@wanadoo.fr</t>
  </si>
  <si>
    <t>129801J</t>
  </si>
  <si>
    <t>BALER</t>
  </si>
  <si>
    <t>22 BOULEVARD DU GENERAL LECLERC B2</t>
  </si>
  <si>
    <t>jacques.baler@sfr.fr</t>
  </si>
  <si>
    <t>lambinf@orange.fr</t>
  </si>
  <si>
    <t>132560M</t>
  </si>
  <si>
    <t>DEVENEY</t>
  </si>
  <si>
    <t>3 ALLEE ANDRE MESSAGER</t>
  </si>
  <si>
    <t>PANTIN</t>
  </si>
  <si>
    <t>132891F</t>
  </si>
  <si>
    <t>MAIREY</t>
  </si>
  <si>
    <t>148 RUE DE JOINVILLE</t>
  </si>
  <si>
    <t>rgmairey@yahoo.fr</t>
  </si>
  <si>
    <t>134641N</t>
  </si>
  <si>
    <t>DUCHESNE</t>
  </si>
  <si>
    <t>23 RUE LOUIS DUPRE</t>
  </si>
  <si>
    <t>pierre_duchesne@yahoo.fr</t>
  </si>
  <si>
    <t>134792I</t>
  </si>
  <si>
    <t>DUVAL</t>
  </si>
  <si>
    <t>56 AVENUE DE MONTESQUIEU</t>
  </si>
  <si>
    <t>gerard.duval2@free.fr</t>
  </si>
  <si>
    <t>138077R</t>
  </si>
  <si>
    <t>PIHOU</t>
  </si>
  <si>
    <t>4 ALLEE CHAPENTIER</t>
  </si>
  <si>
    <t>mazapihou@yahoo.fr</t>
  </si>
  <si>
    <t>138080U</t>
  </si>
  <si>
    <t>VEGUER</t>
  </si>
  <si>
    <t>43 AVENUE VAUBAN</t>
  </si>
  <si>
    <t>veguer.gerard@orange.fr</t>
  </si>
  <si>
    <t>138239X</t>
  </si>
  <si>
    <t>MAGNAN</t>
  </si>
  <si>
    <t>22 BIS ALLEE VALERIE LEFEBVRE</t>
  </si>
  <si>
    <t>ddmagnan@orange.fr</t>
  </si>
  <si>
    <t>139543B</t>
  </si>
  <si>
    <t>45 AVENUE VAUBAN</t>
  </si>
  <si>
    <t>chrouchon@wanadoo.fr</t>
  </si>
  <si>
    <t>139549H</t>
  </si>
  <si>
    <t>wilfridleroy@yahoo.fr</t>
  </si>
  <si>
    <t>140323B</t>
  </si>
  <si>
    <t>POUILLIEUTE</t>
  </si>
  <si>
    <t>18 RUE DE L INSURECTION PARISIENNE</t>
  </si>
  <si>
    <t>CHOISY LE ROI</t>
  </si>
  <si>
    <t>pouillieutej@free.fr</t>
  </si>
  <si>
    <t>141158E</t>
  </si>
  <si>
    <t>ADMONT</t>
  </si>
  <si>
    <t>7 9 LPV RADOT</t>
  </si>
  <si>
    <t>jean-pierre.admont@laposte.net</t>
  </si>
  <si>
    <t>141309Z</t>
  </si>
  <si>
    <t>79 ALLEE DES BRUYERES</t>
  </si>
  <si>
    <t>dav17@free.fr</t>
  </si>
  <si>
    <t>142677P</t>
  </si>
  <si>
    <t>IMRAN</t>
  </si>
  <si>
    <t>SYED</t>
  </si>
  <si>
    <t>9  RUE CHALLET</t>
  </si>
  <si>
    <t>alsyedi@hotmail.fr</t>
  </si>
  <si>
    <t>144065Z</t>
  </si>
  <si>
    <t>STIEVENARD</t>
  </si>
  <si>
    <t>17 RUE DU MARECHAL FOCH</t>
  </si>
  <si>
    <t>144619H</t>
  </si>
  <si>
    <t>CERVINO</t>
  </si>
  <si>
    <t>3 IMPASSE DU JARDIN RENARD</t>
  </si>
  <si>
    <t>claudecervino1@gmail.com</t>
  </si>
  <si>
    <t>145131Z</t>
  </si>
  <si>
    <t>47 COTE DE BEULLE</t>
  </si>
  <si>
    <t>jean-francois.conrie@orange.fr</t>
  </si>
  <si>
    <t>145804W</t>
  </si>
  <si>
    <t>DUBUC</t>
  </si>
  <si>
    <t>7 RUE GIOT</t>
  </si>
  <si>
    <t>pat.dub95@gmail.com</t>
  </si>
  <si>
    <t>146570I</t>
  </si>
  <si>
    <t>COTTEN</t>
  </si>
  <si>
    <t>180 RUE DE L ARBRE DU CERF</t>
  </si>
  <si>
    <t>claude.cotten@sfr.fr</t>
  </si>
  <si>
    <t>146695D</t>
  </si>
  <si>
    <t>BILHAUT</t>
  </si>
  <si>
    <t>107 AVENUE DE GRAVELLE</t>
  </si>
  <si>
    <t>rene.bilhaut@gmail.com</t>
  </si>
  <si>
    <t>146704M</t>
  </si>
  <si>
    <t>17 RUE AUGUSTE RENOIR</t>
  </si>
  <si>
    <t>chantal.duval92@orange.fr</t>
  </si>
  <si>
    <t>148164Y</t>
  </si>
  <si>
    <t>NOGUES</t>
  </si>
  <si>
    <t>38 AVENUE MARCELIN BERTHELOT</t>
  </si>
  <si>
    <t>joel.nogues83@sfr.fr</t>
  </si>
  <si>
    <t>149854K</t>
  </si>
  <si>
    <t>LORMEAU</t>
  </si>
  <si>
    <t>19 RUE PIDOUX DE MONTANGLAUST</t>
  </si>
  <si>
    <t>152235Y</t>
  </si>
  <si>
    <t>PARISOT</t>
  </si>
  <si>
    <t>4 ALLEE DE LA MARJOLAINE</t>
  </si>
  <si>
    <t>r-parisot@orange.fr</t>
  </si>
  <si>
    <t>152546L</t>
  </si>
  <si>
    <t>REMI</t>
  </si>
  <si>
    <t>SCHOUMACKER</t>
  </si>
  <si>
    <t>18 AVENUE SAINT EXUPERY</t>
  </si>
  <si>
    <t>schoumackerrem@hotmail.fr</t>
  </si>
  <si>
    <t>153854H</t>
  </si>
  <si>
    <t>LEVIEUGE</t>
  </si>
  <si>
    <t>11 RUE DE FURNES</t>
  </si>
  <si>
    <t>sylvie.levieuge@free.fr</t>
  </si>
  <si>
    <t>154523K</t>
  </si>
  <si>
    <t>LEBERT</t>
  </si>
  <si>
    <t>37 TER RUE MATHYLDE LAPEYRE</t>
  </si>
  <si>
    <t>lebert94@cegetel.net</t>
  </si>
  <si>
    <t>154929B</t>
  </si>
  <si>
    <t>LAMY</t>
  </si>
  <si>
    <t>10 ALLEE ANATOLE FRANCE</t>
  </si>
  <si>
    <t>LES PAVILLONS S BOIS</t>
  </si>
  <si>
    <t>chr.lamy@orange.fr</t>
  </si>
  <si>
    <t>155032N</t>
  </si>
  <si>
    <t>HEINEN</t>
  </si>
  <si>
    <t>18 RUE DES BOULEAUX</t>
  </si>
  <si>
    <t>jpbheinen@gmail.com</t>
  </si>
  <si>
    <t>155166J</t>
  </si>
  <si>
    <t>QUERCY</t>
  </si>
  <si>
    <t>quercye@gmail.com</t>
  </si>
  <si>
    <t>155854G</t>
  </si>
  <si>
    <t>ALALOF</t>
  </si>
  <si>
    <t>66 RUE EDOUARD VAILLANT</t>
  </si>
  <si>
    <t>philippe.alalof@gmail.com</t>
  </si>
  <si>
    <t>156095T</t>
  </si>
  <si>
    <t>FORICHON</t>
  </si>
  <si>
    <t>5 SQUARE DU DIAPASON</t>
  </si>
  <si>
    <t>michel.forichon88@gmail.com</t>
  </si>
  <si>
    <t>157145K</t>
  </si>
  <si>
    <t>SOYER</t>
  </si>
  <si>
    <t>40 RUE DU ROUSSILLON</t>
  </si>
  <si>
    <t>jeanclaudesoyer@wanadoo.fr</t>
  </si>
  <si>
    <t>157234G</t>
  </si>
  <si>
    <t>LOUVEAU</t>
  </si>
  <si>
    <t>124 RUE DE LA BUTTE LES PARRICHETS</t>
  </si>
  <si>
    <t>helene.delgado77@orange.fr</t>
  </si>
  <si>
    <t>157616X</t>
  </si>
  <si>
    <t>BRACH</t>
  </si>
  <si>
    <t>20 RUE DU PANORAMA</t>
  </si>
  <si>
    <t>e.brach@yahoo.fr</t>
  </si>
  <si>
    <t>157617Y</t>
  </si>
  <si>
    <t>PIERRET</t>
  </si>
  <si>
    <t>149 BLD MAGENTA</t>
  </si>
  <si>
    <t>158216Z</t>
  </si>
  <si>
    <t>DELAIZE</t>
  </si>
  <si>
    <t>101 RUE LAMARTINE</t>
  </si>
  <si>
    <t>eric.delaize@metronelec.com</t>
  </si>
  <si>
    <t>158576Q</t>
  </si>
  <si>
    <t>ABDOUL MAZID</t>
  </si>
  <si>
    <t>ASSANEMOUGAMMADOU</t>
  </si>
  <si>
    <t>21 RUE DU TISSERAND</t>
  </si>
  <si>
    <t>159607L</t>
  </si>
  <si>
    <t>LEDIEU</t>
  </si>
  <si>
    <t>16 B RUE JEAN MERMOZ</t>
  </si>
  <si>
    <t>didier.ledieu643@dbmail.com</t>
  </si>
  <si>
    <t>159989B</t>
  </si>
  <si>
    <t>PATEYRON</t>
  </si>
  <si>
    <t>3 RUE CHARLES MEUNIER</t>
  </si>
  <si>
    <t>alain.pateyron@orange.fr</t>
  </si>
  <si>
    <t>160613E</t>
  </si>
  <si>
    <t>BOUQUERELLE</t>
  </si>
  <si>
    <t>philippe.bouquerelle@free.fr</t>
  </si>
  <si>
    <t>160748B</t>
  </si>
  <si>
    <t>3 BOULEVARD ROBERT LAFORGE</t>
  </si>
  <si>
    <t>lambert1806@gmail.com</t>
  </si>
  <si>
    <t>161827Z</t>
  </si>
  <si>
    <t>BORGA</t>
  </si>
  <si>
    <t>58 RUE SAINT CHARLES</t>
  </si>
  <si>
    <t>laurent.borga@gmail.com</t>
  </si>
  <si>
    <t>161995G</t>
  </si>
  <si>
    <t>PEIGNEN</t>
  </si>
  <si>
    <t>4 PLACE D ARMES</t>
  </si>
  <si>
    <t>39 BIS RUE DE LA PAROISSE</t>
  </si>
  <si>
    <t>henrialbert@wanadoo.fr</t>
  </si>
  <si>
    <t>162723Y</t>
  </si>
  <si>
    <t>KHALID</t>
  </si>
  <si>
    <t>BESSAIH</t>
  </si>
  <si>
    <t>26 RUE DU VOLGA</t>
  </si>
  <si>
    <t>archi9@free.fr</t>
  </si>
  <si>
    <t>163062R</t>
  </si>
  <si>
    <t>YAKER</t>
  </si>
  <si>
    <t>128 AVENUE DE LA RESISTANCE</t>
  </si>
  <si>
    <t>faridyaker@yahoo.fr</t>
  </si>
  <si>
    <t>163284H</t>
  </si>
  <si>
    <t>BARBE</t>
  </si>
  <si>
    <t>12 BOULEVARD SAINT JACQUES</t>
  </si>
  <si>
    <t>francoise.barbebellegarde78@gmail.com</t>
  </si>
  <si>
    <t>163802W</t>
  </si>
  <si>
    <t>DELBOS</t>
  </si>
  <si>
    <t>103 RUE DE L AGRICULTURE</t>
  </si>
  <si>
    <t>serge.delbos@gmail.com</t>
  </si>
  <si>
    <t>164385E</t>
  </si>
  <si>
    <t>BENAROCH</t>
  </si>
  <si>
    <t>6 RUE HENRI</t>
  </si>
  <si>
    <t>andre.benaroch@gmail.com</t>
  </si>
  <si>
    <t>164759L</t>
  </si>
  <si>
    <t>D ANDREA</t>
  </si>
  <si>
    <t>7 BIS AVENUE DES VIOLETTES</t>
  </si>
  <si>
    <t>dominique.dandrea@laposte.net</t>
  </si>
  <si>
    <t>165224R</t>
  </si>
  <si>
    <t>BLONDELOT</t>
  </si>
  <si>
    <t>31 AV DENIS PAPIN</t>
  </si>
  <si>
    <t>blondelot_thierry@yahoo.fr</t>
  </si>
  <si>
    <t>166221A</t>
  </si>
  <si>
    <t>SUDORRUSLAN</t>
  </si>
  <si>
    <t>49 RUE ALBERT LEPETIT</t>
  </si>
  <si>
    <t>166954X</t>
  </si>
  <si>
    <t>HAKIM</t>
  </si>
  <si>
    <t>MOUSSOUS</t>
  </si>
  <si>
    <t>15 RUE DU PERREUX</t>
  </si>
  <si>
    <t>hakim.mt@free.fr</t>
  </si>
  <si>
    <t>167152M</t>
  </si>
  <si>
    <t>NOAH</t>
  </si>
  <si>
    <t>MOUSSOUS TRAVAILLEUR</t>
  </si>
  <si>
    <t>167602B</t>
  </si>
  <si>
    <t>DAURES</t>
  </si>
  <si>
    <t>38 RUE D ORGEMONT</t>
  </si>
  <si>
    <t>philippe.daures@gmail.com</t>
  </si>
  <si>
    <t>167755S</t>
  </si>
  <si>
    <t>RICARD</t>
  </si>
  <si>
    <t>4 RUE DU RUISSEAU</t>
  </si>
  <si>
    <t>167807Z</t>
  </si>
  <si>
    <t>RECEVEUR</t>
  </si>
  <si>
    <t>5 BIS RUE DE LA BELLE FAMILLE</t>
  </si>
  <si>
    <t>BOULOGNE</t>
  </si>
  <si>
    <t>marc-receveur22@bbox.fr</t>
  </si>
  <si>
    <t>167976H</t>
  </si>
  <si>
    <t>40 BIS RUE GEORGES BOUCHER</t>
  </si>
  <si>
    <t>jp.zimmermann@free.fr</t>
  </si>
  <si>
    <t>168332V</t>
  </si>
  <si>
    <t>31 AVENUE ARISTIDE BRIAND</t>
  </si>
  <si>
    <t>gdoulon@gmail.com</t>
  </si>
  <si>
    <t>169100E</t>
  </si>
  <si>
    <t>IZARD</t>
  </si>
  <si>
    <t>41 RUE GEORGES CLEMENCEAU</t>
  </si>
  <si>
    <t>jack.izard93@gmail.com</t>
  </si>
  <si>
    <t>169261E</t>
  </si>
  <si>
    <t>DUFFAU</t>
  </si>
  <si>
    <t>5 RUE M BERGERAT</t>
  </si>
  <si>
    <t>dufdom77@gmail.com</t>
  </si>
  <si>
    <t>169696C</t>
  </si>
  <si>
    <t>BOURGEOIS</t>
  </si>
  <si>
    <t>8 ALLEE SEBASTIEN VAUBAN</t>
  </si>
  <si>
    <t>chantal_b77@yahoo.fr</t>
  </si>
  <si>
    <t>169802S</t>
  </si>
  <si>
    <t>FERLAIN</t>
  </si>
  <si>
    <t>25 RUE BREZIN</t>
  </si>
  <si>
    <t>jpferlain@wanadoo.fr</t>
  </si>
  <si>
    <t>170102T</t>
  </si>
  <si>
    <t>LOAN</t>
  </si>
  <si>
    <t>170153Z</t>
  </si>
  <si>
    <t>FRAYMOND</t>
  </si>
  <si>
    <t>DIERAERT</t>
  </si>
  <si>
    <t>21 RUE LOUIS ESCHARD</t>
  </si>
  <si>
    <t>170155B</t>
  </si>
  <si>
    <t>VALISSANT</t>
  </si>
  <si>
    <t>18 RUE LOUIS ESCHARD</t>
  </si>
  <si>
    <t>jean.nicole.valissant@gmail.com</t>
  </si>
  <si>
    <t>170666G</t>
  </si>
  <si>
    <t>TRAVAILLE</t>
  </si>
  <si>
    <t>77 AVENUE CARNOT</t>
  </si>
  <si>
    <t>BONDY</t>
  </si>
  <si>
    <t>pascal.travaille@club-internet.fr</t>
  </si>
  <si>
    <t>170730B</t>
  </si>
  <si>
    <t>PEDERSEN</t>
  </si>
  <si>
    <t>58 AVENUE DE L AQUEDUC</t>
  </si>
  <si>
    <t>pedersen.gilles@neuf.fr</t>
  </si>
  <si>
    <t>170773Y</t>
  </si>
  <si>
    <t>cryptondelavega@hotmail.fr</t>
  </si>
  <si>
    <t>170845B</t>
  </si>
  <si>
    <t>BREYSSE</t>
  </si>
  <si>
    <t>7 BOULEVARD DU GENERAL DE GAULLE</t>
  </si>
  <si>
    <t>breysse.claude92@orange.fr</t>
  </si>
  <si>
    <t>170918F</t>
  </si>
  <si>
    <t>CARLO</t>
  </si>
  <si>
    <t>GIULIANI</t>
  </si>
  <si>
    <t>17 RUE RASPAIL</t>
  </si>
  <si>
    <t>ALFORVILLE</t>
  </si>
  <si>
    <t>giulianic@aol.com</t>
  </si>
  <si>
    <t>171034G</t>
  </si>
  <si>
    <t>LORIS</t>
  </si>
  <si>
    <t>MAUFRAS</t>
  </si>
  <si>
    <t>5 ALLEE DE LA TERRASSE</t>
  </si>
  <si>
    <t>PARIS JARDIN</t>
  </si>
  <si>
    <t>jerome.maufras@gmail.com</t>
  </si>
  <si>
    <t>171036J</t>
  </si>
  <si>
    <t>PINARD</t>
  </si>
  <si>
    <t>7 RUE SAINT MICHEL</t>
  </si>
  <si>
    <t>jean-marie.pinard@wanadoo.fr</t>
  </si>
  <si>
    <t>171777P</t>
  </si>
  <si>
    <t>KAPPELER</t>
  </si>
  <si>
    <t>9 RUE JEANNE</t>
  </si>
  <si>
    <t>francois.kappeler@dbmail.com</t>
  </si>
  <si>
    <t>172088C</t>
  </si>
  <si>
    <t>DURIEZ</t>
  </si>
  <si>
    <t>15 RUE BASCHET</t>
  </si>
  <si>
    <t>jean-luc-duriez@orange.fr</t>
  </si>
  <si>
    <t>172093H</t>
  </si>
  <si>
    <t>DA COSTA PEDRO</t>
  </si>
  <si>
    <t>31 RUE DE L AVENIR</t>
  </si>
  <si>
    <t>elisabeth.guiard@laposte.net</t>
  </si>
  <si>
    <t>172094J</t>
  </si>
  <si>
    <t>emmanuel-da-costa-pedro@laposte.net</t>
  </si>
  <si>
    <t>172095K</t>
  </si>
  <si>
    <t>lise.75@laposte.net</t>
  </si>
  <si>
    <t>173551S</t>
  </si>
  <si>
    <t>CHALLINE</t>
  </si>
  <si>
    <t>85 AVENUE PIERRE BROSSOLETTE</t>
  </si>
  <si>
    <t>didier.challine@gmail.com</t>
  </si>
  <si>
    <t>173810Z</t>
  </si>
  <si>
    <t>GARDET</t>
  </si>
  <si>
    <t>34 AVENUE CHARLES PEGUY</t>
  </si>
  <si>
    <t>GUERMANTES</t>
  </si>
  <si>
    <t>piercathgardet@gmail.com</t>
  </si>
  <si>
    <t>174145N</t>
  </si>
  <si>
    <t>COUVREUR</t>
  </si>
  <si>
    <t>11 RUE DU PARC DE CONDE</t>
  </si>
  <si>
    <t>bruno.scaler@wanadoo.fr</t>
  </si>
  <si>
    <t>174289V</t>
  </si>
  <si>
    <t>VINOT</t>
  </si>
  <si>
    <t>8 AVENUE DES CHENES</t>
  </si>
  <si>
    <t>MONTFERMEIL</t>
  </si>
  <si>
    <t>174294A</t>
  </si>
  <si>
    <t>JOKIN</t>
  </si>
  <si>
    <t>47 AVENUE DES MARRONNIERS</t>
  </si>
  <si>
    <t>dominiquejokin@yahoo.fr</t>
  </si>
  <si>
    <t>174304L</t>
  </si>
  <si>
    <t>CHAUVET</t>
  </si>
  <si>
    <t>48 AV GERNERAL LECLERC</t>
  </si>
  <si>
    <t>chauvet_yves@orange.fr</t>
  </si>
  <si>
    <t>174557L</t>
  </si>
  <si>
    <t>BAUDRY</t>
  </si>
  <si>
    <t>13 RUE DES JARDINS ANGLAIS</t>
  </si>
  <si>
    <t>CLAYE SOUILLY</t>
  </si>
  <si>
    <t>dominique-baudry@orange.fr</t>
  </si>
  <si>
    <t>174610T</t>
  </si>
  <si>
    <t>SOPHIE</t>
  </si>
  <si>
    <t>MUZERELLE</t>
  </si>
  <si>
    <t>20 RUE MARC SANGNIER</t>
  </si>
  <si>
    <t>sophie.muzerelle@laposte.net</t>
  </si>
  <si>
    <t>175179M</t>
  </si>
  <si>
    <t>MASCLET</t>
  </si>
  <si>
    <t>114 AVENUE DE LA REPUBLIQUE</t>
  </si>
  <si>
    <t>olivier.masclet@orange.fr</t>
  </si>
  <si>
    <t>175228Q</t>
  </si>
  <si>
    <t>JEAN NOEL</t>
  </si>
  <si>
    <t>GUYOT</t>
  </si>
  <si>
    <t>14 ALLEE DES MOULINS MIGNEAUX</t>
  </si>
  <si>
    <t>VERRIERES LES BUISSONS</t>
  </si>
  <si>
    <t>jnoel.guyot@gmail.com</t>
  </si>
  <si>
    <t>175243G</t>
  </si>
  <si>
    <t>HOANG HAI</t>
  </si>
  <si>
    <t>4 RUE PIERRE MICLARE</t>
  </si>
  <si>
    <t>olivierhhn@gmail.com</t>
  </si>
  <si>
    <t>175330B</t>
  </si>
  <si>
    <t>DESTRIBATS</t>
  </si>
  <si>
    <t>146 RUE LAVOISIER</t>
  </si>
  <si>
    <t>theloloworld@hotmail.com</t>
  </si>
  <si>
    <t>175843J</t>
  </si>
  <si>
    <t>CHARRIER</t>
  </si>
  <si>
    <t>22 RUE DES JARDINS ANGLAIS</t>
  </si>
  <si>
    <t>claude.charrier662@orange.fr</t>
  </si>
  <si>
    <t>176107W</t>
  </si>
  <si>
    <t>COUSIN</t>
  </si>
  <si>
    <t>2 RUE BLANQUI</t>
  </si>
  <si>
    <t>dclc@orange.fr</t>
  </si>
  <si>
    <t>176108X</t>
  </si>
  <si>
    <t>LELLOUCHE</t>
  </si>
  <si>
    <t>29 RUE RONSARD</t>
  </si>
  <si>
    <t>176254F</t>
  </si>
  <si>
    <t>TOUSSAINT</t>
  </si>
  <si>
    <t>12 RUE DU RESERVOIR</t>
  </si>
  <si>
    <t>Alaintoussaint37@gmail.com</t>
  </si>
  <si>
    <t>176283M</t>
  </si>
  <si>
    <t>VALENTINO</t>
  </si>
  <si>
    <t>DOUNIE</t>
  </si>
  <si>
    <t>10 AVENUE HOCHE</t>
  </si>
  <si>
    <t>maritxu.dounie@dbmail.com</t>
  </si>
  <si>
    <t>Handibillard</t>
  </si>
  <si>
    <t>176500Y</t>
  </si>
  <si>
    <t>BEUZIT</t>
  </si>
  <si>
    <t>55 RUE HECTOR BERLIOZ</t>
  </si>
  <si>
    <t>beuzit.michel@free.fr</t>
  </si>
  <si>
    <t>176512L</t>
  </si>
  <si>
    <t>MORLET</t>
  </si>
  <si>
    <t>6 ALLEE RENE</t>
  </si>
  <si>
    <t>176557K</t>
  </si>
  <si>
    <t>12 RUE RENOULETTE</t>
  </si>
  <si>
    <t>christiane.hubert78@wanadoo.fr</t>
  </si>
  <si>
    <t>177028X</t>
  </si>
  <si>
    <t>WACHS</t>
  </si>
  <si>
    <t>112 AVENUE PIERRE SEMARD</t>
  </si>
  <si>
    <t>francois.wachs@wanadoo.fr</t>
  </si>
  <si>
    <t>177080D</t>
  </si>
  <si>
    <t>AZIZ</t>
  </si>
  <si>
    <t>5 AVENUE DE VERRIERES</t>
  </si>
  <si>
    <t>mohamed.aziz.tel@gmail.com</t>
  </si>
  <si>
    <t>178260L</t>
  </si>
  <si>
    <t>HERMINIO</t>
  </si>
  <si>
    <t>DA SILVA</t>
  </si>
  <si>
    <t>1 RUE DE GOMETZ</t>
  </si>
  <si>
    <t>hdasilva91440@free.fr</t>
  </si>
  <si>
    <t>178363Y</t>
  </si>
  <si>
    <t>DOGRAMADJIAN</t>
  </si>
  <si>
    <t>22 RUE TRAVERSIERE</t>
  </si>
  <si>
    <t>christian.dogramadjian@orange.fr</t>
  </si>
  <si>
    <t>178364Z</t>
  </si>
  <si>
    <t>OUASSINI</t>
  </si>
  <si>
    <t>BENHAMIDA</t>
  </si>
  <si>
    <t>4 ALLEE BERRY D OUVILLE</t>
  </si>
  <si>
    <t>ouassini.benhamida@gmail.com</t>
  </si>
  <si>
    <t>178643C</t>
  </si>
  <si>
    <t>MEKARBANE</t>
  </si>
  <si>
    <t>21 RUE ROBERT THOMAS</t>
  </si>
  <si>
    <t>jean.mekarbane@orange.fr</t>
  </si>
  <si>
    <t>178682V</t>
  </si>
  <si>
    <t>MALCOLM</t>
  </si>
  <si>
    <t>MACHET</t>
  </si>
  <si>
    <t>11 RUE DU TERTRE</t>
  </si>
  <si>
    <t>m-machet@hotmail.fr</t>
  </si>
  <si>
    <t>179109J</t>
  </si>
  <si>
    <t>GABRIEL</t>
  </si>
  <si>
    <t>CHABOCHE</t>
  </si>
  <si>
    <t>21 RUE DE LA LIBERATION</t>
  </si>
  <si>
    <t>lisechaboche@hotmail.fr</t>
  </si>
  <si>
    <t>179212W</t>
  </si>
  <si>
    <t>JAOUEN</t>
  </si>
  <si>
    <t>3 RUE DE CHEVREUL</t>
  </si>
  <si>
    <t>sjaouen94@gmail.com</t>
  </si>
  <si>
    <t>179392R</t>
  </si>
  <si>
    <t>LEVASSEUR</t>
  </si>
  <si>
    <t>16 RUE DU COLONEL FABIEN</t>
  </si>
  <si>
    <t>179947V</t>
  </si>
  <si>
    <t>3 RUE LEON JOUHAUX</t>
  </si>
  <si>
    <t>180359S</t>
  </si>
  <si>
    <t>18 RUE LITTRE</t>
  </si>
  <si>
    <t>jean-michel.martin0920@orange.fr</t>
  </si>
  <si>
    <t>180512J</t>
  </si>
  <si>
    <t>LE PRIOL</t>
  </si>
  <si>
    <t>24 AVENUE DU MAINE</t>
  </si>
  <si>
    <t>didierlp1960@gmail.com</t>
  </si>
  <si>
    <t>180643B</t>
  </si>
  <si>
    <t>SERAY</t>
  </si>
  <si>
    <t>140 ROUTE DE CHAMPAGNE</t>
  </si>
  <si>
    <t>HOUDAN</t>
  </si>
  <si>
    <t>seraydidier@gmail.com</t>
  </si>
  <si>
    <t>181715R</t>
  </si>
  <si>
    <t>KHAYOVAR</t>
  </si>
  <si>
    <t>BY</t>
  </si>
  <si>
    <t>48 Q AVENUE DES MYOSITIS</t>
  </si>
  <si>
    <t>khayovar.by@gmail.com</t>
  </si>
  <si>
    <t>181948V</t>
  </si>
  <si>
    <t>DANJEAN</t>
  </si>
  <si>
    <t>13 ALLEE DES MURIERS</t>
  </si>
  <si>
    <t>ST BRICE SOUS FORET</t>
  </si>
  <si>
    <t>pascal.danjean@free.fr</t>
  </si>
  <si>
    <t>182047C</t>
  </si>
  <si>
    <t>SAMI</t>
  </si>
  <si>
    <t>BOUZAYANY</t>
  </si>
  <si>
    <t>8 TER RUE KLOCK</t>
  </si>
  <si>
    <t>famille.bouzayani@gmail.com</t>
  </si>
  <si>
    <t>182048D</t>
  </si>
  <si>
    <t>SOUA</t>
  </si>
  <si>
    <t>MAHER</t>
  </si>
  <si>
    <t>MAHERSOUA@GMAIL.COM</t>
  </si>
  <si>
    <t>182307K</t>
  </si>
  <si>
    <t>GIRARD</t>
  </si>
  <si>
    <t>8 RUE MARECHAL FOCH</t>
  </si>
  <si>
    <t>philip.girard78@gmail.com</t>
  </si>
  <si>
    <t>182308L</t>
  </si>
  <si>
    <t>TREVISAN</t>
  </si>
  <si>
    <t>9 RUE ANDRE LEROI GOURHAN</t>
  </si>
  <si>
    <t>jmtrevisan@laposte.net</t>
  </si>
  <si>
    <t>182326F</t>
  </si>
  <si>
    <t>BROCHERET</t>
  </si>
  <si>
    <t>11 BIS AVENUE LITTRE</t>
  </si>
  <si>
    <t>y.brocheret@free.fr</t>
  </si>
  <si>
    <t>182342Y</t>
  </si>
  <si>
    <t>RAMBOSSON</t>
  </si>
  <si>
    <t>9 PLACE ROYALE</t>
  </si>
  <si>
    <t>didier.rambosson@gmail.com</t>
  </si>
  <si>
    <t>182402N</t>
  </si>
  <si>
    <t>KIMI</t>
  </si>
  <si>
    <t>BROCHARD ZRINSKI</t>
  </si>
  <si>
    <t>59 BIS RUE DU GENERAL LECLERC</t>
  </si>
  <si>
    <t>johannzrinski@gmail.com</t>
  </si>
  <si>
    <t>182713B</t>
  </si>
  <si>
    <t>ZRINSKI</t>
  </si>
  <si>
    <t>183003R</t>
  </si>
  <si>
    <t>LORENZI</t>
  </si>
  <si>
    <t>3 PLACE DU JEU DE PAUME</t>
  </si>
  <si>
    <t>jacques.lorenzi1@gmail.com</t>
  </si>
  <si>
    <t>dado.ing81@gmail.com</t>
  </si>
  <si>
    <t>183132G</t>
  </si>
  <si>
    <t>VILLAR ANDUJAR</t>
  </si>
  <si>
    <t>5 RUE DE L INDUSTRIE</t>
  </si>
  <si>
    <t>josevillar93600@gmail.com</t>
  </si>
  <si>
    <t>183134J</t>
  </si>
  <si>
    <t>JOSIANE</t>
  </si>
  <si>
    <t>BAROUDI</t>
  </si>
  <si>
    <t>102 RUE GEORGES DENANCE</t>
  </si>
  <si>
    <t>baroudijosiane@yahoo.fr</t>
  </si>
  <si>
    <t>183440R</t>
  </si>
  <si>
    <t>CARLISLE</t>
  </si>
  <si>
    <t>47 RUE DU GRAND PRIEUR</t>
  </si>
  <si>
    <t>mathieu.carlisle@gmail.com</t>
  </si>
  <si>
    <t>183441S</t>
  </si>
  <si>
    <t>183443V</t>
  </si>
  <si>
    <t>TASTET</t>
  </si>
  <si>
    <t>34 RUE DE PARIS</t>
  </si>
  <si>
    <t>couverture.tastet@gmail.com</t>
  </si>
  <si>
    <t>183459M</t>
  </si>
  <si>
    <t>NOA</t>
  </si>
  <si>
    <t>MANCEAU</t>
  </si>
  <si>
    <t>10 RUE DES PRES CHABANNES</t>
  </si>
  <si>
    <t>marion.alaef@laposte.net</t>
  </si>
  <si>
    <t>183546G</t>
  </si>
  <si>
    <t>BERNIER</t>
  </si>
  <si>
    <t>69 RUE DES ECOLES</t>
  </si>
  <si>
    <t>severine.chabrier@hotmail.fr</t>
  </si>
  <si>
    <t>183682E</t>
  </si>
  <si>
    <t>MENDES</t>
  </si>
  <si>
    <t>9 RUE DU PERE TALVAS</t>
  </si>
  <si>
    <t>franciscovomendes@gmail.com</t>
  </si>
  <si>
    <t>183732J</t>
  </si>
  <si>
    <t>MARTINEAU</t>
  </si>
  <si>
    <t>105 RUE DE FELIFEU</t>
  </si>
  <si>
    <t>antoine.martineau.web@gmail.com</t>
  </si>
  <si>
    <t>183796D</t>
  </si>
  <si>
    <t>LEROUX</t>
  </si>
  <si>
    <t>44 RUE DE L HOTEL DE VILLE</t>
  </si>
  <si>
    <t>leroux.jeanpaul@bbox.fr</t>
  </si>
  <si>
    <t>184001B</t>
  </si>
  <si>
    <t>YASMINE</t>
  </si>
  <si>
    <t>GEGOT</t>
  </si>
  <si>
    <t>179 AVENUE DE PARIS</t>
  </si>
  <si>
    <t>yasminegegot@yahoo.fr</t>
  </si>
  <si>
    <t>184002C</t>
  </si>
  <si>
    <t>CARINE</t>
  </si>
  <si>
    <t>GOJON</t>
  </si>
  <si>
    <t>31 RUE JEAN BOUIN</t>
  </si>
  <si>
    <t>carine.gojon@gmail.com</t>
  </si>
  <si>
    <t>184296X</t>
  </si>
  <si>
    <t>GARRIGOUX</t>
  </si>
  <si>
    <t>4 IMPASSE DU BOSQUET</t>
  </si>
  <si>
    <t>s.garrigouxx@orange.fr</t>
  </si>
  <si>
    <t>184408T</t>
  </si>
  <si>
    <t>LE LAY</t>
  </si>
  <si>
    <t>10 RUE JEHAN DE BRIE</t>
  </si>
  <si>
    <t>AULNOY</t>
  </si>
  <si>
    <t>lelayalain@gmail.com</t>
  </si>
  <si>
    <t>184409V</t>
  </si>
  <si>
    <t>biji77120@gmail.com</t>
  </si>
  <si>
    <t>184480X</t>
  </si>
  <si>
    <t>STEPHANIE</t>
  </si>
  <si>
    <t>MARKOVITCH</t>
  </si>
  <si>
    <t>8 ALLEE DES CHATAIGNIERS</t>
  </si>
  <si>
    <t>Stéphanie.markovitch@me.com</t>
  </si>
  <si>
    <t>alainmagaud0@gmail.com</t>
  </si>
  <si>
    <t>187439N</t>
  </si>
  <si>
    <t>LAUREN</t>
  </si>
  <si>
    <t>SALVAR</t>
  </si>
  <si>
    <t>123 BD VICTOR HUGO</t>
  </si>
  <si>
    <t>lgsalvar@wanadoo.fr</t>
  </si>
  <si>
    <t>187449Z</t>
  </si>
  <si>
    <t>BILLARD</t>
  </si>
  <si>
    <t>16 RUE RAYMOND JACLARD</t>
  </si>
  <si>
    <t>herve.billard@gmail.com</t>
  </si>
  <si>
    <t>187460L</t>
  </si>
  <si>
    <t>53 RUE DE PATAY</t>
  </si>
  <si>
    <t>rvlebars@gmail.com</t>
  </si>
  <si>
    <t>187466S</t>
  </si>
  <si>
    <t>MENTO</t>
  </si>
  <si>
    <t>22 BIS RUE DU GENERAL LECLERC</t>
  </si>
  <si>
    <t>christophe-mento@hotmail.fr</t>
  </si>
  <si>
    <t>187476D</t>
  </si>
  <si>
    <t>15 RUE JEAN MOULIN</t>
  </si>
  <si>
    <t>dujardinfabienne@orange.fr</t>
  </si>
  <si>
    <t>187485N</t>
  </si>
  <si>
    <t>MATTEO</t>
  </si>
  <si>
    <t>FIGUEIREDO ALVES</t>
  </si>
  <si>
    <t>15 AVENUE JOFFRE</t>
  </si>
  <si>
    <t>matfig782@gmail.com</t>
  </si>
  <si>
    <t>187486P</t>
  </si>
  <si>
    <t>LELARGE</t>
  </si>
  <si>
    <t>19 RUE DE LA PORTE D ORLEANS</t>
  </si>
  <si>
    <t>ROCHEFORT EN YVELINES</t>
  </si>
  <si>
    <t>kevinou89@gmail.com</t>
  </si>
  <si>
    <t>187506L</t>
  </si>
  <si>
    <t>CONTE</t>
  </si>
  <si>
    <t>13 COURS MONSEIGNEUR ROMERO</t>
  </si>
  <si>
    <t>conte.cyril18200@laposte.net</t>
  </si>
  <si>
    <t>187511R</t>
  </si>
  <si>
    <t>EL KHATTAB</t>
  </si>
  <si>
    <t>62 RUE DES ROSES</t>
  </si>
  <si>
    <t>elkhattab@gmail.com</t>
  </si>
  <si>
    <t>187524F</t>
  </si>
  <si>
    <t>STEPHAN</t>
  </si>
  <si>
    <t>HADINGER</t>
  </si>
  <si>
    <t>27 RUE EDME FREMY</t>
  </si>
  <si>
    <t>187525G</t>
  </si>
  <si>
    <t>SIMEON</t>
  </si>
  <si>
    <t>simeon.hadinger@gmail.com</t>
  </si>
  <si>
    <t>187528K</t>
  </si>
  <si>
    <t>f.dupin@orange.fr</t>
  </si>
  <si>
    <t>187539X</t>
  </si>
  <si>
    <t>PEGAIN</t>
  </si>
  <si>
    <t>31 BIS RUE DU COUVENT</t>
  </si>
  <si>
    <t>CHAMARANDE</t>
  </si>
  <si>
    <t>dpegain@gmail.com</t>
  </si>
  <si>
    <t>187544C</t>
  </si>
  <si>
    <t>DERACHE</t>
  </si>
  <si>
    <t>4 AVENUE CARNOT</t>
  </si>
  <si>
    <t>paul.derache@orange.fr</t>
  </si>
  <si>
    <t>187560V</t>
  </si>
  <si>
    <t>STEVEN</t>
  </si>
  <si>
    <t>DE ALMEIDA</t>
  </si>
  <si>
    <t>2 ALLEE DES ERABLES</t>
  </si>
  <si>
    <t>steven-91@hotmail.fr</t>
  </si>
  <si>
    <t>187562X</t>
  </si>
  <si>
    <t>WAJDI</t>
  </si>
  <si>
    <t>FRIH</t>
  </si>
  <si>
    <t>wajdifpcc@gmail.com</t>
  </si>
  <si>
    <t>187577N</t>
  </si>
  <si>
    <t>DAIX</t>
  </si>
  <si>
    <t>33 RUE DES FRERES KENNEDY</t>
  </si>
  <si>
    <t>jcdaix@laposte.net</t>
  </si>
  <si>
    <t>187578P</t>
  </si>
  <si>
    <t>STARZ</t>
  </si>
  <si>
    <t>1B RUE PASTEUR</t>
  </si>
  <si>
    <t>christian.starz@neuf.fr</t>
  </si>
  <si>
    <t>187600N</t>
  </si>
  <si>
    <t>RADU</t>
  </si>
  <si>
    <t>23 CHEMIN DES MOZARDS</t>
  </si>
  <si>
    <t>sandra.radu@yahoo.fr</t>
  </si>
  <si>
    <t>187601P</t>
  </si>
  <si>
    <t>EMANUELLA</t>
  </si>
  <si>
    <t>BORA RADU</t>
  </si>
  <si>
    <t>187633Z</t>
  </si>
  <si>
    <t>HOAREAU</t>
  </si>
  <si>
    <t>47 RUE DES GIRAUDES</t>
  </si>
  <si>
    <t>ISSOU</t>
  </si>
  <si>
    <t>bboywilliam974@gmail.com</t>
  </si>
  <si>
    <t>187641H</t>
  </si>
  <si>
    <t>ROMANE</t>
  </si>
  <si>
    <t>LAMON GOJON</t>
  </si>
  <si>
    <t>187648Q</t>
  </si>
  <si>
    <t>SYLVIE</t>
  </si>
  <si>
    <t>GUILLEMAIN</t>
  </si>
  <si>
    <t>heros.sylvie63@gmail.com</t>
  </si>
  <si>
    <t>187649R</t>
  </si>
  <si>
    <t>EVELYNE</t>
  </si>
  <si>
    <t>DAMASCENE</t>
  </si>
  <si>
    <t>7 RUE DE LA CROIX HAMEAU DE VILARE</t>
  </si>
  <si>
    <t>187668M</t>
  </si>
  <si>
    <t>LAVOLTE</t>
  </si>
  <si>
    <t>8 RUE JEAN MERMOZ</t>
  </si>
  <si>
    <t>lavolte.lrac@wanadoo.fr</t>
  </si>
  <si>
    <t>187680A</t>
  </si>
  <si>
    <t>MARLIN</t>
  </si>
  <si>
    <t>69 BIS RUE ARISTIDE BRIAND</t>
  </si>
  <si>
    <t>187686G</t>
  </si>
  <si>
    <t>ACHRAF</t>
  </si>
  <si>
    <t>TASSI</t>
  </si>
  <si>
    <t>4 AVENUE LAPLACE</t>
  </si>
  <si>
    <t>achraf.tassi96@gmail.com</t>
  </si>
  <si>
    <t>187687H</t>
  </si>
  <si>
    <t>AMEUR</t>
  </si>
  <si>
    <t>MEHIGUENE</t>
  </si>
  <si>
    <t>262 RUE GABRIEL PERI</t>
  </si>
  <si>
    <t>ameur.mehiguene@gmail.com</t>
  </si>
  <si>
    <t>187688J</t>
  </si>
  <si>
    <t>LE DANTEC</t>
  </si>
  <si>
    <t>1 BIS RUE DE MONTCIENT</t>
  </si>
  <si>
    <t>antoineledantec@orange.fr</t>
  </si>
  <si>
    <t>187704B</t>
  </si>
  <si>
    <t>BARRES</t>
  </si>
  <si>
    <t>36 AVENUE EMILE ZOLA</t>
  </si>
  <si>
    <t>sepia.barres@hotmail.fr</t>
  </si>
  <si>
    <t>187715N</t>
  </si>
  <si>
    <t>CUILLERAT</t>
  </si>
  <si>
    <t>1 TER ROUTE DE VILLECONIN</t>
  </si>
  <si>
    <t>187717Q</t>
  </si>
  <si>
    <t>AHMAD</t>
  </si>
  <si>
    <t>HADDOU</t>
  </si>
  <si>
    <t>2 ALLEE LE TITIEN</t>
  </si>
  <si>
    <t>APPRT 54</t>
  </si>
  <si>
    <t>ahmadhaddou95@gmail.com</t>
  </si>
  <si>
    <t>187718R</t>
  </si>
  <si>
    <t>JUNWEI</t>
  </si>
  <si>
    <t>CHI</t>
  </si>
  <si>
    <t>4 CHEMIN DES BOURGOGNES</t>
  </si>
  <si>
    <t>chijunwei1218@gmail.com</t>
  </si>
  <si>
    <t>187728C</t>
  </si>
  <si>
    <t>DAUNAIS</t>
  </si>
  <si>
    <t>10 RUE ANDRE CHENIER</t>
  </si>
  <si>
    <t>EMERAINVILLE</t>
  </si>
  <si>
    <t>conan77184@yahoo.fr</t>
  </si>
  <si>
    <t>187734J</t>
  </si>
  <si>
    <t>WILLY</t>
  </si>
  <si>
    <t>TARDIVEAU</t>
  </si>
  <si>
    <t>RUE DE LA REPUBLIQUE</t>
  </si>
  <si>
    <t>tardiveauwilly@gmail.com</t>
  </si>
  <si>
    <t>187736L</t>
  </si>
  <si>
    <t>GAWRON</t>
  </si>
  <si>
    <t>33  RUE DE METZ</t>
  </si>
  <si>
    <t>sophie.gawron.77089@notaires.fr</t>
  </si>
  <si>
    <t>187753E</t>
  </si>
  <si>
    <t>COME</t>
  </si>
  <si>
    <t>SALMON</t>
  </si>
  <si>
    <t>LA GRANGE TRIMOUILLE</t>
  </si>
  <si>
    <t>LE DORAT</t>
  </si>
  <si>
    <t>come.salmon@netcourrier.com</t>
  </si>
  <si>
    <t>mode jeu</t>
  </si>
  <si>
    <t>Format</t>
  </si>
  <si>
    <t>coef. 2,80/3,10</t>
  </si>
  <si>
    <t>Distance réduite 2 :</t>
  </si>
  <si>
    <t>012433F</t>
  </si>
  <si>
    <t>AMOUROUX</t>
  </si>
  <si>
    <t>6 BIS RUE DES PEUPLIERS</t>
  </si>
  <si>
    <t>012475V</t>
  </si>
  <si>
    <t>BAIS</t>
  </si>
  <si>
    <t>11 RUE DU CHEMIN DES VINOTS</t>
  </si>
  <si>
    <t>MANDRES LES ROSES</t>
  </si>
  <si>
    <t>yvesb94@hotmail.com</t>
  </si>
  <si>
    <t>013215H</t>
  </si>
  <si>
    <t>GAZAL</t>
  </si>
  <si>
    <t>8 RUE DU GENERAL PERSHING</t>
  </si>
  <si>
    <t>39 GRANDE RUE</t>
  </si>
  <si>
    <t>013663N</t>
  </si>
  <si>
    <t>20 AVENUE DE LA FONTAINE</t>
  </si>
  <si>
    <t>alain.marie1@free.fr</t>
  </si>
  <si>
    <t>013753Z</t>
  </si>
  <si>
    <t>MIRLAUD</t>
  </si>
  <si>
    <t>18 RUE SISLEY</t>
  </si>
  <si>
    <t>LE CLOS DES PEINTRES</t>
  </si>
  <si>
    <t>m.spiekermirlaud@wanadoo.fr</t>
  </si>
  <si>
    <t>014116Y</t>
  </si>
  <si>
    <t>RUTIN</t>
  </si>
  <si>
    <t>92 AV DE LA REPUBLIQUE</t>
  </si>
  <si>
    <t>marcel.rutin@orange.fr</t>
  </si>
  <si>
    <t>107986I</t>
  </si>
  <si>
    <t>CHABRET</t>
  </si>
  <si>
    <t>CLACHALOZE</t>
  </si>
  <si>
    <t>GOMMECOURT</t>
  </si>
  <si>
    <t>guy.chabret@orange.fr</t>
  </si>
  <si>
    <t>111883F</t>
  </si>
  <si>
    <t>5 PASSAGE CASSINI</t>
  </si>
  <si>
    <t>francislefevre@noos.fr</t>
  </si>
  <si>
    <t>111886I</t>
  </si>
  <si>
    <t>RENAUDEAU</t>
  </si>
  <si>
    <t>6 RUE FRANCOIS COUPERIN</t>
  </si>
  <si>
    <t>jean1.renaudeau@orange.fr</t>
  </si>
  <si>
    <t>chrispasc.siame@gmail.com</t>
  </si>
  <si>
    <t>113881B</t>
  </si>
  <si>
    <t>113966I</t>
  </si>
  <si>
    <t>JACQUESON</t>
  </si>
  <si>
    <t>28 RUE DENIS GOGUE</t>
  </si>
  <si>
    <t>119233X</t>
  </si>
  <si>
    <t>KNITTEL</t>
  </si>
  <si>
    <t>37 ALLEE DES FRESNES</t>
  </si>
  <si>
    <t>herve.knittel@wanadoo.fr</t>
  </si>
  <si>
    <t>120631R</t>
  </si>
  <si>
    <t>VAN TRIEL</t>
  </si>
  <si>
    <t>138 RUE DE LA PORTE DE TRIVAUX</t>
  </si>
  <si>
    <t>michel.vantriel@dbmail.com</t>
  </si>
  <si>
    <t>121533J</t>
  </si>
  <si>
    <t>DESCHAMPS</t>
  </si>
  <si>
    <t>18 RUE AMBROISE RENDU</t>
  </si>
  <si>
    <t>jcdacr@free.fr</t>
  </si>
  <si>
    <t>gmg.lfbvr@wanadoo.fr</t>
  </si>
  <si>
    <t>143206Y</t>
  </si>
  <si>
    <t>60 RUE SAINT LEGER</t>
  </si>
  <si>
    <t>145669R</t>
  </si>
  <si>
    <t>BESSON</t>
  </si>
  <si>
    <t>24 RUE DU COMMANDANT BOUCHET</t>
  </si>
  <si>
    <t>laurent.besson00@orange.fr</t>
  </si>
  <si>
    <t>150853W</t>
  </si>
  <si>
    <t>AUGER</t>
  </si>
  <si>
    <t>45 RUE DE LA GAITE</t>
  </si>
  <si>
    <t>auger.aln@orange.fr</t>
  </si>
  <si>
    <t>153124P</t>
  </si>
  <si>
    <t>GUIJARRO</t>
  </si>
  <si>
    <t>3 RUE MARIE FICHET</t>
  </si>
  <si>
    <t>guijarrodagen@yahoo.fr</t>
  </si>
  <si>
    <t>FLOCH</t>
  </si>
  <si>
    <t>10 RUE DES ROCHERS</t>
  </si>
  <si>
    <t>153474V</t>
  </si>
  <si>
    <t>IGOUT</t>
  </si>
  <si>
    <t>13 ROND POINT OUEST</t>
  </si>
  <si>
    <t>l.igout@numericable.com</t>
  </si>
  <si>
    <t>154522J</t>
  </si>
  <si>
    <t>PIVONET</t>
  </si>
  <si>
    <t>8 CHEMIN DES LILAS</t>
  </si>
  <si>
    <t>f.pivonet@me.com</t>
  </si>
  <si>
    <t>155028J</t>
  </si>
  <si>
    <t>HORLAIT</t>
  </si>
  <si>
    <t>63 AVENUE JOFFRE</t>
  </si>
  <si>
    <t>ohorlait@gmail.com</t>
  </si>
  <si>
    <t>156104D</t>
  </si>
  <si>
    <t>VALLART</t>
  </si>
  <si>
    <t>21 ALLEE JACQUES TATI</t>
  </si>
  <si>
    <t>philippevallart@yahoo.fr</t>
  </si>
  <si>
    <t>160016F</t>
  </si>
  <si>
    <t>HOAN TOAN</t>
  </si>
  <si>
    <t>CHUNG</t>
  </si>
  <si>
    <t>9 AV DE L EUROPE</t>
  </si>
  <si>
    <t>hoantoanchung@gmail.com</t>
  </si>
  <si>
    <t>161947E</t>
  </si>
  <si>
    <t>GOUJET</t>
  </si>
  <si>
    <t>76 RUE GRAND CHENE</t>
  </si>
  <si>
    <t>MAROLLES</t>
  </si>
  <si>
    <t>philippe.goujet@sfr.fr</t>
  </si>
  <si>
    <t>164694Q</t>
  </si>
  <si>
    <t>BUISSON</t>
  </si>
  <si>
    <t>14 RUE ALPHONSE DAUDET</t>
  </si>
  <si>
    <t>phk.buisson@free.fr</t>
  </si>
  <si>
    <t>164944M</t>
  </si>
  <si>
    <t>PROVENCE</t>
  </si>
  <si>
    <t>14 AV DES CHARDONNERETS</t>
  </si>
  <si>
    <t>jc.provence@coce.fr</t>
  </si>
  <si>
    <t>165225S</t>
  </si>
  <si>
    <t>DUBREUIL</t>
  </si>
  <si>
    <t>9 AV AMPERE</t>
  </si>
  <si>
    <t>COUBRON</t>
  </si>
  <si>
    <t>gilbertdubreuil@orange.fr</t>
  </si>
  <si>
    <t>165663T</t>
  </si>
  <si>
    <t>MORETAU</t>
  </si>
  <si>
    <t>36 AVENUE MARGUERITE</t>
  </si>
  <si>
    <t>SOISY S MONTMORENCY</t>
  </si>
  <si>
    <t>cedricmoretau@gmail.com</t>
  </si>
  <si>
    <t>165664V</t>
  </si>
  <si>
    <t>167089T</t>
  </si>
  <si>
    <t>ROLLAND</t>
  </si>
  <si>
    <t>BARUCH</t>
  </si>
  <si>
    <t>143 RUE MARGUERITE RENAUDIN</t>
  </si>
  <si>
    <t>baruch.rolland@gmail.com</t>
  </si>
  <si>
    <t>168005P</t>
  </si>
  <si>
    <t>SIENG</t>
  </si>
  <si>
    <t>BOUN</t>
  </si>
  <si>
    <t>1 RUE ANDRE GERARDIN</t>
  </si>
  <si>
    <t>kenshin99fr@hotmail.com</t>
  </si>
  <si>
    <t>169540H</t>
  </si>
  <si>
    <t>ZUCCOTTO</t>
  </si>
  <si>
    <t>1 RUE DE LA PLEIADE</t>
  </si>
  <si>
    <t>phd.zuccotto@orange.fr</t>
  </si>
  <si>
    <t>170665F</t>
  </si>
  <si>
    <t>LUEL</t>
  </si>
  <si>
    <t>1 ALLEE D ORION</t>
  </si>
  <si>
    <t>GRESSY</t>
  </si>
  <si>
    <t>jp@luel.fr</t>
  </si>
  <si>
    <t>172434D</t>
  </si>
  <si>
    <t>ROTENBERG</t>
  </si>
  <si>
    <t>13 RUE LEON BLOY</t>
  </si>
  <si>
    <t>michel.rotenberg@snepfsu.net</t>
  </si>
  <si>
    <t>175178L</t>
  </si>
  <si>
    <t>FRANCOIS XAVIER</t>
  </si>
  <si>
    <t>BROQUET</t>
  </si>
  <si>
    <t>25 RUE DE MAYENNE</t>
  </si>
  <si>
    <t>fxbrok@gmail.com</t>
  </si>
  <si>
    <t>177594M</t>
  </si>
  <si>
    <t>CORNACCHIA</t>
  </si>
  <si>
    <t>83 RUE DE LA PEPINIERE</t>
  </si>
  <si>
    <t>fcornacchia@gmail.com</t>
  </si>
  <si>
    <t>178383V</t>
  </si>
  <si>
    <t>DESAILLY</t>
  </si>
  <si>
    <t>2 ALLEE THADDY</t>
  </si>
  <si>
    <t>thierrydesailly@free.fr</t>
  </si>
  <si>
    <t>178918B</t>
  </si>
  <si>
    <t>BREUIL</t>
  </si>
  <si>
    <t>28 BOULEVARD DE L HOPITAL</t>
  </si>
  <si>
    <t>adrien.dubreuil@yahoo.com</t>
  </si>
  <si>
    <t>178976P</t>
  </si>
  <si>
    <t>REMY</t>
  </si>
  <si>
    <t>CHRETIEN</t>
  </si>
  <si>
    <t>10 COURS DE LA METAIRIE</t>
  </si>
  <si>
    <t>chretien.remy@wanadoo.fr</t>
  </si>
  <si>
    <t>178977Q</t>
  </si>
  <si>
    <t>obbc_56@yahoo.fr</t>
  </si>
  <si>
    <t>179411M</t>
  </si>
  <si>
    <t>COLETTE</t>
  </si>
  <si>
    <t>RAUSER</t>
  </si>
  <si>
    <t>13 RUE WOLUWE SAINT LAMBERT</t>
  </si>
  <si>
    <t>rausercolette@gmail.com</t>
  </si>
  <si>
    <t>179550N</t>
  </si>
  <si>
    <t>DURAD</t>
  </si>
  <si>
    <t>GRUBOR</t>
  </si>
  <si>
    <t>255 RUE DU FAUBOURG SAINT ANTOINE</t>
  </si>
  <si>
    <t>plavusko@gmail.com</t>
  </si>
  <si>
    <t>179690Q</t>
  </si>
  <si>
    <t>DERANCOURT</t>
  </si>
  <si>
    <t>52 RUE DU CDT LOUIS BOUCHET</t>
  </si>
  <si>
    <t>vincent.derancourt@free.fr</t>
  </si>
  <si>
    <t>180369D</t>
  </si>
  <si>
    <t>PARIOT</t>
  </si>
  <si>
    <t>217 RUE DES ARTS</t>
  </si>
  <si>
    <t>patrice.pariot@laposte.net</t>
  </si>
  <si>
    <t>180513K</t>
  </si>
  <si>
    <t>DELORY</t>
  </si>
  <si>
    <t>38 BOULEVARD DES PYRENEES</t>
  </si>
  <si>
    <t>thierry.delory@wanadoo.fr</t>
  </si>
  <si>
    <t>180651K</t>
  </si>
  <si>
    <t>2 RUE BERTHE MORISOT</t>
  </si>
  <si>
    <t>gg7826@sfr.fr</t>
  </si>
  <si>
    <t>181909C</t>
  </si>
  <si>
    <t>PERRIOT MATHONNA</t>
  </si>
  <si>
    <t>11 AVE DU CHATEAU</t>
  </si>
  <si>
    <t>cperriot@yahoo.fr</t>
  </si>
  <si>
    <t>182181Y</t>
  </si>
  <si>
    <t>JEANNINE</t>
  </si>
  <si>
    <t>DIAS</t>
  </si>
  <si>
    <t>jeanine.dias@wanadoo.fr</t>
  </si>
  <si>
    <t>182337S</t>
  </si>
  <si>
    <t>4 ALLEE DES VIOLETTES</t>
  </si>
  <si>
    <t>antonymarques97@gmail.com</t>
  </si>
  <si>
    <t>182812J</t>
  </si>
  <si>
    <t>NOIRAUD</t>
  </si>
  <si>
    <t>8 RUE SAINT PAUL</t>
  </si>
  <si>
    <t>jean-claude.noiraud@orange.fr</t>
  </si>
  <si>
    <t>183135K</t>
  </si>
  <si>
    <t>MINGAUD</t>
  </si>
  <si>
    <t>73 AVENUE DE LA RESISTANCE</t>
  </si>
  <si>
    <t>famillemingaud@free.fr</t>
  </si>
  <si>
    <t>183211S</t>
  </si>
  <si>
    <t>SICILIANO</t>
  </si>
  <si>
    <t>21 RUE CONTANT</t>
  </si>
  <si>
    <t>gsmail93220@gmail.com</t>
  </si>
  <si>
    <t>183403B</t>
  </si>
  <si>
    <t>BERDAH</t>
  </si>
  <si>
    <t>14 RUE DU PDT KRUGER</t>
  </si>
  <si>
    <t>berdah.jc@gmail.com</t>
  </si>
  <si>
    <t>183959F</t>
  </si>
  <si>
    <t>GOUPIL</t>
  </si>
  <si>
    <t>14 RUE PERREYON</t>
  </si>
  <si>
    <t>danigoup7292@gmail.com</t>
  </si>
  <si>
    <t>185136K</t>
  </si>
  <si>
    <t>HICHAM</t>
  </si>
  <si>
    <t>LAMNAOUAR</t>
  </si>
  <si>
    <t>27 RUE GEORGES GUYNEMER</t>
  </si>
  <si>
    <t>lamnhisham@gmail.com</t>
  </si>
  <si>
    <t>CHRISTIANE</t>
  </si>
  <si>
    <t>5 RUE PASTEUR</t>
  </si>
  <si>
    <t>PERREUX SUR MARNE</t>
  </si>
  <si>
    <t>jasonvoorhes2006@gmail.com</t>
  </si>
  <si>
    <t>xr3@wanadoo.fr</t>
  </si>
  <si>
    <t>clrt.dominique@gmail.com</t>
  </si>
  <si>
    <t>187822E</t>
  </si>
  <si>
    <t>5 RUE DU MOULIN BAILLY</t>
  </si>
  <si>
    <t>axel@ocusfocus.fr</t>
  </si>
  <si>
    <t>187823F</t>
  </si>
  <si>
    <t>10 AV DE LA PUNCIA</t>
  </si>
  <si>
    <t>ST JEAN CAP FERRAT</t>
  </si>
  <si>
    <t>chauvinclement@gmail.com</t>
  </si>
  <si>
    <t>187824G</t>
  </si>
  <si>
    <t>RULLEAU</t>
  </si>
  <si>
    <t>2  RUE DE L ECOLE DES POSTES</t>
  </si>
  <si>
    <t>sylvain.rulleau@gmail.com</t>
  </si>
  <si>
    <t>187825H</t>
  </si>
  <si>
    <t>RAPHAEL</t>
  </si>
  <si>
    <t>CHAPOTARD</t>
  </si>
  <si>
    <t>12 RUE ALFRED FRANCOIS</t>
  </si>
  <si>
    <t>ABBEVILLE</t>
  </si>
  <si>
    <t>raphael.chapotard@gmail.com</t>
  </si>
  <si>
    <t>187826J</t>
  </si>
  <si>
    <t>CHARDINY</t>
  </si>
  <si>
    <t>99 CALADE DU PARPAIOUN</t>
  </si>
  <si>
    <t>LE ROURET</t>
  </si>
  <si>
    <t>clement.chardiny@gmail.com</t>
  </si>
  <si>
    <t>187827K</t>
  </si>
  <si>
    <t>AUGUSTIN</t>
  </si>
  <si>
    <t>BRUNET</t>
  </si>
  <si>
    <t>103 BD DES CARRIERES</t>
  </si>
  <si>
    <t>LES ANGLES</t>
  </si>
  <si>
    <t>augustin.brunet0708@gmail.com</t>
  </si>
  <si>
    <t>187828L</t>
  </si>
  <si>
    <t>PIQUET CONTRERAS</t>
  </si>
  <si>
    <t>105 RUE SYLVABELLE</t>
  </si>
  <si>
    <t>MARSEILLE</t>
  </si>
  <si>
    <t>gabpiquet@tcloud.com</t>
  </si>
  <si>
    <t>187829M</t>
  </si>
  <si>
    <t>MUGNIOT</t>
  </si>
  <si>
    <t>1 ALLEE HENRI MARRET</t>
  </si>
  <si>
    <t>mugniotromain@gmail.com</t>
  </si>
  <si>
    <t>187830N</t>
  </si>
  <si>
    <t>FAGUER</t>
  </si>
  <si>
    <t>9 RUE DU DOCTEUR BLANCHE</t>
  </si>
  <si>
    <t>josephfaguer@gmail.com</t>
  </si>
  <si>
    <t>187831P</t>
  </si>
  <si>
    <t>1 PLACE BARONETTO</t>
  </si>
  <si>
    <t>CAP D AIL</t>
  </si>
  <si>
    <t>ulysseperrin06@icloud.com</t>
  </si>
  <si>
    <t>187832Q</t>
  </si>
  <si>
    <t>AMBLARD</t>
  </si>
  <si>
    <t>3 RUE DE BRIQUEVILLE</t>
  </si>
  <si>
    <t>guilhem.amblard@gmail.com</t>
  </si>
  <si>
    <t>187833R</t>
  </si>
  <si>
    <t>BASTID</t>
  </si>
  <si>
    <t>35 RUE JULES ISAAC</t>
  </si>
  <si>
    <t>arthurbastid@outlook.com</t>
  </si>
  <si>
    <t>187834S</t>
  </si>
  <si>
    <t>HUGO</t>
  </si>
  <si>
    <t>REYGROBELLET</t>
  </si>
  <si>
    <t>48 RUE SAINT MICHEL</t>
  </si>
  <si>
    <t>LYON</t>
  </si>
  <si>
    <t>hugo.reygrobellet@yahoo.fr</t>
  </si>
  <si>
    <t>187844D</t>
  </si>
  <si>
    <t>THIEBAUT</t>
  </si>
  <si>
    <t>49 AVENUE DE CONDE</t>
  </si>
  <si>
    <t>phil_1661@yahoo.fr</t>
  </si>
  <si>
    <t>187845E</t>
  </si>
  <si>
    <t>MOU</t>
  </si>
  <si>
    <t>23  RUE DES DEUX PONTS</t>
  </si>
  <si>
    <t>187846F</t>
  </si>
  <si>
    <t>ROUILLON</t>
  </si>
  <si>
    <t>65 BIS  ALLEE BAYARD</t>
  </si>
  <si>
    <t>187850K</t>
  </si>
  <si>
    <t>BODDAERT</t>
  </si>
  <si>
    <t>45 AVENUE PUVIS DE CHAVANNE</t>
  </si>
  <si>
    <t>COURBEVEOIE</t>
  </si>
  <si>
    <t>alexandre.boddart@mail.novancia.fr</t>
  </si>
  <si>
    <t>187851L</t>
  </si>
  <si>
    <t>THE</t>
  </si>
  <si>
    <t>VU</t>
  </si>
  <si>
    <t>16 RUE DE LA ROSERAIE</t>
  </si>
  <si>
    <t>vuthevu1996@gmail.com</t>
  </si>
  <si>
    <t>187853N</t>
  </si>
  <si>
    <t>MATTE</t>
  </si>
  <si>
    <t>187859V</t>
  </si>
  <si>
    <t>SUI</t>
  </si>
  <si>
    <t>ZHENGLEI</t>
  </si>
  <si>
    <t>60 AVENUE MARIE CURIE</t>
  </si>
  <si>
    <t>en1855@icloud.com</t>
  </si>
  <si>
    <t>187881T</t>
  </si>
  <si>
    <t>185 RUE DES ROISSYS</t>
  </si>
  <si>
    <t>crtj.vincent@free.fr</t>
  </si>
  <si>
    <t>187882V</t>
  </si>
  <si>
    <t>JULES</t>
  </si>
  <si>
    <t>vincent.jules051@gmail.com</t>
  </si>
  <si>
    <t>187883W</t>
  </si>
  <si>
    <t>LEMPERIERE</t>
  </si>
  <si>
    <t>59 RUE PAUL VAILLANT COUTURIER</t>
  </si>
  <si>
    <t>rlemperiere@gmail.com</t>
  </si>
  <si>
    <t>187924Q</t>
  </si>
  <si>
    <t>ADDOUM</t>
  </si>
  <si>
    <t>10 AVENUE DU MAL JUIN</t>
  </si>
  <si>
    <t>omaraddoum@gmail.com</t>
  </si>
  <si>
    <t>187925R</t>
  </si>
  <si>
    <t>MAROUANE</t>
  </si>
  <si>
    <t>JAALI</t>
  </si>
  <si>
    <t>5 PLACE ALBERT UDERZO</t>
  </si>
  <si>
    <t>marouanejaali@gmail.com</t>
  </si>
  <si>
    <t>187928V</t>
  </si>
  <si>
    <t>DOURROM</t>
  </si>
  <si>
    <t>4 RUE FERNAND PELLOUTIER</t>
  </si>
  <si>
    <t>elisadourrom@gmail.com</t>
  </si>
  <si>
    <t>187937E</t>
  </si>
  <si>
    <t>YEW LIN</t>
  </si>
  <si>
    <t>LAM</t>
  </si>
  <si>
    <t>133 RUE DE JOINVILLE</t>
  </si>
  <si>
    <t>lamyewlin@gmail.com</t>
  </si>
  <si>
    <t>187943L</t>
  </si>
  <si>
    <t>GIANNI</t>
  </si>
  <si>
    <t>FRANCHITTI</t>
  </si>
  <si>
    <t>47 BOULEVARD DUBREUIL</t>
  </si>
  <si>
    <t>gfranchitti@immo-franchitti.com</t>
  </si>
  <si>
    <t>187945N</t>
  </si>
  <si>
    <t>KWAI WOH</t>
  </si>
  <si>
    <t>LEUNG</t>
  </si>
  <si>
    <t>142 AVENUE BRIAND</t>
  </si>
  <si>
    <t>maitrefengshui@yahoo.com</t>
  </si>
  <si>
    <t>187951V</t>
  </si>
  <si>
    <t>MARTINOT</t>
  </si>
  <si>
    <t>8 RUE DUPETITVAL</t>
  </si>
  <si>
    <t>p.martinot@gmail.com</t>
  </si>
  <si>
    <t>187966L</t>
  </si>
  <si>
    <t>DONATO</t>
  </si>
  <si>
    <t>PORCELLO</t>
  </si>
  <si>
    <t>14 AVENUE JOLIOT CURIE</t>
  </si>
  <si>
    <t>donatoporcello@gmail.com</t>
  </si>
  <si>
    <t>Poules 2 joueurs</t>
  </si>
  <si>
    <t>% J</t>
  </si>
  <si>
    <t>T % J</t>
  </si>
  <si>
    <t>T % Adv</t>
  </si>
  <si>
    <t>CAT</t>
  </si>
  <si>
    <t>DIST OPEN</t>
  </si>
  <si>
    <t>T % ADV</t>
  </si>
  <si>
    <t>ADV</t>
  </si>
  <si>
    <t>FORFAITS</t>
  </si>
  <si>
    <t>% Adv.</t>
  </si>
  <si>
    <t>Pts Finale</t>
  </si>
  <si>
    <t>Rep Finale</t>
  </si>
  <si>
    <t>Pts Poules</t>
  </si>
  <si>
    <t>Rep Poules</t>
  </si>
  <si>
    <t>MGP TOURNOI</t>
  </si>
  <si>
    <t>Moy G</t>
  </si>
  <si>
    <t>% Adv Der</t>
  </si>
  <si>
    <t>% J Der</t>
  </si>
  <si>
    <t>Prol.</t>
  </si>
  <si>
    <t>Level</t>
  </si>
  <si>
    <t>PTS FINALE</t>
  </si>
  <si>
    <t>REP FINALE</t>
  </si>
  <si>
    <t>MOY FINALE</t>
  </si>
  <si>
    <t>PTS POULE</t>
  </si>
  <si>
    <t xml:space="preserve">REP POULE </t>
  </si>
  <si>
    <t>CLASSEMENT OPEN</t>
  </si>
  <si>
    <t>District 93-94 - 2024/2025
  -  
Consolante</t>
  </si>
  <si>
    <t>Libre R2</t>
  </si>
  <si>
    <t>Poules</t>
  </si>
  <si>
    <t>013335x</t>
  </si>
  <si>
    <t>9031 - ACADEMIE DE BILLARD DE MAISONS ALFORT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</si>
</sst>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quot;m&quot;"/>
  </numFmts>
  <fonts count="68" x14ac:knownFonts="1">
    <font>
      <sz val="11"/>
      <color theme="1"/>
      <name val="Calibri"/>
      <family val="2"/>
      <scheme val="minor"/>
    </font>
    <font>
      <b/>
      <sz val="11"/>
      <color theme="1"/>
      <name val="Calibri"/>
      <family val="2"/>
      <scheme val="minor"/>
    </font>
    <font>
      <sz val="16"/>
      <color theme="1"/>
      <name val="Calibri"/>
      <family val="2"/>
      <scheme val="minor"/>
    </font>
    <font>
      <sz val="11"/>
      <name val="Calibri"/>
      <family val="2"/>
      <scheme val="minor"/>
    </font>
    <font>
      <sz val="9"/>
      <color indexed="81"/>
      <name val="Tahoma"/>
      <family val="2"/>
    </font>
    <font>
      <b/>
      <sz val="9"/>
      <color indexed="81"/>
      <name val="Tahoma"/>
      <family val="2"/>
    </font>
    <font>
      <sz val="12"/>
      <color theme="1"/>
      <name val="Calibri"/>
      <family val="2"/>
      <scheme val="minor"/>
    </font>
    <font>
      <sz val="9"/>
      <color theme="1"/>
      <name val="Calibri"/>
      <family val="2"/>
      <scheme val="minor"/>
    </font>
    <font>
      <b/>
      <sz val="18"/>
      <color rgb="FFC00000"/>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4" tint="-0.249977111117893"/>
      <name val="Calibri"/>
      <family val="2"/>
      <scheme val="minor"/>
    </font>
    <font>
      <sz val="8"/>
      <name val="Calibri"/>
      <family val="2"/>
      <scheme val="minor"/>
    </font>
    <font>
      <b/>
      <sz val="11"/>
      <name val="Calibri"/>
      <family val="2"/>
      <scheme val="minor"/>
    </font>
    <font>
      <sz val="11"/>
      <color theme="2"/>
      <name val="Calibri"/>
      <family val="2"/>
      <scheme val="minor"/>
    </font>
    <font>
      <b/>
      <sz val="8.8000000000000007"/>
      <color rgb="FF000000"/>
      <name val="Tahoma"/>
      <family val="2"/>
    </font>
    <font>
      <sz val="14"/>
      <color rgb="FF2040A0"/>
      <name val="Tahoma"/>
      <family val="2"/>
    </font>
    <font>
      <i/>
      <sz val="16"/>
      <color rgb="FF0E358C"/>
      <name val="Calibri"/>
      <family val="2"/>
      <scheme val="minor"/>
    </font>
    <font>
      <b/>
      <sz val="28"/>
      <color rgb="FF0E358C"/>
      <name val="Calibri"/>
      <family val="2"/>
      <scheme val="minor"/>
    </font>
    <font>
      <b/>
      <sz val="24"/>
      <color rgb="FF0E358C"/>
      <name val="Calibri"/>
      <family val="2"/>
      <scheme val="minor"/>
    </font>
    <font>
      <i/>
      <sz val="12"/>
      <color rgb="FF0E358C"/>
      <name val="Calibri"/>
      <family val="2"/>
      <scheme val="minor"/>
    </font>
    <font>
      <b/>
      <sz val="14"/>
      <color rgb="FF0E358C"/>
      <name val="Calibri"/>
      <family val="2"/>
    </font>
    <font>
      <sz val="11"/>
      <color rgb="FF0E358C"/>
      <name val="Calibri"/>
      <family val="2"/>
      <scheme val="minor"/>
    </font>
    <font>
      <b/>
      <sz val="16"/>
      <color rgb="FF0E358C"/>
      <name val="Calibri"/>
      <family val="2"/>
    </font>
    <font>
      <b/>
      <sz val="14"/>
      <color rgb="FF0E358C"/>
      <name val="Calibri"/>
      <family val="2"/>
      <scheme val="minor"/>
    </font>
    <font>
      <sz val="18"/>
      <color theme="1"/>
      <name val="Castellar"/>
      <family val="1"/>
    </font>
    <font>
      <b/>
      <sz val="20"/>
      <color theme="1"/>
      <name val="Calibri"/>
      <family val="2"/>
    </font>
    <font>
      <sz val="20"/>
      <color theme="1"/>
      <name val="Calibri"/>
      <family val="2"/>
    </font>
    <font>
      <b/>
      <i/>
      <sz val="20"/>
      <color theme="1"/>
      <name val="Calibri"/>
      <family val="2"/>
    </font>
    <font>
      <sz val="18"/>
      <color rgb="FF0E358C"/>
      <name val="Calibri"/>
      <family val="2"/>
    </font>
    <font>
      <i/>
      <sz val="9"/>
      <color theme="1"/>
      <name val="Calibri"/>
      <family val="2"/>
    </font>
    <font>
      <i/>
      <sz val="10"/>
      <color theme="1"/>
      <name val="Calibri"/>
      <family val="2"/>
    </font>
    <font>
      <b/>
      <sz val="28"/>
      <color theme="1"/>
      <name val="Calibri"/>
      <family val="2"/>
    </font>
    <font>
      <i/>
      <sz val="10"/>
      <color rgb="FF0E358C"/>
      <name val="Calibri"/>
      <family val="2"/>
    </font>
    <font>
      <sz val="11"/>
      <color rgb="FF0E358C"/>
      <name val="Calibri"/>
      <family val="2"/>
    </font>
    <font>
      <i/>
      <sz val="10"/>
      <color theme="9" tint="-0.249977111117893"/>
      <name val="Calibri"/>
      <family val="2"/>
    </font>
    <font>
      <i/>
      <sz val="18"/>
      <color theme="1"/>
      <name val="Calibri"/>
      <family val="2"/>
    </font>
    <font>
      <sz val="18"/>
      <color theme="9" tint="-0.249977111117893"/>
      <name val="Calibri"/>
      <family val="2"/>
    </font>
    <font>
      <sz val="20"/>
      <color theme="1"/>
      <name val="Castellar"/>
      <family val="1"/>
    </font>
    <font>
      <sz val="11"/>
      <color theme="0"/>
      <name val="Calibri"/>
      <family val="2"/>
      <scheme val="minor"/>
    </font>
    <font>
      <b/>
      <sz val="36"/>
      <color theme="1"/>
      <name val="Calibri"/>
      <family val="2"/>
      <scheme val="minor"/>
    </font>
    <font>
      <b/>
      <sz val="18"/>
      <color theme="0"/>
      <name val="Calibri"/>
      <family val="2"/>
      <scheme val="minor"/>
    </font>
    <font>
      <sz val="14"/>
      <color theme="1"/>
      <name val="Calibri"/>
      <family val="2"/>
      <scheme val="minor"/>
    </font>
    <font>
      <b/>
      <sz val="20"/>
      <color theme="0"/>
      <name val="Calibri"/>
      <family val="2"/>
      <scheme val="minor"/>
    </font>
    <font>
      <b/>
      <sz val="14"/>
      <color theme="0"/>
      <name val="Calibri"/>
      <family val="2"/>
      <scheme val="minor"/>
    </font>
    <font>
      <b/>
      <sz val="12"/>
      <color theme="0"/>
      <name val="Calibri"/>
      <family val="2"/>
      <scheme val="minor"/>
    </font>
    <font>
      <b/>
      <sz val="28"/>
      <color theme="1"/>
      <name val="Calibri"/>
      <family val="2"/>
      <scheme val="minor"/>
    </font>
    <font>
      <sz val="12"/>
      <name val="Calibri"/>
      <family val="2"/>
      <scheme val="minor"/>
    </font>
    <font>
      <b/>
      <sz val="28"/>
      <name val="Calibri"/>
      <family val="2"/>
      <scheme val="minor"/>
    </font>
    <font>
      <b/>
      <sz val="32"/>
      <color theme="0"/>
      <name val="Calibri"/>
      <family val="2"/>
      <scheme val="minor"/>
    </font>
    <font>
      <b/>
      <sz val="11"/>
      <color theme="0"/>
      <name val="Calibri"/>
      <family val="2"/>
      <scheme val="minor"/>
    </font>
    <font>
      <b/>
      <sz val="16"/>
      <name val="Calibri"/>
      <family val="2"/>
      <scheme val="minor"/>
    </font>
    <font>
      <sz val="14"/>
      <color rgb="FFC00000"/>
      <name val="Calibri"/>
      <family val="2"/>
      <scheme val="minor"/>
    </font>
    <font>
      <b/>
      <sz val="14"/>
      <color rgb="FFC00000"/>
      <name val="Calibri"/>
      <family val="2"/>
      <scheme val="minor"/>
    </font>
    <font>
      <b/>
      <sz val="28"/>
      <color theme="0"/>
      <name val="Calibri"/>
      <family val="2"/>
      <scheme val="minor"/>
    </font>
    <font>
      <b/>
      <sz val="9"/>
      <color theme="1"/>
      <name val="Calibri"/>
      <family val="2"/>
      <scheme val="minor"/>
    </font>
    <font>
      <b/>
      <sz val="14"/>
      <name val="Calibri"/>
      <family val="2"/>
      <scheme val="minor"/>
    </font>
    <font>
      <b/>
      <sz val="14"/>
      <color rgb="FF50629A"/>
      <name val="Calibri"/>
      <family val="2"/>
      <scheme val="minor"/>
    </font>
    <font>
      <b/>
      <sz val="18"/>
      <color rgb="FF50629A"/>
      <name val="Calibri"/>
      <family val="2"/>
      <scheme val="minor"/>
    </font>
    <font>
      <sz val="18"/>
      <color rgb="FF50629A"/>
      <name val="Calibri"/>
      <family val="2"/>
      <scheme val="minor"/>
    </font>
    <font>
      <b/>
      <sz val="26"/>
      <color theme="0"/>
      <name val="Calibri"/>
      <family val="2"/>
      <scheme val="minor"/>
    </font>
    <font>
      <b/>
      <sz val="16"/>
      <color theme="0"/>
      <name val="Calibri"/>
      <family val="2"/>
      <scheme val="minor"/>
    </font>
    <font>
      <b/>
      <sz val="14"/>
      <color rgb="FF2E3858"/>
      <name val="Calibri"/>
      <family val="2"/>
      <scheme val="minor"/>
    </font>
    <font>
      <b/>
      <sz val="12"/>
      <color rgb="FF2E3858"/>
      <name val="Calibri"/>
      <family val="2"/>
      <scheme val="minor"/>
    </font>
    <font>
      <b/>
      <sz val="32"/>
      <name val="Calibri"/>
      <family val="2"/>
      <scheme val="minor"/>
    </font>
    <font>
      <b/>
      <sz val="16"/>
      <color theme="1"/>
      <name val="Calibri"/>
      <family val="2"/>
      <scheme val="minor"/>
    </font>
    <font>
      <sz val="11"/>
      <color theme="1"/>
      <name val="Calibri"/>
      <family val="2"/>
      <scheme val="minor"/>
    </font>
  </fonts>
  <fills count="66">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rgb="FFF6FC84"/>
        <bgColor indexed="64"/>
      </patternFill>
    </fill>
    <fill>
      <patternFill patternType="solid">
        <fgColor rgb="FFE3DDE1"/>
        <bgColor indexed="64"/>
      </patternFill>
    </fill>
    <fill>
      <patternFill patternType="solid">
        <fgColor rgb="FFFFFFFF"/>
        <bgColor indexed="64"/>
      </patternFill>
    </fill>
    <fill>
      <patternFill patternType="solid">
        <fgColor rgb="FFE7E6E6"/>
        <bgColor indexed="64"/>
      </patternFill>
    </fill>
    <fill>
      <patternFill patternType="solid">
        <fgColor rgb="FFECC77C"/>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CE4D6"/>
        <bgColor indexed="64"/>
      </patternFill>
    </fill>
    <fill>
      <patternFill patternType="solid">
        <fgColor theme="7"/>
        <bgColor indexed="64"/>
      </patternFill>
    </fill>
    <fill>
      <gradientFill type="path" left="0.5" right="0.5" top="0.5" bottom="0.5">
        <stop position="0">
          <color rgb="FFFCE4D6"/>
        </stop>
        <stop position="1">
          <color rgb="FFF9C8AD"/>
        </stop>
      </gradientFill>
    </fill>
    <fill>
      <gradientFill type="path" left="0.5" right="0.5" top="0.5" bottom="0.5">
        <stop position="0">
          <color rgb="FF5295D2"/>
        </stop>
        <stop position="1">
          <color rgb="FF3F89CD"/>
        </stop>
      </gradientFill>
    </fill>
    <fill>
      <gradientFill type="path" left="0.5" right="0.5" top="0.5" bottom="0.5">
        <stop position="0">
          <color rgb="FFEDEDED"/>
        </stop>
        <stop position="1">
          <color rgb="FFE4E4E4"/>
        </stop>
      </gradientFill>
    </fill>
    <fill>
      <gradientFill type="path" left="0.5" right="0.5" top="0.5" bottom="0.5">
        <stop position="0">
          <color rgb="FFFFF2CC"/>
        </stop>
        <stop position="1">
          <color rgb="FFFFE8A7"/>
        </stop>
      </gradientFill>
    </fill>
    <fill>
      <gradientFill type="path" left="0.5" right="0.5" top="0.5" bottom="0.5">
        <stop position="0">
          <color rgb="FFDDEBF7"/>
        </stop>
        <stop position="1">
          <color rgb="FFC5DDF1"/>
        </stop>
      </gradientFill>
    </fill>
    <fill>
      <gradientFill type="path" left="0.5" right="0.5" top="0.5" bottom="0.5">
        <stop position="0">
          <color rgb="FFEFE68D"/>
        </stop>
        <stop position="1">
          <color rgb="FFE8DA5A"/>
        </stop>
      </gradientFill>
    </fill>
    <fill>
      <gradientFill type="path" left="0.5" right="0.5" top="0.5" bottom="0.5">
        <stop position="0">
          <color rgb="FF8FCFFB"/>
        </stop>
        <stop position="1">
          <color rgb="FF72C3FA"/>
        </stop>
      </gradientFill>
    </fill>
    <fill>
      <gradientFill type="path" left="0.5" right="0.5" top="0.5" bottom="0.5">
        <stop position="0">
          <color rgb="FFCDC2FA"/>
        </stop>
        <stop position="1">
          <color rgb="FFB9AAF8"/>
        </stop>
      </gradientFill>
    </fill>
    <fill>
      <gradientFill type="path" left="0.5" right="0.5" top="0.5" bottom="0.5">
        <stop position="0">
          <color rgb="FFC9FF93"/>
        </stop>
        <stop position="1">
          <color rgb="FFA7FF4F"/>
        </stop>
      </gradientFill>
    </fill>
    <fill>
      <gradientFill type="path" left="0.5" right="0.5" top="0.5" bottom="0.5">
        <stop position="0">
          <color rgb="FFFFA18B"/>
        </stop>
        <stop position="1">
          <color rgb="FFFF8669"/>
        </stop>
      </gradientFill>
    </fill>
    <fill>
      <gradientFill type="path" left="0.5" right="0.5" top="0.5" bottom="0.5">
        <stop position="0">
          <color rgb="FFFCCF60"/>
        </stop>
        <stop position="1">
          <color rgb="FFFBC131"/>
        </stop>
      </gradientFill>
    </fill>
    <fill>
      <gradientFill type="path" left="0.5" right="0.5" top="0.5" bottom="0.5">
        <stop position="0">
          <color rgb="FF8EA9DB"/>
        </stop>
        <stop position="1">
          <color rgb="FF7395D3"/>
        </stop>
      </gradientFill>
    </fill>
    <fill>
      <gradientFill type="path" left="0.5" right="0.5" top="0.5" bottom="0.5">
        <stop position="0">
          <color rgb="FFA9D08E"/>
        </stop>
        <stop position="1">
          <color rgb="FF91C36F"/>
        </stop>
      </gradientFill>
    </fill>
    <fill>
      <gradientFill type="path" left="0.5" right="0.5" top="0.5" bottom="0.5">
        <stop position="0">
          <color rgb="FF2F75B5"/>
        </stop>
        <stop position="1">
          <color rgb="FF286398"/>
        </stop>
      </gradientFill>
    </fill>
    <fill>
      <gradientFill type="path" left="0.5" right="0.5" top="0.5" bottom="0.5">
        <stop position="0">
          <color rgb="FFBF8F00"/>
        </stop>
        <stop position="1">
          <color rgb="FFA87C00"/>
        </stop>
      </gradientFill>
    </fill>
    <fill>
      <gradientFill type="path" left="0.5" right="0.5" top="0.5" bottom="0.5">
        <stop position="0">
          <color rgb="FFAC0000"/>
        </stop>
        <stop position="1">
          <color rgb="FF920000"/>
        </stop>
      </gradientFill>
    </fill>
    <fill>
      <gradientFill type="path" left="0.5" right="0.5" top="0.5" bottom="0.5">
        <stop position="0">
          <color rgb="FFFCE4D6"/>
        </stop>
        <stop position="1">
          <color rgb="FFFAD3BE"/>
        </stop>
      </gradientFill>
    </fill>
    <fill>
      <gradientFill type="path" left="0.5" right="0.5" top="0.5" bottom="0.5">
        <stop position="0">
          <color rgb="FFFFFFA7"/>
        </stop>
        <stop position="1">
          <color rgb="FFF8F200"/>
        </stop>
      </gradientFill>
    </fill>
    <fill>
      <patternFill patternType="solid">
        <fgColor rgb="FFF6A97E"/>
        <bgColor indexed="64"/>
      </patternFill>
    </fill>
    <fill>
      <patternFill patternType="solid">
        <fgColor theme="6" tint="0.59999389629810485"/>
        <bgColor indexed="64"/>
      </patternFill>
    </fill>
    <fill>
      <patternFill patternType="solid">
        <fgColor theme="2" tint="-0.499984740745262"/>
        <bgColor indexed="64"/>
      </patternFill>
    </fill>
    <fill>
      <gradientFill type="path" left="0.5" right="0.5" top="0.5" bottom="0.5">
        <stop position="0">
          <color rgb="FFFCE4D6"/>
        </stop>
        <stop position="1">
          <color rgb="FFF9C6A9"/>
        </stop>
      </gradientFill>
    </fill>
    <fill>
      <patternFill patternType="solid">
        <fgColor theme="1"/>
        <bgColor indexed="64"/>
      </patternFill>
    </fill>
    <fill>
      <gradientFill type="path" left="0.5" right="0.5" top="0.5" bottom="0.5">
        <stop position="0">
          <color rgb="FFEDEDED"/>
        </stop>
        <stop position="1">
          <color rgb="FFD7D7D7"/>
        </stop>
      </gradientFill>
    </fill>
    <fill>
      <patternFill patternType="solid">
        <fgColor rgb="FFA7FF4F"/>
        <bgColor indexed="64"/>
      </patternFill>
    </fill>
    <fill>
      <patternFill patternType="solid">
        <fgColor theme="0"/>
        <bgColor indexed="64"/>
      </patternFill>
    </fill>
    <fill>
      <patternFill patternType="solid">
        <fgColor theme="0" tint="-4.9989318521683403E-2"/>
        <bgColor indexed="64"/>
      </patternFill>
    </fill>
    <fill>
      <patternFill patternType="solid">
        <fgColor rgb="FFBAC8E8"/>
        <bgColor indexed="64"/>
      </patternFill>
    </fill>
    <fill>
      <gradientFill type="path" left="0.5" right="0.5" top="0.5" bottom="0.5">
        <stop position="0">
          <color theme="5" tint="-0.25098422193060094"/>
        </stop>
        <stop position="1">
          <color rgb="FF9B460D"/>
        </stop>
      </gradientFill>
    </fill>
    <fill>
      <patternFill patternType="solid">
        <fgColor theme="5"/>
        <bgColor indexed="64"/>
      </patternFill>
    </fill>
    <fill>
      <patternFill patternType="solid">
        <fgColor rgb="FF92D050"/>
        <bgColor indexed="64"/>
      </patternFill>
    </fill>
    <fill>
      <patternFill patternType="solid">
        <fgColor theme="0" tint="-0.249977111117893"/>
        <bgColor auto="1"/>
      </patternFill>
    </fill>
    <fill>
      <patternFill patternType="solid">
        <fgColor theme="8" tint="0.39997558519241921"/>
        <bgColor indexed="64"/>
      </patternFill>
    </fill>
    <fill>
      <patternFill patternType="solid">
        <fgColor theme="4" tint="-0.249977111117893"/>
        <bgColor indexed="64"/>
      </patternFill>
    </fill>
    <fill>
      <patternFill patternType="solid">
        <fgColor rgb="FFD6CCD3"/>
        <bgColor indexed="64"/>
      </patternFill>
    </fill>
    <fill>
      <patternFill patternType="solid">
        <fgColor rgb="FFECE8EB"/>
        <bgColor indexed="64"/>
      </patternFill>
    </fill>
    <fill>
      <patternFill patternType="solid">
        <fgColor rgb="FFF6F4F5"/>
        <bgColor indexed="64"/>
      </patternFill>
    </fill>
    <fill>
      <patternFill patternType="solid">
        <fgColor rgb="FFCBBFC7"/>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top style="thin">
        <color indexed="64"/>
      </top>
      <bottom style="thin">
        <color indexed="64"/>
      </bottom>
      <diagonal/>
    </border>
    <border>
      <left/>
      <right/>
      <top style="thin">
        <color auto="1"/>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top/>
      <bottom style="medium">
        <color rgb="FFAAAAAA"/>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right style="thin">
        <color indexed="64"/>
      </right>
      <top/>
      <bottom/>
      <diagonal/>
    </border>
    <border>
      <left style="dotted">
        <color indexed="64"/>
      </left>
      <right style="dotted">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right style="dotted">
        <color indexed="64"/>
      </right>
      <top style="medium">
        <color indexed="64"/>
      </top>
      <bottom/>
      <diagonal/>
    </border>
    <border>
      <left style="dotted">
        <color indexed="64"/>
      </left>
      <right style="medium">
        <color indexed="64"/>
      </right>
      <top style="medium">
        <color indexed="64"/>
      </top>
      <bottom/>
      <diagonal/>
    </border>
    <border>
      <left style="dashed">
        <color theme="4" tint="-0.499984740745262"/>
      </left>
      <right/>
      <top/>
      <bottom style="thick">
        <color theme="4" tint="-0.499984740745262"/>
      </bottom>
      <diagonal/>
    </border>
    <border>
      <left/>
      <right/>
      <top/>
      <bottom style="thick">
        <color theme="4" tint="-0.499984740745262"/>
      </bottom>
      <diagonal/>
    </border>
    <border>
      <left/>
      <right style="dashed">
        <color theme="4" tint="-0.499984740745262"/>
      </right>
      <top/>
      <bottom style="thick">
        <color theme="4" tint="-0.499984740745262"/>
      </bottom>
      <diagonal/>
    </border>
    <border>
      <left style="thin">
        <color rgb="FF50629A"/>
      </left>
      <right style="thin">
        <color rgb="FF50629A"/>
      </right>
      <top style="thin">
        <color rgb="FF50629A"/>
      </top>
      <bottom style="thin">
        <color rgb="FF50629A"/>
      </bottom>
      <diagonal/>
    </border>
    <border diagonalDown="1">
      <left/>
      <right style="dashed">
        <color theme="4" tint="-0.499984740745262"/>
      </right>
      <top/>
      <bottom/>
      <diagonal style="thin">
        <color theme="4" tint="-0.499984740745262"/>
      </diagonal>
    </border>
    <border diagonalUp="1">
      <left/>
      <right/>
      <top/>
      <bottom/>
      <diagonal style="thin">
        <color theme="4" tint="-0.499984740745262"/>
      </diagonal>
    </border>
    <border diagonalDown="1">
      <left/>
      <right/>
      <top/>
      <bottom/>
      <diagonal style="thin">
        <color auto="1"/>
      </diagonal>
    </border>
    <border diagonalUp="1">
      <left/>
      <right/>
      <top/>
      <bottom/>
      <diagonal style="thin">
        <color auto="1"/>
      </diagonal>
    </border>
    <border>
      <left style="medium">
        <color rgb="FF50629A"/>
      </left>
      <right/>
      <top style="medium">
        <color rgb="FF50629A"/>
      </top>
      <bottom/>
      <diagonal/>
    </border>
    <border>
      <left/>
      <right/>
      <top style="medium">
        <color rgb="FF50629A"/>
      </top>
      <bottom/>
      <diagonal/>
    </border>
    <border>
      <left/>
      <right style="medium">
        <color rgb="FF50629A"/>
      </right>
      <top style="medium">
        <color rgb="FF50629A"/>
      </top>
      <bottom/>
      <diagonal/>
    </border>
    <border>
      <left style="medium">
        <color rgb="FF50629A"/>
      </left>
      <right/>
      <top/>
      <bottom/>
      <diagonal/>
    </border>
    <border>
      <left/>
      <right style="medium">
        <color rgb="FF50629A"/>
      </right>
      <top/>
      <bottom/>
      <diagonal/>
    </border>
    <border>
      <left style="medium">
        <color rgb="FF50629A"/>
      </left>
      <right/>
      <top/>
      <bottom style="medium">
        <color rgb="FF50629A"/>
      </bottom>
      <diagonal/>
    </border>
    <border>
      <left/>
      <right/>
      <top/>
      <bottom style="medium">
        <color rgb="FF50629A"/>
      </bottom>
      <diagonal/>
    </border>
    <border>
      <left/>
      <right style="medium">
        <color rgb="FF50629A"/>
      </right>
      <top/>
      <bottom style="medium">
        <color rgb="FF50629A"/>
      </bottom>
      <diagonal/>
    </border>
    <border>
      <left style="medium">
        <color rgb="FF50629A"/>
      </left>
      <right/>
      <top style="medium">
        <color rgb="FF50629A"/>
      </top>
      <bottom style="medium">
        <color rgb="FF50629A"/>
      </bottom>
      <diagonal/>
    </border>
    <border>
      <left/>
      <right/>
      <top style="medium">
        <color rgb="FF50629A"/>
      </top>
      <bottom style="medium">
        <color rgb="FF50629A"/>
      </bottom>
      <diagonal/>
    </border>
    <border>
      <left/>
      <right style="medium">
        <color rgb="FF50629A"/>
      </right>
      <top style="medium">
        <color rgb="FF50629A"/>
      </top>
      <bottom style="medium">
        <color rgb="FF50629A"/>
      </bottom>
      <diagonal/>
    </border>
    <border>
      <left/>
      <right/>
      <top style="thick">
        <color theme="4" tint="-0.499984740745262"/>
      </top>
      <bottom/>
      <diagonal/>
    </border>
    <border>
      <left/>
      <right/>
      <top style="thick">
        <color theme="4" tint="-0.499984740745262"/>
      </top>
      <bottom style="medium">
        <color rgb="FF50629A"/>
      </bottom>
      <diagonal/>
    </border>
    <border>
      <left/>
      <right style="dashed">
        <color theme="4" tint="-0.499984740745262"/>
      </right>
      <top/>
      <bottom style="thin">
        <color rgb="FF50629A"/>
      </bottom>
      <diagonal/>
    </border>
    <border>
      <left/>
      <right style="thin">
        <color rgb="FF50629A"/>
      </right>
      <top/>
      <bottom/>
      <diagonal/>
    </border>
    <border>
      <left/>
      <right/>
      <top style="thin">
        <color rgb="FF50629A"/>
      </top>
      <bottom/>
      <diagonal/>
    </border>
    <border>
      <left style="thin">
        <color rgb="FF50629A"/>
      </left>
      <right/>
      <top style="thin">
        <color rgb="FF50629A"/>
      </top>
      <bottom style="thin">
        <color rgb="FF50629A"/>
      </bottom>
      <diagonal/>
    </border>
    <border>
      <left/>
      <right/>
      <top style="thin">
        <color rgb="FF50629A"/>
      </top>
      <bottom style="thin">
        <color rgb="FF50629A"/>
      </bottom>
      <diagonal/>
    </border>
    <border>
      <left/>
      <right style="thin">
        <color rgb="FF50629A"/>
      </right>
      <top style="thin">
        <color rgb="FF50629A"/>
      </top>
      <bottom style="thin">
        <color rgb="FF50629A"/>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dotted">
        <color indexed="64"/>
      </left>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10" fillId="0" borderId="0" applyNumberFormat="0" applyFill="0" applyBorder="0" applyAlignment="0" applyProtection="0"/>
    <xf numFmtId="9" fontId="67" fillId="0" borderId="0" applyFont="0" applyFill="0" applyBorder="0" applyAlignment="0" applyProtection="0"/>
  </cellStyleXfs>
  <cellXfs count="1235">
    <xf numFmtId="0" fontId="0" fillId="0" borderId="0" xfId="0"/>
    <xf numFmtId="0" fontId="0" fillId="0" borderId="4"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9" xfId="0" applyBorder="1"/>
    <xf numFmtId="0" fontId="0" fillId="0" borderId="20" xfId="0" applyBorder="1"/>
    <xf numFmtId="0" fontId="0" fillId="0" borderId="19" xfId="0" applyBorder="1" applyAlignment="1">
      <alignment horizontal="center" vertical="center"/>
    </xf>
    <xf numFmtId="0" fontId="0" fillId="0" borderId="4" xfId="0" applyBorder="1" applyAlignment="1">
      <alignment horizontal="center" vertical="center"/>
    </xf>
    <xf numFmtId="0" fontId="0" fillId="0" borderId="20"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7" xfId="0" applyBorder="1"/>
    <xf numFmtId="0" fontId="0" fillId="0" borderId="8" xfId="0" applyBorder="1"/>
    <xf numFmtId="0" fontId="0" fillId="0" borderId="0" xfId="0" applyAlignment="1">
      <alignment horizontal="center" vertical="center"/>
    </xf>
    <xf numFmtId="0" fontId="0" fillId="2" borderId="4" xfId="0" applyFill="1" applyBorder="1"/>
    <xf numFmtId="0" fontId="0" fillId="0" borderId="7" xfId="0" applyBorder="1" applyAlignment="1">
      <alignment horizontal="center" vertical="center"/>
    </xf>
    <xf numFmtId="0" fontId="0" fillId="0" borderId="8" xfId="0" applyBorder="1" applyAlignment="1">
      <alignment horizontal="center" vertical="center"/>
    </xf>
    <xf numFmtId="0" fontId="1" fillId="0" borderId="4"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0" xfId="0" applyFont="1" applyAlignment="1">
      <alignment horizontal="center" vertical="center"/>
    </xf>
    <xf numFmtId="14" fontId="0" fillId="0" borderId="0" xfId="0" applyNumberFormat="1"/>
    <xf numFmtId="0" fontId="9" fillId="9" borderId="4" xfId="0" applyFont="1" applyFill="1" applyBorder="1"/>
    <xf numFmtId="0" fontId="0" fillId="9" borderId="4" xfId="0" applyFill="1" applyBorder="1"/>
    <xf numFmtId="0" fontId="9" fillId="9" borderId="54" xfId="0" applyFont="1" applyFill="1" applyBorder="1" applyAlignment="1">
      <alignment horizontal="center" vertical="center"/>
    </xf>
    <xf numFmtId="2" fontId="0" fillId="0" borderId="4" xfId="0" applyNumberFormat="1" applyBorder="1" applyAlignment="1">
      <alignment horizontal="center" vertical="center"/>
    </xf>
    <xf numFmtId="2" fontId="0" fillId="0" borderId="10" xfId="0" applyNumberFormat="1" applyBorder="1" applyAlignment="1">
      <alignment horizontal="center" vertical="center"/>
    </xf>
    <xf numFmtId="0" fontId="0" fillId="0" borderId="0" xfId="0" applyProtection="1">
      <protection hidden="1"/>
    </xf>
    <xf numFmtId="0" fontId="9" fillId="0" borderId="28" xfId="0" applyFont="1" applyBorder="1" applyAlignment="1" applyProtection="1">
      <alignment horizontal="center"/>
      <protection hidden="1"/>
    </xf>
    <xf numFmtId="0" fontId="0" fillId="0" borderId="48"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3" fillId="0" borderId="4" xfId="0" applyFont="1"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9" fillId="9" borderId="1"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13" borderId="0" xfId="0" applyFill="1"/>
    <xf numFmtId="0" fontId="1" fillId="0" borderId="74" xfId="0" applyFont="1" applyBorder="1" applyAlignment="1" applyProtection="1">
      <alignment horizontal="center" vertical="center"/>
      <protection hidden="1"/>
    </xf>
    <xf numFmtId="0" fontId="0" fillId="3" borderId="75" xfId="0" applyFill="1" applyBorder="1" applyAlignment="1" applyProtection="1">
      <alignment horizontal="center" vertical="center"/>
      <protection hidden="1"/>
    </xf>
    <xf numFmtId="0" fontId="0" fillId="6" borderId="75" xfId="0" applyFill="1" applyBorder="1" applyAlignment="1" applyProtection="1">
      <alignment horizontal="center" vertical="center"/>
      <protection hidden="1"/>
    </xf>
    <xf numFmtId="0" fontId="0" fillId="8" borderId="76" xfId="0" applyFill="1" applyBorder="1" applyAlignment="1" applyProtection="1">
      <alignment horizontal="center" vertical="center"/>
      <protection hidden="1"/>
    </xf>
    <xf numFmtId="0" fontId="1" fillId="0" borderId="77" xfId="0" applyFont="1" applyBorder="1" applyAlignment="1" applyProtection="1">
      <alignment horizontal="center" vertical="center"/>
      <protection hidden="1"/>
    </xf>
    <xf numFmtId="0" fontId="0" fillId="3" borderId="78" xfId="0" applyFill="1" applyBorder="1" applyAlignment="1" applyProtection="1">
      <alignment horizontal="center" vertical="center"/>
      <protection hidden="1"/>
    </xf>
    <xf numFmtId="0" fontId="0" fillId="6" borderId="78" xfId="0" applyFill="1" applyBorder="1" applyAlignment="1" applyProtection="1">
      <alignment horizontal="center" vertical="center"/>
      <protection hidden="1"/>
    </xf>
    <xf numFmtId="0" fontId="0" fillId="8" borderId="79" xfId="0" applyFill="1" applyBorder="1" applyAlignment="1" applyProtection="1">
      <alignment horizontal="center" vertical="center"/>
      <protection hidden="1"/>
    </xf>
    <xf numFmtId="0" fontId="1" fillId="0" borderId="80" xfId="0" applyFont="1" applyBorder="1" applyAlignment="1" applyProtection="1">
      <alignment horizontal="center" vertical="center"/>
      <protection hidden="1"/>
    </xf>
    <xf numFmtId="0" fontId="0" fillId="3" borderId="81" xfId="0" applyFill="1" applyBorder="1" applyAlignment="1" applyProtection="1">
      <alignment horizontal="center" vertical="center"/>
      <protection hidden="1"/>
    </xf>
    <xf numFmtId="0" fontId="0" fillId="6" borderId="81" xfId="0" applyFill="1" applyBorder="1" applyAlignment="1" applyProtection="1">
      <alignment horizontal="center" vertical="center"/>
      <protection hidden="1"/>
    </xf>
    <xf numFmtId="0" fontId="0" fillId="8" borderId="82" xfId="0" applyFill="1" applyBorder="1" applyAlignment="1" applyProtection="1">
      <alignment horizontal="center" vertical="center"/>
      <protection hidden="1"/>
    </xf>
    <xf numFmtId="0" fontId="1" fillId="0" borderId="45" xfId="0" applyFont="1" applyBorder="1" applyAlignment="1" applyProtection="1">
      <alignment horizontal="center" vertical="center"/>
      <protection hidden="1"/>
    </xf>
    <xf numFmtId="0" fontId="0" fillId="3" borderId="46" xfId="0" applyFill="1" applyBorder="1" applyAlignment="1" applyProtection="1">
      <alignment horizontal="center" vertical="center"/>
      <protection hidden="1"/>
    </xf>
    <xf numFmtId="0" fontId="0" fillId="6" borderId="46" xfId="0" applyFill="1" applyBorder="1" applyAlignment="1" applyProtection="1">
      <alignment horizontal="center" vertical="center"/>
      <protection hidden="1"/>
    </xf>
    <xf numFmtId="0" fontId="0" fillId="8" borderId="47" xfId="0" applyFill="1" applyBorder="1" applyAlignment="1" applyProtection="1">
      <alignment horizontal="center" vertical="center"/>
      <protection hidden="1"/>
    </xf>
    <xf numFmtId="0" fontId="1" fillId="3" borderId="83" xfId="0" applyFont="1" applyFill="1" applyBorder="1" applyAlignment="1" applyProtection="1">
      <alignment horizontal="center" vertical="center"/>
      <protection hidden="1"/>
    </xf>
    <xf numFmtId="0" fontId="1" fillId="3" borderId="84" xfId="0" applyFont="1" applyFill="1" applyBorder="1" applyAlignment="1" applyProtection="1">
      <alignment horizontal="center" vertical="center"/>
      <protection hidden="1"/>
    </xf>
    <xf numFmtId="0" fontId="1" fillId="3" borderId="27" xfId="0" applyFont="1" applyFill="1" applyBorder="1" applyAlignment="1" applyProtection="1">
      <alignment horizontal="center" vertical="center"/>
      <protection hidden="1"/>
    </xf>
    <xf numFmtId="0" fontId="1" fillId="6" borderId="84" xfId="0" applyFont="1" applyFill="1" applyBorder="1" applyAlignment="1" applyProtection="1">
      <alignment horizontal="center" vertical="center"/>
      <protection hidden="1"/>
    </xf>
    <xf numFmtId="0" fontId="1" fillId="6" borderId="27" xfId="0" applyFont="1" applyFill="1" applyBorder="1" applyAlignment="1" applyProtection="1">
      <alignment horizontal="center" vertical="center"/>
      <protection hidden="1"/>
    </xf>
    <xf numFmtId="0" fontId="1" fillId="6" borderId="87" xfId="0" applyFont="1" applyFill="1" applyBorder="1" applyAlignment="1" applyProtection="1">
      <alignment horizontal="center" vertical="center"/>
      <protection hidden="1"/>
    </xf>
    <xf numFmtId="0" fontId="0" fillId="5" borderId="74" xfId="0" applyFill="1" applyBorder="1" applyAlignment="1" applyProtection="1">
      <alignment horizontal="center" vertical="center"/>
      <protection hidden="1"/>
    </xf>
    <xf numFmtId="0" fontId="0" fillId="3" borderId="89" xfId="0" applyFill="1" applyBorder="1" applyAlignment="1" applyProtection="1">
      <alignment horizontal="center" vertical="center"/>
      <protection hidden="1"/>
    </xf>
    <xf numFmtId="0" fontId="0" fillId="0" borderId="88" xfId="0" applyBorder="1" applyAlignment="1" applyProtection="1">
      <alignment horizontal="center" vertical="center"/>
      <protection locked="0" hidden="1"/>
    </xf>
    <xf numFmtId="0" fontId="0" fillId="0" borderId="76" xfId="0" applyBorder="1" applyAlignment="1" applyProtection="1">
      <alignment horizontal="center" vertical="center"/>
      <protection locked="0" hidden="1"/>
    </xf>
    <xf numFmtId="0" fontId="0" fillId="6" borderId="89" xfId="0" applyFill="1" applyBorder="1" applyAlignment="1" applyProtection="1">
      <alignment horizontal="center" vertical="center"/>
      <protection hidden="1"/>
    </xf>
    <xf numFmtId="0" fontId="0" fillId="5" borderId="77" xfId="0" applyFill="1" applyBorder="1" applyAlignment="1" applyProtection="1">
      <alignment horizontal="center" vertical="center"/>
      <protection hidden="1"/>
    </xf>
    <xf numFmtId="0" fontId="0" fillId="3" borderId="94" xfId="0" applyFill="1" applyBorder="1" applyAlignment="1" applyProtection="1">
      <alignment horizontal="center" vertical="center"/>
      <protection hidden="1"/>
    </xf>
    <xf numFmtId="0" fontId="0" fillId="0" borderId="93" xfId="0" applyBorder="1" applyAlignment="1" applyProtection="1">
      <alignment horizontal="center" vertical="center"/>
      <protection locked="0" hidden="1"/>
    </xf>
    <xf numFmtId="0" fontId="0" fillId="0" borderId="79" xfId="0" applyBorder="1" applyAlignment="1" applyProtection="1">
      <alignment horizontal="center" vertical="center"/>
      <protection locked="0" hidden="1"/>
    </xf>
    <xf numFmtId="0" fontId="0" fillId="6" borderId="94" xfId="0" applyFill="1" applyBorder="1" applyAlignment="1" applyProtection="1">
      <alignment horizontal="center" vertical="center"/>
      <protection hidden="1"/>
    </xf>
    <xf numFmtId="0" fontId="0" fillId="5" borderId="80" xfId="0" applyFill="1" applyBorder="1" applyAlignment="1" applyProtection="1">
      <alignment horizontal="center" vertical="center"/>
      <protection hidden="1"/>
    </xf>
    <xf numFmtId="0" fontId="0" fillId="3" borderId="99" xfId="0" applyFill="1" applyBorder="1" applyAlignment="1" applyProtection="1">
      <alignment horizontal="center" vertical="center"/>
      <protection hidden="1"/>
    </xf>
    <xf numFmtId="0" fontId="0" fillId="0" borderId="98" xfId="0" applyBorder="1" applyAlignment="1" applyProtection="1">
      <alignment horizontal="center" vertical="center"/>
      <protection locked="0" hidden="1"/>
    </xf>
    <xf numFmtId="0" fontId="0" fillId="0" borderId="82" xfId="0" applyBorder="1" applyAlignment="1" applyProtection="1">
      <alignment horizontal="center" vertical="center"/>
      <protection locked="0" hidden="1"/>
    </xf>
    <xf numFmtId="0" fontId="0" fillId="6" borderId="99" xfId="0" applyFill="1" applyBorder="1" applyAlignment="1" applyProtection="1">
      <alignment horizontal="center" vertical="center"/>
      <protection hidden="1"/>
    </xf>
    <xf numFmtId="0" fontId="0" fillId="5" borderId="45" xfId="0" applyFill="1" applyBorder="1" applyAlignment="1" applyProtection="1">
      <alignment horizontal="center" vertical="center"/>
      <protection hidden="1"/>
    </xf>
    <xf numFmtId="0" fontId="0" fillId="3" borderId="102" xfId="0" applyFill="1" applyBorder="1" applyAlignment="1" applyProtection="1">
      <alignment horizontal="center" vertical="center"/>
      <protection hidden="1"/>
    </xf>
    <xf numFmtId="0" fontId="0" fillId="0" borderId="101" xfId="0" applyBorder="1" applyAlignment="1" applyProtection="1">
      <alignment horizontal="center" vertical="center"/>
      <protection locked="0" hidden="1"/>
    </xf>
    <xf numFmtId="0" fontId="0" fillId="0" borderId="47" xfId="0" applyBorder="1" applyAlignment="1" applyProtection="1">
      <alignment horizontal="center" vertical="center"/>
      <protection locked="0" hidden="1"/>
    </xf>
    <xf numFmtId="0" fontId="0" fillId="6" borderId="102" xfId="0" applyFill="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9" borderId="28" xfId="0"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0" borderId="40" xfId="0" applyBorder="1" applyAlignment="1" applyProtection="1">
      <alignment horizontal="center" vertical="center"/>
      <protection hidden="1"/>
    </xf>
    <xf numFmtId="2" fontId="0" fillId="0" borderId="7" xfId="0" applyNumberFormat="1" applyBorder="1" applyAlignment="1" applyProtection="1">
      <alignment horizontal="center" vertical="center"/>
      <protection hidden="1"/>
    </xf>
    <xf numFmtId="0" fontId="0" fillId="0" borderId="41" xfId="0" applyBorder="1" applyAlignment="1" applyProtection="1">
      <alignment horizontal="center" vertical="center"/>
      <protection hidden="1"/>
    </xf>
    <xf numFmtId="2" fontId="0" fillId="0" borderId="4" xfId="0" applyNumberFormat="1" applyBorder="1" applyAlignment="1" applyProtection="1">
      <alignment horizontal="center" vertical="center"/>
      <protection hidden="1"/>
    </xf>
    <xf numFmtId="0" fontId="0" fillId="0" borderId="42" xfId="0"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0" fontId="9" fillId="15" borderId="27" xfId="0" applyFont="1" applyFill="1" applyBorder="1" applyAlignment="1" applyProtection="1">
      <alignment horizontal="center" vertical="center"/>
      <protection hidden="1"/>
    </xf>
    <xf numFmtId="0" fontId="9" fillId="15" borderId="27" xfId="0" applyFont="1" applyFill="1" applyBorder="1" applyAlignment="1" applyProtection="1">
      <alignment horizontal="right" vertical="center"/>
      <protection hidden="1"/>
    </xf>
    <xf numFmtId="2" fontId="0" fillId="3" borderId="88" xfId="0" applyNumberFormat="1" applyFill="1" applyBorder="1" applyAlignment="1" applyProtection="1">
      <alignment horizontal="center" vertical="center"/>
      <protection hidden="1"/>
    </xf>
    <xf numFmtId="0" fontId="0" fillId="9" borderId="106" xfId="0" applyFill="1" applyBorder="1" applyAlignment="1" applyProtection="1">
      <alignment horizontal="center" vertical="center"/>
      <protection locked="0" hidden="1"/>
    </xf>
    <xf numFmtId="2" fontId="0" fillId="6" borderId="92" xfId="0" applyNumberFormat="1" applyFill="1" applyBorder="1" applyAlignment="1" applyProtection="1">
      <alignment horizontal="center" vertical="center"/>
      <protection hidden="1"/>
    </xf>
    <xf numFmtId="0" fontId="0" fillId="0" borderId="29" xfId="0" applyBorder="1" applyAlignment="1" applyProtection="1">
      <alignment horizontal="center" vertical="center"/>
      <protection hidden="1"/>
    </xf>
    <xf numFmtId="2" fontId="0" fillId="3" borderId="93" xfId="0" applyNumberFormat="1" applyFill="1" applyBorder="1" applyAlignment="1" applyProtection="1">
      <alignment horizontal="center" vertical="center"/>
      <protection hidden="1"/>
    </xf>
    <xf numFmtId="0" fontId="0" fillId="9" borderId="107" xfId="0" applyFill="1" applyBorder="1" applyAlignment="1" applyProtection="1">
      <alignment horizontal="center" vertical="center"/>
      <protection locked="0" hidden="1"/>
    </xf>
    <xf numFmtId="2" fontId="0" fillId="6" borderId="97" xfId="0" applyNumberFormat="1" applyFill="1" applyBorder="1" applyAlignment="1" applyProtection="1">
      <alignment horizontal="center" vertical="center"/>
      <protection hidden="1"/>
    </xf>
    <xf numFmtId="0" fontId="0" fillId="0" borderId="30" xfId="0" applyBorder="1" applyAlignment="1" applyProtection="1">
      <alignment horizontal="center" vertical="center"/>
      <protection hidden="1"/>
    </xf>
    <xf numFmtId="2" fontId="0" fillId="3" borderId="98" xfId="0" applyNumberFormat="1" applyFill="1" applyBorder="1" applyAlignment="1" applyProtection="1">
      <alignment horizontal="center" vertical="center"/>
      <protection hidden="1"/>
    </xf>
    <xf numFmtId="0" fontId="0" fillId="9" borderId="108" xfId="0" applyFill="1" applyBorder="1" applyAlignment="1" applyProtection="1">
      <alignment horizontal="center" vertical="center"/>
      <protection locked="0" hidden="1"/>
    </xf>
    <xf numFmtId="2" fontId="0" fillId="6" borderId="100" xfId="0" applyNumberFormat="1" applyFill="1" applyBorder="1" applyAlignment="1" applyProtection="1">
      <alignment horizontal="center" vertical="center"/>
      <protection hidden="1"/>
    </xf>
    <xf numFmtId="2" fontId="0" fillId="3" borderId="101" xfId="0" applyNumberFormat="1" applyFill="1" applyBorder="1" applyAlignment="1" applyProtection="1">
      <alignment horizontal="center" vertical="center"/>
      <protection hidden="1"/>
    </xf>
    <xf numFmtId="0" fontId="0" fillId="9" borderId="39" xfId="0" applyFill="1" applyBorder="1" applyAlignment="1" applyProtection="1">
      <alignment horizontal="center" vertical="center"/>
      <protection locked="0" hidden="1"/>
    </xf>
    <xf numFmtId="2" fontId="0" fillId="6" borderId="103"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1" fillId="0" borderId="12" xfId="0" applyFont="1" applyBorder="1" applyAlignment="1">
      <alignment horizontal="center" vertical="center"/>
    </xf>
    <xf numFmtId="0" fontId="1" fillId="0" borderId="63" xfId="0" applyFont="1"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0" fillId="0" borderId="32" xfId="0" applyBorder="1" applyAlignment="1">
      <alignment horizontal="center" vertical="center"/>
    </xf>
    <xf numFmtId="0" fontId="0" fillId="0" borderId="51" xfId="0" applyBorder="1" applyAlignment="1">
      <alignment horizontal="center" vertical="center"/>
    </xf>
    <xf numFmtId="0" fontId="16" fillId="16" borderId="109" xfId="0" applyFont="1" applyFill="1" applyBorder="1" applyAlignment="1">
      <alignment horizontal="left" vertical="top" indent="1"/>
    </xf>
    <xf numFmtId="0" fontId="16" fillId="16" borderId="109" xfId="0" applyFont="1" applyFill="1" applyBorder="1" applyAlignment="1">
      <alignment horizontal="right" vertical="top" indent="1"/>
    </xf>
    <xf numFmtId="0" fontId="16" fillId="16" borderId="109" xfId="0" applyFont="1" applyFill="1" applyBorder="1" applyAlignment="1">
      <alignment horizontal="center" vertical="top"/>
    </xf>
    <xf numFmtId="0" fontId="17" fillId="16" borderId="109" xfId="0" applyFont="1" applyFill="1" applyBorder="1" applyAlignment="1">
      <alignment horizontal="left" vertical="top" indent="1"/>
    </xf>
    <xf numFmtId="0" fontId="17" fillId="16" borderId="109" xfId="0" applyFont="1" applyFill="1" applyBorder="1" applyAlignment="1">
      <alignment horizontal="right" vertical="top" indent="1"/>
    </xf>
    <xf numFmtId="0" fontId="17" fillId="16" borderId="109" xfId="0" applyFont="1" applyFill="1" applyBorder="1" applyAlignment="1">
      <alignment horizontal="center" vertical="top"/>
    </xf>
    <xf numFmtId="0" fontId="15" fillId="9" borderId="34" xfId="0" applyFont="1" applyFill="1" applyBorder="1" applyProtection="1">
      <protection hidden="1"/>
    </xf>
    <xf numFmtId="0" fontId="9"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3" fillId="0" borderId="0" xfId="0" applyFont="1" applyProtection="1">
      <protection hidden="1"/>
    </xf>
    <xf numFmtId="0" fontId="24" fillId="0" borderId="0" xfId="0" applyFont="1" applyAlignment="1" applyProtection="1">
      <alignment horizontal="center" vertical="center" shrinkToFit="1"/>
      <protection hidden="1"/>
    </xf>
    <xf numFmtId="0" fontId="25" fillId="0" borderId="0" xfId="0" applyFont="1" applyAlignment="1" applyProtection="1">
      <alignment horizontal="center" vertical="center" shrinkToFit="1"/>
      <protection hidden="1"/>
    </xf>
    <xf numFmtId="0" fontId="28"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31"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34" fillId="0" borderId="0" xfId="0" applyFont="1" applyAlignment="1" applyProtection="1">
      <alignment horizontal="center" vertical="center" shrinkToFit="1"/>
      <protection hidden="1"/>
    </xf>
    <xf numFmtId="0" fontId="35" fillId="0" borderId="0" xfId="0" applyFont="1" applyAlignment="1" applyProtection="1">
      <alignment horizontal="center" vertical="center"/>
      <protection hidden="1"/>
    </xf>
    <xf numFmtId="0" fontId="36"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0" fontId="17" fillId="16" borderId="0" xfId="0" applyFont="1" applyFill="1" applyAlignment="1">
      <alignment horizontal="left" vertical="top" indent="1"/>
    </xf>
    <xf numFmtId="0" fontId="17" fillId="16" borderId="0" xfId="0" applyFont="1" applyFill="1" applyAlignment="1">
      <alignment horizontal="right" vertical="top" indent="1"/>
    </xf>
    <xf numFmtId="0" fontId="17" fillId="16" borderId="0" xfId="0" applyFont="1" applyFill="1" applyAlignment="1">
      <alignment horizontal="center" vertical="top"/>
    </xf>
    <xf numFmtId="0" fontId="0" fillId="17" borderId="4" xfId="0" applyFill="1" applyBorder="1" applyProtection="1">
      <protection hidden="1"/>
    </xf>
    <xf numFmtId="0" fontId="7" fillId="17" borderId="4" xfId="0" applyFont="1" applyFill="1" applyBorder="1" applyProtection="1">
      <protection hidden="1"/>
    </xf>
    <xf numFmtId="0" fontId="0" fillId="17" borderId="0" xfId="0" applyFill="1" applyProtection="1">
      <protection hidden="1"/>
    </xf>
    <xf numFmtId="0" fontId="0" fillId="17" borderId="7" xfId="0" applyFill="1" applyBorder="1" applyProtection="1">
      <protection hidden="1"/>
    </xf>
    <xf numFmtId="0" fontId="0" fillId="17" borderId="33" xfId="0" applyFill="1" applyBorder="1" applyProtection="1">
      <protection hidden="1"/>
    </xf>
    <xf numFmtId="0" fontId="0" fillId="17" borderId="8" xfId="0" applyFill="1" applyBorder="1" applyProtection="1">
      <protection hidden="1"/>
    </xf>
    <xf numFmtId="0" fontId="0" fillId="17" borderId="20" xfId="0" applyFill="1" applyBorder="1" applyProtection="1">
      <protection hidden="1"/>
    </xf>
    <xf numFmtId="0" fontId="7" fillId="17" borderId="20" xfId="0" applyFont="1" applyFill="1" applyBorder="1" applyProtection="1">
      <protection hidden="1"/>
    </xf>
    <xf numFmtId="0" fontId="0" fillId="17" borderId="44" xfId="0" applyFill="1" applyBorder="1" applyProtection="1">
      <protection hidden="1"/>
    </xf>
    <xf numFmtId="0" fontId="0" fillId="17" borderId="46" xfId="0" applyFill="1" applyBorder="1" applyProtection="1">
      <protection hidden="1"/>
    </xf>
    <xf numFmtId="0" fontId="0" fillId="17" borderId="47" xfId="0" applyFill="1" applyBorder="1" applyProtection="1">
      <protection hidden="1"/>
    </xf>
    <xf numFmtId="0" fontId="0" fillId="17" borderId="10" xfId="0" applyFill="1" applyBorder="1" applyProtection="1">
      <protection hidden="1"/>
    </xf>
    <xf numFmtId="0" fontId="0" fillId="18" borderId="4" xfId="0" applyFill="1" applyBorder="1" applyProtection="1">
      <protection hidden="1"/>
    </xf>
    <xf numFmtId="0" fontId="0" fillId="19" borderId="4" xfId="0" applyFill="1" applyBorder="1" applyProtection="1">
      <protection hidden="1"/>
    </xf>
    <xf numFmtId="0" fontId="7" fillId="19" borderId="0" xfId="0" applyFont="1" applyFill="1" applyProtection="1">
      <protection hidden="1"/>
    </xf>
    <xf numFmtId="0" fontId="0" fillId="19" borderId="0" xfId="0" applyFill="1" applyProtection="1">
      <protection hidden="1"/>
    </xf>
    <xf numFmtId="0" fontId="0" fillId="20" borderId="4" xfId="0" applyFill="1" applyBorder="1" applyProtection="1">
      <protection hidden="1"/>
    </xf>
    <xf numFmtId="0" fontId="0" fillId="19" borderId="7" xfId="0" applyFill="1" applyBorder="1" applyProtection="1">
      <protection hidden="1"/>
    </xf>
    <xf numFmtId="0" fontId="0" fillId="19" borderId="33" xfId="0" applyFill="1" applyBorder="1" applyProtection="1">
      <protection hidden="1"/>
    </xf>
    <xf numFmtId="0" fontId="0" fillId="19" borderId="8" xfId="0" applyFill="1" applyBorder="1" applyProtection="1">
      <protection hidden="1"/>
    </xf>
    <xf numFmtId="0" fontId="0" fillId="19" borderId="20" xfId="0" applyFill="1" applyBorder="1" applyProtection="1">
      <protection hidden="1"/>
    </xf>
    <xf numFmtId="0" fontId="7" fillId="19" borderId="44" xfId="0" applyFont="1" applyFill="1" applyBorder="1" applyProtection="1">
      <protection hidden="1"/>
    </xf>
    <xf numFmtId="0" fontId="0" fillId="19" borderId="44" xfId="0" applyFill="1" applyBorder="1" applyProtection="1">
      <protection hidden="1"/>
    </xf>
    <xf numFmtId="0" fontId="0" fillId="19" borderId="10" xfId="0" applyFill="1" applyBorder="1" applyProtection="1">
      <protection hidden="1"/>
    </xf>
    <xf numFmtId="0" fontId="0" fillId="19" borderId="46" xfId="0" applyFill="1" applyBorder="1" applyProtection="1">
      <protection hidden="1"/>
    </xf>
    <xf numFmtId="0" fontId="0" fillId="19" borderId="47" xfId="0" applyFill="1" applyBorder="1" applyProtection="1">
      <protection hidden="1"/>
    </xf>
    <xf numFmtId="0" fontId="0" fillId="19" borderId="53" xfId="0" applyFill="1" applyBorder="1" applyProtection="1">
      <protection hidden="1"/>
    </xf>
    <xf numFmtId="0" fontId="0" fillId="19" borderId="32" xfId="0" applyFill="1" applyBorder="1" applyProtection="1">
      <protection hidden="1"/>
    </xf>
    <xf numFmtId="0" fontId="0" fillId="20" borderId="32" xfId="0" applyFill="1" applyBorder="1" applyProtection="1">
      <protection hidden="1"/>
    </xf>
    <xf numFmtId="0" fontId="0" fillId="19" borderId="51" xfId="0" applyFill="1" applyBorder="1" applyProtection="1">
      <protection hidden="1"/>
    </xf>
    <xf numFmtId="0" fontId="0" fillId="3" borderId="4" xfId="0" applyFill="1" applyBorder="1" applyProtection="1">
      <protection hidden="1"/>
    </xf>
    <xf numFmtId="0" fontId="0" fillId="3" borderId="32" xfId="0" applyFill="1" applyBorder="1" applyProtection="1">
      <protection hidden="1"/>
    </xf>
    <xf numFmtId="0" fontId="0" fillId="3" borderId="53" xfId="0" applyFill="1" applyBorder="1" applyProtection="1">
      <protection hidden="1"/>
    </xf>
    <xf numFmtId="0" fontId="0" fillId="3" borderId="7" xfId="0" applyFill="1" applyBorder="1" applyProtection="1">
      <protection hidden="1"/>
    </xf>
    <xf numFmtId="0" fontId="0" fillId="3" borderId="33" xfId="0" applyFill="1" applyBorder="1" applyProtection="1">
      <protection hidden="1"/>
    </xf>
    <xf numFmtId="0" fontId="0" fillId="3" borderId="8" xfId="0" applyFill="1" applyBorder="1" applyProtection="1">
      <protection hidden="1"/>
    </xf>
    <xf numFmtId="0" fontId="0" fillId="3" borderId="0" xfId="0" applyFill="1" applyProtection="1">
      <protection hidden="1"/>
    </xf>
    <xf numFmtId="0" fontId="0" fillId="3" borderId="20" xfId="0" applyFill="1" applyBorder="1" applyProtection="1">
      <protection hidden="1"/>
    </xf>
    <xf numFmtId="0" fontId="0" fillId="3" borderId="44" xfId="0" applyFill="1" applyBorder="1" applyProtection="1">
      <protection hidden="1"/>
    </xf>
    <xf numFmtId="0" fontId="0" fillId="3" borderId="51" xfId="0" applyFill="1" applyBorder="1" applyProtection="1">
      <protection hidden="1"/>
    </xf>
    <xf numFmtId="0" fontId="0" fillId="3" borderId="10" xfId="0" applyFill="1" applyBorder="1" applyProtection="1">
      <protection hidden="1"/>
    </xf>
    <xf numFmtId="0" fontId="0" fillId="3" borderId="46" xfId="0" applyFill="1" applyBorder="1" applyProtection="1">
      <protection hidden="1"/>
    </xf>
    <xf numFmtId="0" fontId="0" fillId="3" borderId="47" xfId="0" applyFill="1" applyBorder="1" applyProtection="1">
      <protection hidden="1"/>
    </xf>
    <xf numFmtId="0" fontId="0" fillId="5" borderId="32" xfId="0" applyFill="1" applyBorder="1" applyProtection="1">
      <protection hidden="1"/>
    </xf>
    <xf numFmtId="0" fontId="0" fillId="5" borderId="4" xfId="0" applyFill="1" applyBorder="1" applyProtection="1">
      <protection hidden="1"/>
    </xf>
    <xf numFmtId="0" fontId="0" fillId="10" borderId="6" xfId="0" applyFill="1" applyBorder="1" applyProtection="1">
      <protection hidden="1"/>
    </xf>
    <xf numFmtId="0" fontId="0" fillId="10" borderId="7" xfId="0" applyFill="1" applyBorder="1" applyProtection="1">
      <protection hidden="1"/>
    </xf>
    <xf numFmtId="0" fontId="0" fillId="10" borderId="33" xfId="0" applyFill="1" applyBorder="1" applyProtection="1">
      <protection hidden="1"/>
    </xf>
    <xf numFmtId="0" fontId="0" fillId="10" borderId="8" xfId="0" applyFill="1" applyBorder="1" applyProtection="1">
      <protection hidden="1"/>
    </xf>
    <xf numFmtId="0" fontId="0" fillId="10" borderId="19" xfId="0" applyFill="1" applyBorder="1" applyProtection="1">
      <protection hidden="1"/>
    </xf>
    <xf numFmtId="0" fontId="0" fillId="10" borderId="4" xfId="0" applyFill="1" applyBorder="1" applyProtection="1">
      <protection hidden="1"/>
    </xf>
    <xf numFmtId="0" fontId="0" fillId="10" borderId="0" xfId="0" applyFill="1" applyProtection="1">
      <protection hidden="1"/>
    </xf>
    <xf numFmtId="0" fontId="0" fillId="10" borderId="20" xfId="0" applyFill="1" applyBorder="1" applyProtection="1">
      <protection hidden="1"/>
    </xf>
    <xf numFmtId="0" fontId="0" fillId="10" borderId="43" xfId="0" applyFill="1" applyBorder="1" applyProtection="1">
      <protection hidden="1"/>
    </xf>
    <xf numFmtId="0" fontId="0" fillId="10" borderId="44" xfId="0" applyFill="1" applyBorder="1" applyProtection="1">
      <protection hidden="1"/>
    </xf>
    <xf numFmtId="0" fontId="0" fillId="10" borderId="30" xfId="0" applyFill="1" applyBorder="1" applyProtection="1">
      <protection hidden="1"/>
    </xf>
    <xf numFmtId="0" fontId="0" fillId="10" borderId="9" xfId="0" applyFill="1" applyBorder="1" applyProtection="1">
      <protection hidden="1"/>
    </xf>
    <xf numFmtId="0" fontId="0" fillId="10" borderId="10" xfId="0" applyFill="1" applyBorder="1" applyProtection="1">
      <protection hidden="1"/>
    </xf>
    <xf numFmtId="0" fontId="0" fillId="10" borderId="46" xfId="0" applyFill="1" applyBorder="1" applyProtection="1">
      <protection hidden="1"/>
    </xf>
    <xf numFmtId="0" fontId="0" fillId="10" borderId="47" xfId="0" applyFill="1" applyBorder="1" applyProtection="1">
      <protection hidden="1"/>
    </xf>
    <xf numFmtId="0" fontId="0" fillId="21" borderId="19" xfId="0" applyFill="1" applyBorder="1" applyProtection="1">
      <protection hidden="1"/>
    </xf>
    <xf numFmtId="0" fontId="0" fillId="21" borderId="4" xfId="0" applyFill="1" applyBorder="1" applyProtection="1">
      <protection hidden="1"/>
    </xf>
    <xf numFmtId="0" fontId="0" fillId="17" borderId="24" xfId="0" applyFill="1" applyBorder="1" applyAlignment="1" applyProtection="1">
      <alignment horizontal="center" vertical="center"/>
      <protection hidden="1"/>
    </xf>
    <xf numFmtId="0" fontId="0" fillId="19" borderId="2" xfId="0" applyFill="1" applyBorder="1" applyAlignment="1" applyProtection="1">
      <alignment horizontal="center" vertical="center"/>
      <protection hidden="1"/>
    </xf>
    <xf numFmtId="0" fontId="0" fillId="3" borderId="2" xfId="0" applyFill="1" applyBorder="1" applyAlignment="1" applyProtection="1">
      <alignment horizontal="center" vertical="center"/>
      <protection hidden="1"/>
    </xf>
    <xf numFmtId="0" fontId="0" fillId="10" borderId="3" xfId="0" applyFill="1" applyBorder="1" applyAlignment="1" applyProtection="1">
      <alignment horizontal="center" vertical="center"/>
      <protection hidden="1"/>
    </xf>
    <xf numFmtId="0" fontId="0" fillId="17" borderId="7" xfId="0" applyFill="1" applyBorder="1" applyAlignment="1" applyProtection="1">
      <alignment horizontal="center" vertical="center"/>
      <protection hidden="1"/>
    </xf>
    <xf numFmtId="0" fontId="0" fillId="17" borderId="8" xfId="0" applyFill="1" applyBorder="1" applyAlignment="1" applyProtection="1">
      <alignment horizontal="center" vertical="center"/>
      <protection hidden="1"/>
    </xf>
    <xf numFmtId="0" fontId="0" fillId="19" borderId="4" xfId="0" applyFill="1" applyBorder="1" applyAlignment="1" applyProtection="1">
      <alignment horizontal="center" vertical="center"/>
      <protection hidden="1"/>
    </xf>
    <xf numFmtId="0" fontId="0" fillId="19" borderId="20" xfId="0" applyFill="1" applyBorder="1" applyAlignment="1" applyProtection="1">
      <alignment horizontal="center" vertical="center"/>
      <protection hidden="1"/>
    </xf>
    <xf numFmtId="0" fontId="0" fillId="3" borderId="4" xfId="0" applyFill="1" applyBorder="1" applyAlignment="1" applyProtection="1">
      <alignment horizontal="center" vertical="center"/>
      <protection hidden="1"/>
    </xf>
    <xf numFmtId="0" fontId="0" fillId="3" borderId="20" xfId="0" applyFill="1" applyBorder="1" applyAlignment="1" applyProtection="1">
      <alignment horizontal="center" vertical="center"/>
      <protection hidden="1"/>
    </xf>
    <xf numFmtId="0" fontId="0" fillId="10" borderId="10" xfId="0" applyFill="1" applyBorder="1" applyAlignment="1" applyProtection="1">
      <alignment horizontal="center" vertical="center"/>
      <protection hidden="1"/>
    </xf>
    <xf numFmtId="0" fontId="0" fillId="10" borderId="11" xfId="0" applyFill="1" applyBorder="1" applyAlignment="1" applyProtection="1">
      <alignment horizontal="center" vertical="center"/>
      <protection hidden="1"/>
    </xf>
    <xf numFmtId="0" fontId="0" fillId="0" borderId="8" xfId="0" applyBorder="1" applyAlignment="1" applyProtection="1">
      <alignment horizontal="center" vertical="center" shrinkToFit="1"/>
      <protection hidden="1"/>
    </xf>
    <xf numFmtId="0" fontId="0" fillId="0" borderId="2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17" borderId="53" xfId="0" applyFill="1" applyBorder="1" applyProtection="1">
      <protection hidden="1"/>
    </xf>
    <xf numFmtId="0" fontId="0" fillId="17" borderId="32" xfId="0" applyFill="1" applyBorder="1" applyProtection="1">
      <protection hidden="1"/>
    </xf>
    <xf numFmtId="0" fontId="0" fillId="18" borderId="32" xfId="0" applyFill="1" applyBorder="1" applyProtection="1">
      <protection hidden="1"/>
    </xf>
    <xf numFmtId="0" fontId="0" fillId="17" borderId="51" xfId="0" applyFill="1" applyBorder="1" applyProtection="1">
      <protection hidden="1"/>
    </xf>
    <xf numFmtId="0" fontId="0" fillId="17" borderId="6" xfId="0" applyFill="1" applyBorder="1" applyAlignment="1" applyProtection="1">
      <alignment horizontal="center" vertical="center"/>
      <protection hidden="1"/>
    </xf>
    <xf numFmtId="0" fontId="0" fillId="19" borderId="19" xfId="0" applyFill="1" applyBorder="1" applyAlignment="1" applyProtection="1">
      <alignment horizontal="center" vertical="center"/>
      <protection hidden="1"/>
    </xf>
    <xf numFmtId="0" fontId="0" fillId="3" borderId="19" xfId="0" applyFill="1" applyBorder="1" applyAlignment="1" applyProtection="1">
      <alignment horizontal="center" vertical="center"/>
      <protection hidden="1"/>
    </xf>
    <xf numFmtId="0" fontId="0" fillId="10" borderId="9" xfId="0" applyFill="1" applyBorder="1" applyAlignment="1" applyProtection="1">
      <alignment horizontal="center" vertical="center"/>
      <protection hidden="1"/>
    </xf>
    <xf numFmtId="0" fontId="10" fillId="0" borderId="0" xfId="1"/>
    <xf numFmtId="0" fontId="0" fillId="11" borderId="0" xfId="0" applyFill="1"/>
    <xf numFmtId="0" fontId="9" fillId="15" borderId="27" xfId="0" applyFont="1" applyFill="1" applyBorder="1" applyAlignment="1" applyProtection="1">
      <alignment horizontal="center" vertical="center"/>
      <protection locked="0" hidden="1"/>
    </xf>
    <xf numFmtId="0" fontId="0" fillId="0" borderId="13" xfId="0" applyBorder="1" applyProtection="1">
      <protection hidden="1"/>
    </xf>
    <xf numFmtId="0" fontId="0" fillId="11" borderId="0" xfId="0" applyFill="1" applyProtection="1">
      <protection hidden="1"/>
    </xf>
    <xf numFmtId="0" fontId="0" fillId="11" borderId="0" xfId="0" applyFill="1" applyAlignment="1" applyProtection="1">
      <alignment horizontal="right"/>
      <protection hidden="1"/>
    </xf>
    <xf numFmtId="0" fontId="9" fillId="11" borderId="0" xfId="0" applyFont="1" applyFill="1" applyProtection="1">
      <protection hidden="1"/>
    </xf>
    <xf numFmtId="0" fontId="0" fillId="11" borderId="0" xfId="0" quotePrefix="1" applyFill="1" applyProtection="1">
      <protection hidden="1"/>
    </xf>
    <xf numFmtId="0" fontId="3" fillId="11" borderId="0" xfId="0" applyFont="1" applyFill="1" applyProtection="1">
      <protection hidden="1"/>
    </xf>
    <xf numFmtId="0" fontId="14" fillId="11" borderId="0" xfId="0" applyFont="1" applyFill="1" applyAlignment="1" applyProtection="1">
      <alignment horizontal="center" vertical="center"/>
      <protection hidden="1"/>
    </xf>
    <xf numFmtId="0" fontId="1" fillId="9" borderId="24" xfId="0" applyFont="1" applyFill="1" applyBorder="1" applyAlignment="1" applyProtection="1">
      <alignment horizontal="center" vertical="center"/>
      <protection hidden="1"/>
    </xf>
    <xf numFmtId="0" fontId="3" fillId="14" borderId="58" xfId="0" applyFont="1" applyFill="1" applyBorder="1" applyAlignment="1" applyProtection="1">
      <alignment horizontal="center" vertical="center"/>
      <protection locked="0" hidden="1"/>
    </xf>
    <xf numFmtId="0" fontId="1" fillId="9" borderId="2" xfId="0" applyFont="1" applyFill="1" applyBorder="1" applyAlignment="1" applyProtection="1">
      <alignment horizontal="center" vertical="center"/>
      <protection hidden="1"/>
    </xf>
    <xf numFmtId="0" fontId="3" fillId="14" borderId="36" xfId="0" applyFont="1" applyFill="1" applyBorder="1" applyAlignment="1" applyProtection="1">
      <alignment horizontal="center" vertical="center"/>
      <protection locked="0" hidden="1"/>
    </xf>
    <xf numFmtId="0" fontId="1" fillId="9" borderId="3" xfId="0" applyFont="1" applyFill="1" applyBorder="1" applyAlignment="1" applyProtection="1">
      <alignment horizontal="center" vertical="center"/>
      <protection hidden="1"/>
    </xf>
    <xf numFmtId="0" fontId="3" fillId="14" borderId="37" xfId="0" applyFont="1" applyFill="1" applyBorder="1" applyAlignment="1" applyProtection="1">
      <alignment horizontal="center" vertical="center"/>
      <protection locked="0" hidden="1"/>
    </xf>
    <xf numFmtId="164" fontId="0" fillId="0" borderId="7" xfId="0" applyNumberFormat="1" applyBorder="1" applyAlignment="1" applyProtection="1">
      <alignment horizontal="center" vertical="center"/>
      <protection hidden="1"/>
    </xf>
    <xf numFmtId="0" fontId="15" fillId="9" borderId="58" xfId="0" applyFont="1" applyFill="1" applyBorder="1" applyAlignment="1" applyProtection="1">
      <alignment horizontal="center" vertical="center"/>
      <protection hidden="1"/>
    </xf>
    <xf numFmtId="164" fontId="0" fillId="0" borderId="4" xfId="0" applyNumberFormat="1" applyBorder="1" applyAlignment="1" applyProtection="1">
      <alignment horizontal="center" vertical="center"/>
      <protection hidden="1"/>
    </xf>
    <xf numFmtId="0" fontId="15" fillId="9" borderId="36" xfId="0" applyFont="1" applyFill="1" applyBorder="1" applyAlignment="1" applyProtection="1">
      <alignment horizontal="center" vertical="center"/>
      <protection hidden="1"/>
    </xf>
    <xf numFmtId="164" fontId="0" fillId="0" borderId="10" xfId="0" applyNumberFormat="1" applyBorder="1" applyAlignment="1" applyProtection="1">
      <alignment horizontal="center" vertical="center"/>
      <protection hidden="1"/>
    </xf>
    <xf numFmtId="0" fontId="15" fillId="9" borderId="37" xfId="0" applyFont="1" applyFill="1" applyBorder="1" applyAlignment="1" applyProtection="1">
      <alignment horizontal="center" vertical="center"/>
      <protection hidden="1"/>
    </xf>
    <xf numFmtId="0" fontId="1" fillId="0" borderId="22" xfId="0" applyFont="1" applyBorder="1" applyAlignment="1">
      <alignment horizontal="center" vertical="center"/>
    </xf>
    <xf numFmtId="0" fontId="0" fillId="0" borderId="53" xfId="0" applyBorder="1" applyAlignment="1">
      <alignment horizontal="center" vertical="center"/>
    </xf>
    <xf numFmtId="0" fontId="0" fillId="27" borderId="0" xfId="0" applyFill="1"/>
    <xf numFmtId="0" fontId="2" fillId="0" borderId="59" xfId="0" applyFont="1" applyBorder="1" applyAlignment="1" applyProtection="1">
      <alignment horizontal="center" vertical="center"/>
      <protection hidden="1"/>
    </xf>
    <xf numFmtId="0" fontId="2" fillId="0" borderId="61" xfId="0" applyFont="1" applyBorder="1" applyAlignment="1" applyProtection="1">
      <alignment horizontal="center" vertical="center"/>
      <protection hidden="1"/>
    </xf>
    <xf numFmtId="0" fontId="2" fillId="0" borderId="39" xfId="0" applyFont="1" applyBorder="1" applyAlignment="1" applyProtection="1">
      <alignment horizontal="center" vertical="center"/>
      <protection hidden="1"/>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9" fillId="14" borderId="27" xfId="0" applyFont="1" applyFill="1" applyBorder="1" applyAlignment="1" applyProtection="1">
      <alignment horizontal="center" vertical="center"/>
      <protection locked="0" hidden="1"/>
    </xf>
    <xf numFmtId="0" fontId="0" fillId="0" borderId="62" xfId="0" applyBorder="1" applyAlignment="1">
      <alignment horizontal="center" vertical="center"/>
    </xf>
    <xf numFmtId="0" fontId="0" fillId="0" borderId="54" xfId="0" applyBorder="1" applyAlignment="1">
      <alignment horizontal="center" vertical="center"/>
    </xf>
    <xf numFmtId="0" fontId="0" fillId="0" borderId="54" xfId="0" applyBorder="1"/>
    <xf numFmtId="2" fontId="0" fillId="0" borderId="64" xfId="0" applyNumberFormat="1" applyBorder="1" applyAlignment="1">
      <alignment horizontal="center" vertical="center"/>
    </xf>
    <xf numFmtId="2" fontId="0" fillId="0" borderId="54" xfId="0" applyNumberFormat="1" applyBorder="1" applyAlignment="1">
      <alignment horizontal="center" vertical="center"/>
    </xf>
    <xf numFmtId="0" fontId="0" fillId="0" borderId="56" xfId="0" applyBorder="1" applyAlignment="1">
      <alignment horizontal="center" vertical="center"/>
    </xf>
    <xf numFmtId="0" fontId="0" fillId="0" borderId="55" xfId="0" applyBorder="1" applyAlignment="1">
      <alignment horizontal="center" vertical="center"/>
    </xf>
    <xf numFmtId="0" fontId="0" fillId="0" borderId="29" xfId="0" applyBorder="1"/>
    <xf numFmtId="0" fontId="0" fillId="0" borderId="30" xfId="0" applyBorder="1"/>
    <xf numFmtId="0" fontId="0" fillId="0" borderId="30" xfId="0" applyBorder="1" applyAlignment="1">
      <alignment horizontal="center" vertical="center"/>
    </xf>
    <xf numFmtId="0" fontId="0" fillId="0" borderId="64" xfId="0" applyBorder="1" applyAlignment="1">
      <alignment horizontal="center" vertical="center"/>
    </xf>
    <xf numFmtId="0" fontId="0" fillId="0" borderId="31" xfId="0" applyBorder="1" applyAlignment="1">
      <alignment horizontal="center" vertical="center"/>
    </xf>
    <xf numFmtId="0" fontId="0" fillId="11" borderId="61" xfId="0"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0" fillId="19" borderId="6" xfId="0" quotePrefix="1"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19" borderId="29"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57" xfId="0" applyFill="1" applyBorder="1" applyAlignment="1" applyProtection="1">
      <alignment horizontal="center" vertical="center"/>
      <protection hidden="1"/>
    </xf>
    <xf numFmtId="0" fontId="0" fillId="19" borderId="29" xfId="0" applyFill="1" applyBorder="1" applyProtection="1">
      <protection hidden="1"/>
    </xf>
    <xf numFmtId="0" fontId="0" fillId="19" borderId="19" xfId="0" quotePrefix="1" applyFill="1" applyBorder="1" applyAlignment="1" applyProtection="1">
      <alignment horizontal="center" vertical="center"/>
      <protection hidden="1"/>
    </xf>
    <xf numFmtId="0" fontId="0" fillId="19" borderId="30" xfId="0" applyFill="1" applyBorder="1" applyAlignment="1" applyProtection="1">
      <alignment horizontal="center" vertical="center"/>
      <protection hidden="1"/>
    </xf>
    <xf numFmtId="0" fontId="0" fillId="19" borderId="104" xfId="0" applyFill="1" applyBorder="1" applyAlignment="1" applyProtection="1">
      <alignment horizontal="center" vertical="center"/>
      <protection hidden="1"/>
    </xf>
    <xf numFmtId="0" fontId="0" fillId="19" borderId="30" xfId="0" applyFill="1" applyBorder="1" applyProtection="1">
      <protection hidden="1"/>
    </xf>
    <xf numFmtId="0" fontId="0" fillId="19" borderId="9" xfId="0" quotePrefix="1" applyFill="1" applyBorder="1" applyAlignment="1" applyProtection="1">
      <alignment horizontal="center" vertical="center"/>
      <protection hidden="1"/>
    </xf>
    <xf numFmtId="0" fontId="0" fillId="19" borderId="10" xfId="0" applyFill="1" applyBorder="1" applyAlignment="1" applyProtection="1">
      <alignment horizontal="center" vertical="center"/>
      <protection hidden="1"/>
    </xf>
    <xf numFmtId="0" fontId="0" fillId="19" borderId="31" xfId="0" applyFill="1" applyBorder="1" applyAlignment="1" applyProtection="1">
      <alignment horizontal="center" vertical="center"/>
      <protection hidden="1"/>
    </xf>
    <xf numFmtId="0" fontId="0" fillId="19" borderId="9" xfId="0" applyFill="1" applyBorder="1" applyAlignment="1" applyProtection="1">
      <alignment horizontal="center" vertical="center"/>
      <protection hidden="1"/>
    </xf>
    <xf numFmtId="0" fontId="0" fillId="19" borderId="105" xfId="0" applyFill="1" applyBorder="1" applyAlignment="1" applyProtection="1">
      <alignment horizontal="center" vertical="center"/>
      <protection hidden="1"/>
    </xf>
    <xf numFmtId="0" fontId="0" fillId="19" borderId="31" xfId="0" applyFill="1" applyBorder="1" applyProtection="1">
      <protection hidden="1"/>
    </xf>
    <xf numFmtId="0" fontId="0" fillId="19" borderId="11" xfId="0" applyFill="1" applyBorder="1" applyProtection="1">
      <protection hidden="1"/>
    </xf>
    <xf numFmtId="0" fontId="0" fillId="25" borderId="0" xfId="0" applyFill="1" applyAlignment="1" applyProtection="1">
      <alignment horizontal="center" vertical="center"/>
      <protection hidden="1"/>
    </xf>
    <xf numFmtId="0" fontId="0" fillId="25" borderId="0" xfId="0" applyFill="1" applyProtection="1">
      <protection hidden="1"/>
    </xf>
    <xf numFmtId="0" fontId="14" fillId="9" borderId="0" xfId="0" applyFont="1" applyFill="1" applyAlignment="1" applyProtection="1">
      <alignment horizontal="center" vertical="center"/>
      <protection hidden="1"/>
    </xf>
    <xf numFmtId="0" fontId="0" fillId="9" borderId="0" xfId="0" applyFill="1" applyProtection="1">
      <protection hidden="1"/>
    </xf>
    <xf numFmtId="0" fontId="3" fillId="26" borderId="0" xfId="0" applyFont="1" applyFill="1" applyProtection="1">
      <protection hidden="1"/>
    </xf>
    <xf numFmtId="0" fontId="3" fillId="26" borderId="4" xfId="0" applyFont="1" applyFill="1" applyBorder="1" applyProtection="1">
      <protection hidden="1"/>
    </xf>
    <xf numFmtId="0" fontId="0" fillId="26" borderId="4" xfId="0" applyFill="1" applyBorder="1" applyProtection="1">
      <protection hidden="1"/>
    </xf>
    <xf numFmtId="2" fontId="3" fillId="26" borderId="4" xfId="0" applyNumberFormat="1" applyFont="1" applyFill="1" applyBorder="1" applyProtection="1">
      <protection hidden="1"/>
    </xf>
    <xf numFmtId="0" fontId="0" fillId="47" borderId="49" xfId="0" applyFill="1" applyBorder="1" applyAlignment="1" applyProtection="1">
      <alignment horizontal="center" vertical="center"/>
      <protection hidden="1"/>
    </xf>
    <xf numFmtId="0" fontId="0" fillId="47" borderId="50" xfId="0" applyFill="1" applyBorder="1" applyAlignment="1" applyProtection="1">
      <alignment horizontal="center" vertical="center"/>
      <protection hidden="1"/>
    </xf>
    <xf numFmtId="0" fontId="0" fillId="47" borderId="6" xfId="0" applyFill="1" applyBorder="1" applyAlignment="1" applyProtection="1">
      <alignment horizontal="center" vertical="center"/>
      <protection hidden="1"/>
    </xf>
    <xf numFmtId="0" fontId="0" fillId="47" borderId="29" xfId="0" applyFill="1" applyBorder="1" applyAlignment="1" applyProtection="1">
      <alignment horizontal="center" vertical="center"/>
      <protection hidden="1"/>
    </xf>
    <xf numFmtId="0" fontId="0" fillId="47" borderId="8" xfId="0" applyFill="1" applyBorder="1" applyAlignment="1" applyProtection="1">
      <alignment horizontal="center" vertical="center"/>
      <protection hidden="1"/>
    </xf>
    <xf numFmtId="0" fontId="0" fillId="47" borderId="53" xfId="0" applyFill="1" applyBorder="1" applyAlignment="1" applyProtection="1">
      <alignment horizontal="center" vertical="center"/>
      <protection hidden="1"/>
    </xf>
    <xf numFmtId="0" fontId="0" fillId="47" borderId="19" xfId="0" applyFill="1" applyBorder="1" applyAlignment="1" applyProtection="1">
      <alignment horizontal="center" vertical="center"/>
      <protection hidden="1"/>
    </xf>
    <xf numFmtId="0" fontId="0" fillId="47" borderId="30" xfId="0" applyFill="1" applyBorder="1" applyAlignment="1" applyProtection="1">
      <alignment horizontal="center" vertical="center"/>
      <protection hidden="1"/>
    </xf>
    <xf numFmtId="0" fontId="0" fillId="47" borderId="20" xfId="0" applyFill="1" applyBorder="1" applyAlignment="1" applyProtection="1">
      <alignment horizontal="center" vertical="center"/>
      <protection hidden="1"/>
    </xf>
    <xf numFmtId="0" fontId="0" fillId="47" borderId="32" xfId="0" applyFill="1" applyBorder="1" applyAlignment="1" applyProtection="1">
      <alignment horizontal="center" vertical="center"/>
      <protection hidden="1"/>
    </xf>
    <xf numFmtId="0" fontId="0" fillId="47" borderId="9" xfId="0" applyFill="1" applyBorder="1" applyAlignment="1" applyProtection="1">
      <alignment horizontal="center" vertical="center"/>
      <protection hidden="1"/>
    </xf>
    <xf numFmtId="0" fontId="0" fillId="47" borderId="31" xfId="0" applyFill="1" applyBorder="1" applyAlignment="1" applyProtection="1">
      <alignment horizontal="center" vertical="center"/>
      <protection hidden="1"/>
    </xf>
    <xf numFmtId="0" fontId="0" fillId="47" borderId="11" xfId="0" applyFill="1" applyBorder="1" applyAlignment="1" applyProtection="1">
      <alignment horizontal="center" vertical="center"/>
      <protection hidden="1"/>
    </xf>
    <xf numFmtId="0" fontId="0" fillId="47" borderId="51" xfId="0" applyFill="1" applyBorder="1" applyAlignment="1" applyProtection="1">
      <alignment horizontal="center" vertical="center"/>
      <protection hidden="1"/>
    </xf>
    <xf numFmtId="0" fontId="0" fillId="47" borderId="4" xfId="0" applyFill="1" applyBorder="1" applyAlignment="1" applyProtection="1">
      <alignment horizontal="center" vertical="center"/>
      <protection hidden="1"/>
    </xf>
    <xf numFmtId="0" fontId="0" fillId="47" borderId="0" xfId="0" applyFill="1" applyProtection="1">
      <protection hidden="1"/>
    </xf>
    <xf numFmtId="0" fontId="0" fillId="48" borderId="4" xfId="0" applyFill="1" applyBorder="1" applyAlignment="1" applyProtection="1">
      <alignment horizontal="center" vertical="center"/>
      <protection hidden="1"/>
    </xf>
    <xf numFmtId="0" fontId="0" fillId="48" borderId="54" xfId="0" applyFill="1" applyBorder="1" applyAlignment="1" applyProtection="1">
      <alignment horizontal="center" vertical="center"/>
      <protection hidden="1"/>
    </xf>
    <xf numFmtId="0" fontId="1" fillId="0" borderId="27" xfId="0" applyFont="1" applyBorder="1" applyAlignment="1">
      <alignment horizontal="center" vertical="center"/>
    </xf>
    <xf numFmtId="0" fontId="0" fillId="0" borderId="57" xfId="0" applyBorder="1" applyAlignment="1">
      <alignment horizontal="center" vertical="center"/>
    </xf>
    <xf numFmtId="0" fontId="0" fillId="0" borderId="104" xfId="0" applyBorder="1" applyAlignment="1">
      <alignment horizontal="center" vertical="center"/>
    </xf>
    <xf numFmtId="0" fontId="0" fillId="0" borderId="115" xfId="0" applyBorder="1" applyAlignment="1">
      <alignment horizontal="center" vertical="center"/>
    </xf>
    <xf numFmtId="0" fontId="0" fillId="0" borderId="105" xfId="0" applyBorder="1" applyAlignment="1">
      <alignment horizontal="center" vertical="center"/>
    </xf>
    <xf numFmtId="0" fontId="0" fillId="0" borderId="58" xfId="0" applyBorder="1" applyAlignment="1">
      <alignment horizontal="center" vertical="center"/>
    </xf>
    <xf numFmtId="0" fontId="0" fillId="0" borderId="36"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37" xfId="0" applyBorder="1" applyAlignment="1">
      <alignment horizontal="center" vertical="center"/>
    </xf>
    <xf numFmtId="0" fontId="9" fillId="15" borderId="27" xfId="0" applyFont="1" applyFill="1" applyBorder="1" applyAlignment="1" applyProtection="1">
      <alignment horizontal="right" vertical="center"/>
      <protection locked="0" hidden="1"/>
    </xf>
    <xf numFmtId="0" fontId="0" fillId="0" borderId="61" xfId="0" applyBorder="1" applyProtection="1">
      <protection hidden="1"/>
    </xf>
    <xf numFmtId="0" fontId="45" fillId="11" borderId="0" xfId="1" applyFont="1" applyFill="1" applyBorder="1" applyAlignment="1">
      <alignment vertical="center" wrapText="1"/>
    </xf>
    <xf numFmtId="0" fontId="45" fillId="11" borderId="0" xfId="0" applyFont="1" applyFill="1" applyAlignment="1">
      <alignment vertical="center"/>
    </xf>
    <xf numFmtId="0" fontId="42" fillId="43" borderId="1" xfId="1" applyFont="1" applyFill="1" applyBorder="1" applyAlignment="1">
      <alignment horizontal="center" vertical="center" wrapText="1"/>
    </xf>
    <xf numFmtId="0" fontId="1" fillId="5" borderId="26" xfId="0" applyFont="1" applyFill="1" applyBorder="1" applyAlignment="1" applyProtection="1">
      <alignment horizontal="center" vertical="center"/>
      <protection hidden="1"/>
    </xf>
    <xf numFmtId="0" fontId="1" fillId="0" borderId="83" xfId="0" applyFont="1" applyBorder="1" applyAlignment="1" applyProtection="1">
      <alignment horizontal="center" vertical="center"/>
      <protection hidden="1"/>
    </xf>
    <xf numFmtId="0" fontId="1" fillId="0" borderId="28" xfId="0" applyFont="1" applyBorder="1" applyAlignment="1" applyProtection="1">
      <alignment horizontal="center" vertical="center"/>
      <protection hidden="1"/>
    </xf>
    <xf numFmtId="0" fontId="1" fillId="9" borderId="26" xfId="0" applyFont="1" applyFill="1" applyBorder="1" applyAlignment="1" applyProtection="1">
      <alignment horizontal="center" vertical="center"/>
      <protection hidden="1"/>
    </xf>
    <xf numFmtId="0" fontId="1" fillId="8" borderId="28" xfId="0" applyFont="1" applyFill="1"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1" fontId="0" fillId="0" borderId="30" xfId="0" applyNumberFormat="1" applyBorder="1" applyAlignment="1" applyProtection="1">
      <alignment horizontal="center" vertical="center"/>
      <protection hidden="1"/>
    </xf>
    <xf numFmtId="1" fontId="0" fillId="0" borderId="31" xfId="0" applyNumberFormat="1"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6" borderId="119" xfId="0" applyFill="1" applyBorder="1" applyAlignment="1" applyProtection="1">
      <alignment horizontal="center" vertical="center"/>
      <protection hidden="1"/>
    </xf>
    <xf numFmtId="0" fontId="0" fillId="0" borderId="4" xfId="0" applyBorder="1" applyAlignment="1" applyProtection="1">
      <alignment horizontal="center" vertical="center" shrinkToFit="1"/>
      <protection hidden="1"/>
    </xf>
    <xf numFmtId="0" fontId="0" fillId="0" borderId="17" xfId="0" applyBorder="1" applyAlignment="1" applyProtection="1">
      <alignment horizontal="center" vertical="center"/>
      <protection hidden="1"/>
    </xf>
    <xf numFmtId="0" fontId="0" fillId="0" borderId="5" xfId="0" applyBorder="1" applyAlignment="1" applyProtection="1">
      <alignment horizontal="center" vertical="center" shrinkToFit="1"/>
      <protection hidden="1"/>
    </xf>
    <xf numFmtId="0" fontId="0" fillId="0" borderId="18" xfId="0" applyBorder="1" applyAlignment="1" applyProtection="1">
      <alignment horizontal="center" vertical="center" shrinkToFit="1"/>
      <protection hidden="1"/>
    </xf>
    <xf numFmtId="0" fontId="0" fillId="0" borderId="14" xfId="0" applyBorder="1" applyAlignment="1" applyProtection="1">
      <alignment horizontal="center" vertical="center"/>
      <protection hidden="1"/>
    </xf>
    <xf numFmtId="0" fontId="0" fillId="0" borderId="52" xfId="0" applyBorder="1" applyAlignment="1" applyProtection="1">
      <alignment horizontal="center" vertical="center"/>
      <protection hidden="1"/>
    </xf>
    <xf numFmtId="0" fontId="0" fillId="0" borderId="15" xfId="0" applyBorder="1" applyAlignment="1" applyProtection="1">
      <alignment horizontal="center" vertical="center" wrapText="1"/>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shrinkToFit="1"/>
      <protection hidden="1"/>
    </xf>
    <xf numFmtId="0" fontId="0" fillId="11" borderId="0" xfId="0" applyFill="1" applyAlignment="1" applyProtection="1">
      <alignment horizontal="center"/>
      <protection hidden="1"/>
    </xf>
    <xf numFmtId="0" fontId="49" fillId="50" borderId="2" xfId="0" applyFont="1" applyFill="1" applyBorder="1" applyProtection="1">
      <protection hidden="1"/>
    </xf>
    <xf numFmtId="0" fontId="0" fillId="0" borderId="12" xfId="0" applyBorder="1" applyAlignment="1" applyProtection="1">
      <alignment horizontal="center" vertical="center" wrapText="1"/>
      <protection hidden="1"/>
    </xf>
    <xf numFmtId="0" fontId="0" fillId="0" borderId="7" xfId="0" applyBorder="1" applyAlignment="1" applyProtection="1">
      <alignment horizontal="center" vertical="center" shrinkToFit="1"/>
      <protection hidden="1"/>
    </xf>
    <xf numFmtId="16" fontId="1" fillId="0" borderId="77" xfId="0" applyNumberFormat="1" applyFont="1" applyBorder="1" applyAlignment="1" applyProtection="1">
      <alignment horizontal="center" vertical="center"/>
      <protection hidden="1"/>
    </xf>
    <xf numFmtId="16" fontId="1" fillId="0" borderId="122" xfId="0" applyNumberFormat="1" applyFont="1" applyBorder="1" applyAlignment="1" applyProtection="1">
      <alignment horizontal="center" vertical="center"/>
      <protection hidden="1"/>
    </xf>
    <xf numFmtId="0" fontId="0" fillId="11" borderId="0" xfId="0" applyFill="1" applyAlignment="1" applyProtection="1">
      <alignment horizontal="center" vertical="center"/>
      <protection hidden="1"/>
    </xf>
    <xf numFmtId="16" fontId="1" fillId="11" borderId="0" xfId="0" applyNumberFormat="1" applyFont="1" applyFill="1" applyAlignment="1" applyProtection="1">
      <alignment horizontal="center" vertical="center"/>
      <protection hidden="1"/>
    </xf>
    <xf numFmtId="2" fontId="0" fillId="11" borderId="0" xfId="0" applyNumberFormat="1" applyFill="1" applyAlignment="1" applyProtection="1">
      <alignment horizontal="center" vertical="center"/>
      <protection hidden="1"/>
    </xf>
    <xf numFmtId="0" fontId="0" fillId="11" borderId="0" xfId="0" applyFill="1" applyAlignment="1" applyProtection="1">
      <alignment horizontal="center" vertical="center"/>
      <protection locked="0" hidden="1"/>
    </xf>
    <xf numFmtId="0" fontId="1" fillId="0" borderId="122" xfId="0" applyFont="1" applyBorder="1" applyAlignment="1" applyProtection="1">
      <alignment horizontal="center" vertical="center"/>
      <protection hidden="1"/>
    </xf>
    <xf numFmtId="0" fontId="0" fillId="5" borderId="122" xfId="0" applyFill="1" applyBorder="1" applyAlignment="1" applyProtection="1">
      <alignment horizontal="center" vertical="center"/>
      <protection hidden="1"/>
    </xf>
    <xf numFmtId="2" fontId="0" fillId="3" borderId="125" xfId="0" applyNumberFormat="1"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0" fillId="9" borderId="126" xfId="0" applyFill="1" applyBorder="1" applyAlignment="1" applyProtection="1">
      <alignment horizontal="center" vertical="center"/>
      <protection locked="0" hidden="1"/>
    </xf>
    <xf numFmtId="2" fontId="0" fillId="6" borderId="127" xfId="0" applyNumberFormat="1" applyFill="1" applyBorder="1" applyAlignment="1" applyProtection="1">
      <alignment horizontal="center" vertical="center"/>
      <protection hidden="1"/>
    </xf>
    <xf numFmtId="0" fontId="0" fillId="8" borderId="121" xfId="0" applyFill="1" applyBorder="1" applyAlignment="1" applyProtection="1">
      <alignment horizontal="center" vertical="center"/>
      <protection hidden="1"/>
    </xf>
    <xf numFmtId="16" fontId="1" fillId="0" borderId="6" xfId="0" applyNumberFormat="1" applyFont="1" applyBorder="1" applyAlignment="1" applyProtection="1">
      <alignment horizontal="center" vertical="center"/>
      <protection hidden="1"/>
    </xf>
    <xf numFmtId="16" fontId="1" fillId="0" borderId="19" xfId="0" applyNumberFormat="1" applyFont="1" applyBorder="1" applyAlignment="1" applyProtection="1">
      <alignment horizontal="center" vertical="center"/>
      <protection hidden="1"/>
    </xf>
    <xf numFmtId="16" fontId="1" fillId="0" borderId="9" xfId="0" applyNumberFormat="1" applyFont="1" applyBorder="1" applyAlignment="1" applyProtection="1">
      <alignment horizontal="center" vertical="center"/>
      <protection hidden="1"/>
    </xf>
    <xf numFmtId="0" fontId="1" fillId="9" borderId="40" xfId="0" applyFont="1" applyFill="1" applyBorder="1" applyAlignment="1" applyProtection="1">
      <alignment horizontal="center" vertical="center"/>
      <protection hidden="1"/>
    </xf>
    <xf numFmtId="0" fontId="1" fillId="9" borderId="41" xfId="0" applyFont="1" applyFill="1" applyBorder="1" applyAlignment="1" applyProtection="1">
      <alignment horizontal="center" vertical="center"/>
      <protection hidden="1"/>
    </xf>
    <xf numFmtId="0" fontId="1" fillId="9" borderId="42" xfId="0" applyFont="1" applyFill="1" applyBorder="1" applyAlignment="1" applyProtection="1">
      <alignment horizontal="center" vertical="center"/>
      <protection hidden="1"/>
    </xf>
    <xf numFmtId="0" fontId="0" fillId="9" borderId="34" xfId="0" applyFill="1"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07" xfId="0" applyBorder="1" applyAlignment="1" applyProtection="1">
      <alignment horizontal="center" vertical="center"/>
      <protection hidden="1"/>
    </xf>
    <xf numFmtId="0" fontId="0" fillId="0" borderId="126" xfId="0" applyBorder="1" applyAlignment="1" applyProtection="1">
      <alignment horizontal="center" vertical="center"/>
      <protection hidden="1"/>
    </xf>
    <xf numFmtId="0" fontId="1" fillId="3" borderId="128" xfId="0" applyFont="1" applyFill="1" applyBorder="1" applyAlignment="1" applyProtection="1">
      <alignment horizontal="center" vertical="center"/>
      <protection hidden="1"/>
    </xf>
    <xf numFmtId="0" fontId="1" fillId="3" borderId="129" xfId="0" applyFont="1" applyFill="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0" fontId="1" fillId="9" borderId="21" xfId="0" applyFont="1" applyFill="1" applyBorder="1" applyAlignment="1" applyProtection="1">
      <alignment horizontal="center" vertical="center"/>
      <protection hidden="1"/>
    </xf>
    <xf numFmtId="0" fontId="1" fillId="6" borderId="129" xfId="0" applyFont="1" applyFill="1" applyBorder="1" applyAlignment="1" applyProtection="1">
      <alignment horizontal="center" vertical="center"/>
      <protection hidden="1"/>
    </xf>
    <xf numFmtId="0" fontId="1" fillId="6" borderId="132" xfId="0" applyFont="1" applyFill="1" applyBorder="1" applyAlignment="1" applyProtection="1">
      <alignment horizontal="center" vertical="center"/>
      <protection hidden="1"/>
    </xf>
    <xf numFmtId="0" fontId="1" fillId="8" borderId="34" xfId="0" applyFont="1" applyFill="1" applyBorder="1" applyAlignment="1" applyProtection="1">
      <alignment horizontal="center" vertical="center"/>
      <protection hidden="1"/>
    </xf>
    <xf numFmtId="0" fontId="0" fillId="0" borderId="106"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126"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107"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39"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108"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22" xfId="0" applyBorder="1" applyAlignment="1" applyProtection="1">
      <alignment horizontal="center" vertical="center"/>
      <protection hidden="1"/>
    </xf>
    <xf numFmtId="0" fontId="0" fillId="0" borderId="5" xfId="0" applyBorder="1"/>
    <xf numFmtId="0" fontId="1" fillId="5" borderId="33" xfId="0" applyFont="1" applyFill="1" applyBorder="1" applyAlignment="1" applyProtection="1">
      <alignment horizontal="center" vertical="center"/>
      <protection hidden="1"/>
    </xf>
    <xf numFmtId="0" fontId="0" fillId="0" borderId="108"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1" fillId="0" borderId="59" xfId="0" applyFont="1" applyBorder="1" applyAlignment="1" applyProtection="1">
      <alignment horizontal="center" vertical="center"/>
      <protection hidden="1"/>
    </xf>
    <xf numFmtId="0" fontId="0" fillId="0" borderId="106" xfId="0" applyBorder="1" applyAlignment="1" applyProtection="1">
      <alignment horizontal="center" vertical="center"/>
      <protection locked="0" hidden="1"/>
    </xf>
    <xf numFmtId="0" fontId="0" fillId="0" borderId="126" xfId="0" applyBorder="1" applyAlignment="1" applyProtection="1">
      <alignment horizontal="center" vertical="center"/>
      <protection locked="0" hidden="1"/>
    </xf>
    <xf numFmtId="0" fontId="0" fillId="0" borderId="107" xfId="0" applyBorder="1" applyAlignment="1" applyProtection="1">
      <alignment horizontal="center" vertical="center"/>
      <protection locked="0" hidden="1"/>
    </xf>
    <xf numFmtId="0" fontId="0" fillId="0" borderId="39" xfId="0" applyBorder="1" applyAlignment="1" applyProtection="1">
      <alignment horizontal="center" vertical="center"/>
      <protection locked="0" hidden="1"/>
    </xf>
    <xf numFmtId="0" fontId="0" fillId="0" borderId="108" xfId="0" applyBorder="1" applyAlignment="1" applyProtection="1">
      <alignment horizontal="center" vertical="center"/>
      <protection locked="0" hidden="1"/>
    </xf>
    <xf numFmtId="0" fontId="1" fillId="0" borderId="21" xfId="0" applyFont="1" applyBorder="1" applyAlignment="1" applyProtection="1">
      <alignment horizontal="center" vertical="center"/>
      <protection hidden="1"/>
    </xf>
    <xf numFmtId="0" fontId="0" fillId="0" borderId="34"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16" fontId="1" fillId="0" borderId="74" xfId="0" applyNumberFormat="1" applyFont="1" applyBorder="1" applyAlignment="1" applyProtection="1">
      <alignment horizontal="center" vertical="center"/>
      <protection hidden="1"/>
    </xf>
    <xf numFmtId="0" fontId="0" fillId="5" borderId="33" xfId="0" applyFill="1" applyBorder="1" applyAlignment="1" applyProtection="1">
      <alignment horizontal="center" vertical="center"/>
      <protection hidden="1"/>
    </xf>
    <xf numFmtId="2" fontId="0" fillId="3" borderId="128" xfId="0" applyNumberFormat="1" applyFill="1" applyBorder="1" applyAlignment="1" applyProtection="1">
      <alignment horizontal="center" vertical="center"/>
      <protection hidden="1"/>
    </xf>
    <xf numFmtId="0" fontId="0" fillId="3" borderId="129" xfId="0" applyFill="1" applyBorder="1" applyAlignment="1" applyProtection="1">
      <alignment horizontal="center" vertical="center"/>
      <protection hidden="1"/>
    </xf>
    <xf numFmtId="0" fontId="0" fillId="0" borderId="59" xfId="0" applyBorder="1" applyAlignment="1" applyProtection="1">
      <alignment horizontal="center" vertical="center"/>
      <protection locked="0" hidden="1"/>
    </xf>
    <xf numFmtId="0" fontId="0" fillId="9" borderId="59" xfId="0" applyFill="1" applyBorder="1" applyAlignment="1" applyProtection="1">
      <alignment horizontal="center" vertical="center"/>
      <protection locked="0" hidden="1"/>
    </xf>
    <xf numFmtId="0" fontId="0" fillId="0" borderId="59"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6" borderId="129" xfId="0" applyFill="1" applyBorder="1" applyAlignment="1" applyProtection="1">
      <alignment horizontal="center" vertical="center"/>
      <protection hidden="1"/>
    </xf>
    <xf numFmtId="2" fontId="0" fillId="6" borderId="132" xfId="0" applyNumberFormat="1" applyFill="1" applyBorder="1" applyAlignment="1" applyProtection="1">
      <alignment horizontal="center" vertical="center"/>
      <protection hidden="1"/>
    </xf>
    <xf numFmtId="0" fontId="0" fillId="8" borderId="34" xfId="0" applyFill="1" applyBorder="1" applyAlignment="1" applyProtection="1">
      <alignment horizontal="center" vertical="center"/>
      <protection hidden="1"/>
    </xf>
    <xf numFmtId="0" fontId="9" fillId="9" borderId="59" xfId="0" applyFont="1" applyFill="1" applyBorder="1" applyAlignment="1" applyProtection="1">
      <alignment horizontal="center" vertical="center"/>
      <protection hidden="1"/>
    </xf>
    <xf numFmtId="2" fontId="0" fillId="3" borderId="91" xfId="0" applyNumberFormat="1" applyFill="1" applyBorder="1" applyAlignment="1" applyProtection="1">
      <alignment horizontal="center" vertical="center"/>
      <protection hidden="1"/>
    </xf>
    <xf numFmtId="2" fontId="0" fillId="3" borderId="96" xfId="0" applyNumberFormat="1" applyFill="1" applyBorder="1" applyAlignment="1" applyProtection="1">
      <alignment horizontal="center" vertical="center"/>
      <protection hidden="1"/>
    </xf>
    <xf numFmtId="2" fontId="0" fillId="3" borderId="114" xfId="0" applyNumberFormat="1" applyFill="1" applyBorder="1" applyAlignment="1" applyProtection="1">
      <alignment horizontal="center" vertical="center"/>
      <protection hidden="1"/>
    </xf>
    <xf numFmtId="0" fontId="0" fillId="5" borderId="106" xfId="0" applyFill="1" applyBorder="1" applyAlignment="1" applyProtection="1">
      <alignment horizontal="center" vertical="center"/>
      <protection hidden="1"/>
    </xf>
    <xf numFmtId="0" fontId="0" fillId="5" borderId="107" xfId="0" applyFill="1" applyBorder="1" applyAlignment="1" applyProtection="1">
      <alignment horizontal="center" vertical="center"/>
      <protection hidden="1"/>
    </xf>
    <xf numFmtId="0" fontId="0" fillId="5" borderId="126" xfId="0" applyFill="1" applyBorder="1" applyAlignment="1" applyProtection="1">
      <alignment horizontal="center" vertical="center"/>
      <protection hidden="1"/>
    </xf>
    <xf numFmtId="2" fontId="0" fillId="6" borderId="90" xfId="0" applyNumberFormat="1" applyFill="1" applyBorder="1" applyAlignment="1" applyProtection="1">
      <alignment horizontal="center" vertical="center"/>
      <protection hidden="1"/>
    </xf>
    <xf numFmtId="2" fontId="0" fillId="6" borderId="95" xfId="0" applyNumberFormat="1" applyFill="1" applyBorder="1" applyAlignment="1" applyProtection="1">
      <alignment horizontal="center" vertical="center"/>
      <protection hidden="1"/>
    </xf>
    <xf numFmtId="2" fontId="0" fillId="6" borderId="113" xfId="0" applyNumberFormat="1" applyFill="1" applyBorder="1" applyAlignment="1" applyProtection="1">
      <alignment horizontal="center" vertical="center"/>
      <protection hidden="1"/>
    </xf>
    <xf numFmtId="0" fontId="1" fillId="14" borderId="1" xfId="0" applyFont="1" applyFill="1" applyBorder="1" applyAlignment="1" applyProtection="1">
      <alignment horizontal="center" vertical="center"/>
      <protection locked="0" hidden="1"/>
    </xf>
    <xf numFmtId="0" fontId="56" fillId="0" borderId="33" xfId="0" applyFont="1" applyBorder="1" applyAlignment="1" applyProtection="1">
      <alignment horizontal="center" vertical="center" wrapText="1" shrinkToFit="1"/>
      <protection hidden="1"/>
    </xf>
    <xf numFmtId="0" fontId="56" fillId="0" borderId="59" xfId="0" applyFont="1" applyBorder="1" applyAlignment="1" applyProtection="1">
      <alignment horizontal="center" vertical="center" wrapText="1" shrinkToFit="1"/>
      <protection hidden="1"/>
    </xf>
    <xf numFmtId="49" fontId="17" fillId="16" borderId="109" xfId="0" applyNumberFormat="1" applyFont="1" applyFill="1" applyBorder="1" applyAlignment="1">
      <alignment horizontal="left" vertical="top" indent="1"/>
    </xf>
    <xf numFmtId="49" fontId="17" fillId="16" borderId="0" xfId="0" applyNumberFormat="1" applyFont="1" applyFill="1" applyAlignment="1">
      <alignment horizontal="left" vertical="top" indent="1"/>
    </xf>
    <xf numFmtId="0" fontId="0" fillId="11" borderId="4" xfId="0" applyFill="1" applyBorder="1" applyProtection="1">
      <protection hidden="1"/>
    </xf>
    <xf numFmtId="0" fontId="0" fillId="0" borderId="48" xfId="0" applyBorder="1" applyAlignment="1" applyProtection="1">
      <alignment vertical="center"/>
      <protection hidden="1"/>
    </xf>
    <xf numFmtId="0" fontId="9" fillId="53" borderId="0" xfId="0" applyFont="1" applyFill="1" applyAlignment="1" applyProtection="1">
      <alignment vertical="center"/>
      <protection hidden="1"/>
    </xf>
    <xf numFmtId="0" fontId="0" fillId="53" borderId="0" xfId="0" applyFill="1" applyProtection="1">
      <protection hidden="1"/>
    </xf>
    <xf numFmtId="164" fontId="0" fillId="11" borderId="4" xfId="0" applyNumberFormat="1" applyFill="1" applyBorder="1" applyProtection="1">
      <protection hidden="1"/>
    </xf>
    <xf numFmtId="0" fontId="59" fillId="53" borderId="0" xfId="0" applyFont="1" applyFill="1" applyAlignment="1" applyProtection="1">
      <alignment vertical="center"/>
      <protection hidden="1"/>
    </xf>
    <xf numFmtId="0" fontId="60" fillId="53" borderId="0" xfId="0" applyFont="1" applyFill="1" applyProtection="1">
      <protection hidden="1"/>
    </xf>
    <xf numFmtId="0" fontId="50" fillId="41" borderId="1" xfId="1" applyFont="1" applyFill="1" applyBorder="1" applyAlignment="1">
      <alignment horizontal="center" vertical="center"/>
    </xf>
    <xf numFmtId="0" fontId="58" fillId="53" borderId="136" xfId="0" applyFont="1" applyFill="1" applyBorder="1" applyAlignment="1" applyProtection="1">
      <alignment horizontal="center" vertical="center"/>
      <protection hidden="1"/>
    </xf>
    <xf numFmtId="0" fontId="58" fillId="53" borderId="0" xfId="0" applyFont="1" applyFill="1" applyAlignment="1" applyProtection="1">
      <alignment vertical="center"/>
      <protection hidden="1"/>
    </xf>
    <xf numFmtId="0" fontId="58" fillId="53" borderId="136" xfId="0" applyFont="1" applyFill="1" applyBorder="1" applyAlignment="1" applyProtection="1">
      <alignment vertical="center"/>
      <protection hidden="1"/>
    </xf>
    <xf numFmtId="12" fontId="63" fillId="53" borderId="136" xfId="0" applyNumberFormat="1" applyFont="1" applyFill="1" applyBorder="1" applyAlignment="1" applyProtection="1">
      <alignment horizontal="center" vertical="center"/>
      <protection hidden="1"/>
    </xf>
    <xf numFmtId="0" fontId="63" fillId="53" borderId="136" xfId="0" applyFont="1" applyFill="1" applyBorder="1" applyAlignment="1" applyProtection="1">
      <alignment horizontal="center" vertical="center"/>
      <protection hidden="1"/>
    </xf>
    <xf numFmtId="164" fontId="58" fillId="53" borderId="136" xfId="0" applyNumberFormat="1" applyFont="1" applyFill="1" applyBorder="1" applyAlignment="1" applyProtection="1">
      <alignment horizontal="center" vertical="center"/>
      <protection hidden="1"/>
    </xf>
    <xf numFmtId="0" fontId="41" fillId="11" borderId="0" xfId="0" applyFont="1" applyFill="1" applyAlignment="1" applyProtection="1">
      <alignment horizontal="center" vertical="center"/>
      <protection hidden="1"/>
    </xf>
    <xf numFmtId="14" fontId="54" fillId="52" borderId="0" xfId="0" applyNumberFormat="1" applyFont="1" applyFill="1" applyProtection="1">
      <protection locked="0" hidden="1"/>
    </xf>
    <xf numFmtId="14" fontId="0" fillId="11" borderId="0" xfId="0" applyNumberFormat="1" applyFill="1" applyProtection="1">
      <protection hidden="1"/>
    </xf>
    <xf numFmtId="0" fontId="6" fillId="12" borderId="26" xfId="0" applyFont="1" applyFill="1" applyBorder="1" applyAlignment="1" applyProtection="1">
      <alignment horizontal="center" vertical="center"/>
      <protection hidden="1"/>
    </xf>
    <xf numFmtId="0" fontId="54" fillId="52" borderId="28" xfId="0" applyFont="1" applyFill="1" applyBorder="1" applyAlignment="1" applyProtection="1">
      <alignment horizontal="center" vertical="center"/>
      <protection locked="0" hidden="1"/>
    </xf>
    <xf numFmtId="0" fontId="48" fillId="12" borderId="26" xfId="0" applyFont="1" applyFill="1" applyBorder="1" applyAlignment="1" applyProtection="1">
      <alignment horizontal="right" vertical="center"/>
      <protection hidden="1"/>
    </xf>
    <xf numFmtId="0" fontId="6" fillId="12" borderId="28" xfId="0" applyFont="1" applyFill="1" applyBorder="1" applyAlignment="1" applyProtection="1">
      <alignment horizontal="center" vertical="center"/>
      <protection hidden="1"/>
    </xf>
    <xf numFmtId="0" fontId="54" fillId="52" borderId="45" xfId="0" applyFont="1" applyFill="1" applyBorder="1" applyAlignment="1" applyProtection="1">
      <alignment horizontal="right" vertical="center"/>
      <protection locked="0" hidden="1"/>
    </xf>
    <xf numFmtId="0" fontId="0" fillId="22" borderId="0" xfId="0" applyFill="1" applyProtection="1">
      <protection hidden="1"/>
    </xf>
    <xf numFmtId="0" fontId="8" fillId="52" borderId="0" xfId="0" applyFont="1" applyFill="1" applyAlignment="1" applyProtection="1">
      <alignment horizontal="center" vertical="center"/>
      <protection locked="0" hidden="1"/>
    </xf>
    <xf numFmtId="0" fontId="43" fillId="12" borderId="0" xfId="0" applyFont="1" applyFill="1" applyAlignment="1" applyProtection="1">
      <alignment horizontal="right" vertical="center" wrapText="1"/>
      <protection hidden="1"/>
      <extLst>
        <ext xmlns:xfpb="http://schemas.microsoft.com/office/spreadsheetml/2022/featurepropertybag" uri="{C7286773-470A-42A8-94C5-96B5CB345126}">
          <xfpb:xfComplement i="0"/>
        </ext>
      </extLst>
    </xf>
    <xf numFmtId="0" fontId="0" fillId="3" borderId="4" xfId="0" applyFill="1" applyBorder="1" applyAlignment="1" applyProtection="1">
      <alignment vertical="center"/>
      <protection hidden="1"/>
    </xf>
    <xf numFmtId="0" fontId="3" fillId="52" borderId="0" xfId="0" applyFont="1" applyFill="1" applyAlignment="1" applyProtection="1">
      <alignment horizontal="center" vertical="center"/>
      <protection hidden="1"/>
    </xf>
    <xf numFmtId="0" fontId="3" fillId="23" borderId="0" xfId="0" applyFont="1" applyFill="1" applyAlignment="1" applyProtection="1">
      <alignment horizontal="center" vertical="center"/>
      <protection hidden="1"/>
    </xf>
    <xf numFmtId="0" fontId="40" fillId="11" borderId="0" xfId="0" applyFont="1" applyFill="1" applyProtection="1">
      <protection hidden="1"/>
    </xf>
    <xf numFmtId="0" fontId="0" fillId="0" borderId="0" xfId="0" applyProtection="1">
      <protection locked="0" hidden="1"/>
    </xf>
    <xf numFmtId="0" fontId="0" fillId="0" borderId="0" xfId="0" quotePrefix="1" applyAlignment="1" applyProtection="1">
      <alignment horizontal="center" vertical="center"/>
      <protection locked="0" hidden="1"/>
    </xf>
    <xf numFmtId="0" fontId="0" fillId="0" borderId="0" xfId="0" applyProtection="1">
      <protection locked="0" hidden="1"/>
      <extLst>
        <ext xmlns:xfpb="http://schemas.microsoft.com/office/spreadsheetml/2022/featurepropertybag" uri="{C7286773-470A-42A8-94C5-96B5CB345126}">
          <xfpb:xfComplement i="0"/>
        </ext>
      </extLst>
    </xf>
    <xf numFmtId="0" fontId="0" fillId="24" borderId="4" xfId="0" applyFill="1" applyBorder="1" applyProtection="1">
      <protection hidden="1"/>
    </xf>
    <xf numFmtId="0" fontId="0" fillId="19" borderId="4" xfId="0" applyFill="1" applyBorder="1" applyAlignment="1" applyProtection="1">
      <alignment horizontal="right"/>
      <protection hidden="1"/>
    </xf>
    <xf numFmtId="0" fontId="0" fillId="0" borderId="0" xfId="0" applyAlignment="1" applyProtection="1">
      <alignment horizontal="center" vertical="center"/>
      <protection locked="0" hidden="1"/>
    </xf>
    <xf numFmtId="0" fontId="9" fillId="14" borderId="27" xfId="0" applyFont="1" applyFill="1" applyBorder="1" applyAlignment="1" applyProtection="1">
      <alignment horizontal="center" vertical="center"/>
      <protection hidden="1"/>
    </xf>
    <xf numFmtId="0" fontId="0" fillId="0" borderId="33"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75"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120"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81"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78"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0" borderId="46" xfId="0"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53" borderId="133" xfId="0" applyFill="1" applyBorder="1" applyProtection="1">
      <protection hidden="1"/>
    </xf>
    <xf numFmtId="0" fontId="0" fillId="53" borderId="154" xfId="0" applyFill="1" applyBorder="1" applyProtection="1">
      <protection hidden="1"/>
    </xf>
    <xf numFmtId="0" fontId="0" fillId="53" borderId="137" xfId="0" applyFill="1" applyBorder="1" applyProtection="1">
      <protection hidden="1"/>
    </xf>
    <xf numFmtId="0" fontId="0" fillId="53" borderId="138" xfId="0" applyFill="1" applyBorder="1" applyProtection="1">
      <protection hidden="1"/>
    </xf>
    <xf numFmtId="0" fontId="0" fillId="53" borderId="139" xfId="0" applyFill="1" applyBorder="1" applyProtection="1">
      <protection hidden="1"/>
    </xf>
    <xf numFmtId="0" fontId="0" fillId="53" borderId="140" xfId="0" applyFill="1" applyBorder="1" applyProtection="1">
      <protection hidden="1"/>
    </xf>
    <xf numFmtId="0" fontId="0" fillId="55" borderId="133" xfId="0" applyFill="1" applyBorder="1" applyProtection="1">
      <protection hidden="1"/>
    </xf>
    <xf numFmtId="0" fontId="0" fillId="53" borderId="0" xfId="0" applyFill="1" applyAlignment="1" applyProtection="1">
      <alignment horizontal="left"/>
      <protection hidden="1"/>
    </xf>
    <xf numFmtId="0" fontId="0" fillId="53" borderId="141" xfId="0" applyFill="1" applyBorder="1" applyProtection="1">
      <protection hidden="1"/>
    </xf>
    <xf numFmtId="0" fontId="0" fillId="53" borderId="142" xfId="0" applyFill="1" applyBorder="1" applyProtection="1">
      <protection hidden="1"/>
    </xf>
    <xf numFmtId="0" fontId="0" fillId="53" borderId="143" xfId="0" applyFill="1" applyBorder="1" applyProtection="1">
      <protection hidden="1"/>
    </xf>
    <xf numFmtId="0" fontId="0" fillId="53" borderId="144" xfId="0" applyFill="1" applyBorder="1" applyProtection="1">
      <protection hidden="1"/>
    </xf>
    <xf numFmtId="0" fontId="0" fillId="53" borderId="145" xfId="0" applyFill="1" applyBorder="1" applyProtection="1">
      <protection hidden="1"/>
    </xf>
    <xf numFmtId="0" fontId="0" fillId="53" borderId="0" xfId="0" applyFill="1" applyAlignment="1" applyProtection="1">
      <alignment horizontal="center"/>
      <protection hidden="1"/>
    </xf>
    <xf numFmtId="0" fontId="0" fillId="19" borderId="133" xfId="0" applyFill="1" applyBorder="1" applyProtection="1">
      <protection hidden="1"/>
    </xf>
    <xf numFmtId="0" fontId="0" fillId="53" borderId="146" xfId="0" applyFill="1" applyBorder="1" applyProtection="1">
      <protection hidden="1"/>
    </xf>
    <xf numFmtId="0" fontId="0" fillId="53" borderId="147" xfId="0" applyFill="1" applyBorder="1" applyProtection="1">
      <protection hidden="1"/>
    </xf>
    <xf numFmtId="0" fontId="0" fillId="53" borderId="148" xfId="0" applyFill="1" applyBorder="1" applyProtection="1">
      <protection hidden="1"/>
    </xf>
    <xf numFmtId="0" fontId="43" fillId="11" borderId="0" xfId="0" applyFont="1" applyFill="1" applyAlignment="1" applyProtection="1">
      <alignment horizontal="center"/>
      <protection hidden="1"/>
    </xf>
    <xf numFmtId="0" fontId="43" fillId="11" borderId="0" xfId="0" applyFont="1" applyFill="1" applyAlignment="1" applyProtection="1">
      <alignment horizontal="center" shrinkToFit="1"/>
      <protection hidden="1"/>
    </xf>
    <xf numFmtId="0" fontId="0" fillId="11" borderId="0" xfId="0" applyFill="1" applyAlignment="1" applyProtection="1">
      <alignment horizontal="left"/>
      <protection hidden="1"/>
    </xf>
    <xf numFmtId="0" fontId="0" fillId="11" borderId="136" xfId="0" applyFill="1" applyBorder="1" applyAlignment="1" applyProtection="1">
      <alignment horizontal="center" vertical="center"/>
      <protection hidden="1"/>
    </xf>
    <xf numFmtId="0" fontId="0" fillId="11" borderId="136" xfId="0" applyFill="1" applyBorder="1" applyProtection="1">
      <protection hidden="1"/>
    </xf>
    <xf numFmtId="0" fontId="63" fillId="0" borderId="136" xfId="0" applyFont="1" applyBorder="1" applyAlignment="1" applyProtection="1">
      <alignment horizontal="center" vertical="center"/>
      <protection hidden="1"/>
    </xf>
    <xf numFmtId="0" fontId="64" fillId="53" borderId="136" xfId="0" applyFont="1" applyFill="1" applyBorder="1" applyAlignment="1" applyProtection="1">
      <alignment horizontal="center" vertical="center"/>
      <protection hidden="1"/>
    </xf>
    <xf numFmtId="0" fontId="43" fillId="53" borderId="0" xfId="0" applyFont="1" applyFill="1" applyAlignment="1" applyProtection="1">
      <alignment shrinkToFit="1"/>
      <protection hidden="1"/>
    </xf>
    <xf numFmtId="0" fontId="58" fillId="53" borderId="0" xfId="0" applyFont="1" applyFill="1" applyProtection="1">
      <protection hidden="1"/>
    </xf>
    <xf numFmtId="0" fontId="43" fillId="53" borderId="0" xfId="0" applyFont="1" applyFill="1" applyAlignment="1" applyProtection="1">
      <alignment horizontal="center"/>
      <protection hidden="1"/>
    </xf>
    <xf numFmtId="0" fontId="43" fillId="53" borderId="156" xfId="0" applyFont="1" applyFill="1" applyBorder="1" applyAlignment="1" applyProtection="1">
      <alignment horizontal="center" shrinkToFit="1"/>
      <protection hidden="1"/>
    </xf>
    <xf numFmtId="0" fontId="0" fillId="9" borderId="4" xfId="0" applyFill="1" applyBorder="1" applyProtection="1">
      <protection hidden="1"/>
    </xf>
    <xf numFmtId="0" fontId="0" fillId="24" borderId="0" xfId="0" applyFill="1" applyProtection="1">
      <protection hidden="1"/>
    </xf>
    <xf numFmtId="0" fontId="0" fillId="6" borderId="4" xfId="0" applyFill="1" applyBorder="1" applyProtection="1">
      <protection hidden="1"/>
    </xf>
    <xf numFmtId="0" fontId="58" fillId="53" borderId="136" xfId="0" applyFont="1" applyFill="1" applyBorder="1" applyProtection="1">
      <protection hidden="1"/>
    </xf>
    <xf numFmtId="0" fontId="66" fillId="58" borderId="0" xfId="0" applyFont="1" applyFill="1" applyAlignment="1" applyProtection="1">
      <alignment horizontal="center" vertical="center"/>
      <protection hidden="1"/>
    </xf>
    <xf numFmtId="164" fontId="0" fillId="0" borderId="0" xfId="0" applyNumberFormat="1" applyProtection="1">
      <protection locked="0" hidden="1"/>
    </xf>
    <xf numFmtId="0" fontId="0" fillId="0" borderId="38" xfId="0" applyBorder="1" applyAlignment="1" applyProtection="1">
      <alignment horizontal="center" vertical="center"/>
      <protection hidden="1"/>
    </xf>
    <xf numFmtId="0" fontId="61" fillId="59" borderId="0" xfId="1" applyFont="1" applyFill="1" applyBorder="1" applyAlignment="1" applyProtection="1">
      <alignment horizontal="center" vertical="center" wrapText="1"/>
      <protection hidden="1"/>
    </xf>
    <xf numFmtId="16" fontId="55" fillId="59" borderId="0" xfId="0" applyNumberFormat="1" applyFont="1" applyFill="1" applyAlignment="1" applyProtection="1">
      <alignment horizontal="center" vertical="center"/>
      <protection hidden="1"/>
    </xf>
    <xf numFmtId="0" fontId="9" fillId="11" borderId="0" xfId="0" applyFont="1" applyFill="1" applyAlignment="1" applyProtection="1">
      <alignment horizontal="center" vertical="center"/>
      <protection hidden="1"/>
    </xf>
    <xf numFmtId="0" fontId="55" fillId="59" borderId="0" xfId="0" applyFont="1" applyFill="1" applyAlignment="1" applyProtection="1">
      <alignment horizontal="center" vertical="center" wrapText="1"/>
      <protection hidden="1"/>
    </xf>
    <xf numFmtId="0" fontId="9" fillId="11" borderId="0" xfId="0" applyFont="1" applyFill="1" applyAlignment="1" applyProtection="1">
      <alignment horizontal="center" vertical="center" shrinkToFit="1"/>
      <protection hidden="1"/>
    </xf>
    <xf numFmtId="14" fontId="9" fillId="11" borderId="0" xfId="0" applyNumberFormat="1" applyFont="1" applyFill="1" applyAlignment="1" applyProtection="1">
      <alignment horizontal="center" vertical="center"/>
      <protection locked="0" hidden="1"/>
    </xf>
    <xf numFmtId="0" fontId="11" fillId="11" borderId="0" xfId="0" applyFont="1" applyFill="1" applyAlignment="1" applyProtection="1">
      <alignment horizontal="center"/>
      <protection hidden="1"/>
    </xf>
    <xf numFmtId="0" fontId="0" fillId="8" borderId="74" xfId="0" applyFill="1" applyBorder="1" applyAlignment="1" applyProtection="1">
      <alignment horizontal="center" vertical="center"/>
      <protection hidden="1"/>
    </xf>
    <xf numFmtId="0" fontId="0" fillId="8" borderId="77" xfId="0" applyFill="1" applyBorder="1" applyAlignment="1" applyProtection="1">
      <alignment horizontal="center" vertical="center"/>
      <protection hidden="1"/>
    </xf>
    <xf numFmtId="0" fontId="0" fillId="8" borderId="122" xfId="0" applyFill="1" applyBorder="1" applyAlignment="1" applyProtection="1">
      <alignment horizontal="center" vertical="center"/>
      <protection hidden="1"/>
    </xf>
    <xf numFmtId="2" fontId="0" fillId="0" borderId="0" xfId="0" applyNumberFormat="1" applyAlignment="1">
      <alignment horizontal="center" vertical="center"/>
    </xf>
    <xf numFmtId="0" fontId="0" fillId="0" borderId="160"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6" xfId="0" applyBorder="1" applyProtection="1">
      <protection hidden="1"/>
    </xf>
    <xf numFmtId="1" fontId="58" fillId="53" borderId="136" xfId="0" applyNumberFormat="1" applyFont="1" applyFill="1" applyBorder="1" applyAlignment="1" applyProtection="1">
      <alignment horizontal="center" vertical="center"/>
      <protection hidden="1"/>
    </xf>
    <xf numFmtId="1" fontId="0" fillId="11" borderId="136" xfId="0" applyNumberFormat="1" applyFill="1" applyBorder="1" applyProtection="1">
      <protection hidden="1"/>
    </xf>
    <xf numFmtId="1" fontId="0" fillId="11" borderId="136" xfId="0" applyNumberFormat="1" applyFill="1" applyBorder="1" applyAlignment="1" applyProtection="1">
      <alignment horizontal="center" vertical="center"/>
      <protection hidden="1"/>
    </xf>
    <xf numFmtId="1" fontId="0" fillId="0" borderId="0" xfId="0" applyNumberFormat="1" applyProtection="1">
      <protection locked="0" hidden="1"/>
    </xf>
    <xf numFmtId="0" fontId="0" fillId="60" borderId="0" xfId="0" applyFill="1"/>
    <xf numFmtId="0" fontId="0" fillId="8" borderId="1"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8" borderId="106"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8" borderId="126"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8" borderId="107"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8" borderId="61"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8" borderId="39"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3" borderId="90" xfId="0" applyFill="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3" borderId="123" xfId="0" applyFill="1" applyBorder="1" applyAlignment="1" applyProtection="1">
      <alignment horizontal="center" vertical="center"/>
      <protection hidden="1"/>
    </xf>
    <xf numFmtId="0" fontId="51" fillId="11" borderId="0" xfId="0" applyFont="1" applyFill="1" applyProtection="1">
      <protection hidden="1"/>
    </xf>
    <xf numFmtId="0" fontId="0" fillId="4" borderId="4" xfId="0" applyFill="1" applyBorder="1" applyProtection="1">
      <protection hidden="1"/>
    </xf>
    <xf numFmtId="0" fontId="0" fillId="0" borderId="161" xfId="0" applyBorder="1" applyAlignment="1" applyProtection="1">
      <alignment horizontal="center" vertical="center"/>
      <protection hidden="1"/>
    </xf>
    <xf numFmtId="0" fontId="0" fillId="20" borderId="0" xfId="0" applyFill="1" applyProtection="1">
      <protection hidden="1"/>
    </xf>
    <xf numFmtId="0" fontId="40" fillId="61" borderId="4" xfId="0" applyFont="1" applyFill="1" applyBorder="1" applyProtection="1">
      <protection hidden="1"/>
    </xf>
    <xf numFmtId="0" fontId="1" fillId="5" borderId="21" xfId="0" applyFont="1" applyFill="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51" fillId="11" borderId="0" xfId="0" applyFont="1" applyFill="1"/>
    <xf numFmtId="0" fontId="30" fillId="0" borderId="0" xfId="0" applyFont="1" applyAlignment="1" applyProtection="1">
      <alignment horizontal="center" vertical="center" shrinkToFit="1"/>
      <protection hidden="1"/>
    </xf>
    <xf numFmtId="0" fontId="38" fillId="0" borderId="0" xfId="0" applyFont="1" applyAlignment="1" applyProtection="1">
      <alignment horizontal="center" vertical="center" shrinkToFit="1"/>
      <protection hidden="1"/>
    </xf>
    <xf numFmtId="0" fontId="1" fillId="54" borderId="0" xfId="0" applyFont="1" applyFill="1" applyProtection="1">
      <protection hidden="1"/>
    </xf>
    <xf numFmtId="0" fontId="1" fillId="0" borderId="0" xfId="0" applyFont="1"/>
    <xf numFmtId="0" fontId="3" fillId="0" borderId="5" xfId="0" applyFont="1" applyBorder="1" applyAlignment="1" applyProtection="1">
      <alignment horizontal="center" vertical="center"/>
      <protection hidden="1"/>
    </xf>
    <xf numFmtId="0" fontId="61" fillId="59" borderId="0" xfId="1" applyFont="1" applyFill="1" applyBorder="1" applyAlignment="1" applyProtection="1">
      <alignment vertical="center" wrapText="1"/>
      <protection hidden="1"/>
    </xf>
    <xf numFmtId="0" fontId="0" fillId="3" borderId="162" xfId="0" applyFill="1" applyBorder="1" applyAlignment="1" applyProtection="1">
      <alignment horizontal="center" vertical="center"/>
      <protection hidden="1"/>
    </xf>
    <xf numFmtId="0" fontId="0" fillId="8" borderId="106" xfId="0" applyFill="1" applyBorder="1" applyAlignment="1" applyProtection="1">
      <alignment horizontal="center" vertical="center"/>
      <protection hidden="1"/>
    </xf>
    <xf numFmtId="0" fontId="0" fillId="8" borderId="107" xfId="0" applyFill="1" applyBorder="1" applyAlignment="1" applyProtection="1">
      <alignment horizontal="center" vertical="center"/>
      <protection hidden="1"/>
    </xf>
    <xf numFmtId="0" fontId="0" fillId="8" borderId="108" xfId="0" applyFill="1" applyBorder="1" applyAlignment="1" applyProtection="1">
      <alignment horizontal="center" vertical="center"/>
      <protection hidden="1"/>
    </xf>
    <xf numFmtId="0" fontId="0" fillId="8" borderId="126" xfId="0" applyFill="1" applyBorder="1" applyAlignment="1" applyProtection="1">
      <alignment horizontal="center" vertical="center"/>
      <protection hidden="1"/>
    </xf>
    <xf numFmtId="0" fontId="0" fillId="11" borderId="0" xfId="0" applyFill="1" applyAlignment="1" applyProtection="1">
      <alignment vertical="center"/>
      <protection hidden="1"/>
    </xf>
    <xf numFmtId="2" fontId="0" fillId="11" borderId="0" xfId="0" applyNumberFormat="1" applyFill="1" applyProtection="1">
      <protection hidden="1"/>
    </xf>
    <xf numFmtId="2" fontId="0" fillId="11" borderId="0" xfId="0" applyNumberFormat="1" applyFill="1" applyAlignment="1" applyProtection="1">
      <alignment vertical="center"/>
      <protection hidden="1"/>
    </xf>
    <xf numFmtId="10" fontId="0" fillId="11" borderId="0" xfId="0" applyNumberFormat="1" applyFill="1" applyProtection="1">
      <protection hidden="1"/>
    </xf>
    <xf numFmtId="9" fontId="0" fillId="11" borderId="0" xfId="2" applyFont="1" applyFill="1" applyProtection="1">
      <protection hidden="1"/>
    </xf>
    <xf numFmtId="164" fontId="0" fillId="11" borderId="0" xfId="2" applyNumberFormat="1" applyFont="1" applyFill="1" applyProtection="1">
      <protection hidden="1"/>
    </xf>
    <xf numFmtId="10" fontId="0" fillId="11" borderId="0" xfId="2" applyNumberFormat="1" applyFont="1" applyFill="1" applyProtection="1">
      <protection hidden="1"/>
    </xf>
    <xf numFmtId="1" fontId="0" fillId="11" borderId="0" xfId="2" applyNumberFormat="1" applyFont="1" applyFill="1" applyProtection="1">
      <protection hidden="1"/>
    </xf>
    <xf numFmtId="1" fontId="0" fillId="11" borderId="0" xfId="0" applyNumberFormat="1" applyFill="1" applyProtection="1">
      <protection hidden="1"/>
    </xf>
    <xf numFmtId="0" fontId="0" fillId="62" borderId="19" xfId="0" applyFill="1" applyBorder="1" applyAlignment="1" applyProtection="1">
      <alignment horizontal="center" vertical="center"/>
      <protection hidden="1"/>
    </xf>
    <xf numFmtId="0" fontId="0" fillId="62" borderId="7" xfId="0" applyFill="1" applyBorder="1" applyAlignment="1" applyProtection="1">
      <alignment horizontal="center" vertical="center"/>
      <protection hidden="1"/>
    </xf>
    <xf numFmtId="0" fontId="0" fillId="62" borderId="4" xfId="0" applyFill="1" applyBorder="1" applyAlignment="1" applyProtection="1">
      <alignment horizontal="center" vertical="center"/>
      <protection hidden="1"/>
    </xf>
    <xf numFmtId="2" fontId="0" fillId="62" borderId="4" xfId="0" applyNumberFormat="1" applyFill="1" applyBorder="1" applyAlignment="1" applyProtection="1">
      <alignment horizontal="center" vertical="center"/>
      <protection hidden="1"/>
    </xf>
    <xf numFmtId="0" fontId="0" fillId="62" borderId="20" xfId="0" applyFill="1" applyBorder="1" applyAlignment="1" applyProtection="1">
      <alignment horizontal="center" vertical="center"/>
      <protection hidden="1"/>
    </xf>
    <xf numFmtId="0" fontId="0" fillId="62" borderId="9" xfId="0" applyFill="1" applyBorder="1" applyAlignment="1" applyProtection="1">
      <alignment horizontal="center" vertical="center"/>
      <protection hidden="1"/>
    </xf>
    <xf numFmtId="0" fontId="0" fillId="62" borderId="10" xfId="0" applyFill="1" applyBorder="1" applyAlignment="1" applyProtection="1">
      <alignment horizontal="center" vertical="center"/>
      <protection hidden="1"/>
    </xf>
    <xf numFmtId="2" fontId="0" fillId="62" borderId="10" xfId="0" applyNumberFormat="1" applyFill="1" applyBorder="1" applyAlignment="1" applyProtection="1">
      <alignment horizontal="center" vertical="center"/>
      <protection hidden="1"/>
    </xf>
    <xf numFmtId="0" fontId="0" fillId="62" borderId="11" xfId="0" applyFill="1" applyBorder="1" applyAlignment="1" applyProtection="1">
      <alignment horizontal="center" vertical="center"/>
      <protection hidden="1"/>
    </xf>
    <xf numFmtId="0" fontId="0" fillId="63" borderId="7" xfId="0" applyFill="1" applyBorder="1" applyAlignment="1" applyProtection="1">
      <alignment horizontal="center" vertical="center"/>
      <protection hidden="1"/>
    </xf>
    <xf numFmtId="0" fontId="0" fillId="63" borderId="9" xfId="0" applyFill="1" applyBorder="1" applyAlignment="1" applyProtection="1">
      <alignment horizontal="center" vertical="center"/>
      <protection hidden="1"/>
    </xf>
    <xf numFmtId="0" fontId="0" fillId="63" borderId="10" xfId="0" applyFill="1" applyBorder="1" applyAlignment="1" applyProtection="1">
      <alignment horizontal="center" vertical="center"/>
      <protection hidden="1"/>
    </xf>
    <xf numFmtId="0" fontId="0" fillId="63" borderId="11" xfId="0" applyFill="1" applyBorder="1" applyAlignment="1" applyProtection="1">
      <alignment horizontal="center" vertical="center"/>
      <protection hidden="1"/>
    </xf>
    <xf numFmtId="0" fontId="0" fillId="63" borderId="6" xfId="0" applyFill="1" applyBorder="1" applyAlignment="1" applyProtection="1">
      <alignment horizontal="center" vertical="center"/>
      <protection hidden="1"/>
    </xf>
    <xf numFmtId="0" fontId="0" fillId="63" borderId="8" xfId="0" applyFill="1" applyBorder="1" applyAlignment="1" applyProtection="1">
      <alignment horizontal="center" vertical="center"/>
      <protection hidden="1"/>
    </xf>
    <xf numFmtId="0" fontId="0" fillId="62" borderId="6" xfId="0" applyFill="1" applyBorder="1" applyAlignment="1" applyProtection="1">
      <alignment horizontal="center" vertical="center"/>
      <protection hidden="1"/>
    </xf>
    <xf numFmtId="0" fontId="0" fillId="62" borderId="8" xfId="0" applyFill="1" applyBorder="1" applyAlignment="1" applyProtection="1">
      <alignment horizontal="center" vertical="center"/>
      <protection hidden="1"/>
    </xf>
    <xf numFmtId="0" fontId="0" fillId="64" borderId="14" xfId="0" applyFill="1" applyBorder="1" applyAlignment="1" applyProtection="1">
      <alignment horizontal="center" vertical="center"/>
      <protection hidden="1"/>
    </xf>
    <xf numFmtId="0" fontId="0" fillId="64" borderId="15" xfId="0" applyFill="1" applyBorder="1" applyAlignment="1" applyProtection="1">
      <alignment horizontal="center" vertical="center"/>
      <protection hidden="1"/>
    </xf>
    <xf numFmtId="0" fontId="0" fillId="64" borderId="16" xfId="0" applyFill="1" applyBorder="1" applyAlignment="1" applyProtection="1">
      <alignment horizontal="center" vertical="center"/>
      <protection hidden="1"/>
    </xf>
    <xf numFmtId="0" fontId="0" fillId="65" borderId="6" xfId="0" applyFill="1" applyBorder="1" applyAlignment="1" applyProtection="1">
      <alignment horizontal="center" vertical="center"/>
      <protection hidden="1"/>
    </xf>
    <xf numFmtId="0" fontId="0" fillId="65" borderId="7" xfId="0" applyFill="1" applyBorder="1" applyAlignment="1" applyProtection="1">
      <alignment horizontal="center" vertical="center"/>
      <protection hidden="1"/>
    </xf>
    <xf numFmtId="2" fontId="0" fillId="65" borderId="7" xfId="0" applyNumberFormat="1" applyFill="1" applyBorder="1" applyAlignment="1" applyProtection="1">
      <alignment horizontal="center" vertical="center"/>
      <protection hidden="1"/>
    </xf>
    <xf numFmtId="1" fontId="0" fillId="65" borderId="7" xfId="0" applyNumberFormat="1" applyFill="1" applyBorder="1" applyAlignment="1" applyProtection="1">
      <alignment horizontal="center" vertical="center"/>
      <protection hidden="1"/>
    </xf>
    <xf numFmtId="0" fontId="0" fillId="65" borderId="8" xfId="0" applyFill="1" applyBorder="1" applyAlignment="1" applyProtection="1">
      <alignment horizontal="center" vertical="center"/>
      <protection hidden="1"/>
    </xf>
    <xf numFmtId="0" fontId="0" fillId="65" borderId="19" xfId="0" applyFill="1" applyBorder="1" applyAlignment="1" applyProtection="1">
      <alignment horizontal="center" vertical="center"/>
      <protection hidden="1"/>
    </xf>
    <xf numFmtId="0" fontId="0" fillId="65" borderId="4" xfId="0" applyFill="1" applyBorder="1" applyAlignment="1" applyProtection="1">
      <alignment horizontal="center" vertical="center"/>
      <protection hidden="1"/>
    </xf>
    <xf numFmtId="2" fontId="0" fillId="65" borderId="4" xfId="0" applyNumberFormat="1" applyFill="1" applyBorder="1" applyAlignment="1" applyProtection="1">
      <alignment horizontal="center" vertical="center"/>
      <protection hidden="1"/>
    </xf>
    <xf numFmtId="1" fontId="0" fillId="65" borderId="4" xfId="0" applyNumberFormat="1" applyFill="1" applyBorder="1" applyAlignment="1" applyProtection="1">
      <alignment horizontal="center" vertical="center"/>
      <protection hidden="1"/>
    </xf>
    <xf numFmtId="0" fontId="0" fillId="65" borderId="20" xfId="0" applyFill="1" applyBorder="1" applyAlignment="1" applyProtection="1">
      <alignment horizontal="center" vertical="center"/>
      <protection hidden="1"/>
    </xf>
    <xf numFmtId="0" fontId="0" fillId="65" borderId="9" xfId="0" applyFill="1" applyBorder="1" applyAlignment="1" applyProtection="1">
      <alignment horizontal="center" vertical="center"/>
      <protection hidden="1"/>
    </xf>
    <xf numFmtId="0" fontId="0" fillId="65" borderId="10" xfId="0" applyFill="1" applyBorder="1" applyAlignment="1" applyProtection="1">
      <alignment horizontal="center" vertical="center"/>
      <protection hidden="1"/>
    </xf>
    <xf numFmtId="2" fontId="0" fillId="65" borderId="10" xfId="0" applyNumberFormat="1" applyFill="1" applyBorder="1" applyAlignment="1" applyProtection="1">
      <alignment horizontal="center" vertical="center"/>
      <protection hidden="1"/>
    </xf>
    <xf numFmtId="1" fontId="0" fillId="65" borderId="10" xfId="0" applyNumberFormat="1" applyFill="1" applyBorder="1" applyAlignment="1" applyProtection="1">
      <alignment horizontal="center" vertical="center"/>
      <protection hidden="1"/>
    </xf>
    <xf numFmtId="0" fontId="0" fillId="65" borderId="11" xfId="0" applyFill="1" applyBorder="1" applyAlignment="1" applyProtection="1">
      <alignment horizontal="center" vertical="center"/>
      <protection hidden="1"/>
    </xf>
    <xf numFmtId="0" fontId="0" fillId="6" borderId="54" xfId="0" applyFill="1" applyBorder="1" applyProtection="1">
      <protection hidden="1"/>
    </xf>
    <xf numFmtId="164" fontId="0" fillId="0" borderId="15" xfId="0" applyNumberFormat="1" applyBorder="1" applyAlignment="1" applyProtection="1">
      <alignment horizontal="center" vertical="center"/>
      <protection hidden="1"/>
    </xf>
    <xf numFmtId="164" fontId="0" fillId="64" borderId="15" xfId="0" applyNumberFormat="1" applyFill="1" applyBorder="1" applyAlignment="1" applyProtection="1">
      <alignment horizontal="center" vertical="center"/>
      <protection hidden="1"/>
    </xf>
    <xf numFmtId="164" fontId="0" fillId="63" borderId="7" xfId="0" applyNumberFormat="1" applyFill="1" applyBorder="1" applyAlignment="1" applyProtection="1">
      <alignment horizontal="center" vertical="center"/>
      <protection hidden="1"/>
    </xf>
    <xf numFmtId="164" fontId="0" fillId="63" borderId="10" xfId="0" applyNumberFormat="1" applyFill="1" applyBorder="1" applyAlignment="1" applyProtection="1">
      <alignment horizontal="center" vertical="center"/>
      <protection hidden="1"/>
    </xf>
    <xf numFmtId="164" fontId="0" fillId="62" borderId="7" xfId="0" applyNumberFormat="1" applyFill="1" applyBorder="1" applyAlignment="1" applyProtection="1">
      <alignment horizontal="center" vertical="center"/>
      <protection hidden="1"/>
    </xf>
    <xf numFmtId="164" fontId="0" fillId="62" borderId="4" xfId="0" applyNumberFormat="1" applyFill="1" applyBorder="1" applyAlignment="1" applyProtection="1">
      <alignment horizontal="center" vertical="center"/>
      <protection hidden="1"/>
    </xf>
    <xf numFmtId="164" fontId="0" fillId="62" borderId="10" xfId="0" applyNumberFormat="1" applyFill="1" applyBorder="1" applyAlignment="1" applyProtection="1">
      <alignment horizontal="center" vertical="center"/>
      <protection hidden="1"/>
    </xf>
    <xf numFmtId="164" fontId="0" fillId="65" borderId="7" xfId="0" applyNumberFormat="1" applyFill="1" applyBorder="1" applyAlignment="1" applyProtection="1">
      <alignment horizontal="center" vertical="center"/>
      <protection hidden="1"/>
    </xf>
    <xf numFmtId="164" fontId="0" fillId="65" borderId="4" xfId="0" applyNumberFormat="1" applyFill="1" applyBorder="1" applyAlignment="1" applyProtection="1">
      <alignment horizontal="center" vertical="center"/>
      <protection hidden="1"/>
    </xf>
    <xf numFmtId="164" fontId="0" fillId="65" borderId="10" xfId="0" applyNumberFormat="1" applyFill="1" applyBorder="1" applyAlignment="1" applyProtection="1">
      <alignment horizontal="center" vertical="center"/>
      <protection hidden="1"/>
    </xf>
    <xf numFmtId="1" fontId="0" fillId="0" borderId="38" xfId="0" applyNumberFormat="1" applyBorder="1" applyAlignment="1" applyProtection="1">
      <alignment horizontal="center" vertical="center"/>
      <protection hidden="1"/>
    </xf>
    <xf numFmtId="1" fontId="0" fillId="64" borderId="38" xfId="0" applyNumberFormat="1" applyFill="1" applyBorder="1" applyAlignment="1" applyProtection="1">
      <alignment horizontal="center" vertical="center"/>
      <protection hidden="1"/>
    </xf>
    <xf numFmtId="1" fontId="0" fillId="63" borderId="29" xfId="0" applyNumberFormat="1" applyFill="1" applyBorder="1" applyAlignment="1" applyProtection="1">
      <alignment horizontal="center" vertical="center"/>
      <protection hidden="1"/>
    </xf>
    <xf numFmtId="1" fontId="0" fillId="63" borderId="31" xfId="0" applyNumberFormat="1" applyFill="1" applyBorder="1" applyAlignment="1" applyProtection="1">
      <alignment horizontal="center" vertical="center"/>
      <protection hidden="1"/>
    </xf>
    <xf numFmtId="1" fontId="0" fillId="62" borderId="29" xfId="0" applyNumberFormat="1" applyFill="1" applyBorder="1" applyAlignment="1" applyProtection="1">
      <alignment horizontal="center" vertical="center"/>
      <protection hidden="1"/>
    </xf>
    <xf numFmtId="1" fontId="0" fillId="62" borderId="30" xfId="0" applyNumberFormat="1" applyFill="1" applyBorder="1" applyAlignment="1" applyProtection="1">
      <alignment horizontal="center" vertical="center"/>
      <protection hidden="1"/>
    </xf>
    <xf numFmtId="1" fontId="0" fillId="62" borderId="31" xfId="0" applyNumberFormat="1" applyFill="1" applyBorder="1" applyAlignment="1" applyProtection="1">
      <alignment horizontal="center" vertical="center"/>
      <protection hidden="1"/>
    </xf>
    <xf numFmtId="1" fontId="0" fillId="65" borderId="29" xfId="0" applyNumberFormat="1" applyFill="1" applyBorder="1" applyAlignment="1" applyProtection="1">
      <alignment horizontal="center" vertical="center"/>
      <protection hidden="1"/>
    </xf>
    <xf numFmtId="1" fontId="0" fillId="65" borderId="30" xfId="0" applyNumberFormat="1" applyFill="1" applyBorder="1" applyAlignment="1" applyProtection="1">
      <alignment horizontal="center" vertical="center"/>
      <protection hidden="1"/>
    </xf>
    <xf numFmtId="1" fontId="0" fillId="65" borderId="31" xfId="0" applyNumberFormat="1" applyFill="1" applyBorder="1" applyAlignment="1" applyProtection="1">
      <alignment horizontal="center" vertical="center"/>
      <protection hidden="1"/>
    </xf>
    <xf numFmtId="0" fontId="0" fillId="64" borderId="52" xfId="0" applyFill="1" applyBorder="1" applyAlignment="1" applyProtection="1">
      <alignment horizontal="center" vertical="center"/>
      <protection hidden="1"/>
    </xf>
    <xf numFmtId="0" fontId="0" fillId="63" borderId="53" xfId="0" applyFill="1" applyBorder="1" applyAlignment="1" applyProtection="1">
      <alignment horizontal="center" vertical="center"/>
      <protection hidden="1"/>
    </xf>
    <xf numFmtId="0" fontId="0" fillId="63" borderId="51" xfId="0" applyFill="1" applyBorder="1" applyAlignment="1" applyProtection="1">
      <alignment horizontal="center" vertical="center"/>
      <protection hidden="1"/>
    </xf>
    <xf numFmtId="0" fontId="0" fillId="62" borderId="53" xfId="0" applyFill="1" applyBorder="1" applyAlignment="1" applyProtection="1">
      <alignment horizontal="center" vertical="center"/>
      <protection hidden="1"/>
    </xf>
    <xf numFmtId="0" fontId="0" fillId="62" borderId="32" xfId="0" applyFill="1" applyBorder="1" applyAlignment="1" applyProtection="1">
      <alignment horizontal="center" vertical="center"/>
      <protection hidden="1"/>
    </xf>
    <xf numFmtId="0" fontId="0" fillId="62" borderId="51" xfId="0" applyFill="1" applyBorder="1" applyAlignment="1" applyProtection="1">
      <alignment horizontal="center" vertical="center"/>
      <protection hidden="1"/>
    </xf>
    <xf numFmtId="0" fontId="0" fillId="65" borderId="53" xfId="0" applyFill="1" applyBorder="1" applyAlignment="1" applyProtection="1">
      <alignment horizontal="center" vertical="center"/>
      <protection hidden="1"/>
    </xf>
    <xf numFmtId="0" fontId="0" fillId="65" borderId="32" xfId="0" applyFill="1" applyBorder="1" applyAlignment="1" applyProtection="1">
      <alignment horizontal="center" vertical="center"/>
      <protection hidden="1"/>
    </xf>
    <xf numFmtId="0" fontId="0" fillId="65" borderId="51" xfId="0" applyFill="1" applyBorder="1" applyAlignment="1" applyProtection="1">
      <alignment horizontal="center" vertical="center"/>
      <protection hidden="1"/>
    </xf>
    <xf numFmtId="0" fontId="0" fillId="64" borderId="1" xfId="0" applyFill="1" applyBorder="1" applyAlignment="1" applyProtection="1">
      <alignment horizontal="center" vertical="center"/>
      <protection hidden="1"/>
    </xf>
    <xf numFmtId="0" fontId="0" fillId="63" borderId="24" xfId="0" applyFill="1" applyBorder="1" applyAlignment="1" applyProtection="1">
      <alignment horizontal="center" vertical="center"/>
      <protection hidden="1"/>
    </xf>
    <xf numFmtId="0" fontId="0" fillId="63" borderId="3" xfId="0" applyFill="1" applyBorder="1" applyAlignment="1" applyProtection="1">
      <alignment horizontal="center" vertical="center"/>
      <protection hidden="1"/>
    </xf>
    <xf numFmtId="0" fontId="0" fillId="62" borderId="24" xfId="0" applyFill="1" applyBorder="1" applyAlignment="1" applyProtection="1">
      <alignment horizontal="center" vertical="center"/>
      <protection hidden="1"/>
    </xf>
    <xf numFmtId="0" fontId="0" fillId="62" borderId="2" xfId="0" applyFill="1" applyBorder="1" applyAlignment="1" applyProtection="1">
      <alignment horizontal="center" vertical="center"/>
      <protection hidden="1"/>
    </xf>
    <xf numFmtId="0" fontId="0" fillId="62" borderId="3" xfId="0" applyFill="1" applyBorder="1" applyAlignment="1" applyProtection="1">
      <alignment horizontal="center" vertical="center"/>
      <protection hidden="1"/>
    </xf>
    <xf numFmtId="0" fontId="0" fillId="65" borderId="24" xfId="0" applyFill="1" applyBorder="1" applyAlignment="1" applyProtection="1">
      <alignment horizontal="center" vertical="center"/>
      <protection hidden="1"/>
    </xf>
    <xf numFmtId="0" fontId="0" fillId="65" borderId="2" xfId="0" applyFill="1" applyBorder="1" applyAlignment="1" applyProtection="1">
      <alignment horizontal="center" vertical="center"/>
      <protection hidden="1"/>
    </xf>
    <xf numFmtId="0" fontId="0" fillId="65" borderId="3" xfId="0" applyFill="1" applyBorder="1" applyAlignment="1" applyProtection="1">
      <alignment horizontal="center" vertical="center"/>
      <protection hidden="1"/>
    </xf>
    <xf numFmtId="0" fontId="0" fillId="0" borderId="24" xfId="0" applyBorder="1" applyAlignment="1" applyProtection="1">
      <alignment horizontal="center" vertical="center"/>
      <protection hidden="1"/>
    </xf>
    <xf numFmtId="1" fontId="0" fillId="0" borderId="7" xfId="0" applyNumberFormat="1" applyBorder="1" applyAlignment="1" applyProtection="1">
      <alignment horizontal="center" vertical="center"/>
      <protection hidden="1"/>
    </xf>
    <xf numFmtId="1" fontId="0" fillId="62" borderId="5" xfId="0" applyNumberFormat="1" applyFill="1" applyBorder="1" applyAlignment="1" applyProtection="1">
      <alignment horizontal="center" vertical="center"/>
      <protection hidden="1"/>
    </xf>
    <xf numFmtId="2" fontId="0" fillId="62" borderId="5" xfId="0" applyNumberFormat="1" applyFill="1" applyBorder="1" applyAlignment="1" applyProtection="1">
      <alignment horizontal="center" vertical="center"/>
      <protection hidden="1"/>
    </xf>
    <xf numFmtId="0" fontId="0" fillId="63" borderId="2" xfId="0" applyFill="1" applyBorder="1" applyAlignment="1" applyProtection="1">
      <alignment horizontal="center" vertical="center"/>
      <protection hidden="1"/>
    </xf>
    <xf numFmtId="0" fontId="0" fillId="63" borderId="19" xfId="0" applyFill="1" applyBorder="1" applyAlignment="1" applyProtection="1">
      <alignment horizontal="center" vertical="center"/>
      <protection hidden="1"/>
    </xf>
    <xf numFmtId="1" fontId="0" fillId="63" borderId="5" xfId="0" applyNumberFormat="1" applyFill="1" applyBorder="1" applyAlignment="1" applyProtection="1">
      <alignment horizontal="center" vertical="center"/>
      <protection hidden="1"/>
    </xf>
    <xf numFmtId="2" fontId="0" fillId="63" borderId="5" xfId="0" applyNumberFormat="1" applyFill="1" applyBorder="1" applyAlignment="1" applyProtection="1">
      <alignment horizontal="center" vertical="center"/>
      <protection hidden="1"/>
    </xf>
    <xf numFmtId="2" fontId="0" fillId="63" borderId="4" xfId="0" applyNumberFormat="1" applyFill="1" applyBorder="1" applyAlignment="1" applyProtection="1">
      <alignment horizontal="center" vertical="center"/>
      <protection hidden="1"/>
    </xf>
    <xf numFmtId="0" fontId="0" fillId="63" borderId="20" xfId="0" applyFill="1" applyBorder="1" applyAlignment="1" applyProtection="1">
      <alignment horizontal="center" vertical="center"/>
      <protection hidden="1"/>
    </xf>
    <xf numFmtId="0" fontId="0" fillId="64" borderId="2" xfId="0" applyFill="1" applyBorder="1" applyAlignment="1" applyProtection="1">
      <alignment horizontal="center" vertical="center"/>
      <protection hidden="1"/>
    </xf>
    <xf numFmtId="0" fontId="0" fillId="64" borderId="19" xfId="0" applyFill="1" applyBorder="1" applyAlignment="1" applyProtection="1">
      <alignment horizontal="center" vertical="center"/>
      <protection hidden="1"/>
    </xf>
    <xf numFmtId="1" fontId="0" fillId="64" borderId="5" xfId="0" applyNumberFormat="1" applyFill="1" applyBorder="1" applyAlignment="1" applyProtection="1">
      <alignment horizontal="center" vertical="center"/>
      <protection hidden="1"/>
    </xf>
    <xf numFmtId="2" fontId="0" fillId="64" borderId="5" xfId="0" applyNumberFormat="1" applyFill="1" applyBorder="1" applyAlignment="1" applyProtection="1">
      <alignment horizontal="center" vertical="center"/>
      <protection hidden="1"/>
    </xf>
    <xf numFmtId="2" fontId="0" fillId="64" borderId="4" xfId="0" applyNumberFormat="1" applyFill="1" applyBorder="1" applyAlignment="1" applyProtection="1">
      <alignment horizontal="center" vertical="center"/>
      <protection hidden="1"/>
    </xf>
    <xf numFmtId="0" fontId="0" fillId="64" borderId="20" xfId="0" applyFill="1" applyBorder="1" applyAlignment="1" applyProtection="1">
      <alignment horizontal="center" vertical="center"/>
      <protection hidden="1"/>
    </xf>
    <xf numFmtId="0" fontId="0" fillId="65" borderId="17" xfId="0" applyFill="1" applyBorder="1" applyAlignment="1" applyProtection="1">
      <alignment horizontal="center" vertical="center"/>
      <protection hidden="1"/>
    </xf>
    <xf numFmtId="0" fontId="0" fillId="65" borderId="18" xfId="0" applyFill="1" applyBorder="1" applyAlignment="1" applyProtection="1">
      <alignment horizontal="center" vertical="center"/>
      <protection hidden="1"/>
    </xf>
    <xf numFmtId="1" fontId="0" fillId="62" borderId="163" xfId="0" applyNumberFormat="1" applyFill="1" applyBorder="1" applyAlignment="1" applyProtection="1">
      <alignment horizontal="center" vertical="center"/>
      <protection hidden="1"/>
    </xf>
    <xf numFmtId="2" fontId="0" fillId="62" borderId="163" xfId="0" applyNumberFormat="1" applyFill="1" applyBorder="1" applyAlignment="1" applyProtection="1">
      <alignment horizontal="center" vertical="center"/>
      <protection hidden="1"/>
    </xf>
    <xf numFmtId="1" fontId="0" fillId="64" borderId="30" xfId="0" applyNumberFormat="1" applyFill="1" applyBorder="1" applyAlignment="1" applyProtection="1">
      <alignment horizontal="center" vertical="center"/>
      <protection hidden="1"/>
    </xf>
    <xf numFmtId="1" fontId="0" fillId="63" borderId="30" xfId="0" applyNumberFormat="1" applyFill="1" applyBorder="1" applyAlignment="1" applyProtection="1">
      <alignment horizontal="center" vertical="center"/>
      <protection hidden="1"/>
    </xf>
    <xf numFmtId="0" fontId="0" fillId="8" borderId="108" xfId="0" applyFill="1" applyBorder="1" applyProtection="1">
      <protection locked="0" hidden="1"/>
      <extLst>
        <ext xmlns:xfpb="http://schemas.microsoft.com/office/spreadsheetml/2022/featurepropertybag" uri="{C7286773-470A-42A8-94C5-96B5CB345126}">
          <xfpb:xfComplement i="0"/>
        </ext>
      </extLst>
    </xf>
    <xf numFmtId="0" fontId="0" fillId="8" borderId="107" xfId="0" applyFill="1" applyBorder="1" applyProtection="1">
      <protection locked="0" hidden="1"/>
      <extLst>
        <ext xmlns:xfpb="http://schemas.microsoft.com/office/spreadsheetml/2022/featurepropertybag" uri="{C7286773-470A-42A8-94C5-96B5CB345126}">
          <xfpb:xfComplement i="0"/>
        </ext>
      </extLst>
    </xf>
    <xf numFmtId="0" fontId="0" fillId="8" borderId="126" xfId="0" applyFill="1" applyBorder="1" applyProtection="1">
      <protection locked="0" hidden="1"/>
      <extLst>
        <ext xmlns:xfpb="http://schemas.microsoft.com/office/spreadsheetml/2022/featurepropertybag" uri="{C7286773-470A-42A8-94C5-96B5CB345126}">
          <xfpb:xfComplement i="0"/>
        </ext>
      </extLst>
    </xf>
    <xf numFmtId="0" fontId="0" fillId="25" borderId="4" xfId="0" applyFill="1" applyBorder="1" applyAlignment="1" applyProtection="1">
      <alignment horizontal="center"/>
      <protection hidden="1"/>
    </xf>
    <xf numFmtId="0" fontId="0" fillId="7" borderId="4" xfId="0" applyFill="1" applyBorder="1" applyAlignment="1" applyProtection="1">
      <alignment horizontal="center"/>
      <protection hidden="1"/>
    </xf>
    <xf numFmtId="0" fontId="45" fillId="43" borderId="24" xfId="1" applyFont="1" applyFill="1" applyBorder="1" applyAlignment="1" applyProtection="1">
      <alignment horizontal="center" wrapText="1"/>
      <protection hidden="1"/>
    </xf>
    <xf numFmtId="0" fontId="45" fillId="43" borderId="3" xfId="1" applyFont="1" applyFill="1" applyBorder="1" applyAlignment="1" applyProtection="1">
      <alignment horizontal="center" wrapText="1"/>
      <protection hidden="1"/>
    </xf>
    <xf numFmtId="0" fontId="45" fillId="29" borderId="24" xfId="0" applyFont="1" applyFill="1" applyBorder="1" applyAlignment="1" applyProtection="1">
      <alignment horizontal="center" vertical="center"/>
      <protection hidden="1"/>
    </xf>
    <xf numFmtId="0" fontId="45" fillId="29" borderId="2" xfId="0" applyFont="1" applyFill="1" applyBorder="1" applyAlignment="1" applyProtection="1">
      <alignment horizontal="center" vertical="center"/>
      <protection hidden="1"/>
    </xf>
    <xf numFmtId="0" fontId="52" fillId="33" borderId="2" xfId="1" applyFont="1" applyFill="1" applyBorder="1" applyAlignment="1" applyProtection="1">
      <alignment horizontal="center" vertical="center"/>
      <protection hidden="1"/>
    </xf>
    <xf numFmtId="0" fontId="41" fillId="11" borderId="0" xfId="0" applyFont="1" applyFill="1" applyAlignment="1" applyProtection="1">
      <alignment horizontal="center" vertical="center"/>
      <protection hidden="1"/>
    </xf>
    <xf numFmtId="0" fontId="42" fillId="22" borderId="21" xfId="0" applyFont="1" applyFill="1" applyBorder="1" applyAlignment="1" applyProtection="1">
      <alignment horizontal="center"/>
      <protection hidden="1"/>
    </xf>
    <xf numFmtId="0" fontId="42" fillId="22" borderId="33" xfId="0" applyFont="1" applyFill="1" applyBorder="1" applyAlignment="1" applyProtection="1">
      <alignment horizontal="center"/>
      <protection hidden="1"/>
    </xf>
    <xf numFmtId="0" fontId="42" fillId="22" borderId="34" xfId="0" applyFont="1" applyFill="1" applyBorder="1" applyAlignment="1" applyProtection="1">
      <alignment horizontal="center"/>
      <protection hidden="1"/>
    </xf>
    <xf numFmtId="0" fontId="43" fillId="12" borderId="0" xfId="0" applyFont="1" applyFill="1" applyAlignment="1" applyProtection="1">
      <alignment horizontal="center" vertical="center"/>
      <protection hidden="1"/>
    </xf>
    <xf numFmtId="0" fontId="43" fillId="12" borderId="0" xfId="0" applyFont="1" applyFill="1" applyAlignment="1" applyProtection="1">
      <alignment horizontal="center" vertical="center" shrinkToFit="1"/>
      <protection hidden="1"/>
    </xf>
    <xf numFmtId="0" fontId="6" fillId="12" borderId="26" xfId="0" applyFont="1" applyFill="1" applyBorder="1" applyAlignment="1" applyProtection="1">
      <alignment horizontal="center" vertical="center"/>
      <protection hidden="1"/>
    </xf>
    <xf numFmtId="0" fontId="6" fillId="12" borderId="27" xfId="0" applyFont="1" applyFill="1" applyBorder="1" applyAlignment="1" applyProtection="1">
      <alignment horizontal="center" vertical="center"/>
      <protection hidden="1"/>
    </xf>
    <xf numFmtId="0" fontId="54" fillId="52" borderId="45" xfId="0" applyFont="1" applyFill="1" applyBorder="1" applyAlignment="1" applyProtection="1">
      <alignment horizontal="center" vertical="center"/>
      <protection locked="0" hidden="1"/>
    </xf>
    <xf numFmtId="0" fontId="54" fillId="52" borderId="46" xfId="0" applyFont="1" applyFill="1" applyBorder="1" applyAlignment="1" applyProtection="1">
      <alignment horizontal="center" vertical="center"/>
      <protection locked="0" hidden="1"/>
    </xf>
    <xf numFmtId="0" fontId="54" fillId="52" borderId="47" xfId="0" applyFont="1" applyFill="1" applyBorder="1" applyAlignment="1" applyProtection="1">
      <alignment horizontal="center" vertical="center"/>
      <protection locked="0" hidden="1"/>
    </xf>
    <xf numFmtId="0" fontId="43" fillId="23" borderId="46" xfId="0" applyFont="1" applyFill="1" applyBorder="1" applyAlignment="1" applyProtection="1">
      <alignment horizontal="center" vertical="center" shrinkToFit="1"/>
      <protection hidden="1"/>
    </xf>
    <xf numFmtId="0" fontId="43" fillId="23" borderId="47" xfId="0" applyFont="1" applyFill="1" applyBorder="1" applyAlignment="1" applyProtection="1">
      <alignment horizontal="center" vertical="center" shrinkToFit="1"/>
      <protection hidden="1"/>
    </xf>
    <xf numFmtId="0" fontId="54" fillId="52" borderId="26" xfId="0" applyFont="1" applyFill="1" applyBorder="1" applyAlignment="1" applyProtection="1">
      <alignment horizontal="center" vertical="center"/>
      <protection locked="0" hidden="1"/>
    </xf>
    <xf numFmtId="0" fontId="54" fillId="52" borderId="27" xfId="0" applyFont="1" applyFill="1" applyBorder="1" applyAlignment="1" applyProtection="1">
      <alignment horizontal="center" vertical="center"/>
      <protection locked="0" hidden="1"/>
    </xf>
    <xf numFmtId="0" fontId="53" fillId="52" borderId="0" xfId="0" applyFont="1" applyFill="1" applyAlignment="1" applyProtection="1">
      <alignment horizontal="center" vertical="center" wrapText="1"/>
      <protection locked="0" hidden="1"/>
      <extLst>
        <ext xmlns:xfpb="http://schemas.microsoft.com/office/spreadsheetml/2022/featurepropertybag" uri="{C7286773-470A-42A8-94C5-96B5CB345126}">
          <xfpb:xfComplement i="0"/>
        </ext>
      </extLst>
    </xf>
    <xf numFmtId="0" fontId="44" fillId="22" borderId="0" xfId="0" applyFont="1" applyFill="1" applyAlignment="1" applyProtection="1">
      <alignment horizontal="center"/>
      <protection hidden="1"/>
    </xf>
    <xf numFmtId="0" fontId="52" fillId="28" borderId="2" xfId="1" applyFont="1" applyFill="1" applyBorder="1" applyAlignment="1" applyProtection="1">
      <alignment horizontal="center" vertical="center"/>
      <protection hidden="1"/>
    </xf>
    <xf numFmtId="0" fontId="52" fillId="30" borderId="2" xfId="1" applyFont="1" applyFill="1" applyBorder="1" applyAlignment="1" applyProtection="1">
      <alignment horizontal="center" vertical="center"/>
      <protection hidden="1"/>
    </xf>
    <xf numFmtId="0" fontId="52" fillId="31" borderId="2" xfId="1" applyFont="1" applyFill="1" applyBorder="1" applyAlignment="1" applyProtection="1">
      <alignment horizontal="center" vertical="center"/>
      <protection hidden="1"/>
    </xf>
    <xf numFmtId="0" fontId="52" fillId="32" borderId="2" xfId="1" applyFont="1" applyFill="1" applyBorder="1" applyAlignment="1" applyProtection="1">
      <alignment horizontal="center" vertical="center"/>
      <protection hidden="1"/>
    </xf>
    <xf numFmtId="0" fontId="46" fillId="42" borderId="59" xfId="0" applyFont="1" applyFill="1" applyBorder="1" applyAlignment="1" applyProtection="1">
      <alignment horizontal="center" vertical="center" wrapText="1"/>
      <protection hidden="1"/>
    </xf>
    <xf numFmtId="0" fontId="46" fillId="42" borderId="39" xfId="0" applyFont="1" applyFill="1" applyBorder="1" applyAlignment="1" applyProtection="1">
      <alignment horizontal="center" vertical="center" wrapText="1"/>
      <protection hidden="1"/>
    </xf>
    <xf numFmtId="0" fontId="57" fillId="45" borderId="59" xfId="1" applyFont="1" applyFill="1" applyBorder="1" applyAlignment="1" applyProtection="1">
      <alignment horizontal="center" vertical="center" wrapText="1"/>
      <protection hidden="1"/>
    </xf>
    <xf numFmtId="0" fontId="57" fillId="45" borderId="61" xfId="1" applyFont="1" applyFill="1" applyBorder="1" applyAlignment="1" applyProtection="1">
      <alignment horizontal="center" vertical="center" wrapText="1"/>
      <protection hidden="1"/>
    </xf>
    <xf numFmtId="0" fontId="57" fillId="45" borderId="39" xfId="1" applyFont="1" applyFill="1" applyBorder="1" applyAlignment="1" applyProtection="1">
      <alignment horizontal="center" vertical="center" wrapText="1"/>
      <protection hidden="1"/>
    </xf>
    <xf numFmtId="0" fontId="52" fillId="34" borderId="2" xfId="1" applyFont="1" applyFill="1" applyBorder="1" applyAlignment="1" applyProtection="1">
      <alignment horizontal="center" vertical="center"/>
      <protection hidden="1"/>
    </xf>
    <xf numFmtId="0" fontId="52" fillId="35" borderId="2" xfId="1" applyFont="1" applyFill="1" applyBorder="1" applyAlignment="1" applyProtection="1">
      <alignment horizontal="center" vertical="center"/>
      <protection hidden="1"/>
    </xf>
    <xf numFmtId="0" fontId="52" fillId="36" borderId="2" xfId="1" applyFont="1" applyFill="1" applyBorder="1" applyAlignment="1" applyProtection="1">
      <alignment horizontal="center" vertical="center"/>
      <protection hidden="1"/>
    </xf>
    <xf numFmtId="0" fontId="52" fillId="37" borderId="2" xfId="1" applyFont="1" applyFill="1" applyBorder="1" applyAlignment="1" applyProtection="1">
      <alignment horizontal="center" vertical="center"/>
      <protection hidden="1"/>
    </xf>
    <xf numFmtId="0" fontId="52" fillId="38" borderId="2" xfId="1" applyFont="1" applyFill="1" applyBorder="1" applyAlignment="1" applyProtection="1">
      <alignment horizontal="center" vertical="center"/>
      <protection hidden="1"/>
    </xf>
    <xf numFmtId="0" fontId="45" fillId="41" borderId="59" xfId="1" applyFont="1" applyFill="1" applyBorder="1" applyAlignment="1" applyProtection="1">
      <alignment horizontal="center" vertical="center"/>
      <protection hidden="1"/>
    </xf>
    <xf numFmtId="0" fontId="45" fillId="41" borderId="39" xfId="1" applyFont="1" applyFill="1" applyBorder="1" applyAlignment="1" applyProtection="1">
      <alignment horizontal="center" vertical="center"/>
      <protection hidden="1"/>
    </xf>
    <xf numFmtId="0" fontId="52" fillId="39" borderId="2" xfId="1" applyFont="1" applyFill="1" applyBorder="1" applyAlignment="1" applyProtection="1">
      <alignment horizontal="center" vertical="center"/>
      <protection hidden="1"/>
    </xf>
    <xf numFmtId="0" fontId="52" fillId="40" borderId="2" xfId="1" applyFont="1" applyFill="1" applyBorder="1" applyAlignment="1" applyProtection="1">
      <alignment horizontal="center" vertical="center"/>
      <protection hidden="1"/>
    </xf>
    <xf numFmtId="0" fontId="52" fillId="40" borderId="3" xfId="1" applyFont="1" applyFill="1" applyBorder="1" applyAlignment="1" applyProtection="1">
      <alignment horizontal="center" vertical="center"/>
      <protection hidden="1"/>
    </xf>
    <xf numFmtId="0" fontId="2" fillId="0" borderId="59" xfId="0" applyFont="1" applyBorder="1" applyAlignment="1" applyProtection="1">
      <alignment horizontal="center" vertical="center"/>
      <protection hidden="1"/>
    </xf>
    <xf numFmtId="0" fontId="2" fillId="0" borderId="61" xfId="0" applyFont="1" applyBorder="1" applyAlignment="1" applyProtection="1">
      <alignment horizontal="center" vertical="center"/>
      <protection hidden="1"/>
    </xf>
    <xf numFmtId="0" fontId="2" fillId="0" borderId="39" xfId="0" applyFont="1" applyBorder="1" applyAlignment="1" applyProtection="1">
      <alignment horizontal="center" vertical="center"/>
      <protection hidden="1"/>
    </xf>
    <xf numFmtId="0" fontId="0" fillId="3" borderId="78" xfId="0" applyFill="1" applyBorder="1" applyAlignment="1" applyProtection="1">
      <alignment horizontal="center" vertical="center"/>
      <protection hidden="1"/>
    </xf>
    <xf numFmtId="0" fontId="0" fillId="3" borderId="79" xfId="0"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3" borderId="95" xfId="0" applyFill="1" applyBorder="1" applyAlignment="1" applyProtection="1">
      <alignment horizontal="center" vertical="center"/>
      <protection hidden="1"/>
    </xf>
    <xf numFmtId="0" fontId="0" fillId="3" borderId="96" xfId="0" applyFill="1" applyBorder="1" applyAlignment="1" applyProtection="1">
      <alignment horizontal="center" vertical="center"/>
      <protection hidden="1"/>
    </xf>
    <xf numFmtId="0" fontId="0" fillId="6" borderId="96" xfId="0" applyFill="1" applyBorder="1" applyAlignment="1" applyProtection="1">
      <alignment horizontal="center" vertical="center"/>
      <protection hidden="1"/>
    </xf>
    <xf numFmtId="0" fontId="0" fillId="6" borderId="94" xfId="0" applyFill="1" applyBorder="1" applyAlignment="1" applyProtection="1">
      <alignment horizontal="center" vertical="center"/>
      <protection hidden="1"/>
    </xf>
    <xf numFmtId="0" fontId="45" fillId="42" borderId="59" xfId="1" applyFont="1" applyFill="1" applyBorder="1" applyAlignment="1" applyProtection="1">
      <alignment horizontal="center" vertical="center" wrapText="1"/>
      <protection hidden="1"/>
    </xf>
    <xf numFmtId="0" fontId="45" fillId="42" borderId="39" xfId="1" applyFont="1" applyFill="1" applyBorder="1" applyAlignment="1" applyProtection="1">
      <alignment horizontal="center" vertical="center" wrapText="1"/>
      <protection hidden="1"/>
    </xf>
    <xf numFmtId="0" fontId="0" fillId="0" borderId="31"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3" borderId="113" xfId="0" applyFill="1" applyBorder="1" applyAlignment="1" applyProtection="1">
      <alignment horizontal="center" vertical="center"/>
      <protection hidden="1"/>
    </xf>
    <xf numFmtId="0" fontId="0" fillId="3" borderId="120" xfId="0" applyFill="1" applyBorder="1" applyAlignment="1" applyProtection="1">
      <alignment horizontal="center" vertical="center"/>
      <protection hidden="1"/>
    </xf>
    <xf numFmtId="0" fontId="0" fillId="3" borderId="114" xfId="0" applyFill="1" applyBorder="1" applyAlignment="1" applyProtection="1">
      <alignment horizontal="center" vertical="center"/>
      <protection hidden="1"/>
    </xf>
    <xf numFmtId="0" fontId="49" fillId="49" borderId="21" xfId="1" applyFont="1" applyFill="1" applyBorder="1" applyAlignment="1" applyProtection="1">
      <alignment horizontal="center" vertical="center" wrapText="1"/>
      <protection hidden="1"/>
    </xf>
    <xf numFmtId="0" fontId="49" fillId="49" borderId="33" xfId="1" applyFont="1" applyFill="1" applyBorder="1" applyAlignment="1" applyProtection="1">
      <alignment horizontal="center" vertical="center" wrapText="1"/>
      <protection hidden="1"/>
    </xf>
    <xf numFmtId="0" fontId="49" fillId="49" borderId="34" xfId="1" applyFont="1" applyFill="1" applyBorder="1" applyAlignment="1" applyProtection="1">
      <alignment horizontal="center" vertical="center" wrapText="1"/>
      <protection hidden="1"/>
    </xf>
    <xf numFmtId="0" fontId="49" fillId="49" borderId="43" xfId="1" applyFont="1" applyFill="1" applyBorder="1" applyAlignment="1" applyProtection="1">
      <alignment horizontal="center" vertical="center" wrapText="1"/>
      <protection hidden="1"/>
    </xf>
    <xf numFmtId="0" fontId="49" fillId="49" borderId="0" xfId="1" applyFont="1" applyFill="1" applyBorder="1" applyAlignment="1" applyProtection="1">
      <alignment horizontal="center" vertical="center" wrapText="1"/>
      <protection hidden="1"/>
    </xf>
    <xf numFmtId="0" fontId="49" fillId="49" borderId="44" xfId="1" applyFont="1" applyFill="1" applyBorder="1" applyAlignment="1" applyProtection="1">
      <alignment horizontal="center" vertical="center" wrapText="1"/>
      <protection hidden="1"/>
    </xf>
    <xf numFmtId="0" fontId="49" fillId="49" borderId="45" xfId="1" applyFont="1" applyFill="1" applyBorder="1" applyAlignment="1" applyProtection="1">
      <alignment horizontal="center" vertical="center" wrapText="1"/>
      <protection hidden="1"/>
    </xf>
    <xf numFmtId="0" fontId="49" fillId="49" borderId="46" xfId="1" applyFont="1" applyFill="1" applyBorder="1" applyAlignment="1" applyProtection="1">
      <alignment horizontal="center" vertical="center" wrapText="1"/>
      <protection hidden="1"/>
    </xf>
    <xf numFmtId="0" fontId="49" fillId="49" borderId="47" xfId="1" applyFont="1" applyFill="1" applyBorder="1" applyAlignment="1" applyProtection="1">
      <alignment horizontal="center" vertical="center" wrapText="1"/>
      <protection hidden="1"/>
    </xf>
    <xf numFmtId="0" fontId="9" fillId="0" borderId="26" xfId="0" applyFont="1" applyBorder="1" applyAlignment="1" applyProtection="1">
      <alignment horizontal="center"/>
      <protection hidden="1"/>
    </xf>
    <xf numFmtId="0" fontId="9" fillId="0" borderId="27" xfId="0" applyFont="1" applyBorder="1" applyAlignment="1" applyProtection="1">
      <alignment horizontal="center"/>
      <protection hidden="1"/>
    </xf>
    <xf numFmtId="0" fontId="9" fillId="0" borderId="33" xfId="0" applyFont="1" applyBorder="1" applyAlignment="1" applyProtection="1">
      <alignment horizontal="center"/>
      <protection hidden="1"/>
    </xf>
    <xf numFmtId="0" fontId="9" fillId="0" borderId="34" xfId="0" applyFont="1" applyBorder="1" applyAlignment="1" applyProtection="1">
      <alignment horizontal="center"/>
      <protection hidden="1"/>
    </xf>
    <xf numFmtId="0" fontId="0" fillId="0" borderId="65" xfId="0" applyBorder="1" applyAlignment="1" applyProtection="1">
      <alignment horizontal="center" vertical="center"/>
      <protection hidden="1"/>
    </xf>
    <xf numFmtId="0" fontId="0" fillId="0" borderId="118"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6" borderId="114" xfId="0" applyFill="1" applyBorder="1" applyAlignment="1" applyProtection="1">
      <alignment horizontal="center" vertical="center"/>
      <protection hidden="1"/>
    </xf>
    <xf numFmtId="0" fontId="0" fillId="6" borderId="119" xfId="0"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86" xfId="0" applyFont="1" applyFill="1"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6" borderId="91" xfId="0" applyFill="1" applyBorder="1" applyAlignment="1" applyProtection="1">
      <alignment horizontal="center" vertical="center"/>
      <protection hidden="1"/>
    </xf>
    <xf numFmtId="0" fontId="0" fillId="6" borderId="89" xfId="0" applyFill="1" applyBorder="1" applyAlignment="1" applyProtection="1">
      <alignment horizontal="center" vertical="center"/>
      <protection hidden="1"/>
    </xf>
    <xf numFmtId="0" fontId="0" fillId="11" borderId="0" xfId="0" applyFill="1" applyAlignment="1" applyProtection="1">
      <alignment horizontal="center" shrinkToFit="1"/>
      <protection hidden="1"/>
    </xf>
    <xf numFmtId="0" fontId="1" fillId="0" borderId="24" xfId="0" applyFont="1" applyBorder="1" applyAlignment="1" applyProtection="1">
      <alignment horizontal="center" vertical="center"/>
      <protection hidden="1"/>
    </xf>
    <xf numFmtId="0" fontId="1" fillId="0" borderId="60" xfId="0" applyFont="1" applyBorder="1" applyAlignment="1" applyProtection="1">
      <alignment horizontal="center" vertical="center"/>
      <protection hidden="1"/>
    </xf>
    <xf numFmtId="0" fontId="9" fillId="8" borderId="21" xfId="0" applyFont="1" applyFill="1" applyBorder="1" applyAlignment="1" applyProtection="1">
      <alignment horizontal="center" vertical="center"/>
      <protection hidden="1"/>
    </xf>
    <xf numFmtId="0" fontId="9" fillId="8" borderId="33" xfId="0" applyFont="1" applyFill="1" applyBorder="1" applyAlignment="1" applyProtection="1">
      <alignment horizontal="center" vertical="center"/>
      <protection hidden="1"/>
    </xf>
    <xf numFmtId="0" fontId="9" fillId="8" borderId="28" xfId="0" applyFont="1" applyFill="1" applyBorder="1" applyAlignment="1" applyProtection="1">
      <alignment horizontal="center" vertical="center"/>
      <protection hidden="1"/>
    </xf>
    <xf numFmtId="0" fontId="0" fillId="3" borderId="90" xfId="0" applyFill="1" applyBorder="1" applyAlignment="1" applyProtection="1">
      <alignment horizontal="center" vertical="center"/>
      <protection hidden="1"/>
    </xf>
    <xf numFmtId="0" fontId="0" fillId="3" borderId="75" xfId="0" applyFill="1" applyBorder="1" applyAlignment="1" applyProtection="1">
      <alignment horizontal="center" vertical="center"/>
      <protection hidden="1"/>
    </xf>
    <xf numFmtId="0" fontId="0" fillId="3" borderId="76" xfId="0" applyFill="1" applyBorder="1" applyAlignment="1" applyProtection="1">
      <alignment horizontal="center" vertical="center"/>
      <protection hidden="1"/>
    </xf>
    <xf numFmtId="0" fontId="0" fillId="3" borderId="121" xfId="0" applyFill="1" applyBorder="1" applyAlignment="1" applyProtection="1">
      <alignment horizontal="center" vertical="center"/>
      <protection hidden="1"/>
    </xf>
    <xf numFmtId="0" fontId="47" fillId="44" borderId="26" xfId="0" applyFont="1" applyFill="1" applyBorder="1" applyAlignment="1" applyProtection="1">
      <alignment horizontal="center" vertical="center"/>
      <protection hidden="1"/>
    </xf>
    <xf numFmtId="0" fontId="47" fillId="44" borderId="27" xfId="0" applyFont="1" applyFill="1" applyBorder="1" applyAlignment="1" applyProtection="1">
      <alignment horizontal="center" vertical="center"/>
      <protection hidden="1"/>
    </xf>
    <xf numFmtId="0" fontId="47" fillId="44" borderId="28" xfId="0" applyFont="1" applyFill="1" applyBorder="1" applyAlignment="1" applyProtection="1">
      <alignment horizontal="center" vertical="center"/>
      <protection hidden="1"/>
    </xf>
    <xf numFmtId="0" fontId="1" fillId="3" borderId="85" xfId="0" applyFont="1" applyFill="1" applyBorder="1" applyAlignment="1" applyProtection="1">
      <alignment horizontal="center" vertical="center"/>
      <protection hidden="1"/>
    </xf>
    <xf numFmtId="0" fontId="1" fillId="3" borderId="27" xfId="0" applyFont="1" applyFill="1" applyBorder="1" applyAlignment="1" applyProtection="1">
      <alignment horizontal="center" vertical="center"/>
      <protection hidden="1"/>
    </xf>
    <xf numFmtId="0" fontId="1" fillId="3" borderId="28" xfId="0" applyFont="1" applyFill="1" applyBorder="1" applyAlignment="1" applyProtection="1">
      <alignment horizontal="center" vertical="center"/>
      <protection hidden="1"/>
    </xf>
    <xf numFmtId="0" fontId="9" fillId="5" borderId="26" xfId="0" applyFont="1" applyFill="1" applyBorder="1" applyAlignment="1" applyProtection="1">
      <alignment horizontal="center" vertical="center"/>
      <protection hidden="1"/>
    </xf>
    <xf numFmtId="0" fontId="9" fillId="5" borderId="27" xfId="0" applyFont="1" applyFill="1" applyBorder="1" applyAlignment="1" applyProtection="1">
      <alignment horizontal="center" vertical="center"/>
      <protection hidden="1"/>
    </xf>
    <xf numFmtId="0" fontId="9" fillId="5" borderId="28" xfId="0" applyFont="1" applyFill="1" applyBorder="1" applyAlignment="1" applyProtection="1">
      <alignment horizontal="center" vertical="center"/>
      <protection hidden="1"/>
    </xf>
    <xf numFmtId="0" fontId="11" fillId="10" borderId="45" xfId="0" applyFont="1" applyFill="1" applyBorder="1" applyAlignment="1" applyProtection="1">
      <alignment horizontal="center"/>
      <protection hidden="1"/>
    </xf>
    <xf numFmtId="0" fontId="11" fillId="10" borderId="46" xfId="0" applyFont="1" applyFill="1" applyBorder="1" applyAlignment="1" applyProtection="1">
      <alignment horizontal="center"/>
      <protection hidden="1"/>
    </xf>
    <xf numFmtId="0" fontId="11" fillId="10" borderId="47" xfId="0" applyFont="1" applyFill="1" applyBorder="1" applyAlignment="1" applyProtection="1">
      <alignment horizontal="center"/>
      <protection hidden="1"/>
    </xf>
    <xf numFmtId="14" fontId="9" fillId="14" borderId="27" xfId="0" applyNumberFormat="1" applyFont="1" applyFill="1" applyBorder="1" applyAlignment="1" applyProtection="1">
      <alignment horizontal="center" vertical="center"/>
      <protection hidden="1"/>
    </xf>
    <xf numFmtId="14" fontId="9" fillId="14" borderId="28" xfId="0" applyNumberFormat="1" applyFont="1" applyFill="1" applyBorder="1" applyAlignment="1" applyProtection="1">
      <alignment horizontal="center" vertical="center"/>
      <protection hidden="1"/>
    </xf>
    <xf numFmtId="0" fontId="9" fillId="15" borderId="27" xfId="0" applyFont="1" applyFill="1" applyBorder="1" applyAlignment="1" applyProtection="1">
      <alignment horizontal="center" vertical="center" shrinkToFit="1"/>
      <protection hidden="1"/>
    </xf>
    <xf numFmtId="0" fontId="9" fillId="15" borderId="28" xfId="0" applyFont="1" applyFill="1" applyBorder="1" applyAlignment="1" applyProtection="1">
      <alignment horizontal="center" vertical="center" shrinkToFit="1"/>
      <protection hidden="1"/>
    </xf>
    <xf numFmtId="0" fontId="9" fillId="0" borderId="28" xfId="0" applyFont="1" applyBorder="1" applyAlignment="1" applyProtection="1">
      <alignment horizontal="center"/>
      <protection hidden="1"/>
    </xf>
    <xf numFmtId="0" fontId="9" fillId="15" borderId="26" xfId="0" applyFont="1" applyFill="1" applyBorder="1" applyAlignment="1" applyProtection="1">
      <alignment horizontal="center" vertical="center"/>
      <protection hidden="1"/>
    </xf>
    <xf numFmtId="0" fontId="9" fillId="15" borderId="27" xfId="0" applyFont="1" applyFill="1" applyBorder="1" applyAlignment="1" applyProtection="1">
      <alignment horizontal="center" vertical="center"/>
      <protection hidden="1"/>
    </xf>
    <xf numFmtId="0" fontId="9" fillId="14" borderId="27" xfId="0" applyFont="1" applyFill="1" applyBorder="1" applyAlignment="1" applyProtection="1">
      <alignment horizontal="center" vertical="center"/>
      <protection hidden="1"/>
    </xf>
    <xf numFmtId="0" fontId="9" fillId="14" borderId="45" xfId="0" applyFont="1" applyFill="1" applyBorder="1" applyAlignment="1" applyProtection="1">
      <alignment horizontal="center" vertical="center"/>
      <protection hidden="1"/>
    </xf>
    <xf numFmtId="0" fontId="9" fillId="14" borderId="47" xfId="0" applyFont="1" applyFill="1" applyBorder="1" applyAlignment="1" applyProtection="1">
      <alignment horizontal="center" vertical="center"/>
      <protection hidden="1"/>
    </xf>
    <xf numFmtId="0" fontId="0" fillId="0" borderId="30" xfId="0" applyBorder="1" applyAlignment="1" applyProtection="1">
      <alignment horizontal="center" vertical="center" shrinkToFit="1"/>
      <protection hidden="1"/>
    </xf>
    <xf numFmtId="0" fontId="0" fillId="0" borderId="32" xfId="0" applyBorder="1" applyAlignment="1" applyProtection="1">
      <alignment horizontal="center" vertical="center" shrinkToFit="1"/>
      <protection hidden="1"/>
    </xf>
    <xf numFmtId="0" fontId="0" fillId="0" borderId="31" xfId="0" applyBorder="1" applyAlignment="1" applyProtection="1">
      <alignment horizontal="center" vertical="center" shrinkToFit="1"/>
      <protection hidden="1"/>
    </xf>
    <xf numFmtId="0" fontId="0" fillId="0" borderId="51" xfId="0" applyBorder="1" applyAlignment="1" applyProtection="1">
      <alignment horizontal="center" vertical="center" shrinkToFit="1"/>
      <protection hidden="1"/>
    </xf>
    <xf numFmtId="0" fontId="3" fillId="4" borderId="0" xfId="0" applyFont="1" applyFill="1" applyAlignment="1" applyProtection="1">
      <alignment horizontal="center" vertical="center"/>
      <protection hidden="1"/>
    </xf>
    <xf numFmtId="0" fontId="3" fillId="46" borderId="4" xfId="0" applyFont="1" applyFill="1" applyBorder="1" applyAlignment="1" applyProtection="1">
      <alignment horizontal="center" vertical="center" textRotation="90"/>
      <protection hidden="1"/>
    </xf>
    <xf numFmtId="0" fontId="9" fillId="15" borderId="27" xfId="0" applyFont="1" applyFill="1" applyBorder="1" applyAlignment="1" applyProtection="1">
      <alignment horizontal="right" vertical="center"/>
      <protection hidden="1"/>
    </xf>
    <xf numFmtId="0" fontId="45" fillId="43" borderId="24" xfId="1" applyFont="1" applyFill="1" applyBorder="1" applyAlignment="1" applyProtection="1">
      <alignment horizontal="center" vertical="center" wrapText="1"/>
      <protection hidden="1"/>
    </xf>
    <xf numFmtId="0" fontId="45" fillId="43" borderId="3" xfId="1" applyFont="1" applyFill="1" applyBorder="1" applyAlignment="1" applyProtection="1">
      <alignment horizontal="center" vertical="center" wrapText="1"/>
      <protection hidden="1"/>
    </xf>
    <xf numFmtId="0" fontId="0" fillId="0" borderId="29" xfId="0" applyBorder="1" applyAlignment="1" applyProtection="1">
      <alignment horizontal="center" vertical="center" shrinkToFit="1"/>
      <protection hidden="1"/>
    </xf>
    <xf numFmtId="0" fontId="0" fillId="0" borderId="53" xfId="0" applyBorder="1" applyAlignment="1" applyProtection="1">
      <alignment horizontal="center" vertical="center" shrinkToFit="1"/>
      <protection hidden="1"/>
    </xf>
    <xf numFmtId="0" fontId="1" fillId="0" borderId="26" xfId="0" applyFont="1" applyBorder="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1" fillId="14" borderId="26" xfId="0" applyFont="1" applyFill="1" applyBorder="1" applyAlignment="1" applyProtection="1">
      <alignment horizontal="center" vertical="center"/>
      <protection locked="0" hidden="1"/>
    </xf>
    <xf numFmtId="0" fontId="1" fillId="14" borderId="28" xfId="0" applyFont="1" applyFill="1" applyBorder="1" applyAlignment="1" applyProtection="1">
      <alignment horizontal="center" vertical="center"/>
      <protection locked="0" hidden="1"/>
    </xf>
    <xf numFmtId="0" fontId="0" fillId="19" borderId="59" xfId="0" applyFill="1" applyBorder="1" applyAlignment="1" applyProtection="1">
      <alignment horizontal="center"/>
      <protection hidden="1"/>
    </xf>
    <xf numFmtId="0" fontId="0" fillId="19" borderId="61" xfId="0" applyFill="1" applyBorder="1" applyAlignment="1" applyProtection="1">
      <alignment horizontal="center"/>
      <protection hidden="1"/>
    </xf>
    <xf numFmtId="0" fontId="0" fillId="19" borderId="39" xfId="0" applyFill="1" applyBorder="1" applyAlignment="1" applyProtection="1">
      <alignment horizontal="center"/>
      <protection hidden="1"/>
    </xf>
    <xf numFmtId="0" fontId="0" fillId="19" borderId="48" xfId="0" applyFill="1" applyBorder="1" applyAlignment="1" applyProtection="1">
      <alignment horizontal="center"/>
      <protection hidden="1"/>
    </xf>
    <xf numFmtId="0" fontId="0" fillId="19" borderId="49" xfId="0" applyFill="1" applyBorder="1" applyAlignment="1" applyProtection="1">
      <alignment horizontal="center"/>
      <protection hidden="1"/>
    </xf>
    <xf numFmtId="0" fontId="0" fillId="19" borderId="161" xfId="0" applyFill="1" applyBorder="1" applyAlignment="1" applyProtection="1">
      <alignment horizontal="center"/>
      <protection hidden="1"/>
    </xf>
    <xf numFmtId="0" fontId="0" fillId="8" borderId="106" xfId="0" applyFill="1" applyBorder="1" applyAlignment="1" applyProtection="1">
      <alignment horizontal="center" vertical="center" wrapText="1"/>
      <protection hidden="1"/>
    </xf>
    <xf numFmtId="0" fontId="0" fillId="8" borderId="126" xfId="0" applyFill="1" applyBorder="1" applyAlignment="1" applyProtection="1">
      <alignment horizontal="center" vertical="center" wrapText="1"/>
      <protection hidden="1"/>
    </xf>
    <xf numFmtId="0" fontId="0" fillId="47" borderId="14"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7" fillId="47" borderId="14" xfId="0" applyFont="1" applyFill="1" applyBorder="1" applyAlignment="1" applyProtection="1">
      <alignment horizontal="center" shrinkToFit="1"/>
      <protection hidden="1"/>
    </xf>
    <xf numFmtId="0" fontId="7" fillId="47" borderId="16" xfId="0" applyFont="1" applyFill="1" applyBorder="1" applyAlignment="1" applyProtection="1">
      <alignment horizontal="center" shrinkToFit="1"/>
      <protection hidden="1"/>
    </xf>
    <xf numFmtId="0" fontId="49" fillId="36" borderId="2" xfId="1" applyFont="1" applyFill="1" applyBorder="1" applyAlignment="1">
      <alignment horizontal="center" vertical="center"/>
    </xf>
    <xf numFmtId="0" fontId="49" fillId="37" borderId="2" xfId="1" applyFont="1" applyFill="1" applyBorder="1" applyAlignment="1">
      <alignment horizontal="center" vertical="center"/>
    </xf>
    <xf numFmtId="0" fontId="49" fillId="38" borderId="2" xfId="1" applyFont="1" applyFill="1" applyBorder="1" applyAlignment="1">
      <alignment horizontal="center" vertical="center"/>
    </xf>
    <xf numFmtId="0" fontId="49" fillId="39" borderId="2" xfId="1" applyFont="1" applyFill="1" applyBorder="1" applyAlignment="1">
      <alignment horizontal="center" vertical="center"/>
    </xf>
    <xf numFmtId="0" fontId="49" fillId="40" borderId="2" xfId="1" applyFont="1" applyFill="1" applyBorder="1" applyAlignment="1">
      <alignment horizontal="center" vertical="center"/>
    </xf>
    <xf numFmtId="0" fontId="49" fillId="40" borderId="3" xfId="1" applyFont="1" applyFill="1" applyBorder="1" applyAlignment="1">
      <alignment horizontal="center" vertical="center"/>
    </xf>
    <xf numFmtId="0" fontId="55" fillId="42" borderId="59" xfId="1" applyFont="1" applyFill="1" applyBorder="1" applyAlignment="1" applyProtection="1">
      <alignment horizontal="center" vertical="center" wrapText="1"/>
      <protection hidden="1"/>
    </xf>
    <xf numFmtId="0" fontId="55" fillId="42" borderId="39" xfId="1" applyFont="1" applyFill="1" applyBorder="1" applyAlignment="1" applyProtection="1">
      <alignment horizontal="center" vertical="center" wrapText="1"/>
      <protection hidden="1"/>
    </xf>
    <xf numFmtId="0" fontId="65" fillId="45" borderId="59" xfId="1" applyFont="1" applyFill="1" applyBorder="1" applyAlignment="1">
      <alignment horizontal="center" vertical="center" wrapText="1"/>
    </xf>
    <xf numFmtId="0" fontId="65" fillId="45" borderId="61" xfId="1" applyFont="1" applyFill="1" applyBorder="1" applyAlignment="1">
      <alignment horizontal="center" vertical="center" wrapText="1"/>
    </xf>
    <xf numFmtId="0" fontId="65" fillId="45" borderId="39" xfId="1" applyFont="1" applyFill="1" applyBorder="1" applyAlignment="1">
      <alignment horizontal="center" vertical="center" wrapText="1"/>
    </xf>
    <xf numFmtId="0" fontId="49" fillId="31" borderId="2" xfId="1" applyFont="1" applyFill="1" applyBorder="1" applyAlignment="1">
      <alignment horizontal="center" vertical="center"/>
    </xf>
    <xf numFmtId="0" fontId="44" fillId="29" borderId="59" xfId="0" applyFont="1" applyFill="1" applyBorder="1" applyAlignment="1">
      <alignment horizontal="center" vertical="center"/>
    </xf>
    <xf numFmtId="0" fontId="44" fillId="29" borderId="61" xfId="0" applyFont="1" applyFill="1" applyBorder="1" applyAlignment="1">
      <alignment horizontal="center" vertical="center"/>
    </xf>
    <xf numFmtId="0" fontId="49" fillId="28" borderId="24" xfId="1" applyFont="1" applyFill="1" applyBorder="1" applyAlignment="1">
      <alignment horizontal="center" vertical="center" wrapText="1"/>
    </xf>
    <xf numFmtId="0" fontId="49" fillId="28" borderId="2" xfId="1" applyFont="1" applyFill="1" applyBorder="1" applyAlignment="1">
      <alignment horizontal="center" vertical="center" wrapText="1"/>
    </xf>
    <xf numFmtId="0" fontId="49" fillId="30" borderId="2" xfId="1" applyFont="1" applyFill="1" applyBorder="1" applyAlignment="1">
      <alignment horizontal="center" vertical="center"/>
    </xf>
    <xf numFmtId="0" fontId="49" fillId="32" borderId="2" xfId="1" applyFont="1" applyFill="1" applyBorder="1" applyAlignment="1">
      <alignment horizontal="center" vertical="center"/>
    </xf>
    <xf numFmtId="0" fontId="49" fillId="33" borderId="2" xfId="1" applyFont="1" applyFill="1" applyBorder="1" applyAlignment="1">
      <alignment horizontal="center" vertical="center"/>
    </xf>
    <xf numFmtId="0" fontId="49" fillId="34" borderId="2" xfId="1" applyFont="1" applyFill="1" applyBorder="1" applyAlignment="1">
      <alignment horizontal="center" vertical="center"/>
    </xf>
    <xf numFmtId="0" fontId="49" fillId="35" borderId="2" xfId="1" applyFont="1" applyFill="1" applyBorder="1" applyAlignment="1">
      <alignment horizontal="center" vertical="center"/>
    </xf>
    <xf numFmtId="14" fontId="22" fillId="0" borderId="110" xfId="0" applyNumberFormat="1" applyFont="1" applyBorder="1" applyAlignment="1" applyProtection="1">
      <alignment horizontal="center" vertical="center"/>
      <protection hidden="1"/>
    </xf>
    <xf numFmtId="14" fontId="22" fillId="0" borderId="111" xfId="0" applyNumberFormat="1" applyFont="1" applyBorder="1" applyAlignment="1" applyProtection="1">
      <alignment horizontal="center" vertical="center"/>
      <protection hidden="1"/>
    </xf>
    <xf numFmtId="14" fontId="22" fillId="0" borderId="112" xfId="0" applyNumberFormat="1" applyFont="1" applyBorder="1" applyAlignment="1" applyProtection="1">
      <alignment horizontal="center" vertical="center"/>
      <protection hidden="1"/>
    </xf>
    <xf numFmtId="0" fontId="24" fillId="0" borderId="0" xfId="0" applyFont="1" applyAlignment="1" applyProtection="1">
      <alignment horizontal="center" vertical="center" shrinkToFit="1"/>
      <protection hidden="1"/>
    </xf>
    <xf numFmtId="0" fontId="22" fillId="0" borderId="0" xfId="0" applyFont="1" applyAlignment="1" applyProtection="1">
      <alignment horizontal="center" vertical="center"/>
      <protection hidden="1"/>
    </xf>
    <xf numFmtId="0" fontId="18" fillId="0" borderId="67" xfId="0" applyFont="1" applyBorder="1" applyAlignment="1" applyProtection="1">
      <alignment horizontal="center" vertical="center"/>
      <protection hidden="1"/>
    </xf>
    <xf numFmtId="0" fontId="18" fillId="0" borderId="68" xfId="0" applyFont="1" applyBorder="1" applyAlignment="1" applyProtection="1">
      <alignment horizontal="center" vertical="center"/>
      <protection hidden="1"/>
    </xf>
    <xf numFmtId="2" fontId="19" fillId="0" borderId="68" xfId="0" applyNumberFormat="1" applyFont="1" applyBorder="1" applyAlignment="1" applyProtection="1">
      <alignment horizontal="center" vertical="center" wrapText="1"/>
      <protection hidden="1"/>
    </xf>
    <xf numFmtId="2" fontId="19" fillId="0" borderId="0" xfId="0" applyNumberFormat="1" applyFont="1" applyAlignment="1" applyProtection="1">
      <alignment horizontal="center" vertical="center" wrapText="1"/>
      <protection hidden="1"/>
    </xf>
    <xf numFmtId="2" fontId="19" fillId="0" borderId="66" xfId="0" applyNumberFormat="1" applyFont="1" applyBorder="1" applyAlignment="1" applyProtection="1">
      <alignment horizontal="center" vertical="center" wrapText="1"/>
      <protection hidden="1"/>
    </xf>
    <xf numFmtId="0" fontId="12" fillId="0" borderId="68" xfId="0" applyFont="1" applyBorder="1" applyAlignment="1" applyProtection="1">
      <alignment horizontal="center"/>
      <protection hidden="1"/>
    </xf>
    <xf numFmtId="0" fontId="12" fillId="0" borderId="69" xfId="0" applyFont="1" applyBorder="1" applyAlignment="1" applyProtection="1">
      <alignment horizontal="center"/>
      <protection hidden="1"/>
    </xf>
    <xf numFmtId="0" fontId="12" fillId="0" borderId="0" xfId="0" applyFont="1" applyAlignment="1" applyProtection="1">
      <alignment horizontal="center"/>
      <protection hidden="1"/>
    </xf>
    <xf numFmtId="0" fontId="12" fillId="0" borderId="71" xfId="0" applyFont="1" applyBorder="1" applyAlignment="1" applyProtection="1">
      <alignment horizontal="center"/>
      <protection hidden="1"/>
    </xf>
    <xf numFmtId="0" fontId="12" fillId="0" borderId="66" xfId="0" applyFont="1" applyBorder="1" applyAlignment="1" applyProtection="1">
      <alignment horizontal="center"/>
      <protection hidden="1"/>
    </xf>
    <xf numFmtId="0" fontId="12" fillId="0" borderId="73" xfId="0" applyFont="1" applyBorder="1" applyAlignment="1" applyProtection="1">
      <alignment horizontal="center"/>
      <protection hidden="1"/>
    </xf>
    <xf numFmtId="0" fontId="20" fillId="0" borderId="70" xfId="0" applyFont="1" applyBorder="1" applyAlignment="1" applyProtection="1">
      <alignment horizontal="center" vertical="center" shrinkToFit="1"/>
      <protection hidden="1"/>
    </xf>
    <xf numFmtId="0" fontId="20" fillId="0" borderId="0" xfId="0" applyFont="1" applyAlignment="1" applyProtection="1">
      <alignment horizontal="center" vertical="center" shrinkToFit="1"/>
      <protection hidden="1"/>
    </xf>
    <xf numFmtId="0" fontId="21" fillId="0" borderId="72" xfId="0" applyFont="1" applyBorder="1" applyAlignment="1" applyProtection="1">
      <alignment horizontal="center" vertical="center" shrinkToFit="1"/>
      <protection hidden="1"/>
    </xf>
    <xf numFmtId="0" fontId="21" fillId="0" borderId="66" xfId="0" applyFont="1" applyBorder="1" applyAlignment="1" applyProtection="1">
      <alignment horizontal="center" vertical="center" shrinkToFit="1"/>
      <protection hidden="1"/>
    </xf>
    <xf numFmtId="0" fontId="22" fillId="0" borderId="110" xfId="0" applyFont="1" applyBorder="1" applyAlignment="1" applyProtection="1">
      <alignment horizontal="center" vertical="center" wrapText="1"/>
      <protection hidden="1"/>
    </xf>
    <xf numFmtId="0" fontId="22" fillId="0" borderId="111" xfId="0" applyFont="1" applyBorder="1" applyAlignment="1" applyProtection="1">
      <alignment horizontal="center" vertical="center" wrapText="1"/>
      <protection hidden="1"/>
    </xf>
    <xf numFmtId="0" fontId="22" fillId="0" borderId="112" xfId="0" applyFont="1" applyBorder="1" applyAlignment="1" applyProtection="1">
      <alignment horizontal="center" vertical="center" wrapText="1"/>
      <protection hidden="1"/>
    </xf>
    <xf numFmtId="165" fontId="25" fillId="0" borderId="110" xfId="0" applyNumberFormat="1" applyFont="1" applyBorder="1" applyAlignment="1" applyProtection="1">
      <alignment horizontal="center" vertical="center"/>
      <protection hidden="1"/>
    </xf>
    <xf numFmtId="165" fontId="22" fillId="0" borderId="111" xfId="0" applyNumberFormat="1" applyFont="1" applyBorder="1" applyAlignment="1" applyProtection="1">
      <alignment horizontal="center" vertical="center"/>
      <protection hidden="1"/>
    </xf>
    <xf numFmtId="165" fontId="22" fillId="0" borderId="112" xfId="0" applyNumberFormat="1" applyFont="1" applyBorder="1" applyAlignment="1" applyProtection="1">
      <alignment horizontal="center" vertical="center"/>
      <protection hidden="1"/>
    </xf>
    <xf numFmtId="0" fontId="25" fillId="0" borderId="110" xfId="0" applyFont="1" applyBorder="1" applyAlignment="1" applyProtection="1">
      <alignment horizontal="center" vertical="center"/>
      <protection hidden="1"/>
    </xf>
    <xf numFmtId="0" fontId="22" fillId="0" borderId="111" xfId="0" applyFont="1" applyBorder="1" applyAlignment="1" applyProtection="1">
      <alignment horizontal="center" vertical="center"/>
      <protection hidden="1"/>
    </xf>
    <xf numFmtId="0" fontId="22" fillId="0" borderId="112" xfId="0" applyFont="1" applyBorder="1" applyAlignment="1" applyProtection="1">
      <alignment horizontal="center" vertical="center"/>
      <protection hidden="1"/>
    </xf>
    <xf numFmtId="2" fontId="29" fillId="0" borderId="0" xfId="0" applyNumberFormat="1" applyFont="1" applyAlignment="1" applyProtection="1">
      <alignment horizontal="center" vertical="center"/>
      <protection hidden="1"/>
    </xf>
    <xf numFmtId="0" fontId="31" fillId="0" borderId="0" xfId="0" applyFont="1" applyAlignment="1" applyProtection="1">
      <alignment horizontal="center" vertical="center"/>
      <protection hidden="1"/>
    </xf>
    <xf numFmtId="0" fontId="33" fillId="0" borderId="0" xfId="0" applyFont="1" applyAlignment="1" applyProtection="1">
      <alignment horizontal="center" vertical="center" shrinkToFit="1"/>
      <protection hidden="1"/>
    </xf>
    <xf numFmtId="0" fontId="27" fillId="0" borderId="0" xfId="0" applyFont="1" applyAlignment="1" applyProtection="1">
      <alignment horizontal="center" vertical="center"/>
      <protection hidden="1"/>
    </xf>
    <xf numFmtId="2" fontId="37" fillId="0" borderId="0" xfId="0" applyNumberFormat="1"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shrinkToFit="1"/>
      <protection hidden="1"/>
    </xf>
    <xf numFmtId="0" fontId="39" fillId="0" borderId="0" xfId="0" applyFont="1" applyAlignment="1" applyProtection="1">
      <alignment horizontal="center" vertical="center" wrapText="1"/>
      <protection hidden="1"/>
    </xf>
    <xf numFmtId="0" fontId="47" fillId="51" borderId="26" xfId="0" applyFont="1" applyFill="1" applyBorder="1" applyAlignment="1" applyProtection="1">
      <alignment horizontal="center" vertical="center"/>
      <protection hidden="1"/>
    </xf>
    <xf numFmtId="0" fontId="47" fillId="51" borderId="27" xfId="0" applyFont="1" applyFill="1" applyBorder="1" applyAlignment="1" applyProtection="1">
      <alignment horizontal="center" vertical="center"/>
      <protection hidden="1"/>
    </xf>
    <xf numFmtId="0" fontId="47" fillId="51" borderId="28" xfId="0" applyFont="1" applyFill="1" applyBorder="1" applyAlignment="1" applyProtection="1">
      <alignment horizontal="center" vertical="center"/>
      <protection hidden="1"/>
    </xf>
    <xf numFmtId="0" fontId="45" fillId="43" borderId="24" xfId="1" applyFont="1" applyFill="1" applyBorder="1" applyAlignment="1">
      <alignment horizontal="center" vertical="center" wrapText="1"/>
    </xf>
    <xf numFmtId="0" fontId="45" fillId="43" borderId="3" xfId="1" applyFont="1" applyFill="1" applyBorder="1" applyAlignment="1">
      <alignment horizontal="center" vertical="center" wrapText="1"/>
    </xf>
    <xf numFmtId="0" fontId="52" fillId="30" borderId="2" xfId="1" applyFont="1" applyFill="1" applyBorder="1" applyAlignment="1">
      <alignment horizontal="center" vertical="center"/>
    </xf>
    <xf numFmtId="0" fontId="52" fillId="28" borderId="2" xfId="1" applyFont="1" applyFill="1" applyBorder="1" applyAlignment="1">
      <alignment horizontal="center" vertical="center"/>
    </xf>
    <xf numFmtId="0" fontId="9" fillId="15" borderId="26" xfId="0" applyFont="1" applyFill="1" applyBorder="1" applyAlignment="1" applyProtection="1">
      <alignment horizontal="center" vertical="center"/>
      <protection locked="0" hidden="1"/>
    </xf>
    <xf numFmtId="0" fontId="9" fillId="15" borderId="27" xfId="0" applyFont="1" applyFill="1" applyBorder="1" applyAlignment="1" applyProtection="1">
      <alignment horizontal="center" vertical="center"/>
      <protection locked="0" hidden="1"/>
    </xf>
    <xf numFmtId="0" fontId="9" fillId="14" borderId="27" xfId="0" applyFont="1" applyFill="1" applyBorder="1" applyAlignment="1" applyProtection="1">
      <alignment horizontal="center" vertical="center"/>
      <protection locked="0" hidden="1"/>
    </xf>
    <xf numFmtId="0" fontId="9" fillId="15" borderId="27" xfId="0" applyFont="1" applyFill="1" applyBorder="1" applyAlignment="1" applyProtection="1">
      <alignment horizontal="right" vertical="center"/>
      <protection locked="0" hidden="1"/>
    </xf>
    <xf numFmtId="0" fontId="52" fillId="31" borderId="2" xfId="1" applyFont="1" applyFill="1" applyBorder="1" applyAlignment="1">
      <alignment horizontal="center" vertical="center"/>
    </xf>
    <xf numFmtId="0" fontId="0" fillId="4" borderId="0" xfId="0" applyFill="1" applyAlignment="1" applyProtection="1">
      <alignment horizontal="center" vertical="center"/>
      <protection hidden="1"/>
    </xf>
    <xf numFmtId="0" fontId="45" fillId="29" borderId="24" xfId="0" applyFont="1" applyFill="1" applyBorder="1" applyAlignment="1">
      <alignment horizontal="center" vertical="center"/>
    </xf>
    <xf numFmtId="0" fontId="45" fillId="29" borderId="2" xfId="0" applyFont="1" applyFill="1" applyBorder="1" applyAlignment="1">
      <alignment horizontal="center" vertical="center"/>
    </xf>
    <xf numFmtId="14" fontId="9" fillId="14" borderId="27" xfId="0" applyNumberFormat="1" applyFont="1" applyFill="1" applyBorder="1" applyAlignment="1" applyProtection="1">
      <alignment horizontal="center" vertical="center"/>
      <protection locked="0" hidden="1"/>
    </xf>
    <xf numFmtId="14" fontId="9" fillId="14" borderId="28" xfId="0" applyNumberFormat="1" applyFont="1" applyFill="1" applyBorder="1" applyAlignment="1" applyProtection="1">
      <alignment horizontal="center" vertical="center"/>
      <protection locked="0" hidden="1"/>
    </xf>
    <xf numFmtId="0" fontId="52" fillId="34" borderId="2" xfId="1" applyFont="1" applyFill="1" applyBorder="1" applyAlignment="1">
      <alignment horizontal="center" vertical="center"/>
    </xf>
    <xf numFmtId="0" fontId="52" fillId="33" borderId="2" xfId="1" applyFont="1" applyFill="1" applyBorder="1" applyAlignment="1">
      <alignment horizontal="center" vertical="center"/>
    </xf>
    <xf numFmtId="0" fontId="52" fillId="32" borderId="2" xfId="1" applyFont="1" applyFill="1" applyBorder="1" applyAlignment="1">
      <alignment horizontal="center" vertical="center"/>
    </xf>
    <xf numFmtId="0" fontId="9" fillId="14" borderId="45" xfId="0" applyFont="1" applyFill="1" applyBorder="1" applyAlignment="1" applyProtection="1">
      <alignment horizontal="center" vertical="center"/>
      <protection locked="0" hidden="1"/>
    </xf>
    <xf numFmtId="0" fontId="9" fillId="14" borderId="47" xfId="0" applyFont="1" applyFill="1" applyBorder="1" applyAlignment="1" applyProtection="1">
      <alignment horizontal="center" vertical="center"/>
      <protection locked="0" hidden="1"/>
    </xf>
    <xf numFmtId="0" fontId="52" fillId="36" borderId="2" xfId="1" applyFont="1" applyFill="1" applyBorder="1" applyAlignment="1">
      <alignment horizontal="center" vertical="center"/>
    </xf>
    <xf numFmtId="0" fontId="52" fillId="35" borderId="2" xfId="1" applyFont="1" applyFill="1" applyBorder="1" applyAlignment="1">
      <alignment horizontal="center" vertical="center"/>
    </xf>
    <xf numFmtId="0" fontId="52" fillId="37" borderId="2" xfId="1" applyFont="1" applyFill="1" applyBorder="1" applyAlignment="1">
      <alignment horizontal="center" vertical="center"/>
    </xf>
    <xf numFmtId="0" fontId="52" fillId="39" borderId="2" xfId="1" applyFont="1" applyFill="1" applyBorder="1" applyAlignment="1">
      <alignment horizontal="center" vertical="center"/>
    </xf>
    <xf numFmtId="0" fontId="52" fillId="38" borderId="2" xfId="1" applyFont="1" applyFill="1" applyBorder="1" applyAlignment="1">
      <alignment horizontal="center" vertical="center"/>
    </xf>
    <xf numFmtId="0" fontId="49" fillId="51" borderId="21" xfId="1" applyFont="1" applyFill="1" applyBorder="1" applyAlignment="1" applyProtection="1">
      <alignment horizontal="center" vertical="center" wrapText="1"/>
      <protection hidden="1"/>
    </xf>
    <xf numFmtId="0" fontId="49" fillId="51" borderId="33" xfId="1" applyFont="1" applyFill="1" applyBorder="1" applyAlignment="1" applyProtection="1">
      <alignment horizontal="center" vertical="center" wrapText="1"/>
      <protection hidden="1"/>
    </xf>
    <xf numFmtId="0" fontId="49" fillId="51" borderId="34" xfId="1" applyFont="1" applyFill="1" applyBorder="1" applyAlignment="1" applyProtection="1">
      <alignment horizontal="center" vertical="center" wrapText="1"/>
      <protection hidden="1"/>
    </xf>
    <xf numFmtId="0" fontId="49" fillId="51" borderId="43" xfId="1" applyFont="1" applyFill="1" applyBorder="1" applyAlignment="1" applyProtection="1">
      <alignment horizontal="center" vertical="center" wrapText="1"/>
      <protection hidden="1"/>
    </xf>
    <xf numFmtId="0" fontId="49" fillId="51" borderId="0" xfId="1" applyFont="1" applyFill="1" applyBorder="1" applyAlignment="1" applyProtection="1">
      <alignment horizontal="center" vertical="center" wrapText="1"/>
      <protection hidden="1"/>
    </xf>
    <xf numFmtId="0" fontId="49" fillId="51" borderId="44" xfId="1" applyFont="1" applyFill="1" applyBorder="1" applyAlignment="1" applyProtection="1">
      <alignment horizontal="center" vertical="center" wrapText="1"/>
      <protection hidden="1"/>
    </xf>
    <xf numFmtId="0" fontId="49" fillId="51" borderId="45" xfId="1" applyFont="1" applyFill="1" applyBorder="1" applyAlignment="1" applyProtection="1">
      <alignment horizontal="center" vertical="center" wrapText="1"/>
      <protection hidden="1"/>
    </xf>
    <xf numFmtId="0" fontId="49" fillId="51" borderId="46" xfId="1" applyFont="1" applyFill="1" applyBorder="1" applyAlignment="1" applyProtection="1">
      <alignment horizontal="center" vertical="center" wrapText="1"/>
      <protection hidden="1"/>
    </xf>
    <xf numFmtId="0" fontId="49" fillId="51" borderId="47" xfId="1" applyFont="1" applyFill="1" applyBorder="1" applyAlignment="1" applyProtection="1">
      <alignment horizontal="center" vertical="center" wrapText="1"/>
      <protection hidden="1"/>
    </xf>
    <xf numFmtId="0" fontId="45" fillId="42" borderId="59" xfId="1" applyFont="1" applyFill="1" applyBorder="1" applyAlignment="1">
      <alignment horizontal="center" vertical="center" wrapText="1"/>
    </xf>
    <xf numFmtId="0" fontId="45" fillId="42" borderId="39" xfId="1" applyFont="1" applyFill="1" applyBorder="1" applyAlignment="1">
      <alignment horizontal="center" vertical="center" wrapText="1"/>
    </xf>
    <xf numFmtId="0" fontId="57" fillId="45" borderId="59" xfId="1" applyFont="1" applyFill="1" applyBorder="1" applyAlignment="1">
      <alignment horizontal="center" vertical="center" wrapText="1"/>
    </xf>
    <xf numFmtId="0" fontId="57" fillId="45" borderId="61" xfId="1" applyFont="1" applyFill="1" applyBorder="1" applyAlignment="1">
      <alignment horizontal="center" vertical="center" wrapText="1"/>
    </xf>
    <xf numFmtId="0" fontId="57" fillId="45" borderId="39" xfId="1" applyFont="1" applyFill="1" applyBorder="1" applyAlignment="1">
      <alignment horizontal="center" vertical="center" wrapText="1"/>
    </xf>
    <xf numFmtId="0" fontId="52" fillId="40" borderId="2" xfId="1" applyFont="1" applyFill="1" applyBorder="1" applyAlignment="1">
      <alignment horizontal="center" vertical="center"/>
    </xf>
    <xf numFmtId="0" fontId="52" fillId="40" borderId="3" xfId="1" applyFont="1" applyFill="1" applyBorder="1" applyAlignment="1">
      <alignment horizontal="center" vertical="center"/>
    </xf>
    <xf numFmtId="0" fontId="47" fillId="31" borderId="26" xfId="0" applyFont="1" applyFill="1" applyBorder="1" applyAlignment="1" applyProtection="1">
      <alignment horizontal="center" vertical="center"/>
      <protection hidden="1"/>
    </xf>
    <xf numFmtId="0" fontId="47" fillId="31" borderId="27" xfId="0" applyFont="1" applyFill="1" applyBorder="1" applyAlignment="1" applyProtection="1">
      <alignment horizontal="center" vertical="center"/>
      <protection hidden="1"/>
    </xf>
    <xf numFmtId="0" fontId="47" fillId="31" borderId="28" xfId="0" applyFont="1" applyFill="1" applyBorder="1" applyAlignment="1" applyProtection="1">
      <alignment horizontal="center" vertical="center"/>
      <protection hidden="1"/>
    </xf>
    <xf numFmtId="0" fontId="9" fillId="0" borderId="21"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52"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23" xfId="0" applyBorder="1" applyAlignment="1" applyProtection="1">
      <alignment horizontal="center" vertical="center" shrinkToFit="1"/>
      <protection hidden="1"/>
    </xf>
    <xf numFmtId="0" fontId="0" fillId="0" borderId="35" xfId="0" applyBorder="1" applyAlignment="1" applyProtection="1">
      <alignment horizontal="center" vertical="center" shrinkToFit="1"/>
      <protection hidden="1"/>
    </xf>
    <xf numFmtId="0" fontId="49" fillId="31" borderId="21" xfId="1" applyFont="1" applyFill="1" applyBorder="1" applyAlignment="1" applyProtection="1">
      <alignment horizontal="center" vertical="center" wrapText="1"/>
      <protection hidden="1"/>
    </xf>
    <xf numFmtId="0" fontId="49" fillId="31" borderId="33" xfId="1" applyFont="1" applyFill="1" applyBorder="1" applyAlignment="1" applyProtection="1">
      <alignment horizontal="center" vertical="center" wrapText="1"/>
      <protection hidden="1"/>
    </xf>
    <xf numFmtId="0" fontId="49" fillId="31" borderId="34" xfId="1" applyFont="1" applyFill="1" applyBorder="1" applyAlignment="1" applyProtection="1">
      <alignment horizontal="center" vertical="center" wrapText="1"/>
      <protection hidden="1"/>
    </xf>
    <xf numFmtId="0" fontId="49" fillId="31" borderId="43" xfId="1" applyFont="1" applyFill="1" applyBorder="1" applyAlignment="1" applyProtection="1">
      <alignment horizontal="center" vertical="center" wrapText="1"/>
      <protection hidden="1"/>
    </xf>
    <xf numFmtId="0" fontId="49" fillId="31" borderId="0" xfId="1" applyFont="1" applyFill="1" applyBorder="1" applyAlignment="1" applyProtection="1">
      <alignment horizontal="center" vertical="center" wrapText="1"/>
      <protection hidden="1"/>
    </xf>
    <xf numFmtId="0" fontId="49" fillId="31" borderId="44" xfId="1" applyFont="1" applyFill="1" applyBorder="1" applyAlignment="1" applyProtection="1">
      <alignment horizontal="center" vertical="center" wrapText="1"/>
      <protection hidden="1"/>
    </xf>
    <xf numFmtId="0" fontId="49" fillId="31" borderId="45" xfId="1" applyFont="1" applyFill="1" applyBorder="1" applyAlignment="1" applyProtection="1">
      <alignment horizontal="center" vertical="center" wrapText="1"/>
      <protection hidden="1"/>
    </xf>
    <xf numFmtId="0" fontId="49" fillId="31" borderId="46" xfId="1" applyFont="1" applyFill="1" applyBorder="1" applyAlignment="1" applyProtection="1">
      <alignment horizontal="center" vertical="center" wrapText="1"/>
      <protection hidden="1"/>
    </xf>
    <xf numFmtId="0" fontId="49" fillId="31" borderId="47" xfId="1" applyFont="1" applyFill="1" applyBorder="1" applyAlignment="1" applyProtection="1">
      <alignment horizontal="center" vertical="center" wrapText="1"/>
      <protection hidden="1"/>
    </xf>
    <xf numFmtId="0" fontId="47" fillId="32" borderId="26" xfId="0" applyFont="1" applyFill="1" applyBorder="1" applyAlignment="1" applyProtection="1">
      <alignment horizontal="center" vertical="center"/>
      <protection hidden="1"/>
    </xf>
    <xf numFmtId="0" fontId="47" fillId="32" borderId="27" xfId="0" applyFont="1" applyFill="1" applyBorder="1" applyAlignment="1" applyProtection="1">
      <alignment horizontal="center" vertical="center"/>
      <protection hidden="1"/>
    </xf>
    <xf numFmtId="0" fontId="47" fillId="32" borderId="28" xfId="0" applyFont="1" applyFill="1" applyBorder="1" applyAlignment="1" applyProtection="1">
      <alignment horizontal="center" vertical="center"/>
      <protection hidden="1"/>
    </xf>
    <xf numFmtId="0" fontId="49" fillId="32" borderId="21" xfId="1" applyFont="1" applyFill="1" applyBorder="1" applyAlignment="1" applyProtection="1">
      <alignment horizontal="center" vertical="center" wrapText="1"/>
      <protection hidden="1"/>
    </xf>
    <xf numFmtId="0" fontId="49" fillId="32" borderId="33" xfId="1" applyFont="1" applyFill="1" applyBorder="1" applyAlignment="1" applyProtection="1">
      <alignment horizontal="center" vertical="center" wrapText="1"/>
      <protection hidden="1"/>
    </xf>
    <xf numFmtId="0" fontId="49" fillId="32" borderId="34" xfId="1" applyFont="1" applyFill="1" applyBorder="1" applyAlignment="1" applyProtection="1">
      <alignment horizontal="center" vertical="center" wrapText="1"/>
      <protection hidden="1"/>
    </xf>
    <xf numFmtId="0" fontId="49" fillId="32" borderId="43" xfId="1" applyFont="1" applyFill="1" applyBorder="1" applyAlignment="1" applyProtection="1">
      <alignment horizontal="center" vertical="center" wrapText="1"/>
      <protection hidden="1"/>
    </xf>
    <xf numFmtId="0" fontId="49" fillId="32" borderId="0" xfId="1" applyFont="1" applyFill="1" applyBorder="1" applyAlignment="1" applyProtection="1">
      <alignment horizontal="center" vertical="center" wrapText="1"/>
      <protection hidden="1"/>
    </xf>
    <xf numFmtId="0" fontId="49" fillId="32" borderId="44" xfId="1" applyFont="1" applyFill="1" applyBorder="1" applyAlignment="1" applyProtection="1">
      <alignment horizontal="center" vertical="center" wrapText="1"/>
      <protection hidden="1"/>
    </xf>
    <xf numFmtId="0" fontId="49" fillId="32" borderId="45" xfId="1" applyFont="1" applyFill="1" applyBorder="1" applyAlignment="1" applyProtection="1">
      <alignment horizontal="center" vertical="center" wrapText="1"/>
      <protection hidden="1"/>
    </xf>
    <xf numFmtId="0" fontId="49" fillId="32" borderId="46" xfId="1" applyFont="1" applyFill="1" applyBorder="1" applyAlignment="1" applyProtection="1">
      <alignment horizontal="center" vertical="center" wrapText="1"/>
      <protection hidden="1"/>
    </xf>
    <xf numFmtId="0" fontId="49" fillId="32" borderId="47" xfId="1" applyFont="1" applyFill="1" applyBorder="1" applyAlignment="1" applyProtection="1">
      <alignment horizontal="center" vertical="center" wrapText="1"/>
      <protection hidden="1"/>
    </xf>
    <xf numFmtId="0" fontId="47" fillId="33" borderId="26" xfId="0" applyFont="1" applyFill="1" applyBorder="1" applyAlignment="1" applyProtection="1">
      <alignment horizontal="center" vertical="center"/>
      <protection hidden="1"/>
    </xf>
    <xf numFmtId="0" fontId="47" fillId="33" borderId="27" xfId="0" applyFont="1" applyFill="1" applyBorder="1" applyAlignment="1" applyProtection="1">
      <alignment horizontal="center" vertical="center"/>
      <protection hidden="1"/>
    </xf>
    <xf numFmtId="0" fontId="47" fillId="33" borderId="28" xfId="0" applyFont="1" applyFill="1" applyBorder="1" applyAlignment="1" applyProtection="1">
      <alignment horizontal="center" vertical="center"/>
      <protection hidden="1"/>
    </xf>
    <xf numFmtId="0" fontId="49" fillId="33" borderId="21" xfId="1" applyFont="1" applyFill="1" applyBorder="1" applyAlignment="1" applyProtection="1">
      <alignment horizontal="center" vertical="center" wrapText="1"/>
      <protection hidden="1"/>
    </xf>
    <xf numFmtId="0" fontId="49" fillId="33" borderId="33" xfId="1" applyFont="1" applyFill="1" applyBorder="1" applyAlignment="1" applyProtection="1">
      <alignment horizontal="center" vertical="center" wrapText="1"/>
      <protection hidden="1"/>
    </xf>
    <xf numFmtId="0" fontId="49" fillId="33" borderId="34" xfId="1" applyFont="1" applyFill="1" applyBorder="1" applyAlignment="1" applyProtection="1">
      <alignment horizontal="center" vertical="center" wrapText="1"/>
      <protection hidden="1"/>
    </xf>
    <xf numFmtId="0" fontId="49" fillId="33" borderId="43" xfId="1" applyFont="1" applyFill="1" applyBorder="1" applyAlignment="1" applyProtection="1">
      <alignment horizontal="center" vertical="center" wrapText="1"/>
      <protection hidden="1"/>
    </xf>
    <xf numFmtId="0" fontId="49" fillId="33" borderId="0" xfId="1" applyFont="1" applyFill="1" applyBorder="1" applyAlignment="1" applyProtection="1">
      <alignment horizontal="center" vertical="center" wrapText="1"/>
      <protection hidden="1"/>
    </xf>
    <xf numFmtId="0" fontId="49" fillId="33" borderId="44" xfId="1" applyFont="1" applyFill="1" applyBorder="1" applyAlignment="1" applyProtection="1">
      <alignment horizontal="center" vertical="center" wrapText="1"/>
      <protection hidden="1"/>
    </xf>
    <xf numFmtId="0" fontId="49" fillId="33" borderId="45" xfId="1" applyFont="1" applyFill="1" applyBorder="1" applyAlignment="1" applyProtection="1">
      <alignment horizontal="center" vertical="center" wrapText="1"/>
      <protection hidden="1"/>
    </xf>
    <xf numFmtId="0" fontId="49" fillId="33" borderId="46" xfId="1" applyFont="1" applyFill="1" applyBorder="1" applyAlignment="1" applyProtection="1">
      <alignment horizontal="center" vertical="center" wrapText="1"/>
      <protection hidden="1"/>
    </xf>
    <xf numFmtId="0" fontId="49" fillId="33" borderId="47" xfId="1" applyFont="1" applyFill="1" applyBorder="1" applyAlignment="1" applyProtection="1">
      <alignment horizontal="center" vertical="center" wrapText="1"/>
      <protection hidden="1"/>
    </xf>
    <xf numFmtId="0" fontId="47" fillId="34" borderId="26" xfId="0" applyFont="1" applyFill="1" applyBorder="1" applyAlignment="1" applyProtection="1">
      <alignment horizontal="center" vertical="center"/>
      <protection hidden="1"/>
    </xf>
    <xf numFmtId="0" fontId="47" fillId="34" borderId="27" xfId="0" applyFont="1" applyFill="1" applyBorder="1" applyAlignment="1" applyProtection="1">
      <alignment horizontal="center" vertical="center"/>
      <protection hidden="1"/>
    </xf>
    <xf numFmtId="0" fontId="47" fillId="34" borderId="28" xfId="0" applyFont="1" applyFill="1" applyBorder="1" applyAlignment="1" applyProtection="1">
      <alignment horizontal="center" vertical="center"/>
      <protection hidden="1"/>
    </xf>
    <xf numFmtId="0" fontId="49" fillId="34" borderId="21" xfId="1" applyFont="1" applyFill="1" applyBorder="1" applyAlignment="1" applyProtection="1">
      <alignment horizontal="center" vertical="center" wrapText="1"/>
      <protection hidden="1"/>
    </xf>
    <xf numFmtId="0" fontId="49" fillId="34" borderId="33" xfId="1" applyFont="1" applyFill="1" applyBorder="1" applyAlignment="1" applyProtection="1">
      <alignment horizontal="center" vertical="center" wrapText="1"/>
      <protection hidden="1"/>
    </xf>
    <xf numFmtId="0" fontId="49" fillId="34" borderId="34" xfId="1" applyFont="1" applyFill="1" applyBorder="1" applyAlignment="1" applyProtection="1">
      <alignment horizontal="center" vertical="center" wrapText="1"/>
      <protection hidden="1"/>
    </xf>
    <xf numFmtId="0" fontId="49" fillId="34" borderId="43" xfId="1" applyFont="1" applyFill="1" applyBorder="1" applyAlignment="1" applyProtection="1">
      <alignment horizontal="center" vertical="center" wrapText="1"/>
      <protection hidden="1"/>
    </xf>
    <xf numFmtId="0" fontId="49" fillId="34" borderId="0" xfId="1" applyFont="1" applyFill="1" applyBorder="1" applyAlignment="1" applyProtection="1">
      <alignment horizontal="center" vertical="center" wrapText="1"/>
      <protection hidden="1"/>
    </xf>
    <xf numFmtId="0" fontId="49" fillId="34" borderId="44" xfId="1" applyFont="1" applyFill="1" applyBorder="1" applyAlignment="1" applyProtection="1">
      <alignment horizontal="center" vertical="center" wrapText="1"/>
      <protection hidden="1"/>
    </xf>
    <xf numFmtId="0" fontId="49" fillId="34" borderId="45" xfId="1" applyFont="1" applyFill="1" applyBorder="1" applyAlignment="1" applyProtection="1">
      <alignment horizontal="center" vertical="center" wrapText="1"/>
      <protection hidden="1"/>
    </xf>
    <xf numFmtId="0" fontId="49" fillId="34" borderId="46" xfId="1" applyFont="1" applyFill="1" applyBorder="1" applyAlignment="1" applyProtection="1">
      <alignment horizontal="center" vertical="center" wrapText="1"/>
      <protection hidden="1"/>
    </xf>
    <xf numFmtId="0" fontId="49" fillId="34" borderId="47" xfId="1" applyFont="1" applyFill="1" applyBorder="1" applyAlignment="1" applyProtection="1">
      <alignment horizontal="center" vertical="center" wrapText="1"/>
      <protection hidden="1"/>
    </xf>
    <xf numFmtId="0" fontId="47" fillId="35" borderId="26" xfId="0" applyFont="1" applyFill="1" applyBorder="1" applyAlignment="1" applyProtection="1">
      <alignment horizontal="center" vertical="center"/>
      <protection hidden="1"/>
    </xf>
    <xf numFmtId="0" fontId="47" fillId="35" borderId="27" xfId="0" applyFont="1" applyFill="1" applyBorder="1" applyAlignment="1" applyProtection="1">
      <alignment horizontal="center" vertical="center"/>
      <protection hidden="1"/>
    </xf>
    <xf numFmtId="0" fontId="47" fillId="35" borderId="28" xfId="0" applyFont="1" applyFill="1" applyBorder="1" applyAlignment="1" applyProtection="1">
      <alignment horizontal="center" vertical="center"/>
      <protection hidden="1"/>
    </xf>
    <xf numFmtId="0" fontId="49" fillId="35" borderId="21" xfId="1" applyFont="1" applyFill="1" applyBorder="1" applyAlignment="1" applyProtection="1">
      <alignment horizontal="center" vertical="center" wrapText="1"/>
      <protection hidden="1"/>
    </xf>
    <xf numFmtId="0" fontId="49" fillId="35" borderId="33" xfId="1" applyFont="1" applyFill="1" applyBorder="1" applyAlignment="1" applyProtection="1">
      <alignment horizontal="center" vertical="center" wrapText="1"/>
      <protection hidden="1"/>
    </xf>
    <xf numFmtId="0" fontId="49" fillId="35" borderId="34" xfId="1" applyFont="1" applyFill="1" applyBorder="1" applyAlignment="1" applyProtection="1">
      <alignment horizontal="center" vertical="center" wrapText="1"/>
      <protection hidden="1"/>
    </xf>
    <xf numFmtId="0" fontId="49" fillId="35" borderId="43" xfId="1" applyFont="1" applyFill="1" applyBorder="1" applyAlignment="1" applyProtection="1">
      <alignment horizontal="center" vertical="center" wrapText="1"/>
      <protection hidden="1"/>
    </xf>
    <xf numFmtId="0" fontId="49" fillId="35" borderId="0" xfId="1" applyFont="1" applyFill="1" applyBorder="1" applyAlignment="1" applyProtection="1">
      <alignment horizontal="center" vertical="center" wrapText="1"/>
      <protection hidden="1"/>
    </xf>
    <xf numFmtId="0" fontId="49" fillId="35" borderId="44" xfId="1" applyFont="1" applyFill="1" applyBorder="1" applyAlignment="1" applyProtection="1">
      <alignment horizontal="center" vertical="center" wrapText="1"/>
      <protection hidden="1"/>
    </xf>
    <xf numFmtId="0" fontId="49" fillId="35" borderId="45" xfId="1" applyFont="1" applyFill="1" applyBorder="1" applyAlignment="1" applyProtection="1">
      <alignment horizontal="center" vertical="center" wrapText="1"/>
      <protection hidden="1"/>
    </xf>
    <xf numFmtId="0" fontId="49" fillId="35" borderId="46" xfId="1" applyFont="1" applyFill="1" applyBorder="1" applyAlignment="1" applyProtection="1">
      <alignment horizontal="center" vertical="center" wrapText="1"/>
      <protection hidden="1"/>
    </xf>
    <xf numFmtId="0" fontId="49" fillId="35" borderId="47" xfId="1" applyFont="1" applyFill="1" applyBorder="1" applyAlignment="1" applyProtection="1">
      <alignment horizontal="center" vertical="center" wrapText="1"/>
      <protection hidden="1"/>
    </xf>
    <xf numFmtId="0" fontId="47" fillId="36" borderId="26" xfId="0" applyFont="1" applyFill="1" applyBorder="1" applyAlignment="1" applyProtection="1">
      <alignment horizontal="center" vertical="center"/>
      <protection hidden="1"/>
    </xf>
    <xf numFmtId="0" fontId="47" fillId="36" borderId="27" xfId="0" applyFont="1" applyFill="1" applyBorder="1" applyAlignment="1" applyProtection="1">
      <alignment horizontal="center" vertical="center"/>
      <protection hidden="1"/>
    </xf>
    <xf numFmtId="0" fontId="47" fillId="36" borderId="28" xfId="0" applyFont="1" applyFill="1" applyBorder="1" applyAlignment="1" applyProtection="1">
      <alignment horizontal="center" vertical="center"/>
      <protection hidden="1"/>
    </xf>
    <xf numFmtId="0" fontId="49" fillId="36" borderId="21" xfId="1" applyFont="1" applyFill="1" applyBorder="1" applyAlignment="1" applyProtection="1">
      <alignment horizontal="center" vertical="center" wrapText="1"/>
      <protection hidden="1"/>
    </xf>
    <xf numFmtId="0" fontId="49" fillId="36" borderId="33" xfId="1" applyFont="1" applyFill="1" applyBorder="1" applyAlignment="1" applyProtection="1">
      <alignment horizontal="center" vertical="center" wrapText="1"/>
      <protection hidden="1"/>
    </xf>
    <xf numFmtId="0" fontId="49" fillId="36" borderId="34" xfId="1" applyFont="1" applyFill="1" applyBorder="1" applyAlignment="1" applyProtection="1">
      <alignment horizontal="center" vertical="center" wrapText="1"/>
      <protection hidden="1"/>
    </xf>
    <xf numFmtId="0" fontId="49" fillId="36" borderId="43" xfId="1" applyFont="1" applyFill="1" applyBorder="1" applyAlignment="1" applyProtection="1">
      <alignment horizontal="center" vertical="center" wrapText="1"/>
      <protection hidden="1"/>
    </xf>
    <xf numFmtId="0" fontId="49" fillId="36" borderId="0" xfId="1" applyFont="1" applyFill="1" applyBorder="1" applyAlignment="1" applyProtection="1">
      <alignment horizontal="center" vertical="center" wrapText="1"/>
      <protection hidden="1"/>
    </xf>
    <xf numFmtId="0" fontId="49" fillId="36" borderId="44" xfId="1" applyFont="1" applyFill="1" applyBorder="1" applyAlignment="1" applyProtection="1">
      <alignment horizontal="center" vertical="center" wrapText="1"/>
      <protection hidden="1"/>
    </xf>
    <xf numFmtId="0" fontId="49" fillId="36" borderId="45" xfId="1" applyFont="1" applyFill="1" applyBorder="1" applyAlignment="1" applyProtection="1">
      <alignment horizontal="center" vertical="center" wrapText="1"/>
      <protection hidden="1"/>
    </xf>
    <xf numFmtId="0" fontId="49" fillId="36" borderId="46" xfId="1" applyFont="1" applyFill="1" applyBorder="1" applyAlignment="1" applyProtection="1">
      <alignment horizontal="center" vertical="center" wrapText="1"/>
      <protection hidden="1"/>
    </xf>
    <xf numFmtId="0" fontId="49" fillId="36" borderId="47" xfId="1" applyFont="1" applyFill="1" applyBorder="1" applyAlignment="1" applyProtection="1">
      <alignment horizontal="center" vertical="center" wrapText="1"/>
      <protection hidden="1"/>
    </xf>
    <xf numFmtId="0" fontId="47" fillId="37" borderId="26" xfId="0" applyFont="1" applyFill="1" applyBorder="1" applyAlignment="1" applyProtection="1">
      <alignment horizontal="center" vertical="center"/>
      <protection hidden="1"/>
    </xf>
    <xf numFmtId="0" fontId="47" fillId="37" borderId="27" xfId="0" applyFont="1" applyFill="1" applyBorder="1" applyAlignment="1" applyProtection="1">
      <alignment horizontal="center" vertical="center"/>
      <protection hidden="1"/>
    </xf>
    <xf numFmtId="0" fontId="47" fillId="37" borderId="28" xfId="0" applyFont="1" applyFill="1" applyBorder="1" applyAlignment="1" applyProtection="1">
      <alignment horizontal="center" vertical="center"/>
      <protection hidden="1"/>
    </xf>
    <xf numFmtId="0" fontId="49" fillId="37" borderId="21" xfId="1" applyFont="1" applyFill="1" applyBorder="1" applyAlignment="1" applyProtection="1">
      <alignment horizontal="center" vertical="center" wrapText="1"/>
      <protection hidden="1"/>
    </xf>
    <xf numFmtId="0" fontId="49" fillId="37" borderId="33" xfId="1" applyFont="1" applyFill="1" applyBorder="1" applyAlignment="1" applyProtection="1">
      <alignment horizontal="center" vertical="center" wrapText="1"/>
      <protection hidden="1"/>
    </xf>
    <xf numFmtId="0" fontId="49" fillId="37" borderId="34" xfId="1" applyFont="1" applyFill="1" applyBorder="1" applyAlignment="1" applyProtection="1">
      <alignment horizontal="center" vertical="center" wrapText="1"/>
      <protection hidden="1"/>
    </xf>
    <xf numFmtId="0" fontId="49" fillId="37" borderId="43" xfId="1" applyFont="1" applyFill="1" applyBorder="1" applyAlignment="1" applyProtection="1">
      <alignment horizontal="center" vertical="center" wrapText="1"/>
      <protection hidden="1"/>
    </xf>
    <xf numFmtId="0" fontId="49" fillId="37" borderId="0" xfId="1" applyFont="1" applyFill="1" applyBorder="1" applyAlignment="1" applyProtection="1">
      <alignment horizontal="center" vertical="center" wrapText="1"/>
      <protection hidden="1"/>
    </xf>
    <xf numFmtId="0" fontId="49" fillId="37" borderId="44" xfId="1" applyFont="1" applyFill="1" applyBorder="1" applyAlignment="1" applyProtection="1">
      <alignment horizontal="center" vertical="center" wrapText="1"/>
      <protection hidden="1"/>
    </xf>
    <xf numFmtId="0" fontId="49" fillId="37" borderId="45" xfId="1" applyFont="1" applyFill="1" applyBorder="1" applyAlignment="1" applyProtection="1">
      <alignment horizontal="center" vertical="center" wrapText="1"/>
      <protection hidden="1"/>
    </xf>
    <xf numFmtId="0" fontId="49" fillId="37" borderId="46" xfId="1" applyFont="1" applyFill="1" applyBorder="1" applyAlignment="1" applyProtection="1">
      <alignment horizontal="center" vertical="center" wrapText="1"/>
      <protection hidden="1"/>
    </xf>
    <xf numFmtId="0" fontId="49" fillId="37" borderId="47" xfId="1" applyFont="1" applyFill="1" applyBorder="1" applyAlignment="1" applyProtection="1">
      <alignment horizontal="center" vertical="center" wrapText="1"/>
      <protection hidden="1"/>
    </xf>
    <xf numFmtId="0" fontId="47" fillId="38" borderId="26" xfId="0" applyFont="1" applyFill="1" applyBorder="1" applyAlignment="1" applyProtection="1">
      <alignment horizontal="center" vertical="center"/>
      <protection hidden="1"/>
    </xf>
    <xf numFmtId="0" fontId="47" fillId="38" borderId="27" xfId="0" applyFont="1" applyFill="1" applyBorder="1" applyAlignment="1" applyProtection="1">
      <alignment horizontal="center" vertical="center"/>
      <protection hidden="1"/>
    </xf>
    <xf numFmtId="0" fontId="47" fillId="38" borderId="28" xfId="0" applyFont="1" applyFill="1" applyBorder="1" applyAlignment="1" applyProtection="1">
      <alignment horizontal="center" vertical="center"/>
      <protection hidden="1"/>
    </xf>
    <xf numFmtId="0" fontId="49" fillId="38" borderId="21" xfId="1" applyFont="1" applyFill="1" applyBorder="1" applyAlignment="1" applyProtection="1">
      <alignment horizontal="center" vertical="center" wrapText="1"/>
      <protection hidden="1"/>
    </xf>
    <xf numFmtId="0" fontId="49" fillId="38" borderId="33" xfId="1" applyFont="1" applyFill="1" applyBorder="1" applyAlignment="1" applyProtection="1">
      <alignment horizontal="center" vertical="center" wrapText="1"/>
      <protection hidden="1"/>
    </xf>
    <xf numFmtId="0" fontId="49" fillId="38" borderId="34" xfId="1" applyFont="1" applyFill="1" applyBorder="1" applyAlignment="1" applyProtection="1">
      <alignment horizontal="center" vertical="center" wrapText="1"/>
      <protection hidden="1"/>
    </xf>
    <xf numFmtId="0" fontId="49" fillId="38" borderId="43" xfId="1" applyFont="1" applyFill="1" applyBorder="1" applyAlignment="1" applyProtection="1">
      <alignment horizontal="center" vertical="center" wrapText="1"/>
      <protection hidden="1"/>
    </xf>
    <xf numFmtId="0" fontId="49" fillId="38" borderId="0" xfId="1" applyFont="1" applyFill="1" applyBorder="1" applyAlignment="1" applyProtection="1">
      <alignment horizontal="center" vertical="center" wrapText="1"/>
      <protection hidden="1"/>
    </xf>
    <xf numFmtId="0" fontId="49" fillId="38" borderId="44" xfId="1" applyFont="1" applyFill="1" applyBorder="1" applyAlignment="1" applyProtection="1">
      <alignment horizontal="center" vertical="center" wrapText="1"/>
      <protection hidden="1"/>
    </xf>
    <xf numFmtId="0" fontId="49" fillId="38" borderId="45" xfId="1" applyFont="1" applyFill="1" applyBorder="1" applyAlignment="1" applyProtection="1">
      <alignment horizontal="center" vertical="center" wrapText="1"/>
      <protection hidden="1"/>
    </xf>
    <xf numFmtId="0" fontId="49" fillId="38" borderId="46" xfId="1" applyFont="1" applyFill="1" applyBorder="1" applyAlignment="1" applyProtection="1">
      <alignment horizontal="center" vertical="center" wrapText="1"/>
      <protection hidden="1"/>
    </xf>
    <xf numFmtId="0" fontId="49" fillId="38" borderId="47" xfId="1" applyFont="1" applyFill="1" applyBorder="1" applyAlignment="1" applyProtection="1">
      <alignment horizontal="center" vertical="center" wrapText="1"/>
      <protection hidden="1"/>
    </xf>
    <xf numFmtId="0" fontId="47" fillId="39" borderId="26" xfId="0" applyFont="1" applyFill="1" applyBorder="1" applyAlignment="1" applyProtection="1">
      <alignment horizontal="center" vertical="center"/>
      <protection hidden="1"/>
    </xf>
    <xf numFmtId="0" fontId="47" fillId="39" borderId="27" xfId="0" applyFont="1" applyFill="1" applyBorder="1" applyAlignment="1" applyProtection="1">
      <alignment horizontal="center" vertical="center"/>
      <protection hidden="1"/>
    </xf>
    <xf numFmtId="0" fontId="47" fillId="39" borderId="28" xfId="0" applyFont="1" applyFill="1" applyBorder="1" applyAlignment="1" applyProtection="1">
      <alignment horizontal="center" vertical="center"/>
      <protection hidden="1"/>
    </xf>
    <xf numFmtId="0" fontId="49" fillId="39" borderId="21" xfId="1" applyFont="1" applyFill="1" applyBorder="1" applyAlignment="1" applyProtection="1">
      <alignment horizontal="center" vertical="center" wrapText="1"/>
      <protection hidden="1"/>
    </xf>
    <xf numFmtId="0" fontId="49" fillId="39" borderId="33" xfId="1" applyFont="1" applyFill="1" applyBorder="1" applyAlignment="1" applyProtection="1">
      <alignment horizontal="center" vertical="center" wrapText="1"/>
      <protection hidden="1"/>
    </xf>
    <xf numFmtId="0" fontId="49" fillId="39" borderId="34" xfId="1" applyFont="1" applyFill="1" applyBorder="1" applyAlignment="1" applyProtection="1">
      <alignment horizontal="center" vertical="center" wrapText="1"/>
      <protection hidden="1"/>
    </xf>
    <xf numFmtId="0" fontId="49" fillId="39" borderId="43" xfId="1" applyFont="1" applyFill="1" applyBorder="1" applyAlignment="1" applyProtection="1">
      <alignment horizontal="center" vertical="center" wrapText="1"/>
      <protection hidden="1"/>
    </xf>
    <xf numFmtId="0" fontId="49" fillId="39" borderId="0" xfId="1" applyFont="1" applyFill="1" applyBorder="1" applyAlignment="1" applyProtection="1">
      <alignment horizontal="center" vertical="center" wrapText="1"/>
      <protection hidden="1"/>
    </xf>
    <xf numFmtId="0" fontId="49" fillId="39" borderId="44" xfId="1" applyFont="1" applyFill="1" applyBorder="1" applyAlignment="1" applyProtection="1">
      <alignment horizontal="center" vertical="center" wrapText="1"/>
      <protection hidden="1"/>
    </xf>
    <xf numFmtId="0" fontId="49" fillId="39" borderId="45" xfId="1" applyFont="1" applyFill="1" applyBorder="1" applyAlignment="1" applyProtection="1">
      <alignment horizontal="center" vertical="center" wrapText="1"/>
      <protection hidden="1"/>
    </xf>
    <xf numFmtId="0" fontId="49" fillId="39" borderId="46" xfId="1" applyFont="1" applyFill="1" applyBorder="1" applyAlignment="1" applyProtection="1">
      <alignment horizontal="center" vertical="center" wrapText="1"/>
      <protection hidden="1"/>
    </xf>
    <xf numFmtId="0" fontId="49" fillId="39" borderId="47" xfId="1" applyFont="1" applyFill="1" applyBorder="1" applyAlignment="1" applyProtection="1">
      <alignment horizontal="center" vertical="center" wrapText="1"/>
      <protection hidden="1"/>
    </xf>
    <xf numFmtId="0" fontId="47" fillId="40" borderId="26" xfId="0" applyFont="1" applyFill="1" applyBorder="1" applyAlignment="1" applyProtection="1">
      <alignment horizontal="center" vertical="center"/>
      <protection hidden="1"/>
    </xf>
    <xf numFmtId="0" fontId="47" fillId="40" borderId="27" xfId="0" applyFont="1" applyFill="1" applyBorder="1" applyAlignment="1" applyProtection="1">
      <alignment horizontal="center" vertical="center"/>
      <protection hidden="1"/>
    </xf>
    <xf numFmtId="0" fontId="47" fillId="40" borderId="28" xfId="0" applyFont="1" applyFill="1" applyBorder="1" applyAlignment="1" applyProtection="1">
      <alignment horizontal="center" vertical="center"/>
      <protection hidden="1"/>
    </xf>
    <xf numFmtId="0" fontId="49" fillId="40" borderId="21" xfId="1" applyFont="1" applyFill="1" applyBorder="1" applyAlignment="1" applyProtection="1">
      <alignment horizontal="center" vertical="center" wrapText="1"/>
      <protection hidden="1"/>
    </xf>
    <xf numFmtId="0" fontId="49" fillId="40" borderId="33" xfId="1" applyFont="1" applyFill="1" applyBorder="1" applyAlignment="1" applyProtection="1">
      <alignment horizontal="center" vertical="center" wrapText="1"/>
      <protection hidden="1"/>
    </xf>
    <xf numFmtId="0" fontId="49" fillId="40" borderId="34" xfId="1" applyFont="1" applyFill="1" applyBorder="1" applyAlignment="1" applyProtection="1">
      <alignment horizontal="center" vertical="center" wrapText="1"/>
      <protection hidden="1"/>
    </xf>
    <xf numFmtId="0" fontId="49" fillId="40" borderId="43" xfId="1" applyFont="1" applyFill="1" applyBorder="1" applyAlignment="1" applyProtection="1">
      <alignment horizontal="center" vertical="center" wrapText="1"/>
      <protection hidden="1"/>
    </xf>
    <xf numFmtId="0" fontId="49" fillId="40" borderId="0" xfId="1" applyFont="1" applyFill="1" applyBorder="1" applyAlignment="1" applyProtection="1">
      <alignment horizontal="center" vertical="center" wrapText="1"/>
      <protection hidden="1"/>
    </xf>
    <xf numFmtId="0" fontId="49" fillId="40" borderId="44" xfId="1" applyFont="1" applyFill="1" applyBorder="1" applyAlignment="1" applyProtection="1">
      <alignment horizontal="center" vertical="center" wrapText="1"/>
      <protection hidden="1"/>
    </xf>
    <xf numFmtId="0" fontId="49" fillId="40" borderId="45" xfId="1" applyFont="1" applyFill="1" applyBorder="1" applyAlignment="1" applyProtection="1">
      <alignment horizontal="center" vertical="center" wrapText="1"/>
      <protection hidden="1"/>
    </xf>
    <xf numFmtId="0" fontId="49" fillId="40" borderId="46" xfId="1" applyFont="1" applyFill="1" applyBorder="1" applyAlignment="1" applyProtection="1">
      <alignment horizontal="center" vertical="center" wrapText="1"/>
      <protection hidden="1"/>
    </xf>
    <xf numFmtId="0" fontId="49" fillId="40" borderId="47" xfId="1" applyFont="1" applyFill="1" applyBorder="1" applyAlignment="1" applyProtection="1">
      <alignment horizontal="center" vertical="center" wrapText="1"/>
      <protection hidden="1"/>
    </xf>
    <xf numFmtId="0" fontId="0" fillId="57" borderId="0" xfId="0" applyFill="1" applyAlignment="1" applyProtection="1">
      <alignment horizontal="center"/>
      <protection hidden="1"/>
    </xf>
    <xf numFmtId="0" fontId="0" fillId="65" borderId="6" xfId="0" applyFill="1" applyBorder="1" applyAlignment="1" applyProtection="1">
      <alignment horizontal="center" vertical="center"/>
      <protection hidden="1"/>
    </xf>
    <xf numFmtId="0" fontId="0" fillId="65" borderId="7" xfId="0" applyFill="1" applyBorder="1" applyAlignment="1" applyProtection="1">
      <alignment horizontal="center" vertical="center"/>
      <protection hidden="1"/>
    </xf>
    <xf numFmtId="0" fontId="0" fillId="3" borderId="123" xfId="0" applyFill="1" applyBorder="1" applyAlignment="1" applyProtection="1">
      <alignment horizontal="center" vertical="center"/>
      <protection hidden="1"/>
    </xf>
    <xf numFmtId="0" fontId="0" fillId="3" borderId="81" xfId="0" applyFill="1" applyBorder="1" applyAlignment="1" applyProtection="1">
      <alignment horizontal="center" vertical="center"/>
      <protection hidden="1"/>
    </xf>
    <xf numFmtId="0" fontId="0" fillId="3" borderId="124" xfId="0" applyFill="1" applyBorder="1" applyAlignment="1" applyProtection="1">
      <alignment horizontal="center" vertical="center"/>
      <protection hidden="1"/>
    </xf>
    <xf numFmtId="0" fontId="0" fillId="3" borderId="82" xfId="0" applyFill="1" applyBorder="1" applyAlignment="1" applyProtection="1">
      <alignment horizontal="center" vertical="center"/>
      <protection hidden="1"/>
    </xf>
    <xf numFmtId="0" fontId="1" fillId="8" borderId="74" xfId="0" applyFont="1" applyFill="1" applyBorder="1" applyAlignment="1" applyProtection="1">
      <alignment horizontal="center" vertical="center"/>
      <protection hidden="1"/>
    </xf>
    <xf numFmtId="0" fontId="1" fillId="8" borderId="122" xfId="0" applyFont="1" applyFill="1" applyBorder="1" applyAlignment="1" applyProtection="1">
      <alignment horizontal="center" vertical="center"/>
      <protection hidden="1"/>
    </xf>
    <xf numFmtId="0" fontId="9" fillId="0" borderId="26" xfId="0" applyFont="1" applyBorder="1" applyAlignment="1" applyProtection="1">
      <alignment horizontal="center" vertical="center"/>
      <protection hidden="1"/>
    </xf>
    <xf numFmtId="0" fontId="9" fillId="0" borderId="27" xfId="0" applyFont="1" applyBorder="1" applyAlignment="1" applyProtection="1">
      <alignment horizontal="center" vertical="center"/>
      <protection hidden="1"/>
    </xf>
    <xf numFmtId="0" fontId="9" fillId="0" borderId="28" xfId="0" applyFont="1" applyBorder="1" applyAlignment="1" applyProtection="1">
      <alignment horizontal="center" vertical="center"/>
      <protection hidden="1"/>
    </xf>
    <xf numFmtId="0" fontId="0" fillId="62" borderId="4" xfId="0" applyFill="1" applyBorder="1" applyAlignment="1" applyProtection="1">
      <alignment horizontal="center" vertical="center"/>
      <protection hidden="1"/>
    </xf>
    <xf numFmtId="0" fontId="0" fillId="62" borderId="10" xfId="0" applyFill="1" applyBorder="1" applyAlignment="1" applyProtection="1">
      <alignment horizontal="center" vertical="center"/>
      <protection hidden="1"/>
    </xf>
    <xf numFmtId="0" fontId="1" fillId="0" borderId="28" xfId="0" applyFont="1" applyBorder="1" applyAlignment="1" applyProtection="1">
      <alignment horizontal="center" vertical="center"/>
      <protection hidden="1"/>
    </xf>
    <xf numFmtId="0" fontId="0" fillId="11" borderId="0" xfId="0" applyFill="1" applyAlignment="1" applyProtection="1">
      <alignment horizontal="center"/>
      <protection hidden="1"/>
    </xf>
    <xf numFmtId="0" fontId="0" fillId="6" borderId="124" xfId="0" applyFill="1" applyBorder="1" applyAlignment="1" applyProtection="1">
      <alignment horizontal="center" vertical="center"/>
      <protection hidden="1"/>
    </xf>
    <xf numFmtId="0" fontId="0" fillId="6" borderId="99" xfId="0" applyFill="1" applyBorder="1" applyAlignment="1" applyProtection="1">
      <alignment horizontal="center" vertical="center"/>
      <protection hidden="1"/>
    </xf>
    <xf numFmtId="0" fontId="0" fillId="6" borderId="77" xfId="0" applyFill="1" applyBorder="1" applyAlignment="1" applyProtection="1">
      <alignment horizontal="center" vertical="center"/>
      <protection hidden="1"/>
    </xf>
    <xf numFmtId="0" fontId="0" fillId="6" borderId="122" xfId="0" applyFill="1" applyBorder="1" applyAlignment="1" applyProtection="1">
      <alignment horizontal="center" vertical="center"/>
      <protection hidden="1"/>
    </xf>
    <xf numFmtId="0" fontId="9" fillId="8" borderId="34" xfId="0"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 fillId="8" borderId="59" xfId="0" applyFont="1" applyFill="1" applyBorder="1" applyAlignment="1" applyProtection="1">
      <alignment horizontal="center" vertical="center" wrapText="1"/>
      <protection hidden="1"/>
    </xf>
    <xf numFmtId="0" fontId="1" fillId="8" borderId="39" xfId="0" applyFont="1" applyFill="1" applyBorder="1" applyAlignment="1" applyProtection="1">
      <alignment horizontal="center" vertical="center" wrapText="1"/>
      <protection hidden="1"/>
    </xf>
    <xf numFmtId="0" fontId="0" fillId="6" borderId="120" xfId="0" applyFill="1" applyBorder="1" applyAlignment="1" applyProtection="1">
      <alignment horizontal="center" vertical="center"/>
      <protection hidden="1"/>
    </xf>
    <xf numFmtId="0" fontId="1" fillId="6" borderId="89" xfId="0" applyFont="1" applyFill="1" applyBorder="1" applyAlignment="1" applyProtection="1">
      <alignment horizontal="center" vertical="center"/>
      <protection hidden="1"/>
    </xf>
    <xf numFmtId="0" fontId="1" fillId="6" borderId="119" xfId="0" applyFont="1" applyFill="1" applyBorder="1" applyAlignment="1" applyProtection="1">
      <alignment horizontal="center" vertical="center"/>
      <protection hidden="1"/>
    </xf>
    <xf numFmtId="0" fontId="1" fillId="6" borderId="90" xfId="0" applyFont="1" applyFill="1" applyBorder="1" applyAlignment="1" applyProtection="1">
      <alignment horizontal="center" vertical="center"/>
      <protection hidden="1"/>
    </xf>
    <xf numFmtId="0" fontId="1" fillId="6" borderId="113" xfId="0" applyFont="1" applyFill="1" applyBorder="1" applyAlignment="1" applyProtection="1">
      <alignment horizontal="center" vertical="center"/>
      <protection hidden="1"/>
    </xf>
    <xf numFmtId="16" fontId="55" fillId="41" borderId="21" xfId="0" applyNumberFormat="1" applyFont="1" applyFill="1" applyBorder="1" applyAlignment="1" applyProtection="1">
      <alignment horizontal="center" vertical="center"/>
      <protection hidden="1"/>
    </xf>
    <xf numFmtId="16" fontId="55" fillId="41" borderId="33" xfId="0" applyNumberFormat="1" applyFont="1" applyFill="1" applyBorder="1" applyAlignment="1" applyProtection="1">
      <alignment horizontal="center" vertical="center"/>
      <protection hidden="1"/>
    </xf>
    <xf numFmtId="16" fontId="55" fillId="41" borderId="34" xfId="0" applyNumberFormat="1" applyFont="1" applyFill="1" applyBorder="1" applyAlignment="1" applyProtection="1">
      <alignment horizontal="center" vertical="center"/>
      <protection hidden="1"/>
    </xf>
    <xf numFmtId="16" fontId="55" fillId="41" borderId="43" xfId="0" applyNumberFormat="1" applyFont="1" applyFill="1" applyBorder="1" applyAlignment="1" applyProtection="1">
      <alignment horizontal="center" vertical="center"/>
      <protection hidden="1"/>
    </xf>
    <xf numFmtId="16" fontId="55" fillId="41" borderId="0" xfId="0" applyNumberFormat="1" applyFont="1" applyFill="1" applyAlignment="1" applyProtection="1">
      <alignment horizontal="center" vertical="center"/>
      <protection hidden="1"/>
    </xf>
    <xf numFmtId="16" fontId="55" fillId="41" borderId="44" xfId="0" applyNumberFormat="1" applyFont="1" applyFill="1" applyBorder="1" applyAlignment="1" applyProtection="1">
      <alignment horizontal="center" vertical="center"/>
      <protection hidden="1"/>
    </xf>
    <xf numFmtId="16" fontId="55" fillId="41" borderId="45" xfId="0" applyNumberFormat="1" applyFont="1" applyFill="1" applyBorder="1" applyAlignment="1" applyProtection="1">
      <alignment horizontal="center" vertical="center"/>
      <protection hidden="1"/>
    </xf>
    <xf numFmtId="16" fontId="55" fillId="41" borderId="46" xfId="0" applyNumberFormat="1" applyFont="1" applyFill="1" applyBorder="1" applyAlignment="1" applyProtection="1">
      <alignment horizontal="center" vertical="center"/>
      <protection hidden="1"/>
    </xf>
    <xf numFmtId="16" fontId="55" fillId="41" borderId="47" xfId="0" applyNumberFormat="1" applyFont="1" applyFill="1" applyBorder="1" applyAlignment="1" applyProtection="1">
      <alignment horizontal="center" vertical="center"/>
      <protection hidden="1"/>
    </xf>
    <xf numFmtId="0" fontId="9" fillId="5" borderId="21" xfId="0" applyFont="1" applyFill="1" applyBorder="1" applyAlignment="1" applyProtection="1">
      <alignment horizontal="center" vertical="center"/>
      <protection hidden="1"/>
    </xf>
    <xf numFmtId="0" fontId="9" fillId="5" borderId="33" xfId="0" applyFont="1" applyFill="1" applyBorder="1" applyAlignment="1" applyProtection="1">
      <alignment horizontal="center" vertical="center"/>
      <protection hidden="1"/>
    </xf>
    <xf numFmtId="0" fontId="9" fillId="5" borderId="34" xfId="0" applyFont="1" applyFill="1" applyBorder="1" applyAlignment="1" applyProtection="1">
      <alignment horizontal="center" vertical="center"/>
      <protection hidden="1"/>
    </xf>
    <xf numFmtId="0" fontId="1" fillId="5" borderId="106" xfId="0" applyFont="1" applyFill="1" applyBorder="1" applyAlignment="1" applyProtection="1">
      <alignment horizontal="center" vertical="center"/>
      <protection hidden="1"/>
    </xf>
    <xf numFmtId="0" fontId="1" fillId="5" borderId="126" xfId="0" applyFont="1" applyFill="1" applyBorder="1" applyAlignment="1" applyProtection="1">
      <alignment horizontal="center" vertical="center"/>
      <protection hidden="1"/>
    </xf>
    <xf numFmtId="0" fontId="1" fillId="3" borderId="91" xfId="0" applyFont="1" applyFill="1" applyBorder="1" applyAlignment="1" applyProtection="1">
      <alignment horizontal="center" vertical="center"/>
      <protection hidden="1"/>
    </xf>
    <xf numFmtId="0" fontId="1" fillId="3" borderId="114" xfId="0" applyFont="1" applyFill="1" applyBorder="1" applyAlignment="1" applyProtection="1">
      <alignment horizontal="center" vertical="center"/>
      <protection hidden="1"/>
    </xf>
    <xf numFmtId="0" fontId="1" fillId="3" borderId="89" xfId="0" applyFont="1" applyFill="1" applyBorder="1" applyAlignment="1" applyProtection="1">
      <alignment horizontal="center" vertical="center"/>
      <protection hidden="1"/>
    </xf>
    <xf numFmtId="0" fontId="1" fillId="3" borderId="119" xfId="0" applyFont="1" applyFill="1" applyBorder="1" applyAlignment="1" applyProtection="1">
      <alignment horizontal="center" vertical="center"/>
      <protection hidden="1"/>
    </xf>
    <xf numFmtId="0" fontId="0" fillId="3" borderId="89" xfId="0" applyFill="1" applyBorder="1" applyAlignment="1" applyProtection="1">
      <alignment horizontal="center" vertical="center"/>
      <protection hidden="1"/>
    </xf>
    <xf numFmtId="0" fontId="0" fillId="3" borderId="130" xfId="0" applyFill="1" applyBorder="1" applyAlignment="1" applyProtection="1">
      <alignment horizontal="center" vertical="center"/>
      <protection hidden="1"/>
    </xf>
    <xf numFmtId="0" fontId="0" fillId="3" borderId="33" xfId="0" applyFill="1" applyBorder="1" applyAlignment="1" applyProtection="1">
      <alignment horizontal="center" vertical="center"/>
      <protection hidden="1"/>
    </xf>
    <xf numFmtId="0" fontId="0" fillId="3" borderId="34" xfId="0" applyFill="1" applyBorder="1" applyAlignment="1" applyProtection="1">
      <alignment horizontal="center" vertical="center"/>
      <protection hidden="1"/>
    </xf>
    <xf numFmtId="0" fontId="0" fillId="6" borderId="131" xfId="0" applyFill="1" applyBorder="1" applyAlignment="1" applyProtection="1">
      <alignment horizontal="center" vertical="center"/>
      <protection hidden="1"/>
    </xf>
    <xf numFmtId="0" fontId="0" fillId="6" borderId="129" xfId="0" applyFill="1" applyBorder="1" applyAlignment="1" applyProtection="1">
      <alignment horizontal="center" vertical="center"/>
      <protection hidden="1"/>
    </xf>
    <xf numFmtId="0" fontId="0" fillId="6" borderId="74" xfId="0" applyFill="1" applyBorder="1" applyAlignment="1" applyProtection="1">
      <alignment horizontal="center" vertical="center"/>
      <protection hidden="1"/>
    </xf>
    <xf numFmtId="0" fontId="9" fillId="14" borderId="44" xfId="0" applyFont="1" applyFill="1" applyBorder="1" applyAlignment="1" applyProtection="1">
      <alignment horizontal="center" vertical="center"/>
      <protection locked="0" hidden="1"/>
    </xf>
    <xf numFmtId="0" fontId="1" fillId="3" borderId="130" xfId="0" applyFont="1" applyFill="1" applyBorder="1" applyAlignment="1" applyProtection="1">
      <alignment horizontal="center" vertical="center"/>
      <protection hidden="1"/>
    </xf>
    <xf numFmtId="0" fontId="1" fillId="3" borderId="33"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6" borderId="33" xfId="0" applyFont="1" applyFill="1" applyBorder="1" applyAlignment="1" applyProtection="1">
      <alignment horizontal="center" vertical="center"/>
      <protection hidden="1"/>
    </xf>
    <xf numFmtId="0" fontId="1" fillId="6" borderId="131" xfId="0" applyFont="1" applyFill="1" applyBorder="1" applyAlignment="1" applyProtection="1">
      <alignment horizontal="center" vertical="center"/>
      <protection hidden="1"/>
    </xf>
    <xf numFmtId="0" fontId="1" fillId="0" borderId="40" xfId="0" applyFont="1" applyBorder="1" applyAlignment="1" applyProtection="1">
      <alignment horizontal="center" vertical="center"/>
      <protection hidden="1"/>
    </xf>
    <xf numFmtId="0" fontId="1" fillId="0" borderId="116" xfId="0" applyFont="1" applyBorder="1" applyAlignment="1" applyProtection="1">
      <alignment horizontal="center" vertical="center"/>
      <protection hidden="1"/>
    </xf>
    <xf numFmtId="0" fontId="55" fillId="41" borderId="26" xfId="0" applyFont="1" applyFill="1" applyBorder="1" applyAlignment="1" applyProtection="1">
      <alignment horizontal="center" vertical="center" wrapText="1"/>
      <protection hidden="1"/>
    </xf>
    <xf numFmtId="0" fontId="55" fillId="41" borderId="27" xfId="0" applyFont="1" applyFill="1" applyBorder="1" applyAlignment="1" applyProtection="1">
      <alignment horizontal="center" vertical="center" wrapText="1"/>
      <protection hidden="1"/>
    </xf>
    <xf numFmtId="0" fontId="55" fillId="41" borderId="28" xfId="0" applyFont="1" applyFill="1" applyBorder="1" applyAlignment="1" applyProtection="1">
      <alignment horizontal="center" vertical="center" wrapText="1"/>
      <protection hidden="1"/>
    </xf>
    <xf numFmtId="0" fontId="9" fillId="14" borderId="26" xfId="0" applyFont="1" applyFill="1" applyBorder="1" applyAlignment="1" applyProtection="1">
      <alignment horizontal="center" vertical="center"/>
      <protection locked="0" hidden="1"/>
    </xf>
    <xf numFmtId="0" fontId="62" fillId="42" borderId="59" xfId="1" applyFont="1" applyFill="1" applyBorder="1" applyAlignment="1">
      <alignment horizontal="center" vertical="center" wrapText="1"/>
    </xf>
    <xf numFmtId="0" fontId="62" fillId="42" borderId="61" xfId="1" applyFont="1" applyFill="1" applyBorder="1" applyAlignment="1">
      <alignment horizontal="center" vertical="center" wrapText="1"/>
    </xf>
    <xf numFmtId="0" fontId="62" fillId="42" borderId="39" xfId="1" applyFont="1" applyFill="1" applyBorder="1" applyAlignment="1">
      <alignment horizontal="center" vertical="center" wrapText="1"/>
    </xf>
    <xf numFmtId="0" fontId="1" fillId="3" borderId="90" xfId="0" applyFont="1" applyFill="1" applyBorder="1" applyAlignment="1" applyProtection="1">
      <alignment horizontal="center" vertical="center"/>
      <protection hidden="1"/>
    </xf>
    <xf numFmtId="0" fontId="1" fillId="3" borderId="113" xfId="0" applyFont="1" applyFill="1" applyBorder="1" applyAlignment="1" applyProtection="1">
      <alignment horizontal="center" vertical="center"/>
      <protection hidden="1"/>
    </xf>
    <xf numFmtId="0" fontId="56" fillId="0" borderId="106" xfId="0" applyFont="1" applyBorder="1" applyAlignment="1" applyProtection="1">
      <alignment horizontal="center" vertical="center" wrapText="1" shrinkToFit="1"/>
      <protection hidden="1"/>
    </xf>
    <xf numFmtId="0" fontId="56" fillId="0" borderId="126" xfId="0" applyFont="1" applyBorder="1" applyAlignment="1" applyProtection="1">
      <alignment horizontal="center" vertical="center" wrapText="1" shrinkToFit="1"/>
      <protection hidden="1"/>
    </xf>
    <xf numFmtId="0" fontId="1" fillId="0" borderId="106" xfId="0" applyFont="1" applyBorder="1" applyAlignment="1" applyProtection="1">
      <alignment horizontal="center" vertical="center"/>
      <protection hidden="1"/>
    </xf>
    <xf numFmtId="0" fontId="1" fillId="0" borderId="126" xfId="0" applyFont="1" applyBorder="1" applyAlignment="1" applyProtection="1">
      <alignment horizontal="center" vertical="center"/>
      <protection hidden="1"/>
    </xf>
    <xf numFmtId="0" fontId="1" fillId="0" borderId="75" xfId="0" applyFont="1" applyBorder="1" applyAlignment="1" applyProtection="1">
      <alignment horizontal="center" vertical="center"/>
      <protection hidden="1"/>
    </xf>
    <xf numFmtId="0" fontId="1" fillId="0" borderId="120" xfId="0" applyFont="1" applyBorder="1" applyAlignment="1" applyProtection="1">
      <alignment horizontal="center" vertical="center"/>
      <protection hidden="1"/>
    </xf>
    <xf numFmtId="0" fontId="1" fillId="9" borderId="106" xfId="0" applyFont="1" applyFill="1" applyBorder="1" applyAlignment="1" applyProtection="1">
      <alignment horizontal="center" vertical="center"/>
      <protection hidden="1"/>
    </xf>
    <xf numFmtId="0" fontId="1" fillId="9" borderId="126" xfId="0" applyFont="1" applyFill="1" applyBorder="1" applyAlignment="1" applyProtection="1">
      <alignment horizontal="center" vertical="center"/>
      <protection hidden="1"/>
    </xf>
    <xf numFmtId="0" fontId="1" fillId="6" borderId="91" xfId="0" applyFont="1" applyFill="1" applyBorder="1" applyAlignment="1" applyProtection="1">
      <alignment horizontal="center" vertical="center"/>
      <protection hidden="1"/>
    </xf>
    <xf numFmtId="0" fontId="1" fillId="6" borderId="114" xfId="0" applyFont="1"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64" borderId="4" xfId="0" applyFill="1" applyBorder="1" applyAlignment="1" applyProtection="1">
      <alignment horizontal="center" vertical="center"/>
      <protection hidden="1"/>
    </xf>
    <xf numFmtId="0" fontId="0" fillId="63" borderId="4" xfId="0" applyFill="1" applyBorder="1" applyAlignment="1" applyProtection="1">
      <alignment horizontal="center" vertical="center"/>
      <protection hidden="1"/>
    </xf>
    <xf numFmtId="0" fontId="0" fillId="3" borderId="94" xfId="0" applyFill="1" applyBorder="1" applyAlignment="1" applyProtection="1">
      <alignment horizontal="center" vertical="center"/>
      <protection hidden="1"/>
    </xf>
    <xf numFmtId="0" fontId="61" fillId="41" borderId="21" xfId="1" applyFont="1" applyFill="1" applyBorder="1" applyAlignment="1" applyProtection="1">
      <alignment horizontal="center" vertical="center" wrapText="1"/>
      <protection hidden="1"/>
    </xf>
    <xf numFmtId="0" fontId="61" fillId="41" borderId="33" xfId="1" applyFont="1" applyFill="1" applyBorder="1" applyAlignment="1" applyProtection="1">
      <alignment horizontal="center" vertical="center" wrapText="1"/>
      <protection hidden="1"/>
    </xf>
    <xf numFmtId="0" fontId="61" fillId="41" borderId="34" xfId="1" applyFont="1" applyFill="1" applyBorder="1" applyAlignment="1" applyProtection="1">
      <alignment horizontal="center" vertical="center" wrapText="1"/>
      <protection hidden="1"/>
    </xf>
    <xf numFmtId="0" fontId="61" fillId="41" borderId="43" xfId="1" applyFont="1" applyFill="1" applyBorder="1" applyAlignment="1" applyProtection="1">
      <alignment horizontal="center" vertical="center" wrapText="1"/>
      <protection hidden="1"/>
    </xf>
    <xf numFmtId="0" fontId="61" fillId="41" borderId="0" xfId="1" applyFont="1" applyFill="1" applyBorder="1" applyAlignment="1" applyProtection="1">
      <alignment horizontal="center" vertical="center" wrapText="1"/>
      <protection hidden="1"/>
    </xf>
    <xf numFmtId="0" fontId="61" fillId="41" borderId="44" xfId="1" applyFont="1" applyFill="1" applyBorder="1" applyAlignment="1" applyProtection="1">
      <alignment horizontal="center" vertical="center" wrapText="1"/>
      <protection hidden="1"/>
    </xf>
    <xf numFmtId="0" fontId="61" fillId="41" borderId="45" xfId="1" applyFont="1" applyFill="1" applyBorder="1" applyAlignment="1" applyProtection="1">
      <alignment horizontal="center" vertical="center" wrapText="1"/>
      <protection hidden="1"/>
    </xf>
    <xf numFmtId="0" fontId="61" fillId="41" borderId="46" xfId="1" applyFont="1" applyFill="1" applyBorder="1" applyAlignment="1" applyProtection="1">
      <alignment horizontal="center" vertical="center" wrapText="1"/>
      <protection hidden="1"/>
    </xf>
    <xf numFmtId="0" fontId="61" fillId="41" borderId="47" xfId="1" applyFont="1" applyFill="1" applyBorder="1" applyAlignment="1" applyProtection="1">
      <alignment horizontal="center" vertical="center" wrapText="1"/>
      <protection hidden="1"/>
    </xf>
    <xf numFmtId="0" fontId="0" fillId="65" borderId="19" xfId="0" applyFill="1" applyBorder="1" applyAlignment="1" applyProtection="1">
      <alignment horizontal="center" vertical="center"/>
      <protection hidden="1"/>
    </xf>
    <xf numFmtId="0" fontId="0" fillId="65" borderId="4" xfId="0" applyFill="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64" borderId="19" xfId="0" applyFill="1" applyBorder="1" applyAlignment="1" applyProtection="1">
      <alignment horizontal="center" vertical="center"/>
      <protection hidden="1"/>
    </xf>
    <xf numFmtId="0" fontId="0" fillId="63" borderId="19" xfId="0" applyFill="1" applyBorder="1" applyAlignment="1" applyProtection="1">
      <alignment horizontal="center" vertical="center"/>
      <protection hidden="1"/>
    </xf>
    <xf numFmtId="0" fontId="0" fillId="62" borderId="19" xfId="0" applyFill="1" applyBorder="1" applyAlignment="1" applyProtection="1">
      <alignment horizontal="center" vertical="center"/>
      <protection hidden="1"/>
    </xf>
    <xf numFmtId="0" fontId="0" fillId="62" borderId="9" xfId="0" applyFill="1" applyBorder="1" applyAlignment="1" applyProtection="1">
      <alignment horizontal="center" vertical="center"/>
      <protection hidden="1"/>
    </xf>
    <xf numFmtId="0" fontId="0" fillId="65" borderId="10" xfId="0" applyFill="1" applyBorder="1" applyAlignment="1" applyProtection="1">
      <alignment horizontal="center" vertical="center"/>
      <protection hidden="1"/>
    </xf>
    <xf numFmtId="0" fontId="0" fillId="65" borderId="9" xfId="0" applyFill="1" applyBorder="1" applyAlignment="1" applyProtection="1">
      <alignment horizontal="center" vertical="center"/>
      <protection hidden="1"/>
    </xf>
    <xf numFmtId="0" fontId="43" fillId="53" borderId="134" xfId="0" applyFont="1" applyFill="1" applyBorder="1" applyAlignment="1" applyProtection="1">
      <alignment horizontal="center"/>
      <protection hidden="1"/>
    </xf>
    <xf numFmtId="0" fontId="43" fillId="53" borderId="134" xfId="0" applyFont="1" applyFill="1" applyBorder="1" applyAlignment="1" applyProtection="1">
      <alignment horizontal="center" shrinkToFit="1"/>
      <protection hidden="1"/>
    </xf>
    <xf numFmtId="0" fontId="43" fillId="53" borderId="135" xfId="0" applyFont="1" applyFill="1" applyBorder="1" applyAlignment="1" applyProtection="1">
      <alignment horizontal="center" shrinkToFit="1"/>
      <protection hidden="1"/>
    </xf>
    <xf numFmtId="0" fontId="0" fillId="53" borderId="152" xfId="0" applyFill="1" applyBorder="1" applyAlignment="1" applyProtection="1">
      <alignment horizontal="center" vertical="top"/>
      <protection hidden="1"/>
    </xf>
    <xf numFmtId="0" fontId="0" fillId="53" borderId="152" xfId="0" applyFill="1" applyBorder="1" applyAlignment="1" applyProtection="1">
      <alignment horizontal="center"/>
      <protection hidden="1"/>
    </xf>
    <xf numFmtId="0" fontId="0" fillId="53" borderId="153" xfId="0" applyFill="1" applyBorder="1" applyAlignment="1" applyProtection="1">
      <alignment horizontal="center"/>
      <protection hidden="1"/>
    </xf>
    <xf numFmtId="0" fontId="43" fillId="19" borderId="134" xfId="0" applyFont="1" applyFill="1" applyBorder="1" applyAlignment="1" applyProtection="1">
      <alignment horizontal="center"/>
      <protection hidden="1"/>
    </xf>
    <xf numFmtId="0" fontId="43" fillId="19" borderId="134" xfId="0" applyFont="1" applyFill="1" applyBorder="1" applyAlignment="1" applyProtection="1">
      <alignment horizontal="center" shrinkToFit="1"/>
      <protection hidden="1"/>
    </xf>
    <xf numFmtId="0" fontId="43" fillId="19" borderId="135" xfId="0" applyFont="1" applyFill="1" applyBorder="1" applyAlignment="1" applyProtection="1">
      <alignment horizontal="center" shrinkToFit="1"/>
      <protection hidden="1"/>
    </xf>
    <xf numFmtId="0" fontId="25" fillId="53" borderId="110" xfId="0" applyFont="1" applyFill="1" applyBorder="1" applyAlignment="1" applyProtection="1">
      <alignment horizontal="center" vertical="center"/>
      <protection hidden="1"/>
    </xf>
    <xf numFmtId="0" fontId="22" fillId="53" borderId="111" xfId="0" applyFont="1" applyFill="1" applyBorder="1" applyAlignment="1" applyProtection="1">
      <alignment horizontal="center" vertical="center"/>
      <protection hidden="1"/>
    </xf>
    <xf numFmtId="0" fontId="22" fillId="53" borderId="112" xfId="0" applyFont="1" applyFill="1" applyBorder="1" applyAlignment="1" applyProtection="1">
      <alignment horizontal="center" vertical="center"/>
      <protection hidden="1"/>
    </xf>
    <xf numFmtId="0" fontId="22" fillId="53" borderId="110" xfId="0" applyFont="1" applyFill="1" applyBorder="1" applyAlignment="1" applyProtection="1">
      <alignment horizontal="center" vertical="center" wrapText="1"/>
      <protection hidden="1"/>
    </xf>
    <xf numFmtId="0" fontId="22" fillId="53" borderId="111" xfId="0" applyFont="1" applyFill="1" applyBorder="1" applyAlignment="1" applyProtection="1">
      <alignment horizontal="center" vertical="center" wrapText="1"/>
      <protection hidden="1"/>
    </xf>
    <xf numFmtId="0" fontId="22" fillId="53" borderId="112" xfId="0" applyFont="1" applyFill="1" applyBorder="1" applyAlignment="1" applyProtection="1">
      <alignment horizontal="center" vertical="center" wrapText="1"/>
      <protection hidden="1"/>
    </xf>
    <xf numFmtId="165" fontId="25" fillId="53" borderId="110" xfId="0" applyNumberFormat="1" applyFont="1" applyFill="1" applyBorder="1" applyAlignment="1" applyProtection="1">
      <alignment horizontal="center" vertical="center"/>
      <protection hidden="1"/>
    </xf>
    <xf numFmtId="165" fontId="22" fillId="53" borderId="111" xfId="0" applyNumberFormat="1" applyFont="1" applyFill="1" applyBorder="1" applyAlignment="1" applyProtection="1">
      <alignment horizontal="center" vertical="center"/>
      <protection hidden="1"/>
    </xf>
    <xf numFmtId="165" fontId="22" fillId="53" borderId="112" xfId="0" applyNumberFormat="1" applyFont="1" applyFill="1" applyBorder="1" applyAlignment="1" applyProtection="1">
      <alignment horizontal="center" vertical="center"/>
      <protection hidden="1"/>
    </xf>
    <xf numFmtId="0" fontId="58" fillId="19" borderId="149" xfId="0" applyFont="1" applyFill="1" applyBorder="1" applyAlignment="1" applyProtection="1">
      <alignment horizontal="center"/>
      <protection hidden="1"/>
    </xf>
    <xf numFmtId="0" fontId="58" fillId="19" borderId="150" xfId="0" applyFont="1" applyFill="1" applyBorder="1" applyAlignment="1" applyProtection="1">
      <alignment horizontal="center"/>
      <protection hidden="1"/>
    </xf>
    <xf numFmtId="0" fontId="58" fillId="19" borderId="151" xfId="0" applyFont="1" applyFill="1" applyBorder="1" applyAlignment="1" applyProtection="1">
      <alignment horizontal="center"/>
      <protection hidden="1"/>
    </xf>
    <xf numFmtId="14" fontId="22" fillId="53" borderId="110" xfId="0" applyNumberFormat="1" applyFont="1" applyFill="1" applyBorder="1" applyAlignment="1" applyProtection="1">
      <alignment horizontal="center" vertical="center"/>
      <protection hidden="1"/>
    </xf>
    <xf numFmtId="14" fontId="22" fillId="53" borderId="111" xfId="0" applyNumberFormat="1" applyFont="1" applyFill="1" applyBorder="1" applyAlignment="1" applyProtection="1">
      <alignment horizontal="center" vertical="center"/>
      <protection hidden="1"/>
    </xf>
    <xf numFmtId="14" fontId="22" fillId="53" borderId="112" xfId="0" applyNumberFormat="1" applyFont="1" applyFill="1" applyBorder="1" applyAlignment="1" applyProtection="1">
      <alignment horizontal="center" vertical="center"/>
      <protection hidden="1"/>
    </xf>
    <xf numFmtId="12" fontId="59" fillId="53" borderId="64" xfId="0" applyNumberFormat="1" applyFont="1" applyFill="1" applyBorder="1" applyAlignment="1" applyProtection="1">
      <alignment horizontal="center" vertical="center"/>
      <protection hidden="1"/>
    </xf>
    <xf numFmtId="12" fontId="59" fillId="53" borderId="115" xfId="0" applyNumberFormat="1" applyFont="1" applyFill="1" applyBorder="1" applyAlignment="1" applyProtection="1">
      <alignment horizontal="center" vertical="center"/>
      <protection hidden="1"/>
    </xf>
    <xf numFmtId="12" fontId="59" fillId="53" borderId="62" xfId="0" applyNumberFormat="1" applyFont="1" applyFill="1" applyBorder="1" applyAlignment="1" applyProtection="1">
      <alignment horizontal="center" vertical="center"/>
      <protection hidden="1"/>
    </xf>
    <xf numFmtId="0" fontId="59" fillId="53" borderId="64" xfId="0" applyFont="1" applyFill="1" applyBorder="1" applyAlignment="1" applyProtection="1">
      <alignment horizontal="center" vertical="center"/>
      <protection hidden="1"/>
    </xf>
    <xf numFmtId="0" fontId="59" fillId="53" borderId="115" xfId="0" applyFont="1" applyFill="1" applyBorder="1" applyAlignment="1" applyProtection="1">
      <alignment horizontal="center" vertical="center"/>
      <protection hidden="1"/>
    </xf>
    <xf numFmtId="0" fontId="59" fillId="53" borderId="62" xfId="0" applyFont="1" applyFill="1" applyBorder="1" applyAlignment="1" applyProtection="1">
      <alignment horizontal="center" vertical="center"/>
      <protection hidden="1"/>
    </xf>
    <xf numFmtId="0" fontId="43" fillId="55" borderId="134" xfId="0" applyFont="1" applyFill="1" applyBorder="1" applyAlignment="1" applyProtection="1">
      <alignment horizontal="center"/>
      <protection hidden="1"/>
    </xf>
    <xf numFmtId="0" fontId="43" fillId="55" borderId="134" xfId="0" applyFont="1" applyFill="1" applyBorder="1" applyAlignment="1" applyProtection="1">
      <alignment horizontal="center" shrinkToFit="1"/>
      <protection hidden="1"/>
    </xf>
    <xf numFmtId="0" fontId="43" fillId="55" borderId="135" xfId="0" applyFont="1" applyFill="1" applyBorder="1" applyAlignment="1" applyProtection="1">
      <alignment horizontal="center" shrinkToFit="1"/>
      <protection hidden="1"/>
    </xf>
    <xf numFmtId="0" fontId="0" fillId="64" borderId="15" xfId="0" applyFill="1" applyBorder="1" applyAlignment="1" applyProtection="1">
      <alignment horizontal="center" vertical="center"/>
      <protection hidden="1"/>
    </xf>
    <xf numFmtId="0" fontId="0" fillId="62" borderId="7" xfId="0" applyFill="1"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61" fillId="56" borderId="21" xfId="1" applyFont="1" applyFill="1" applyBorder="1" applyAlignment="1" applyProtection="1">
      <alignment horizontal="center" vertical="center" wrapText="1"/>
      <protection hidden="1"/>
    </xf>
    <xf numFmtId="0" fontId="61" fillId="56" borderId="33" xfId="1" applyFont="1" applyFill="1" applyBorder="1" applyAlignment="1" applyProtection="1">
      <alignment horizontal="center" vertical="center" wrapText="1"/>
      <protection hidden="1"/>
    </xf>
    <xf numFmtId="0" fontId="61" fillId="56" borderId="34" xfId="1" applyFont="1" applyFill="1" applyBorder="1" applyAlignment="1" applyProtection="1">
      <alignment horizontal="center" vertical="center" wrapText="1"/>
      <protection hidden="1"/>
    </xf>
    <xf numFmtId="0" fontId="61" fillId="56" borderId="43" xfId="1" applyFont="1" applyFill="1" applyBorder="1" applyAlignment="1" applyProtection="1">
      <alignment horizontal="center" vertical="center" wrapText="1"/>
      <protection hidden="1"/>
    </xf>
    <xf numFmtId="0" fontId="61" fillId="56" borderId="0" xfId="1" applyFont="1" applyFill="1" applyBorder="1" applyAlignment="1" applyProtection="1">
      <alignment horizontal="center" vertical="center" wrapText="1"/>
      <protection hidden="1"/>
    </xf>
    <xf numFmtId="0" fontId="61" fillId="56" borderId="44" xfId="1" applyFont="1" applyFill="1" applyBorder="1" applyAlignment="1" applyProtection="1">
      <alignment horizontal="center" vertical="center" wrapText="1"/>
      <protection hidden="1"/>
    </xf>
    <xf numFmtId="0" fontId="61" fillId="56" borderId="45" xfId="1" applyFont="1" applyFill="1" applyBorder="1" applyAlignment="1" applyProtection="1">
      <alignment horizontal="center" vertical="center" wrapText="1"/>
      <protection hidden="1"/>
    </xf>
    <xf numFmtId="0" fontId="61" fillId="56" borderId="46" xfId="1" applyFont="1" applyFill="1" applyBorder="1" applyAlignment="1" applyProtection="1">
      <alignment horizontal="center" vertical="center" wrapText="1"/>
      <protection hidden="1"/>
    </xf>
    <xf numFmtId="0" fontId="61" fillId="56" borderId="47" xfId="1" applyFont="1" applyFill="1" applyBorder="1" applyAlignment="1" applyProtection="1">
      <alignment horizontal="center" vertical="center" wrapText="1"/>
      <protection hidden="1"/>
    </xf>
    <xf numFmtId="0" fontId="0" fillId="63" borderId="7" xfId="0" applyFill="1" applyBorder="1" applyAlignment="1" applyProtection="1">
      <alignment horizontal="center" vertical="center"/>
      <protection hidden="1"/>
    </xf>
    <xf numFmtId="0" fontId="0" fillId="63" borderId="10" xfId="0" applyFill="1" applyBorder="1" applyAlignment="1" applyProtection="1">
      <alignment horizontal="center" vertical="center"/>
      <protection hidden="1"/>
    </xf>
    <xf numFmtId="0" fontId="0" fillId="3" borderId="91" xfId="0" applyFill="1" applyBorder="1" applyAlignment="1" applyProtection="1">
      <alignment horizontal="center" vertical="center"/>
      <protection hidden="1"/>
    </xf>
    <xf numFmtId="0" fontId="55" fillId="56" borderId="26" xfId="0" applyFont="1" applyFill="1" applyBorder="1" applyAlignment="1" applyProtection="1">
      <alignment horizontal="center" vertical="center" wrapText="1"/>
      <protection hidden="1"/>
    </xf>
    <xf numFmtId="0" fontId="55" fillId="56" borderId="27" xfId="0" applyFont="1" applyFill="1" applyBorder="1" applyAlignment="1" applyProtection="1">
      <alignment horizontal="center" vertical="center" wrapText="1"/>
      <protection hidden="1"/>
    </xf>
    <xf numFmtId="0" fontId="55" fillId="56" borderId="28" xfId="0" applyFont="1" applyFill="1" applyBorder="1" applyAlignment="1" applyProtection="1">
      <alignment horizontal="center" vertical="center" wrapText="1"/>
      <protection hidden="1"/>
    </xf>
    <xf numFmtId="0" fontId="43" fillId="11" borderId="0" xfId="0" applyFont="1" applyFill="1" applyAlignment="1" applyProtection="1">
      <alignment horizontal="center" shrinkToFit="1"/>
      <protection hidden="1"/>
    </xf>
    <xf numFmtId="0" fontId="43" fillId="11" borderId="0" xfId="0" applyFont="1" applyFill="1" applyAlignment="1" applyProtection="1">
      <alignment horizontal="center"/>
      <protection hidden="1"/>
    </xf>
    <xf numFmtId="0" fontId="58" fillId="53" borderId="0" xfId="0" applyFont="1" applyFill="1" applyAlignment="1" applyProtection="1">
      <alignment horizontal="center"/>
      <protection hidden="1"/>
    </xf>
    <xf numFmtId="0" fontId="58" fillId="53" borderId="136" xfId="0" applyFont="1" applyFill="1" applyBorder="1" applyAlignment="1" applyProtection="1">
      <alignment horizontal="center" vertical="center"/>
      <protection hidden="1"/>
    </xf>
    <xf numFmtId="0" fontId="0" fillId="53" borderId="155" xfId="0" applyFill="1" applyBorder="1" applyAlignment="1" applyProtection="1">
      <alignment horizontal="center" vertical="center" textRotation="90"/>
      <protection hidden="1"/>
    </xf>
    <xf numFmtId="0" fontId="43" fillId="53" borderId="156" xfId="0" applyFont="1" applyFill="1" applyBorder="1" applyAlignment="1" applyProtection="1">
      <alignment horizontal="center" shrinkToFit="1"/>
      <protection hidden="1"/>
    </xf>
    <xf numFmtId="12" fontId="63" fillId="53" borderId="136" xfId="0" applyNumberFormat="1" applyFont="1" applyFill="1" applyBorder="1" applyAlignment="1" applyProtection="1">
      <alignment horizontal="center" vertical="center"/>
      <protection hidden="1"/>
    </xf>
    <xf numFmtId="0" fontId="43" fillId="53" borderId="0" xfId="0" applyFont="1" applyFill="1" applyAlignment="1" applyProtection="1">
      <alignment horizontal="center"/>
      <protection hidden="1"/>
    </xf>
    <xf numFmtId="0" fontId="43" fillId="53" borderId="0" xfId="0" applyFont="1" applyFill="1" applyAlignment="1" applyProtection="1">
      <alignment horizontal="center" shrinkToFit="1"/>
      <protection hidden="1"/>
    </xf>
    <xf numFmtId="0" fontId="0" fillId="54" borderId="0" xfId="0" applyFill="1" applyAlignment="1" applyProtection="1">
      <alignment horizontal="center" vertical="center" textRotation="90"/>
      <protection hidden="1"/>
    </xf>
    <xf numFmtId="12" fontId="63" fillId="53" borderId="157" xfId="0" applyNumberFormat="1" applyFont="1" applyFill="1" applyBorder="1" applyAlignment="1" applyProtection="1">
      <alignment horizontal="center" vertical="center"/>
      <protection hidden="1"/>
    </xf>
    <xf numFmtId="12" fontId="63" fillId="53" borderId="158" xfId="0" applyNumberFormat="1" applyFont="1" applyFill="1" applyBorder="1" applyAlignment="1" applyProtection="1">
      <alignment horizontal="center" vertical="center"/>
      <protection hidden="1"/>
    </xf>
    <xf numFmtId="12" fontId="63" fillId="53" borderId="159" xfId="0" applyNumberFormat="1" applyFont="1" applyFill="1" applyBorder="1" applyAlignment="1" applyProtection="1">
      <alignment horizontal="center" vertical="center"/>
      <protection hidden="1"/>
    </xf>
    <xf numFmtId="0" fontId="63" fillId="53" borderId="136" xfId="0" applyFont="1" applyFill="1" applyBorder="1" applyAlignment="1" applyProtection="1">
      <alignment horizontal="center" vertical="center"/>
      <protection hidden="1"/>
    </xf>
    <xf numFmtId="0" fontId="1" fillId="0" borderId="26" xfId="0"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0" borderId="21" xfId="0" applyFont="1" applyBorder="1" applyAlignment="1">
      <alignment horizontal="center"/>
    </xf>
    <xf numFmtId="0" fontId="1" fillId="0" borderId="33" xfId="0" applyFont="1" applyBorder="1" applyAlignment="1">
      <alignment horizontal="center"/>
    </xf>
    <xf numFmtId="0" fontId="1" fillId="0" borderId="34" xfId="0" applyFont="1" applyBorder="1" applyAlignment="1">
      <alignment horizontal="center"/>
    </xf>
  </cellXfs>
  <cellStyles count="3">
    <cellStyle name="Lien hypertexte" xfId="1" builtinId="8"/>
    <cellStyle name="Normal" xfId="0" builtinId="0"/>
    <cellStyle name="Pourcentage" xfId="2" builtinId="5"/>
  </cellStyles>
  <dxfs count="2756">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numFmt numFmtId="14" formatCode="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b/>
        <i val="0"/>
      </font>
      <fill>
        <gradientFill type="path" left="0.5" right="0.5" top="0.5" bottom="0.5">
          <stop position="0">
            <color theme="4" tint="0.80001220740379042"/>
          </stop>
          <stop position="1">
            <color theme="0"/>
          </stop>
        </gradientFill>
      </fill>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64" formatCode="0.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numFmt numFmtId="2" formatCode="0.00"/>
    </dxf>
    <dxf>
      <font>
        <b/>
        <i/>
        <color rgb="FF7030A0"/>
      </font>
    </dxf>
    <dxf>
      <font>
        <color theme="0" tint="-0.24994659260841701"/>
      </font>
      <fill>
        <patternFill>
          <bgColor theme="0" tint="-0.24994659260841701"/>
        </patternFill>
      </fill>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center" vertical="top" textRotation="0" wrapText="0" indent="0"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outline="0">
        <left/>
        <right/>
        <top/>
        <bottom style="medium">
          <color rgb="FFAAAAAA"/>
        </bottom>
      </border>
    </dxf>
    <dxf>
      <font>
        <b val="0"/>
        <i val="0"/>
        <strike val="0"/>
        <condense val="0"/>
        <extend val="0"/>
        <outline val="0"/>
        <shadow val="0"/>
        <u val="none"/>
        <vertAlign val="baseline"/>
        <sz val="14"/>
        <color rgb="FF2040A0"/>
        <name val="Tahoma"/>
        <family val="2"/>
        <scheme val="none"/>
      </font>
      <numFmt numFmtId="30" formatCode="@"/>
      <fill>
        <patternFill patternType="solid">
          <fgColor indexed="64"/>
          <bgColor rgb="FFFFFFFF"/>
        </patternFill>
      </fill>
      <alignment horizontal="left" vertical="top" textRotation="0" wrapText="0" indent="1" justifyLastLine="0" shrinkToFit="0" readingOrder="0"/>
      <border diagonalUp="0" diagonalDown="0" outline="0">
        <left/>
        <right/>
        <top/>
        <bottom style="medium">
          <color rgb="FFAAAAAA"/>
        </bottom>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outline="0">
        <left/>
        <right/>
        <top/>
        <bottom style="medium">
          <color rgb="FFAAAAAA"/>
        </bottom>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center" vertical="top" textRotation="0" wrapText="0" indent="0"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border outline="0">
        <bottom style="medium">
          <color rgb="FFAAAAAA"/>
        </bottom>
      </border>
    </dxf>
    <dxf>
      <border outline="0">
        <bottom style="medium">
          <color rgb="FFAAAAAA"/>
        </bottom>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center" vertical="top" textRotation="0" wrapText="0" indent="0"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center" vertical="top" textRotation="0" wrapText="0" indent="0"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right" vertical="top" textRotation="0" wrapText="0" indent="1" justifyLastLine="0" shrinkToFit="0" readingOrder="0"/>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font>
        <b val="0"/>
        <i val="0"/>
        <strike val="0"/>
        <condense val="0"/>
        <extend val="0"/>
        <outline val="0"/>
        <shadow val="0"/>
        <u val="none"/>
        <vertAlign val="baseline"/>
        <sz val="14"/>
        <color rgb="FF2040A0"/>
        <name val="Tahoma"/>
        <family val="2"/>
        <scheme val="none"/>
      </font>
      <fill>
        <patternFill patternType="solid">
          <fgColor indexed="64"/>
          <bgColor rgb="FFFFFFFF"/>
        </patternFill>
      </fill>
      <alignment horizontal="left" vertical="top" textRotation="0" wrapText="0" indent="1" justifyLastLine="0" shrinkToFit="0" readingOrder="0"/>
      <border diagonalUp="0" diagonalDown="0">
        <left/>
        <right/>
        <top/>
        <bottom style="medium">
          <color rgb="FFAAAAAA"/>
        </bottom>
        <vertical/>
        <horizontal/>
      </border>
    </dxf>
    <dxf>
      <border outline="0">
        <bottom style="medium">
          <color rgb="FFAAAAAA"/>
        </bottom>
      </border>
    </dxf>
    <dxf>
      <border outline="0">
        <bottom style="medium">
          <color rgb="FFAAAAAA"/>
        </bottom>
      </border>
    </dxf>
    <dxf>
      <numFmt numFmtId="2" formatCode="0.00"/>
      <alignment horizontal="center" vertical="center" textRotation="0" wrapText="0" indent="0" justifyLastLine="0" shrinkToFit="0" readingOrder="0"/>
    </dxf>
    <dxf>
      <numFmt numFmtId="0" formatCode="Genera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font>
      <alignment horizontal="center" vertical="center" textRotation="0" wrapText="0" indent="0" justifyLastLine="0" shrinkToFit="0" readingOrder="0"/>
    </dxf>
    <dxf>
      <border outline="0">
        <top style="medium">
          <color indexed="64"/>
        </top>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theme="3"/>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dxf>
    <dxf>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border>
    </dxf>
    <dxf>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border outline="0">
        <left style="medium">
          <color indexed="64"/>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numFmt numFmtId="19" formatCode="dd/mm/yyyy"/>
    </dxf>
    <dxf>
      <numFmt numFmtId="19" formatCode="dd/mm/yyyy"/>
    </dxf>
    <dxf>
      <numFmt numFmtId="19" formatCode="dd/mm/yyyy"/>
    </dxf>
    <dxf>
      <alignment horizontal="center" vertical="center" textRotation="0" wrapText="0" indent="0" justifyLastLine="0" shrinkToFit="0" readingOrder="0"/>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numFmt numFmtId="2" formatCode="0.00"/>
    </dxf>
    <dxf>
      <fill>
        <patternFill>
          <bgColor rgb="FFFFC409"/>
        </patternFill>
      </fill>
    </dxf>
    <dxf>
      <fill>
        <patternFill>
          <bgColor theme="7"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numFmt numFmtId="164" formatCode="0.000"/>
    </dxf>
    <dxf>
      <numFmt numFmtId="164" formatCode="0.000"/>
    </dxf>
    <dxf>
      <numFmt numFmtId="164" formatCode="0.000"/>
    </dxf>
    <dxf>
      <numFmt numFmtId="164" formatCode="0.000"/>
    </dxf>
    <dxf>
      <font>
        <color theme="0" tint="-0.14996795556505021"/>
      </font>
      <fill>
        <patternFill>
          <bgColor theme="0" tint="-0.14996795556505021"/>
        </patternFill>
      </fill>
    </dxf>
    <dxf>
      <font>
        <color theme="0" tint="-0.14996795556505021"/>
      </font>
      <fill>
        <patternFill patternType="solid">
          <fgColor auto="1"/>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14996795556505021"/>
      </font>
      <fill>
        <patternFill patternType="solid">
          <fgColor auto="1"/>
          <bgColor theme="0" tint="-0.14996795556505021"/>
        </patternFill>
      </fill>
    </dxf>
    <dxf>
      <fill>
        <patternFill>
          <bgColor theme="0" tint="-0.24994659260841701"/>
        </patternFill>
      </fill>
      <border>
        <left/>
        <right/>
        <top/>
        <bottom/>
        <vertical/>
        <horizontal/>
      </border>
    </dxf>
    <dxf>
      <numFmt numFmtId="164" formatCode="0.000"/>
    </dxf>
    <dxf>
      <numFmt numFmtId="164" formatCode="0.000"/>
    </dxf>
    <dxf>
      <numFmt numFmtId="164" formatCode="0.000"/>
    </dxf>
    <dxf>
      <font>
        <color theme="0" tint="-0.14996795556505021"/>
      </font>
      <fill>
        <patternFill>
          <bgColor theme="0" tint="-0.14996795556505021"/>
        </patternFill>
      </fill>
    </dxf>
    <dxf>
      <font>
        <color theme="0" tint="-0.14996795556505021"/>
      </font>
      <fill>
        <patternFill patternType="solid">
          <fgColor auto="1"/>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numFmt numFmtId="14" formatCode="0.00%"/>
    </dxf>
    <dxf>
      <border>
        <bottom/>
        <vertical/>
        <horizontal/>
      </border>
    </dxf>
    <dxf>
      <numFmt numFmtId="164" formatCode="0.000"/>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BE93B"/>
        </patternFill>
      </fill>
    </dxf>
    <dxf>
      <font>
        <color rgb="FF8E0000"/>
      </font>
      <fill>
        <patternFill>
          <bgColor rgb="FFFECF82"/>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rgb="FFFECF82"/>
        </patternFill>
      </fill>
    </dxf>
    <dxf>
      <font>
        <color rgb="FF8E0000"/>
      </font>
      <fill>
        <patternFill>
          <bgColor rgb="FFFBE93B"/>
        </patternFill>
      </fill>
    </dxf>
    <dxf>
      <font>
        <color rgb="FF8E0000"/>
      </font>
      <fill>
        <patternFill>
          <bgColor theme="2"/>
        </patternFill>
      </fill>
    </dxf>
    <dxf>
      <font>
        <color rgb="FF8E0000"/>
      </font>
      <fill>
        <patternFill>
          <bgColor rgb="FFFECF82"/>
        </patternFill>
      </fill>
    </dxf>
    <dxf>
      <font>
        <color rgb="FF8E0000"/>
      </font>
      <fill>
        <patternFill>
          <bgColor theme="2"/>
        </patternFill>
      </fill>
    </dxf>
    <dxf>
      <font>
        <color rgb="FF8E0000"/>
      </font>
      <fill>
        <patternFill>
          <bgColor rgb="FFFBE93B"/>
        </patternFill>
      </fill>
    </dxf>
    <dxf>
      <border>
        <left style="thin">
          <color auto="1"/>
        </left>
        <right style="thin">
          <color auto="1"/>
        </right>
        <top style="thin">
          <color auto="1"/>
        </top>
        <bottom style="thin">
          <color auto="1"/>
        </bottom>
        <vertical/>
        <horizontal/>
      </border>
    </dxf>
    <dxf>
      <border>
        <bottom/>
        <vertical/>
        <horizontal/>
      </border>
    </dxf>
    <dxf>
      <fill>
        <patternFill>
          <bgColor theme="1"/>
        </patternFill>
      </fill>
    </dxf>
    <dxf>
      <border>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vertical/>
        <horizontal/>
      </border>
    </dxf>
    <dxf>
      <border>
        <left style="thin">
          <color auto="1"/>
        </left>
        <right style="thin">
          <color auto="1"/>
        </right>
        <top style="thin">
          <color auto="1"/>
        </top>
        <bottom style="thin">
          <color auto="1"/>
        </bottom>
        <vertical/>
        <horizontal/>
      </border>
    </dxf>
    <dxf>
      <border>
        <bottom/>
        <vertical/>
        <horizontal/>
      </border>
    </dxf>
    <dxf>
      <border>
        <top/>
        <vertical/>
        <horizontal/>
      </border>
    </dxf>
    <dxf>
      <border>
        <bottom/>
        <vertical/>
        <horizontal/>
      </border>
    </dxf>
    <dxf>
      <border>
        <bottom/>
        <vertical/>
        <horizontal/>
      </border>
    </dxf>
    <dxf>
      <border>
        <bottom/>
        <vertical/>
        <horizontal/>
      </border>
    </dxf>
    <dxf>
      <border>
        <bottom/>
        <vertical/>
        <horizontal/>
      </border>
    </dxf>
    <dxf>
      <border>
        <top/>
        <vertical/>
        <horizontal/>
      </border>
    </dxf>
    <dxf>
      <border>
        <top/>
        <vertical/>
        <horizontal/>
      </border>
    </dxf>
    <dxf>
      <border>
        <top/>
        <vertical/>
        <horizontal/>
      </border>
    </dxf>
    <dxf>
      <border>
        <top/>
        <vertical/>
        <horizontal/>
      </border>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theme="9" tint="-0.24994659260841701"/>
      </font>
      <fill>
        <patternFill>
          <bgColor theme="9" tint="-0.24994659260841701"/>
        </patternFill>
      </fill>
    </dxf>
    <dxf>
      <font>
        <color rgb="FF156081"/>
      </font>
      <fill>
        <patternFill>
          <bgColor rgb="FF15608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5" tint="0.80001220740379042"/>
          </stop>
          <stop position="1">
            <color theme="0"/>
          </stop>
        </gradient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b/>
        <i val="0"/>
      </font>
      <fill>
        <gradientFill type="path" left="0.5" right="0.5" top="0.5" bottom="0.5">
          <stop position="0">
            <color theme="4" tint="0.80001220740379042"/>
          </stop>
          <stop position="1">
            <color theme="0"/>
          </stop>
        </gradient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156081"/>
      </font>
      <fill>
        <patternFill>
          <bgColor rgb="FF156081"/>
        </patternFill>
      </fill>
    </dxf>
    <dxf>
      <font>
        <color theme="9" tint="-0.24994659260841701"/>
      </font>
      <fill>
        <patternFill>
          <bgColor theme="9" tint="-0.24994659260841701"/>
        </patternFill>
      </fill>
    </dxf>
    <dxf>
      <font>
        <color rgb="FFA71111"/>
      </font>
      <fill>
        <patternFill>
          <bgColor rgb="FFA71111"/>
        </patternFill>
      </fill>
    </dxf>
    <dxf>
      <font>
        <color rgb="FFA71111"/>
      </font>
      <fill>
        <patternFill>
          <bgColor rgb="FFA71111"/>
        </patternFill>
      </fill>
    </dxf>
    <dxf>
      <font>
        <color theme="9" tint="-0.24994659260841701"/>
      </font>
      <fill>
        <patternFill>
          <bgColor theme="9" tint="-0.24994659260841701"/>
        </patternFill>
      </fill>
    </dxf>
    <dxf>
      <font>
        <color rgb="FF156081"/>
      </font>
      <fill>
        <patternFill>
          <bgColor rgb="FF15608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auto="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border>
        <left style="thin">
          <color auto="1"/>
        </left>
        <right style="thin">
          <color auto="1"/>
        </right>
        <top style="thin">
          <color auto="1"/>
        </top>
        <bottom style="thin">
          <color auto="1"/>
        </bottom>
        <vertical/>
        <horizontal/>
      </border>
    </dxf>
    <dxf>
      <numFmt numFmtId="14" formatCode="0.00%"/>
    </dxf>
    <dxf>
      <numFmt numFmtId="14" formatCode="0.00%"/>
    </dxf>
    <dxf>
      <numFmt numFmtId="164" formatCode="0.000"/>
    </dxf>
    <dxf>
      <fill>
        <patternFill>
          <fgColor rgb="FFF6FC84"/>
          <bgColor rgb="FFF6FC84"/>
        </patternFill>
      </fill>
    </dxf>
    <dxf>
      <numFmt numFmtId="164" formatCode="0.000"/>
    </dxf>
    <dxf>
      <border>
        <top style="thin">
          <color auto="1"/>
        </top>
        <vertical/>
        <horizontal/>
      </border>
    </dxf>
    <dxf>
      <font>
        <color theme="0" tint="-0.24994659260841701"/>
      </font>
      <fill>
        <patternFill>
          <bgColor theme="0" tint="-0.24994659260841701"/>
        </patternFill>
      </fill>
    </dxf>
    <dxf>
      <protection locked="0" hidden="1"/>
    </dxf>
    <dxf>
      <numFmt numFmtId="164" formatCode="0.000"/>
      <protection locked="0" hidden="1"/>
    </dxf>
    <dxf>
      <protection locked="0" hidden="1"/>
    </dxf>
    <dxf>
      <numFmt numFmtId="1" formatCode="0"/>
      <protection locked="0" hidden="1"/>
    </dxf>
    <dxf>
      <alignment horizontal="center" vertical="center" textRotation="0" wrapText="0" indent="0" justifyLastLine="0" shrinkToFit="0" readingOrder="0"/>
      <protection locked="0" hidden="1"/>
    </dxf>
    <dxf>
      <numFmt numFmtId="0" formatCode="General"/>
      <alignment horizontal="center" vertical="center" textRotation="0" wrapText="0" indent="0" justifyLastLine="0" shrinkToFit="0" readingOrder="0"/>
      <protection hidden="1"/>
    </dxf>
    <dxf>
      <numFmt numFmtId="0" formatCode="General"/>
      <protection hidden="1"/>
    </dxf>
    <dxf>
      <numFmt numFmtId="0" formatCode="General"/>
      <protection hidden="1"/>
    </dxf>
    <dxf>
      <numFmt numFmtId="0" formatCode="General"/>
      <protection hidden="1"/>
    </dxf>
    <dxf>
      <protection locked="0" hidden="1"/>
    </dxf>
    <dxf>
      <protection hidden="1"/>
    </dxf>
    <dxf>
      <font>
        <strike val="0"/>
        <outline val="0"/>
        <shadow val="0"/>
        <u val="none"/>
        <vertAlign val="baseline"/>
        <sz val="11"/>
        <color auto="1"/>
        <name val="Calibri"/>
        <family val="2"/>
        <scheme val="minor"/>
      </font>
      <fill>
        <patternFill patternType="solid">
          <fgColor indexed="64"/>
          <bgColor theme="3" tint="0.89999084444715716"/>
        </patternFill>
      </fill>
      <alignment horizontal="center" vertical="center" textRotation="0" wrapText="0" indent="0" justifyLastLine="0" shrinkToFit="0" readingOrder="0"/>
      <protection hidden="1"/>
    </dxf>
  </dxfs>
  <tableStyles count="0" defaultTableStyle="TableStyleMedium2" defaultPivotStyle="PivotStyleLight16"/>
  <colors>
    <mruColors>
      <color rgb="FFFFC409"/>
      <color rgb="FFCBBFC7"/>
      <color rgb="FFF6F4F5"/>
      <color rgb="FFECE8EB"/>
      <color rgb="FFD6CCD3"/>
      <color rgb="FFE3DDE1"/>
      <color rgb="FFFBFBFB"/>
      <color rgb="FFF6FC84"/>
      <color rgb="FF2E3858"/>
      <color rgb="FF5062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Structure" Target="richData/rdrichvaluestructure.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gif"/><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gif"/><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0.png"/><Relationship Id="rId41" Type="http://schemas.openxmlformats.org/officeDocument/2006/relationships/image" Target="../media/image4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9">
  <rv s="0">
    <v>0</v>
    <v>5</v>
  </rv>
  <rv s="0">
    <v>1</v>
    <v>4</v>
  </rv>
  <rv s="0">
    <v>2</v>
    <v>4</v>
  </rv>
  <rv s="0">
    <v>3</v>
    <v>4</v>
  </rv>
  <rv s="1">
    <v>19</v>
    <v>8</v>
    <v>35</v>
    <v>1</v>
  </rv>
  <rv s="0">
    <v>4</v>
    <v>5</v>
  </rv>
  <rv s="2">
    <v>5</v>
    <v>5</v>
    <v>bois colombes</v>
  </rv>
  <rv s="0">
    <v>6</v>
    <v>5</v>
  </rv>
  <rv s="0">
    <v>7</v>
    <v>5</v>
  </rv>
  <rv s="0">
    <v>8</v>
    <v>5</v>
  </rv>
  <rv s="0">
    <v>9</v>
    <v>5</v>
  </rv>
  <rv s="0">
    <v>10</v>
    <v>5</v>
  </rv>
  <rv s="0">
    <v>3</v>
    <v>5</v>
  </rv>
  <rv s="0">
    <v>11</v>
    <v>5</v>
  </rv>
  <rv s="0">
    <v>12</v>
    <v>5</v>
  </rv>
  <rv s="0">
    <v>13</v>
    <v>5</v>
  </rv>
  <rv s="0">
    <v>14</v>
    <v>5</v>
  </rv>
  <rv s="0">
    <v>1</v>
    <v>5</v>
  </rv>
  <rv s="0">
    <v>15</v>
    <v>5</v>
  </rv>
  <rv s="0">
    <v>16</v>
    <v>5</v>
  </rv>
  <rv s="0">
    <v>17</v>
    <v>5</v>
  </rv>
  <rv s="0">
    <v>18</v>
    <v>5</v>
  </rv>
  <rv s="0">
    <v>19</v>
    <v>5</v>
  </rv>
  <rv s="0">
    <v>20</v>
    <v>5</v>
  </rv>
  <rv s="0">
    <v>21</v>
    <v>5</v>
  </rv>
  <rv s="0">
    <v>22</v>
    <v>5</v>
  </rv>
  <rv s="0">
    <v>23</v>
    <v>5</v>
  </rv>
  <rv s="0">
    <v>24</v>
    <v>5</v>
  </rv>
  <rv s="0">
    <v>25</v>
    <v>5</v>
  </rv>
  <rv s="0">
    <v>2</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Data>
</file>

<file path=xl/richData/rdrichvaluestructure.xml><?xml version="1.0" encoding="utf-8"?>
<rvStructures xmlns="http://schemas.microsoft.com/office/spreadsheetml/2017/richdata" count="3">
  <s t="_localImage">
    <k n="_rvRel:LocalImageIdentifier" t="i"/>
    <k n="CalcOrigin" t="i"/>
  </s>
  <s t="_error">
    <k n="colOffset" t="i"/>
    <k n="errorType" t="i"/>
    <k n="rwOffset" t="i"/>
    <k n="subType"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D63771-AA45-4618-86D0-4A78ADC184EB}" name="Tableau19" displayName="Tableau19" ref="B10:K46" totalsRowShown="0" headerRowDxfId="2755" dataDxfId="2754">
  <autoFilter ref="B10:K46" xr:uid="{0ED63771-AA45-4618-86D0-4A78ADC184EB}"/>
  <tableColumns count="10">
    <tableColumn id="1" xr3:uid="{7E1A9D53-DFED-46EC-A027-4FD9BD0627C3}" name="Licence" dataDxfId="2753"/>
    <tableColumn id="2" xr3:uid="{F5B7ACBC-B8B9-4985-ACAB-AE050175B853}" name="Nom" dataDxfId="2752">
      <calculatedColumnFormula>IFERROR(VLOOKUP(Tableau19[[#This Row],[Licence]],Tableau7[[Licence]:[Nom]],7,FALSE),"")</calculatedColumnFormula>
    </tableColumn>
    <tableColumn id="3" xr3:uid="{24B7B872-181B-4BBB-8C01-9C2A190B23EB}" name="prénom " dataDxfId="2751">
      <calculatedColumnFormula>IFERROR(VLOOKUP(Tableau19[[#This Row],[Licence]],Tableau7[[Licence]:[Nom]],6,FALSE),"")</calculatedColumnFormula>
    </tableColumn>
    <tableColumn id="4" xr3:uid="{3FDFBF90-C9DF-4253-90BC-0BF33FD2A78D}" name="Club" dataDxfId="2750">
      <calculatedColumnFormula>IFERROR(VLOOKUP(Tableau19[[#This Row],[Licence]],Tableau7[[Licence]:[Nom]],5,FALSE),"")</calculatedColumnFormula>
    </tableColumn>
    <tableColumn id="9" xr3:uid="{4D9BE775-D134-4EB6-B110-5DC8D52D65C5}" name="Catégorie" dataDxfId="2749">
      <calculatedColumnFormula>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calculatedColumnFormula>
    </tableColumn>
    <tableColumn id="10" xr3:uid="{2BC5E976-FCC5-417C-A7B7-499972EC95DB}" name="Cat. si NC" dataDxfId="2748"/>
    <tableColumn id="5" xr3:uid="{5EC1DF65-AF19-4445-975F-B8493F2FAD5B}" name="Clt" dataDxfId="2747"/>
    <tableColumn id="6" xr3:uid="{ACFC4CD0-4EFC-4C66-80B9-20D9C938BB11}" name="Pts Rk" dataDxfId="2746"/>
    <tableColumn id="7" xr3:uid="{C20BDE1F-7A33-470C-B50F-994481B9B639}" name="Moy Gén" dataDxfId="2745"/>
    <tableColumn id="8" xr3:uid="{8DB016E0-AA9A-4118-9A35-7BC1B156ACB0}" name="Forfait" dataDxfId="2744"/>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547874-CADB-4B5F-9417-D6A729D254E3}" name="Tableau14" displayName="Tableau14" ref="AE92:AH100" totalsRowShown="0">
  <autoFilter ref="AE92:AH100" xr:uid="{6B547874-CADB-4B5F-9417-D6A729D254E3}"/>
  <tableColumns count="4">
    <tableColumn id="1" xr3:uid="{4B8888F2-D05C-45A7-941E-D36B971D467B}" name="mode jeu"/>
    <tableColumn id="5" xr3:uid="{2ED7DD29-9FA4-4F40-BC73-E50EEB4F5F7D}" name="Colonne2"/>
    <tableColumn id="4" xr3:uid="{4B806C49-F3C7-47D0-BE8C-1388DFE57397}" name="Colonne1" dataDxfId="2259">
      <calculatedColumnFormula>Tableau14[[#This Row],[mode jeu]]&amp;Tableau14[[#This Row],[Colonne2]]</calculatedColumnFormula>
    </tableColumn>
    <tableColumn id="2" xr3:uid="{2C461BE6-274C-48CE-A96F-DC08025F3566}" name="coef. 2,80/3,10" dataDxfId="225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A809576-9BC9-4FCA-A465-4D3AE17BF9A4}" name="Tableau2" displayName="Tableau2" ref="A1:I1004" totalsRowShown="0" headerRowBorderDxfId="2257" tableBorderDxfId="2256">
  <autoFilter ref="A1:I1004" xr:uid="{7A809576-9BC9-4FCA-A465-4D3AE17BF9A4}"/>
  <tableColumns count="9">
    <tableColumn id="1" xr3:uid="{D74E2559-6EC8-40BC-9DC0-D4B8FC70D44E}" name="LICENCE" dataDxfId="2255">
      <calculatedColumnFormula>SUBSTITUTE(B2,CHAR(32),"")</calculatedColumnFormula>
    </tableColumn>
    <tableColumn id="2" xr3:uid="{D74F5BD0-32EB-4C13-BC35-0EC38C007014}" name="Numéro" dataDxfId="2254"/>
    <tableColumn id="3" xr3:uid="{F61DB887-F020-40FB-A2AD-BFA81A4C1559}" name="Joueur" dataDxfId="2253"/>
    <tableColumn id="4" xr3:uid="{03034F61-B29B-476F-88F3-6C3B9D436D29}" name="Catégorie" dataDxfId="2252"/>
    <tableColumn id="10" xr3:uid="{E88998F1-0569-4C21-8F38-3189748FF2A8}" name="Colonne1" dataDxfId="2251"/>
    <tableColumn id="5" xr3:uid="{0B092A12-A7C4-430C-9673-C6DE05027965}" name="Moyenne 2m80" dataDxfId="2250"/>
    <tableColumn id="6" xr3:uid="{188754C6-3884-44E8-AC24-CFC3D6151E73}" name="Moyenne 3m10" dataDxfId="2249"/>
    <tableColumn id="7" xr3:uid="{C40C6492-D688-46F4-B2A2-4F974E327C3A}" name="Saison" dataDxfId="2248"/>
    <tableColumn id="8" xr3:uid="{C8660BA8-073F-427A-ACD0-9C3D159649AF}" name="Club" dataDxfId="224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72AA32F-8D58-49EE-82D6-AFA74F380484}" name="Tableau1" displayName="Tableau1" ref="A1:I346" totalsRowShown="0">
  <autoFilter ref="A1:I346" xr:uid="{272AA32F-8D58-49EE-82D6-AFA74F380484}"/>
  <sortState xmlns:xlrd2="http://schemas.microsoft.com/office/spreadsheetml/2017/richdata2" ref="A2:I336">
    <sortCondition ref="D1:D336"/>
  </sortState>
  <tableColumns count="9">
    <tableColumn id="1" xr3:uid="{527BEA16-E9D1-457E-8E21-759392D3B43B}" name="LICENCE">
      <calculatedColumnFormula>SUBSTITUTE(B2,CHAR(32),"")</calculatedColumnFormula>
    </tableColumn>
    <tableColumn id="2" xr3:uid="{20C5AE4D-046D-4D2A-85FA-794140589CFA}" name="Numéro" dataDxfId="2246"/>
    <tableColumn id="3" xr3:uid="{66608F0E-9E30-4C4A-9A76-D82691FC011D}" name="Joueur" dataDxfId="2245"/>
    <tableColumn id="4" xr3:uid="{ED45B8AB-94FA-4E2C-B847-BC1F0B3C81CF}" name="Catégorie" dataDxfId="2244"/>
    <tableColumn id="5" xr3:uid="{B88B03CE-852A-4AAD-A8B5-D7F6B40E0938}" name="Colonne1" dataDxfId="2243"/>
    <tableColumn id="6" xr3:uid="{1D20A727-82B3-4712-920B-17398D6A2130}" name="Moyenne 2m80" dataDxfId="2242"/>
    <tableColumn id="7" xr3:uid="{4984AAD3-440E-48BC-B94D-03B8D6D3880A}" name="Moyenne 3m10" dataDxfId="2241"/>
    <tableColumn id="8" xr3:uid="{9D4F4DEF-7CD3-4225-A2AA-AD8FAA6E5974}" name="Saison" dataDxfId="2240"/>
    <tableColumn id="9" xr3:uid="{413162E3-2923-48D6-8E13-46FB0C132443}" name="Club" dataDxfId="223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931925-4562-4F6D-9758-AA9B8DA41A63}" name="Tableau3" displayName="Tableau3" ref="A1:I689" totalsRowShown="0" headerRowBorderDxfId="2238" tableBorderDxfId="2237">
  <autoFilter ref="A1:I689" xr:uid="{B0931925-4562-4F6D-9758-AA9B8DA41A63}"/>
  <tableColumns count="9">
    <tableColumn id="1" xr3:uid="{E4F8F727-F3AB-4831-8AEB-C8648C6A96D4}" name="LICENCE" dataDxfId="2236">
      <calculatedColumnFormula>SUBSTITUTE(B2,CHAR(32),"")</calculatedColumnFormula>
    </tableColumn>
    <tableColumn id="2" xr3:uid="{7843463C-C550-4E4B-9A65-6AAABBA0E04F}" name="Numéro" dataDxfId="2235"/>
    <tableColumn id="3" xr3:uid="{CB7745C3-3B00-4C97-8184-F0E13DA23501}" name="Joueur" dataDxfId="2234"/>
    <tableColumn id="4" xr3:uid="{78F7E636-F330-4A31-9506-A6A123ADF9F5}" name="Catégorie" dataDxfId="2233"/>
    <tableColumn id="10" xr3:uid="{E5AAB21F-6175-4D28-B34B-40A8B160D037}" name="Colonne2" dataDxfId="2232"/>
    <tableColumn id="5" xr3:uid="{AC3682EF-41C4-41A8-BF71-2DB73BC796CF}" name="Moyenne 2m80" dataDxfId="2231"/>
    <tableColumn id="6" xr3:uid="{95C2BDA0-5210-409C-84A2-7E353A564F26}" name="Moyenne 3m10" dataDxfId="2230"/>
    <tableColumn id="7" xr3:uid="{1BE964C4-48BA-4CC1-9C8D-EA0D7B3993AE}" name="Saison" dataDxfId="2229"/>
    <tableColumn id="8" xr3:uid="{F9CD9D2F-E72E-4F9F-B11F-364D71881832}" name="Club" dataDxfId="222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A673101-EBAA-4D1D-A8E0-2D5ABB13B339}" name="Tableau4" displayName="Tableau4" ref="A1:I766" totalsRowShown="0">
  <autoFilter ref="A1:I766" xr:uid="{0A673101-EBAA-4D1D-A8E0-2D5ABB13B339}"/>
  <tableColumns count="9">
    <tableColumn id="1" xr3:uid="{2C9C598C-B0C5-4F84-9758-79AC83EC2CDF}" name="LICENCE">
      <calculatedColumnFormula>SUBSTITUTE(B2,CHAR(32),"")</calculatedColumnFormula>
    </tableColumn>
    <tableColumn id="2" xr3:uid="{D92DB526-4194-4A0C-B45A-7985E6E6A6BF}" name="Numéro" dataDxfId="2227"/>
    <tableColumn id="3" xr3:uid="{20F409C1-1766-4FFD-8170-04B27F64AFAD}" name="Joueur" dataDxfId="2226"/>
    <tableColumn id="4" xr3:uid="{076737AD-CD2A-4EB9-A2DB-88A1DFDB01B0}" name="Catégorie" dataDxfId="2225"/>
    <tableColumn id="9" xr3:uid="{674C23C3-9DC1-4292-80EA-C89E6905E276}" name="Colonne1" dataDxfId="2224"/>
    <tableColumn id="5" xr3:uid="{4E47BF32-33BB-470A-8809-3E58361A708D}" name="Moyenne 2m80" dataDxfId="2223"/>
    <tableColumn id="6" xr3:uid="{D0B58765-A3B5-41BE-B77D-5A483B23E3D9}" name="Moyenne 3m10" dataDxfId="2222"/>
    <tableColumn id="7" xr3:uid="{41D53FD8-8D71-444C-9DA8-DC524F16F37E}" name="Saison" dataDxfId="2221"/>
    <tableColumn id="8" xr3:uid="{D230A73B-E5BD-4510-8C92-E581DA82B7A4}" name="Club" dataDxfId="22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1564A8-B313-41E3-90DE-2A920F085D1F}" name="Tableau6" displayName="Tableau6" ref="A1:C58" totalsRowShown="0" headerRowDxfId="2453">
  <autoFilter ref="A1:C58" xr:uid="{731564A8-B313-41E3-90DE-2A920F085D1F}"/>
  <sortState xmlns:xlrd2="http://schemas.microsoft.com/office/spreadsheetml/2017/richdata2" ref="A2:C45">
    <sortCondition ref="A1:A58"/>
  </sortState>
  <tableColumns count="3">
    <tableColumn id="1" xr3:uid="{25ED2A62-8CBC-43A9-905F-8BB4A9243778}" name="N° club"/>
    <tableColumn id="2" xr3:uid="{5DB11A7C-488F-4F5A-A1B4-2124C945B80D}" name="Club"/>
    <tableColumn id="3" xr3:uid="{C2207152-6479-48F2-B677-8E4E3860D783}" name="Lo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F4AF5A5-1AAB-4558-8340-069CD64DFCCF}" name="Tableau9" displayName="Tableau9" ref="A1:BO46" totalsRowShown="0">
  <autoFilter ref="A1:BO46" xr:uid="{3F4AF5A5-1AAB-4558-8340-069CD64DFCCF}"/>
  <tableColumns count="67">
    <tableColumn id="2" xr3:uid="{14ADB0F7-4C24-4C57-AA5C-A7AC6CF0BCCC}" name="CLUB REF"/>
    <tableColumn id="1" xr3:uid="{D258C8FE-3FB1-44EC-AC5B-ACBDC2BB4F72}" name="Numero"/>
    <tableColumn id="3" xr3:uid="{3842C081-7148-4979-B31D-95EF038AF0B3}" name="Ligue"/>
    <tableColumn id="4" xr3:uid="{804A718E-B99C-4D2E-9AAF-17CC35DF0CAA}" name="CDB"/>
    <tableColumn id="5" xr3:uid="{DA9E63FD-C446-4CB2-A26C-9E20287E4593}" name="Club"/>
    <tableColumn id="6" xr3:uid="{F5C6FA40-A5A5-4D0A-A8B2-BB3EB2281131}" name="Nom"/>
    <tableColumn id="7" xr3:uid="{6DCACCA6-42A9-4F40-B923-EA0177F82C99}" name="Date affiliation" dataDxfId="2452"/>
    <tableColumn id="8" xr3:uid="{9609424D-A39C-4B96-85DC-6C94C1C5CE5E}" name="Adresse 1"/>
    <tableColumn id="9" xr3:uid="{FC8AC673-69F4-4C59-AD3D-1E0F42639DD4}" name="Adresse 2"/>
    <tableColumn id="10" xr3:uid="{3CFC4C45-02E7-4489-882B-70FEF48163D0}" name="Adresse 3"/>
    <tableColumn id="11" xr3:uid="{0A171C6D-9DD8-42B1-8781-277B9A9E9505}" name="Code postal"/>
    <tableColumn id="12" xr3:uid="{05D9D22F-06B6-425F-AE84-881D12FA9391}" name="Ville"/>
    <tableColumn id="13" xr3:uid="{CF0454BC-5009-4DA1-9287-D419970CE77B}" name="Tel club"/>
    <tableColumn id="14" xr3:uid="{2C13B719-1EC9-4E8A-B54E-4A05A1308128}" name="Email"/>
    <tableColumn id="15" xr3:uid="{BDF07903-9086-4BDE-81CA-518826CECF45}" name="Site Web"/>
    <tableColumn id="16" xr3:uid="{FB614AA6-182F-4C6A-A1DF-92EA50B50B37}" name="Pass scolaire"/>
    <tableColumn id="17" xr3:uid="{EA74C8C7-CB93-4C92-B53A-0FB03898233E}" name="Prisident"/>
    <tableColumn id="18" xr3:uid="{D7354B02-2DE1-47DD-82B9-1FFE8F26DE44}" name=" "/>
    <tableColumn id="19" xr3:uid="{09878D86-6DE9-4972-99D6-88F9AE10DF97}" name=" 2"/>
    <tableColumn id="20" xr3:uid="{72A1266D-1900-463B-A8DA-918D02CB5DB7}" name="Secritaire"/>
    <tableColumn id="21" xr3:uid="{10F945BC-5E2F-4DBE-B22A-BE8B2A7B11CF}" name=" 3"/>
    <tableColumn id="22" xr3:uid="{FB26A93D-45E7-45DA-BA3F-55357AB3D915}" name=" 4"/>
    <tableColumn id="23" xr3:uid="{F1639D0A-839F-448B-8ED4-740E08E4502A}" name="Trisorier"/>
    <tableColumn id="24" xr3:uid="{DFB2B620-C80B-4623-90A8-6C2F85A5BF34}" name=" 5"/>
    <tableColumn id="25" xr3:uid="{265130D8-B4AC-48B5-B5CF-00C451070BB8}" name=" 6"/>
    <tableColumn id="26" xr3:uid="{7153E428-7FFF-4123-8E68-5280A837AC73}" name="Contact (courrier)"/>
    <tableColumn id="27" xr3:uid="{696D153D-593A-4AB7-AD2C-33AEC0235681}" name=" 7"/>
    <tableColumn id="28" xr3:uid="{202A2399-7EEF-4220-A291-1191045CA9FA}" name=" 8"/>
    <tableColumn id="29" xr3:uid="{970754ED-CE16-4085-8758-E002AFFA74A8}" name="Correspondant"/>
    <tableColumn id="30" xr3:uid="{31DCFF19-08BA-4024-89BD-C0AF6D35F882}" name=" 9"/>
    <tableColumn id="31" xr3:uid="{BF2FA767-E3CF-4F9A-96C2-AAEBF0D3F453}" name=" 10"/>
    <tableColumn id="32" xr3:uid="{27FB65B4-56E0-4303-AB1E-E9B517CE85DE}" name="Responsable formation"/>
    <tableColumn id="33" xr3:uid="{35D1120D-BB96-4114-BB4C-DF04A9320B92}" name=" 11"/>
    <tableColumn id="34" xr3:uid="{DD2B1A91-6594-48FA-8B82-AC35E2949F07}" name=" 12"/>
    <tableColumn id="35" xr3:uid="{1F9321D7-6550-4C96-AC64-0FFF38524FA0}" name="Responsable arbitres"/>
    <tableColumn id="36" xr3:uid="{86377471-62CC-4EA9-AA8B-3CEBCED88DB5}" name=" 13"/>
    <tableColumn id="37" xr3:uid="{58072F1E-8592-4C7D-BA03-0BB48384009F}" name=" 14"/>
    <tableColumn id="38" xr3:uid="{0C73E70F-75C5-4082-925A-53BEF827CF60}" name="Responsable carambole"/>
    <tableColumn id="39" xr3:uid="{6364DB10-9534-4EAC-86B6-6E0243D8BD12}" name=" 15"/>
    <tableColumn id="40" xr3:uid="{A7C57CC9-5093-46E9-A39C-16500000D94A}" name=" 16"/>
    <tableColumn id="41" xr3:uid="{00386777-FCDA-4422-94D8-71F9D5A1C653}" name="Responsable amiricain"/>
    <tableColumn id="42" xr3:uid="{0F17C8DF-CBA3-4428-86F5-4CC08E39133F}" name=" 17"/>
    <tableColumn id="43" xr3:uid="{EE263287-65E1-45B9-B15D-C3363A4FEFAC}" name=" 18"/>
    <tableColumn id="44" xr3:uid="{72529F2A-A11D-4ECF-8BAC-A169A56313E3}" name="Responsable blackball"/>
    <tableColumn id="45" xr3:uid="{C178C807-0C77-46C9-A7B7-36C8F4DE6BFC}" name=" 19"/>
    <tableColumn id="46" xr3:uid="{C9699E8B-D175-41D6-A48D-78B34F0FC049}" name=" 20"/>
    <tableColumn id="47" xr3:uid="{41578350-F74A-4F56-9D66-EB042218DD35}" name="Responsable snooker"/>
    <tableColumn id="48" xr3:uid="{5E777D63-9B66-4904-AB4E-F53DA44DFE96}" name=" 21"/>
    <tableColumn id="49" xr3:uid="{DF80D07A-BE59-4BD5-AD22-1502DBA2F859}" name=" 22"/>
    <tableColumn id="50" xr3:uid="{1A307447-F6D2-4A00-9306-54ACA694EF69}" name="Responsable discipline"/>
    <tableColumn id="51" xr3:uid="{8DF8CB27-7812-47AC-B3A2-CCB5ACF4CB18}" name=" 23"/>
    <tableColumn id="52" xr3:uid="{42837498-9616-4992-8F49-1595CBD5AA00}" name=" 24"/>
    <tableColumn id="53" xr3:uid="{0C97F267-E07F-4ABC-A642-907D01BF9BA6}" name="Nb carambole 3.10 m"/>
    <tableColumn id="54" xr3:uid="{C73F7235-C859-4D88-BE27-69ACDE1C0944}" name="Nb carambole 2.80 m"/>
    <tableColumn id="55" xr3:uid="{F7FF303E-FDC0-4C86-B351-F5A17A68DA9B}" name="Nb carambole (autres dimensions)"/>
    <tableColumn id="56" xr3:uid="{4A59F0E3-493E-417E-8133-A89EAB7232FB}" name="Nb blackball"/>
    <tableColumn id="57" xr3:uid="{D5D35043-D2EA-41BA-9F7B-53AA68BA9962}" name="Nb snooker"/>
    <tableColumn id="58" xr3:uid="{80D19A40-12C2-46B6-8C65-917CE551EC69}" name="Nb amiricain"/>
    <tableColumn id="59" xr3:uid="{6482C890-0768-425F-8C78-8386ACAF378B}" name="Type de salle"/>
    <tableColumn id="60" xr3:uid="{41F8E8BA-6991-4852-843B-0D48A0378CC7}" name="Acchs handicapis"/>
    <tableColumn id="61" xr3:uid="{191A24E2-3DA3-497E-A865-EBFF190BC790}" name="Date AG"/>
    <tableColumn id="62" xr3:uid="{858846CE-9137-4C53-8EA9-0DEE121C5688}" name="Sigle"/>
    <tableColumn id="63" xr3:uid="{EC62C7A3-F707-40B3-88F8-9FA565C88381}" name="Siret"/>
    <tableColumn id="64" xr3:uid="{888ED8EC-2394-4E5E-BBE2-8CC0BD6D9E8E}" name="RNA"/>
    <tableColumn id="65" xr3:uid="{BF09F609-BC1A-4F22-90F9-8A224E8646B6}" name="Tel salle"/>
    <tableColumn id="66" xr3:uid="{47CDDDD3-5F6A-4367-94D3-AAA1EE31AC4E}" name="Tel responsable sportif"/>
    <tableColumn id="67" xr3:uid="{377E14E8-7A1E-42F3-ADE8-A4A486E76582}" name="Contrat republicai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ADD5801-FA2F-4864-95FE-BF15F36F9B8A}" name="Tableau7" displayName="Tableau7" ref="A1:Y1728" totalsRowShown="0">
  <autoFilter ref="A1:Y1728" xr:uid="{9ADD5801-FA2F-4864-95FE-BF15F36F9B8A}"/>
  <sortState xmlns:xlrd2="http://schemas.microsoft.com/office/spreadsheetml/2017/richdata2" ref="A2:Y1430">
    <sortCondition ref="G1:G1430"/>
  </sortState>
  <tableColumns count="25">
    <tableColumn id="1" xr3:uid="{F5321DC9-40E7-4828-B019-51064D5986B7}" name="Licence"/>
    <tableColumn id="2" xr3:uid="{948B2974-572B-4007-90EC-077DD7B54BA1}" name="Ligue"/>
    <tableColumn id="3" xr3:uid="{A3972F28-064C-4FA2-9A89-6FB5E222DDE5}" name="CDB"/>
    <tableColumn id="4" xr3:uid="{6AB1C0FD-AE6C-49CF-8B72-FDCD964396B5}" name="Num Club"/>
    <tableColumn id="5" xr3:uid="{735A2B7A-A128-42A7-B5F4-73496776B8B6}" name="Nom Club"/>
    <tableColumn id="6" xr3:uid="{5032C51F-36AD-49E4-B686-70E80E55FAA3}" name="Prenom"/>
    <tableColumn id="7" xr3:uid="{39ABE752-0D15-4A63-A810-F502280FC53E}" name="Nom"/>
    <tableColumn id="8" xr3:uid="{1F15B233-2406-461F-9ECA-07B6FE231B93}" name="Date de naissance" dataDxfId="2451"/>
    <tableColumn id="9" xr3:uid="{CA1515E4-2913-4269-916B-CC6F573277FA}" name="Sexe"/>
    <tableColumn id="10" xr3:uid="{602942E0-9CA3-47E1-ADAE-408D9E0D97EA}" name="Adresse 1"/>
    <tableColumn id="11" xr3:uid="{CAF1E6DD-6900-45C3-8E97-7B419C98A649}" name="Adresse 2"/>
    <tableColumn id="12" xr3:uid="{9B84CD22-C6A7-492E-8D30-8CA58C105D07}" name="Adresse 3"/>
    <tableColumn id="13" xr3:uid="{C6E8F08B-543E-42B9-AC1E-25779D37E8B8}" name="Code postal"/>
    <tableColumn id="14" xr3:uid="{0D566DCC-2C5D-4F48-BFA4-322B21A68C9B}" name="Ville"/>
    <tableColumn id="15" xr3:uid="{071CD8B0-FD5F-4A69-A704-17D5887F0E35}" name="Pays"/>
    <tableColumn id="16" xr3:uid="{0D98572D-1760-4DA2-BC50-D3D6BA9481BD}" name="Tel fixe"/>
    <tableColumn id="17" xr3:uid="{C30219F9-0B31-4683-8F14-85D13480EDAB}" name="Tel port"/>
    <tableColumn id="18" xr3:uid="{CC229D9D-AB7D-4583-AD98-7233A6F15BA7}" name="Email"/>
    <tableColumn id="19" xr3:uid="{F916BC67-10CA-4603-ACCC-87D12F9CF9BE}" name="Lettre de la federation"/>
    <tableColumn id="20" xr3:uid="{B6E31031-9D04-4BBD-BD2A-DD8F0DDE98AA}" name="Categorie"/>
    <tableColumn id="21" xr3:uid="{84D1D17A-7D93-4A8D-ABC6-AEEFB0237BE0}" name="Discipline"/>
    <tableColumn id="22" xr3:uid="{743EF111-2726-4802-BE7B-FA326CB4C392}" name="Arbitre"/>
    <tableColumn id="23" xr3:uid="{2475B410-4AC5-4A45-BB8D-F6F7EFFFA697}" name="Date licence" dataDxfId="2450"/>
    <tableColumn id="24" xr3:uid="{F74B5450-7685-41E5-8835-3C3F407B02AD}" name="Nationaliti"/>
    <tableColumn id="25" xr3:uid="{950E2151-F7EA-44A2-AABC-347EA31CB777}" name="Colonne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933D93-133D-4029-86EE-80ACE7FF4BA0}" name="PTSRKPOULES" displayName="PTSRKPOULES" ref="A92:G146" totalsRowShown="0" headerRowDxfId="2449" dataDxfId="2448">
  <autoFilter ref="A92:G146" xr:uid="{1C933D93-133D-4029-86EE-80ACE7FF4BA0}"/>
  <tableColumns count="7">
    <tableColumn id="1" xr3:uid="{72D75DC4-E4C6-45DE-B0E4-8F2B7D1AE183}" name="J Poule" dataDxfId="2447"/>
    <tableColumn id="2" xr3:uid="{A8AA3EBF-7DAF-4347-A2FA-D231D590A5E5}" name="Clt" dataDxfId="2446"/>
    <tableColumn id="3" xr3:uid="{0795E72D-6683-4630-85AF-763A4BE873AE}" name="PM" dataDxfId="2445"/>
    <tableColumn id="7" xr3:uid="{4AEB0864-C0ED-40EE-B9B6-D4853108CEE9}" name="Colonne1" dataDxfId="2444">
      <calculatedColumnFormula>PTSRKPOULES[[#This Row],[J Poule]]&amp;PTSRKPOULES[[#This Row],[Clt]]&amp;PTSRKPOULES[[#This Row],[PM]]</calculatedColumnFormula>
    </tableColumn>
    <tableColumn id="4" xr3:uid="{7850E8D3-93FD-437C-ADFF-7C291962A16B}" name="PR JDS" dataDxfId="2443"/>
    <tableColumn id="5" xr3:uid="{EC6CE549-1749-4012-A3DB-28ED47708DD1}" name="PR 3B" dataDxfId="2442"/>
    <tableColumn id="6" xr3:uid="{3A146824-F01D-4AFF-82CC-AB3AFB2B0E8E}" name="PR DISTRICT" dataDxfId="244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A0157D9-83EF-4BE9-8A5D-3720056D9387}" name="Distances" displayName="Distances" ref="A1:PG77" totalsRowShown="0" tableBorderDxfId="2440">
  <autoFilter ref="A1:PG77" xr:uid="{3A0157D9-83EF-4BE9-8A5D-3720056D9387}"/>
  <tableColumns count="423">
    <tableColumn id="1" xr3:uid="{6E6F9147-5E2A-47E1-AF44-69D8D5C64D2D}" name="mode" dataDxfId="2439"/>
    <tableColumn id="2" xr3:uid="{F04A60DD-72A5-48A1-A7EF-179FB6376530}" name="Catégorie" dataDxfId="2438"/>
    <tableColumn id="3" xr3:uid="{EAD7AB7B-0EA3-4A54-9918-EEE3EBBA628C}" name="Abréviation" dataDxfId="2437">
      <calculatedColumnFormula>LEFT(A2)&amp;B2</calculatedColumnFormula>
    </tableColumn>
    <tableColumn id="4" xr3:uid="{DA1C776A-BAE7-4659-AF91-4FBD8491AB2C}" name="Mode de jeu et cat." dataDxfId="2436">
      <calculatedColumnFormula>A2&amp;" "&amp;B2</calculatedColumnFormula>
    </tableColumn>
    <tableColumn id="423" xr3:uid="{D17F16DA-45D3-4520-9A79-FFB68BB3F151}" name="Gest. " dataDxfId="2435"/>
    <tableColumn id="5" xr3:uid="{E1465455-C04E-4EB3-A646-67EBA6D6F404}" name="Distance" dataDxfId="2434"/>
    <tableColumn id="6" xr3:uid="{0851934D-06C5-491B-BA34-FC7328E8C463}" name="Pts " dataDxfId="2433"/>
    <tableColumn id="7" xr3:uid="{DD43B00F-331F-40D2-8350-B2ADBD3BD812}" name="Reprises" dataDxfId="2432"/>
    <tableColumn id="8" xr3:uid="{A5737786-29DA-4CDF-A4BC-4544ACF723A2}" name="format" dataDxfId="2431"/>
    <tableColumn id="9" xr3:uid="{9A31AD1A-E55C-430D-B67D-99A0A15E32A9}" name="Coins" dataDxfId="2430"/>
    <tableColumn id="10" xr3:uid="{36C1C832-48D0-405A-9FA8-BFB7C0977124}" name="Colonne2" dataDxfId="2429"/>
    <tableColumn id="11" xr3:uid="{56574AE9-29DA-42DD-80A2-66B307D390D9}" name="M 1" dataDxfId="2428"/>
    <tableColumn id="12" xr3:uid="{A821934E-C347-42AA-AF05-588240D46F47}" name="M 2" dataDxfId="2427"/>
    <tableColumn id="13" xr3:uid="{1A56CCE8-BC59-4E36-90DB-FDEAEA6A86CA}" name="M 3" dataDxfId="2426"/>
    <tableColumn id="420" xr3:uid="{0EC9BDD3-7815-4F03-A73D-B2C4DB91FA7F}" name="BT1" dataDxfId="2425"/>
    <tableColumn id="421" xr3:uid="{D4A71932-8875-4814-B365-44BE5A684F93}" name="BT2" dataDxfId="2424"/>
    <tableColumn id="422" xr3:uid="{0D24B8E1-575E-4E86-9588-2E6B5C4CF60D}" name="BT3" dataDxfId="2423"/>
    <tableColumn id="14" xr3:uid="{3B15157D-53F4-4CCD-9C41-E20CBC1C7239}" name="B1" dataDxfId="2422"/>
    <tableColumn id="15" xr3:uid="{BDC96206-5A66-4D41-9687-C326D9AA4154}" name="B2" dataDxfId="2421"/>
    <tableColumn id="16" xr3:uid="{DCB34516-5FF6-4DC3-BDC8-F95FE7FBE36B}" name="B3" dataDxfId="2420"/>
    <tableColumn id="17" xr3:uid="{58598420-5621-4605-9896-CCE8D714A8BB}" name="Colonne3"/>
    <tableColumn id="18" xr3:uid="{731CC1CA-45BC-429F-A525-433E8A7C7A8C}" name="Colonne4" dataDxfId="2419"/>
    <tableColumn id="19" xr3:uid="{AB7D7A62-6466-451C-9161-F07A656CF3BE}" name="Colonne5" dataDxfId="2418"/>
    <tableColumn id="20" xr3:uid="{A05386C3-5B9F-4D9E-8B5C-AE3C0E903C3C}" name="Colonne6" dataDxfId="2417"/>
    <tableColumn id="21" xr3:uid="{F315BF6F-8DCB-46C5-BC1A-A2A1EAF93B6D}" name="Colonne7" dataDxfId="2416"/>
    <tableColumn id="22" xr3:uid="{05A65C77-8FE4-43AE-8202-2F68E4520AD2}" name="Colonne8" dataDxfId="2415"/>
    <tableColumn id="23" xr3:uid="{CFFB06FD-4208-480A-B6A3-3B28A2AD7F01}" name="Colonne9" dataDxfId="2414"/>
    <tableColumn id="24" xr3:uid="{28E93765-491C-412D-8F68-0294F3294079}" name="Colonne10" dataDxfId="2413"/>
    <tableColumn id="25" xr3:uid="{6ACC827A-3B41-47ED-905B-C8BCE7C7B28F}" name="Colonne11" dataDxfId="2412"/>
    <tableColumn id="26" xr3:uid="{44DFD496-E1BA-427F-BB34-48630337C87A}" name="Colonne12" dataDxfId="2411"/>
    <tableColumn id="27" xr3:uid="{1718F593-15D7-42E4-836D-77D95DEDC511}" name="Colonne13" dataDxfId="2410"/>
    <tableColumn id="28" xr3:uid="{B8C8E6D9-8FAE-4F8D-8DF3-4175CF2C0BDC}" name="Colonne14" dataDxfId="2409"/>
    <tableColumn id="29" xr3:uid="{84899FB5-9659-4EFB-A13C-944E9D271C09}" name="Colonne15" dataDxfId="2408"/>
    <tableColumn id="30" xr3:uid="{1971F15A-3642-4BD0-A41A-45189212D90C}" name="Colonne16" dataDxfId="2407"/>
    <tableColumn id="31" xr3:uid="{59632471-4CBC-4076-90EF-04206679DA7F}" name="Colonne17" dataDxfId="2406"/>
    <tableColumn id="32" xr3:uid="{187F9F59-AFDB-4AA6-9607-A2ECDF0C88EA}" name="Colonne18" dataDxfId="2405"/>
    <tableColumn id="33" xr3:uid="{2CCB3F48-2D95-4685-BB1F-F92F7A89D090}" name="Colonne19" dataDxfId="2404"/>
    <tableColumn id="34" xr3:uid="{F93DDC8A-59B9-4399-8DF2-715F35F63F0E}" name="Colonne20" dataDxfId="2403"/>
    <tableColumn id="35" xr3:uid="{BDBBFB4D-6404-46D4-8DC1-C8013D8E93E8}" name="Colonne21" dataDxfId="2402"/>
    <tableColumn id="36" xr3:uid="{D1F4DC83-514D-40B9-BA04-C0689E209DCC}" name="Colonne22" dataDxfId="2401"/>
    <tableColumn id="37" xr3:uid="{92B7A1C0-ECD0-4433-B8F0-72A5532F5BD9}" name="Colonne23" dataDxfId="2400"/>
    <tableColumn id="38" xr3:uid="{30461289-B594-44D7-BD1D-B2882256A9FE}" name="Colonne24" dataDxfId="2399"/>
    <tableColumn id="39" xr3:uid="{9FDB1839-3FA3-4BAE-A55E-19311CD05005}" name="Colonne25" dataDxfId="2398"/>
    <tableColumn id="40" xr3:uid="{D225C274-BF61-4575-80F0-BAEB5B8FFF1E}" name="Colonne26" dataDxfId="2397"/>
    <tableColumn id="41" xr3:uid="{98F0661B-7D60-4C8D-895C-B2C39F1E902C}" name="Colonne27" dataDxfId="2396"/>
    <tableColumn id="42" xr3:uid="{DBB630FC-C898-4CE5-8A83-4508CB2505A5}" name="Colonne28" dataDxfId="2395"/>
    <tableColumn id="43" xr3:uid="{311D3FE4-A533-479A-8777-6B2D3F3F634A}" name="Colonne29" dataDxfId="2394"/>
    <tableColumn id="44" xr3:uid="{79908DE6-BB63-41C2-B3CF-1CCEBA18BA75}" name="Colonne30" dataDxfId="2393"/>
    <tableColumn id="45" xr3:uid="{2B4784D4-C78D-4D06-B28D-8D3CC380FCE8}" name="Colonne31" dataDxfId="2392"/>
    <tableColumn id="46" xr3:uid="{81173C82-F1EC-4F17-B3B0-E823D9B30EA1}" name="Colonne32" dataDxfId="2391"/>
    <tableColumn id="47" xr3:uid="{86129A7E-A36D-46BE-8256-D4ADCCF7FA07}" name="Colonne33" dataDxfId="2390"/>
    <tableColumn id="48" xr3:uid="{48968429-FFBC-4C9D-B775-E124C520E6EC}" name="Colonne34" dataDxfId="2389"/>
    <tableColumn id="49" xr3:uid="{210B6A3F-4900-4EE7-AEBB-AD81F1FA350F}" name="Colonne35" dataDxfId="2388"/>
    <tableColumn id="50" xr3:uid="{3EC25565-1CA2-4850-9C35-86B05563C02D}" name="Colonne36" dataDxfId="2387"/>
    <tableColumn id="51" xr3:uid="{5552A505-A6EC-4D4E-BBE7-E15A9E107955}" name="Colonne37" dataDxfId="2386"/>
    <tableColumn id="52" xr3:uid="{061E942E-CAA1-4622-BADE-53A83CFE5F75}" name="Colonne38" dataDxfId="2385"/>
    <tableColumn id="53" xr3:uid="{11B0EE8C-465B-43D0-9BCB-E9004B5C9A9E}" name="Colonne39" dataDxfId="2384"/>
    <tableColumn id="54" xr3:uid="{EEACB941-C1F4-4B9F-9DA5-1ED61FD9629F}" name="Colonne40" dataDxfId="2383"/>
    <tableColumn id="55" xr3:uid="{F7419FC5-B790-4957-8B56-7EC65088BDF5}" name="Colonne41" dataDxfId="2382"/>
    <tableColumn id="56" xr3:uid="{B1EC7D24-29CB-4A1E-B9CB-DF78B5F31154}" name="Colonne42" dataDxfId="2381"/>
    <tableColumn id="57" xr3:uid="{F8F968B7-85B9-477E-988A-0AA2DA7FD7F9}" name="Colonne43" dataDxfId="2380"/>
    <tableColumn id="58" xr3:uid="{47D36275-CAE5-4E6A-83EC-E0435F6E06F5}" name="Colonne44" dataDxfId="2379"/>
    <tableColumn id="59" xr3:uid="{39B73008-E61B-4891-A493-BDD800BE9B13}" name="Colonne45" dataDxfId="2378"/>
    <tableColumn id="60" xr3:uid="{64CBFC8C-CB13-4922-A93E-60F2B2640E4E}" name="Colonne46" dataDxfId="2377"/>
    <tableColumn id="61" xr3:uid="{B6490EE0-DE99-412B-84D2-C21D3A568B7E}" name="Colonne47" dataDxfId="2376"/>
    <tableColumn id="62" xr3:uid="{D7070CE4-3922-4DDC-B439-36B3FDD18887}" name="Colonne48" dataDxfId="2375"/>
    <tableColumn id="63" xr3:uid="{9F2230C3-E0AB-4F42-A3B9-C0C13E2FC10C}" name="Colonne49" dataDxfId="2374"/>
    <tableColumn id="64" xr3:uid="{7CE88A09-CEA7-43FC-A99A-BDEE6D9D9E7E}" name="Colonne50" dataDxfId="2373"/>
    <tableColumn id="65" xr3:uid="{662E14C3-75D1-4318-B1CD-415663C002CB}" name="Colonne51" dataDxfId="2372"/>
    <tableColumn id="66" xr3:uid="{4C42A1A4-845C-49C7-A316-FF1A7A6F54C1}" name="Colonne52" dataDxfId="2371"/>
    <tableColumn id="67" xr3:uid="{56C36E78-8D4B-4E67-819D-A6AE0F1C735D}" name="Colonne53" dataDxfId="2370"/>
    <tableColumn id="68" xr3:uid="{F01BDB27-2120-40D5-A65D-392C9321B794}" name="Colonne54" dataDxfId="2369"/>
    <tableColumn id="69" xr3:uid="{9DACA0B4-5AF8-4A9A-85C8-EB119C794F9E}" name="Colonne55" dataDxfId="2368"/>
    <tableColumn id="70" xr3:uid="{0E9C43D5-5A12-494B-9938-CA345A130C56}" name="Colonne56" dataDxfId="2367"/>
    <tableColumn id="71" xr3:uid="{278960A6-B12F-4271-BE33-087507FD3676}" name="Colonne57" dataDxfId="2366"/>
    <tableColumn id="72" xr3:uid="{F730D6CC-4B50-4ACB-A59B-A90E679269FA}" name="Colonne58" dataDxfId="2365"/>
    <tableColumn id="73" xr3:uid="{77929D8E-7929-46CA-A423-36C12EF2A60D}" name="Colonne59" dataDxfId="2364"/>
    <tableColumn id="74" xr3:uid="{5865413C-2640-4CBC-8C0F-77BC5BEBB1C9}" name="Colonne60" dataDxfId="2363"/>
    <tableColumn id="75" xr3:uid="{D91B5576-CE5C-4B20-9F69-4D0E2941E653}" name="Colonne61" dataDxfId="2362"/>
    <tableColumn id="76" xr3:uid="{9868CE77-3E86-43FA-87A3-E078587BADAA}" name="Colonne62" dataDxfId="2361"/>
    <tableColumn id="77" xr3:uid="{19D3B123-5B50-4EB2-A807-A3CD8CEE8F1A}" name="Colonne63" dataDxfId="2360"/>
    <tableColumn id="78" xr3:uid="{00F19612-0594-4E0A-95C2-849F29494030}" name="Colonne64" dataDxfId="2359"/>
    <tableColumn id="79" xr3:uid="{EB8EFA49-E4E2-4BEE-B6BA-EFA1857B020A}" name="Colonne65" dataDxfId="2358"/>
    <tableColumn id="80" xr3:uid="{84BE7484-2F6C-4DBE-8D32-9E3CB44D881E}" name="Colonne66" dataDxfId="2357"/>
    <tableColumn id="81" xr3:uid="{9A67DDC4-58DA-4139-8052-AD5F7A6506B9}" name="Colonne67" dataDxfId="2356"/>
    <tableColumn id="82" xr3:uid="{4D53B1EE-B0A8-4526-BCD2-8F825A7CDCC4}" name="Colonne68" dataDxfId="2355"/>
    <tableColumn id="83" xr3:uid="{74BB0CFF-60EF-4A86-9D6F-AC433BD2787E}" name="Colonne69" dataDxfId="2354"/>
    <tableColumn id="84" xr3:uid="{2CD68047-4800-471E-9CDF-6C9800D35509}" name="Colonne70" dataDxfId="2353"/>
    <tableColumn id="85" xr3:uid="{78D301E3-4928-4A13-AA64-584E6C5F195B}" name="Colonne71" dataDxfId="2352"/>
    <tableColumn id="86" xr3:uid="{116B1F54-BD78-488D-9642-FB75D700B084}" name="Colonne72" dataDxfId="2351"/>
    <tableColumn id="87" xr3:uid="{91EA7E78-242E-4AC1-A201-46B2C784962A}" name="Colonne73" dataDxfId="2350"/>
    <tableColumn id="88" xr3:uid="{C7923518-C46C-4B72-87B7-80B58E8C7A95}" name="Colonne74" dataDxfId="2349"/>
    <tableColumn id="89" xr3:uid="{6ADD11E7-FC89-4947-9ECF-D26AA7A11298}" name="Colonne75" dataDxfId="2348"/>
    <tableColumn id="90" xr3:uid="{30BDAE15-53C3-47E4-AE8D-3575495120CF}" name="Colonne76" dataDxfId="2347"/>
    <tableColumn id="91" xr3:uid="{DF66FEEB-BBB5-4707-94D7-DDBCE0EECEDE}" name="Colonne77" dataDxfId="2346"/>
    <tableColumn id="92" xr3:uid="{8F9FE42C-8D8A-4159-B4E8-19D5F6264D7F}" name="Colonne78" dataDxfId="2345"/>
    <tableColumn id="93" xr3:uid="{C5CD0842-28B8-4365-B05D-D3CDB1E1A081}" name="Colonne79" dataDxfId="2344"/>
    <tableColumn id="94" xr3:uid="{DDC4A272-5336-4514-A07B-79938C1E7CB3}" name="Colonne80" dataDxfId="2343"/>
    <tableColumn id="95" xr3:uid="{46E31F51-FCEA-4A38-B0A7-D9A10ACE5C9A}" name="Colonne81" dataDxfId="2342"/>
    <tableColumn id="96" xr3:uid="{E1813167-3045-46F9-B22C-2F247BD40B22}" name="Colonne82" dataDxfId="2341"/>
    <tableColumn id="97" xr3:uid="{09F48432-CA8C-4929-ABD1-E48312850A9E}" name="Colonne83" dataDxfId="2340"/>
    <tableColumn id="98" xr3:uid="{ED240765-A32F-43CA-88A9-DF6DDBDAEE54}" name="Colonne84" dataDxfId="2339"/>
    <tableColumn id="99" xr3:uid="{20D7017A-2892-4657-9CA7-60437B02E653}" name="Colonne85"/>
    <tableColumn id="100" xr3:uid="{BC5850EE-6046-4C93-A67B-2476917FA511}" name="Colonne86"/>
    <tableColumn id="101" xr3:uid="{33C2D309-4069-42BF-9424-0E7BD9C63025}" name="Colonne87"/>
    <tableColumn id="102" xr3:uid="{088DCF50-CA4F-488F-9A2C-74B8236EF719}" name="Colonne88"/>
    <tableColumn id="103" xr3:uid="{CD06DE2E-C950-4442-A917-03E0A0486D92}" name="Colonne89"/>
    <tableColumn id="104" xr3:uid="{3BC18AF2-ACDE-4E92-92A2-2A6BC08C633D}" name="Colonne90"/>
    <tableColumn id="105" xr3:uid="{0E8CBD60-4D29-4454-8693-87C2A689A4F1}" name="Colonne91"/>
    <tableColumn id="106" xr3:uid="{42ADF341-8669-4CD3-9D4A-27BF8125D613}" name="Colonne92"/>
    <tableColumn id="107" xr3:uid="{A118AF26-5A62-4615-825B-1BBE67958618}" name="Colonne93"/>
    <tableColumn id="108" xr3:uid="{6518CE06-D4AF-44A1-BA32-3AE22B62D83D}" name="Colonne94"/>
    <tableColumn id="109" xr3:uid="{4F2161CA-B79B-491C-B740-916E32AD6ADB}" name="Colonne95"/>
    <tableColumn id="110" xr3:uid="{187CD555-F29D-4677-9BC4-6EAFEB602BFF}" name="Colonne96"/>
    <tableColumn id="111" xr3:uid="{732C4B70-0190-4BAF-8435-05C8604ED5E0}" name="Colonne97"/>
    <tableColumn id="112" xr3:uid="{6AAFCB98-73E5-489D-A35E-BF1FCB80D754}" name="Colonne98"/>
    <tableColumn id="113" xr3:uid="{0CD6DD4B-F8B2-496B-A91D-07260FAF03A9}" name="Colonne99"/>
    <tableColumn id="114" xr3:uid="{570CBDC9-230B-4688-A71F-BCB5A47B07DE}" name="Colonne100"/>
    <tableColumn id="115" xr3:uid="{531579DB-4595-432F-B31D-E61896C284C0}" name="Colonne101"/>
    <tableColumn id="116" xr3:uid="{4FCD62A3-991F-4503-BF43-A5299D31E064}" name="Colonne102"/>
    <tableColumn id="117" xr3:uid="{FED68ED6-C313-4D05-BCDE-F776B1725073}" name="Colonne103"/>
    <tableColumn id="118" xr3:uid="{27A76346-4A55-4BC2-BB7A-1D55D93B136A}" name="Colonne104"/>
    <tableColumn id="119" xr3:uid="{9F914850-C002-4C25-B076-950C7AFF7665}" name="Colonne105"/>
    <tableColumn id="120" xr3:uid="{5C72590F-7D3B-4D4D-B102-C3BBA035644A}" name="Colonne106"/>
    <tableColumn id="121" xr3:uid="{FD68D10E-0D00-4841-BB45-38336F53B268}" name="Colonne107"/>
    <tableColumn id="122" xr3:uid="{35CECA16-06EF-4858-814F-969C4BBBAA99}" name="Colonne108"/>
    <tableColumn id="123" xr3:uid="{144AAD9C-3425-4C97-AFBD-6080DF9041AE}" name="Colonne109"/>
    <tableColumn id="124" xr3:uid="{05C265D5-A379-42D6-B311-C7205CA26DEE}" name="Colonne110"/>
    <tableColumn id="125" xr3:uid="{213611C7-A5B9-43D5-A791-470EA9E936B0}" name="Colonne111"/>
    <tableColumn id="126" xr3:uid="{257C22AD-A1F9-4457-A68C-321F64075B1E}" name="Colonne112"/>
    <tableColumn id="127" xr3:uid="{DD021F87-0CA5-4DEA-9F6B-21A133C34CA4}" name="Colonne113"/>
    <tableColumn id="128" xr3:uid="{7050D491-42BE-4E1F-A5F4-D968A955F701}" name="Colonne114"/>
    <tableColumn id="129" xr3:uid="{7BC7CB5C-6951-49A1-B6CA-737EEB61A08D}" name="Colonne115"/>
    <tableColumn id="130" xr3:uid="{EFCDE126-2E02-47EB-89CF-A3AE5CC68546}" name="Colonne116"/>
    <tableColumn id="131" xr3:uid="{E995437D-698D-49B2-BF9F-0AECB053350B}" name="Colonne117"/>
    <tableColumn id="132" xr3:uid="{5315D8E9-F75B-40CC-872A-39E67E6A612D}" name="Colonne118"/>
    <tableColumn id="133" xr3:uid="{B9F19BEE-D081-441F-81B1-34B43510E07C}" name="Colonne119"/>
    <tableColumn id="134" xr3:uid="{1EDFECCC-91A1-4538-A66A-92F813922B17}" name="Colonne120"/>
    <tableColumn id="135" xr3:uid="{7C9EDA4B-9639-4D67-9131-7DCEDF3E5CF3}" name="Colonne121"/>
    <tableColumn id="136" xr3:uid="{4AF65803-EE79-4621-8DA3-7E20740BD79A}" name="Colonne122"/>
    <tableColumn id="137" xr3:uid="{19517B3F-1713-41E0-98AF-1BDE35B8D32A}" name="Colonne123"/>
    <tableColumn id="138" xr3:uid="{BBFA38B0-8489-4FF4-B4F2-E6A18138B25C}" name="Colonne124"/>
    <tableColumn id="139" xr3:uid="{EE1051AD-DB28-4BA7-ACF6-D7EE2392ECCB}" name="Colonne125"/>
    <tableColumn id="140" xr3:uid="{44B533DA-BF9A-4933-854E-D8EA2C9C81EF}" name="Colonne126"/>
    <tableColumn id="141" xr3:uid="{E00FBCE8-977F-4444-8FA5-FF06331C3131}" name="Colonne127"/>
    <tableColumn id="142" xr3:uid="{1A08C153-692E-4F40-9B02-A0E905EF5AE3}" name="Colonne128"/>
    <tableColumn id="143" xr3:uid="{B8381408-D845-4EB5-8EF6-A07CFD12C5B0}" name="Colonne129"/>
    <tableColumn id="144" xr3:uid="{8A531783-AF51-4BC1-A1D1-C79A6DA79F6E}" name="Colonne130"/>
    <tableColumn id="145" xr3:uid="{2B8B7580-C478-45D3-8CEE-8B9EA4B0380D}" name="Colonne131"/>
    <tableColumn id="146" xr3:uid="{DD98D1FC-170B-4DE8-AA70-868F6288BC19}" name="Colonne132"/>
    <tableColumn id="147" xr3:uid="{E5B3ADDF-A254-4549-9D97-8055C0C3007B}" name="Colonne133"/>
    <tableColumn id="148" xr3:uid="{E356DD4D-707E-4C8C-810E-BB47FA15E229}" name="Colonne134"/>
    <tableColumn id="149" xr3:uid="{33594F5B-54C3-48A0-A413-83B55187A7F3}" name="Colonne135"/>
    <tableColumn id="150" xr3:uid="{47FC3B23-B10D-4B3C-B80C-EAE779749EBD}" name="Colonne136"/>
    <tableColumn id="151" xr3:uid="{2A5159EE-DA2B-4B79-A46C-436F23FFB830}" name="Colonne137"/>
    <tableColumn id="152" xr3:uid="{F454BF88-640C-4B7D-BC41-1F509E77D5DF}" name="Colonne138"/>
    <tableColumn id="153" xr3:uid="{C7ED9E22-F3D0-4C92-B0F0-CB013321D3E7}" name="Colonne139"/>
    <tableColumn id="154" xr3:uid="{0E51DB94-9C33-4E9C-B1F0-4BF214B4B301}" name="Colonne140"/>
    <tableColumn id="155" xr3:uid="{A480FE69-E775-4A2B-83FF-756B047BEC01}" name="Colonne141"/>
    <tableColumn id="156" xr3:uid="{69064534-B082-44E2-901F-43A81A5AE904}" name="Colonne142"/>
    <tableColumn id="157" xr3:uid="{BCEF9411-F4C8-45F3-8EC4-57AF4198BB0A}" name="Colonne143"/>
    <tableColumn id="158" xr3:uid="{DF8411EB-03C6-4F51-8D67-F291AC6422AD}" name="Colonne144"/>
    <tableColumn id="159" xr3:uid="{C24FA571-117B-4F3E-85E2-EE7B537514C2}" name="Colonne145"/>
    <tableColumn id="160" xr3:uid="{377BBD44-6420-43C0-958B-35A5F0AEDA20}" name="Colonne146"/>
    <tableColumn id="161" xr3:uid="{CF10FB13-89D3-451B-844B-CCB55F97A4F8}" name="Colonne147"/>
    <tableColumn id="162" xr3:uid="{53C3A9CC-A48A-4581-9089-109C34176A4A}" name="Colonne148"/>
    <tableColumn id="163" xr3:uid="{2D1DE0D4-E743-4B4B-B9D6-7CF49EDB2581}" name="Colonne149"/>
    <tableColumn id="164" xr3:uid="{25C61E48-CBE1-4A3C-A3B9-7800A565073A}" name="Colonne150"/>
    <tableColumn id="165" xr3:uid="{67E79CFE-DEED-4020-BE09-1E8C9FAF5C7C}" name="Colonne151"/>
    <tableColumn id="166" xr3:uid="{98D531DE-C7CF-4645-82B1-2404403C1E2B}" name="Colonne152"/>
    <tableColumn id="167" xr3:uid="{44080AD2-D4C9-430B-B8CE-76FD446DE14A}" name="Colonne153"/>
    <tableColumn id="168" xr3:uid="{097B2BC7-3CBE-4DA6-B1E4-69047A662F79}" name="Colonne154"/>
    <tableColumn id="169" xr3:uid="{BEFC81C0-99F2-48B4-B404-4186669B8DEB}" name="Colonne155"/>
    <tableColumn id="170" xr3:uid="{08D37769-E163-4B8B-8E20-E3AD6929DE54}" name="Colonne156"/>
    <tableColumn id="171" xr3:uid="{1E2392F9-5612-4179-BE81-28D62371CFC3}" name="Colonne157"/>
    <tableColumn id="172" xr3:uid="{2018B6F4-3981-49A6-B64D-2BEEDA1F112F}" name="Colonne158"/>
    <tableColumn id="173" xr3:uid="{6D18C4B7-0AFC-4D3B-B935-D02ADB927D67}" name="Colonne159"/>
    <tableColumn id="174" xr3:uid="{C57BBA3E-D3F5-4532-837E-2BA205E0C701}" name="Colonne160"/>
    <tableColumn id="175" xr3:uid="{364095F6-7246-4F5B-BE5A-CFDB00727954}" name="Colonne161"/>
    <tableColumn id="176" xr3:uid="{30CCB0EB-2AE3-408F-B132-EFCF79613563}" name="Colonne162"/>
    <tableColumn id="177" xr3:uid="{24FF249C-D550-49B7-9A2B-01C3988BA90B}" name="Colonne163"/>
    <tableColumn id="178" xr3:uid="{552D837F-A874-435F-9A3E-65BC7555D5C2}" name="Colonne164"/>
    <tableColumn id="179" xr3:uid="{157A3687-43A9-4A62-B459-2F3DA4F2F03D}" name="Colonne165"/>
    <tableColumn id="180" xr3:uid="{04BE937B-1C93-413F-B4B5-92B90CFF62B6}" name="Colonne166"/>
    <tableColumn id="181" xr3:uid="{DB69CD65-22D1-48C0-924F-8AD2A7550328}" name="Colonne167"/>
    <tableColumn id="182" xr3:uid="{E9610A41-CE5A-4AA4-A636-BE8D64E9DF04}" name="Colonne168"/>
    <tableColumn id="183" xr3:uid="{0B75DE17-6E2A-403C-A14D-B3DBA00F30AB}" name="Colonne169"/>
    <tableColumn id="184" xr3:uid="{B162E61F-A742-48C6-BABC-F91E11FFBE17}" name="Colonne170"/>
    <tableColumn id="185" xr3:uid="{20BDBF25-5220-4565-B4C8-A0B35E676758}" name="Colonne171"/>
    <tableColumn id="186" xr3:uid="{1529B989-93F7-4FFC-A284-1C9AF28DB0D4}" name="Colonne172"/>
    <tableColumn id="187" xr3:uid="{C09A206E-BF39-42B3-8353-EA294AC8E892}" name="Colonne173"/>
    <tableColumn id="188" xr3:uid="{0F0CBDE9-5CF4-400B-A39C-90E1AD90A0A4}" name="Colonne174"/>
    <tableColumn id="189" xr3:uid="{F28D6AD6-513A-46A0-BE98-F4CD608ECC8D}" name="Colonne175"/>
    <tableColumn id="190" xr3:uid="{1B13A32A-965C-4443-B601-17D246831040}" name="Colonne176"/>
    <tableColumn id="191" xr3:uid="{464DA2F7-6189-4C7F-B443-5E72BCF1DA9C}" name="Colonne177"/>
    <tableColumn id="192" xr3:uid="{7E8DBA86-C278-4B62-9B95-D6DB542B4762}" name="Colonne178"/>
    <tableColumn id="193" xr3:uid="{0CBC6435-2D51-4D68-A798-74EC5075BBA5}" name="Colonne179"/>
    <tableColumn id="194" xr3:uid="{DFD34AAB-C381-40CC-98C8-6D20FA7DAC45}" name="Colonne180"/>
    <tableColumn id="195" xr3:uid="{6109F065-7D55-43A8-A441-B6EB64E59E3B}" name="Colonne181"/>
    <tableColumn id="196" xr3:uid="{047374A4-592D-42A8-8FF0-DE09B2892156}" name="Colonne182"/>
    <tableColumn id="197" xr3:uid="{9A8BFCB7-D866-4741-8689-452A67AA88B5}" name="Colonne183"/>
    <tableColumn id="198" xr3:uid="{ADF174EC-F47E-45B8-9CD6-8ACCB5230060}" name="Colonne184"/>
    <tableColumn id="199" xr3:uid="{31DF1BC8-53C8-4F99-8ADC-539AED39F7C6}" name="Colonne185"/>
    <tableColumn id="200" xr3:uid="{FACE654B-F9EA-440D-8101-94903980089F}" name="Colonne186"/>
    <tableColumn id="201" xr3:uid="{BD36FC7D-137C-4B5C-BD75-47393379E6B9}" name="Colonne187"/>
    <tableColumn id="202" xr3:uid="{C45B2219-08EE-4AB5-BCF9-CFDE4A723830}" name="Colonne188"/>
    <tableColumn id="203" xr3:uid="{3C9020B4-2586-4C24-8BEE-DBE5E319D7D8}" name="Colonne189"/>
    <tableColumn id="204" xr3:uid="{6394341D-DD1A-4862-BE8C-1A99C77480A8}" name="Colonne190"/>
    <tableColumn id="205" xr3:uid="{4842CFD6-8904-4168-A11F-9A624F645DF4}" name="Colonne191"/>
    <tableColumn id="206" xr3:uid="{860214CB-2935-4B8B-95C0-87973FCA6287}" name="Colonne192"/>
    <tableColumn id="207" xr3:uid="{40D6F0DB-CD76-4E41-978D-9A46443DA711}" name="Colonne193"/>
    <tableColumn id="208" xr3:uid="{BD79062F-4D69-4994-A352-FCBDD5E0F88B}" name="Colonne194"/>
    <tableColumn id="209" xr3:uid="{6CEF4EA2-BDE2-4A7A-BC42-C117E05C1F18}" name="Colonne195"/>
    <tableColumn id="210" xr3:uid="{A08DEB25-083F-4DAB-8E78-9E641902412F}" name="Colonne196"/>
    <tableColumn id="211" xr3:uid="{9516A20C-4AFA-48ED-BE31-3874FEAE7264}" name="Colonne197"/>
    <tableColumn id="212" xr3:uid="{4DDBAD8A-2728-411D-B2D8-11CF72CF2996}" name="Colonne198"/>
    <tableColumn id="213" xr3:uid="{6B62D61C-D94B-4F38-BC94-53CBE7DA4004}" name="Colonne199"/>
    <tableColumn id="214" xr3:uid="{C53891AE-A514-4C16-A3EC-9C3EBDA3D746}" name="Colonne200"/>
    <tableColumn id="215" xr3:uid="{366B3C3F-B0C0-4EAA-B8F1-A2F14A79D7EA}" name="Colonne201"/>
    <tableColumn id="216" xr3:uid="{94D97539-37E8-4D84-B066-4521038DE20B}" name="Colonne202"/>
    <tableColumn id="217" xr3:uid="{33A7C16F-6489-4C7B-8C12-F81C30E00F8C}" name="Colonne203"/>
    <tableColumn id="218" xr3:uid="{4D8B5B1B-5F1D-4F88-A960-CFE89CFD714E}" name="Colonne204"/>
    <tableColumn id="219" xr3:uid="{79139FAA-03DA-4E44-9B69-82F9649749CC}" name="Colonne205"/>
    <tableColumn id="220" xr3:uid="{E76EFC9A-E33D-47D4-8878-A42A4BEA39BA}" name="Colonne206"/>
    <tableColumn id="221" xr3:uid="{9D19EE25-61DD-4778-A09A-817E3DF206D5}" name="Colonne207"/>
    <tableColumn id="222" xr3:uid="{7F97D8D4-F95D-4672-8504-AAC0EBA4F56D}" name="Colonne208"/>
    <tableColumn id="223" xr3:uid="{557F790F-9F76-4AC1-98B0-86C7E28BB443}" name="Colonne209"/>
    <tableColumn id="224" xr3:uid="{C4F2D548-CA98-4E25-81A6-DE4FDBB8F88C}" name="Colonne210"/>
    <tableColumn id="225" xr3:uid="{DD2ACC5D-0917-4684-A5A3-084619868B51}" name="Colonne211"/>
    <tableColumn id="226" xr3:uid="{18F62E04-88FB-411E-8299-D692F54FDDA8}" name="Colonne212"/>
    <tableColumn id="227" xr3:uid="{554D311D-6EEE-49C3-8107-8CFB04282663}" name="Colonne213"/>
    <tableColumn id="228" xr3:uid="{84707BBD-BB92-403E-B516-4BD98769B0BB}" name="Colonne214"/>
    <tableColumn id="229" xr3:uid="{9FA963B2-4A6A-4C9F-80F1-76866D0C6068}" name="Colonne215"/>
    <tableColumn id="230" xr3:uid="{D909E8BC-5595-4F26-93CA-EEBFD6E16FFC}" name="Colonne216"/>
    <tableColumn id="231" xr3:uid="{49BBC363-63E3-4B36-BEDA-E8A004BF9F78}" name="Colonne217"/>
    <tableColumn id="232" xr3:uid="{F74358D7-40FA-4E2D-A5E8-91E14A05482F}" name="Colonne218"/>
    <tableColumn id="233" xr3:uid="{A36D8F90-0D7E-4AFB-B1F9-E0CFE58199CC}" name="Colonne219"/>
    <tableColumn id="234" xr3:uid="{9E9117CB-C27E-4B87-B78B-FF7DD9113508}" name="Colonne220"/>
    <tableColumn id="235" xr3:uid="{DF019D8E-3C5F-470A-99DA-385D44573A1F}" name="Colonne221"/>
    <tableColumn id="236" xr3:uid="{E7D5E4C8-CF8C-45BC-B4DA-E68F965BB88C}" name="Colonne222"/>
    <tableColumn id="237" xr3:uid="{5796C496-A013-4A94-B454-3C52206B7DB7}" name="Colonne223"/>
    <tableColumn id="238" xr3:uid="{4C8A08EF-E807-47D7-93F0-118675B20161}" name="Colonne224"/>
    <tableColumn id="239" xr3:uid="{4353BC75-3862-4C0E-A106-1AD35E8C1784}" name="Colonne225"/>
    <tableColumn id="240" xr3:uid="{BF914F00-EA38-4DDC-A5DF-E87659E67CEB}" name="Colonne226"/>
    <tableColumn id="241" xr3:uid="{1110F9B7-6923-44F1-954A-2DCE685C7ED5}" name="Colonne227"/>
    <tableColumn id="242" xr3:uid="{87DC12D5-5228-49E4-A74B-A3449B0227FA}" name="Colonne228"/>
    <tableColumn id="243" xr3:uid="{0C2488D0-48A9-4406-9874-E43FA8122364}" name="Colonne229"/>
    <tableColumn id="244" xr3:uid="{7CBED84E-0AF9-48D1-BF1D-F0542F5937D9}" name="Colonne230"/>
    <tableColumn id="245" xr3:uid="{F888D127-12EF-434A-9FC3-9B48E308E1EF}" name="Colonne231"/>
    <tableColumn id="246" xr3:uid="{E46146C3-F485-4EE4-8F31-043FEA5A9D32}" name="Colonne232"/>
    <tableColumn id="247" xr3:uid="{AB35ED3E-9561-48C5-BD60-13BF42155A8F}" name="Colonne233"/>
    <tableColumn id="248" xr3:uid="{A35011F2-0C48-4ADD-A705-9882181ED83E}" name="Colonne234"/>
    <tableColumn id="249" xr3:uid="{EFC9840F-7EF1-46CC-9D85-9414EB0AA7FB}" name="Colonne235"/>
    <tableColumn id="250" xr3:uid="{FFD1C116-43E3-47E1-8420-53CA5B592C41}" name="Colonne236"/>
    <tableColumn id="251" xr3:uid="{1416E9AC-BDEF-4465-AE09-102E54680D12}" name="Colonne237"/>
    <tableColumn id="252" xr3:uid="{66B14376-BAAD-4076-B40D-1A0ABFB5A246}" name="Colonne238"/>
    <tableColumn id="253" xr3:uid="{C3C26DC3-A7F0-413A-8FE5-0D50D45B35C7}" name="Colonne239"/>
    <tableColumn id="254" xr3:uid="{2AC8D089-45CA-4AF3-B646-FC726DF339C7}" name="Colonne240"/>
    <tableColumn id="255" xr3:uid="{85775282-00E5-4ACF-BB03-8DF9DBD2EC29}" name="Colonne241"/>
    <tableColumn id="256" xr3:uid="{252D2129-5BA4-4D1E-8626-1EC901C830C3}" name="Colonne242"/>
    <tableColumn id="257" xr3:uid="{1DE3437B-9908-4B21-AFD6-DDF065E3B86D}" name="Colonne243"/>
    <tableColumn id="258" xr3:uid="{F783B4D6-BD46-43C9-8CFE-ED4B7509D278}" name="Colonne244"/>
    <tableColumn id="259" xr3:uid="{073FE96E-6D38-4D46-9D49-73134BA2BFCA}" name="Colonne245"/>
    <tableColumn id="260" xr3:uid="{2FFE3E4B-DFE7-4DB5-88D3-AA4B77BFDC04}" name="Colonne246"/>
    <tableColumn id="261" xr3:uid="{FA872533-AA4B-47BB-BD89-863B54D25193}" name="Colonne247"/>
    <tableColumn id="262" xr3:uid="{E81A6FB9-06CC-4C2D-8113-03887DA1ADE7}" name="Colonne248"/>
    <tableColumn id="263" xr3:uid="{17487981-6B8F-4906-A48B-EA7B0639C005}" name="Colonne249"/>
    <tableColumn id="264" xr3:uid="{7B4B055E-49A2-4F99-AF28-83D105830A3F}" name="Colonne250"/>
    <tableColumn id="265" xr3:uid="{037BD1B2-6243-46D3-AD06-160893DF4349}" name="Colonne251"/>
    <tableColumn id="266" xr3:uid="{731BB9EA-6B35-4B42-950F-FC2F391FBF04}" name="Colonne252"/>
    <tableColumn id="267" xr3:uid="{407F878C-67A2-4E5B-93B9-B04107A3E397}" name="Colonne253"/>
    <tableColumn id="268" xr3:uid="{727B0F0D-ACF0-4103-A86C-5AD5DF47C576}" name="Colonne254"/>
    <tableColumn id="269" xr3:uid="{8D155156-12B2-4DCE-9138-2D827AD6A1C9}" name="Colonne255"/>
    <tableColumn id="270" xr3:uid="{C79D2BE5-68AD-4093-A62F-769324ED1F1A}" name="Colonne256"/>
    <tableColumn id="271" xr3:uid="{67BCB1EF-2667-42DB-96E0-4380F5C6B31A}" name="Colonne257"/>
    <tableColumn id="272" xr3:uid="{CFDFB0BB-F961-4640-8140-DB626FAFA03D}" name="Colonne258"/>
    <tableColumn id="273" xr3:uid="{680958B1-13DA-41FE-8EA8-8A7544BA5498}" name="Colonne259"/>
    <tableColumn id="274" xr3:uid="{0BEA5123-A46F-4465-8FA1-87911A844452}" name="Colonne260"/>
    <tableColumn id="275" xr3:uid="{331F2978-3BA8-49C4-9847-FF9A2488B6BF}" name="Colonne261"/>
    <tableColumn id="276" xr3:uid="{E7D073DE-BB80-4A24-A7BD-40AAF53D7BAC}" name="Colonne262"/>
    <tableColumn id="277" xr3:uid="{E5BBB0B0-E74E-47AC-AB54-7BE58116738A}" name="Colonne263"/>
    <tableColumn id="278" xr3:uid="{B13492CB-FC04-4A35-BCC3-F6F134EA6156}" name="Colonne264"/>
    <tableColumn id="279" xr3:uid="{8932810F-7EF0-4A1C-A8C5-33141A585277}" name="Colonne265"/>
    <tableColumn id="280" xr3:uid="{3321DE18-D50A-455E-B983-CADA2D55564E}" name="Colonne266"/>
    <tableColumn id="281" xr3:uid="{AC726621-26AD-45AF-BEBA-ABD1DB01E912}" name="Colonne267"/>
    <tableColumn id="282" xr3:uid="{6F3C49A0-88EC-4D0B-BA88-5AF6DCAED137}" name="Colonne268"/>
    <tableColumn id="283" xr3:uid="{DB90E3F1-71FB-48C8-B3F6-1E829ECDB7D3}" name="Colonne269"/>
    <tableColumn id="284" xr3:uid="{08A867EF-E82C-44E9-AD3E-5FA867DB1C3C}" name="Colonne270"/>
    <tableColumn id="285" xr3:uid="{09E279FE-E6D3-4BF1-B70B-5B443FE7D760}" name="Colonne271"/>
    <tableColumn id="286" xr3:uid="{24A05BB7-1AA8-4C64-8A09-9684FFF42407}" name="Colonne272"/>
    <tableColumn id="287" xr3:uid="{BCA47ED8-D900-4231-9ACD-31FFA2D481C3}" name="Colonne273"/>
    <tableColumn id="288" xr3:uid="{06898694-641E-42A1-B4B5-5406062644E7}" name="Colonne274"/>
    <tableColumn id="289" xr3:uid="{3C4B2866-C4AA-483D-888F-1D150D7F37EC}" name="Colonne275"/>
    <tableColumn id="290" xr3:uid="{79983998-9CED-40D6-9FDB-A498490CBDC6}" name="Colonne276"/>
    <tableColumn id="291" xr3:uid="{5203DC35-79D8-4336-8B1C-A5693C5B6835}" name="Colonne277"/>
    <tableColumn id="292" xr3:uid="{50912245-8F63-4B48-898B-F9BD55D83392}" name="Colonne278"/>
    <tableColumn id="293" xr3:uid="{5112DB25-3034-4442-A1FE-445B5112EB9B}" name="Colonne279"/>
    <tableColumn id="294" xr3:uid="{47154303-CFC0-4AC5-AB25-D2D8EDF383D5}" name="Colonne280"/>
    <tableColumn id="295" xr3:uid="{738E85A2-994C-41FD-8E30-86802A1ACF4A}" name="Colonne281"/>
    <tableColumn id="296" xr3:uid="{503067FF-14D1-4804-BDDF-ABC16A0339F6}" name="Colonne282"/>
    <tableColumn id="297" xr3:uid="{5ACF2B1D-240C-451E-BF90-4CC1449EBA22}" name="Colonne283"/>
    <tableColumn id="298" xr3:uid="{977A8EA2-7A6B-4F4A-AABD-78D83C12BA8D}" name="Colonne284"/>
    <tableColumn id="299" xr3:uid="{BBF6E299-0126-40D4-B14F-C3ADF283B717}" name="Colonne285"/>
    <tableColumn id="300" xr3:uid="{4C5AA82B-E921-46C6-BFF6-0FA17ECE8998}" name="Colonne286"/>
    <tableColumn id="301" xr3:uid="{0AD0A9F3-D1D4-4975-BE8A-545CD96AAB6A}" name="Colonne287"/>
    <tableColumn id="302" xr3:uid="{845430DA-EC33-4A07-8756-7D85CD556ACE}" name="Colonne288"/>
    <tableColumn id="303" xr3:uid="{90765591-162F-4CB4-85A8-92B4249306E9}" name="Colonne289"/>
    <tableColumn id="304" xr3:uid="{B45E0815-52DE-401B-B375-77F48B843000}" name="Colonne290"/>
    <tableColumn id="305" xr3:uid="{4BCB46AA-2ACF-449E-A20A-1105DD9EE94E}" name="Colonne291"/>
    <tableColumn id="306" xr3:uid="{B7163D3E-3CDC-4CE4-BCE4-75FB9BFDF6B5}" name="Colonne292"/>
    <tableColumn id="307" xr3:uid="{38AA828F-4E03-41C9-B9C7-DBDFEC29009B}" name="Colonne293"/>
    <tableColumn id="308" xr3:uid="{E413926A-B652-48DC-8DC2-61CE91D1C158}" name="Colonne294"/>
    <tableColumn id="309" xr3:uid="{02808F92-3FE1-421E-B518-9999752C2CB0}" name="Colonne295"/>
    <tableColumn id="310" xr3:uid="{4863F396-05DC-4029-BB13-05C02A97CBA2}" name="Colonne296"/>
    <tableColumn id="311" xr3:uid="{E8B0C32B-B45F-4F91-A1B8-E2CE6E9A2244}" name="Colonne297"/>
    <tableColumn id="312" xr3:uid="{85D6302A-3F23-45C3-AC11-6D05FA7D3487}" name="Colonne298"/>
    <tableColumn id="313" xr3:uid="{33F11845-9630-4799-B402-32CFEE1239F2}" name="Colonne299"/>
    <tableColumn id="314" xr3:uid="{42A9EF1F-8B4B-4E48-9714-291560D13D03}" name="Colonne300"/>
    <tableColumn id="315" xr3:uid="{F53857DD-54D9-425A-8A6F-F9B30F5B8B11}" name="Colonne301"/>
    <tableColumn id="316" xr3:uid="{51D4B5F2-0684-4003-88CF-17C50F8E2C19}" name="Colonne302"/>
    <tableColumn id="317" xr3:uid="{29ADED73-B18E-4FA1-8142-01F9B524B893}" name="Colonne303"/>
    <tableColumn id="318" xr3:uid="{4A4FEE99-A7B8-44B6-AA95-E44435AE8580}" name="Colonne304"/>
    <tableColumn id="319" xr3:uid="{8BC197C8-91F0-4EA4-8D44-DC451B60CB65}" name="Colonne305" dataDxfId="2338"/>
    <tableColumn id="320" xr3:uid="{E3C8ACEA-A01E-4E82-8426-93F834495218}" name="Colonne306" dataDxfId="2337"/>
    <tableColumn id="321" xr3:uid="{48A5C1B7-236C-4721-81ED-578E287035A4}" name="Colonne307" dataDxfId="2336"/>
    <tableColumn id="322" xr3:uid="{8BF235D2-8928-4BCE-8E35-8D65DD290F36}" name="Colonne308" dataDxfId="2335"/>
    <tableColumn id="323" xr3:uid="{BD2ABFFA-7CE2-4BE9-9529-3CEEC2D337A6}" name="Colonne309" dataDxfId="2334"/>
    <tableColumn id="324" xr3:uid="{71FF2226-DF20-47D7-AA6F-2130766E7C18}" name="Colonne310" dataDxfId="2333"/>
    <tableColumn id="325" xr3:uid="{0CBC4776-370D-4241-A217-4F2D24B4A657}" name="Colonne311" dataDxfId="2332"/>
    <tableColumn id="326" xr3:uid="{3E7A0128-1E2A-455C-A8CF-39A5395CF998}" name="Colonne312" dataDxfId="2331"/>
    <tableColumn id="327" xr3:uid="{5AC9A687-024E-4DE9-8FD4-AB241B738611}" name="Colonne313" dataDxfId="2330"/>
    <tableColumn id="328" xr3:uid="{3AB9C4C2-7F86-4FD1-9001-649D12E6C5B3}" name="Colonne314" dataDxfId="2329"/>
    <tableColumn id="329" xr3:uid="{3D5C50F4-F0CE-4700-BE31-87075D2080B3}" name="Colonne315" dataDxfId="2328"/>
    <tableColumn id="330" xr3:uid="{D6701C06-5E5F-4D30-B836-EE77E1543DD1}" name="Colonne316" dataDxfId="2327"/>
    <tableColumn id="331" xr3:uid="{D748A754-72DD-4A13-91F0-A07D49DB3B74}" name="Colonne317" dataDxfId="2326"/>
    <tableColumn id="332" xr3:uid="{5BB151F8-25C3-4EED-8493-644A713595EE}" name="Colonne318" dataDxfId="2325"/>
    <tableColumn id="333" xr3:uid="{B794F9F5-169E-49E0-B0FF-74F5BAA9E39A}" name="Colonne319" dataDxfId="2324"/>
    <tableColumn id="334" xr3:uid="{0EDC3B59-20A8-438A-8A25-300CE8892942}" name="Colonne320" dataDxfId="2323"/>
    <tableColumn id="335" xr3:uid="{920C22E7-2CEC-451B-83C5-5AC213ECE716}" name="Colonne321" dataDxfId="2322"/>
    <tableColumn id="336" xr3:uid="{AFD8E387-4D70-4A30-90E6-3A145B5F3B35}" name="Colonne322" dataDxfId="2321"/>
    <tableColumn id="337" xr3:uid="{CB7CA710-D685-4B76-9E38-7F5ECEAF28F8}" name="Colonne323" dataDxfId="2320"/>
    <tableColumn id="338" xr3:uid="{A5020196-EDF5-4665-A0F7-E71AF0D6D79A}" name="Colonne324" dataDxfId="2319"/>
    <tableColumn id="339" xr3:uid="{24D6A14D-C853-4DA8-A20B-A980C99388A4}" name="Colonne325" dataDxfId="2318"/>
    <tableColumn id="340" xr3:uid="{82423ABC-04B1-4BD9-837D-1A563E5F9F29}" name="Colonne326" dataDxfId="2317"/>
    <tableColumn id="341" xr3:uid="{0796711C-A44D-44C0-BAAD-38D788F2C71D}" name="Colonne327" dataDxfId="2316"/>
    <tableColumn id="342" xr3:uid="{107B894B-0A17-4EBE-9710-C9AD27B53309}" name="Colonne328" dataDxfId="2315"/>
    <tableColumn id="343" xr3:uid="{172C27ED-4701-4FCA-A241-02B7DE54DE4A}" name="Colonne329" dataDxfId="2314"/>
    <tableColumn id="344" xr3:uid="{895DFC32-1EFE-4B40-B88B-EC1A18BE2FEF}" name="Colonne330" dataDxfId="2313"/>
    <tableColumn id="345" xr3:uid="{0B4A6C34-43B3-42D7-8486-45D6BA2470FD}" name="Colonne331" dataDxfId="2312"/>
    <tableColumn id="346" xr3:uid="{0B72AA38-B9D0-4269-B70D-4E3468F7A758}" name="Colonne332" dataDxfId="2311"/>
    <tableColumn id="347" xr3:uid="{CDE7B622-5EAB-4230-A9A6-E73E218DCF08}" name="Colonne333" dataDxfId="2310"/>
    <tableColumn id="348" xr3:uid="{40DAABC3-D1BE-42ED-B1AE-D3D2E99EEE9F}" name="Colonne334" dataDxfId="2309"/>
    <tableColumn id="349" xr3:uid="{84ADC7A0-AC53-4A99-8486-DA577701FF77}" name="Colonne335" dataDxfId="2308"/>
    <tableColumn id="350" xr3:uid="{443D74BB-A629-46AC-9DD3-3083B6DE9CC8}" name="Colonne336"/>
    <tableColumn id="351" xr3:uid="{B450D610-7429-49E0-A73A-B37646B99770}" name="Colonne337"/>
    <tableColumn id="352" xr3:uid="{AC6A2929-CD09-454D-97CC-9F2A1C403055}" name="Colonne338"/>
    <tableColumn id="353" xr3:uid="{732CCC27-488B-402A-BB51-5AB6707193CD}" name="Colonne339"/>
    <tableColumn id="354" xr3:uid="{DB9708AB-E888-4475-8A9C-1393BBDC1726}" name="Colonne340"/>
    <tableColumn id="355" xr3:uid="{FB101C0B-7C8C-440E-A067-D9546DF678BD}" name="Colonne341"/>
    <tableColumn id="356" xr3:uid="{29008CE7-0CDA-43AC-935F-43B736237FFA}" name="Colonne342"/>
    <tableColumn id="357" xr3:uid="{5F549AAB-DC06-44E6-B390-BFADA6FC2789}" name="Colonne343"/>
    <tableColumn id="358" xr3:uid="{0F67CA34-CB7C-4265-AF0E-E23273F372FD}" name="Colonne344"/>
    <tableColumn id="359" xr3:uid="{D7862C05-DC02-45DB-8A4D-906204412B80}" name="Colonne345"/>
    <tableColumn id="360" xr3:uid="{6B424A91-26CF-4FA3-86A3-51E21AD9B9D8}" name="Colonne346"/>
    <tableColumn id="361" xr3:uid="{647A4D45-DAA2-4DE3-9B8C-D5646A9DB7AF}" name="Colonne347"/>
    <tableColumn id="362" xr3:uid="{EEAF0C9C-7B99-41F2-95DD-EE05C51E6913}" name="Colonne348"/>
    <tableColumn id="363" xr3:uid="{00AF8A50-C3BE-48F8-A2B1-96338E6DF345}" name="Colonne349"/>
    <tableColumn id="364" xr3:uid="{D196F09B-1A5B-43DB-BD41-6B94340A513A}" name="Colonne350"/>
    <tableColumn id="365" xr3:uid="{DA99645F-0456-4443-A8B6-8F6D15A1A6FE}" name="Colonne351"/>
    <tableColumn id="366" xr3:uid="{390243CE-D31F-4CB5-BCE8-FA9EF4A79270}" name="Colonne352"/>
    <tableColumn id="367" xr3:uid="{7E333463-F1DE-4707-BBC4-8F7322D76B75}" name="Colonne353"/>
    <tableColumn id="368" xr3:uid="{27FB555B-23DA-48FC-9EB7-D7088B1034B1}" name="Colonne354"/>
    <tableColumn id="369" xr3:uid="{4986552B-D5EC-4939-B3A3-EF2EC1363FCD}" name="Colonne355"/>
    <tableColumn id="370" xr3:uid="{94FA770F-8DF2-4368-AA4C-910CDEFFC872}" name="Colonne356"/>
    <tableColumn id="371" xr3:uid="{933DC922-7CCE-4016-ADE0-E083A2D987D5}" name="Colonne357"/>
    <tableColumn id="372" xr3:uid="{C894DAA0-A265-41A5-9ED6-F5A9C2CEC353}" name="Colonne358"/>
    <tableColumn id="373" xr3:uid="{0DE8298A-D38B-4A3A-BFAC-B6F66EA4A015}" name="Colonne359"/>
    <tableColumn id="374" xr3:uid="{09C2E669-00CD-4AD9-AB7C-8C297E7AA9D5}" name="Colonne360"/>
    <tableColumn id="375" xr3:uid="{4F9566DF-7BDD-4E4B-858C-3CD89E200DAE}" name="Colonne361"/>
    <tableColumn id="376" xr3:uid="{9393EEAF-0C45-4085-AE7C-856FFFCA6F6E}" name="Colonne362"/>
    <tableColumn id="377" xr3:uid="{093DA506-ADC7-446D-AE68-9E096E74E8E5}" name="Colonne363"/>
    <tableColumn id="378" xr3:uid="{44D026C5-A0F4-44AC-B27A-F70ADA5C3692}" name="Colonne364"/>
    <tableColumn id="379" xr3:uid="{803D23D9-88D9-49DC-A246-B397887DC5AF}" name="Colonne365"/>
    <tableColumn id="419" xr3:uid="{927CE22F-784F-4A0F-B5D0-46302D2D59DB}" name="Colonne36540" dataDxfId="2307"/>
    <tableColumn id="418" xr3:uid="{7D39A462-41B6-45B3-B848-253E94F8D57B}" name="Colonne36539" dataDxfId="2306"/>
    <tableColumn id="417" xr3:uid="{DF0E0D91-F32C-4780-BC06-ECAB5ECAA43B}" name="Colonne36538" dataDxfId="2305"/>
    <tableColumn id="416" xr3:uid="{C17F313D-5C83-4482-A481-F948F3DB0469}" name="Colonne36537" dataDxfId="2304"/>
    <tableColumn id="415" xr3:uid="{99001175-D5B7-4E4E-9CD6-E08DE3638DAB}" name="Colonne36536" dataDxfId="2303"/>
    <tableColumn id="414" xr3:uid="{17D24B52-3CFF-44D0-BD2F-6B2EBD9263DF}" name="Colonne36535" dataDxfId="2302"/>
    <tableColumn id="413" xr3:uid="{25B0C337-C1C7-4E81-A5F5-C8B2FBCFF06D}" name="Colonne36534" dataDxfId="2301"/>
    <tableColumn id="412" xr3:uid="{6B9978D0-182A-49B4-B889-BA1459FE045C}" name="Colonne36533" dataDxfId="2300"/>
    <tableColumn id="411" xr3:uid="{3FBC2846-CEF6-4F61-A0E2-1A8D0CB545E1}" name="Colonne36532" dataDxfId="2299"/>
    <tableColumn id="410" xr3:uid="{6FFDAE22-C68C-46E8-96E3-1908266D227D}" name="Colonne36531" dataDxfId="2298"/>
    <tableColumn id="409" xr3:uid="{2FA19CD6-7579-4A9A-BD90-AFF270448968}" name="Colonne36530" dataDxfId="2297"/>
    <tableColumn id="408" xr3:uid="{29C9900C-4AF1-4B40-B7E8-C98EBBF7338F}" name="Colonne36529" dataDxfId="2296"/>
    <tableColumn id="407" xr3:uid="{24E0230B-B349-406F-8950-70022C4B5749}" name="Colonne36528" dataDxfId="2295"/>
    <tableColumn id="406" xr3:uid="{55E3D924-FA2B-487E-81E9-2DF0442F2C2A}" name="Colonne36527" dataDxfId="2294"/>
    <tableColumn id="405" xr3:uid="{C438969F-DC08-4DF5-AF46-486DE6D36544}" name="Colonne36526" dataDxfId="2293"/>
    <tableColumn id="404" xr3:uid="{F81F125B-ED38-4D97-B404-028BB096123B}" name="Colonne36525" dataDxfId="2292"/>
    <tableColumn id="403" xr3:uid="{39507A81-F964-4487-87F3-F4CF9809C951}" name="Colonne36524" dataDxfId="2291"/>
    <tableColumn id="402" xr3:uid="{7AD9F423-53BF-40A1-872D-D7E2037DFEC6}" name="Colonne36523" dataDxfId="2290"/>
    <tableColumn id="401" xr3:uid="{34F308A7-3FD1-4C91-8670-EC373404614D}" name="Colonne36522" dataDxfId="2289"/>
    <tableColumn id="400" xr3:uid="{5329A1A1-6D9C-43E3-BEF8-F44FB669E0FC}" name="Colonne36521" dataDxfId="2288"/>
    <tableColumn id="399" xr3:uid="{C2979DCE-DC9E-4317-B5D7-9828D38B2540}" name="Colonne36520" dataDxfId="2287"/>
    <tableColumn id="398" xr3:uid="{C3972691-B3DD-4F5B-AAB4-236AEA49D6F7}" name="Colonne36519" dataDxfId="2286"/>
    <tableColumn id="397" xr3:uid="{71F0AFAB-62CF-4A93-AE2E-757D9F032B73}" name="Colonne36518" dataDxfId="2285"/>
    <tableColumn id="396" xr3:uid="{83D8DE26-1018-408D-BFA0-D0B73425E1A7}" name="Colonne36517" dataDxfId="2284"/>
    <tableColumn id="395" xr3:uid="{7BDAE198-915F-45C3-98A5-C4C6A28FFB9B}" name="Colonne36516" dataDxfId="2283"/>
    <tableColumn id="394" xr3:uid="{F3033108-5D7C-4A75-AA35-6F504E00E02E}" name="Colonne36515" dataDxfId="2282"/>
    <tableColumn id="393" xr3:uid="{99C23958-7009-42B0-8C53-53484293A99B}" name="Colonne36514" dataDxfId="2281"/>
    <tableColumn id="392" xr3:uid="{5C5CE567-7D77-4AC5-9509-AF62B23D7FDC}" name="Colonne36513" dataDxfId="2280"/>
    <tableColumn id="391" xr3:uid="{FB691241-2F74-4953-B7F9-A6DB8274A4A6}" name="Colonne36512" dataDxfId="2279"/>
    <tableColumn id="390" xr3:uid="{D302CC9B-4B1B-4474-B8C5-6D812FAB65F3}" name="Colonne36511" dataDxfId="2278"/>
    <tableColumn id="389" xr3:uid="{CCFAC187-EFF0-4603-985C-F4FE60743E42}" name="Colonne36510" dataDxfId="2277"/>
    <tableColumn id="388" xr3:uid="{4861B6AF-1950-41DD-9615-42CB5F47C13C}" name="Colonne3659" dataDxfId="2276"/>
    <tableColumn id="387" xr3:uid="{0E163975-F24F-4A6F-A049-6E58B3DF614D}" name="Colonne3658" dataDxfId="2275"/>
    <tableColumn id="386" xr3:uid="{684D96CE-3FAC-464F-A2F6-B102EEBD87EA}" name="Colonne3657" dataDxfId="2274"/>
    <tableColumn id="385" xr3:uid="{7FFB77E6-67B0-44E5-9445-5F81F81E7DD9}" name="Colonne3656" dataDxfId="2273"/>
    <tableColumn id="384" xr3:uid="{5420BE7A-F598-4081-AFFC-B818D3E2309E}" name="Colonne3655" dataDxfId="2272"/>
    <tableColumn id="383" xr3:uid="{8DF9CC59-1E53-431D-B3C7-CDC02AC44A83}" name="Colonne3654" dataDxfId="2271"/>
    <tableColumn id="382" xr3:uid="{656BF9F7-0FC4-4029-85FC-C44ABEA86D6D}" name="Colonne3653" dataDxfId="2270"/>
    <tableColumn id="381" xr3:uid="{BC438EC5-0FCA-4B0A-8775-69628ECED260}" name="Colonne3652" dataDxfId="2269"/>
    <tableColumn id="380" xr3:uid="{672219F7-592B-4F1D-8B61-F6EA8BA71870}" name="Colonne366" dataDxfId="2268"/>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1962DB-A980-412A-B55B-914A75F6F16A}" name="PTSRKMINITOURNOI" displayName="PTSRKMINITOURNOI" ref="J92:N101" totalsRowShown="0">
  <autoFilter ref="J92:N101" xr:uid="{A31962DB-A980-412A-B55B-914A75F6F16A}"/>
  <tableColumns count="5">
    <tableColumn id="2" xr3:uid="{DC2BCBC5-0BB9-4E4D-BE00-3B84FE01F66D}" name="Clt"/>
    <tableColumn id="1" xr3:uid="{B53C0180-1D52-4F5C-B33C-1D15677AB405}" name="PR JDS 9"/>
    <tableColumn id="4" xr3:uid="{8D434FB0-78AE-47A6-AC42-FBCE4D232906}" name="PR JDS"/>
    <tableColumn id="5" xr3:uid="{07C1E653-3544-425D-8EEC-F4490F75464C}" name="PR 3B"/>
    <tableColumn id="6" xr3:uid="{1921544C-B9CA-4437-B1DC-E23985990FC7}" name="PR DISTRICT"/>
  </tableColumns>
  <tableStyleInfo name="TableStyleLight2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2C50846-29C8-4E7C-8237-5631F3139449}" name="PTSRKTOURNOI" displayName="PTSRKTOURNOI" ref="T92:V128" totalsRowShown="0">
  <autoFilter ref="T92:V128" xr:uid="{12C50846-29C8-4E7C-8237-5631F3139449}"/>
  <tableColumns count="3">
    <tableColumn id="1" xr3:uid="{8A203F6E-DAF0-4F8B-B9FA-E378BE52D763}" name="Clt"/>
    <tableColumn id="2" xr3:uid="{645F3F8F-689C-4DF3-9710-C4C9D9A3A361}" name="PR 3B"/>
    <tableColumn id="3" xr3:uid="{D1C031A7-DA58-461D-B966-730080C3C0F2}" name="PR DAMES "/>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0B37F00-01CB-4219-886F-3E441DB55E32}" name="Tableau13" displayName="Tableau13" ref="Y92:AC100" totalsRowShown="0" headerRowDxfId="2267" dataDxfId="2266" tableBorderDxfId="2265">
  <autoFilter ref="Y92:AC100" xr:uid="{70B37F00-01CB-4219-886F-3E441DB55E32}"/>
  <tableColumns count="5">
    <tableColumn id="1" xr3:uid="{CE80D977-F024-4689-B8F6-25A4B2A91D76}" name="Cat." dataDxfId="2264"/>
    <tableColumn id="2" xr3:uid="{5D9BBD41-0D7C-4B8D-8F48-3328663D02E7}" name="Libre" dataDxfId="2263"/>
    <tableColumn id="3" xr3:uid="{410C6C91-CA7F-4C7D-AEDB-98318065E886}" name="bande" dataDxfId="2262"/>
    <tableColumn id="4" xr3:uid="{ACC39806-E01D-4F0C-9A03-7F04660CF850}" name="Cadre" dataDxfId="2261"/>
    <tableColumn id="5" xr3:uid="{921D892A-59DC-441A-A407-ADE254753A91}" name="3 Bandes" dataDxfId="2260"/>
  </tableColumns>
  <tableStyleInfo name="TableStyleDark10"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mailto:abela.jean-louis@neuf.fr" TargetMode="External"/></Relationships>
</file>

<file path=xl/worksheets/_rels/sheet3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81B2-F96D-4DC2-BF03-86A10B3B864C}">
  <sheetPr>
    <tabColor rgb="FFC00000"/>
  </sheetPr>
  <dimension ref="A1:AI46"/>
  <sheetViews>
    <sheetView showGridLines="0" topLeftCell="A23" zoomScale="109" zoomScaleNormal="109" zoomScaleSheetLayoutView="122" workbookViewId="0">
      <selection activeCell="M44" sqref="M44:M46"/>
    </sheetView>
  </sheetViews>
  <sheetFormatPr baseColWidth="10" defaultColWidth="10.85546875" defaultRowHeight="15" x14ac:dyDescent="0.25"/>
  <cols>
    <col min="1" max="1" width="4.42578125" style="244" customWidth="1"/>
    <col min="2" max="2" width="11.85546875" style="244" bestFit="1" customWidth="1"/>
    <col min="3" max="4" width="17.5703125" style="244" customWidth="1"/>
    <col min="5" max="5" width="38.140625" style="244" bestFit="1" customWidth="1"/>
    <col min="6" max="6" width="13.42578125" style="244" bestFit="1" customWidth="1"/>
    <col min="7" max="7" width="13.28515625" style="244" bestFit="1" customWidth="1"/>
    <col min="8" max="8" width="8.7109375" style="244" customWidth="1"/>
    <col min="9" max="9" width="10.5703125" style="244" bestFit="1" customWidth="1"/>
    <col min="10" max="10" width="12.42578125" style="244" bestFit="1" customWidth="1"/>
    <col min="11" max="11" width="15" style="244" bestFit="1" customWidth="1"/>
    <col min="12" max="12" width="1" style="244" customWidth="1"/>
    <col min="13" max="13" width="15.140625" style="244" customWidth="1"/>
    <col min="14" max="14" width="1" style="244" customWidth="1"/>
    <col min="15" max="16" width="9.140625" style="244" hidden="1" customWidth="1"/>
    <col min="17" max="17" width="1.85546875" style="371" hidden="1" customWidth="1"/>
    <col min="18" max="18" width="14.7109375" style="244" hidden="1" customWidth="1"/>
    <col min="19" max="19" width="16.28515625" style="244" hidden="1" customWidth="1"/>
    <col min="20" max="21" width="10.85546875" style="244" hidden="1" customWidth="1"/>
    <col min="22" max="22" width="38.140625" style="244" hidden="1" customWidth="1"/>
    <col min="23" max="28" width="10.85546875" style="244" hidden="1" customWidth="1"/>
    <col min="29" max="32" width="3.85546875" style="244" hidden="1" customWidth="1"/>
    <col min="33" max="34" width="10.85546875" style="245" hidden="1" customWidth="1"/>
    <col min="35" max="35" width="10.85546875" style="244" hidden="1" customWidth="1"/>
    <col min="36" max="42" width="10.85546875" style="244" customWidth="1"/>
    <col min="43" max="16384" width="10.85546875" style="244"/>
  </cols>
  <sheetData>
    <row r="1" spans="1:35" ht="5.0999999999999996" customHeight="1" x14ac:dyDescent="0.25"/>
    <row r="2" spans="1:35" ht="46.5" x14ac:dyDescent="0.3">
      <c r="B2" s="371" t="e" vm="1">
        <v>#VALUE!</v>
      </c>
      <c r="C2" s="687" t="str">
        <f>IF(D8="Poules","Journée"&amp;" "&amp;F4&amp;" - "&amp;C4&amp;" "&amp;D4,IF(D8="Finale","Finale"&amp;" - "&amp;C4&amp;" "&amp;D4,IF(D8="Open","OPEN - "&amp;D4,D8&amp;" "&amp;F4&amp;" - "&amp;C4&amp;" "&amp;D4)))</f>
        <v>Journée 3 -  Libre R2</v>
      </c>
      <c r="D2" s="687"/>
      <c r="E2" s="687"/>
      <c r="F2" s="687"/>
      <c r="G2" s="687"/>
      <c r="H2" s="687"/>
      <c r="I2" s="687"/>
      <c r="J2" s="245" t="s">
        <v>8106</v>
      </c>
      <c r="K2" s="458">
        <v>45633</v>
      </c>
      <c r="M2" s="371" t="e" vm="1">
        <v>#VALUE!</v>
      </c>
    </row>
    <row r="3" spans="1:35" ht="5.0999999999999996" customHeight="1" thickBot="1" x14ac:dyDescent="0.3">
      <c r="C3" s="457"/>
      <c r="D3" s="457"/>
      <c r="E3" s="457"/>
      <c r="F3" s="457"/>
      <c r="G3" s="457"/>
      <c r="H3" s="457"/>
      <c r="I3" s="457"/>
      <c r="J3" s="245"/>
      <c r="K3" s="459"/>
    </row>
    <row r="4" spans="1:35" ht="19.5" thickBot="1" x14ac:dyDescent="0.3">
      <c r="B4" s="693" t="s">
        <v>8508</v>
      </c>
      <c r="C4" s="694"/>
      <c r="D4" s="461" t="s">
        <v>11538</v>
      </c>
      <c r="E4" s="462" t="s">
        <v>8509</v>
      </c>
      <c r="F4" s="461">
        <v>3</v>
      </c>
      <c r="G4" s="700" t="s">
        <v>5452</v>
      </c>
      <c r="H4" s="701"/>
      <c r="I4" s="463">
        <f>IF($D$8="Open","Hcp",IF(MAX(Distances!C85:KQ85)=0,"",MAX(Distances!C85:KQ85)))</f>
        <v>100</v>
      </c>
      <c r="J4" s="460" t="s">
        <v>5496</v>
      </c>
      <c r="K4" s="463">
        <f>IFERROR(IF($D$8="Open","Sans limitation",MAX(Distances!B86:KQ86)),"")</f>
        <v>40</v>
      </c>
    </row>
    <row r="5" spans="1:35" ht="23.25" x14ac:dyDescent="0.35">
      <c r="B5" s="688" t="s">
        <v>7073</v>
      </c>
      <c r="C5" s="689"/>
      <c r="D5" s="689"/>
      <c r="E5" s="690"/>
      <c r="F5" s="688" t="s">
        <v>8107</v>
      </c>
      <c r="G5" s="689"/>
      <c r="H5" s="689"/>
      <c r="I5" s="689"/>
      <c r="J5" s="689"/>
      <c r="K5" s="690"/>
      <c r="M5" s="682" t="s">
        <v>8128</v>
      </c>
    </row>
    <row r="6" spans="1:35" ht="19.5" thickBot="1" x14ac:dyDescent="0.3">
      <c r="B6" s="695" t="s">
        <v>11541</v>
      </c>
      <c r="C6" s="696"/>
      <c r="D6" s="696"/>
      <c r="E6" s="697"/>
      <c r="F6" s="464" t="s">
        <v>2869</v>
      </c>
      <c r="G6" s="698" t="str">
        <f>IFERROR(VLOOKUP($F$6,Tableau7[[Licence]:[Nom]],7,FALSE),"")</f>
        <v>LEMONIER</v>
      </c>
      <c r="H6" s="698"/>
      <c r="I6" s="698"/>
      <c r="J6" s="698" t="str">
        <f>IFERROR(VLOOKUP($F$6,Tableau7[[Licence]:[Nom]],6,FALSE),"")</f>
        <v>THIERY</v>
      </c>
      <c r="K6" s="699"/>
      <c r="M6" s="683"/>
      <c r="AE6" s="244" t="s">
        <v>5031</v>
      </c>
    </row>
    <row r="7" spans="1:35" ht="5.0999999999999996" customHeight="1" x14ac:dyDescent="0.25">
      <c r="B7" s="465"/>
      <c r="C7" s="465"/>
      <c r="D7" s="465"/>
      <c r="E7" s="465"/>
      <c r="F7" s="465"/>
      <c r="G7" s="465"/>
      <c r="H7" s="465"/>
      <c r="I7" s="465"/>
      <c r="J7" s="465"/>
      <c r="K7" s="465"/>
    </row>
    <row r="8" spans="1:35" ht="24" thickBot="1" x14ac:dyDescent="0.3">
      <c r="B8" s="691" t="s">
        <v>8108</v>
      </c>
      <c r="C8" s="691"/>
      <c r="D8" s="466" t="s">
        <v>11539</v>
      </c>
      <c r="E8" s="467" t="s">
        <v>8123</v>
      </c>
      <c r="F8" s="702" t="b">
        <v>1</v>
      </c>
      <c r="G8" s="702"/>
      <c r="H8" s="692" t="s">
        <v>8109</v>
      </c>
      <c r="I8" s="692"/>
      <c r="J8" s="692"/>
      <c r="K8" s="466">
        <v>3</v>
      </c>
      <c r="S8" s="468" t="s">
        <v>8122</v>
      </c>
      <c r="T8" s="225">
        <f>IF(F8=FALSE,ROUNDUP(MAX($A$11:$A$46)/K8,0),ROUNDUP(MAX($R$11:$R$46)/K8,0))</f>
        <v>4</v>
      </c>
      <c r="W8" s="244">
        <f>_xlfn.XLOOKUP($D$4,Distances[Mode de jeu et cat.],Distances[format],"",0,1)</f>
        <v>2.8</v>
      </c>
      <c r="X8" s="244" t="str">
        <f>_xlfn.XLOOKUP($D$4,Distances[Mode de jeu et cat.],Distances[mode],"",0,1)</f>
        <v>Libre</v>
      </c>
      <c r="Y8" s="244" t="str">
        <f>_xlfn.XLOOKUP($D$4,Distances[Mode de jeu et cat.],Distances[Gest. ],"",0,1)</f>
        <v>D</v>
      </c>
      <c r="Z8" s="244" t="str">
        <f>X8&amp;Y8</f>
        <v>LibreD</v>
      </c>
    </row>
    <row r="9" spans="1:35" ht="26.25" x14ac:dyDescent="0.4">
      <c r="B9" s="703" t="s">
        <v>8110</v>
      </c>
      <c r="C9" s="703"/>
      <c r="D9" s="703"/>
      <c r="E9" s="703"/>
      <c r="F9" s="703"/>
      <c r="G9" s="703"/>
      <c r="H9" s="703"/>
      <c r="I9" s="703"/>
      <c r="J9" s="703"/>
      <c r="K9" s="703"/>
      <c r="M9" s="684" t="s">
        <v>8129</v>
      </c>
    </row>
    <row r="10" spans="1:35" x14ac:dyDescent="0.25">
      <c r="B10" s="469" t="s">
        <v>21</v>
      </c>
      <c r="C10" s="470" t="s">
        <v>8</v>
      </c>
      <c r="D10" s="470" t="s">
        <v>8111</v>
      </c>
      <c r="E10" s="470" t="s">
        <v>10</v>
      </c>
      <c r="F10" s="470" t="s">
        <v>5512</v>
      </c>
      <c r="G10" s="469" t="s">
        <v>9867</v>
      </c>
      <c r="H10" s="469" t="s">
        <v>5</v>
      </c>
      <c r="I10" s="469" t="s">
        <v>5527</v>
      </c>
      <c r="J10" s="469" t="s">
        <v>8112</v>
      </c>
      <c r="K10" s="469" t="s">
        <v>5519</v>
      </c>
      <c r="M10" s="685"/>
      <c r="R10" s="681" t="s">
        <v>8127</v>
      </c>
      <c r="S10" s="681"/>
      <c r="T10" s="681"/>
      <c r="U10" s="681"/>
      <c r="V10" s="681"/>
      <c r="W10" s="681"/>
      <c r="X10" s="681"/>
      <c r="Y10" s="681"/>
      <c r="Z10" s="681"/>
      <c r="AA10" s="681"/>
      <c r="AB10" s="681"/>
      <c r="AC10" s="680" t="s">
        <v>8126</v>
      </c>
      <c r="AD10" s="680"/>
      <c r="AE10" s="680"/>
      <c r="AF10" s="680"/>
      <c r="AG10" s="680"/>
      <c r="AH10" s="680"/>
      <c r="AI10" s="680"/>
    </row>
    <row r="11" spans="1:35" ht="14.45" customHeight="1" x14ac:dyDescent="0.25">
      <c r="A11" s="471">
        <f>IF(Tableau19[[#This Row],[Licence]]&lt;&gt;"",A10+1,A10)</f>
        <v>1</v>
      </c>
      <c r="B11" s="472" t="s">
        <v>2866</v>
      </c>
      <c r="C11" s="32" t="str">
        <f>IFERROR(VLOOKUP(Tableau19[[#This Row],[Licence]],Tableau7[[Licence]:[Nom]],7,FALSE),"")</f>
        <v>PONCE</v>
      </c>
      <c r="D11" s="32" t="str">
        <f>IFERROR(VLOOKUP(Tableau19[[#This Row],[Licence]],Tableau7[[Licence]:[Nom]],6,FALSE),"")</f>
        <v>FREDERIC</v>
      </c>
      <c r="E11" s="32" t="str">
        <f>IFERROR(VLOOKUP(Tableau19[[#This Row],[Licence]],Tableau7[[Licence]:[Nom]],5,FALSE),"")</f>
        <v>ACADEMIE DE BILLARD DE MAISONS ALFORT</v>
      </c>
      <c r="F11"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11" s="473"/>
      <c r="H11" s="541">
        <v>1</v>
      </c>
      <c r="I11" s="472"/>
      <c r="J11" s="519"/>
      <c r="K11" s="474" t="b">
        <v>0</v>
      </c>
      <c r="M11" s="704" t="str">
        <f>IF('GESTION DES JOUEURS'!$D$8="Finale","Poule Finale","Poule A")</f>
        <v>Poule A</v>
      </c>
      <c r="O11" s="371" t="str">
        <f>TRIM(IF(Tableau19[[#This Row],[Catégorie]]="NC",Tableau19[[#This Row],[Cat. si NC]],IF(LEFT(Tableau19[[#This Row],[Catégorie]],1)="M","Masters",LEFT(Tableau19[[#This Row],[Catégorie]],2))))</f>
        <v>R2</v>
      </c>
      <c r="P11" s="371"/>
      <c r="Q11" s="371">
        <f>IF(O11="Masters",1,IF(O11="N1",2,IF(O11="N2",3,IF(O11="N3",4,IF(O11="R1",5,IF(O11="R2",6,IF(O11="R3",7,IF(O11="R4",8,""))))))))</f>
        <v>6</v>
      </c>
      <c r="R11" s="475">
        <v>1</v>
      </c>
      <c r="S11" s="475" t="str" cm="1">
        <f t="array" ref="S11:AB46">_xlfn.SORTBY(Tableau19[],Tableau19[Forfait],1,Tableau19[Clt],1,Tableau19[Pts Rk],-1,Tableau19[Moy Gén],-1)</f>
        <v>154178K</v>
      </c>
      <c r="T11" s="475" t="str">
        <v>PONCE</v>
      </c>
      <c r="U11" s="475" t="str">
        <v>FREDERIC</v>
      </c>
      <c r="V11" s="475" t="str">
        <v>ACADEMIE DE BILLARD DE MAISONS ALFORT</v>
      </c>
      <c r="W11" s="475" t="str">
        <v>R2</v>
      </c>
      <c r="X11" s="475">
        <v>0</v>
      </c>
      <c r="Y11" s="475">
        <v>1</v>
      </c>
      <c r="Z11" s="475">
        <v>0</v>
      </c>
      <c r="AA11" s="475">
        <v>0</v>
      </c>
      <c r="AB11" s="475" t="b">
        <v>0</v>
      </c>
      <c r="AC11" s="168">
        <v>1</v>
      </c>
      <c r="AD11" s="223" t="str">
        <f>IF(AC11=1,"A",IF(AC11=2,"B",IF(AC11=3,"C",IF(AC11=4,"D",IF(AC11=5,"E",IF(AC11=6,"F",IF(AC11=7,"G",IF(AC11=8,"H",IF(AC11=9,"I",IF(AC11=10,"J",IF(AC11=11,"K",IF(AC11=12,"L"))))))))))))</f>
        <v>A</v>
      </c>
      <c r="AE11" s="168">
        <f>IF(AND($K$8=2,AE10=2),1,IF(AND($K$8=3,AE10=3),1,IF(AND($K$8=4,AE10=4),1,IF(AND($K$8=5,AE10=5),1,IF(AND($K$8=6,AE10=6),1,AE10+1)))))</f>
        <v>1</v>
      </c>
      <c r="AF11" s="168">
        <v>1</v>
      </c>
      <c r="AG11" s="476" t="str">
        <f>AD11&amp;AE11</f>
        <v>A1</v>
      </c>
      <c r="AH11" s="476" t="str">
        <f>IFERROR(IF($F$8=FALSE,Tableau19[[#This Row],[Licence]],IF(AND($F$8=TRUE,$K$8=6),VLOOKUP(VLOOKUP($T$8,'Répartition des poules'!$B$44:$AL$49,AF11+1,FALSE),'GESTION DES JOUEURS'!$R$11:$AB$46,2,FALSE),IF(AND($F$8=TRUE,$K$8=5),VLOOKUP(VLOOKUP($T$8,'Répartition des poules'!$B$36:$AK$42,AF11+1,FALSE),'GESTION DES JOUEURS'!$R$11:$AB$46,2,FALSE),IF(AND($F$8=TRUE,$K$8=4),VLOOKUP(VLOOKUP($T$8,'Répartition des poules'!$B$26:$AL$34,AF11+1,FALSE),'GESTION DES JOUEURS'!$R$11:$AB$46,2,FALSE),IF(AND($F$8=TRUE,$K$8=3),VLOOKUP(VLOOKUP($T$8,'Répartition des poules'!$B$13:$AL$24,AF11+1,FALSE),'GESTION DES JOUEURS'!$R$11:$AB$46,2,FALSE),IF(AND($F$8=TRUE,$K$8=2),VLOOKUP(VLOOKUP($T$8,'Répartition des poules'!$B$2:$AL$11,AF11+1,FALSE),'GESTION DES JOUEURS'!$R$11:$AB$46,2,FALSE),IF(A11="","",B11))))))),"")</f>
        <v>154178K</v>
      </c>
      <c r="AI11" s="168" t="str">
        <f>IF(AH11=0,"",AH11)</f>
        <v>154178K</v>
      </c>
    </row>
    <row r="12" spans="1:35" ht="14.45" customHeight="1" x14ac:dyDescent="0.25">
      <c r="A12" s="471">
        <f>IF(Tableau19[[#This Row],[Licence]]&lt;&gt;"",A11+1,A11)</f>
        <v>2</v>
      </c>
      <c r="B12" s="472" t="s">
        <v>3065</v>
      </c>
      <c r="C12" s="32" t="str">
        <f>IFERROR(VLOOKUP(Tableau19[[#This Row],[Licence]],Tableau7[[Licence]:[Nom]],7,FALSE),"")</f>
        <v>PIBOURDIN</v>
      </c>
      <c r="D12" s="32" t="str">
        <f>IFERROR(VLOOKUP(Tableau19[[#This Row],[Licence]],Tableau7[[Licence]:[Nom]],6,FALSE),"")</f>
        <v>ERIC</v>
      </c>
      <c r="E12" s="32" t="str">
        <f>IFERROR(VLOOKUP(Tableau19[[#This Row],[Licence]],Tableau7[[Licence]:[Nom]],5,FALSE),"")</f>
        <v>ACADEMIE DE BILLARD DE MAISONS ALFORT</v>
      </c>
      <c r="F12"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 </v>
      </c>
      <c r="G12" s="473"/>
      <c r="H12" s="541">
        <v>8</v>
      </c>
      <c r="I12" s="472"/>
      <c r="J12" s="519"/>
      <c r="K12" s="474" t="b">
        <v>0</v>
      </c>
      <c r="M12" s="704"/>
      <c r="O12" s="371" t="str">
        <f>TRIM(IF(Tableau19[[#This Row],[Catégorie]]="NC",Tableau19[[#This Row],[Cat. si NC]],IF(LEFT(Tableau19[[#This Row],[Catégorie]],1)="M","Masters",LEFT(Tableau19[[#This Row],[Catégorie]],2))))</f>
        <v>R2</v>
      </c>
      <c r="P12" s="371"/>
      <c r="Q12" s="371">
        <f t="shared" ref="Q12:Q46" si="0">IF(O12="Masters",1,IF(O12="N1",2,IF(O12="N2",3,IF(O12="N3",4,IF(O12="R1",5,IF(O12="R2",6,IF(O12="R3",7,IF(O12="R4",8,""))))))))</f>
        <v>6</v>
      </c>
      <c r="R12" s="475">
        <f>IF(AND(S12&lt;&gt;0,AB12=FALSE),R11+1,R11)</f>
        <v>2</v>
      </c>
      <c r="S12" s="475" t="str">
        <v>183133H</v>
      </c>
      <c r="T12" s="475" t="str">
        <v>ROCHE</v>
      </c>
      <c r="U12" s="475" t="str">
        <v>PATRICK</v>
      </c>
      <c r="V12" s="475" t="str">
        <v>BILLARD CLUB DE LIVRY GARGAN</v>
      </c>
      <c r="W12" s="475" t="str">
        <v>NC</v>
      </c>
      <c r="X12" s="475">
        <v>0</v>
      </c>
      <c r="Y12" s="475">
        <v>2</v>
      </c>
      <c r="Z12" s="475">
        <v>0</v>
      </c>
      <c r="AA12" s="475">
        <v>0</v>
      </c>
      <c r="AB12" s="475" t="b">
        <v>0</v>
      </c>
      <c r="AC12" s="168">
        <f>IF(AE12=1,AC11+1,AC11)</f>
        <v>1</v>
      </c>
      <c r="AD12" s="223" t="str">
        <f t="shared" ref="AD12:AD46" si="1">IF(AC12=1,"A",IF(AC12=2,"B",IF(AC12=3,"C",IF(AC12=4,"D",IF(AC12=5,"E",IF(AC12=6,"F",IF(AC12=7,"G",IF(AC12=8,"H",IF(AC12=9,"I",IF(AC12=10,"J",IF(AC12=11,"K",IF(AC12=12,"L"))))))))))))</f>
        <v>A</v>
      </c>
      <c r="AE12" s="168">
        <f t="shared" ref="AE12:AE46" si="2">IF(AND($K$8=2,AE11=2),1,IF(AND($K$8=3,AE11=3),1,IF(AND($K$8=4,AE11=4),1,IF(AND($K$8=5,AE11=5),1,IF(AND($K$8=6,AE11=6),1,AE11+1)))))</f>
        <v>2</v>
      </c>
      <c r="AF12" s="168">
        <v>2</v>
      </c>
      <c r="AG12" s="476" t="str">
        <f t="shared" ref="AG12:AG46" si="3">AD12&amp;AE12</f>
        <v>A2</v>
      </c>
      <c r="AH12" s="476" t="str">
        <f>IFERROR(IF($F$8=FALSE,Tableau19[[#This Row],[Licence]],IF(AND($F$8=TRUE,$K$8=6),VLOOKUP(VLOOKUP($T$8,'Répartition des poules'!$B$44:$AL$49,AF12+1,FALSE),'GESTION DES JOUEURS'!$R$11:$AB$46,2,FALSE),IF(AND($F$8=TRUE,$K$8=5),VLOOKUP(VLOOKUP($T$8,'Répartition des poules'!$B$36:$AK$42,AF12+1,FALSE),'GESTION DES JOUEURS'!$R$11:$AB$46,2,FALSE),IF(AND($F$8=TRUE,$K$8=4),VLOOKUP(VLOOKUP($T$8,'Répartition des poules'!$B$26:$AL$34,AF12+1,FALSE),'GESTION DES JOUEURS'!$R$11:$AB$46,2,FALSE),IF(AND($F$8=TRUE,$K$8=3),VLOOKUP(VLOOKUP($T$8,'Répartition des poules'!$B$13:$AL$24,AF12+1,FALSE),'GESTION DES JOUEURS'!$R$11:$AB$46,2,FALSE),IF(AND($F$8=TRUE,$K$8=2),VLOOKUP(VLOOKUP($T$8,'Répartition des poules'!$B$2:$AL$11,AF12+1,FALSE),'GESTION DES JOUEURS'!$R$11:$AB$46,2,FALSE),IF(A12="","",B12))))))),"")</f>
        <v>157535J</v>
      </c>
      <c r="AI12" s="168" t="str">
        <f t="shared" ref="AI12:AI46" si="4">IF(AH12=0,"",AH12)</f>
        <v>157535J</v>
      </c>
    </row>
    <row r="13" spans="1:35" ht="14.45" customHeight="1" x14ac:dyDescent="0.25">
      <c r="A13" s="471">
        <f>IF(Tableau19[[#This Row],[Licence]]&lt;&gt;"",A12+1,A12)</f>
        <v>3</v>
      </c>
      <c r="B13" s="472" t="s">
        <v>11540</v>
      </c>
      <c r="C13" s="32" t="str">
        <f>IFERROR(VLOOKUP(Tableau19[[#This Row],[Licence]],Tableau7[[Licence]:[Nom]],7,FALSE),"")</f>
        <v>HANSEL</v>
      </c>
      <c r="D13" s="32" t="str">
        <f>IFERROR(VLOOKUP(Tableau19[[#This Row],[Licence]],Tableau7[[Licence]:[Nom]],6,FALSE),"")</f>
        <v>GERARD</v>
      </c>
      <c r="E13" s="32" t="str">
        <f>IFERROR(VLOOKUP(Tableau19[[#This Row],[Licence]],Tableau7[[Licence]:[Nom]],5,FALSE),"")</f>
        <v>ACADEMIE DE BILLARD DE MAISONS ALFORT</v>
      </c>
      <c r="F13"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 </v>
      </c>
      <c r="G13" s="473"/>
      <c r="H13" s="541">
        <v>10</v>
      </c>
      <c r="I13" s="472"/>
      <c r="J13" s="519"/>
      <c r="K13" s="474" t="b">
        <v>0</v>
      </c>
      <c r="M13" s="705" t="s">
        <v>8113</v>
      </c>
      <c r="O13" s="371" t="str">
        <f>TRIM(IF(Tableau19[[#This Row],[Catégorie]]="NC",Tableau19[[#This Row],[Cat. si NC]],IF(LEFT(Tableau19[[#This Row],[Catégorie]],1)="M","Masters",LEFT(Tableau19[[#This Row],[Catégorie]],2))))</f>
        <v>R2</v>
      </c>
      <c r="P13" s="371"/>
      <c r="Q13" s="371">
        <f t="shared" si="0"/>
        <v>6</v>
      </c>
      <c r="R13" s="475">
        <f t="shared" ref="R13:R46" si="5">IF(AND(S13&lt;&gt;0,AB13=FALSE),R12+1,R12)</f>
        <v>3</v>
      </c>
      <c r="S13" s="475" t="str">
        <v>111337F</v>
      </c>
      <c r="T13" s="475" t="str">
        <v>GONTHIER</v>
      </c>
      <c r="U13" s="475" t="str">
        <v>ARNAUD</v>
      </c>
      <c r="V13" s="475" t="str">
        <v>ASS. BILLARD AMATEUR DE SAINT MAUR</v>
      </c>
      <c r="W13" s="475" t="str">
        <v>R2</v>
      </c>
      <c r="X13" s="475">
        <v>0</v>
      </c>
      <c r="Y13" s="475">
        <v>3</v>
      </c>
      <c r="Z13" s="475">
        <v>0</v>
      </c>
      <c r="AA13" s="475">
        <v>0</v>
      </c>
      <c r="AB13" s="475" t="b">
        <v>0</v>
      </c>
      <c r="AC13" s="168">
        <f t="shared" ref="AC13:AC46" si="6">IF(AE13=1,AC12+1,AC12)</f>
        <v>1</v>
      </c>
      <c r="AD13" s="223" t="str">
        <f t="shared" si="1"/>
        <v>A</v>
      </c>
      <c r="AE13" s="168">
        <f t="shared" si="2"/>
        <v>3</v>
      </c>
      <c r="AF13" s="168">
        <v>3</v>
      </c>
      <c r="AG13" s="476" t="str">
        <f t="shared" si="3"/>
        <v>A3</v>
      </c>
      <c r="AH13" s="476" t="str">
        <f>IFERROR(IF($F$8=FALSE,Tableau19[[#This Row],[Licence]],IF(AND($F$8=TRUE,$K$8=6),VLOOKUP(VLOOKUP($T$8,'Répartition des poules'!$B$44:$AL$49,AF13+1,FALSE),'GESTION DES JOUEURS'!$R$11:$AB$46,2,FALSE),IF(AND($F$8=TRUE,$K$8=5),VLOOKUP(VLOOKUP($T$8,'Répartition des poules'!$B$36:$AK$42,AF13+1,FALSE),'GESTION DES JOUEURS'!$R$11:$AB$46,2,FALSE),IF(AND($F$8=TRUE,$K$8=4),VLOOKUP(VLOOKUP($T$8,'Répartition des poules'!$B$26:$AL$34,AF13+1,FALSE),'GESTION DES JOUEURS'!$R$11:$AB$46,2,FALSE),IF(AND($F$8=TRUE,$K$8=3),VLOOKUP(VLOOKUP($T$8,'Répartition des poules'!$B$13:$AL$24,AF13+1,FALSE),'GESTION DES JOUEURS'!$R$11:$AB$46,2,FALSE),IF(AND($F$8=TRUE,$K$8=2),VLOOKUP(VLOOKUP($T$8,'Répartition des poules'!$B$2:$AL$11,AF13+1,FALSE),'GESTION DES JOUEURS'!$R$11:$AB$46,2,FALSE),IF(A13="","",B13))))))),"")</f>
        <v>013335x</v>
      </c>
      <c r="AI13" s="168" t="str">
        <f t="shared" si="4"/>
        <v>013335x</v>
      </c>
    </row>
    <row r="14" spans="1:35" ht="14.45" customHeight="1" x14ac:dyDescent="0.25">
      <c r="A14" s="471">
        <f>IF(Tableau19[[#This Row],[Licence]]&lt;&gt;"",A13+1,A13)</f>
        <v>4</v>
      </c>
      <c r="B14" s="472" t="s">
        <v>4903</v>
      </c>
      <c r="C14" s="32" t="str">
        <f>IFERROR(VLOOKUP(Tableau19[[#This Row],[Licence]],Tableau7[[Licence]:[Nom]],7,FALSE),"")</f>
        <v>ROCHE</v>
      </c>
      <c r="D14" s="32" t="str">
        <f>IFERROR(VLOOKUP(Tableau19[[#This Row],[Licence]],Tableau7[[Licence]:[Nom]],6,FALSE),"")</f>
        <v>PATRICK</v>
      </c>
      <c r="E14" s="32" t="str">
        <f>IFERROR(VLOOKUP(Tableau19[[#This Row],[Licence]],Tableau7[[Licence]:[Nom]],5,FALSE),"")</f>
        <v>BILLARD CLUB DE LIVRY GARGAN</v>
      </c>
      <c r="F14"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NC</v>
      </c>
      <c r="G14" s="473"/>
      <c r="H14" s="541">
        <v>2</v>
      </c>
      <c r="I14" s="472"/>
      <c r="J14" s="519"/>
      <c r="K14" s="474" t="b">
        <v>0</v>
      </c>
      <c r="M14" s="705"/>
      <c r="O14" s="371" t="str">
        <f>TRIM(IF(Tableau19[[#This Row],[Catégorie]]="NC",Tableau19[[#This Row],[Cat. si NC]],IF(LEFT(Tableau19[[#This Row],[Catégorie]],1)="M","Masters",LEFT(Tableau19[[#This Row],[Catégorie]],2))))</f>
        <v/>
      </c>
      <c r="P14" s="371"/>
      <c r="Q14" s="371" t="str">
        <f t="shared" si="0"/>
        <v/>
      </c>
      <c r="R14" s="475">
        <f t="shared" si="5"/>
        <v>4</v>
      </c>
      <c r="S14" s="475" t="str">
        <v>118031R</v>
      </c>
      <c r="T14" s="475" t="str">
        <v>LE HUAN CUA</v>
      </c>
      <c r="U14" s="475" t="str">
        <v>TRAN</v>
      </c>
      <c r="V14" s="475" t="str">
        <v>ACADEMIE DE BILLARD DE MAISONS ALFORT</v>
      </c>
      <c r="W14" s="475" t="str">
        <v>R2</v>
      </c>
      <c r="X14" s="475">
        <v>0</v>
      </c>
      <c r="Y14" s="475">
        <v>4</v>
      </c>
      <c r="Z14" s="475">
        <v>0</v>
      </c>
      <c r="AA14" s="475">
        <v>0</v>
      </c>
      <c r="AB14" s="475" t="b">
        <v>0</v>
      </c>
      <c r="AC14" s="168">
        <f t="shared" si="6"/>
        <v>2</v>
      </c>
      <c r="AD14" s="223" t="str">
        <f t="shared" si="1"/>
        <v>B</v>
      </c>
      <c r="AE14" s="168">
        <f t="shared" si="2"/>
        <v>1</v>
      </c>
      <c r="AF14" s="168">
        <v>4</v>
      </c>
      <c r="AG14" s="476" t="str">
        <f t="shared" si="3"/>
        <v>B1</v>
      </c>
      <c r="AH14" s="476" t="str">
        <f>IFERROR(IF($F$8=FALSE,Tableau19[[#This Row],[Licence]],IF(AND($F$8=TRUE,$K$8=6),VLOOKUP(VLOOKUP($T$8,'Répartition des poules'!$B$44:$AL$49,AF14+1,FALSE),'GESTION DES JOUEURS'!$R$11:$AB$46,2,FALSE),IF(AND($F$8=TRUE,$K$8=5),VLOOKUP(VLOOKUP($T$8,'Répartition des poules'!$B$36:$AK$42,AF14+1,FALSE),'GESTION DES JOUEURS'!$R$11:$AB$46,2,FALSE),IF(AND($F$8=TRUE,$K$8=4),VLOOKUP(VLOOKUP($T$8,'Répartition des poules'!$B$26:$AL$34,AF14+1,FALSE),'GESTION DES JOUEURS'!$R$11:$AB$46,2,FALSE),IF(AND($F$8=TRUE,$K$8=3),VLOOKUP(VLOOKUP($T$8,'Répartition des poules'!$B$13:$AL$24,AF14+1,FALSE),'GESTION DES JOUEURS'!$R$11:$AB$46,2,FALSE),IF(AND($F$8=TRUE,$K$8=2),VLOOKUP(VLOOKUP($T$8,'Répartition des poules'!$B$2:$AL$11,AF14+1,FALSE),'GESTION DES JOUEURS'!$R$11:$AB$46,2,FALSE),IF(A14="","",B14))))))),"")</f>
        <v>183133H</v>
      </c>
      <c r="AI14" s="168" t="str">
        <f t="shared" si="4"/>
        <v>183133H</v>
      </c>
    </row>
    <row r="15" spans="1:35" ht="14.45" customHeight="1" x14ac:dyDescent="0.25">
      <c r="A15" s="471">
        <f>IF(Tableau19[[#This Row],[Licence]]&lt;&gt;"",A14+1,A14)</f>
        <v>5</v>
      </c>
      <c r="B15" s="472" t="s">
        <v>2572</v>
      </c>
      <c r="C15" s="32" t="str">
        <f>IFERROR(VLOOKUP(Tableau19[[#This Row],[Licence]],Tableau7[[Licence]:[Nom]],7,FALSE),"")</f>
        <v>MA PHUOC</v>
      </c>
      <c r="D15" s="32" t="str">
        <f>IFERROR(VLOOKUP(Tableau19[[#This Row],[Licence]],Tableau7[[Licence]:[Nom]],6,FALSE),"")</f>
        <v>BICH</v>
      </c>
      <c r="E15" s="32" t="str">
        <f>IFERROR(VLOOKUP(Tableau19[[#This Row],[Licence]],Tableau7[[Licence]:[Nom]],5,FALSE),"")</f>
        <v>ACADEMIE DE BILLARD DE MAISONS ALFORT</v>
      </c>
      <c r="F15"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 </v>
      </c>
      <c r="G15" s="473"/>
      <c r="H15" s="541">
        <v>7</v>
      </c>
      <c r="I15" s="472"/>
      <c r="J15" s="519"/>
      <c r="K15" s="474" t="b">
        <v>0</v>
      </c>
      <c r="M15" s="706" t="s">
        <v>8114</v>
      </c>
      <c r="O15" s="371" t="str">
        <f>TRIM(IF(Tableau19[[#This Row],[Catégorie]]="NC",Tableau19[[#This Row],[Cat. si NC]],IF(LEFT(Tableau19[[#This Row],[Catégorie]],1)="M","Masters",LEFT(Tableau19[[#This Row],[Catégorie]],2))))</f>
        <v>R2</v>
      </c>
      <c r="P15" s="371"/>
      <c r="Q15" s="371">
        <f t="shared" si="0"/>
        <v>6</v>
      </c>
      <c r="R15" s="475">
        <f t="shared" si="5"/>
        <v>5</v>
      </c>
      <c r="S15" s="475" t="str">
        <v>013428M</v>
      </c>
      <c r="T15" s="475" t="str">
        <v>KEREBEL</v>
      </c>
      <c r="U15" s="475" t="str">
        <v>ERIC</v>
      </c>
      <c r="V15" s="475" t="str">
        <v>ASS. BILLARD AMATEUR DE SAINT MAUR</v>
      </c>
      <c r="W15" s="475" t="str">
        <v>R2 </v>
      </c>
      <c r="X15" s="475">
        <v>0</v>
      </c>
      <c r="Y15" s="475">
        <v>5</v>
      </c>
      <c r="Z15" s="475">
        <v>0</v>
      </c>
      <c r="AA15" s="475">
        <v>0</v>
      </c>
      <c r="AB15" s="475" t="b">
        <v>0</v>
      </c>
      <c r="AC15" s="168">
        <f t="shared" si="6"/>
        <v>2</v>
      </c>
      <c r="AD15" s="223" t="str">
        <f t="shared" si="1"/>
        <v>B</v>
      </c>
      <c r="AE15" s="168">
        <f t="shared" si="2"/>
        <v>2</v>
      </c>
      <c r="AF15" s="168">
        <v>5</v>
      </c>
      <c r="AG15" s="476" t="str">
        <f t="shared" si="3"/>
        <v>B2</v>
      </c>
      <c r="AH15" s="476" t="str">
        <f>IFERROR(IF($F$8=FALSE,Tableau19[[#This Row],[Licence]],IF(AND($F$8=TRUE,$K$8=6),VLOOKUP(VLOOKUP($T$8,'Répartition des poules'!$B$44:$AL$49,AF15+1,FALSE),'GESTION DES JOUEURS'!$R$11:$AB$46,2,FALSE),IF(AND($F$8=TRUE,$K$8=5),VLOOKUP(VLOOKUP($T$8,'Répartition des poules'!$B$36:$AK$42,AF15+1,FALSE),'GESTION DES JOUEURS'!$R$11:$AB$46,2,FALSE),IF(AND($F$8=TRUE,$K$8=4),VLOOKUP(VLOOKUP($T$8,'Répartition des poules'!$B$26:$AL$34,AF15+1,FALSE),'GESTION DES JOUEURS'!$R$11:$AB$46,2,FALSE),IF(AND($F$8=TRUE,$K$8=3),VLOOKUP(VLOOKUP($T$8,'Répartition des poules'!$B$13:$AL$24,AF15+1,FALSE),'GESTION DES JOUEURS'!$R$11:$AB$46,2,FALSE),IF(AND($F$8=TRUE,$K$8=2),VLOOKUP(VLOOKUP($T$8,'Répartition des poules'!$B$2:$AL$11,AF15+1,FALSE),'GESTION DES JOUEURS'!$R$11:$AB$46,2,FALSE),IF(A15="","",B15))))))),"")</f>
        <v>148333G</v>
      </c>
      <c r="AI15" s="168" t="str">
        <f t="shared" si="4"/>
        <v>148333G</v>
      </c>
    </row>
    <row r="16" spans="1:35" ht="14.45" customHeight="1" x14ac:dyDescent="0.25">
      <c r="A16" s="471">
        <f>IF(Tableau19[[#This Row],[Licence]]&lt;&gt;"",A15+1,A15)</f>
        <v>6</v>
      </c>
      <c r="B16" s="472" t="s">
        <v>2995</v>
      </c>
      <c r="C16" s="32" t="str">
        <f>IFERROR(VLOOKUP(Tableau19[[#This Row],[Licence]],Tableau7[[Licence]:[Nom]],7,FALSE),"")</f>
        <v>FERNANDES ALVES</v>
      </c>
      <c r="D16" s="32" t="str">
        <f>IFERROR(VLOOKUP(Tableau19[[#This Row],[Licence]],Tableau7[[Licence]:[Nom]],6,FALSE),"")</f>
        <v>FRANCISCO</v>
      </c>
      <c r="E16" s="32" t="str">
        <f>IFERROR(VLOOKUP(Tableau19[[#This Row],[Licence]],Tableau7[[Licence]:[Nom]],5,FALSE),"")</f>
        <v>ACADEMIE DE BILLARD DE MAISONS ALFORT</v>
      </c>
      <c r="F16"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16" s="473"/>
      <c r="H16" s="541">
        <v>12</v>
      </c>
      <c r="I16" s="472"/>
      <c r="J16" s="519"/>
      <c r="K16" s="474" t="b">
        <v>0</v>
      </c>
      <c r="M16" s="706"/>
      <c r="O16" s="371" t="str">
        <f>TRIM(IF(Tableau19[[#This Row],[Catégorie]]="NC",Tableau19[[#This Row],[Cat. si NC]],IF(LEFT(Tableau19[[#This Row],[Catégorie]],1)="M","Masters",LEFT(Tableau19[[#This Row],[Catégorie]],2))))</f>
        <v>R2</v>
      </c>
      <c r="P16" s="371"/>
      <c r="Q16" s="371">
        <f t="shared" si="0"/>
        <v>6</v>
      </c>
      <c r="R16" s="475">
        <f t="shared" si="5"/>
        <v>6</v>
      </c>
      <c r="S16" s="475" t="str">
        <v>013922M</v>
      </c>
      <c r="T16" s="475" t="str">
        <v>PEYROLE</v>
      </c>
      <c r="U16" s="475" t="str">
        <v>PHILIPPE</v>
      </c>
      <c r="V16" s="475" t="str">
        <v>BILLARD CLUB DE LIVRY GARGAN</v>
      </c>
      <c r="W16" s="475" t="str">
        <v>R2</v>
      </c>
      <c r="X16" s="475">
        <v>0</v>
      </c>
      <c r="Y16" s="475">
        <v>6</v>
      </c>
      <c r="Z16" s="475" t="str">
        <v xml:space="preserve"> </v>
      </c>
      <c r="AA16" s="475">
        <v>0</v>
      </c>
      <c r="AB16" s="475" t="b">
        <v>0</v>
      </c>
      <c r="AC16" s="168">
        <f t="shared" si="6"/>
        <v>2</v>
      </c>
      <c r="AD16" s="223" t="str">
        <f t="shared" si="1"/>
        <v>B</v>
      </c>
      <c r="AE16" s="168">
        <f t="shared" si="2"/>
        <v>3</v>
      </c>
      <c r="AF16" s="168">
        <v>6</v>
      </c>
      <c r="AG16" s="476" t="str">
        <f t="shared" si="3"/>
        <v>B3</v>
      </c>
      <c r="AH16" s="476" t="str">
        <f>IFERROR(IF($F$8=FALSE,Tableau19[[#This Row],[Licence]],IF(AND($F$8=TRUE,$K$8=6),VLOOKUP(VLOOKUP($T$8,'Répartition des poules'!$B$44:$AL$49,AF16+1,FALSE),'GESTION DES JOUEURS'!$R$11:$AB$46,2,FALSE),IF(AND($F$8=TRUE,$K$8=5),VLOOKUP(VLOOKUP($T$8,'Répartition des poules'!$B$36:$AK$42,AF16+1,FALSE),'GESTION DES JOUEURS'!$R$11:$AB$46,2,FALSE),IF(AND($F$8=TRUE,$K$8=4),VLOOKUP(VLOOKUP($T$8,'Répartition des poules'!$B$26:$AL$34,AF16+1,FALSE),'GESTION DES JOUEURS'!$R$11:$AB$46,2,FALSE),IF(AND($F$8=TRUE,$K$8=3),VLOOKUP(VLOOKUP($T$8,'Répartition des poules'!$B$13:$AL$24,AF16+1,FALSE),'GESTION DES JOUEURS'!$R$11:$AB$46,2,FALSE),IF(AND($F$8=TRUE,$K$8=2),VLOOKUP(VLOOKUP($T$8,'Répartition des poules'!$B$2:$AL$11,AF16+1,FALSE),'GESTION DES JOUEURS'!$R$11:$AB$46,2,FALSE),IF(A16="","",B16))))))),"")</f>
        <v>156543F</v>
      </c>
      <c r="AI16" s="168" t="str">
        <f t="shared" si="4"/>
        <v>156543F</v>
      </c>
    </row>
    <row r="17" spans="1:35" ht="14.45" customHeight="1" x14ac:dyDescent="0.25">
      <c r="A17" s="471">
        <f>IF(Tableau19[[#This Row],[Licence]]&lt;&gt;"",A16+1,A16)</f>
        <v>7</v>
      </c>
      <c r="B17" s="472" t="s">
        <v>1281</v>
      </c>
      <c r="C17" s="32" t="str">
        <f>IFERROR(VLOOKUP(Tableau19[[#This Row],[Licence]],Tableau7[[Licence]:[Nom]],7,FALSE),"")</f>
        <v>GONTHIER</v>
      </c>
      <c r="D17" s="32" t="str">
        <f>IFERROR(VLOOKUP(Tableau19[[#This Row],[Licence]],Tableau7[[Licence]:[Nom]],6,FALSE),"")</f>
        <v>ARNAUD</v>
      </c>
      <c r="E17" s="32" t="str">
        <f>IFERROR(VLOOKUP(Tableau19[[#This Row],[Licence]],Tableau7[[Licence]:[Nom]],5,FALSE),"")</f>
        <v>ASS. BILLARD AMATEUR DE SAINT MAUR</v>
      </c>
      <c r="F17"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17" s="473"/>
      <c r="H17" s="541">
        <v>3</v>
      </c>
      <c r="I17" s="472"/>
      <c r="J17" s="519"/>
      <c r="K17" s="474" t="b">
        <v>0</v>
      </c>
      <c r="M17" s="707" t="s">
        <v>8115</v>
      </c>
      <c r="O17" s="371" t="str">
        <f>TRIM(IF(Tableau19[[#This Row],[Catégorie]]="NC",Tableau19[[#This Row],[Cat. si NC]],IF(LEFT(Tableau19[[#This Row],[Catégorie]],1)="M","Masters",LEFT(Tableau19[[#This Row],[Catégorie]],2))))</f>
        <v>R2</v>
      </c>
      <c r="P17" s="371"/>
      <c r="Q17" s="371">
        <f t="shared" si="0"/>
        <v>6</v>
      </c>
      <c r="R17" s="475">
        <f t="shared" si="5"/>
        <v>7</v>
      </c>
      <c r="S17" s="475" t="str">
        <v>148333G</v>
      </c>
      <c r="T17" s="475" t="str">
        <v>MA PHUOC</v>
      </c>
      <c r="U17" s="475" t="str">
        <v>BICH</v>
      </c>
      <c r="V17" s="475" t="str">
        <v>ACADEMIE DE BILLARD DE MAISONS ALFORT</v>
      </c>
      <c r="W17" s="475" t="str">
        <v>R2 </v>
      </c>
      <c r="X17" s="475">
        <v>0</v>
      </c>
      <c r="Y17" s="475">
        <v>7</v>
      </c>
      <c r="Z17" s="475">
        <v>0</v>
      </c>
      <c r="AA17" s="475">
        <v>0</v>
      </c>
      <c r="AB17" s="475" t="b">
        <v>0</v>
      </c>
      <c r="AC17" s="168">
        <f t="shared" si="6"/>
        <v>3</v>
      </c>
      <c r="AD17" s="223" t="str">
        <f t="shared" si="1"/>
        <v>C</v>
      </c>
      <c r="AE17" s="168">
        <f t="shared" si="2"/>
        <v>1</v>
      </c>
      <c r="AF17" s="168">
        <v>7</v>
      </c>
      <c r="AG17" s="476" t="str">
        <f t="shared" si="3"/>
        <v>C1</v>
      </c>
      <c r="AH17" s="476" t="str">
        <f>IFERROR(IF($F$8=FALSE,Tableau19[[#This Row],[Licence]],IF(AND($F$8=TRUE,$K$8=6),VLOOKUP(VLOOKUP($T$8,'Répartition des poules'!$B$44:$AL$49,AF17+1,FALSE),'GESTION DES JOUEURS'!$R$11:$AB$46,2,FALSE),IF(AND($F$8=TRUE,$K$8=5),VLOOKUP(VLOOKUP($T$8,'Répartition des poules'!$B$36:$AK$42,AF17+1,FALSE),'GESTION DES JOUEURS'!$R$11:$AB$46,2,FALSE),IF(AND($F$8=TRUE,$K$8=4),VLOOKUP(VLOOKUP($T$8,'Répartition des poules'!$B$26:$AL$34,AF17+1,FALSE),'GESTION DES JOUEURS'!$R$11:$AB$46,2,FALSE),IF(AND($F$8=TRUE,$K$8=3),VLOOKUP(VLOOKUP($T$8,'Répartition des poules'!$B$13:$AL$24,AF17+1,FALSE),'GESTION DES JOUEURS'!$R$11:$AB$46,2,FALSE),IF(AND($F$8=TRUE,$K$8=2),VLOOKUP(VLOOKUP($T$8,'Répartition des poules'!$B$2:$AL$11,AF17+1,FALSE),'GESTION DES JOUEURS'!$R$11:$AB$46,2,FALSE),IF(A17="","",B17))))))),"")</f>
        <v>111337F</v>
      </c>
      <c r="AI17" s="168" t="str">
        <f t="shared" si="4"/>
        <v>111337F</v>
      </c>
    </row>
    <row r="18" spans="1:35" ht="14.45" customHeight="1" x14ac:dyDescent="0.25">
      <c r="A18" s="471">
        <f>IF(Tableau19[[#This Row],[Licence]]&lt;&gt;"",A17+1,A17)</f>
        <v>8</v>
      </c>
      <c r="B18" s="472" t="s">
        <v>763</v>
      </c>
      <c r="C18" s="32" t="str">
        <f>IFERROR(VLOOKUP(Tableau19[[#This Row],[Licence]],Tableau7[[Licence]:[Nom]],7,FALSE),"")</f>
        <v>PEYROLE</v>
      </c>
      <c r="D18" s="32" t="str">
        <f>IFERROR(VLOOKUP(Tableau19[[#This Row],[Licence]],Tableau7[[Licence]:[Nom]],6,FALSE),"")</f>
        <v>PHILIPPE</v>
      </c>
      <c r="E18" s="32" t="str">
        <f>IFERROR(VLOOKUP(Tableau19[[#This Row],[Licence]],Tableau7[[Licence]:[Nom]],5,FALSE),"")</f>
        <v>BILLARD CLUB DE LIVRY GARGAN</v>
      </c>
      <c r="F18"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18" s="473"/>
      <c r="H18" s="541">
        <v>6</v>
      </c>
      <c r="I18" s="472" t="s">
        <v>5031</v>
      </c>
      <c r="J18" s="519"/>
      <c r="K18" s="474" t="b">
        <v>0</v>
      </c>
      <c r="M18" s="707"/>
      <c r="O18" s="371" t="str">
        <f>TRIM(IF(Tableau19[[#This Row],[Catégorie]]="NC",Tableau19[[#This Row],[Cat. si NC]],IF(LEFT(Tableau19[[#This Row],[Catégorie]],1)="M","Masters",LEFT(Tableau19[[#This Row],[Catégorie]],2))))</f>
        <v>R2</v>
      </c>
      <c r="P18" s="371"/>
      <c r="Q18" s="371">
        <f t="shared" si="0"/>
        <v>6</v>
      </c>
      <c r="R18" s="475">
        <f t="shared" si="5"/>
        <v>8</v>
      </c>
      <c r="S18" s="475" t="str">
        <v>157535J</v>
      </c>
      <c r="T18" s="475" t="str">
        <v>PIBOURDIN</v>
      </c>
      <c r="U18" s="475" t="str">
        <v>ERIC</v>
      </c>
      <c r="V18" s="475" t="str">
        <v>ACADEMIE DE BILLARD DE MAISONS ALFORT</v>
      </c>
      <c r="W18" s="475" t="str">
        <v>R2 </v>
      </c>
      <c r="X18" s="475">
        <v>0</v>
      </c>
      <c r="Y18" s="475">
        <v>8</v>
      </c>
      <c r="Z18" s="475">
        <v>0</v>
      </c>
      <c r="AA18" s="475">
        <v>0</v>
      </c>
      <c r="AB18" s="475" t="b">
        <v>0</v>
      </c>
      <c r="AC18" s="168">
        <f t="shared" si="6"/>
        <v>3</v>
      </c>
      <c r="AD18" s="223" t="str">
        <f t="shared" si="1"/>
        <v>C</v>
      </c>
      <c r="AE18" s="168">
        <f t="shared" si="2"/>
        <v>2</v>
      </c>
      <c r="AF18" s="168">
        <v>8</v>
      </c>
      <c r="AG18" s="476" t="str">
        <f t="shared" si="3"/>
        <v>C2</v>
      </c>
      <c r="AH18" s="476" t="str">
        <f>IFERROR(IF($F$8=FALSE,Tableau19[[#This Row],[Licence]],IF(AND($F$8=TRUE,$K$8=6),VLOOKUP(VLOOKUP($T$8,'Répartition des poules'!$B$44:$AL$49,AF18+1,FALSE),'GESTION DES JOUEURS'!$R$11:$AB$46,2,FALSE),IF(AND($F$8=TRUE,$K$8=5),VLOOKUP(VLOOKUP($T$8,'Répartition des poules'!$B$36:$AK$42,AF18+1,FALSE),'GESTION DES JOUEURS'!$R$11:$AB$46,2,FALSE),IF(AND($F$8=TRUE,$K$8=4),VLOOKUP(VLOOKUP($T$8,'Répartition des poules'!$B$26:$AL$34,AF18+1,FALSE),'GESTION DES JOUEURS'!$R$11:$AB$46,2,FALSE),IF(AND($F$8=TRUE,$K$8=3),VLOOKUP(VLOOKUP($T$8,'Répartition des poules'!$B$13:$AL$24,AF18+1,FALSE),'GESTION DES JOUEURS'!$R$11:$AB$46,2,FALSE),IF(AND($F$8=TRUE,$K$8=2),VLOOKUP(VLOOKUP($T$8,'Répartition des poules'!$B$2:$AL$11,AF18+1,FALSE),'GESTION DES JOUEURS'!$R$11:$AB$46,2,FALSE),IF(A18="","",B18))))))),"")</f>
        <v>013922M</v>
      </c>
      <c r="AI18" s="168" t="str">
        <f t="shared" si="4"/>
        <v>013922M</v>
      </c>
    </row>
    <row r="19" spans="1:35" ht="14.45" customHeight="1" x14ac:dyDescent="0.25">
      <c r="A19" s="471">
        <f>IF(Tableau19[[#This Row],[Licence]]&lt;&gt;"",A18+1,A18)</f>
        <v>9</v>
      </c>
      <c r="B19" s="472" t="s">
        <v>11223</v>
      </c>
      <c r="C19" s="32" t="str">
        <f>IFERROR(VLOOKUP(Tableau19[[#This Row],[Licence]],Tableau7[[Licence]:[Nom]],7,FALSE),"")</f>
        <v>PIVONET</v>
      </c>
      <c r="D19" s="32" t="str">
        <f>IFERROR(VLOOKUP(Tableau19[[#This Row],[Licence]],Tableau7[[Licence]:[Nom]],6,FALSE),"")</f>
        <v>FRANCIS</v>
      </c>
      <c r="E19" s="32" t="str">
        <f>IFERROR(VLOOKUP(Tableau19[[#This Row],[Licence]],Tableau7[[Licence]:[Nom]],5,FALSE),"")</f>
        <v>ASS. BILLARD AMATEUR DE SAINT MAUR</v>
      </c>
      <c r="F19"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19" s="477"/>
      <c r="H19" s="541">
        <v>13</v>
      </c>
      <c r="I19" s="472"/>
      <c r="J19" s="519"/>
      <c r="K19" s="474" t="b">
        <v>0</v>
      </c>
      <c r="M19" s="686" t="s">
        <v>8116</v>
      </c>
      <c r="O19" s="371" t="str">
        <f>TRIM(IF(Tableau19[[#This Row],[Catégorie]]="NC",Tableau19[[#This Row],[Cat. si NC]],IF(LEFT(Tableau19[[#This Row],[Catégorie]],1)="M","Masters",LEFT(Tableau19[[#This Row],[Catégorie]],2))))</f>
        <v>R2</v>
      </c>
      <c r="P19" s="371"/>
      <c r="Q19" s="371">
        <f t="shared" si="0"/>
        <v>6</v>
      </c>
      <c r="R19" s="475">
        <f t="shared" si="5"/>
        <v>9</v>
      </c>
      <c r="S19" s="475" t="str">
        <v>013335x</v>
      </c>
      <c r="T19" s="475" t="str">
        <v>HANSEL</v>
      </c>
      <c r="U19" s="475" t="str">
        <v>GERARD</v>
      </c>
      <c r="V19" s="475" t="str">
        <v>ACADEMIE DE BILLARD DE MAISONS ALFORT</v>
      </c>
      <c r="W19" s="475" t="str">
        <v>R2 </v>
      </c>
      <c r="X19" s="475">
        <v>0</v>
      </c>
      <c r="Y19" s="475">
        <v>10</v>
      </c>
      <c r="Z19" s="475">
        <v>0</v>
      </c>
      <c r="AA19" s="475">
        <v>0</v>
      </c>
      <c r="AB19" s="475" t="b">
        <v>0</v>
      </c>
      <c r="AC19" s="168">
        <f t="shared" si="6"/>
        <v>3</v>
      </c>
      <c r="AD19" s="223" t="str">
        <f t="shared" si="1"/>
        <v>C</v>
      </c>
      <c r="AE19" s="168">
        <f t="shared" si="2"/>
        <v>3</v>
      </c>
      <c r="AF19" s="168">
        <v>9</v>
      </c>
      <c r="AG19" s="476" t="str">
        <f t="shared" si="3"/>
        <v>C3</v>
      </c>
      <c r="AH19" s="476" t="str">
        <f>IFERROR(IF($F$8=FALSE,Tableau19[[#This Row],[Licence]],IF(AND($F$8=TRUE,$K$8=6),VLOOKUP(VLOOKUP($T$8,'Répartition des poules'!$B$44:$AL$49,AF19+1,FALSE),'GESTION DES JOUEURS'!$R$11:$AB$46,2,FALSE),IF(AND($F$8=TRUE,$K$8=5),VLOOKUP(VLOOKUP($T$8,'Répartition des poules'!$B$36:$AK$42,AF19+1,FALSE),'GESTION DES JOUEURS'!$R$11:$AB$46,2,FALSE),IF(AND($F$8=TRUE,$K$8=4),VLOOKUP(VLOOKUP($T$8,'Répartition des poules'!$B$26:$AL$34,AF19+1,FALSE),'GESTION DES JOUEURS'!$R$11:$AB$46,2,FALSE),IF(AND($F$8=TRUE,$K$8=3),VLOOKUP(VLOOKUP($T$8,'Répartition des poules'!$B$13:$AL$24,AF19+1,FALSE),'GESTION DES JOUEURS'!$R$11:$AB$46,2,FALSE),IF(AND($F$8=TRUE,$K$8=2),VLOOKUP(VLOOKUP($T$8,'Répartition des poules'!$B$2:$AL$11,AF19+1,FALSE),'GESTION DES JOUEURS'!$R$11:$AB$46,2,FALSE),IF(A19="","",B19))))))),"")</f>
        <v>154522J</v>
      </c>
      <c r="AI19" s="168" t="str">
        <f t="shared" si="4"/>
        <v>154522J</v>
      </c>
    </row>
    <row r="20" spans="1:35" ht="14.45" customHeight="1" x14ac:dyDescent="0.25">
      <c r="A20" s="471">
        <f>IF(Tableau19[[#This Row],[Licence]]&lt;&gt;"",A19+1,A19)</f>
        <v>10</v>
      </c>
      <c r="B20" s="472" t="s">
        <v>1485</v>
      </c>
      <c r="C20" s="32" t="str">
        <f>IFERROR(VLOOKUP(Tableau19[[#This Row],[Licence]],Tableau7[[Licence]:[Nom]],7,FALSE),"")</f>
        <v>LE HUAN CUA</v>
      </c>
      <c r="D20" s="32" t="str">
        <f>IFERROR(VLOOKUP(Tableau19[[#This Row],[Licence]],Tableau7[[Licence]:[Nom]],6,FALSE),"")</f>
        <v>TRAN</v>
      </c>
      <c r="E20" s="32" t="str">
        <f>IFERROR(VLOOKUP(Tableau19[[#This Row],[Licence]],Tableau7[[Licence]:[Nom]],5,FALSE),"")</f>
        <v>ACADEMIE DE BILLARD DE MAISONS ALFORT</v>
      </c>
      <c r="F20"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v>
      </c>
      <c r="G20" s="477"/>
      <c r="H20" s="541">
        <v>4</v>
      </c>
      <c r="I20" s="472"/>
      <c r="J20" s="519"/>
      <c r="K20" s="474" t="b">
        <v>0</v>
      </c>
      <c r="M20" s="686"/>
      <c r="O20" s="371" t="str">
        <f>TRIM(IF(Tableau19[[#This Row],[Catégorie]]="NC",Tableau19[[#This Row],[Cat. si NC]],IF(LEFT(Tableau19[[#This Row],[Catégorie]],1)="M","Masters",LEFT(Tableau19[[#This Row],[Catégorie]],2))))</f>
        <v>R2</v>
      </c>
      <c r="P20" s="371"/>
      <c r="Q20" s="371">
        <f t="shared" si="0"/>
        <v>6</v>
      </c>
      <c r="R20" s="475">
        <f t="shared" si="5"/>
        <v>10</v>
      </c>
      <c r="S20" s="475" t="str">
        <v>156543F</v>
      </c>
      <c r="T20" s="475" t="str">
        <v>FERNANDES ALVES</v>
      </c>
      <c r="U20" s="475" t="str">
        <v>FRANCISCO</v>
      </c>
      <c r="V20" s="475" t="str">
        <v>ACADEMIE DE BILLARD DE MAISONS ALFORT</v>
      </c>
      <c r="W20" s="475" t="str">
        <v>R2</v>
      </c>
      <c r="X20" s="475">
        <v>0</v>
      </c>
      <c r="Y20" s="475">
        <v>12</v>
      </c>
      <c r="Z20" s="475">
        <v>0</v>
      </c>
      <c r="AA20" s="475">
        <v>0</v>
      </c>
      <c r="AB20" s="475" t="b">
        <v>0</v>
      </c>
      <c r="AC20" s="168">
        <f t="shared" si="6"/>
        <v>4</v>
      </c>
      <c r="AD20" s="223" t="str">
        <f t="shared" si="1"/>
        <v>D</v>
      </c>
      <c r="AE20" s="168">
        <f t="shared" si="2"/>
        <v>1</v>
      </c>
      <c r="AF20" s="168">
        <v>10</v>
      </c>
      <c r="AG20" s="476" t="str">
        <f t="shared" si="3"/>
        <v>D1</v>
      </c>
      <c r="AH20" s="476" t="str">
        <f>IFERROR(IF($F$8=FALSE,Tableau19[[#This Row],[Licence]],IF(AND($F$8=TRUE,$K$8=6),VLOOKUP(VLOOKUP($T$8,'Répartition des poules'!$B$44:$AL$49,AF20+1,FALSE),'GESTION DES JOUEURS'!$R$11:$AB$46,2,FALSE),IF(AND($F$8=TRUE,$K$8=5),VLOOKUP(VLOOKUP($T$8,'Répartition des poules'!$B$36:$AK$42,AF20+1,FALSE),'GESTION DES JOUEURS'!$R$11:$AB$46,2,FALSE),IF(AND($F$8=TRUE,$K$8=4),VLOOKUP(VLOOKUP($T$8,'Répartition des poules'!$B$26:$AL$34,AF20+1,FALSE),'GESTION DES JOUEURS'!$R$11:$AB$46,2,FALSE),IF(AND($F$8=TRUE,$K$8=3),VLOOKUP(VLOOKUP($T$8,'Répartition des poules'!$B$13:$AL$24,AF20+1,FALSE),'GESTION DES JOUEURS'!$R$11:$AB$46,2,FALSE),IF(AND($F$8=TRUE,$K$8=2),VLOOKUP(VLOOKUP($T$8,'Répartition des poules'!$B$2:$AL$11,AF20+1,FALSE),'GESTION DES JOUEURS'!$R$11:$AB$46,2,FALSE),IF(A20="","",B20))))))),"")</f>
        <v>118031R</v>
      </c>
      <c r="AI20" s="168" t="str">
        <f t="shared" si="4"/>
        <v>118031R</v>
      </c>
    </row>
    <row r="21" spans="1:35" ht="14.45" customHeight="1" x14ac:dyDescent="0.25">
      <c r="A21" s="471">
        <f>IF(Tableau19[[#This Row],[Licence]]&lt;&gt;"",A20+1,A20)</f>
        <v>11</v>
      </c>
      <c r="B21" s="472" t="s">
        <v>10058</v>
      </c>
      <c r="C21" s="32" t="str">
        <f>IFERROR(VLOOKUP(Tableau19[[#This Row],[Licence]],Tableau7[[Licence]:[Nom]],7,FALSE),"")</f>
        <v>KEREBEL</v>
      </c>
      <c r="D21" s="32" t="str">
        <f>IFERROR(VLOOKUP(Tableau19[[#This Row],[Licence]],Tableau7[[Licence]:[Nom]],6,FALSE),"")</f>
        <v>ERIC</v>
      </c>
      <c r="E21" s="32" t="str">
        <f>IFERROR(VLOOKUP(Tableau19[[#This Row],[Licence]],Tableau7[[Licence]:[Nom]],5,FALSE),"")</f>
        <v>ASS. BILLARD AMATEUR DE SAINT MAUR</v>
      </c>
      <c r="F21"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R2 </v>
      </c>
      <c r="G21" s="477"/>
      <c r="H21" s="541">
        <v>5</v>
      </c>
      <c r="I21" s="472"/>
      <c r="J21" s="519"/>
      <c r="K21" s="474" t="b">
        <v>0</v>
      </c>
      <c r="M21" s="713" t="s">
        <v>8117</v>
      </c>
      <c r="O21" s="371" t="str">
        <f>TRIM(IF(Tableau19[[#This Row],[Catégorie]]="NC",Tableau19[[#This Row],[Cat. si NC]],IF(LEFT(Tableau19[[#This Row],[Catégorie]],1)="M","Masters",LEFT(Tableau19[[#This Row],[Catégorie]],2))))</f>
        <v>R2</v>
      </c>
      <c r="P21" s="371"/>
      <c r="Q21" s="371">
        <f t="shared" si="0"/>
        <v>6</v>
      </c>
      <c r="R21" s="475">
        <f t="shared" si="5"/>
        <v>11</v>
      </c>
      <c r="S21" s="475" t="str">
        <v>154522J</v>
      </c>
      <c r="T21" s="475" t="str">
        <v>PIVONET</v>
      </c>
      <c r="U21" s="475" t="str">
        <v>FRANCIS</v>
      </c>
      <c r="V21" s="475" t="str">
        <v>ASS. BILLARD AMATEUR DE SAINT MAUR</v>
      </c>
      <c r="W21" s="475" t="str">
        <v>R2</v>
      </c>
      <c r="X21" s="475">
        <v>0</v>
      </c>
      <c r="Y21" s="475">
        <v>13</v>
      </c>
      <c r="Z21" s="475">
        <v>0</v>
      </c>
      <c r="AA21" s="475">
        <v>0</v>
      </c>
      <c r="AB21" s="475" t="b">
        <v>0</v>
      </c>
      <c r="AC21" s="168">
        <f t="shared" si="6"/>
        <v>4</v>
      </c>
      <c r="AD21" s="223" t="str">
        <f t="shared" si="1"/>
        <v>D</v>
      </c>
      <c r="AE21" s="168">
        <f t="shared" si="2"/>
        <v>2</v>
      </c>
      <c r="AF21" s="168">
        <v>11</v>
      </c>
      <c r="AG21" s="476" t="str">
        <f t="shared" si="3"/>
        <v>D2</v>
      </c>
      <c r="AH21" s="476" t="str">
        <f>IFERROR(IF($F$8=FALSE,Tableau19[[#This Row],[Licence]],IF(AND($F$8=TRUE,$K$8=6),VLOOKUP(VLOOKUP($T$8,'Répartition des poules'!$B$44:$AL$49,AF21+1,FALSE),'GESTION DES JOUEURS'!$R$11:$AB$46,2,FALSE),IF(AND($F$8=TRUE,$K$8=5),VLOOKUP(VLOOKUP($T$8,'Répartition des poules'!$B$36:$AK$42,AF21+1,FALSE),'GESTION DES JOUEURS'!$R$11:$AB$46,2,FALSE),IF(AND($F$8=TRUE,$K$8=4),VLOOKUP(VLOOKUP($T$8,'Répartition des poules'!$B$26:$AL$34,AF21+1,FALSE),'GESTION DES JOUEURS'!$R$11:$AB$46,2,FALSE),IF(AND($F$8=TRUE,$K$8=3),VLOOKUP(VLOOKUP($T$8,'Répartition des poules'!$B$13:$AL$24,AF21+1,FALSE),'GESTION DES JOUEURS'!$R$11:$AB$46,2,FALSE),IF(AND($F$8=TRUE,$K$8=2),VLOOKUP(VLOOKUP($T$8,'Répartition des poules'!$B$2:$AL$11,AF21+1,FALSE),'GESTION DES JOUEURS'!$R$11:$AB$46,2,FALSE),IF(A21="","",B21))))))),"")</f>
        <v>013428M</v>
      </c>
      <c r="AI21" s="168" t="str">
        <f t="shared" si="4"/>
        <v>013428M</v>
      </c>
    </row>
    <row r="22" spans="1:35" ht="14.45" customHeight="1" x14ac:dyDescent="0.25">
      <c r="A22" s="471">
        <f>IF(Tableau19[[#This Row],[Licence]]&lt;&gt;"",A21+1,A21)</f>
        <v>11</v>
      </c>
      <c r="B22" s="472"/>
      <c r="C22" s="32" t="str">
        <f>IFERROR(VLOOKUP(Tableau19[[#This Row],[Licence]],Tableau7[[Licence]:[Nom]],7,FALSE),"")</f>
        <v/>
      </c>
      <c r="D22" s="32" t="str">
        <f>IFERROR(VLOOKUP(Tableau19[[#This Row],[Licence]],Tableau7[[Licence]:[Nom]],6,FALSE),"")</f>
        <v/>
      </c>
      <c r="E22" s="32" t="str">
        <f>IFERROR(VLOOKUP(Tableau19[[#This Row],[Licence]],Tableau7[[Licence]:[Nom]],5,FALSE),"")</f>
        <v/>
      </c>
      <c r="F22"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2" s="477"/>
      <c r="H22" s="541"/>
      <c r="I22" s="472"/>
      <c r="J22" s="519"/>
      <c r="K22" s="474" t="b">
        <v>0</v>
      </c>
      <c r="M22" s="713"/>
      <c r="O22" s="371" t="str">
        <f>TRIM(IF(Tableau19[[#This Row],[Catégorie]]="NC",Tableau19[[#This Row],[Cat. si NC]],IF(LEFT(Tableau19[[#This Row],[Catégorie]],1)="M","Masters",LEFT(Tableau19[[#This Row],[Catégorie]],2))))</f>
        <v/>
      </c>
      <c r="P22" s="371"/>
      <c r="Q22" s="371" t="str">
        <f t="shared" si="0"/>
        <v/>
      </c>
      <c r="R22" s="475">
        <f t="shared" si="5"/>
        <v>11</v>
      </c>
      <c r="S22" s="475">
        <v>0</v>
      </c>
      <c r="T22" s="475" t="str">
        <v/>
      </c>
      <c r="U22" s="475" t="str">
        <v/>
      </c>
      <c r="V22" s="475" t="str">
        <v/>
      </c>
      <c r="W22" s="475" t="str">
        <v/>
      </c>
      <c r="X22" s="475">
        <v>0</v>
      </c>
      <c r="Y22" s="475">
        <v>0</v>
      </c>
      <c r="Z22" s="475">
        <v>0</v>
      </c>
      <c r="AA22" s="475">
        <v>0</v>
      </c>
      <c r="AB22" s="475" t="b">
        <v>0</v>
      </c>
      <c r="AC22" s="168">
        <f t="shared" si="6"/>
        <v>4</v>
      </c>
      <c r="AD22" s="223" t="str">
        <f t="shared" si="1"/>
        <v>D</v>
      </c>
      <c r="AE22" s="168">
        <f t="shared" si="2"/>
        <v>3</v>
      </c>
      <c r="AF22" s="168">
        <v>12</v>
      </c>
      <c r="AG22" s="476" t="str">
        <f t="shared" si="3"/>
        <v>D3</v>
      </c>
      <c r="AH22" s="476" t="str">
        <f>IFERROR(IF($F$8=FALSE,Tableau19[[#This Row],[Licence]],IF(AND($F$8=TRUE,$K$8=6),VLOOKUP(VLOOKUP($T$8,'Répartition des poules'!$B$44:$AL$49,AF22+1,FALSE),'GESTION DES JOUEURS'!$R$11:$AB$46,2,FALSE),IF(AND($F$8=TRUE,$K$8=5),VLOOKUP(VLOOKUP($T$8,'Répartition des poules'!$B$36:$AK$42,AF22+1,FALSE),'GESTION DES JOUEURS'!$R$11:$AB$46,2,FALSE),IF(AND($F$8=TRUE,$K$8=4),VLOOKUP(VLOOKUP($T$8,'Répartition des poules'!$B$26:$AL$34,AF22+1,FALSE),'GESTION DES JOUEURS'!$R$11:$AB$46,2,FALSE),IF(AND($F$8=TRUE,$K$8=3),VLOOKUP(VLOOKUP($T$8,'Répartition des poules'!$B$13:$AL$24,AF22+1,FALSE),'GESTION DES JOUEURS'!$R$11:$AB$46,2,FALSE),IF(AND($F$8=TRUE,$K$8=2),VLOOKUP(VLOOKUP($T$8,'Répartition des poules'!$B$2:$AL$11,AF22+1,FALSE),'GESTION DES JOUEURS'!$R$11:$AB$46,2,FALSE),IF(A22="","",B22))))))),"")</f>
        <v/>
      </c>
      <c r="AI22" s="168" t="str">
        <f t="shared" si="4"/>
        <v/>
      </c>
    </row>
    <row r="23" spans="1:35" ht="14.45" customHeight="1" x14ac:dyDescent="0.25">
      <c r="A23" s="471">
        <f>IF(Tableau19[[#This Row],[Licence]]&lt;&gt;"",A22+1,A22)</f>
        <v>11</v>
      </c>
      <c r="B23" s="472"/>
      <c r="C23" s="32" t="str">
        <f>IFERROR(VLOOKUP(Tableau19[[#This Row],[Licence]],Tableau7[[Licence]:[Nom]],7,FALSE),"")</f>
        <v/>
      </c>
      <c r="D23" s="32" t="str">
        <f>IFERROR(VLOOKUP(Tableau19[[#This Row],[Licence]],Tableau7[[Licence]:[Nom]],6,FALSE),"")</f>
        <v/>
      </c>
      <c r="E23" s="32" t="str">
        <f>IFERROR(VLOOKUP(Tableau19[[#This Row],[Licence]],Tableau7[[Licence]:[Nom]],5,FALSE),"")</f>
        <v/>
      </c>
      <c r="F23"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3" s="477"/>
      <c r="H23" s="541"/>
      <c r="I23" s="472"/>
      <c r="J23" s="519"/>
      <c r="K23" s="474" t="b">
        <v>0</v>
      </c>
      <c r="M23" s="714" t="s">
        <v>8118</v>
      </c>
      <c r="O23" s="371" t="str">
        <f>TRIM(IF(Tableau19[[#This Row],[Catégorie]]="NC",Tableau19[[#This Row],[Cat. si NC]],IF(LEFT(Tableau19[[#This Row],[Catégorie]],1)="M","Masters",LEFT(Tableau19[[#This Row],[Catégorie]],2))))</f>
        <v/>
      </c>
      <c r="P23" s="371"/>
      <c r="Q23" s="371" t="str">
        <f t="shared" si="0"/>
        <v/>
      </c>
      <c r="R23" s="475">
        <f t="shared" si="5"/>
        <v>11</v>
      </c>
      <c r="S23" s="475">
        <v>0</v>
      </c>
      <c r="T23" s="475" t="str">
        <v/>
      </c>
      <c r="U23" s="475" t="str">
        <v/>
      </c>
      <c r="V23" s="475" t="str">
        <v/>
      </c>
      <c r="W23" s="475" t="str">
        <v/>
      </c>
      <c r="X23" s="475">
        <v>0</v>
      </c>
      <c r="Y23" s="475">
        <v>0</v>
      </c>
      <c r="Z23" s="475">
        <v>0</v>
      </c>
      <c r="AA23" s="475">
        <v>0</v>
      </c>
      <c r="AB23" s="475" t="b">
        <v>0</v>
      </c>
      <c r="AC23" s="168">
        <f t="shared" si="6"/>
        <v>5</v>
      </c>
      <c r="AD23" s="223" t="str">
        <f t="shared" si="1"/>
        <v>E</v>
      </c>
      <c r="AE23" s="168">
        <f t="shared" si="2"/>
        <v>1</v>
      </c>
      <c r="AF23" s="168">
        <v>13</v>
      </c>
      <c r="AG23" s="476" t="str">
        <f t="shared" si="3"/>
        <v>E1</v>
      </c>
      <c r="AH23" s="476" t="str">
        <f>IFERROR(IF($F$8=FALSE,Tableau19[[#This Row],[Licence]],IF(AND($F$8=TRUE,$K$8=6),VLOOKUP(VLOOKUP($T$8,'Répartition des poules'!$B$44:$AL$49,AF23+1,FALSE),'GESTION DES JOUEURS'!$R$11:$AB$46,2,FALSE),IF(AND($F$8=TRUE,$K$8=5),VLOOKUP(VLOOKUP($T$8,'Répartition des poules'!$B$36:$AK$42,AF23+1,FALSE),'GESTION DES JOUEURS'!$R$11:$AB$46,2,FALSE),IF(AND($F$8=TRUE,$K$8=4),VLOOKUP(VLOOKUP($T$8,'Répartition des poules'!$B$26:$AL$34,AF23+1,FALSE),'GESTION DES JOUEURS'!$R$11:$AB$46,2,FALSE),IF(AND($F$8=TRUE,$K$8=3),VLOOKUP(VLOOKUP($T$8,'Répartition des poules'!$B$13:$AL$24,AF23+1,FALSE),'GESTION DES JOUEURS'!$R$11:$AB$46,2,FALSE),IF(AND($F$8=TRUE,$K$8=2),VLOOKUP(VLOOKUP($T$8,'Répartition des poules'!$B$2:$AL$11,AF23+1,FALSE),'GESTION DES JOUEURS'!$R$11:$AB$46,2,FALSE),IF(A23="","",B23))))))),"")</f>
        <v/>
      </c>
      <c r="AI23" s="168" t="str">
        <f t="shared" si="4"/>
        <v/>
      </c>
    </row>
    <row r="24" spans="1:35" ht="14.45" customHeight="1" x14ac:dyDescent="0.25">
      <c r="A24" s="471">
        <f>IF(Tableau19[[#This Row],[Licence]]&lt;&gt;"",A23+1,A23)</f>
        <v>11</v>
      </c>
      <c r="B24" s="472"/>
      <c r="C24" s="32" t="str">
        <f>IFERROR(VLOOKUP(Tableau19[[#This Row],[Licence]],Tableau7[[Licence]:[Nom]],7,FALSE),"")</f>
        <v/>
      </c>
      <c r="D24" s="32" t="str">
        <f>IFERROR(VLOOKUP(Tableau19[[#This Row],[Licence]],Tableau7[[Licence]:[Nom]],6,FALSE),"")</f>
        <v/>
      </c>
      <c r="E24" s="32" t="str">
        <f>IFERROR(VLOOKUP(Tableau19[[#This Row],[Licence]],Tableau7[[Licence]:[Nom]],5,FALSE),"")</f>
        <v/>
      </c>
      <c r="F24"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4" s="477"/>
      <c r="H24" s="541"/>
      <c r="I24" s="472"/>
      <c r="J24" s="519"/>
      <c r="K24" s="474" t="b">
        <v>0</v>
      </c>
      <c r="M24" s="714"/>
      <c r="O24" s="371" t="str">
        <f>TRIM(IF(Tableau19[[#This Row],[Catégorie]]="NC",Tableau19[[#This Row],[Cat. si NC]],IF(LEFT(Tableau19[[#This Row],[Catégorie]],1)="M","Masters",LEFT(Tableau19[[#This Row],[Catégorie]],2))))</f>
        <v/>
      </c>
      <c r="P24" s="371"/>
      <c r="Q24" s="371" t="str">
        <f t="shared" si="0"/>
        <v/>
      </c>
      <c r="R24" s="475">
        <f t="shared" si="5"/>
        <v>11</v>
      </c>
      <c r="S24" s="475">
        <v>0</v>
      </c>
      <c r="T24" s="475" t="str">
        <v/>
      </c>
      <c r="U24" s="475" t="str">
        <v/>
      </c>
      <c r="V24" s="475" t="str">
        <v/>
      </c>
      <c r="W24" s="475" t="str">
        <v/>
      </c>
      <c r="X24" s="475">
        <v>0</v>
      </c>
      <c r="Y24" s="475">
        <v>0</v>
      </c>
      <c r="Z24" s="475">
        <v>0</v>
      </c>
      <c r="AA24" s="475">
        <v>0</v>
      </c>
      <c r="AB24" s="475" t="b">
        <v>0</v>
      </c>
      <c r="AC24" s="168">
        <f t="shared" si="6"/>
        <v>5</v>
      </c>
      <c r="AD24" s="223" t="str">
        <f t="shared" si="1"/>
        <v>E</v>
      </c>
      <c r="AE24" s="168">
        <f t="shared" si="2"/>
        <v>2</v>
      </c>
      <c r="AF24" s="168">
        <v>14</v>
      </c>
      <c r="AG24" s="476" t="str">
        <f t="shared" si="3"/>
        <v>E2</v>
      </c>
      <c r="AH24" s="476" t="str">
        <f>IFERROR(IF($F$8=FALSE,Tableau19[[#This Row],[Licence]],IF(AND($F$8=TRUE,$K$8=6),VLOOKUP(VLOOKUP($T$8,'Répartition des poules'!$B$44:$AL$49,AF24+1,FALSE),'GESTION DES JOUEURS'!$R$11:$AB$46,2,FALSE),IF(AND($F$8=TRUE,$K$8=5),VLOOKUP(VLOOKUP($T$8,'Répartition des poules'!$B$36:$AK$42,AF24+1,FALSE),'GESTION DES JOUEURS'!$R$11:$AB$46,2,FALSE),IF(AND($F$8=TRUE,$K$8=4),VLOOKUP(VLOOKUP($T$8,'Répartition des poules'!$B$26:$AL$34,AF24+1,FALSE),'GESTION DES JOUEURS'!$R$11:$AB$46,2,FALSE),IF(AND($F$8=TRUE,$K$8=3),VLOOKUP(VLOOKUP($T$8,'Répartition des poules'!$B$13:$AL$24,AF24+1,FALSE),'GESTION DES JOUEURS'!$R$11:$AB$46,2,FALSE),IF(AND($F$8=TRUE,$K$8=2),VLOOKUP(VLOOKUP($T$8,'Répartition des poules'!$B$2:$AL$11,AF24+1,FALSE),'GESTION DES JOUEURS'!$R$11:$AB$46,2,FALSE),IF(A24="","",B24))))))),"")</f>
        <v/>
      </c>
      <c r="AI24" s="168" t="str">
        <f t="shared" si="4"/>
        <v/>
      </c>
    </row>
    <row r="25" spans="1:35" ht="14.45" customHeight="1" x14ac:dyDescent="0.25">
      <c r="A25" s="471">
        <f>IF(Tableau19[[#This Row],[Licence]]&lt;&gt;"",A24+1,A24)</f>
        <v>11</v>
      </c>
      <c r="B25" s="472"/>
      <c r="C25" s="32" t="str">
        <f>IFERROR(VLOOKUP(Tableau19[[#This Row],[Licence]],Tableau7[[Licence]:[Nom]],7,FALSE),"")</f>
        <v/>
      </c>
      <c r="D25" s="32" t="str">
        <f>IFERROR(VLOOKUP(Tableau19[[#This Row],[Licence]],Tableau7[[Licence]:[Nom]],6,FALSE),"")</f>
        <v/>
      </c>
      <c r="E25" s="32" t="str">
        <f>IFERROR(VLOOKUP(Tableau19[[#This Row],[Licence]],Tableau7[[Licence]:[Nom]],5,FALSE),"")</f>
        <v/>
      </c>
      <c r="F25"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5" s="477"/>
      <c r="H25" s="541"/>
      <c r="I25" s="472"/>
      <c r="J25" s="519"/>
      <c r="K25" s="474" t="b">
        <v>0</v>
      </c>
      <c r="M25" s="715" t="s">
        <v>8119</v>
      </c>
      <c r="O25" s="371" t="str">
        <f>TRIM(IF(Tableau19[[#This Row],[Catégorie]]="NC",Tableau19[[#This Row],[Cat. si NC]],IF(LEFT(Tableau19[[#This Row],[Catégorie]],1)="M","Masters",LEFT(Tableau19[[#This Row],[Catégorie]],2))))</f>
        <v/>
      </c>
      <c r="P25" s="371"/>
      <c r="Q25" s="371" t="str">
        <f t="shared" si="0"/>
        <v/>
      </c>
      <c r="R25" s="475">
        <f t="shared" si="5"/>
        <v>11</v>
      </c>
      <c r="S25" s="475">
        <v>0</v>
      </c>
      <c r="T25" s="475" t="str">
        <v/>
      </c>
      <c r="U25" s="475" t="str">
        <v/>
      </c>
      <c r="V25" s="475" t="str">
        <v/>
      </c>
      <c r="W25" s="475" t="str">
        <v/>
      </c>
      <c r="X25" s="475">
        <v>0</v>
      </c>
      <c r="Y25" s="475">
        <v>0</v>
      </c>
      <c r="Z25" s="475">
        <v>0</v>
      </c>
      <c r="AA25" s="475">
        <v>0</v>
      </c>
      <c r="AB25" s="475" t="b">
        <v>0</v>
      </c>
      <c r="AC25" s="168">
        <f t="shared" si="6"/>
        <v>5</v>
      </c>
      <c r="AD25" s="223" t="str">
        <f t="shared" si="1"/>
        <v>E</v>
      </c>
      <c r="AE25" s="168">
        <f t="shared" si="2"/>
        <v>3</v>
      </c>
      <c r="AF25" s="168">
        <v>15</v>
      </c>
      <c r="AG25" s="476" t="str">
        <f t="shared" si="3"/>
        <v>E3</v>
      </c>
      <c r="AH25" s="476" t="str">
        <f>IFERROR(IF($F$8=FALSE,Tableau19[[#This Row],[Licence]],IF(AND($F$8=TRUE,$K$8=6),VLOOKUP(VLOOKUP($T$8,'Répartition des poules'!$B$44:$AL$49,AF25+1,FALSE),'GESTION DES JOUEURS'!$R$11:$AB$46,2,FALSE),IF(AND($F$8=TRUE,$K$8=5),VLOOKUP(VLOOKUP($T$8,'Répartition des poules'!$B$36:$AK$42,AF25+1,FALSE),'GESTION DES JOUEURS'!$R$11:$AB$46,2,FALSE),IF(AND($F$8=TRUE,$K$8=4),VLOOKUP(VLOOKUP($T$8,'Répartition des poules'!$B$26:$AL$34,AF25+1,FALSE),'GESTION DES JOUEURS'!$R$11:$AB$46,2,FALSE),IF(AND($F$8=TRUE,$K$8=3),VLOOKUP(VLOOKUP($T$8,'Répartition des poules'!$B$13:$AL$24,AF25+1,FALSE),'GESTION DES JOUEURS'!$R$11:$AB$46,2,FALSE),IF(AND($F$8=TRUE,$K$8=2),VLOOKUP(VLOOKUP($T$8,'Répartition des poules'!$B$2:$AL$11,AF25+1,FALSE),'GESTION DES JOUEURS'!$R$11:$AB$46,2,FALSE),IF(A25="","",B25))))))),"")</f>
        <v/>
      </c>
      <c r="AI25" s="168" t="str">
        <f t="shared" si="4"/>
        <v/>
      </c>
    </row>
    <row r="26" spans="1:35" ht="14.45" customHeight="1" x14ac:dyDescent="0.25">
      <c r="A26" s="471">
        <f>IF(Tableau19[[#This Row],[Licence]]&lt;&gt;"",A25+1,A25)</f>
        <v>11</v>
      </c>
      <c r="B26" s="472"/>
      <c r="C26" s="32" t="str">
        <f>IFERROR(VLOOKUP(Tableau19[[#This Row],[Licence]],Tableau7[[Licence]:[Nom]],7,FALSE),"")</f>
        <v/>
      </c>
      <c r="D26" s="32" t="str">
        <f>IFERROR(VLOOKUP(Tableau19[[#This Row],[Licence]],Tableau7[[Licence]:[Nom]],6,FALSE),"")</f>
        <v/>
      </c>
      <c r="E26" s="32" t="str">
        <f>IFERROR(VLOOKUP(Tableau19[[#This Row],[Licence]],Tableau7[[Licence]:[Nom]],5,FALSE),"")</f>
        <v/>
      </c>
      <c r="F26"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6" s="477"/>
      <c r="H26" s="541"/>
      <c r="I26" s="472"/>
      <c r="J26" s="519"/>
      <c r="K26" s="474" t="b">
        <v>0</v>
      </c>
      <c r="M26" s="715"/>
      <c r="O26" s="371" t="str">
        <f>TRIM(IF(Tableau19[[#This Row],[Catégorie]]="NC",Tableau19[[#This Row],[Cat. si NC]],IF(LEFT(Tableau19[[#This Row],[Catégorie]],1)="M","Masters",LEFT(Tableau19[[#This Row],[Catégorie]],2))))</f>
        <v/>
      </c>
      <c r="P26" s="371"/>
      <c r="Q26" s="371" t="str">
        <f t="shared" si="0"/>
        <v/>
      </c>
      <c r="R26" s="475">
        <f t="shared" si="5"/>
        <v>11</v>
      </c>
      <c r="S26" s="475">
        <v>0</v>
      </c>
      <c r="T26" s="475" t="str">
        <v/>
      </c>
      <c r="U26" s="475" t="str">
        <v/>
      </c>
      <c r="V26" s="475" t="str">
        <v/>
      </c>
      <c r="W26" s="475" t="str">
        <v/>
      </c>
      <c r="X26" s="475">
        <v>0</v>
      </c>
      <c r="Y26" s="475">
        <v>0</v>
      </c>
      <c r="Z26" s="475">
        <v>0</v>
      </c>
      <c r="AA26" s="475">
        <v>0</v>
      </c>
      <c r="AB26" s="475" t="b">
        <v>0</v>
      </c>
      <c r="AC26" s="168">
        <f t="shared" si="6"/>
        <v>6</v>
      </c>
      <c r="AD26" s="223" t="str">
        <f t="shared" si="1"/>
        <v>F</v>
      </c>
      <c r="AE26" s="168">
        <f t="shared" si="2"/>
        <v>1</v>
      </c>
      <c r="AF26" s="168">
        <v>16</v>
      </c>
      <c r="AG26" s="476" t="str">
        <f t="shared" si="3"/>
        <v>F1</v>
      </c>
      <c r="AH26" s="476" t="str">
        <f>IFERROR(IF($F$8=FALSE,Tableau19[[#This Row],[Licence]],IF(AND($F$8=TRUE,$K$8=6),VLOOKUP(VLOOKUP($T$8,'Répartition des poules'!$B$44:$AL$49,AF26+1,FALSE),'GESTION DES JOUEURS'!$R$11:$AB$46,2,FALSE),IF(AND($F$8=TRUE,$K$8=5),VLOOKUP(VLOOKUP($T$8,'Répartition des poules'!$B$36:$AK$42,AF26+1,FALSE),'GESTION DES JOUEURS'!$R$11:$AB$46,2,FALSE),IF(AND($F$8=TRUE,$K$8=4),VLOOKUP(VLOOKUP($T$8,'Répartition des poules'!$B$26:$AL$34,AF26+1,FALSE),'GESTION DES JOUEURS'!$R$11:$AB$46,2,FALSE),IF(AND($F$8=TRUE,$K$8=3),VLOOKUP(VLOOKUP($T$8,'Répartition des poules'!$B$13:$AL$24,AF26+1,FALSE),'GESTION DES JOUEURS'!$R$11:$AB$46,2,FALSE),IF(AND($F$8=TRUE,$K$8=2),VLOOKUP(VLOOKUP($T$8,'Répartition des poules'!$B$2:$AL$11,AF26+1,FALSE),'GESTION DES JOUEURS'!$R$11:$AB$46,2,FALSE),IF(A26="","",B26))))))),"")</f>
        <v/>
      </c>
      <c r="AI26" s="168" t="str">
        <f t="shared" si="4"/>
        <v/>
      </c>
    </row>
    <row r="27" spans="1:35" ht="14.45" customHeight="1" x14ac:dyDescent="0.25">
      <c r="A27" s="471">
        <f>IF(Tableau19[[#This Row],[Licence]]&lt;&gt;"",A26+1,A26)</f>
        <v>11</v>
      </c>
      <c r="B27" s="472"/>
      <c r="C27" s="32" t="str">
        <f>IFERROR(VLOOKUP(Tableau19[[#This Row],[Licence]],Tableau7[[Licence]:[Nom]],7,FALSE),"")</f>
        <v/>
      </c>
      <c r="D27" s="32" t="str">
        <f>IFERROR(VLOOKUP(Tableau19[[#This Row],[Licence]],Tableau7[[Licence]:[Nom]],6,FALSE),"")</f>
        <v/>
      </c>
      <c r="E27" s="32" t="str">
        <f>IFERROR(VLOOKUP(Tableau19[[#This Row],[Licence]],Tableau7[[Licence]:[Nom]],5,FALSE),"")</f>
        <v/>
      </c>
      <c r="F27"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7" s="477"/>
      <c r="H27" s="541"/>
      <c r="I27" s="472"/>
      <c r="J27" s="519"/>
      <c r="K27" s="474" t="b">
        <v>0</v>
      </c>
      <c r="M27" s="716" t="s">
        <v>8120</v>
      </c>
      <c r="O27" s="371" t="str">
        <f>TRIM(IF(Tableau19[[#This Row],[Catégorie]]="NC",Tableau19[[#This Row],[Cat. si NC]],IF(LEFT(Tableau19[[#This Row],[Catégorie]],1)="M","Masters",LEFT(Tableau19[[#This Row],[Catégorie]],2))))</f>
        <v/>
      </c>
      <c r="P27" s="371"/>
      <c r="Q27" s="371" t="str">
        <f t="shared" si="0"/>
        <v/>
      </c>
      <c r="R27" s="475">
        <f t="shared" si="5"/>
        <v>11</v>
      </c>
      <c r="S27" s="475">
        <v>0</v>
      </c>
      <c r="T27" s="475" t="str">
        <v/>
      </c>
      <c r="U27" s="475" t="str">
        <v/>
      </c>
      <c r="V27" s="475" t="str">
        <v/>
      </c>
      <c r="W27" s="475" t="str">
        <v/>
      </c>
      <c r="X27" s="475">
        <v>0</v>
      </c>
      <c r="Y27" s="475">
        <v>0</v>
      </c>
      <c r="Z27" s="475">
        <v>0</v>
      </c>
      <c r="AA27" s="475">
        <v>0</v>
      </c>
      <c r="AB27" s="475" t="b">
        <v>0</v>
      </c>
      <c r="AC27" s="168">
        <f t="shared" si="6"/>
        <v>6</v>
      </c>
      <c r="AD27" s="223" t="str">
        <f t="shared" si="1"/>
        <v>F</v>
      </c>
      <c r="AE27" s="168">
        <f t="shared" si="2"/>
        <v>2</v>
      </c>
      <c r="AF27" s="168">
        <v>17</v>
      </c>
      <c r="AG27" s="476" t="str">
        <f t="shared" si="3"/>
        <v>F2</v>
      </c>
      <c r="AH27" s="476" t="str">
        <f>IFERROR(IF($F$8=FALSE,Tableau19[[#This Row],[Licence]],IF(AND($F$8=TRUE,$K$8=6),VLOOKUP(VLOOKUP($T$8,'Répartition des poules'!$B$44:$AL$49,AF27+1,FALSE),'GESTION DES JOUEURS'!$R$11:$AB$46,2,FALSE),IF(AND($F$8=TRUE,$K$8=5),VLOOKUP(VLOOKUP($T$8,'Répartition des poules'!$B$36:$AK$42,AF27+1,FALSE),'GESTION DES JOUEURS'!$R$11:$AB$46,2,FALSE),IF(AND($F$8=TRUE,$K$8=4),VLOOKUP(VLOOKUP($T$8,'Répartition des poules'!$B$26:$AL$34,AF27+1,FALSE),'GESTION DES JOUEURS'!$R$11:$AB$46,2,FALSE),IF(AND($F$8=TRUE,$K$8=3),VLOOKUP(VLOOKUP($T$8,'Répartition des poules'!$B$13:$AL$24,AF27+1,FALSE),'GESTION DES JOUEURS'!$R$11:$AB$46,2,FALSE),IF(AND($F$8=TRUE,$K$8=2),VLOOKUP(VLOOKUP($T$8,'Répartition des poules'!$B$2:$AL$11,AF27+1,FALSE),'GESTION DES JOUEURS'!$R$11:$AB$46,2,FALSE),IF(A27="","",B27))))))),"")</f>
        <v/>
      </c>
      <c r="AI27" s="168" t="str">
        <f t="shared" si="4"/>
        <v/>
      </c>
    </row>
    <row r="28" spans="1:35" ht="14.45" customHeight="1" x14ac:dyDescent="0.25">
      <c r="A28" s="471">
        <f>IF(Tableau19[[#This Row],[Licence]]&lt;&gt;"",A27+1,A27)</f>
        <v>11</v>
      </c>
      <c r="B28" s="472"/>
      <c r="C28" s="32" t="str">
        <f>IFERROR(VLOOKUP(Tableau19[[#This Row],[Licence]],Tableau7[[Licence]:[Nom]],7,FALSE),"")</f>
        <v/>
      </c>
      <c r="D28" s="32" t="str">
        <f>IFERROR(VLOOKUP(Tableau19[[#This Row],[Licence]],Tableau7[[Licence]:[Nom]],6,FALSE),"")</f>
        <v/>
      </c>
      <c r="E28" s="32" t="str">
        <f>IFERROR(VLOOKUP(Tableau19[[#This Row],[Licence]],Tableau7[[Licence]:[Nom]],5,FALSE),"")</f>
        <v/>
      </c>
      <c r="F28"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8" s="477"/>
      <c r="H28" s="541"/>
      <c r="I28" s="472"/>
      <c r="J28" s="519"/>
      <c r="K28" s="474" t="b">
        <v>0</v>
      </c>
      <c r="M28" s="716"/>
      <c r="O28" s="371" t="str">
        <f>TRIM(IF(Tableau19[[#This Row],[Catégorie]]="NC",Tableau19[[#This Row],[Cat. si NC]],IF(LEFT(Tableau19[[#This Row],[Catégorie]],1)="M","Masters",LEFT(Tableau19[[#This Row],[Catégorie]],2))))</f>
        <v/>
      </c>
      <c r="P28" s="371"/>
      <c r="Q28" s="371" t="str">
        <f t="shared" si="0"/>
        <v/>
      </c>
      <c r="R28" s="475">
        <f t="shared" si="5"/>
        <v>11</v>
      </c>
      <c r="S28" s="475">
        <v>0</v>
      </c>
      <c r="T28" s="475" t="str">
        <v/>
      </c>
      <c r="U28" s="475" t="str">
        <v/>
      </c>
      <c r="V28" s="475" t="str">
        <v/>
      </c>
      <c r="W28" s="475" t="str">
        <v/>
      </c>
      <c r="X28" s="475">
        <v>0</v>
      </c>
      <c r="Y28" s="475">
        <v>0</v>
      </c>
      <c r="Z28" s="475">
        <v>0</v>
      </c>
      <c r="AA28" s="475">
        <v>0</v>
      </c>
      <c r="AB28" s="475" t="b">
        <v>0</v>
      </c>
      <c r="AC28" s="168">
        <f t="shared" si="6"/>
        <v>6</v>
      </c>
      <c r="AD28" s="223" t="str">
        <f t="shared" si="1"/>
        <v>F</v>
      </c>
      <c r="AE28" s="168">
        <f t="shared" si="2"/>
        <v>3</v>
      </c>
      <c r="AF28" s="168">
        <v>18</v>
      </c>
      <c r="AG28" s="476" t="str">
        <f t="shared" si="3"/>
        <v>F3</v>
      </c>
      <c r="AH28" s="476" t="str">
        <f>IFERROR(IF($F$8=FALSE,Tableau19[[#This Row],[Licence]],IF(AND($F$8=TRUE,$K$8=6),VLOOKUP(VLOOKUP($T$8,'Répartition des poules'!$B$44:$AL$49,AF28+1,FALSE),'GESTION DES JOUEURS'!$R$11:$AB$46,2,FALSE),IF(AND($F$8=TRUE,$K$8=5),VLOOKUP(VLOOKUP($T$8,'Répartition des poules'!$B$36:$AK$42,AF28+1,FALSE),'GESTION DES JOUEURS'!$R$11:$AB$46,2,FALSE),IF(AND($F$8=TRUE,$K$8=4),VLOOKUP(VLOOKUP($T$8,'Répartition des poules'!$B$26:$AL$34,AF28+1,FALSE),'GESTION DES JOUEURS'!$R$11:$AB$46,2,FALSE),IF(AND($F$8=TRUE,$K$8=3),VLOOKUP(VLOOKUP($T$8,'Répartition des poules'!$B$13:$AL$24,AF28+1,FALSE),'GESTION DES JOUEURS'!$R$11:$AB$46,2,FALSE),IF(AND($F$8=TRUE,$K$8=2),VLOOKUP(VLOOKUP($T$8,'Répartition des poules'!$B$2:$AL$11,AF28+1,FALSE),'GESTION DES JOUEURS'!$R$11:$AB$46,2,FALSE),IF(A28="","",B28))))))),"")</f>
        <v/>
      </c>
      <c r="AI28" s="168" t="str">
        <f t="shared" si="4"/>
        <v/>
      </c>
    </row>
    <row r="29" spans="1:35" ht="14.45" customHeight="1" x14ac:dyDescent="0.25">
      <c r="A29" s="471">
        <f>IF(Tableau19[[#This Row],[Licence]]&lt;&gt;"",A28+1,A28)</f>
        <v>11</v>
      </c>
      <c r="B29" s="472"/>
      <c r="C29" s="32" t="str">
        <f>IFERROR(VLOOKUP(Tableau19[[#This Row],[Licence]],Tableau7[[Licence]:[Nom]],7,FALSE),"")</f>
        <v/>
      </c>
      <c r="D29" s="32" t="str">
        <f>IFERROR(VLOOKUP(Tableau19[[#This Row],[Licence]],Tableau7[[Licence]:[Nom]],6,FALSE),"")</f>
        <v/>
      </c>
      <c r="E29" s="32" t="str">
        <f>IFERROR(VLOOKUP(Tableau19[[#This Row],[Licence]],Tableau7[[Licence]:[Nom]],5,FALSE),"")</f>
        <v/>
      </c>
      <c r="F29"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29" s="477"/>
      <c r="H29" s="541"/>
      <c r="I29" s="472"/>
      <c r="J29" s="519"/>
      <c r="K29" s="474" t="b">
        <v>0</v>
      </c>
      <c r="M29" s="717" t="s">
        <v>8121</v>
      </c>
      <c r="O29" s="371" t="str">
        <f>TRIM(IF(Tableau19[[#This Row],[Catégorie]]="NC",Tableau19[[#This Row],[Cat. si NC]],IF(LEFT(Tableau19[[#This Row],[Catégorie]],1)="M","Masters",LEFT(Tableau19[[#This Row],[Catégorie]],2))))</f>
        <v/>
      </c>
      <c r="P29" s="371"/>
      <c r="Q29" s="371" t="str">
        <f t="shared" si="0"/>
        <v/>
      </c>
      <c r="R29" s="475">
        <f t="shared" si="5"/>
        <v>11</v>
      </c>
      <c r="S29" s="475">
        <v>0</v>
      </c>
      <c r="T29" s="475" t="str">
        <v/>
      </c>
      <c r="U29" s="475" t="str">
        <v/>
      </c>
      <c r="V29" s="475" t="str">
        <v/>
      </c>
      <c r="W29" s="475" t="str">
        <v/>
      </c>
      <c r="X29" s="475">
        <v>0</v>
      </c>
      <c r="Y29" s="475">
        <v>0</v>
      </c>
      <c r="Z29" s="475">
        <v>0</v>
      </c>
      <c r="AA29" s="475">
        <v>0</v>
      </c>
      <c r="AB29" s="475" t="b">
        <v>0</v>
      </c>
      <c r="AC29" s="168">
        <f t="shared" si="6"/>
        <v>7</v>
      </c>
      <c r="AD29" s="223" t="str">
        <f t="shared" si="1"/>
        <v>G</v>
      </c>
      <c r="AE29" s="168">
        <f t="shared" si="2"/>
        <v>1</v>
      </c>
      <c r="AF29" s="168">
        <v>19</v>
      </c>
      <c r="AG29" s="476" t="str">
        <f t="shared" si="3"/>
        <v>G1</v>
      </c>
      <c r="AH29" s="476" t="str">
        <f>IFERROR(IF($F$8=FALSE,Tableau19[[#This Row],[Licence]],IF(AND($F$8=TRUE,$K$8=6),VLOOKUP(VLOOKUP($T$8,'Répartition des poules'!$B$44:$AL$49,AF29+1,FALSE),'GESTION DES JOUEURS'!$R$11:$AB$46,2,FALSE),IF(AND($F$8=TRUE,$K$8=5),VLOOKUP(VLOOKUP($T$8,'Répartition des poules'!$B$36:$AK$42,AF29+1,FALSE),'GESTION DES JOUEURS'!$R$11:$AB$46,2,FALSE),IF(AND($F$8=TRUE,$K$8=4),VLOOKUP(VLOOKUP($T$8,'Répartition des poules'!$B$26:$AL$34,AF29+1,FALSE),'GESTION DES JOUEURS'!$R$11:$AB$46,2,FALSE),IF(AND($F$8=TRUE,$K$8=3),VLOOKUP(VLOOKUP($T$8,'Répartition des poules'!$B$13:$AL$24,AF29+1,FALSE),'GESTION DES JOUEURS'!$R$11:$AB$46,2,FALSE),IF(AND($F$8=TRUE,$K$8=2),VLOOKUP(VLOOKUP($T$8,'Répartition des poules'!$B$2:$AL$11,AF29+1,FALSE),'GESTION DES JOUEURS'!$R$11:$AB$46,2,FALSE),IF(A29="","",B29))))))),"")</f>
        <v/>
      </c>
      <c r="AI29" s="168" t="str">
        <f t="shared" si="4"/>
        <v/>
      </c>
    </row>
    <row r="30" spans="1:35" ht="14.45" customHeight="1" x14ac:dyDescent="0.25">
      <c r="A30" s="471">
        <f>IF(Tableau19[[#This Row],[Licence]]&lt;&gt;"",A29+1,A29)</f>
        <v>11</v>
      </c>
      <c r="B30" s="472"/>
      <c r="C30" s="32" t="str">
        <f>IFERROR(VLOOKUP(Tableau19[[#This Row],[Licence]],Tableau7[[Licence]:[Nom]],7,FALSE),"")</f>
        <v/>
      </c>
      <c r="D30" s="32" t="str">
        <f>IFERROR(VLOOKUP(Tableau19[[#This Row],[Licence]],Tableau7[[Licence]:[Nom]],6,FALSE),"")</f>
        <v/>
      </c>
      <c r="E30" s="32" t="str">
        <f>IFERROR(VLOOKUP(Tableau19[[#This Row],[Licence]],Tableau7[[Licence]:[Nom]],5,FALSE),"")</f>
        <v/>
      </c>
      <c r="F30"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0" s="477"/>
      <c r="H30" s="541"/>
      <c r="I30" s="472"/>
      <c r="J30" s="519"/>
      <c r="K30" s="474" t="b">
        <v>0</v>
      </c>
      <c r="M30" s="717"/>
      <c r="O30" s="371" t="str">
        <f>TRIM(IF(Tableau19[[#This Row],[Catégorie]]="NC",Tableau19[[#This Row],[Cat. si NC]],IF(LEFT(Tableau19[[#This Row],[Catégorie]],1)="M","Masters",LEFT(Tableau19[[#This Row],[Catégorie]],2))))</f>
        <v/>
      </c>
      <c r="P30" s="371"/>
      <c r="Q30" s="371" t="str">
        <f t="shared" si="0"/>
        <v/>
      </c>
      <c r="R30" s="475">
        <f t="shared" si="5"/>
        <v>11</v>
      </c>
      <c r="S30" s="475">
        <v>0</v>
      </c>
      <c r="T30" s="475" t="str">
        <v/>
      </c>
      <c r="U30" s="475" t="str">
        <v/>
      </c>
      <c r="V30" s="475" t="str">
        <v/>
      </c>
      <c r="W30" s="475" t="str">
        <v/>
      </c>
      <c r="X30" s="475">
        <v>0</v>
      </c>
      <c r="Y30" s="475">
        <v>0</v>
      </c>
      <c r="Z30" s="475">
        <v>0</v>
      </c>
      <c r="AA30" s="475">
        <v>0</v>
      </c>
      <c r="AB30" s="475" t="b">
        <v>0</v>
      </c>
      <c r="AC30" s="168">
        <f t="shared" si="6"/>
        <v>7</v>
      </c>
      <c r="AD30" s="223" t="str">
        <f t="shared" si="1"/>
        <v>G</v>
      </c>
      <c r="AE30" s="168">
        <f t="shared" si="2"/>
        <v>2</v>
      </c>
      <c r="AF30" s="168">
        <v>20</v>
      </c>
      <c r="AG30" s="476" t="str">
        <f t="shared" si="3"/>
        <v>G2</v>
      </c>
      <c r="AH30" s="476" t="str">
        <f>IFERROR(IF($F$8=FALSE,Tableau19[[#This Row],[Licence]],IF(AND($F$8=TRUE,$K$8=6),VLOOKUP(VLOOKUP($T$8,'Répartition des poules'!$B$44:$AL$49,AF30+1,FALSE),'GESTION DES JOUEURS'!$R$11:$AB$46,2,FALSE),IF(AND($F$8=TRUE,$K$8=5),VLOOKUP(VLOOKUP($T$8,'Répartition des poules'!$B$36:$AK$42,AF30+1,FALSE),'GESTION DES JOUEURS'!$R$11:$AB$46,2,FALSE),IF(AND($F$8=TRUE,$K$8=4),VLOOKUP(VLOOKUP($T$8,'Répartition des poules'!$B$26:$AL$34,AF30+1,FALSE),'GESTION DES JOUEURS'!$R$11:$AB$46,2,FALSE),IF(AND($F$8=TRUE,$K$8=3),VLOOKUP(VLOOKUP($T$8,'Répartition des poules'!$B$13:$AL$24,AF30+1,FALSE),'GESTION DES JOUEURS'!$R$11:$AB$46,2,FALSE),IF(AND($F$8=TRUE,$K$8=2),VLOOKUP(VLOOKUP($T$8,'Répartition des poules'!$B$2:$AL$11,AF30+1,FALSE),'GESTION DES JOUEURS'!$R$11:$AB$46,2,FALSE),IF(A30="","",B30))))))),"")</f>
        <v/>
      </c>
      <c r="AI30" s="168" t="str">
        <f t="shared" si="4"/>
        <v/>
      </c>
    </row>
    <row r="31" spans="1:35" ht="14.45" customHeight="1" x14ac:dyDescent="0.25">
      <c r="A31" s="471">
        <f>IF(Tableau19[[#This Row],[Licence]]&lt;&gt;"",A30+1,A30)</f>
        <v>11</v>
      </c>
      <c r="B31" s="472"/>
      <c r="C31" s="32" t="str">
        <f>IFERROR(VLOOKUP(Tableau19[[#This Row],[Licence]],Tableau7[[Licence]:[Nom]],7,FALSE),"")</f>
        <v/>
      </c>
      <c r="D31" s="32" t="str">
        <f>IFERROR(VLOOKUP(Tableau19[[#This Row],[Licence]],Tableau7[[Licence]:[Nom]],6,FALSE),"")</f>
        <v/>
      </c>
      <c r="E31" s="32" t="str">
        <f>IFERROR(VLOOKUP(Tableau19[[#This Row],[Licence]],Tableau7[[Licence]:[Nom]],5,FALSE),"")</f>
        <v/>
      </c>
      <c r="F31"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1" s="477"/>
      <c r="H31" s="541"/>
      <c r="I31" s="472"/>
      <c r="J31" s="519"/>
      <c r="K31" s="474" t="b">
        <v>0</v>
      </c>
      <c r="M31" s="720" t="s">
        <v>8124</v>
      </c>
      <c r="O31" s="371" t="str">
        <f>TRIM(IF(Tableau19[[#This Row],[Catégorie]]="NC",Tableau19[[#This Row],[Cat. si NC]],IF(LEFT(Tableau19[[#This Row],[Catégorie]],1)="M","Masters",LEFT(Tableau19[[#This Row],[Catégorie]],2))))</f>
        <v/>
      </c>
      <c r="P31" s="371"/>
      <c r="Q31" s="371" t="str">
        <f t="shared" si="0"/>
        <v/>
      </c>
      <c r="R31" s="475">
        <f t="shared" si="5"/>
        <v>11</v>
      </c>
      <c r="S31" s="475">
        <v>0</v>
      </c>
      <c r="T31" s="475" t="str">
        <v/>
      </c>
      <c r="U31" s="475" t="str">
        <v/>
      </c>
      <c r="V31" s="475" t="str">
        <v/>
      </c>
      <c r="W31" s="475" t="str">
        <v/>
      </c>
      <c r="X31" s="475">
        <v>0</v>
      </c>
      <c r="Y31" s="475">
        <v>0</v>
      </c>
      <c r="Z31" s="475">
        <v>0</v>
      </c>
      <c r="AA31" s="475">
        <v>0</v>
      </c>
      <c r="AB31" s="475" t="b">
        <v>0</v>
      </c>
      <c r="AC31" s="168">
        <f t="shared" si="6"/>
        <v>7</v>
      </c>
      <c r="AD31" s="223" t="str">
        <f t="shared" si="1"/>
        <v>G</v>
      </c>
      <c r="AE31" s="168">
        <f t="shared" si="2"/>
        <v>3</v>
      </c>
      <c r="AF31" s="168">
        <v>21</v>
      </c>
      <c r="AG31" s="476" t="str">
        <f t="shared" si="3"/>
        <v>G3</v>
      </c>
      <c r="AH31" s="476" t="str">
        <f>IFERROR(IF($F$8=FALSE,Tableau19[[#This Row],[Licence]],IF(AND($F$8=TRUE,$K$8=6),VLOOKUP(VLOOKUP($T$8,'Répartition des poules'!$B$44:$AL$49,AF31+1,FALSE),'GESTION DES JOUEURS'!$R$11:$AB$46,2,FALSE),IF(AND($F$8=TRUE,$K$8=5),VLOOKUP(VLOOKUP($T$8,'Répartition des poules'!$B$36:$AK$42,AF31+1,FALSE),'GESTION DES JOUEURS'!$R$11:$AB$46,2,FALSE),IF(AND($F$8=TRUE,$K$8=4),VLOOKUP(VLOOKUP($T$8,'Répartition des poules'!$B$26:$AL$34,AF31+1,FALSE),'GESTION DES JOUEURS'!$R$11:$AB$46,2,FALSE),IF(AND($F$8=TRUE,$K$8=3),VLOOKUP(VLOOKUP($T$8,'Répartition des poules'!$B$13:$AL$24,AF31+1,FALSE),'GESTION DES JOUEURS'!$R$11:$AB$46,2,FALSE),IF(AND($F$8=TRUE,$K$8=2),VLOOKUP(VLOOKUP($T$8,'Répartition des poules'!$B$2:$AL$11,AF31+1,FALSE),'GESTION DES JOUEURS'!$R$11:$AB$46,2,FALSE),IF(A31="","",B31))))))),"")</f>
        <v/>
      </c>
      <c r="AI31" s="168" t="str">
        <f t="shared" si="4"/>
        <v/>
      </c>
    </row>
    <row r="32" spans="1:35" ht="14.45" customHeight="1" x14ac:dyDescent="0.25">
      <c r="A32" s="471">
        <f>IF(Tableau19[[#This Row],[Licence]]&lt;&gt;"",A31+1,A31)</f>
        <v>11</v>
      </c>
      <c r="B32" s="472"/>
      <c r="C32" s="32" t="str">
        <f>IFERROR(VLOOKUP(Tableau19[[#This Row],[Licence]],Tableau7[[Licence]:[Nom]],7,FALSE),"")</f>
        <v/>
      </c>
      <c r="D32" s="32" t="str">
        <f>IFERROR(VLOOKUP(Tableau19[[#This Row],[Licence]],Tableau7[[Licence]:[Nom]],6,FALSE),"")</f>
        <v/>
      </c>
      <c r="E32" s="32" t="str">
        <f>IFERROR(VLOOKUP(Tableau19[[#This Row],[Licence]],Tableau7[[Licence]:[Nom]],5,FALSE),"")</f>
        <v/>
      </c>
      <c r="F32"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2" s="477"/>
      <c r="H32" s="541"/>
      <c r="I32" s="472"/>
      <c r="J32" s="519"/>
      <c r="K32" s="474" t="b">
        <v>0</v>
      </c>
      <c r="M32" s="720"/>
      <c r="O32" s="371" t="str">
        <f>TRIM(IF(Tableau19[[#This Row],[Catégorie]]="NC",Tableau19[[#This Row],[Cat. si NC]],IF(LEFT(Tableau19[[#This Row],[Catégorie]],1)="M","Masters",LEFT(Tableau19[[#This Row],[Catégorie]],2))))</f>
        <v/>
      </c>
      <c r="P32" s="371"/>
      <c r="Q32" s="371" t="str">
        <f t="shared" si="0"/>
        <v/>
      </c>
      <c r="R32" s="475">
        <f t="shared" si="5"/>
        <v>11</v>
      </c>
      <c r="S32" s="475">
        <v>0</v>
      </c>
      <c r="T32" s="475" t="str">
        <v/>
      </c>
      <c r="U32" s="475" t="str">
        <v/>
      </c>
      <c r="V32" s="475" t="str">
        <v/>
      </c>
      <c r="W32" s="475" t="str">
        <v/>
      </c>
      <c r="X32" s="475">
        <v>0</v>
      </c>
      <c r="Y32" s="475">
        <v>0</v>
      </c>
      <c r="Z32" s="475">
        <v>0</v>
      </c>
      <c r="AA32" s="475">
        <v>0</v>
      </c>
      <c r="AB32" s="475" t="b">
        <v>0</v>
      </c>
      <c r="AC32" s="168">
        <f t="shared" si="6"/>
        <v>8</v>
      </c>
      <c r="AD32" s="223" t="str">
        <f t="shared" si="1"/>
        <v>H</v>
      </c>
      <c r="AE32" s="168">
        <f t="shared" si="2"/>
        <v>1</v>
      </c>
      <c r="AF32" s="168">
        <v>22</v>
      </c>
      <c r="AG32" s="476" t="str">
        <f t="shared" si="3"/>
        <v>H1</v>
      </c>
      <c r="AH32" s="476" t="str">
        <f>IFERROR(IF($F$8=FALSE,Tableau19[[#This Row],[Licence]],IF(AND($F$8=TRUE,$K$8=6),VLOOKUP(VLOOKUP($T$8,'Répartition des poules'!$B$44:$AL$49,AF32+1,FALSE),'GESTION DES JOUEURS'!$R$11:$AB$46,2,FALSE),IF(AND($F$8=TRUE,$K$8=5),VLOOKUP(VLOOKUP($T$8,'Répartition des poules'!$B$36:$AK$42,AF32+1,FALSE),'GESTION DES JOUEURS'!$R$11:$AB$46,2,FALSE),IF(AND($F$8=TRUE,$K$8=4),VLOOKUP(VLOOKUP($T$8,'Répartition des poules'!$B$26:$AL$34,AF32+1,FALSE),'GESTION DES JOUEURS'!$R$11:$AB$46,2,FALSE),IF(AND($F$8=TRUE,$K$8=3),VLOOKUP(VLOOKUP($T$8,'Répartition des poules'!$B$13:$AL$24,AF32+1,FALSE),'GESTION DES JOUEURS'!$R$11:$AB$46,2,FALSE),IF(AND($F$8=TRUE,$K$8=2),VLOOKUP(VLOOKUP($T$8,'Répartition des poules'!$B$2:$AL$11,AF32+1,FALSE),'GESTION DES JOUEURS'!$R$11:$AB$46,2,FALSE),IF(A32="","",B32))))))),"")</f>
        <v/>
      </c>
      <c r="AI32" s="168" t="str">
        <f t="shared" si="4"/>
        <v/>
      </c>
    </row>
    <row r="33" spans="1:35" ht="14.45" customHeight="1" x14ac:dyDescent="0.25">
      <c r="A33" s="471">
        <f>IF(Tableau19[[#This Row],[Licence]]&lt;&gt;"",A32+1,A32)</f>
        <v>11</v>
      </c>
      <c r="B33" s="472"/>
      <c r="C33" s="32" t="str">
        <f>IFERROR(VLOOKUP(Tableau19[[#This Row],[Licence]],Tableau7[[Licence]:[Nom]],7,FALSE),"")</f>
        <v/>
      </c>
      <c r="D33" s="32" t="str">
        <f>IFERROR(VLOOKUP(Tableau19[[#This Row],[Licence]],Tableau7[[Licence]:[Nom]],6,FALSE),"")</f>
        <v/>
      </c>
      <c r="E33" s="32" t="str">
        <f>IFERROR(VLOOKUP(Tableau19[[#This Row],[Licence]],Tableau7[[Licence]:[Nom]],5,FALSE),"")</f>
        <v/>
      </c>
      <c r="F33"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3" s="477"/>
      <c r="H33" s="541"/>
      <c r="I33" s="472"/>
      <c r="J33" s="519"/>
      <c r="K33" s="474" t="b">
        <v>0</v>
      </c>
      <c r="M33" s="721" t="s">
        <v>8125</v>
      </c>
      <c r="O33" s="371" t="str">
        <f>TRIM(IF(Tableau19[[#This Row],[Catégorie]]="NC",Tableau19[[#This Row],[Cat. si NC]],IF(LEFT(Tableau19[[#This Row],[Catégorie]],1)="M","Masters",LEFT(Tableau19[[#This Row],[Catégorie]],2))))</f>
        <v/>
      </c>
      <c r="P33" s="371"/>
      <c r="Q33" s="371" t="str">
        <f t="shared" si="0"/>
        <v/>
      </c>
      <c r="R33" s="475">
        <f t="shared" si="5"/>
        <v>11</v>
      </c>
      <c r="S33" s="475">
        <v>0</v>
      </c>
      <c r="T33" s="475" t="str">
        <v/>
      </c>
      <c r="U33" s="475" t="str">
        <v/>
      </c>
      <c r="V33" s="475" t="str">
        <v/>
      </c>
      <c r="W33" s="475" t="str">
        <v/>
      </c>
      <c r="X33" s="475">
        <v>0</v>
      </c>
      <c r="Y33" s="475">
        <v>0</v>
      </c>
      <c r="Z33" s="475">
        <v>0</v>
      </c>
      <c r="AA33" s="475">
        <v>0</v>
      </c>
      <c r="AB33" s="475" t="b">
        <v>0</v>
      </c>
      <c r="AC33" s="168">
        <f t="shared" si="6"/>
        <v>8</v>
      </c>
      <c r="AD33" s="223" t="str">
        <f t="shared" si="1"/>
        <v>H</v>
      </c>
      <c r="AE33" s="168">
        <f t="shared" si="2"/>
        <v>2</v>
      </c>
      <c r="AF33" s="168">
        <v>23</v>
      </c>
      <c r="AG33" s="476" t="str">
        <f t="shared" si="3"/>
        <v>H2</v>
      </c>
      <c r="AH33" s="476" t="str">
        <f>IFERROR(IF($F$8=FALSE,Tableau19[[#This Row],[Licence]],IF(AND($F$8=TRUE,$K$8=6),VLOOKUP(VLOOKUP($T$8,'Répartition des poules'!$B$44:$AL$49,AF33+1,FALSE),'GESTION DES JOUEURS'!$R$11:$AB$46,2,FALSE),IF(AND($F$8=TRUE,$K$8=5),VLOOKUP(VLOOKUP($T$8,'Répartition des poules'!$B$36:$AK$42,AF33+1,FALSE),'GESTION DES JOUEURS'!$R$11:$AB$46,2,FALSE),IF(AND($F$8=TRUE,$K$8=4),VLOOKUP(VLOOKUP($T$8,'Répartition des poules'!$B$26:$AL$34,AF33+1,FALSE),'GESTION DES JOUEURS'!$R$11:$AB$46,2,FALSE),IF(AND($F$8=TRUE,$K$8=3),VLOOKUP(VLOOKUP($T$8,'Répartition des poules'!$B$13:$AL$24,AF33+1,FALSE),'GESTION DES JOUEURS'!$R$11:$AB$46,2,FALSE),IF(AND($F$8=TRUE,$K$8=2),VLOOKUP(VLOOKUP($T$8,'Répartition des poules'!$B$2:$AL$11,AF33+1,FALSE),'GESTION DES JOUEURS'!$R$11:$AB$46,2,FALSE),IF(A33="","",B33))))))),"")</f>
        <v/>
      </c>
      <c r="AI33" s="168" t="str">
        <f t="shared" si="4"/>
        <v/>
      </c>
    </row>
    <row r="34" spans="1:35" ht="15" customHeight="1" thickBot="1" x14ac:dyDescent="0.3">
      <c r="A34" s="471">
        <f>IF(Tableau19[[#This Row],[Licence]]&lt;&gt;"",A33+1,A33)</f>
        <v>11</v>
      </c>
      <c r="B34" s="472"/>
      <c r="C34" s="32" t="str">
        <f>IFERROR(VLOOKUP(Tableau19[[#This Row],[Licence]],Tableau7[[Licence]:[Nom]],7,FALSE),"")</f>
        <v/>
      </c>
      <c r="D34" s="32" t="str">
        <f>IFERROR(VLOOKUP(Tableau19[[#This Row],[Licence]],Tableau7[[Licence]:[Nom]],6,FALSE),"")</f>
        <v/>
      </c>
      <c r="E34" s="32" t="str">
        <f>IFERROR(VLOOKUP(Tableau19[[#This Row],[Licence]],Tableau7[[Licence]:[Nom]],5,FALSE),"")</f>
        <v/>
      </c>
      <c r="F34"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4" s="477"/>
      <c r="H34" s="541"/>
      <c r="I34" s="472"/>
      <c r="J34" s="519"/>
      <c r="K34" s="474" t="b">
        <v>0</v>
      </c>
      <c r="M34" s="722"/>
      <c r="O34" s="371" t="str">
        <f>TRIM(IF(Tableau19[[#This Row],[Catégorie]]="NC",Tableau19[[#This Row],[Cat. si NC]],IF(LEFT(Tableau19[[#This Row],[Catégorie]],1)="M","Masters",LEFT(Tableau19[[#This Row],[Catégorie]],2))))</f>
        <v/>
      </c>
      <c r="P34" s="371"/>
      <c r="Q34" s="371" t="str">
        <f t="shared" si="0"/>
        <v/>
      </c>
      <c r="R34" s="475">
        <f t="shared" si="5"/>
        <v>11</v>
      </c>
      <c r="S34" s="475">
        <v>0</v>
      </c>
      <c r="T34" s="475" t="str">
        <v/>
      </c>
      <c r="U34" s="475" t="str">
        <v/>
      </c>
      <c r="V34" s="475" t="str">
        <v/>
      </c>
      <c r="W34" s="475" t="str">
        <v/>
      </c>
      <c r="X34" s="475">
        <v>0</v>
      </c>
      <c r="Y34" s="475">
        <v>0</v>
      </c>
      <c r="Z34" s="475">
        <v>0</v>
      </c>
      <c r="AA34" s="475">
        <v>0</v>
      </c>
      <c r="AB34" s="475" t="b">
        <v>0</v>
      </c>
      <c r="AC34" s="168">
        <f t="shared" si="6"/>
        <v>8</v>
      </c>
      <c r="AD34" s="223" t="str">
        <f t="shared" si="1"/>
        <v>H</v>
      </c>
      <c r="AE34" s="168">
        <f t="shared" si="2"/>
        <v>3</v>
      </c>
      <c r="AF34" s="168">
        <v>24</v>
      </c>
      <c r="AG34" s="476" t="str">
        <f t="shared" si="3"/>
        <v>H3</v>
      </c>
      <c r="AH34" s="476" t="str">
        <f>IFERROR(IF($F$8=FALSE,Tableau19[[#This Row],[Licence]],IF(AND($F$8=TRUE,$K$8=6),VLOOKUP(VLOOKUP($T$8,'Répartition des poules'!$B$44:$AL$49,AF34+1,FALSE),'GESTION DES JOUEURS'!$R$11:$AB$46,2,FALSE),IF(AND($F$8=TRUE,$K$8=5),VLOOKUP(VLOOKUP($T$8,'Répartition des poules'!$B$36:$AK$42,AF34+1,FALSE),'GESTION DES JOUEURS'!$R$11:$AB$46,2,FALSE),IF(AND($F$8=TRUE,$K$8=4),VLOOKUP(VLOOKUP($T$8,'Répartition des poules'!$B$26:$AL$34,AF34+1,FALSE),'GESTION DES JOUEURS'!$R$11:$AB$46,2,FALSE),IF(AND($F$8=TRUE,$K$8=3),VLOOKUP(VLOOKUP($T$8,'Répartition des poules'!$B$13:$AL$24,AF34+1,FALSE),'GESTION DES JOUEURS'!$R$11:$AB$46,2,FALSE),IF(AND($F$8=TRUE,$K$8=2),VLOOKUP(VLOOKUP($T$8,'Répartition des poules'!$B$2:$AL$11,AF34+1,FALSE),'GESTION DES JOUEURS'!$R$11:$AB$46,2,FALSE),IF(A34="","",B34))))))),"")</f>
        <v/>
      </c>
      <c r="AI34" s="168" t="str">
        <f t="shared" si="4"/>
        <v/>
      </c>
    </row>
    <row r="35" spans="1:35" x14ac:dyDescent="0.25">
      <c r="A35" s="471">
        <f>IF(Tableau19[[#This Row],[Licence]]&lt;&gt;"",A34+1,A34)</f>
        <v>11</v>
      </c>
      <c r="B35" s="472"/>
      <c r="C35" s="32" t="str">
        <f>IFERROR(VLOOKUP(Tableau19[[#This Row],[Licence]],Tableau7[[Licence]:[Nom]],7,FALSE),"")</f>
        <v/>
      </c>
      <c r="D35" s="32" t="str">
        <f>IFERROR(VLOOKUP(Tableau19[[#This Row],[Licence]],Tableau7[[Licence]:[Nom]],6,FALSE),"")</f>
        <v/>
      </c>
      <c r="E35" s="32" t="str">
        <f>IFERROR(VLOOKUP(Tableau19[[#This Row],[Licence]],Tableau7[[Licence]:[Nom]],5,FALSE),"")</f>
        <v/>
      </c>
      <c r="F35"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5" s="477"/>
      <c r="H35" s="541"/>
      <c r="I35" s="472"/>
      <c r="J35" s="519"/>
      <c r="K35" s="474" t="b">
        <v>0</v>
      </c>
      <c r="O35" s="371" t="str">
        <f>TRIM(IF(Tableau19[[#This Row],[Catégorie]]="NC",Tableau19[[#This Row],[Cat. si NC]],IF(LEFT(Tableau19[[#This Row],[Catégorie]],1)="M","Masters",LEFT(Tableau19[[#This Row],[Catégorie]],2))))</f>
        <v/>
      </c>
      <c r="P35" s="371"/>
      <c r="Q35" s="371" t="str">
        <f t="shared" si="0"/>
        <v/>
      </c>
      <c r="R35" s="475">
        <f t="shared" si="5"/>
        <v>11</v>
      </c>
      <c r="S35" s="475">
        <v>0</v>
      </c>
      <c r="T35" s="475" t="str">
        <v/>
      </c>
      <c r="U35" s="475" t="str">
        <v/>
      </c>
      <c r="V35" s="475" t="str">
        <v/>
      </c>
      <c r="W35" s="475" t="str">
        <v/>
      </c>
      <c r="X35" s="475">
        <v>0</v>
      </c>
      <c r="Y35" s="475">
        <v>0</v>
      </c>
      <c r="Z35" s="475">
        <v>0</v>
      </c>
      <c r="AA35" s="475">
        <v>0</v>
      </c>
      <c r="AB35" s="475" t="b">
        <v>0</v>
      </c>
      <c r="AC35" s="168">
        <f t="shared" si="6"/>
        <v>9</v>
      </c>
      <c r="AD35" s="223" t="str">
        <f t="shared" si="1"/>
        <v>I</v>
      </c>
      <c r="AE35" s="168">
        <f t="shared" si="2"/>
        <v>1</v>
      </c>
      <c r="AF35" s="168">
        <v>25</v>
      </c>
      <c r="AG35" s="476" t="str">
        <f t="shared" si="3"/>
        <v>I1</v>
      </c>
      <c r="AH35" s="476" t="str">
        <f>IFERROR(IF($F$8=FALSE,Tableau19[[#This Row],[Licence]],IF(AND($F$8=TRUE,$K$8=6),VLOOKUP(VLOOKUP($T$8,'Répartition des poules'!$B$44:$AL$49,AF35+1,FALSE),'GESTION DES JOUEURS'!$R$11:$AB$46,2,FALSE),IF(AND($F$8=TRUE,$K$8=5),VLOOKUP(VLOOKUP($T$8,'Répartition des poules'!$B$36:$AK$42,AF35+1,FALSE),'GESTION DES JOUEURS'!$R$11:$AB$46,2,FALSE),IF(AND($F$8=TRUE,$K$8=4),VLOOKUP(VLOOKUP($T$8,'Répartition des poules'!$B$26:$AL$34,AF35+1,FALSE),'GESTION DES JOUEURS'!$R$11:$AB$46,2,FALSE),IF(AND($F$8=TRUE,$K$8=3),VLOOKUP(VLOOKUP($T$8,'Répartition des poules'!$B$13:$AL$24,AF35+1,FALSE),'GESTION DES JOUEURS'!$R$11:$AB$46,2,FALSE),IF(AND($F$8=TRUE,$K$8=2),VLOOKUP(VLOOKUP($T$8,'Répartition des poules'!$B$2:$AL$11,AF35+1,FALSE),'GESTION DES JOUEURS'!$R$11:$AB$46,2,FALSE),IF(A35="","",B35))))))),"")</f>
        <v/>
      </c>
      <c r="AI35" s="168" t="str">
        <f t="shared" si="4"/>
        <v/>
      </c>
    </row>
    <row r="36" spans="1:35" x14ac:dyDescent="0.25">
      <c r="A36" s="471">
        <f>IF(Tableau19[[#This Row],[Licence]]&lt;&gt;"",A35+1,A35)</f>
        <v>11</v>
      </c>
      <c r="B36" s="472"/>
      <c r="C36" s="32" t="str">
        <f>IFERROR(VLOOKUP(Tableau19[[#This Row],[Licence]],Tableau7[[Licence]:[Nom]],7,FALSE),"")</f>
        <v/>
      </c>
      <c r="D36" s="32" t="str">
        <f>IFERROR(VLOOKUP(Tableau19[[#This Row],[Licence]],Tableau7[[Licence]:[Nom]],6,FALSE),"")</f>
        <v/>
      </c>
      <c r="E36" s="32" t="str">
        <f>IFERROR(VLOOKUP(Tableau19[[#This Row],[Licence]],Tableau7[[Licence]:[Nom]],5,FALSE),"")</f>
        <v/>
      </c>
      <c r="F36"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6" s="477"/>
      <c r="H36" s="541"/>
      <c r="I36" s="472"/>
      <c r="J36" s="519"/>
      <c r="K36" s="474" t="b">
        <v>0</v>
      </c>
      <c r="O36" s="371" t="str">
        <f>TRIM(IF(Tableau19[[#This Row],[Catégorie]]="NC",Tableau19[[#This Row],[Cat. si NC]],IF(LEFT(Tableau19[[#This Row],[Catégorie]],1)="M","Masters",LEFT(Tableau19[[#This Row],[Catégorie]],2))))</f>
        <v/>
      </c>
      <c r="P36" s="371"/>
      <c r="Q36" s="371" t="str">
        <f t="shared" si="0"/>
        <v/>
      </c>
      <c r="R36" s="475">
        <f t="shared" si="5"/>
        <v>11</v>
      </c>
      <c r="S36" s="475">
        <v>0</v>
      </c>
      <c r="T36" s="475" t="str">
        <v/>
      </c>
      <c r="U36" s="475" t="str">
        <v/>
      </c>
      <c r="V36" s="475" t="str">
        <v/>
      </c>
      <c r="W36" s="475" t="str">
        <v/>
      </c>
      <c r="X36" s="475">
        <v>0</v>
      </c>
      <c r="Y36" s="475">
        <v>0</v>
      </c>
      <c r="Z36" s="475">
        <v>0</v>
      </c>
      <c r="AA36" s="475">
        <v>0</v>
      </c>
      <c r="AB36" s="475" t="b">
        <v>0</v>
      </c>
      <c r="AC36" s="168">
        <f t="shared" si="6"/>
        <v>9</v>
      </c>
      <c r="AD36" s="223" t="str">
        <f t="shared" si="1"/>
        <v>I</v>
      </c>
      <c r="AE36" s="168">
        <f t="shared" si="2"/>
        <v>2</v>
      </c>
      <c r="AF36" s="168">
        <v>26</v>
      </c>
      <c r="AG36" s="476" t="str">
        <f t="shared" si="3"/>
        <v>I2</v>
      </c>
      <c r="AH36" s="476" t="str">
        <f>IFERROR(IF($F$8=FALSE,Tableau19[[#This Row],[Licence]],IF(AND($F$8=TRUE,$K$8=6),VLOOKUP(VLOOKUP($T$8,'Répartition des poules'!$B$44:$AL$49,AF36+1,FALSE),'GESTION DES JOUEURS'!$R$11:$AB$46,2,FALSE),IF(AND($F$8=TRUE,$K$8=5),VLOOKUP(VLOOKUP($T$8,'Répartition des poules'!$B$36:$AK$42,AF36+1,FALSE),'GESTION DES JOUEURS'!$R$11:$AB$46,2,FALSE),IF(AND($F$8=TRUE,$K$8=4),VLOOKUP(VLOOKUP($T$8,'Répartition des poules'!$B$26:$AL$34,AF36+1,FALSE),'GESTION DES JOUEURS'!$R$11:$AB$46,2,FALSE),IF(AND($F$8=TRUE,$K$8=3),VLOOKUP(VLOOKUP($T$8,'Répartition des poules'!$B$13:$AL$24,AF36+1,FALSE),'GESTION DES JOUEURS'!$R$11:$AB$46,2,FALSE),IF(AND($F$8=TRUE,$K$8=2),VLOOKUP(VLOOKUP($T$8,'Répartition des poules'!$B$2:$AL$11,AF36+1,FALSE),'GESTION DES JOUEURS'!$R$11:$AB$46,2,FALSE),IF(A36="","",B36))))))),"")</f>
        <v/>
      </c>
      <c r="AI36" s="168" t="str">
        <f t="shared" si="4"/>
        <v/>
      </c>
    </row>
    <row r="37" spans="1:35" ht="15.75" thickBot="1" x14ac:dyDescent="0.3">
      <c r="A37" s="471">
        <f>IF(Tableau19[[#This Row],[Licence]]&lt;&gt;"",A36+1,A36)</f>
        <v>11</v>
      </c>
      <c r="B37" s="472"/>
      <c r="C37" s="32" t="str">
        <f>IFERROR(VLOOKUP(Tableau19[[#This Row],[Licence]],Tableau7[[Licence]:[Nom]],7,FALSE),"")</f>
        <v/>
      </c>
      <c r="D37" s="32" t="str">
        <f>IFERROR(VLOOKUP(Tableau19[[#This Row],[Licence]],Tableau7[[Licence]:[Nom]],6,FALSE),"")</f>
        <v/>
      </c>
      <c r="E37" s="32" t="str">
        <f>IFERROR(VLOOKUP(Tableau19[[#This Row],[Licence]],Tableau7[[Licence]:[Nom]],5,FALSE),"")</f>
        <v/>
      </c>
      <c r="F37"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7" s="477"/>
      <c r="H37" s="541"/>
      <c r="I37" s="472"/>
      <c r="J37" s="519"/>
      <c r="K37" s="474" t="b">
        <v>0</v>
      </c>
      <c r="O37" s="371" t="str">
        <f>TRIM(IF(Tableau19[[#This Row],[Catégorie]]="NC",Tableau19[[#This Row],[Cat. si NC]],IF(LEFT(Tableau19[[#This Row],[Catégorie]],1)="M","Masters",LEFT(Tableau19[[#This Row],[Catégorie]],2))))</f>
        <v/>
      </c>
      <c r="P37" s="371"/>
      <c r="Q37" s="371" t="str">
        <f t="shared" si="0"/>
        <v/>
      </c>
      <c r="R37" s="475">
        <f t="shared" si="5"/>
        <v>11</v>
      </c>
      <c r="S37" s="475">
        <v>0</v>
      </c>
      <c r="T37" s="475" t="str">
        <v/>
      </c>
      <c r="U37" s="475" t="str">
        <v/>
      </c>
      <c r="V37" s="475" t="str">
        <v/>
      </c>
      <c r="W37" s="475" t="str">
        <v/>
      </c>
      <c r="X37" s="475">
        <v>0</v>
      </c>
      <c r="Y37" s="475">
        <v>0</v>
      </c>
      <c r="Z37" s="475">
        <v>0</v>
      </c>
      <c r="AA37" s="475">
        <v>0</v>
      </c>
      <c r="AB37" s="475" t="b">
        <v>0</v>
      </c>
      <c r="AC37" s="168">
        <f t="shared" si="6"/>
        <v>9</v>
      </c>
      <c r="AD37" s="223" t="str">
        <f t="shared" si="1"/>
        <v>I</v>
      </c>
      <c r="AE37" s="168">
        <f t="shared" si="2"/>
        <v>3</v>
      </c>
      <c r="AF37" s="168">
        <v>27</v>
      </c>
      <c r="AG37" s="476" t="str">
        <f t="shared" si="3"/>
        <v>I3</v>
      </c>
      <c r="AH37" s="476" t="str">
        <f>IFERROR(IF($F$8=FALSE,Tableau19[[#This Row],[Licence]],IF(AND($F$8=TRUE,$K$8=6),VLOOKUP(VLOOKUP($T$8,'Répartition des poules'!$B$44:$AL$49,AF37+1,FALSE),'GESTION DES JOUEURS'!$R$11:$AB$46,2,FALSE),IF(AND($F$8=TRUE,$K$8=5),VLOOKUP(VLOOKUP($T$8,'Répartition des poules'!$B$36:$AK$42,AF37+1,FALSE),'GESTION DES JOUEURS'!$R$11:$AB$46,2,FALSE),IF(AND($F$8=TRUE,$K$8=4),VLOOKUP(VLOOKUP($T$8,'Répartition des poules'!$B$26:$AL$34,AF37+1,FALSE),'GESTION DES JOUEURS'!$R$11:$AB$46,2,FALSE),IF(AND($F$8=TRUE,$K$8=3),VLOOKUP(VLOOKUP($T$8,'Répartition des poules'!$B$13:$AL$24,AF37+1,FALSE),'GESTION DES JOUEURS'!$R$11:$AB$46,2,FALSE),IF(AND($F$8=TRUE,$K$8=2),VLOOKUP(VLOOKUP($T$8,'Répartition des poules'!$B$2:$AL$11,AF37+1,FALSE),'GESTION DES JOUEURS'!$R$11:$AB$46,2,FALSE),IF(A37="","",B37))))))),"")</f>
        <v/>
      </c>
      <c r="AI37" s="168" t="str">
        <f t="shared" si="4"/>
        <v/>
      </c>
    </row>
    <row r="38" spans="1:35" ht="14.45" customHeight="1" x14ac:dyDescent="0.25">
      <c r="A38" s="471">
        <f>IF(Tableau19[[#This Row],[Licence]]&lt;&gt;"",A37+1,A37)</f>
        <v>11</v>
      </c>
      <c r="B38" s="472"/>
      <c r="C38" s="32" t="str">
        <f>IFERROR(VLOOKUP(Tableau19[[#This Row],[Licence]],Tableau7[[Licence]:[Nom]],7,FALSE),"")</f>
        <v/>
      </c>
      <c r="D38" s="32" t="str">
        <f>IFERROR(VLOOKUP(Tableau19[[#This Row],[Licence]],Tableau7[[Licence]:[Nom]],6,FALSE),"")</f>
        <v/>
      </c>
      <c r="E38" s="32" t="str">
        <f>IFERROR(VLOOKUP(Tableau19[[#This Row],[Licence]],Tableau7[[Licence]:[Nom]],5,FALSE),"")</f>
        <v/>
      </c>
      <c r="F38"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8" s="477"/>
      <c r="H38" s="541"/>
      <c r="I38" s="472"/>
      <c r="J38" s="519"/>
      <c r="K38" s="474" t="b">
        <v>0</v>
      </c>
      <c r="M38" s="718" t="s">
        <v>8130</v>
      </c>
      <c r="O38" s="371" t="str">
        <f>TRIM(IF(Tableau19[[#This Row],[Catégorie]]="NC",Tableau19[[#This Row],[Cat. si NC]],IF(LEFT(Tableau19[[#This Row],[Catégorie]],1)="M","Masters",LEFT(Tableau19[[#This Row],[Catégorie]],2))))</f>
        <v/>
      </c>
      <c r="P38" s="371"/>
      <c r="Q38" s="371" t="str">
        <f t="shared" si="0"/>
        <v/>
      </c>
      <c r="R38" s="475">
        <f t="shared" si="5"/>
        <v>11</v>
      </c>
      <c r="S38" s="475">
        <v>0</v>
      </c>
      <c r="T38" s="475" t="str">
        <v/>
      </c>
      <c r="U38" s="475" t="str">
        <v/>
      </c>
      <c r="V38" s="475" t="str">
        <v/>
      </c>
      <c r="W38" s="475" t="str">
        <v/>
      </c>
      <c r="X38" s="475">
        <v>0</v>
      </c>
      <c r="Y38" s="475">
        <v>0</v>
      </c>
      <c r="Z38" s="475">
        <v>0</v>
      </c>
      <c r="AA38" s="475">
        <v>0</v>
      </c>
      <c r="AB38" s="475" t="b">
        <v>0</v>
      </c>
      <c r="AC38" s="168">
        <f t="shared" si="6"/>
        <v>10</v>
      </c>
      <c r="AD38" s="223" t="str">
        <f t="shared" si="1"/>
        <v>J</v>
      </c>
      <c r="AE38" s="168">
        <f t="shared" si="2"/>
        <v>1</v>
      </c>
      <c r="AF38" s="168">
        <v>28</v>
      </c>
      <c r="AG38" s="476" t="str">
        <f t="shared" si="3"/>
        <v>J1</v>
      </c>
      <c r="AH38" s="476" t="str">
        <f>IFERROR(IF($F$8=FALSE,Tableau19[[#This Row],[Licence]],IF(AND($F$8=TRUE,$K$8=6),VLOOKUP(VLOOKUP($T$8,'Répartition des poules'!$B$44:$AL$49,AF38+1,FALSE),'GESTION DES JOUEURS'!$R$11:$AB$46,2,FALSE),IF(AND($F$8=TRUE,$K$8=5),VLOOKUP(VLOOKUP($T$8,'Répartition des poules'!$B$36:$AK$42,AF38+1,FALSE),'GESTION DES JOUEURS'!$R$11:$AB$46,2,FALSE),IF(AND($F$8=TRUE,$K$8=4),VLOOKUP(VLOOKUP($T$8,'Répartition des poules'!$B$26:$AL$34,AF38+1,FALSE),'GESTION DES JOUEURS'!$R$11:$AB$46,2,FALSE),IF(AND($F$8=TRUE,$K$8=3),VLOOKUP(VLOOKUP($T$8,'Répartition des poules'!$B$13:$AL$24,AF38+1,FALSE),'GESTION DES JOUEURS'!$R$11:$AB$46,2,FALSE),IF(AND($F$8=TRUE,$K$8=2),VLOOKUP(VLOOKUP($T$8,'Répartition des poules'!$B$2:$AL$11,AF38+1,FALSE),'GESTION DES JOUEURS'!$R$11:$AB$46,2,FALSE),IF(A38="","",B38))))))),"")</f>
        <v/>
      </c>
      <c r="AI38" s="168" t="str">
        <f t="shared" si="4"/>
        <v/>
      </c>
    </row>
    <row r="39" spans="1:35" ht="14.45" customHeight="1" thickBot="1" x14ac:dyDescent="0.3">
      <c r="A39" s="471">
        <f>IF(Tableau19[[#This Row],[Licence]]&lt;&gt;"",A38+1,A38)</f>
        <v>11</v>
      </c>
      <c r="B39" s="472"/>
      <c r="C39" s="32" t="str">
        <f>IFERROR(VLOOKUP(Tableau19[[#This Row],[Licence]],Tableau7[[Licence]:[Nom]],7,FALSE),"")</f>
        <v/>
      </c>
      <c r="D39" s="32" t="str">
        <f>IFERROR(VLOOKUP(Tableau19[[#This Row],[Licence]],Tableau7[[Licence]:[Nom]],6,FALSE),"")</f>
        <v/>
      </c>
      <c r="E39" s="32" t="str">
        <f>IFERROR(VLOOKUP(Tableau19[[#This Row],[Licence]],Tableau7[[Licence]:[Nom]],5,FALSE),"")</f>
        <v/>
      </c>
      <c r="F39"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39" s="477"/>
      <c r="H39" s="541"/>
      <c r="I39" s="472"/>
      <c r="J39" s="519"/>
      <c r="K39" s="474" t="b">
        <v>0</v>
      </c>
      <c r="M39" s="719"/>
      <c r="O39" s="371" t="str">
        <f>TRIM(IF(Tableau19[[#This Row],[Catégorie]]="NC",Tableau19[[#This Row],[Cat. si NC]],IF(LEFT(Tableau19[[#This Row],[Catégorie]],1)="M","Masters",LEFT(Tableau19[[#This Row],[Catégorie]],2))))</f>
        <v/>
      </c>
      <c r="P39" s="371"/>
      <c r="Q39" s="371" t="str">
        <f t="shared" si="0"/>
        <v/>
      </c>
      <c r="R39" s="475">
        <f t="shared" si="5"/>
        <v>11</v>
      </c>
      <c r="S39" s="475">
        <v>0</v>
      </c>
      <c r="T39" s="475" t="str">
        <v/>
      </c>
      <c r="U39" s="475" t="str">
        <v/>
      </c>
      <c r="V39" s="475" t="str">
        <v/>
      </c>
      <c r="W39" s="475" t="str">
        <v/>
      </c>
      <c r="X39" s="475">
        <v>0</v>
      </c>
      <c r="Y39" s="475">
        <v>0</v>
      </c>
      <c r="Z39" s="475">
        <v>0</v>
      </c>
      <c r="AA39" s="475">
        <v>0</v>
      </c>
      <c r="AB39" s="475" t="b">
        <v>0</v>
      </c>
      <c r="AC39" s="168">
        <f t="shared" si="6"/>
        <v>10</v>
      </c>
      <c r="AD39" s="223" t="str">
        <f t="shared" si="1"/>
        <v>J</v>
      </c>
      <c r="AE39" s="168">
        <f t="shared" si="2"/>
        <v>2</v>
      </c>
      <c r="AF39" s="168">
        <v>29</v>
      </c>
      <c r="AG39" s="476" t="str">
        <f t="shared" si="3"/>
        <v>J2</v>
      </c>
      <c r="AH39" s="476" t="str">
        <f>IFERROR(IF($F$8=FALSE,Tableau19[[#This Row],[Licence]],IF(AND($F$8=TRUE,$K$8=6),VLOOKUP(VLOOKUP($T$8,'Répartition des poules'!$B$44:$AL$49,AF39+1,FALSE),'GESTION DES JOUEURS'!$R$11:$AB$46,2,FALSE),IF(AND($F$8=TRUE,$K$8=5),VLOOKUP(VLOOKUP($T$8,'Répartition des poules'!$B$36:$AK$42,AF39+1,FALSE),'GESTION DES JOUEURS'!$R$11:$AB$46,2,FALSE),IF(AND($F$8=TRUE,$K$8=4),VLOOKUP(VLOOKUP($T$8,'Répartition des poules'!$B$26:$AL$34,AF39+1,FALSE),'GESTION DES JOUEURS'!$R$11:$AB$46,2,FALSE),IF(AND($F$8=TRUE,$K$8=3),VLOOKUP(VLOOKUP($T$8,'Répartition des poules'!$B$13:$AL$24,AF39+1,FALSE),'GESTION DES JOUEURS'!$R$11:$AB$46,2,FALSE),IF(AND($F$8=TRUE,$K$8=2),VLOOKUP(VLOOKUP($T$8,'Répartition des poules'!$B$2:$AL$11,AF39+1,FALSE),'GESTION DES JOUEURS'!$R$11:$AB$46,2,FALSE),IF(A39="","",B39))))))),"")</f>
        <v/>
      </c>
      <c r="AI39" s="168" t="str">
        <f t="shared" si="4"/>
        <v/>
      </c>
    </row>
    <row r="40" spans="1:35" ht="15.75" thickBot="1" x14ac:dyDescent="0.3">
      <c r="A40" s="471">
        <f>IF(Tableau19[[#This Row],[Licence]]&lt;&gt;"",A39+1,A39)</f>
        <v>11</v>
      </c>
      <c r="B40" s="472"/>
      <c r="C40" s="32" t="str">
        <f>IFERROR(VLOOKUP(Tableau19[[#This Row],[Licence]],Tableau7[[Licence]:[Nom]],7,FALSE),"")</f>
        <v/>
      </c>
      <c r="D40" s="32" t="str">
        <f>IFERROR(VLOOKUP(Tableau19[[#This Row],[Licence]],Tableau7[[Licence]:[Nom]],6,FALSE),"")</f>
        <v/>
      </c>
      <c r="E40" s="32" t="str">
        <f>IFERROR(VLOOKUP(Tableau19[[#This Row],[Licence]],Tableau7[[Licence]:[Nom]],5,FALSE),"")</f>
        <v/>
      </c>
      <c r="F40"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0" s="477"/>
      <c r="H40" s="541"/>
      <c r="I40" s="472"/>
      <c r="J40" s="519"/>
      <c r="K40" s="474" t="b">
        <v>0</v>
      </c>
      <c r="O40" s="371" t="str">
        <f>TRIM(IF(Tableau19[[#This Row],[Catégorie]]="NC",Tableau19[[#This Row],[Cat. si NC]],IF(LEFT(Tableau19[[#This Row],[Catégorie]],1)="M","Masters",LEFT(Tableau19[[#This Row],[Catégorie]],2))))</f>
        <v/>
      </c>
      <c r="P40" s="371"/>
      <c r="Q40" s="371" t="str">
        <f t="shared" si="0"/>
        <v/>
      </c>
      <c r="R40" s="475">
        <f t="shared" si="5"/>
        <v>11</v>
      </c>
      <c r="S40" s="475">
        <v>0</v>
      </c>
      <c r="T40" s="475" t="str">
        <v/>
      </c>
      <c r="U40" s="475" t="str">
        <v/>
      </c>
      <c r="V40" s="475" t="str">
        <v/>
      </c>
      <c r="W40" s="475" t="str">
        <v/>
      </c>
      <c r="X40" s="475">
        <v>0</v>
      </c>
      <c r="Y40" s="475">
        <v>0</v>
      </c>
      <c r="Z40" s="475">
        <v>0</v>
      </c>
      <c r="AA40" s="475">
        <v>0</v>
      </c>
      <c r="AB40" s="475" t="b">
        <v>0</v>
      </c>
      <c r="AC40" s="168">
        <f t="shared" si="6"/>
        <v>10</v>
      </c>
      <c r="AD40" s="223" t="str">
        <f t="shared" si="1"/>
        <v>J</v>
      </c>
      <c r="AE40" s="168">
        <f t="shared" si="2"/>
        <v>3</v>
      </c>
      <c r="AF40" s="168">
        <v>30</v>
      </c>
      <c r="AG40" s="476" t="str">
        <f t="shared" si="3"/>
        <v>J3</v>
      </c>
      <c r="AH40" s="476" t="str">
        <f>IFERROR(IF($F$8=FALSE,Tableau19[[#This Row],[Licence]],IF(AND($F$8=TRUE,$K$8=6),VLOOKUP(VLOOKUP($T$8,'Répartition des poules'!$B$44:$AL$49,AF40+1,FALSE),'GESTION DES JOUEURS'!$R$11:$AB$46,2,FALSE),IF(AND($F$8=TRUE,$K$8=5),VLOOKUP(VLOOKUP($T$8,'Répartition des poules'!$B$36:$AK$42,AF40+1,FALSE),'GESTION DES JOUEURS'!$R$11:$AB$46,2,FALSE),IF(AND($F$8=TRUE,$K$8=4),VLOOKUP(VLOOKUP($T$8,'Répartition des poules'!$B$26:$AL$34,AF40+1,FALSE),'GESTION DES JOUEURS'!$R$11:$AB$46,2,FALSE),IF(AND($F$8=TRUE,$K$8=3),VLOOKUP(VLOOKUP($T$8,'Répartition des poules'!$B$13:$AL$24,AF40+1,FALSE),'GESTION DES JOUEURS'!$R$11:$AB$46,2,FALSE),IF(AND($F$8=TRUE,$K$8=2),VLOOKUP(VLOOKUP($T$8,'Répartition des poules'!$B$2:$AL$11,AF40+1,FALSE),'GESTION DES JOUEURS'!$R$11:$AB$46,2,FALSE),IF(A40="","",B40))))))),"")</f>
        <v/>
      </c>
      <c r="AI40" s="168" t="str">
        <f t="shared" si="4"/>
        <v/>
      </c>
    </row>
    <row r="41" spans="1:35" ht="14.45" customHeight="1" x14ac:dyDescent="0.25">
      <c r="A41" s="471">
        <f>IF(Tableau19[[#This Row],[Licence]]&lt;&gt;"",A40+1,A40)</f>
        <v>11</v>
      </c>
      <c r="B41" s="472"/>
      <c r="C41" s="32" t="str">
        <f>IFERROR(VLOOKUP(Tableau19[[#This Row],[Licence]],Tableau7[[Licence]:[Nom]],7,FALSE),"")</f>
        <v/>
      </c>
      <c r="D41" s="32" t="str">
        <f>IFERROR(VLOOKUP(Tableau19[[#This Row],[Licence]],Tableau7[[Licence]:[Nom]],6,FALSE),"")</f>
        <v/>
      </c>
      <c r="E41" s="32" t="str">
        <f>IFERROR(VLOOKUP(Tableau19[[#This Row],[Licence]],Tableau7[[Licence]:[Nom]],5,FALSE),"")</f>
        <v/>
      </c>
      <c r="F41"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1" s="477"/>
      <c r="H41" s="541"/>
      <c r="I41" s="472"/>
      <c r="J41" s="519"/>
      <c r="K41" s="474" t="b">
        <v>0</v>
      </c>
      <c r="M41" s="708" t="s">
        <v>9888</v>
      </c>
      <c r="O41" s="371" t="str">
        <f>TRIM(IF(Tableau19[[#This Row],[Catégorie]]="NC",Tableau19[[#This Row],[Cat. si NC]],IF(LEFT(Tableau19[[#This Row],[Catégorie]],1)="M","Masters",LEFT(Tableau19[[#This Row],[Catégorie]],2))))</f>
        <v/>
      </c>
      <c r="P41" s="371"/>
      <c r="Q41" s="371" t="str">
        <f t="shared" si="0"/>
        <v/>
      </c>
      <c r="R41" s="475">
        <f t="shared" si="5"/>
        <v>11</v>
      </c>
      <c r="S41" s="475">
        <v>0</v>
      </c>
      <c r="T41" s="475" t="str">
        <v/>
      </c>
      <c r="U41" s="475" t="str">
        <v/>
      </c>
      <c r="V41" s="475" t="str">
        <v/>
      </c>
      <c r="W41" s="475" t="str">
        <v/>
      </c>
      <c r="X41" s="475">
        <v>0</v>
      </c>
      <c r="Y41" s="475">
        <v>0</v>
      </c>
      <c r="Z41" s="475">
        <v>0</v>
      </c>
      <c r="AA41" s="475">
        <v>0</v>
      </c>
      <c r="AB41" s="475" t="b">
        <v>0</v>
      </c>
      <c r="AC41" s="168">
        <f t="shared" si="6"/>
        <v>11</v>
      </c>
      <c r="AD41" s="223" t="str">
        <f t="shared" si="1"/>
        <v>K</v>
      </c>
      <c r="AE41" s="168">
        <f t="shared" si="2"/>
        <v>1</v>
      </c>
      <c r="AF41" s="168">
        <v>31</v>
      </c>
      <c r="AG41" s="476" t="str">
        <f t="shared" si="3"/>
        <v>K1</v>
      </c>
      <c r="AH41" s="476" t="str">
        <f>IFERROR(IF($F$8=FALSE,Tableau19[[#This Row],[Licence]],IF(AND($F$8=TRUE,$K$8=6),VLOOKUP(VLOOKUP($T$8,'Répartition des poules'!$B$44:$AL$49,AF41+1,FALSE),'GESTION DES JOUEURS'!$R$11:$AB$46,2,FALSE),IF(AND($F$8=TRUE,$K$8=5),VLOOKUP(VLOOKUP($T$8,'Répartition des poules'!$B$36:$AK$42,AF41+1,FALSE),'GESTION DES JOUEURS'!$R$11:$AB$46,2,FALSE),IF(AND($F$8=TRUE,$K$8=4),VLOOKUP(VLOOKUP($T$8,'Répartition des poules'!$B$26:$AL$34,AF41+1,FALSE),'GESTION DES JOUEURS'!$R$11:$AB$46,2,FALSE),IF(AND($F$8=TRUE,$K$8=3),VLOOKUP(VLOOKUP($T$8,'Répartition des poules'!$B$13:$AL$24,AF41+1,FALSE),'GESTION DES JOUEURS'!$R$11:$AB$46,2,FALSE),IF(AND($F$8=TRUE,$K$8=2),VLOOKUP(VLOOKUP($T$8,'Répartition des poules'!$B$2:$AL$11,AF41+1,FALSE),'GESTION DES JOUEURS'!$R$11:$AB$46,2,FALSE),IF(A41="","",B41))))))),"")</f>
        <v/>
      </c>
      <c r="AI41" s="168" t="str">
        <f t="shared" si="4"/>
        <v/>
      </c>
    </row>
    <row r="42" spans="1:35" ht="15" customHeight="1" thickBot="1" x14ac:dyDescent="0.3">
      <c r="A42" s="471">
        <f>IF(Tableau19[[#This Row],[Licence]]&lt;&gt;"",A41+1,A41)</f>
        <v>11</v>
      </c>
      <c r="B42" s="472"/>
      <c r="C42" s="32" t="str">
        <f>IFERROR(VLOOKUP(Tableau19[[#This Row],[Licence]],Tableau7[[Licence]:[Nom]],7,FALSE),"")</f>
        <v/>
      </c>
      <c r="D42" s="32" t="str">
        <f>IFERROR(VLOOKUP(Tableau19[[#This Row],[Licence]],Tableau7[[Licence]:[Nom]],6,FALSE),"")</f>
        <v/>
      </c>
      <c r="E42" s="32" t="str">
        <f>IFERROR(VLOOKUP(Tableau19[[#This Row],[Licence]],Tableau7[[Licence]:[Nom]],5,FALSE),"")</f>
        <v/>
      </c>
      <c r="F42"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2" s="477"/>
      <c r="H42" s="541"/>
      <c r="I42" s="472"/>
      <c r="J42" s="519"/>
      <c r="K42" s="474" t="b">
        <v>0</v>
      </c>
      <c r="M42" s="709"/>
      <c r="O42" s="371" t="str">
        <f>TRIM(IF(Tableau19[[#This Row],[Catégorie]]="NC",Tableau19[[#This Row],[Cat. si NC]],IF(LEFT(Tableau19[[#This Row],[Catégorie]],1)="M","Masters",LEFT(Tableau19[[#This Row],[Catégorie]],2))))</f>
        <v/>
      </c>
      <c r="P42" s="371"/>
      <c r="Q42" s="371" t="str">
        <f t="shared" si="0"/>
        <v/>
      </c>
      <c r="R42" s="475">
        <f t="shared" si="5"/>
        <v>11</v>
      </c>
      <c r="S42" s="475">
        <v>0</v>
      </c>
      <c r="T42" s="475" t="str">
        <v/>
      </c>
      <c r="U42" s="475" t="str">
        <v/>
      </c>
      <c r="V42" s="475" t="str">
        <v/>
      </c>
      <c r="W42" s="475" t="str">
        <v/>
      </c>
      <c r="X42" s="475">
        <v>0</v>
      </c>
      <c r="Y42" s="475">
        <v>0</v>
      </c>
      <c r="Z42" s="475">
        <v>0</v>
      </c>
      <c r="AA42" s="475">
        <v>0</v>
      </c>
      <c r="AB42" s="475" t="b">
        <v>0</v>
      </c>
      <c r="AC42" s="168">
        <f t="shared" si="6"/>
        <v>11</v>
      </c>
      <c r="AD42" s="223" t="str">
        <f t="shared" si="1"/>
        <v>K</v>
      </c>
      <c r="AE42" s="168">
        <f t="shared" si="2"/>
        <v>2</v>
      </c>
      <c r="AF42" s="168">
        <v>32</v>
      </c>
      <c r="AG42" s="476" t="str">
        <f t="shared" si="3"/>
        <v>K2</v>
      </c>
      <c r="AH42" s="476" t="str">
        <f>IFERROR(IF($F$8=FALSE,Tableau19[[#This Row],[Licence]],IF(AND($F$8=TRUE,$K$8=6),VLOOKUP(VLOOKUP($T$8,'Répartition des poules'!$B$44:$AL$49,AF42+1,FALSE),'GESTION DES JOUEURS'!$R$11:$AB$46,2,FALSE),IF(AND($F$8=TRUE,$K$8=5),VLOOKUP(VLOOKUP($T$8,'Répartition des poules'!$B$36:$AK$42,AF42+1,FALSE),'GESTION DES JOUEURS'!$R$11:$AB$46,2,FALSE),IF(AND($F$8=TRUE,$K$8=4),VLOOKUP(VLOOKUP($T$8,'Répartition des poules'!$B$26:$AL$34,AF42+1,FALSE),'GESTION DES JOUEURS'!$R$11:$AB$46,2,FALSE),IF(AND($F$8=TRUE,$K$8=3),VLOOKUP(VLOOKUP($T$8,'Répartition des poules'!$B$13:$AL$24,AF42+1,FALSE),'GESTION DES JOUEURS'!$R$11:$AB$46,2,FALSE),IF(AND($F$8=TRUE,$K$8=2),VLOOKUP(VLOOKUP($T$8,'Répartition des poules'!$B$2:$AL$11,AF42+1,FALSE),'GESTION DES JOUEURS'!$R$11:$AB$46,2,FALSE),IF(A42="","",B42))))))),"")</f>
        <v/>
      </c>
      <c r="AI42" s="168" t="str">
        <f t="shared" si="4"/>
        <v/>
      </c>
    </row>
    <row r="43" spans="1:35" ht="15.75" thickBot="1" x14ac:dyDescent="0.3">
      <c r="A43" s="471">
        <f>IF(Tableau19[[#This Row],[Licence]]&lt;&gt;"",A42+1,A42)</f>
        <v>11</v>
      </c>
      <c r="B43" s="472"/>
      <c r="C43" s="32" t="str">
        <f>IFERROR(VLOOKUP(Tableau19[[#This Row],[Licence]],Tableau7[[Licence]:[Nom]],7,FALSE),"")</f>
        <v/>
      </c>
      <c r="D43" s="32" t="str">
        <f>IFERROR(VLOOKUP(Tableau19[[#This Row],[Licence]],Tableau7[[Licence]:[Nom]],6,FALSE),"")</f>
        <v/>
      </c>
      <c r="E43" s="32" t="str">
        <f>IFERROR(VLOOKUP(Tableau19[[#This Row],[Licence]],Tableau7[[Licence]:[Nom]],5,FALSE),"")</f>
        <v/>
      </c>
      <c r="F43"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3" s="477"/>
      <c r="H43" s="541"/>
      <c r="I43" s="472"/>
      <c r="J43" s="519"/>
      <c r="K43" s="474" t="b">
        <v>0</v>
      </c>
      <c r="O43" s="371" t="str">
        <f>TRIM(IF(Tableau19[[#This Row],[Catégorie]]="NC",Tableau19[[#This Row],[Cat. si NC]],IF(LEFT(Tableau19[[#This Row],[Catégorie]],1)="M","Masters",LEFT(Tableau19[[#This Row],[Catégorie]],2))))</f>
        <v/>
      </c>
      <c r="P43" s="371"/>
      <c r="Q43" s="371" t="str">
        <f t="shared" si="0"/>
        <v/>
      </c>
      <c r="R43" s="475">
        <f t="shared" si="5"/>
        <v>11</v>
      </c>
      <c r="S43" s="475">
        <v>0</v>
      </c>
      <c r="T43" s="475" t="str">
        <v/>
      </c>
      <c r="U43" s="475" t="str">
        <v/>
      </c>
      <c r="V43" s="475" t="str">
        <v/>
      </c>
      <c r="W43" s="475" t="str">
        <v/>
      </c>
      <c r="X43" s="475">
        <v>0</v>
      </c>
      <c r="Y43" s="475">
        <v>0</v>
      </c>
      <c r="Z43" s="475">
        <v>0</v>
      </c>
      <c r="AA43" s="475">
        <v>0</v>
      </c>
      <c r="AB43" s="475" t="b">
        <v>0</v>
      </c>
      <c r="AC43" s="168">
        <f t="shared" si="6"/>
        <v>11</v>
      </c>
      <c r="AD43" s="223" t="str">
        <f t="shared" si="1"/>
        <v>K</v>
      </c>
      <c r="AE43" s="168">
        <f t="shared" si="2"/>
        <v>3</v>
      </c>
      <c r="AF43" s="168">
        <v>33</v>
      </c>
      <c r="AG43" s="476" t="str">
        <f t="shared" si="3"/>
        <v>K3</v>
      </c>
      <c r="AH43" s="476" t="str">
        <f>IFERROR(IF($F$8=FALSE,Tableau19[[#This Row],[Licence]],IF(AND($F$8=TRUE,$K$8=6),VLOOKUP(VLOOKUP($T$8,'Répartition des poules'!$B$44:$AL$49,AF43+1,FALSE),'GESTION DES JOUEURS'!$R$11:$AB$46,2,FALSE),IF(AND($F$8=TRUE,$K$8=5),VLOOKUP(VLOOKUP($T$8,'Répartition des poules'!$B$36:$AK$42,AF43+1,FALSE),'GESTION DES JOUEURS'!$R$11:$AB$46,2,FALSE),IF(AND($F$8=TRUE,$K$8=4),VLOOKUP(VLOOKUP($T$8,'Répartition des poules'!$B$26:$AL$34,AF43+1,FALSE),'GESTION DES JOUEURS'!$R$11:$AB$46,2,FALSE),IF(AND($F$8=TRUE,$K$8=3),VLOOKUP(VLOOKUP($T$8,'Répartition des poules'!$B$13:$AL$24,AF43+1,FALSE),'GESTION DES JOUEURS'!$R$11:$AB$46,2,FALSE),IF(AND($F$8=TRUE,$K$8=2),VLOOKUP(VLOOKUP($T$8,'Répartition des poules'!$B$2:$AL$11,AF43+1,FALSE),'GESTION DES JOUEURS'!$R$11:$AB$46,2,FALSE),IF(A43="","",B43))))))),"")</f>
        <v/>
      </c>
      <c r="AI43" s="168" t="str">
        <f t="shared" si="4"/>
        <v/>
      </c>
    </row>
    <row r="44" spans="1:35" x14ac:dyDescent="0.25">
      <c r="A44" s="471">
        <f>IF(Tableau19[[#This Row],[Licence]]&lt;&gt;"",A43+1,A43)</f>
        <v>11</v>
      </c>
      <c r="B44" s="472"/>
      <c r="C44" s="32" t="str">
        <f>IFERROR(VLOOKUP(Tableau19[[#This Row],[Licence]],Tableau7[[Licence]:[Nom]],7,FALSE),"")</f>
        <v/>
      </c>
      <c r="D44" s="32" t="str">
        <f>IFERROR(VLOOKUP(Tableau19[[#This Row],[Licence]],Tableau7[[Licence]:[Nom]],6,FALSE),"")</f>
        <v/>
      </c>
      <c r="E44" s="32" t="str">
        <f>IFERROR(VLOOKUP(Tableau19[[#This Row],[Licence]],Tableau7[[Licence]:[Nom]],5,FALSE),"")</f>
        <v/>
      </c>
      <c r="F44"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4" s="477"/>
      <c r="H44" s="541"/>
      <c r="I44" s="472"/>
      <c r="J44" s="519"/>
      <c r="K44" s="474" t="b">
        <v>0</v>
      </c>
      <c r="M44" s="710" t="s">
        <v>5447</v>
      </c>
      <c r="O44" s="371" t="str">
        <f>TRIM(IF(Tableau19[[#This Row],[Catégorie]]="NC",Tableau19[[#This Row],[Cat. si NC]],IF(LEFT(Tableau19[[#This Row],[Catégorie]],1)="M","Masters",LEFT(Tableau19[[#This Row],[Catégorie]],2))))</f>
        <v/>
      </c>
      <c r="P44" s="371"/>
      <c r="Q44" s="371" t="str">
        <f t="shared" si="0"/>
        <v/>
      </c>
      <c r="R44" s="475">
        <f t="shared" si="5"/>
        <v>11</v>
      </c>
      <c r="S44" s="475">
        <v>0</v>
      </c>
      <c r="T44" s="475" t="str">
        <v/>
      </c>
      <c r="U44" s="475" t="str">
        <v/>
      </c>
      <c r="V44" s="475" t="str">
        <v/>
      </c>
      <c r="W44" s="475" t="str">
        <v/>
      </c>
      <c r="X44" s="475">
        <v>0</v>
      </c>
      <c r="Y44" s="475">
        <v>0</v>
      </c>
      <c r="Z44" s="475">
        <v>0</v>
      </c>
      <c r="AA44" s="475">
        <v>0</v>
      </c>
      <c r="AB44" s="475" t="b">
        <v>0</v>
      </c>
      <c r="AC44" s="168">
        <f t="shared" si="6"/>
        <v>12</v>
      </c>
      <c r="AD44" s="223" t="str">
        <f t="shared" si="1"/>
        <v>L</v>
      </c>
      <c r="AE44" s="168">
        <f t="shared" si="2"/>
        <v>1</v>
      </c>
      <c r="AF44" s="168">
        <v>34</v>
      </c>
      <c r="AG44" s="476" t="str">
        <f t="shared" si="3"/>
        <v>L1</v>
      </c>
      <c r="AH44" s="476" t="str">
        <f>IFERROR(IF($F$8=FALSE,Tableau19[[#This Row],[Licence]],IF(AND($F$8=TRUE,$K$8=6),VLOOKUP(VLOOKUP($T$8,'Répartition des poules'!$B$44:$AL$49,AF44+1,FALSE),'GESTION DES JOUEURS'!$R$11:$AB$46,2,FALSE),IF(AND($F$8=TRUE,$K$8=5),VLOOKUP(VLOOKUP($T$8,'Répartition des poules'!$B$36:$AK$42,AF44+1,FALSE),'GESTION DES JOUEURS'!$R$11:$AB$46,2,FALSE),IF(AND($F$8=TRUE,$K$8=4),VLOOKUP(VLOOKUP($T$8,'Répartition des poules'!$B$26:$AL$34,AF44+1,FALSE),'GESTION DES JOUEURS'!$R$11:$AB$46,2,FALSE),IF(AND($F$8=TRUE,$K$8=3),VLOOKUP(VLOOKUP($T$8,'Répartition des poules'!$B$13:$AL$24,AF44+1,FALSE),'GESTION DES JOUEURS'!$R$11:$AB$46,2,FALSE),IF(AND($F$8=TRUE,$K$8=2),VLOOKUP(VLOOKUP($T$8,'Répartition des poules'!$B$2:$AL$11,AF44+1,FALSE),'GESTION DES JOUEURS'!$R$11:$AB$46,2,FALSE),IF(A44="","",B44))))))),"")</f>
        <v/>
      </c>
      <c r="AI44" s="168" t="str">
        <f t="shared" si="4"/>
        <v/>
      </c>
    </row>
    <row r="45" spans="1:35" x14ac:dyDescent="0.25">
      <c r="A45" s="471">
        <f>IF(Tableau19[[#This Row],[Licence]]&lt;&gt;"",A44+1,A44)</f>
        <v>11</v>
      </c>
      <c r="B45" s="472"/>
      <c r="C45" s="32" t="str">
        <f>IFERROR(VLOOKUP(Tableau19[[#This Row],[Licence]],Tableau7[[Licence]:[Nom]],7,FALSE),"")</f>
        <v/>
      </c>
      <c r="D45" s="32" t="str">
        <f>IFERROR(VLOOKUP(Tableau19[[#This Row],[Licence]],Tableau7[[Licence]:[Nom]],6,FALSE),"")</f>
        <v/>
      </c>
      <c r="E45" s="32" t="str">
        <f>IFERROR(VLOOKUP(Tableau19[[#This Row],[Licence]],Tableau7[[Licence]:[Nom]],5,FALSE),"")</f>
        <v/>
      </c>
      <c r="F45"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5" s="477"/>
      <c r="H45" s="541"/>
      <c r="I45" s="472"/>
      <c r="J45" s="519"/>
      <c r="K45" s="474" t="b">
        <v>0</v>
      </c>
      <c r="M45" s="711"/>
      <c r="O45" s="371" t="str">
        <f>TRIM(IF(Tableau19[[#This Row],[Catégorie]]="NC",Tableau19[[#This Row],[Cat. si NC]],IF(LEFT(Tableau19[[#This Row],[Catégorie]],1)="M","Masters",LEFT(Tableau19[[#This Row],[Catégorie]],2))))</f>
        <v/>
      </c>
      <c r="P45" s="371"/>
      <c r="Q45" s="371" t="str">
        <f t="shared" si="0"/>
        <v/>
      </c>
      <c r="R45" s="475">
        <f t="shared" si="5"/>
        <v>11</v>
      </c>
      <c r="S45" s="475">
        <v>0</v>
      </c>
      <c r="T45" s="475" t="str">
        <v/>
      </c>
      <c r="U45" s="475" t="str">
        <v/>
      </c>
      <c r="V45" s="475" t="str">
        <v/>
      </c>
      <c r="W45" s="475" t="str">
        <v/>
      </c>
      <c r="X45" s="475">
        <v>0</v>
      </c>
      <c r="Y45" s="475">
        <v>0</v>
      </c>
      <c r="Z45" s="475">
        <v>0</v>
      </c>
      <c r="AA45" s="475">
        <v>0</v>
      </c>
      <c r="AB45" s="475" t="b">
        <v>0</v>
      </c>
      <c r="AC45" s="168">
        <f t="shared" si="6"/>
        <v>12</v>
      </c>
      <c r="AD45" s="223" t="str">
        <f t="shared" si="1"/>
        <v>L</v>
      </c>
      <c r="AE45" s="168">
        <f t="shared" si="2"/>
        <v>2</v>
      </c>
      <c r="AF45" s="168">
        <v>35</v>
      </c>
      <c r="AG45" s="476" t="str">
        <f t="shared" si="3"/>
        <v>L2</v>
      </c>
      <c r="AH45" s="476" t="str">
        <f>IFERROR(IF($F$8=FALSE,Tableau19[[#This Row],[Licence]],IF(AND($F$8=TRUE,$K$8=6),VLOOKUP(VLOOKUP($T$8,'Répartition des poules'!$B$44:$AL$49,AF45+1,FALSE),'GESTION DES JOUEURS'!$R$11:$AB$46,2,FALSE),IF(AND($F$8=TRUE,$K$8=5),VLOOKUP(VLOOKUP($T$8,'Répartition des poules'!$B$36:$AK$42,AF45+1,FALSE),'GESTION DES JOUEURS'!$R$11:$AB$46,2,FALSE),IF(AND($F$8=TRUE,$K$8=4),VLOOKUP(VLOOKUP($T$8,'Répartition des poules'!$B$26:$AL$34,AF45+1,FALSE),'GESTION DES JOUEURS'!$R$11:$AB$46,2,FALSE),IF(AND($F$8=TRUE,$K$8=3),VLOOKUP(VLOOKUP($T$8,'Répartition des poules'!$B$13:$AL$24,AF45+1,FALSE),'GESTION DES JOUEURS'!$R$11:$AB$46,2,FALSE),IF(AND($F$8=TRUE,$K$8=2),VLOOKUP(VLOOKUP($T$8,'Répartition des poules'!$B$2:$AL$11,AF45+1,FALSE),'GESTION DES JOUEURS'!$R$11:$AB$46,2,FALSE),IF(A45="","",B45))))))),"")</f>
        <v/>
      </c>
      <c r="AI45" s="168" t="str">
        <f t="shared" si="4"/>
        <v/>
      </c>
    </row>
    <row r="46" spans="1:35" ht="15.75" thickBot="1" x14ac:dyDescent="0.3">
      <c r="A46" s="471">
        <f>IF(Tableau19[[#This Row],[Licence]]&lt;&gt;"",A45+1,A45)</f>
        <v>11</v>
      </c>
      <c r="B46" s="472"/>
      <c r="C46" s="32" t="str">
        <f>IFERROR(VLOOKUP(Tableau19[[#This Row],[Licence]],Tableau7[[Licence]:[Nom]],7,FALSE),"")</f>
        <v/>
      </c>
      <c r="D46" s="32" t="str">
        <f>IFERROR(VLOOKUP(Tableau19[[#This Row],[Licence]],Tableau7[[Licence]:[Nom]],6,FALSE),"")</f>
        <v/>
      </c>
      <c r="E46" s="32" t="str">
        <f>IFERROR(VLOOKUP(Tableau19[[#This Row],[Licence]],Tableau7[[Licence]:[Nom]],5,FALSE),"")</f>
        <v/>
      </c>
      <c r="F46" s="50" t="str">
        <f>TRIM(IF(Tableau19[[#This Row],[Licence]]="","",IF('GESTION DES JOUEURS'!$X$8="Libre",_xlfn.XLOOKUP(Tableau19[[#This Row],[Licence]],Tableau2[LICENCE],Tableau2[Catégorie],"NC",0,1),IF('GESTION DES JOUEURS'!$X$8="Cadre",_xlfn.XLOOKUP(Tableau19[[#This Row],[Licence]],Tableau1[LICENCE],Tableau1[Catégorie],"NC",0,1),IF('GESTION DES JOUEURS'!$X$8="Bande",_xlfn.XLOOKUP(Tableau19[[#This Row],[Licence]],Tableau3[LICENCE],Tableau3[Catégorie],"NC",0,1),IF('GESTION DES JOUEURS'!$X$8="3 Bandes",_xlfn.XLOOKUP(Tableau19[[#This Row],[Licence]],Tableau4[LICENCE],Tableau4[Catégorie],"NC",0,1),""))))))</f>
        <v/>
      </c>
      <c r="G46" s="477"/>
      <c r="H46" s="541"/>
      <c r="I46" s="472"/>
      <c r="J46" s="519"/>
      <c r="K46" s="474" t="b">
        <v>0</v>
      </c>
      <c r="M46" s="712"/>
      <c r="O46" s="371" t="str">
        <f>TRIM(IF(Tableau19[[#This Row],[Catégorie]]="NC",Tableau19[[#This Row],[Cat. si NC]],IF(LEFT(Tableau19[[#This Row],[Catégorie]],1)="M","Masters",LEFT(Tableau19[[#This Row],[Catégorie]],2))))</f>
        <v/>
      </c>
      <c r="P46" s="371"/>
      <c r="Q46" s="371" t="str">
        <f t="shared" si="0"/>
        <v/>
      </c>
      <c r="R46" s="475">
        <f t="shared" si="5"/>
        <v>11</v>
      </c>
      <c r="S46" s="475">
        <v>0</v>
      </c>
      <c r="T46" s="475" t="str">
        <v/>
      </c>
      <c r="U46" s="475" t="str">
        <v/>
      </c>
      <c r="V46" s="475" t="str">
        <v/>
      </c>
      <c r="W46" s="475" t="str">
        <v/>
      </c>
      <c r="X46" s="475">
        <v>0</v>
      </c>
      <c r="Y46" s="475">
        <v>0</v>
      </c>
      <c r="Z46" s="475">
        <v>0</v>
      </c>
      <c r="AA46" s="475">
        <v>0</v>
      </c>
      <c r="AB46" s="475" t="b">
        <v>0</v>
      </c>
      <c r="AC46" s="168">
        <f t="shared" si="6"/>
        <v>12</v>
      </c>
      <c r="AD46" s="223" t="str">
        <f t="shared" si="1"/>
        <v>L</v>
      </c>
      <c r="AE46" s="168">
        <f t="shared" si="2"/>
        <v>3</v>
      </c>
      <c r="AF46" s="168">
        <v>36</v>
      </c>
      <c r="AG46" s="476" t="str">
        <f t="shared" si="3"/>
        <v>L3</v>
      </c>
      <c r="AH46" s="476" t="str">
        <f>IFERROR(IF($F$8=FALSE,Tableau19[[#This Row],[Licence]],IF(AND($F$8=TRUE,$K$8=6),VLOOKUP(VLOOKUP($T$8,'Répartition des poules'!$B$44:$AL$49,AF46+1,FALSE),'GESTION DES JOUEURS'!$R$11:$AB$46,2,FALSE),IF(AND($F$8=TRUE,$K$8=5),VLOOKUP(VLOOKUP($T$8,'Répartition des poules'!$B$36:$AK$42,AF46+1,FALSE),'GESTION DES JOUEURS'!$R$11:$AB$46,2,FALSE),IF(AND($F$8=TRUE,$K$8=4),VLOOKUP(VLOOKUP($T$8,'Répartition des poules'!$B$26:$AL$34,AF46+1,FALSE),'GESTION DES JOUEURS'!$R$11:$AB$46,2,FALSE),IF(AND($F$8=TRUE,$K$8=3),VLOOKUP(VLOOKUP($T$8,'Répartition des poules'!$B$13:$AL$24,AF46+1,FALSE),'GESTION DES JOUEURS'!$R$11:$AB$46,2,FALSE),IF(AND($F$8=TRUE,$K$8=2),VLOOKUP(VLOOKUP($T$8,'Répartition des poules'!$B$2:$AL$11,AF46+1,FALSE),'GESTION DES JOUEURS'!$R$11:$AB$46,2,FALSE),IF(A46="","",B46))))))),"")</f>
        <v/>
      </c>
      <c r="AI46" s="168" t="str">
        <f t="shared" si="4"/>
        <v/>
      </c>
    </row>
  </sheetData>
  <sheetProtection algorithmName="SHA-512" hashValue="TejaY+eNVILhZhYY9PvlC/vBlxLWeBIRQZhzZB5h3y6dGFAE54yXf+bntdAsqvN6ooCksevtztlEh9pQMfihHw==" saltValue="SN+MFR0rHSZeSSLIdXLSpw==" spinCount="100000" sheet="1" objects="1" scenarios="1"/>
  <mergeCells count="31">
    <mergeCell ref="M41:M42"/>
    <mergeCell ref="M44:M46"/>
    <mergeCell ref="M21:M22"/>
    <mergeCell ref="M23:M24"/>
    <mergeCell ref="M25:M26"/>
    <mergeCell ref="M27:M28"/>
    <mergeCell ref="M29:M30"/>
    <mergeCell ref="M38:M39"/>
    <mergeCell ref="M31:M32"/>
    <mergeCell ref="M33:M34"/>
    <mergeCell ref="B9:K9"/>
    <mergeCell ref="M11:M12"/>
    <mergeCell ref="M13:M14"/>
    <mergeCell ref="M15:M16"/>
    <mergeCell ref="M17:M18"/>
    <mergeCell ref="C2:I2"/>
    <mergeCell ref="F5:K5"/>
    <mergeCell ref="B8:C8"/>
    <mergeCell ref="H8:J8"/>
    <mergeCell ref="B4:C4"/>
    <mergeCell ref="B6:E6"/>
    <mergeCell ref="J6:K6"/>
    <mergeCell ref="B5:E5"/>
    <mergeCell ref="G4:H4"/>
    <mergeCell ref="F8:G8"/>
    <mergeCell ref="G6:I6"/>
    <mergeCell ref="AC10:AI10"/>
    <mergeCell ref="R10:AB10"/>
    <mergeCell ref="M5:M6"/>
    <mergeCell ref="M9:M10"/>
    <mergeCell ref="M19:M20"/>
  </mergeCells>
  <phoneticPr fontId="13" type="noConversion"/>
  <conditionalFormatting sqref="A11:A46">
    <cfRule type="expression" dxfId="2219" priority="1">
      <formula>B11=""</formula>
    </cfRule>
  </conditionalFormatting>
  <conditionalFormatting sqref="F11:F46">
    <cfRule type="expression" dxfId="2218" priority="17">
      <formula>F11="NC"</formula>
    </cfRule>
  </conditionalFormatting>
  <conditionalFormatting sqref="J11:J46">
    <cfRule type="expression" dxfId="2217" priority="2">
      <formula>$X$8&lt;&gt;"3 Bandes"</formula>
    </cfRule>
  </conditionalFormatting>
  <conditionalFormatting sqref="M13:M34">
    <cfRule type="expression" dxfId="2216" priority="15">
      <formula>$T$8&lt;2</formula>
    </cfRule>
    <cfRule type="expression" dxfId="2215" priority="16">
      <formula>$D$8="Finale"</formula>
    </cfRule>
  </conditionalFormatting>
  <conditionalFormatting sqref="M15:M34">
    <cfRule type="expression" dxfId="2214" priority="14">
      <formula>$T$8&lt;3</formula>
    </cfRule>
  </conditionalFormatting>
  <conditionalFormatting sqref="M17:M34">
    <cfRule type="expression" dxfId="2213" priority="13">
      <formula>$T$8&lt;4</formula>
    </cfRule>
  </conditionalFormatting>
  <conditionalFormatting sqref="M19:M34">
    <cfRule type="expression" dxfId="2212" priority="12">
      <formula>$T$8&lt;5</formula>
    </cfRule>
  </conditionalFormatting>
  <conditionalFormatting sqref="M21:M34">
    <cfRule type="expression" dxfId="2211" priority="11">
      <formula>$T$8&lt;6</formula>
    </cfRule>
  </conditionalFormatting>
  <conditionalFormatting sqref="M23:M34">
    <cfRule type="expression" dxfId="2210" priority="10">
      <formula>$T$8&lt;7</formula>
    </cfRule>
  </conditionalFormatting>
  <conditionalFormatting sqref="M25:M34">
    <cfRule type="expression" dxfId="2209" priority="9">
      <formula>$T$8&lt;8</formula>
    </cfRule>
  </conditionalFormatting>
  <conditionalFormatting sqref="M27:M34">
    <cfRule type="expression" dxfId="2208" priority="8">
      <formula>$T$8&lt;9</formula>
    </cfRule>
  </conditionalFormatting>
  <conditionalFormatting sqref="M29:M34">
    <cfRule type="expression" dxfId="2207" priority="7">
      <formula>$T$8&lt;10</formula>
    </cfRule>
  </conditionalFormatting>
  <conditionalFormatting sqref="M38:M39">
    <cfRule type="expression" dxfId="2206" priority="20">
      <formula>OR($D$8="poules",$D$8="Finale")</formula>
    </cfRule>
  </conditionalFormatting>
  <conditionalFormatting sqref="M38:M42">
    <cfRule type="expression" dxfId="2205" priority="4">
      <formula>$T$8=1</formula>
    </cfRule>
    <cfRule type="expression" dxfId="2204" priority="6">
      <formula>$D$8="Finale"</formula>
    </cfRule>
  </conditionalFormatting>
  <conditionalFormatting sqref="M41:M42">
    <cfRule type="expression" dxfId="2203" priority="5">
      <formula>OR($D$8="Poules",$D$8="Finale",$D$8="Tournoi")</formula>
    </cfRule>
  </conditionalFormatting>
  <dataValidations count="4">
    <dataValidation type="list" allowBlank="1" showInputMessage="1" showErrorMessage="1" sqref="F4" xr:uid="{CD89FEE4-979D-417A-88D0-7379CA9A4221}">
      <formula1>"1,1A,1B,1C,1D,1E,2,2A,2B,2C,2D,2E,3A,3,3B,3C,3D,3E,4,4A,4B,4C,4D,4E,5,5A,5B,5C,5D,5E"</formula1>
    </dataValidation>
    <dataValidation type="list" allowBlank="1" showInputMessage="1" showErrorMessage="1" sqref="K8" xr:uid="{97208212-1606-4CDF-8FAE-24EC11B2FF61}">
      <formula1>"2,3,4,5,6"</formula1>
    </dataValidation>
    <dataValidation type="list" allowBlank="1" showInputMessage="1" showErrorMessage="1" sqref="D8" xr:uid="{3CB452D5-7F9A-485F-A559-2BC048F74E69}">
      <formula1>"Tournoi, Poules, Finale,Open"</formula1>
    </dataValidation>
    <dataValidation type="list" allowBlank="1" showInputMessage="1" showErrorMessage="1" sqref="G11:G46" xr:uid="{7FBFEDF9-A540-4A49-A435-2E65341C1B04}">
      <formula1>"N1,N2,N3,R1,R2,R3,R4"</formula1>
    </dataValidation>
  </dataValidations>
  <hyperlinks>
    <hyperlink ref="M5:M6" location="'GESTION DES JOUEURS'!D4" display="GESTION DES JOUEURS" xr:uid="{7D1DBA56-B27E-4F96-91BB-CEFF74613403}"/>
    <hyperlink ref="M11:M12" location="PA!N18" display="PA!N18" xr:uid="{F4630660-5789-4327-96FA-B0E40C0C3370}"/>
    <hyperlink ref="M13:M14" location="PB!N18" display="Poule B" xr:uid="{E38B8F13-60B5-4E51-BF28-CF62746A5C41}"/>
    <hyperlink ref="M15:M16" location="PC!N18" display="Poule C" xr:uid="{4F7DDAF9-CC79-4249-8526-0AC89D6B8FCB}"/>
    <hyperlink ref="M17:M18" location="PD!N18" display="Poule D" xr:uid="{2BC30DF7-71DB-402F-9822-FF666E098486}"/>
    <hyperlink ref="M19:M20" location="PE!N18" display="Poule E" xr:uid="{504FFEBC-E33D-4C49-A587-939764649848}"/>
    <hyperlink ref="M21:M22" location="PF!N18" display="Poule F" xr:uid="{11F0CCDA-1C87-4F6C-8FFF-BCFCC513405D}"/>
    <hyperlink ref="M23:M24" location="PG!N18" display="Poule G" xr:uid="{36F98112-12C4-4204-826C-5975D2C1C0D5}"/>
    <hyperlink ref="M25:M26" location="PH!N18" display="Poule H" xr:uid="{D8D65F9B-6469-4A3E-91A8-A3D98D2F1561}"/>
    <hyperlink ref="M27:M28" location="PI!N18" display="Poule I" xr:uid="{33DC926C-A966-45BB-B797-501C680710B0}"/>
    <hyperlink ref="M29:M30" location="PJ!N18" display="Poule J" xr:uid="{C5F0ADA4-327C-4565-8E44-264C74AB6715}"/>
    <hyperlink ref="M31:M32" location="PK!N18" display="Poule K" xr:uid="{301E4F58-0C39-4D41-A908-11FBA686D923}"/>
    <hyperlink ref="M33:M34" location="PL!N18" display="Poule L" xr:uid="{AA838CA3-1E81-4D8E-BF4C-3E25DF2A86DB}"/>
    <hyperlink ref="M38:M39" location="'Phase finale'!A1" display="Phase Finale" xr:uid="{0156842B-5F38-4D95-80A7-E819A6452612}"/>
    <hyperlink ref="M41:M42" location="Consolante!A1" display="Consolante" xr:uid="{4FC57E95-106B-4628-BAB9-ADD26EF8E951}"/>
    <hyperlink ref="M44:M46" location="RESULTATS!A1" display="RESULTATS" xr:uid="{AD051403-6CCB-4757-8D67-AC237859AF5E}"/>
  </hyperlinks>
  <pageMargins left="0.7" right="0.7" top="0.75" bottom="0.75" header="0.3" footer="0.3"/>
  <pageSetup paperSize="9" scale="49"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185C95DF-3D5A-4C41-8474-753DA0555989}">
          <x14:formula1>
            <xm:f>Distances!$F$2:$F$76</xm:f>
          </x14:formula1>
          <xm:sqref>G4:H4</xm:sqref>
        </x14:dataValidation>
        <x14:dataValidation type="list" allowBlank="1" showInputMessage="1" showErrorMessage="1" xr:uid="{473C9AD8-E7C3-4049-87A3-5B8DB00F8BCB}">
          <x14:formula1>
            <xm:f>Distances!$D$2:$D$77</xm:f>
          </x14:formula1>
          <xm:sqref>D4</xm:sqref>
        </x14:dataValidation>
        <x14:dataValidation type="list" allowBlank="1" showInputMessage="1" showErrorMessage="1" xr:uid="{802AE127-684D-4D8F-A376-E2A2E85FCF0B}">
          <x14:formula1>
            <xm:f>'CLUBS IDF'!$A$2:$A$45</xm:f>
          </x14:formula1>
          <xm:sqref>B6</xm:sqref>
        </x14:dataValidation>
        <x14:dataValidation type="list" allowBlank="1" showInputMessage="1" showErrorMessage="1" xr:uid="{78760F79-5F52-4F7D-BF2E-9E61DAE7E79D}">
          <x14:formula1>
            <xm:f>'LICENCES 2025'!$A$2:$A$2298</xm:f>
          </x14:formula1>
          <xm:sqref>B11:B46 F6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CC13-82E4-432B-B00A-26B79AA12DBE}">
  <sheetPr>
    <tabColor rgb="FFE8DA5A"/>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964" t="str">
        <f>'GESTION DES JOUEURS'!M19</f>
        <v>Poule E</v>
      </c>
      <c r="C2" s="965"/>
      <c r="D2" s="965"/>
      <c r="E2" s="965"/>
      <c r="F2" s="965"/>
      <c r="G2" s="965"/>
      <c r="H2" s="965"/>
      <c r="I2" s="965"/>
      <c r="J2" s="965"/>
      <c r="K2" s="965"/>
      <c r="L2" s="965"/>
      <c r="M2" s="965"/>
      <c r="N2" s="965"/>
      <c r="O2" s="965"/>
      <c r="P2" s="965"/>
      <c r="Q2" s="965"/>
      <c r="R2" s="965"/>
      <c r="S2" s="965"/>
      <c r="T2" s="965"/>
      <c r="U2" s="965"/>
      <c r="V2" s="965"/>
      <c r="W2" s="965"/>
      <c r="X2" s="966"/>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IFERROR(VLOOKUP("E1",'GESTION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JOUEURS'!$Y$8="R",PouleATerminée="X"),_xlfn.XLOOKUP(($AO$4&amp;_xlfn.XLOOKUP(B6,$B$37:$B$42,$Q$37:$Q$42,"",0,1)&amp;_xlfn.XLOOKUP(B6,$B$37:$B$42,PE!$AE$37:$AE$42,"",0,1)),PTSRKPOULES[Colonne1],PTSRKPOULES[PR 3B],"",0,1),IF(AND('GESTION DES JOUEURS'!$D$8="Poules",'GESTION DES JOUEURS'!$Y$8="JDSR",PouleATerminée="X"),_xlfn.XLOOKUP($AO$4&amp;_xlfn.XLOOKUP(B6,$B$37:$B$42,$Q$37:$Q$42,"",0,1)&amp;_xlfn.XLOOKUP(B6,$B$37:$B$42,PE!$AE$37:$AE$42,"",0,1),PTSRKPOULES[Colonne1],PTSRKPOULES[PR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IFERROR(VLOOKUP("E2",'GESTION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JOUEURS'!$Y$8="R",PouleATerminée="X"),_xlfn.XLOOKUP(($AO$4&amp;_xlfn.XLOOKUP(B7,$B$37:$B$42,$Q$37:$Q$42,"",0,1)&amp;_xlfn.XLOOKUP(B7,$B$37:$B$42,PE!$AE$37:$AE$42,"",0,1)),PTSRKPOULES[Colonne1],PTSRKPOULES[PR 3B],"",0,1),IF(AND('GESTION DES JOUEURS'!$D$8="Poules",'GESTION DES JOUEURS'!$Y$8="JDSR",PouleATerminée="X"),_xlfn.XLOOKUP($AO$4&amp;_xlfn.XLOOKUP(B7,$B$37:$B$42,$Q$37:$Q$42,"",0,1)&amp;_xlfn.XLOOKUP(B7,$B$37:$B$42,PE!$AE$37:$AE$42,"",0,1),PTSRKPOULES[Colonne1],PTSRKPOULES[PR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IFERROR(VLOOKUP("E3",'GESTION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JOUEURS'!$Y$8="R",PouleATerminée="X"),_xlfn.XLOOKUP(($AO$4&amp;_xlfn.XLOOKUP(B8,$B$37:$B$42,$Q$37:$Q$42,"",0,1)&amp;_xlfn.XLOOKUP(B8,$B$37:$B$42,PE!$AE$37:$AE$42,"",0,1)),PTSRKPOULES[Colonne1],PTSRKPOULES[PR 3B],"",0,1),IF(AND('GESTION DES JOUEURS'!$D$8="Poules",'GESTION DES JOUEURS'!$Y$8="JDSR",PouleATerminée="X"),_xlfn.XLOOKUP($AO$4&amp;_xlfn.XLOOKUP(B8,$B$37:$B$42,$Q$37:$Q$42,"",0,1)&amp;_xlfn.XLOOKUP(B8,$B$37:$B$42,PE!$AE$37:$AE$42,"",0,1),PTSRKPOULES[Colonne1],PTSRKPOULES[PR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IFERROR(VLOOKUP("E4",'GESTION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JOUEURS'!$Y$8="R",PouleATerminée="X"),_xlfn.XLOOKUP(($AO$4&amp;_xlfn.XLOOKUP(B9,$B$37:$B$42,$Q$37:$Q$42,"",0,1)&amp;_xlfn.XLOOKUP(B9,$B$37:$B$42,PE!$AE$37:$AE$42,"",0,1)),PTSRKPOULES[Colonne1],PTSRKPOULES[PR 3B],"",0,1),IF(AND('GESTION DES JOUEURS'!$D$8="Poules",'GESTION DES JOUEURS'!$Y$8="JDSR",PouleATerminée="X"),_xlfn.XLOOKUP($AO$4&amp;_xlfn.XLOOKUP(B9,$B$37:$B$42,$Q$37:$Q$42,"",0,1)&amp;_xlfn.XLOOKUP(B9,$B$37:$B$42,PE!$AE$37:$AE$42,"",0,1),PTSRKPOULES[Colonne1],PTSRKPOULES[PR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IFERROR(VLOOKUP("E5",'GESTION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JOUEURS'!$Y$8="R",PouleATerminée="X"),_xlfn.XLOOKUP(($AO$4&amp;_xlfn.XLOOKUP(B10,$B$37:$B$42,$Q$37:$Q$42,"",0,1)&amp;_xlfn.XLOOKUP(B10,$B$37:$B$42,PE!$AE$37:$AE$42,"",0,1)),PTSRKPOULES[Colonne1],PTSRKPOULES[PR 3B],"",0,1),IF(AND('GESTION DES JOUEURS'!$D$8="Poules",'GESTION DES JOUEURS'!$Y$8="JDSR",PouleATerminée="X"),_xlfn.XLOOKUP($AO$4&amp;_xlfn.XLOOKUP(B10,$B$37:$B$42,$Q$37:$Q$42,"",0,1)&amp;_xlfn.XLOOKUP(B10,$B$37:$B$42,PE!$AE$37:$AE$42,"",0,1),PTSRKPOULES[Colonne1],PTSRKPOULES[PR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IFERROR(VLOOKUP("E6",'GESTION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JOUEURS'!$Y$8="R",PouleATerminée="X"),_xlfn.XLOOKUP(($AO$4&amp;_xlfn.XLOOKUP(B11,$B$37:$B$42,$Q$37:$Q$42,"",0,1)&amp;_xlfn.XLOOKUP(B11,$B$37:$B$42,PE!$AE$37:$AE$42,"",0,1)),PTSRKPOULES[Colonne1],PTSRKPOULES[PR 3B],"",0,1),IF(AND('GESTION DES JOUEURS'!$D$8="Poules",'GESTION DES JOUEURS'!$Y$8="JDSR",PouleATerminée="X"),_xlfn.XLOOKUP($AO$4&amp;_xlfn.XLOOKUP(B11,$B$37:$B$42,$Q$37:$Q$42,"",0,1)&amp;_xlfn.XLOOKUP(B11,$B$37:$B$42,PE!$AE$37:$AE$42,"",0,1),PTSRKPOULES[Colonne1],PTSRKPOULES[PR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IF(K13="Poule","E","")</f>
        <v>E</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E</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967" t="str">
        <f>"TABLEAU "&amp;CHAR(10)&amp;B2</f>
        <v>TABLEAU 
Poule E</v>
      </c>
      <c r="V37" s="968"/>
      <c r="W37" s="968"/>
      <c r="X37" s="969"/>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970"/>
      <c r="V38" s="971"/>
      <c r="W38" s="971"/>
      <c r="X38" s="972"/>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970"/>
      <c r="V39" s="971"/>
      <c r="W39" s="971"/>
      <c r="X39" s="972"/>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970"/>
      <c r="V40" s="971"/>
      <c r="W40" s="971"/>
      <c r="X40" s="972"/>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970"/>
      <c r="V41" s="971"/>
      <c r="W41" s="971"/>
      <c r="X41" s="972"/>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973"/>
      <c r="V42" s="974"/>
      <c r="W42" s="974"/>
      <c r="X42" s="975"/>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s51aAk2VzaMGjVumhfcqQBVZhpeaGp49lY0SspXMtdrq6mtRjPD79a5C+KMTc1kTX+bpLw85sWJmHV6S2zmFg==" saltValue="qe3PeU3CzJSeG6ibnXpqsw=="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1406" priority="3">
      <formula>$B18=""</formula>
    </cfRule>
  </conditionalFormatting>
  <conditionalFormatting sqref="B19:Y32">
    <cfRule type="expression" dxfId="1405" priority="2">
      <formula>$B18=MAX($B$18:$B$32)</formula>
    </cfRule>
  </conditionalFormatting>
  <conditionalFormatting sqref="E18:E32 W18:W32">
    <cfRule type="expression" dxfId="1404" priority="4">
      <formula>LEFT($B$15)="3"</formula>
    </cfRule>
  </conditionalFormatting>
  <conditionalFormatting sqref="L13">
    <cfRule type="expression" dxfId="1403" priority="56">
      <formula>$F$13&lt;&gt;"FINALE"</formula>
    </cfRule>
  </conditionalFormatting>
  <conditionalFormatting sqref="T6:U11 N37:O42">
    <cfRule type="expression" dxfId="1401" priority="57">
      <formula>LEFT($B$15)="3"</formula>
    </cfRule>
  </conditionalFormatting>
  <dataValidations count="3">
    <dataValidation type="list" allowBlank="1" showInputMessage="1" showErrorMessage="1" sqref="O7:O11" xr:uid="{4CDCC48D-567F-4F2B-A0DD-F72FD9E85DA9}">
      <formula1>"F,1,2,3,4,5,6"</formula1>
    </dataValidation>
    <dataValidation type="list" allowBlank="1" showInputMessage="1" showErrorMessage="1" sqref="W35:X35" xr:uid="{D1F37E42-D552-4D52-919C-73C995F57F57}">
      <formula1>"OUI,NON"</formula1>
    </dataValidation>
    <dataValidation type="list" allowBlank="1" showInputMessage="1" showErrorMessage="1" sqref="O6" xr:uid="{A3854EF3-C7A3-495A-8028-D56F47AECE64}">
      <formula1>"1,2,3,4,5,6"</formula1>
    </dataValidation>
  </dataValidations>
  <hyperlinks>
    <hyperlink ref="AA4:AA5" location="'GESTION DES JOUEURS'!D4" display="GESTION DES JOUEURS" xr:uid="{6C12E7D6-2806-4F61-8B72-390D7351C1D7}"/>
    <hyperlink ref="U37:X42" location="'T PE'!A1" display="'T PE'!A1" xr:uid="{9F385C2E-6C34-4600-841D-02ABC384C3C6}"/>
    <hyperlink ref="AA9:AA10" location="PA!N18" display="PA!N18" xr:uid="{8315F613-91CD-4E17-8BF6-641B11A865B6}"/>
    <hyperlink ref="AA11:AA12" location="PB!N18" display="Poule B" xr:uid="{291813C8-655F-462E-AC98-B77AAE19DB1B}"/>
    <hyperlink ref="AA13:AA14" location="PC!N18" display="Poule C" xr:uid="{01ED8D70-D466-4CEA-9D65-19BC30713474}"/>
    <hyperlink ref="AA15:AA16" location="PD!N18" display="Poule D" xr:uid="{1772BA00-2E57-4E9E-8CBB-02762DD8DAB3}"/>
    <hyperlink ref="AA17:AA18" location="PE!N18" display="Poule E" xr:uid="{4E6C724F-4D23-4104-89C0-4A1518549634}"/>
    <hyperlink ref="AA19:AA20" location="PF!N18" display="Poule F" xr:uid="{6CAB507F-4915-4D33-B9AA-05B198E13A64}"/>
    <hyperlink ref="AA21:AA22" location="PG!N18" display="Poule G" xr:uid="{B0A328E1-049B-4D79-9212-D7B3A2EACEBC}"/>
    <hyperlink ref="AA23:AA24" location="PH!N18" display="Poule H" xr:uid="{471121FC-651D-4748-A667-89921DBA837A}"/>
    <hyperlink ref="AA25:AA26" location="PI!N18" display="Poule I" xr:uid="{C0C3A2B8-666C-4823-B51D-287C8C400DD6}"/>
    <hyperlink ref="AA27:AA28" location="PJ!N18" display="Poule J" xr:uid="{91969C6C-7629-4901-9446-A31C6484184C}"/>
    <hyperlink ref="AA29:AA30" location="PK!N18" display="Poule K" xr:uid="{7CFED7C4-9829-4B30-877A-6AC70810F71D}"/>
    <hyperlink ref="AA31:AA32" location="PL!N18" display="Poule L" xr:uid="{867CE06E-2D6A-4BAD-A45C-1B648857C9E3}"/>
    <hyperlink ref="AA37:AA38" location="Consolante!A1" display="Consolante" xr:uid="{97ECC0FA-2BAD-40E9-ABC8-B18BA7C3217A}"/>
    <hyperlink ref="AA40:AA42" location="RESULTATS!A1" display="RESULTATS" xr:uid="{CD4860A3-A1A3-45D0-B383-209A8279DD76}"/>
    <hyperlink ref="AA34:AA35" location="'Phase finale'!A1" display="Phase Finale" xr:uid="{1CBB12A3-E3FC-462C-84F2-277E261E4FCF}"/>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0B2F6640-7136-40DE-A1FC-A72721E9764D}">
            <xm:f>'GESTION DES JOUEURS'!$D$8="Open"</xm:f>
            <x14:dxf>
              <numFmt numFmtId="14" formatCode="0.00%"/>
            </x14:dxf>
          </x14:cfRule>
          <xm:sqref>R37:S42</xm:sqref>
        </x14:conditionalFormatting>
        <x14:conditionalFormatting xmlns:xm="http://schemas.microsoft.com/office/excel/2006/main">
          <x14:cfRule type="expression" priority="8" id="{9F784748-5B0B-423F-8888-2A519509FED8}">
            <xm:f>'GESTION DES JOUEURS'!$D$8="Open"</xm:f>
            <x14:dxf>
              <numFmt numFmtId="14" formatCode="0.00%"/>
            </x14:dxf>
          </x14:cfRule>
          <xm:sqref>W6:X11</xm:sqref>
        </x14:conditionalFormatting>
        <x14:conditionalFormatting xmlns:xm="http://schemas.microsoft.com/office/excel/2006/main">
          <x14:cfRule type="expression" priority="1" id="{210C6D06-409F-4732-8EB0-79504E0694AD}">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B35E4BAE-52DA-4B02-BB91-013C9951385A}">
            <xm:f>'GESTION DES JOUEURS'!$T$8&lt;2</xm:f>
            <x14:dxf>
              <font>
                <color theme="0" tint="-0.24994659260841701"/>
              </font>
              <fill>
                <patternFill>
                  <bgColor theme="0" tint="-0.24994659260841701"/>
                </patternFill>
              </fill>
            </x14:dxf>
          </x14:cfRule>
          <x14:cfRule type="expression" priority="42" id="{3A08499E-2D80-4FAF-841D-3230502F3BF5}">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071C26BC-17C0-4A18-B39D-69917D4AC2E3}">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A5949ECB-6AD8-434A-A060-C2C2123C9F67}">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3CEAA3B7-F5B0-4268-BE5D-59D3C651CA59}">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6F2CD893-DA79-473C-9FBB-6956275B9B27}">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DBAE3447-1FBA-462F-87FB-D3A37F23AFEE}">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7ACAE007-C697-416A-982E-B8B9FD1D0057}">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6BD2E667-3905-45A7-9F8F-5939A4AF4B2F}">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77B5BA54-7A2B-4211-B6B4-B400D37BF565}">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8D0C9AAF-7C23-45D7-B2C5-43E2DBCC4317}">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AAA1123F-CF95-4046-BABE-663886AF31FA}">
            <xm:f>'GESTION DES JOUEURS'!$T$8=1</xm:f>
            <x14:dxf>
              <font>
                <color theme="0" tint="-0.24994659260841701"/>
              </font>
              <fill>
                <patternFill>
                  <bgColor theme="0" tint="-0.24994659260841701"/>
                </patternFill>
              </fill>
            </x14:dxf>
          </x14:cfRule>
          <x14:cfRule type="expression" priority="19" id="{68273135-16A5-43F2-8E62-12C9E59EDFFB}">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9A096014-28A6-4BCC-9AB9-1062A4702A58}">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5745DF2-D69E-4294-BA6D-BD75A934B649}">
          <x14:formula1>
            <xm:f>IF(AND(_xlfn.XLOOKUP($F18,$B$6:$B$11,$AD$6:$AD$11,"",0,1)&lt;&gt;"N1",_xlfn.XLOOKUP($U18,$B$6:$B$11,$AD$6:$AD$11,"",0,1)&lt;&gt;"N1",$B$15="Cadre N1/N2"),Distances!$B$89:$KP$89,Distances!$B$86:$KQ$86)</xm:f>
          </x14:formula1>
          <xm:sqref>O18:O32</xm:sqref>
        </x14:dataValidation>
        <x14:dataValidation type="list" allowBlank="1" showInputMessage="1" showErrorMessage="1" xr:uid="{AADAC7F0-B5BF-4F5C-97A6-8EE8965450E6}">
          <x14:formula1>
            <xm:f>IF(AND(_xlfn.XLOOKUP($F18,$B$6:$B$11,$AD$6:$AD$11,"",0,1)&lt;&gt;"N1",_xlfn.XLOOKUP($U18,$B$6:$B$11,$AD$6:$AD$11,"",0,1)&lt;&gt;"N1",$B$15="Cadre N1/N2"),Distances!$B$88:$KP$88,Distances!$B$85:$KQ$85)</xm:f>
          </x14:formula1>
          <xm:sqref>N18:N32 P18:P32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F39C7-CD6F-4713-9148-873DE0F8E57B}">
  <sheetPr>
    <tabColor rgb="FFE8DA5A"/>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IF(PE!F13="FINALE","District 93-94"&amp;" - "&amp;IF(MONTH(AT5)&gt;8,YEAR(AT5)&amp;"/"&amp;YEAR(AT5)+1,YEAR(AT5)-1&amp;"/"&amp;YEAR(AT5))&amp;CHAR(10)&amp;PE!F13&amp;CHAR(10)&amp;PE!B15&amp;AT2,"District 93-94"&amp;" - "&amp;IF(MONTH(AT5)&gt;8,YEAR(AT5)&amp;"/"&amp;YEAR(AT5)+1,YEAR(AT5)-1&amp;"/"&amp;YEAR(AT5))&amp;CHAR(10)&amp;'GESTION DES JOUEURS'!C2&amp;CHAR(10)&amp;PE!K13&amp;" "&amp;PE!L13)</f>
        <v>District 93-94 - 2024/2025
Journée 3 -  Libre R2
Poule E</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IF(PE!M14="","",PE!M14)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IF(LEFT(PE!$B$15)="C","   -   "&amp;_xlfn.XLOOKUP(PE!B15,Distances!D2:D77,Distances!K2:K77,"",0,1),"")</f>
        <v/>
      </c>
      <c r="AV2" s="450" t="s">
        <v>8130</v>
      </c>
    </row>
    <row r="3" spans="1:48" ht="21.95" customHeight="1" thickBot="1" x14ac:dyDescent="0.3">
      <c r="A3" s="32"/>
      <c r="B3" s="868" t="str">
        <f>IF('GESTION DES JOUEURS'!$F$6="","","Directeur de jeu : "&amp;PE!S13)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"&amp;_xlfn.XLOOKUP(PE!B15,Distances!D2:D77,Distances!A2:A77,"",0,1)&amp;AT2</f>
        <v>Mode de jeu : Libre</v>
      </c>
      <c r="C5" s="877"/>
      <c r="D5" s="877"/>
      <c r="E5" s="877"/>
      <c r="F5" s="877"/>
      <c r="G5" s="876" t="str">
        <f>"Catégorie : "&amp;_xlfn.XLOOKUP(PE!B15,Distances!D2:D77,Distances!B2:B77,"",0,1)</f>
        <v>Catégorie : R2</v>
      </c>
      <c r="H5" s="877"/>
      <c r="I5" s="877"/>
      <c r="J5" s="877"/>
      <c r="K5" s="877"/>
      <c r="L5" s="877"/>
      <c r="M5" s="877"/>
      <c r="N5" s="878"/>
      <c r="O5" s="870" t="str">
        <f>IF(G5="Catégorie : N1/N2","Distance réduite : 150 pts"&amp;CHAR(10)&amp;"si N2 Vs N2 120pts",PE!B14&amp;" "&amp;PE!E14&amp;" "&amp;PE!F14)</f>
        <v>Distance : 100 Pts</v>
      </c>
      <c r="P5" s="871"/>
      <c r="Q5" s="871"/>
      <c r="R5" s="871"/>
      <c r="S5" s="871"/>
      <c r="T5" s="871"/>
      <c r="U5" s="872"/>
      <c r="V5" s="870" t="str">
        <f>IFERROR(IF(G5="Catégorie : N1/N2","Reprises : 15"&amp;CHAR(10)&amp;"si N2 Vs N2 Reprises : 20 ",PE!G14&amp;" "&amp;PE!J14),"")</f>
        <v>Reprises : 40</v>
      </c>
      <c r="W5" s="871"/>
      <c r="X5" s="871"/>
      <c r="Y5" s="871"/>
      <c r="Z5" s="871"/>
      <c r="AA5" s="871"/>
      <c r="AB5" s="871"/>
      <c r="AC5" s="872"/>
      <c r="AD5" s="873" t="str">
        <f>_xlfn.XLOOKUP(PE!B15,Distances!D2:D77,Distances!J2:J77,"",0,1)&amp;" "&amp;_xlfn.XLOOKUP(PE!B15,Distances!D2:D77,Distances!I2:I77,"",0,1)&amp;"0 m"</f>
        <v>PC 2,80 m</v>
      </c>
      <c r="AE5" s="874"/>
      <c r="AF5" s="874"/>
      <c r="AG5" s="874"/>
      <c r="AH5" s="874"/>
      <c r="AI5" s="875"/>
      <c r="AJ5" s="850">
        <f>IF(PE!T14=0,"DATE",PE!T14)</f>
        <v>45633</v>
      </c>
      <c r="AK5" s="851"/>
      <c r="AL5" s="851"/>
      <c r="AM5" s="851"/>
      <c r="AN5" s="851"/>
      <c r="AO5" s="851"/>
      <c r="AP5" s="851"/>
      <c r="AQ5" s="852"/>
      <c r="AS5" s="841" t="s">
        <v>8129</v>
      </c>
      <c r="AT5" s="32">
        <f ca="1">IF(PE!T14&gt;1,AJ5,TODAY())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IF(PE!$AO$4&lt;2,"","JOUEURS")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IF(PE!$AO$4&lt;2,"","RESULTATS")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IF(PE!AO4=2,_xlfn.XLOOKUP(1,PE!M6:M11,PE!C6:D11&amp;" "&amp;LEFT(PE!E6)&amp;".","",0,1),IF(COUNT(PE!A6:A11)&gt;2,CONCATENATE(PE!C6," ",LEFT(PE!E6),"."),""))</f>
        <v/>
      </c>
      <c r="D10" s="32"/>
      <c r="E10" s="885" t="str">
        <f>IF(PE!W35="NON",AG1,IF(PE!AO4&gt;0,_xlfn.XLOOKUP('T PE'!C13,'LOGOS CLUBS'!$B$2:$B$65,'LOGOS CLUBS'!$C$2:$C$65,C13,0,1),""))</f>
        <v/>
      </c>
      <c r="F10" s="885"/>
      <c r="G10" s="885"/>
      <c r="H10" s="885"/>
      <c r="I10" s="32"/>
      <c r="J10" s="882" t="str">
        <f>IF(AND(PE!$AO$4=2,PE!$A18="P"),PE!N18,IF(AND(COUNT(PE!$A$6:$A$11)&gt;2,PE!$CF10="P"),PE!$CC10,""))</f>
        <v/>
      </c>
      <c r="K10" s="882"/>
      <c r="L10" s="882" t="str">
        <f>IF(AND(PE!$AO$4=2,PE!$A18="P"),PE!O18,IF(AND(COUNT(PE!$A$6:$A$11)&gt;2,PE!$CF10="P"),PE!$CE10,""))</f>
        <v/>
      </c>
      <c r="M10" s="882"/>
      <c r="N10" s="142"/>
      <c r="O10" s="882" t="str">
        <f>IF(PE!$AO$4=2,"",IF(AND(COUNT(PE!$A$6:$A$11)&gt;2,PE!$CF9="P"),PE!$CC9,""))</f>
        <v/>
      </c>
      <c r="P10" s="882"/>
      <c r="Q10" s="882" t="str">
        <f>IF(PE!$AO$4=2,"",IF(AND(COUNT(PE!$A$6:$A$11)&gt;2,PE!$CF9="P"),PE!$CE9,""))</f>
        <v/>
      </c>
      <c r="R10" s="882"/>
      <c r="S10" s="142"/>
      <c r="T10" s="882" t="str">
        <f>IF(PE!$AO$4=2,"",IF(AND(COUNT(PE!$A$6:$A$11)&gt;2,PE!$CF8="P"),PE!$CC8,""))</f>
        <v/>
      </c>
      <c r="U10" s="882"/>
      <c r="V10" s="882" t="str">
        <f>IF(PE!$AO$4=2,"",IF(AND(COUNT(PE!$A$6:$A$11)&gt;2,PE!$CF8="P"),PE!$CE8,""))</f>
        <v/>
      </c>
      <c r="W10" s="882"/>
      <c r="X10" s="142"/>
      <c r="Y10" s="882" t="str">
        <f>IF(PE!$AO$4=2,"",IF(AND(COUNT(PE!$A$6:$A$11)&gt;2,PE!$CF7="P"),PE!$CC7,""))</f>
        <v/>
      </c>
      <c r="Z10" s="882"/>
      <c r="AA10" s="882" t="str">
        <f>IF(PE!$AO$4=2,"",IF(AND(COUNT(PE!$A$6:$A$11)&gt;2,PE!$CF7="P"),PE!$CE7,""))</f>
        <v/>
      </c>
      <c r="AB10" s="882"/>
      <c r="AC10" s="142"/>
      <c r="AD10" s="882" t="str">
        <f>IF(PE!$AO$4=2,"",IF(AND(COUNT(PE!$A$6:$A$11)&gt;2,PE!$CF6="P"),PE!$CC6,""))</f>
        <v/>
      </c>
      <c r="AE10" s="882"/>
      <c r="AF10" s="882" t="str">
        <f>IF(PE!$AO$4=2,"",IF(AND(COUNT(PE!$A$6:$A$11)&gt;2,PE!$CF6="P"),PE!$CE6,""))</f>
        <v/>
      </c>
      <c r="AG10" s="882"/>
      <c r="AH10" s="32"/>
      <c r="AI10" s="32"/>
      <c r="AJ10" s="32"/>
      <c r="AK10" s="882" t="str" cm="1">
        <f t="array" ref="AK10">IF(PE!$AO$4&lt;2,"",IF(_xlfn.XLOOKUP('T PE'!C12,"Licence n° "&amp;PE!$B$6:$B$11,PE!$AO$6:$AO$11,"",0,1)=1,"",_xlfn.XLOOKUP('T PE'!C12,"Licence n° "&amp;PE!$B$6:$B$11,PE!$V$6:$V$11,"",0,1)))</f>
        <v/>
      </c>
      <c r="AL10" s="882"/>
      <c r="AM10" s="879" t="str" cm="1">
        <f t="array" ref="AM10">IF(PE!$AO$4&lt;2,"",IF(_xlfn.XLOOKUP('T PE'!C12,"Licence n° "&amp;PE!$B$6:$B$11,PE!$AO$6:$AO$11,"",0,1)=1,"",_xlfn.XLOOKUP('T PE'!C12,"Licence n° "&amp;PE!$B$6:$B$11,PE!$T$6:$T$11,"",0,1)))</f>
        <v/>
      </c>
      <c r="AN10" s="879"/>
      <c r="AO10" s="32"/>
      <c r="AP10" s="561" t="str" cm="1">
        <f t="array" ref="AP10">_xlfn.XLOOKUP(C12,"Licence n° "&amp;PE!$B$6:$B$11,PE!$W$6:$W$11,"",0,1)</f>
        <v/>
      </c>
      <c r="AQ10" s="32"/>
      <c r="AS10" s="843" t="str">
        <f>IF('GESTION DES JOUEURS'!$D$8="Finale","Poule Finale","Poule A")</f>
        <v>Poule A</v>
      </c>
      <c r="AT10" s="32"/>
      <c r="AV10" s="838"/>
    </row>
    <row r="11" spans="1:48" ht="12.6" customHeight="1" thickBot="1" x14ac:dyDescent="0.3">
      <c r="A11" s="32"/>
      <c r="B11" s="32"/>
      <c r="C11" s="143" t="str" cm="1">
        <f t="array" ref="C11">IF(PE!$AO$4=2,_xlfn.XLOOKUP(1,PE!$M$6:$M$11,PE!$K$6:$K$11&amp;" "&amp;PE!$AS$6:$AS$11,"",0,1),IF(COUNT(PE!$A$6:$A$11)&gt;2,PE!$K6&amp;" - "&amp;PE!$AS6," "))</f>
        <v xml:space="preserve"> </v>
      </c>
      <c r="D11" s="32"/>
      <c r="E11" s="885"/>
      <c r="F11" s="885"/>
      <c r="G11" s="885"/>
      <c r="H11" s="885"/>
      <c r="I11" s="32"/>
      <c r="J11" s="144" t="str">
        <f>IF(K11="","","Pts")</f>
        <v/>
      </c>
      <c r="K11" s="880" t="str">
        <f>IF(PE!$AO$4=2,PE!D18,IF(AND(COUNT(PE!$A$6:$A$11)&gt;2,PE!$CF10="P"),PE!$CG10,""))</f>
        <v/>
      </c>
      <c r="L11" s="880"/>
      <c r="M11" s="144" t="str">
        <f>IF(K11="","","Rep.")</f>
        <v/>
      </c>
      <c r="N11" s="144"/>
      <c r="O11" s="144" t="str">
        <f>IF(P11="","","Pts")</f>
        <v/>
      </c>
      <c r="P11" s="880" t="str">
        <f>IF(PE!$AO$4=2,"",IF(AND(COUNT(PE!$A$6:$A$11)&gt;2,PE!$CF9="P"),PE!$CG9,""))</f>
        <v/>
      </c>
      <c r="Q11" s="880"/>
      <c r="R11" s="144" t="str">
        <f>IF(P11="","","Rep.")</f>
        <v/>
      </c>
      <c r="S11" s="144"/>
      <c r="T11" s="144" t="str">
        <f>IF(U11="","","Pts")</f>
        <v/>
      </c>
      <c r="U11" s="880" t="str">
        <f>IF(PE!$AO$4=2,"",IF(AND(COUNT(PE!$A$6:$A$11)&gt;2,PE!$CF8="P"),PE!$CG8,""))</f>
        <v/>
      </c>
      <c r="V11" s="880"/>
      <c r="W11" s="144" t="str">
        <f>IF(U11="","","Rep.")</f>
        <v/>
      </c>
      <c r="X11" s="144"/>
      <c r="Y11" s="144" t="str">
        <f>IF(Z11="","","Pts")</f>
        <v/>
      </c>
      <c r="Z11" s="880" t="str">
        <f>IF(PE!$AO$4=2,"",IF(AND(COUNT(PE!$A$6:$A$11)&gt;2,PE!$CF7="P"),PE!$CG7,""))</f>
        <v/>
      </c>
      <c r="AA11" s="880"/>
      <c r="AB11" s="144" t="str">
        <f>IF(Z11="","","Rep.")</f>
        <v/>
      </c>
      <c r="AC11" s="144"/>
      <c r="AD11" s="144" t="str">
        <f>IF(AE11="","","Pts")</f>
        <v/>
      </c>
      <c r="AE11" s="880" t="str">
        <f>IF(PE!$AO$4=2,"",IF(AND(COUNT(PE!$A$6:$A$11)&gt;2,PE!$CF6="P"),PE!$CG6,""))</f>
        <v/>
      </c>
      <c r="AF11" s="880"/>
      <c r="AG11" s="144" t="str">
        <f>IF(AE11="","","Rep.")</f>
        <v/>
      </c>
      <c r="AH11" s="32"/>
      <c r="AI11" s="32"/>
      <c r="AJ11" s="32"/>
      <c r="AK11" s="145" t="str">
        <f>IF(AL11="","","PM")</f>
        <v/>
      </c>
      <c r="AL11" s="881" t="str" cm="1">
        <f t="array" ref="AL11">IF(SUM(PE!$Q$6:$Q$11)=0,"",IF(PE!$AO$4&gt;1,IF(_xlfn.XLOOKUP('T PE'!C12,"Licence n° "&amp;PE!$B$6:$B$11,PE!$AO$6:$AO$11,"",0,1)=1,"Forfait",_xlfn.XLOOKUP('T PE'!C12,"Licence n° "&amp;PE!$B$37:$B$42,PE!$Q$37:$Q$42,"",0,1)),""))</f>
        <v/>
      </c>
      <c r="AM11" s="881"/>
      <c r="AN11" s="145" t="str">
        <f>IF(AL11="","","MGP")</f>
        <v/>
      </c>
      <c r="AO11" s="32"/>
      <c r="AP11" s="146" t="str">
        <f>IF(OR(PE!$AO$4&lt;2,LEFT(PE!$F$13)="F"),"","Pts Rk")</f>
        <v/>
      </c>
      <c r="AQ11" s="32"/>
      <c r="AS11" s="844"/>
      <c r="AT11" s="32"/>
      <c r="AV11" s="839"/>
    </row>
    <row r="12" spans="1:48" ht="12.6" customHeight="1" x14ac:dyDescent="0.25">
      <c r="A12" s="32"/>
      <c r="B12" s="32"/>
      <c r="C12" s="147" t="str">
        <f>IF(PE!AO4=2,"Licence n° "&amp;_xlfn.XLOOKUP(1,PE!M6:M11,PE!B6:B11,"",0,1),IF(COUNT(PE!A6:A11)&gt;2,"Licence n° "&amp;PE!B6,"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IF(OR(PE!$AO$4&lt;2,LEFT(PE!$F$13)="F"),"","Bonus")</f>
        <v/>
      </c>
      <c r="AQ12" s="32"/>
      <c r="AS12" s="845" t="s">
        <v>8113</v>
      </c>
      <c r="AT12" s="32"/>
    </row>
    <row r="13" spans="1:48" ht="50.1" customHeight="1" x14ac:dyDescent="0.25">
      <c r="A13" s="32"/>
      <c r="B13" s="32"/>
      <c r="C13" s="149" t="str">
        <f>IF(PE!AO4=2,_xlfn.XLOOKUP(1,PE!M6:M11,PE!G6:G11,"",0,1),IF(COUNT(PE!A6:A11)&gt;2,PE!G6," "))</f>
        <v xml:space="preserve"> </v>
      </c>
      <c r="D13" s="32"/>
      <c r="E13" s="885"/>
      <c r="F13" s="885"/>
      <c r="G13" s="885"/>
      <c r="H13" s="885"/>
      <c r="I13" s="32"/>
      <c r="J13" s="883" t="str">
        <f>IF(K11="","",IF(K11&gt;0,J10/L10,"/"))</f>
        <v/>
      </c>
      <c r="K13" s="883"/>
      <c r="L13" s="884" t="str">
        <f>IF(AND(PE!$AO$4=2,PE!$A18="P"),PE!M18,IF(AND(COUNT(PE!$A$6:$A$11)&gt;2,PE!$CF10="P"),PE!$CD10,""))</f>
        <v/>
      </c>
      <c r="M13" s="884"/>
      <c r="N13" s="32"/>
      <c r="O13" s="883" t="str">
        <f>IF(P11="","",IF(P11&gt;0,O10/Q10,"/"))</f>
        <v/>
      </c>
      <c r="P13" s="883"/>
      <c r="Q13" s="884" t="str">
        <f>IF(PE!$AO$4=2,"",IF(AND(COUNT(PE!$A$6:$A$11)&gt;2,PE!$CF9="P"),PE!$CD9,""))</f>
        <v/>
      </c>
      <c r="R13" s="884"/>
      <c r="S13" s="32"/>
      <c r="T13" s="883" t="str">
        <f>IF(U11="","",IF(U11&gt;0,T10/V10,"/"))</f>
        <v/>
      </c>
      <c r="U13" s="883"/>
      <c r="V13" s="884" t="str">
        <f>IF(PE!$AO$4=2,"",IF(AND(COUNT(PE!$A$6:$A$11)&gt;2,PE!$CF8="P"),PE!$CD8,""))</f>
        <v/>
      </c>
      <c r="W13" s="884"/>
      <c r="X13" s="32"/>
      <c r="Y13" s="883" t="str">
        <f>IF(Z11="","",IF(Z11&gt;0,Y10/AA10,"/"))</f>
        <v/>
      </c>
      <c r="Z13" s="883"/>
      <c r="AA13" s="884" t="str">
        <f>IF(PE!$AO$4=2,"",IF(AND(COUNT(PE!$A$6:$A$11)&gt;2,PE!$CF7="P"),PE!$CD7,""))</f>
        <v/>
      </c>
      <c r="AB13" s="884"/>
      <c r="AC13" s="32"/>
      <c r="AD13" s="883" t="str">
        <f>IF(AE11="","",IF(AE11&gt;0,AD10/AF10,"/"))</f>
        <v/>
      </c>
      <c r="AE13" s="883"/>
      <c r="AF13" s="884" t="str">
        <f>IF(PE!$AO$4=2,"",IF(AND(COUNT(PE!$A$6:$A$11)&gt;2,PE!$CF6="P"),PE!$CD6,""))</f>
        <v/>
      </c>
      <c r="AG13" s="884"/>
      <c r="AH13" s="32"/>
      <c r="AI13" s="32"/>
      <c r="AJ13" s="32"/>
      <c r="AK13" s="883" t="str" cm="1">
        <f t="array" ref="AK13">IF(PE!$AO$4&lt;2,"",IF(_xlfn.XLOOKUP('T PE'!C12,"Licence n° "&amp;PE!$B$6:$B$11,PE!$AO$6:$AO$11,"",0,1)=1,"",_xlfn.XLOOKUP('T PE'!C12,"Licence n° "&amp;PE!$B$6:$B$11,PE!$U$6:$U$11,"",0,1)))</f>
        <v/>
      </c>
      <c r="AL13" s="883"/>
      <c r="AM13" s="884" t="str" cm="1">
        <f t="array" ref="AM13">IF(PE!$AO$4&lt;2,"",IF(_xlfn.XLOOKUP('T PE'!C12,"Licence n° "&amp;PE!$B$6:$B$11,PE!$AO$6:$AO$11,"",0,1)=1,"",_xlfn.XLOOKUP('T PE'!C12,"Licence n° "&amp;PE!$B$6:$B$11,PE!$S$6:$S$11,"",0,1)))</f>
        <v/>
      </c>
      <c r="AN13" s="884"/>
      <c r="AO13" s="32"/>
      <c r="AP13" s="562" t="str" cm="1">
        <f t="array" ref="AP13">_xlfn.XLOOKUP(C12,"Licence n° "&amp;PE!$B$6:$B$11,PE!$X$6:$X$11,"",0,1)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IF(PE!AO4=2,_xlfn.XLOOKUP(2,PE!M6:M11,PE!C6:D11&amp;" "&amp;LEFT(PE!E6:E11)&amp;".","",0,1),IF(COUNT(PE!A6:A11)&gt;2,CONCATENATE(PE!C7," ",LEFT(PE!E7),"."),""))</f>
        <v/>
      </c>
      <c r="D15" s="32"/>
      <c r="E15" s="882" t="str">
        <f>IF(AND(PE!$AO$4=2,PE!$A18="P"),PE!P18,IF(AND(COUNT(PE!$A$6:$A$11)&gt;2,PE!$CF15="P"),PE!$CC15,""))</f>
        <v/>
      </c>
      <c r="F15" s="882"/>
      <c r="G15" s="882" t="str">
        <f>IF(AND(PE!$AO$4=2,PE!$A18="P"),PE!O18,IF(AND(COUNT(PE!$A$6:$A$11)&gt;2,PE!$CF15="P"),PE!$CE15,""))</f>
        <v/>
      </c>
      <c r="H15" s="882"/>
      <c r="I15" s="32"/>
      <c r="J15" s="885" t="str">
        <f>IF(PE!W35="NON",AG1,IF(PE!AO4=2,"MATCH 1",IF(PE!AO4&gt;2,_xlfn.XLOOKUP(C18,'LOGOS CLUBS'!$B$2:$B$65,'LOGOS CLUBS'!$C$2:$C$65,C18,0,1),"")))</f>
        <v/>
      </c>
      <c r="K15" s="885"/>
      <c r="L15" s="885"/>
      <c r="M15" s="885"/>
      <c r="N15" s="32"/>
      <c r="O15" s="882" t="str">
        <f>IF(PE!$AO$4=2,"",IF(AND(COUNT(PE!$A$6:$A$11)&gt;2,PE!$CF14="P"),PE!$CC14,""))</f>
        <v/>
      </c>
      <c r="P15" s="882"/>
      <c r="Q15" s="882" t="str">
        <f>IF(PE!$AO$4=2,"",IF(AND(COUNT(PE!$A$6:$A$11)&gt;2,PE!$CF14="P"),PE!$CE14,""))</f>
        <v/>
      </c>
      <c r="R15" s="882"/>
      <c r="S15" s="142"/>
      <c r="T15" s="882" t="str">
        <f>IF(PE!$AO$4=2,"",IF(AND(COUNT(PE!$A$6:$A$11)&gt;2,PE!$CF13="P"),PE!$CC13,""))</f>
        <v/>
      </c>
      <c r="U15" s="882"/>
      <c r="V15" s="882" t="str">
        <f>IF(PE!$AO$4=2,"",IF(AND(COUNT(PE!$A$6:$A$11)&gt;2,PE!$CF13="P"),PE!$CE13,""))</f>
        <v/>
      </c>
      <c r="W15" s="882"/>
      <c r="X15" s="142"/>
      <c r="Y15" s="882" t="str">
        <f>IF(PE!$AO$4=2,"",IF(AND(COUNT(PE!$A$6:$A$11)&gt;2,PE!$CF12="P"),PE!$CC12,""))</f>
        <v/>
      </c>
      <c r="Z15" s="882"/>
      <c r="AA15" s="882" t="str">
        <f>IF(PE!$AO$4=2,"",IF(AND(COUNT(PE!$A$6:$A$11)&gt;2,PE!$CF12="P"),PE!$CE12,""))</f>
        <v/>
      </c>
      <c r="AB15" s="882"/>
      <c r="AC15" s="142"/>
      <c r="AD15" s="882" t="str">
        <f>IF(PE!$AO$4=2,"",IF(AND(COUNT(PE!$A$6:$A$11)&gt;2,PE!$CF11="P"),PE!$CC11,""))</f>
        <v/>
      </c>
      <c r="AE15" s="882"/>
      <c r="AF15" s="882" t="str">
        <f>IF(PE!$AO$4=2,"",IF(AND(COUNT(PE!$A$6:$A$11)&gt;2,PE!$CF11="P"),PE!$CE11,""))</f>
        <v/>
      </c>
      <c r="AG15" s="882"/>
      <c r="AH15" s="32"/>
      <c r="AI15" s="32"/>
      <c r="AJ15" s="32"/>
      <c r="AK15" s="882" t="str" cm="1">
        <f t="array" ref="AK15">IF(PE!$AO$4&lt;2,"",IF(_xlfn.XLOOKUP('T PE'!C17,"Licence n° "&amp;PE!$B$6:$B$11,PE!$AO$6:$AO$11,"",0,1)=1,"",_xlfn.XLOOKUP('T PE'!C17,"Licence n° "&amp;PE!$B$6:$B$11,PE!$V$6:$V$11,"",0,1)))</f>
        <v/>
      </c>
      <c r="AL15" s="882"/>
      <c r="AM15" s="879" t="str" cm="1">
        <f t="array" ref="AM15">IF(PE!$AO$4&lt;2,"",IF(_xlfn.XLOOKUP('T PE'!C17,"Licence n° "&amp;PE!$B$6:$B$11,PE!$AO$6:$AO$11,"",0,1)=1,"",_xlfn.XLOOKUP('T PE'!C17,"Licence n° "&amp;PE!$B$6:$B$11,PE!$T$6:$T$11,"",0,1)))</f>
        <v/>
      </c>
      <c r="AN15" s="879"/>
      <c r="AO15" s="32"/>
      <c r="AP15" s="561" t="str" cm="1">
        <f t="array" ref="AP15">_xlfn.XLOOKUP(C17,"Licence n° "&amp;PE!$B$6:$B$11,PE!$W$6:$W$11,"",0,1)</f>
        <v/>
      </c>
      <c r="AQ15" s="32"/>
      <c r="AS15" s="840" t="s">
        <v>8114</v>
      </c>
      <c r="AT15" s="32"/>
    </row>
    <row r="16" spans="1:48" ht="12.6" customHeight="1" x14ac:dyDescent="0.25">
      <c r="A16" s="32"/>
      <c r="B16" s="32"/>
      <c r="C16" s="143" t="str" cm="1">
        <f t="array" ref="C16">IF(PE!$AO$4=2,_xlfn.XLOOKUP(2,PE!$M$6:$M$11,PE!$K$6:$K$11&amp;" "&amp;PE!$AS$6:$AS$11,"",0,1),IF(COUNT(PE!$A$6:$A$11)&gt;2,PE!$K7&amp;" - "&amp;PE!$AS7," "))</f>
        <v xml:space="preserve"> </v>
      </c>
      <c r="D16" s="32"/>
      <c r="E16" s="144" t="str">
        <f>IF(F16="","","Pts")</f>
        <v/>
      </c>
      <c r="F16" s="880" t="str">
        <f>IF(PE!$AO$4=2,PE!X18,IF(AND(COUNT(PE!$A$6:$A$11)&gt;2,PE!$CF15="P"),PE!$CG15,""))</f>
        <v/>
      </c>
      <c r="G16" s="880"/>
      <c r="H16" s="144" t="str">
        <f>IF(F16="","","Rep.")</f>
        <v/>
      </c>
      <c r="I16" s="32"/>
      <c r="J16" s="885"/>
      <c r="K16" s="885"/>
      <c r="L16" s="885"/>
      <c r="M16" s="885"/>
      <c r="N16" s="32"/>
      <c r="O16" s="144" t="str">
        <f>IF(P16="","","Pts")</f>
        <v/>
      </c>
      <c r="P16" s="880" t="str">
        <f>IF(PE!$AO$4=2,"",IF(AND(COUNT(PE!$A$6:$A$11)&gt;2,PE!$CF14="P"),PE!$CG14,""))</f>
        <v/>
      </c>
      <c r="Q16" s="880"/>
      <c r="R16" s="144" t="str">
        <f>IF(P16="","","Rep.")</f>
        <v/>
      </c>
      <c r="S16" s="50"/>
      <c r="T16" s="144" t="str">
        <f>IF(U16="","","Pts")</f>
        <v/>
      </c>
      <c r="U16" s="880" t="str">
        <f>IF(PE!$AO$4=2,"",IF(AND(COUNT(PE!$A$6:$A$11)&gt;2,PE!$CF13="P"),PE!$CG13,""))</f>
        <v/>
      </c>
      <c r="V16" s="880"/>
      <c r="W16" s="144" t="str">
        <f>IF(U16="","","Rep.")</f>
        <v/>
      </c>
      <c r="X16" s="144"/>
      <c r="Y16" s="144" t="str">
        <f>IF(Z16="","","Pts")</f>
        <v/>
      </c>
      <c r="Z16" s="880" t="str">
        <f>IF(PE!$AO$4=2,"",IF(AND(COUNT(PE!$A$6:$A$11)&gt;2,PE!$CF12="P"),PE!$CG12,""))</f>
        <v/>
      </c>
      <c r="AA16" s="880"/>
      <c r="AB16" s="144" t="str">
        <f>IF(Z16="","","Rep.")</f>
        <v/>
      </c>
      <c r="AC16" s="144"/>
      <c r="AD16" s="144" t="str">
        <f>IF(AE16="","","Pts")</f>
        <v/>
      </c>
      <c r="AE16" s="880" t="str">
        <f>IF(PE!$AO$4=2,"",IF(AND(COUNT(PE!$A$6:$A$11)&gt;2,PE!$CF11="P"),PE!$CG11,""))</f>
        <v/>
      </c>
      <c r="AF16" s="880"/>
      <c r="AG16" s="144" t="str">
        <f>IF(AE16="","","Rep.")</f>
        <v/>
      </c>
      <c r="AH16" s="32"/>
      <c r="AI16" s="32"/>
      <c r="AJ16" s="32"/>
      <c r="AK16" s="145" t="str">
        <f>IF(AL16="","","PM")</f>
        <v/>
      </c>
      <c r="AL16" s="881" t="str" cm="1">
        <f t="array" ref="AL16">IF(SUM(PE!$Q$6:$Q$11)=0,"",IF(PE!$AO$4&gt;1,IF(_xlfn.XLOOKUP('T PE'!C17,"Licence n° "&amp;PE!$B$6:$B$11,PE!$AO$6:$AO$11,"",0,1)=1,"Forfait",_xlfn.XLOOKUP('T PE'!C17,"Licence n° "&amp;PE!$B$37:$B$42,PE!$Q$37:$Q$42,"",0,1)),""))</f>
        <v/>
      </c>
      <c r="AM16" s="881"/>
      <c r="AN16" s="145" t="str">
        <f>IF(AL16="","","MGP")</f>
        <v/>
      </c>
      <c r="AO16" s="32"/>
      <c r="AP16" s="151" t="str">
        <f>IF(OR(PE!$AO$4&lt;2,LEFT(PE!$F$13)="F"),"","Pts Rk")</f>
        <v/>
      </c>
      <c r="AQ16" s="32"/>
      <c r="AS16" s="840"/>
      <c r="AT16" s="32"/>
    </row>
    <row r="17" spans="1:52" ht="12.6" customHeight="1" x14ac:dyDescent="0.25">
      <c r="A17" s="32"/>
      <c r="B17" s="32"/>
      <c r="C17" s="147" t="str">
        <f>IF(PE!AO4=2,"Licence n° "&amp;_xlfn.XLOOKUP(2,PE!M6:M11,PE!B6:B11,"",0,1),IF(COUNT(PE!A6:A11)&gt;2,"Licence n° "&amp;PE!B7,"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IF(OR(PE!$AO$4&lt;2,LEFT(PE!$F$13)="F"),"","Bonus")</f>
        <v/>
      </c>
      <c r="AQ17" s="32"/>
      <c r="AS17" s="846" t="s">
        <v>8115</v>
      </c>
      <c r="AT17" s="32"/>
      <c r="AZ17" s="241"/>
    </row>
    <row r="18" spans="1:52" ht="50.1" customHeight="1" x14ac:dyDescent="0.25">
      <c r="A18" s="32"/>
      <c r="B18" s="32"/>
      <c r="C18" s="149" t="str">
        <f>IF(PE!AO4=2,_xlfn.XLOOKUP(2,PE!M6:M11,PE!G6:G11,"",0,1),IF(COUNT(PE!A6:A11)&gt;2,PE!G7," "))</f>
        <v xml:space="preserve"> </v>
      </c>
      <c r="D18" s="32"/>
      <c r="E18" s="883" t="str">
        <f>IF(F16="","",IF(F16&gt;0,E15/G15,"/"))</f>
        <v/>
      </c>
      <c r="F18" s="883"/>
      <c r="G18" s="884" t="str">
        <f>IF(AND(PE!$AO$4=2,PE!$A18="P"),PE!Q18,IF(AND(COUNT(PE!$A$6:$A$11)&gt;2,PE!$CF15="P"),PE!$CD15,""))</f>
        <v/>
      </c>
      <c r="H18" s="884"/>
      <c r="I18" s="32"/>
      <c r="J18" s="885"/>
      <c r="K18" s="885"/>
      <c r="L18" s="885"/>
      <c r="M18" s="885"/>
      <c r="N18" s="32"/>
      <c r="O18" s="883" t="str">
        <f>IF(P16="","",IF(P16&gt;0,O15/Q15,"/"))</f>
        <v/>
      </c>
      <c r="P18" s="883"/>
      <c r="Q18" s="884" t="str">
        <f>IF(PE!$AO$4=2,"",IF(AND(COUNT(PE!$A$6:$A$11)&gt;2,PE!$CF14="P"),PE!$CD14,""))</f>
        <v/>
      </c>
      <c r="R18" s="884"/>
      <c r="S18" s="32"/>
      <c r="T18" s="883" t="str">
        <f>IF(U16="","",IF(U16&gt;0,T15/V15,"/"))</f>
        <v/>
      </c>
      <c r="U18" s="883"/>
      <c r="V18" s="884" t="str">
        <f>IF(PE!$AO$4=2,"",IF(AND(COUNT(PE!$A$6:$A$11)&gt;2,PE!$CF13="P"),PE!$CD13,""))</f>
        <v/>
      </c>
      <c r="W18" s="884"/>
      <c r="X18" s="32"/>
      <c r="Y18" s="883" t="str">
        <f>IF(Z16="","",IF(Z16&gt;0,Y15/AA15,"/"))</f>
        <v/>
      </c>
      <c r="Z18" s="883"/>
      <c r="AA18" s="884" t="str">
        <f>IF(PE!$AO$4=2,"",IF(AND(COUNT(PE!$A$6:$A$11)&gt;2,PE!$CF12="P"),PE!$CD12,""))</f>
        <v/>
      </c>
      <c r="AB18" s="884"/>
      <c r="AC18" s="32"/>
      <c r="AD18" s="883" t="str">
        <f>IF(AE16="","",IF(AE16&gt;0,AD15/AF15,"/"))</f>
        <v/>
      </c>
      <c r="AE18" s="883"/>
      <c r="AF18" s="884" t="str">
        <f>IF(PE!$AO$4=2,"",IF(AND(COUNT(PE!$A$6:$A$11)&gt;2,PE!$CF11="P"),PE!$CD11,""))</f>
        <v/>
      </c>
      <c r="AG18" s="884"/>
      <c r="AH18" s="32"/>
      <c r="AI18" s="32"/>
      <c r="AJ18" s="32"/>
      <c r="AK18" s="883" t="str" cm="1">
        <f t="array" ref="AK18">IF(PE!$AO$4&lt;2,"",IF(_xlfn.XLOOKUP('T PE'!C17,"Licence n° "&amp;PE!$B$6:$B$11,PE!$AO$6:$AO$11,"",0,1)=1,"",_xlfn.XLOOKUP('T PE'!C17,"Licence n° "&amp;PE!$B$6:$B$11,PE!$U$6:$U$11,"",0,1)))</f>
        <v/>
      </c>
      <c r="AL18" s="883"/>
      <c r="AM18" s="884" t="str" cm="1">
        <f t="array" ref="AM18">IF(PE!$AO$4&lt;2,"",IF(_xlfn.XLOOKUP('T PE'!C17,"Licence n° "&amp;PE!$B$6:$B$11,PE!$AO$6:$AO$11,"",0,1)=1,"",_xlfn.XLOOKUP('T PE'!C17,"Licence n° "&amp;PE!$B$6:$B$11,PE!$S$6:$S$11,"",0,1)))</f>
        <v/>
      </c>
      <c r="AN18" s="884"/>
      <c r="AO18" s="32"/>
      <c r="AP18" s="562" t="str" cm="1">
        <f t="array" ref="AP18">_xlfn.XLOOKUP(C17,"Licence n° "&amp;PE!$B$6:$B$11,PE!$X$6:$X$11,"",0,1)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IF(PE!AO4=2,C10,IF(COUNT(PE!A6:A11)&gt;2,CONCATENATE(PE!C8," ",LEFT(PE!E8),"."),""))</f>
        <v/>
      </c>
      <c r="D20" s="32"/>
      <c r="E20" s="882" t="str">
        <f>IF(PE!$AO$4=2,"",IF(AND(COUNT(PE!$A$6:$A$11)&gt;2,PE!$CF20="P"),PE!$CC20,""))</f>
        <v/>
      </c>
      <c r="F20" s="882"/>
      <c r="G20" s="882" t="str">
        <f>IF(PE!$AO$4=2,"",IF(AND(COUNT(PE!$A$6:$A$11)&gt;2,PE!$CF20="P"),PE!$CE20,""))</f>
        <v/>
      </c>
      <c r="H20" s="882"/>
      <c r="I20" s="142"/>
      <c r="J20" s="882" t="str">
        <f>IF(PE!$AO$4=2,"",IF(AND(COUNT(PE!$A$6:$A$11)&gt;2,PE!$CF19="P"),PE!$CC19,""))</f>
        <v/>
      </c>
      <c r="K20" s="882"/>
      <c r="L20" s="882" t="str">
        <f>IF(PE!$AO$4=2,"",IF(AND(COUNT(PE!$A$6:$A$11)&gt;2,PE!$CF19="P"),PE!$CE19,""))</f>
        <v/>
      </c>
      <c r="M20" s="882"/>
      <c r="N20" s="32"/>
      <c r="O20" s="885" t="str">
        <f>IF(PE!W35="NON",AG1,IF(PE!AO4=2,"MATCH 2",IF(PE!AO4&gt;2,_xlfn.XLOOKUP(C23,'LOGOS CLUBS'!$B$2:$B$65,'LOGOS CLUBS'!$C$2:$C$65,C23,0,1),"")))</f>
        <v/>
      </c>
      <c r="P20" s="885"/>
      <c r="Q20" s="885"/>
      <c r="R20" s="885"/>
      <c r="S20" s="32"/>
      <c r="T20" s="882" t="str">
        <f>IF(AND(PE!$AO$4=2,PE!$A19="P"),PE!P19,IF(AND(COUNT(PE!$A$6:$A$11)&gt;2,PE!$CF18="P"),PE!$CC18,""))</f>
        <v/>
      </c>
      <c r="U20" s="882"/>
      <c r="V20" s="882" t="str">
        <f>IF(AND(PE!$AO$4=2,PE!$A19="P"),PE!O19,IF(AND(COUNT(PE!$A$6:$A$11)&gt;2,PE!$CF18="P"),PE!$CE18,""))</f>
        <v/>
      </c>
      <c r="W20" s="882"/>
      <c r="X20" s="142"/>
      <c r="Y20" s="882" t="str">
        <f>IF(PE!$AO$4=2,"",IF(AND(COUNT(PE!$A$6:$A$11)&gt;2,PE!$CF17="P"),PE!$CC17,""))</f>
        <v/>
      </c>
      <c r="Z20" s="882"/>
      <c r="AA20" s="882" t="str">
        <f>IF(PE!$AO$4=2,"",IF(AND(COUNT(PE!$A$6:$A$11)&gt;2,PE!$CF17="P"),PE!$CE17,""))</f>
        <v/>
      </c>
      <c r="AB20" s="882"/>
      <c r="AC20" s="142"/>
      <c r="AD20" s="882" t="str">
        <f>IF(PE!$AO$4=2,"",IF(AND(COUNT(PE!$A$6:$A$11)&gt;2,PE!$CF16="P"),PE!$CC16,""))</f>
        <v/>
      </c>
      <c r="AE20" s="882"/>
      <c r="AF20" s="882" t="str">
        <f>IF(PE!$AO$4=2,"",IF(AND(COUNT(PE!$A$6:$A$11)&gt;2,PE!$CF16="P"),PE!$CE16,""))</f>
        <v/>
      </c>
      <c r="AG20" s="882"/>
      <c r="AH20" s="32"/>
      <c r="AI20" s="32"/>
      <c r="AJ20" s="32"/>
      <c r="AK20" s="882" t="str" cm="1">
        <f t="array" ref="AK20">IF(PE!$AO$4&lt;3,"",IF(_xlfn.XLOOKUP('T PE'!C22,"Licence n° "&amp;PE!$B$6:$B$11,PE!$AO$6:$AO$11,"",0,1)=1,"",_xlfn.XLOOKUP('T PE'!C22,"Licence n° "&amp;PE!$B$6:$B$11,PE!$V$6:$V$11,"",0,1)))</f>
        <v/>
      </c>
      <c r="AL20" s="882"/>
      <c r="AM20" s="879" t="str" cm="1">
        <f t="array" ref="AM20">IF(PE!$AO$4&lt;3,"",IF(_xlfn.XLOOKUP('T PE'!C22,"Licence n° "&amp;PE!$B$6:$B$11,PE!$AO$6:$AO$11,"",0,1)=1,"",_xlfn.XLOOKUP('T PE'!C22,"Licence n° "&amp;PE!$B$6:$B$11,PE!$T$6:$T$11,"",0,1)))</f>
        <v/>
      </c>
      <c r="AN20" s="879"/>
      <c r="AO20" s="32"/>
      <c r="AP20" s="561" t="str" cm="1">
        <f t="array" ref="AP20">IF(PE!$AO$4&lt;3,"",_xlfn.XLOOKUP(C22,"Licence n° "&amp;PE!$B$6:$B$11,PE!$W$6:$W$11,"",0,1))</f>
        <v/>
      </c>
      <c r="AQ20" s="32"/>
      <c r="AS20" s="847" t="s">
        <v>8116</v>
      </c>
      <c r="AT20" s="32"/>
      <c r="AZ20" s="241"/>
    </row>
    <row r="21" spans="1:52" ht="12.6" customHeight="1" x14ac:dyDescent="0.25">
      <c r="A21" s="32"/>
      <c r="B21" s="32"/>
      <c r="C21" s="143" t="str" cm="1">
        <f t="array" ref="C21">IF(PE!$AO$4=2,_xlfn.XLOOKUP(1,PE!$M$6:$M$11,PE!$K$6:$K$11&amp;" "&amp;PE!$AS$6:$AS$11,"",0,1),IF(COUNT(PE!$A$6:$A$11)&gt;2,PE!$K8&amp;" - "&amp;PE!$AS8," "))</f>
        <v xml:space="preserve"> </v>
      </c>
      <c r="D21" s="32"/>
      <c r="E21" s="144" t="str">
        <f>IF(F21="","","Pts")</f>
        <v/>
      </c>
      <c r="F21" s="880" t="str">
        <f>IF(PE!$AO$4=2,"",IF(AND(COUNT(PE!$A$6:$A$11)&gt;2,PE!$CF20="P"),PE!$CG20,""))</f>
        <v/>
      </c>
      <c r="G21" s="880"/>
      <c r="H21" s="144" t="str">
        <f>IF(F21="","","Rep.")</f>
        <v/>
      </c>
      <c r="I21" s="144"/>
      <c r="J21" s="144" t="str">
        <f>IF(K21="","","Pts")</f>
        <v/>
      </c>
      <c r="K21" s="880" t="str">
        <f>IF(PE!$AO$4=2,"",IF(AND(COUNT(PE!$A$6:$A$11)&gt;2,PE!$CF19="P"),PE!$CG19,""))</f>
        <v/>
      </c>
      <c r="L21" s="880"/>
      <c r="M21" s="144" t="str">
        <f>IF(K21="","","Rep.")</f>
        <v/>
      </c>
      <c r="N21" s="32"/>
      <c r="O21" s="885"/>
      <c r="P21" s="885"/>
      <c r="Q21" s="885"/>
      <c r="R21" s="885"/>
      <c r="S21" s="32"/>
      <c r="T21" s="144" t="str">
        <f>IF(U21="","","Pts")</f>
        <v/>
      </c>
      <c r="U21" s="880" t="str">
        <f>IF(PE!$AO$4=2,PE!X19,IF(AND(COUNT(PE!$A$6:$A$11)&gt;2,PE!$CF18="P"),PE!$CG18,""))</f>
        <v/>
      </c>
      <c r="V21" s="880"/>
      <c r="W21" s="144" t="str">
        <f>IF(U21="","","Rep.")</f>
        <v/>
      </c>
      <c r="X21" s="144"/>
      <c r="Y21" s="144" t="str">
        <f>IF(Z21="","","Pts")</f>
        <v/>
      </c>
      <c r="Z21" s="880" t="str">
        <f>IF(PE!$AO$4=2,"",IF(AND(COUNT(PE!$A$6:$A$11)&gt;2,PE!$CF17="P"),PE!$CG17,""))</f>
        <v/>
      </c>
      <c r="AA21" s="880"/>
      <c r="AB21" s="144" t="str">
        <f>IF(Z21="","","Rep.")</f>
        <v/>
      </c>
      <c r="AC21" s="144"/>
      <c r="AD21" s="144" t="str">
        <f>IF(AE21="","","Pts")</f>
        <v/>
      </c>
      <c r="AE21" s="880" t="str">
        <f>IF(PE!$AO$4=2,"",IF(AND(COUNT(PE!$A$6:$A$11)&gt;2,PE!$CF16="P"),PE!$CG16,""))</f>
        <v/>
      </c>
      <c r="AF21" s="880"/>
      <c r="AG21" s="144" t="str">
        <f>IF(AE21="","","Rep.")</f>
        <v/>
      </c>
      <c r="AH21" s="32"/>
      <c r="AI21" s="32"/>
      <c r="AJ21" s="32"/>
      <c r="AK21" s="145" t="str">
        <f>IF(AL21="","","PM")</f>
        <v/>
      </c>
      <c r="AL21" s="881" t="str" cm="1">
        <f t="array" ref="AL21">IF(SUM(PE!$Q$6:$Q$11)=0,"",IF(PE!$AO$4&gt;2,IF(_xlfn.XLOOKUP('T PE'!C22,"Licence n° "&amp;PE!$B$6:$B$11,PE!$AO$6:$AO$11,"",0,1)=1,"Forfait",_xlfn.XLOOKUP('T PE'!C22,"Licence n° "&amp;PE!$B$37:$B$42,PE!$Q$37:$Q$42,"",0,1)),""))</f>
        <v/>
      </c>
      <c r="AM21" s="881"/>
      <c r="AN21" s="145" t="str">
        <f>IF(AL21="","","MGP")</f>
        <v/>
      </c>
      <c r="AO21" s="32"/>
      <c r="AP21" s="151" t="str">
        <f>IF(OR(PE!$AO$4&lt;3,LEFT(PE!$F$13)="F"),"","Pts Rk")</f>
        <v/>
      </c>
      <c r="AQ21" s="32"/>
      <c r="AS21" s="847"/>
      <c r="AT21" s="32"/>
    </row>
    <row r="22" spans="1:52" ht="12.6" customHeight="1" x14ac:dyDescent="0.25">
      <c r="A22" s="32"/>
      <c r="B22" s="32"/>
      <c r="C22" s="147" t="str">
        <f>IF(PE!AO4=2,C12,IF(COUNT(PE!A6:A11)&gt;2,"Licence n° "&amp;PE!B8,"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IF(OR(PE!$AO$4&lt;3,LEFT(PE!$F$13)="F"),"","Bonus")</f>
        <v/>
      </c>
      <c r="AQ22" s="32"/>
      <c r="AS22" s="848" t="s">
        <v>8117</v>
      </c>
      <c r="AT22" s="32"/>
    </row>
    <row r="23" spans="1:52" ht="50.1" customHeight="1" x14ac:dyDescent="0.25">
      <c r="A23" s="32"/>
      <c r="B23" s="32"/>
      <c r="C23" s="149" t="str">
        <f>IF(PE!AO4=2,C13,IF(COUNT(PE!A6:A11)&gt;2,PE!G8," "))</f>
        <v xml:space="preserve"> </v>
      </c>
      <c r="D23" s="32"/>
      <c r="E23" s="883" t="str">
        <f>IF(F21="","",IF(F21&gt;0,E20/G20,"/"))</f>
        <v/>
      </c>
      <c r="F23" s="883"/>
      <c r="G23" s="884" t="str">
        <f>IF(PE!$AO$4=2,"",IF(AND(COUNT(PE!$A$6:$A$11)&gt;2,PE!$CF20="P"),PE!$CD20,""))</f>
        <v/>
      </c>
      <c r="H23" s="884"/>
      <c r="I23" s="32"/>
      <c r="J23" s="883" t="str">
        <f>IF(K21="","",IF(K21&gt;0,J20/L20,"/"))</f>
        <v/>
      </c>
      <c r="K23" s="883"/>
      <c r="L23" s="884" t="str">
        <f>IF(PE!$AO$4=2,"",IF(AND(COUNT(PE!$A$6:$A$11)&gt;2,PE!$CF19="P"),PE!$CD19,""))</f>
        <v/>
      </c>
      <c r="M23" s="884"/>
      <c r="N23" s="32"/>
      <c r="O23" s="885"/>
      <c r="P23" s="885"/>
      <c r="Q23" s="885"/>
      <c r="R23" s="885"/>
      <c r="S23" s="32"/>
      <c r="T23" s="883" t="str">
        <f>IF(U21="","",IF(U21&gt;0,T20/V20,"/"))</f>
        <v/>
      </c>
      <c r="U23" s="883"/>
      <c r="V23" s="884" t="str">
        <f>IF(AND(PE!$AO$4=2,PE!$A19="P"),PE!Q19,IF(AND(COUNT(PE!$A$6:$A$11)&gt;2,PE!$CF18="P"),PE!$CD18,""))</f>
        <v/>
      </c>
      <c r="W23" s="884"/>
      <c r="X23" s="32"/>
      <c r="Y23" s="883" t="str">
        <f>IF(Z21="","",IF(Z21&gt;0,Y20/AA20,"/"))</f>
        <v/>
      </c>
      <c r="Z23" s="883"/>
      <c r="AA23" s="884" t="str">
        <f>IF(PE!$AO$4=2,"",IF(AND(COUNT(PE!$A$6:$A$11)&gt;2,PE!$CF17="P"),PE!$CD17,""))</f>
        <v/>
      </c>
      <c r="AB23" s="884"/>
      <c r="AC23" s="32"/>
      <c r="AD23" s="883" t="str">
        <f>IF(AE21="","",IF(AE21&gt;0,AD20/AF20,"/"))</f>
        <v/>
      </c>
      <c r="AE23" s="883"/>
      <c r="AF23" s="884" t="str">
        <f>IF(PE!$AO$4=2,"",IF(AND(COUNT(PE!$A$6:$A$11)&gt;2,PE!$CF16="P"),PE!$CD16,""))</f>
        <v/>
      </c>
      <c r="AG23" s="884"/>
      <c r="AH23" s="32"/>
      <c r="AI23" s="32"/>
      <c r="AJ23" s="32"/>
      <c r="AK23" s="883" t="str" cm="1">
        <f t="array" ref="AK23">IF(PE!$AO$4&lt;3,"",IF(_xlfn.XLOOKUP('T PE'!C22,"Licence n° "&amp;PE!$B$6:$B$11,PE!$AO$6:$AO$11,"",0,1)=1,"",_xlfn.XLOOKUP('T PE'!C22,"Licence n° "&amp;PE!$B$6:$B$11,PE!$U$6:$U$11,"",0,1)))</f>
        <v/>
      </c>
      <c r="AL23" s="883"/>
      <c r="AM23" s="884" t="str" cm="1">
        <f t="array" ref="AM23">IF(PE!$AO$4&lt;3,"",IF(_xlfn.XLOOKUP('T PE'!C22,"Licence n° "&amp;PE!$B$6:$B$11,PE!$AO$6:$AO$11,"",0,1)=1,"",_xlfn.XLOOKUP('T PE'!C22,"Licence n° "&amp;PE!$B$6:$B$11,PE!$S$6:$S$11,"",0,1)))</f>
        <v/>
      </c>
      <c r="AN23" s="884"/>
      <c r="AO23" s="32"/>
      <c r="AP23" s="562" t="str" cm="1">
        <f t="array" ref="AP23">IF(PE!$AO$4&lt;3,"",_xlfn.XLOOKUP(C22,"Licence n° "&amp;PE!$B$6:$B$11,PE!$X$6:$X$11,"",0,1))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IF(PE!AO4=2,C15,IF(COUNT(PE!A6:A11)&gt;3,CONCATENATE(PE!C9," ",LEFT(PE!E9),"."),""))</f>
        <v/>
      </c>
      <c r="D25" s="32"/>
      <c r="E25" s="882" t="str">
        <f>IF(PE!$AO$4=2,"",IF(AND(COUNT(PE!$A$6:$A$11)&gt;2,PE!$CF25="P"),PE!$CC25,""))</f>
        <v/>
      </c>
      <c r="F25" s="882"/>
      <c r="G25" s="882" t="str">
        <f>IF(PE!$AO$4=2,"",IF(AND(COUNT(PE!$A$6:$A$11)&gt;2,PE!$CF25="P"),PE!$CE25,""))</f>
        <v/>
      </c>
      <c r="H25" s="882"/>
      <c r="I25" s="142"/>
      <c r="J25" s="882" t="str">
        <f>IF(PE!$AO$4=2,"",IF(AND(COUNT(PE!$A$6:$A$11)&gt;2,PE!$CF24="P"),PE!$CC24,""))</f>
        <v/>
      </c>
      <c r="K25" s="882"/>
      <c r="L25" s="882" t="str">
        <f>IF(PE!$AO$4=2,"",IF(AND(COUNT(PE!$A$6:$A$11)&gt;2,PE!$CF24="P"),PE!$CE24,""))</f>
        <v/>
      </c>
      <c r="M25" s="882"/>
      <c r="N25" s="142"/>
      <c r="O25" s="882" t="str">
        <f>IF(AND(PE!$AO$4=2,PE!$A19="P"),PE!N19,IF(AND(COUNT(PE!$A$6:$A$11)&gt;2,PE!$CF23="P"),PE!$CC23,""))</f>
        <v/>
      </c>
      <c r="P25" s="882"/>
      <c r="Q25" s="882" t="str">
        <f>IF(AND(PE!$AO$4=2,PE!$A19="P"),PE!O19,IF(AND(COUNT(PE!$A$6:$A$11)&gt;2,PE!$CF23="P"),PE!$CE23,""))</f>
        <v/>
      </c>
      <c r="R25" s="882"/>
      <c r="S25" s="32"/>
      <c r="T25" s="886" t="str">
        <f>IF(PE!W35="NON",AG1,IF(OR(PE!AO4=2,COUNT(PE!A6:A11)&gt;3),_xlfn.XLOOKUP('T PE'!C28,'LOGOS CLUBS'!$B$2:$B$65,'LOGOS CLUBS'!$C$2:$C$65,C28,0,1),""))</f>
        <v/>
      </c>
      <c r="U25" s="886"/>
      <c r="V25" s="886"/>
      <c r="W25" s="886"/>
      <c r="X25" s="32"/>
      <c r="Y25" s="882" t="str">
        <f>IF(PE!$AO$4=2,"",IF(AND(COUNT(PE!$A$6:$A$11)&gt;2,PE!$CF22="P"),PE!$CC22,""))</f>
        <v/>
      </c>
      <c r="Z25" s="882"/>
      <c r="AA25" s="882" t="str">
        <f>IF(PE!$AO$4=2,"",IF(AND(COUNT(PE!$A$6:$A$11)&gt;2,PE!$CF22="P"),PE!$CE22,""))</f>
        <v/>
      </c>
      <c r="AB25" s="882"/>
      <c r="AC25" s="142"/>
      <c r="AD25" s="882" t="str">
        <f>IF(PE!$AO$4=2,"",IF(AND(COUNT(PE!$A$6:$A$11)&gt;2,PE!$CF21="P"),PE!$CC21,""))</f>
        <v/>
      </c>
      <c r="AE25" s="882"/>
      <c r="AF25" s="882" t="str">
        <f>IF(PE!$AO$4=2,"",IF(AND(COUNT(PE!$A$6:$A$11)&gt;2,PE!$CF21="P"),PE!$CE21,""))</f>
        <v/>
      </c>
      <c r="AG25" s="882"/>
      <c r="AH25" s="32"/>
      <c r="AI25" s="32"/>
      <c r="AJ25" s="32"/>
      <c r="AK25" s="882" t="str" cm="1">
        <f t="array" ref="AK25">IF(PE!$AO$4&lt;3,"",IF(_xlfn.XLOOKUP('T PE'!C27,"Licence n° "&amp;PE!$B$6:$B$11,PE!$AO$6:$AO$11,"",0,1)=1,"",_xlfn.XLOOKUP('T PE'!C27,"Licence n° "&amp;PE!$B$6:$B$11,PE!$V$6:$V$11,"",0,1)))</f>
        <v/>
      </c>
      <c r="AL25" s="882"/>
      <c r="AM25" s="879" t="str" cm="1">
        <f t="array" ref="AM25">IF(PE!$AO$4&lt;3,"",IF(_xlfn.XLOOKUP('T PE'!C27,"Licence n° "&amp;PE!$B$6:$B$11,PE!$AO$6:$AO$11,"",0,1)=1,"",_xlfn.XLOOKUP('T PE'!C27,"Licence n° "&amp;PE!$B$6:$B$11,PE!$T$6:$T$11,"",0,1)))</f>
        <v/>
      </c>
      <c r="AN25" s="879"/>
      <c r="AO25" s="32"/>
      <c r="AP25" s="561" t="str" cm="1">
        <f t="array" ref="AP25">IF(OR(PE!AO4&lt;3,COUNT(PE!$A$6:$A$11&lt;3)),"",_xlfn.XLOOKUP(C27,"Licence n° "&amp;PE!$B$6:$B$11,PE!$W$6:$W$11,"",0,1))</f>
        <v/>
      </c>
      <c r="AQ25" s="32"/>
      <c r="AS25" s="849" t="s">
        <v>8118</v>
      </c>
      <c r="AT25" s="32"/>
    </row>
    <row r="26" spans="1:52" ht="12.6" customHeight="1" x14ac:dyDescent="0.25">
      <c r="A26" s="32"/>
      <c r="B26" s="32"/>
      <c r="C26" s="143" t="str" cm="1">
        <f t="array" ref="C26">IF(PE!$AO$4=2,_xlfn.XLOOKUP(2,PE!$M$6:$M$11,PE!$K$6:$K$11&amp;" "&amp;PE!$AS$6:$AS$11,"",0,1),IF(COUNT(PE!$A$6:$A$11)&gt;3,PE!$K9&amp;" - "&amp;PE!$AS9," "))</f>
        <v xml:space="preserve"> </v>
      </c>
      <c r="D26" s="32"/>
      <c r="E26" s="144" t="str">
        <f>IF(F26="","","Pts")</f>
        <v/>
      </c>
      <c r="F26" s="880" t="str">
        <f>IF(PE!$AO$4=2,"",IF(AND(COUNT(PE!$A$6:$A$11)&gt;2,PE!$CF25="P"),PE!$CG25,""))</f>
        <v/>
      </c>
      <c r="G26" s="880"/>
      <c r="H26" s="144" t="str">
        <f>IF(F26="","","Rep.")</f>
        <v/>
      </c>
      <c r="I26" s="144"/>
      <c r="J26" s="144" t="str">
        <f>IF(K26="","","Pts")</f>
        <v/>
      </c>
      <c r="K26" s="880" t="str">
        <f>IF(PE!$AO$4=2,"",IF(AND(COUNT(PE!$A$6:$A$11)&gt;2,PE!$CF24="P"),PE!$CG24,""))</f>
        <v/>
      </c>
      <c r="L26" s="880"/>
      <c r="M26" s="144" t="str">
        <f>IF(K26="","","Rep.")</f>
        <v/>
      </c>
      <c r="N26" s="144"/>
      <c r="O26" s="144" t="str">
        <f>IF(P26="","","Pts")</f>
        <v/>
      </c>
      <c r="P26" s="880" t="str">
        <f>IF(PE!$AO$4=2,PE!D19,IF(AND(COUNT(PE!$A$6:$A$11)&gt;2,PE!$CF23="P"),PE!$CG23,""))</f>
        <v/>
      </c>
      <c r="Q26" s="880"/>
      <c r="R26" s="144" t="str">
        <f>IF(P26="","","Rep.")</f>
        <v/>
      </c>
      <c r="S26" s="32"/>
      <c r="T26" s="886"/>
      <c r="U26" s="886"/>
      <c r="V26" s="886"/>
      <c r="W26" s="886"/>
      <c r="X26" s="32"/>
      <c r="Y26" s="144" t="str">
        <f>IF(Z26="","","Pts")</f>
        <v/>
      </c>
      <c r="Z26" s="880" t="str">
        <f>IF(PE!$AO$4=2,"",IF(AND(COUNT(PE!$A$6:$A$11)&gt;2,PE!$CF22="P"),PE!$CG22,""))</f>
        <v/>
      </c>
      <c r="AA26" s="880"/>
      <c r="AB26" s="144" t="str">
        <f>IF(Z26="","","Rep.")</f>
        <v/>
      </c>
      <c r="AC26" s="144"/>
      <c r="AD26" s="144" t="str">
        <f>IF(AE26="","","Pts")</f>
        <v/>
      </c>
      <c r="AE26" s="880" t="str">
        <f>IF(PE!$AO$4=2,"",IF(AND(COUNT(PE!$A$6:$A$11)&gt;2,PE!$CF21="P"),PE!$CG21,""))</f>
        <v/>
      </c>
      <c r="AF26" s="880"/>
      <c r="AG26" s="144" t="str">
        <f>IF(AE26="","","Rep.")</f>
        <v/>
      </c>
      <c r="AH26" s="32"/>
      <c r="AI26" s="32"/>
      <c r="AJ26" s="32"/>
      <c r="AK26" s="145" t="str">
        <f>IF(AL26="","","PM")</f>
        <v/>
      </c>
      <c r="AL26" s="881" t="str" cm="1">
        <f t="array" ref="AL26">IF(SUM(PE!$Q$6:$Q$11)=0,"",IF(PE!$AO$4&gt;2,IF(_xlfn.XLOOKUP('T PE'!C27,"Licence n° "&amp;PE!$B$6:$B$11,PE!$AO$6:$AO$11,"",0,1)=1,"Forfait",_xlfn.XLOOKUP('T PE'!C27,"Licence n° "&amp;PE!$B$37:$B$42,PE!$Q$37:$Q$42,"",0,1)),""))</f>
        <v/>
      </c>
      <c r="AM26" s="881"/>
      <c r="AN26" s="145" t="str">
        <f>IF(AL26="","","MGP")</f>
        <v/>
      </c>
      <c r="AO26" s="32"/>
      <c r="AP26" s="151" t="str">
        <f>IF(AND(COUNT(PE!$A$6:$A$11)&gt;3,PE!$AO$4&gt;2,LEFT(PE!$F$13)="P"),"Pts Rk","")</f>
        <v/>
      </c>
      <c r="AQ26" s="32"/>
      <c r="AS26" s="849"/>
      <c r="AT26" s="32"/>
    </row>
    <row r="27" spans="1:52" ht="12.6" customHeight="1" x14ac:dyDescent="0.25">
      <c r="A27" s="32"/>
      <c r="B27" s="32"/>
      <c r="C27" s="147" t="str">
        <f>IF(PE!AO4=2,C17,IF(COUNT(PE!A6:A11)&gt;3,"Licence n° "&amp;PE!B9,"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IF(AND(COUNT(PE!$A$6:$A$11)&gt;3,PE!$AO$4&gt;2,LEFT(PE!$F$13)="P"),"Bonus","")</f>
        <v/>
      </c>
      <c r="AQ27" s="32"/>
      <c r="AS27" s="829" t="s">
        <v>8119</v>
      </c>
      <c r="AT27" s="32"/>
    </row>
    <row r="28" spans="1:52" ht="50.1" customHeight="1" x14ac:dyDescent="0.25">
      <c r="A28" s="32"/>
      <c r="B28" s="32"/>
      <c r="C28" s="149" t="str">
        <f>IF(PE!AO4=2,C18,IF(COUNT(PE!A6:A11)&gt;3,PE!G9," "))</f>
        <v xml:space="preserve"> </v>
      </c>
      <c r="D28" s="32"/>
      <c r="E28" s="883" t="str">
        <f>IF(F26="","",IF(F26&gt;0,E25/G25,"/"))</f>
        <v/>
      </c>
      <c r="F28" s="883"/>
      <c r="G28" s="884" t="str">
        <f>IF(PE!$AO$4=2,"",IF(AND(COUNT(PE!$A$6:$A$11)&gt;2,PE!$CF25="P"),PE!$CD25,""))</f>
        <v/>
      </c>
      <c r="H28" s="884"/>
      <c r="I28" s="32"/>
      <c r="J28" s="883" t="str">
        <f>IF(K26="","",IF(K26&gt;0,J25/L25,"/"))</f>
        <v/>
      </c>
      <c r="K28" s="883"/>
      <c r="L28" s="884" t="str">
        <f>IF(PE!$AO$4=2,"",IF(AND(COUNT(PE!$A$6:$A$11)&gt;2,PE!$CF24="P"),PE!$CD24,""))</f>
        <v/>
      </c>
      <c r="M28" s="884"/>
      <c r="N28" s="32"/>
      <c r="O28" s="883" t="str">
        <f>IF(P26="","",IF(P26&gt;0,O25/Q25,"/"))</f>
        <v/>
      </c>
      <c r="P28" s="883"/>
      <c r="Q28" s="884" t="str">
        <f>IF(AND(PE!$AO$4=2,PE!$A19="P"),PE!M19,IF(AND(COUNT(PE!$A$6:$A$11)&gt;2,PE!$CF23="P"),PE!$CD23,""))</f>
        <v/>
      </c>
      <c r="R28" s="884"/>
      <c r="S28" s="32"/>
      <c r="T28" s="886"/>
      <c r="U28" s="886"/>
      <c r="V28" s="886"/>
      <c r="W28" s="886"/>
      <c r="X28" s="32"/>
      <c r="Y28" s="883" t="str">
        <f>IF(Z26="","",IF(Z26&gt;0,Y25/AA25,"/"))</f>
        <v/>
      </c>
      <c r="Z28" s="883"/>
      <c r="AA28" s="884" t="str">
        <f>IF(PE!$AO$4=2,"",IF(AND(COUNT(PE!$A$6:$A$11)&gt;2,PE!$CF22="P"),PE!$CD22,""))</f>
        <v/>
      </c>
      <c r="AB28" s="884"/>
      <c r="AC28" s="32"/>
      <c r="AD28" s="883" t="str">
        <f>IF(AE26="","",IF(AE26&gt;0,AD25/AF25,"/"))</f>
        <v/>
      </c>
      <c r="AE28" s="883"/>
      <c r="AF28" s="884" t="str">
        <f>IF(PE!$AO$4=2,"",IF(AND(COUNT(PE!$A$6:$A$11)&gt;2,PE!$CF21="P"),PE!$CD21,""))</f>
        <v/>
      </c>
      <c r="AG28" s="884"/>
      <c r="AH28" s="32"/>
      <c r="AI28" s="32"/>
      <c r="AJ28" s="32"/>
      <c r="AK28" s="883" t="str" cm="1">
        <f t="array" ref="AK28">IF(PE!$AO$4&lt;3,"",IF(_xlfn.XLOOKUP('T PE'!C27,"Licence n° "&amp;PE!$B$6:$B$11,PE!$AO$6:$AO$11,"",0,1)=1,"",_xlfn.XLOOKUP('T PE'!C27,"Licence n° "&amp;PE!$B$6:$B$11,PE!$U$6:$U$11,"",0,1)))</f>
        <v/>
      </c>
      <c r="AL28" s="883"/>
      <c r="AM28" s="884" t="str" cm="1">
        <f t="array" ref="AM28">IF(PE!$AO$4&lt;3,"",IF(_xlfn.XLOOKUP('T PE'!C27,"Licence n° "&amp;PE!$B$6:$B$11,PE!$AO$6:$AO$11,"",0,1)=1,"",_xlfn.XLOOKUP('T PE'!C27,"Licence n° "&amp;PE!$B$6:$B$11,PE!$S$6:$S$11,"",0,1)))</f>
        <v/>
      </c>
      <c r="AN28" s="884"/>
      <c r="AO28" s="32"/>
      <c r="AP28" s="562" t="str" cm="1">
        <f t="array" ref="AP28">IF(OR(PE!AO4&lt;3,COUNT(PE!$A$6:$A$11)&lt;4),"",_xlfn.XLOOKUP(C27,"Licence n° "&amp;PE!$B$6:$B$11,PE!$X$6:$X$11,"",0,1))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IF(PE!AO4=2,"",IF(COUNT(PE!A6:A11)&gt;4,CONCATENATE(PE!C10," ",LEFT(PE!E10),"."),""))</f>
        <v/>
      </c>
      <c r="D30" s="32"/>
      <c r="E30" s="882" t="str">
        <f>IF(PE!$AO$4=2,"",IF(AND(COUNT(PE!$A$6:$A$11)&gt;2,PE!$CF30="P"),PE!$CC30,""))</f>
        <v/>
      </c>
      <c r="F30" s="882"/>
      <c r="G30" s="882" t="str">
        <f>IF(PE!$AO$4=2,"",IF(AND(COUNT(PE!$A$6:$A$11)&gt;2,PE!$CF30="P"),PE!$CE30,""))</f>
        <v/>
      </c>
      <c r="H30" s="882"/>
      <c r="I30" s="142"/>
      <c r="J30" s="882" t="str">
        <f>IF(PE!$AO$4=2,"",IF(AND(COUNT(PE!$A$6:$A$11)&gt;2,PE!$CF29="P"),PE!$CC29,""))</f>
        <v/>
      </c>
      <c r="K30" s="882"/>
      <c r="L30" s="882" t="str">
        <f>IF(PE!$AO$4=2,"",IF(AND(COUNT(PE!$A$6:$A$11)&gt;2,PE!$CF29="P"),PE!$CE29,""))</f>
        <v/>
      </c>
      <c r="M30" s="882"/>
      <c r="N30" s="142"/>
      <c r="O30" s="882" t="str">
        <f>IF(PE!$AO$4=2,"",IF(AND(COUNT(PE!$A$6:$A$11)&gt;2,PE!$CF28="P"),PE!$CC28,""))</f>
        <v/>
      </c>
      <c r="P30" s="882"/>
      <c r="Q30" s="882" t="str">
        <f>IF(PE!$AO$4=2,"",IF(AND(COUNT(PE!$A$6:$A$11)&gt;2,PE!$CF28="P"),PE!$CE28,""))</f>
        <v/>
      </c>
      <c r="R30" s="882"/>
      <c r="S30" s="142"/>
      <c r="T30" s="882" t="str">
        <f>IF(PE!$AO$4=2,"",IF(AND(COUNT(PE!$A$6:$A$11)&gt;2,PE!$CF27="P"),PE!$CC27,""))</f>
        <v/>
      </c>
      <c r="U30" s="882"/>
      <c r="V30" s="882" t="str">
        <f>IF(PE!$AO$4=2,"",IF(AND(COUNT(PE!$A$6:$A$11)&gt;2,PE!$CF27="P"),PE!$CE27,""))</f>
        <v/>
      </c>
      <c r="W30" s="882"/>
      <c r="X30" s="32"/>
      <c r="Y30" s="887" t="str">
        <f>IF(PE!W35="NON",AG1,IF(PE!AO4=2,"",IF(COUNT(PE!A6:A11)&gt;4,_xlfn.XLOOKUP('T PE'!C33,'LOGOS CLUBS'!$B$2:$B$65,'LOGOS CLUBS'!$C$2:$C$65,C33,0,1),"")))</f>
        <v/>
      </c>
      <c r="Z30" s="887"/>
      <c r="AA30" s="887"/>
      <c r="AB30" s="887"/>
      <c r="AC30" s="32"/>
      <c r="AD30" s="882" t="str">
        <f>IF(PE!$AO$4=2,"",IF(AND(COUNT(PE!$A$6:$A$11)&gt;2,PE!$CF26="P"),PE!$CC26,""))</f>
        <v/>
      </c>
      <c r="AE30" s="882"/>
      <c r="AF30" s="882" t="str">
        <f>IF(PE!$AO$4=2,"",IF(AND(COUNT(PE!$A$6:$A$11)&gt;2,PE!$CF26="P"),PE!$CE26,""))</f>
        <v/>
      </c>
      <c r="AG30" s="882"/>
      <c r="AH30" s="32"/>
      <c r="AI30" s="32"/>
      <c r="AJ30" s="32"/>
      <c r="AK30" s="882" t="str" cm="1">
        <f t="array" ref="AK30">IF(PE!$AO$4&lt;3,"",IF(_xlfn.XLOOKUP('T PE'!C32,"Licence n° "&amp;PE!$B$6:$B$11,PE!$AO$6:$AO$11,"",0,1)=1,"",_xlfn.XLOOKUP('T PE'!C32,"Licence n° "&amp;PE!$B$6:$B$11,PE!$V$6:$V$11,"",0,1)))</f>
        <v/>
      </c>
      <c r="AL30" s="882"/>
      <c r="AM30" s="879" t="str" cm="1">
        <f t="array" ref="AM30">IF(PE!$AO$4&lt;3,"",IF(_xlfn.XLOOKUP('T PE'!C32,"Licence n° "&amp;PE!$B$6:$B$11,PE!$AO$6:$AO$11,"",0,1)=1,"",_xlfn.XLOOKUP('T PE'!C32,"Licence n° "&amp;PE!$B$6:$B$11,PE!$T$6:$T$11,"",0,1)))</f>
        <v/>
      </c>
      <c r="AN30" s="879"/>
      <c r="AO30" s="32"/>
      <c r="AP30" s="561" t="str" cm="1">
        <f t="array" ref="AP30">_xlfn.XLOOKUP(C32,"Licence n° "&amp;PE!$B$6:$B$11,PE!$W$6:$W$11,"",0,1)</f>
        <v/>
      </c>
      <c r="AQ30" s="32"/>
      <c r="AS30" s="830" t="s">
        <v>8120</v>
      </c>
      <c r="AT30" s="32"/>
    </row>
    <row r="31" spans="1:52" ht="12.6" customHeight="1" x14ac:dyDescent="0.25">
      <c r="A31" s="32"/>
      <c r="B31" s="32"/>
      <c r="C31" s="143" t="str">
        <f>IF(PE!$AO$4=2,"",IF(COUNT(PE!$A$6:$A$11)&gt;4,PE!$K10&amp;" - "&amp;PE!$AS10," "))</f>
        <v xml:space="preserve"> </v>
      </c>
      <c r="D31" s="32"/>
      <c r="E31" s="144" t="str">
        <f>IF(F31="","","Pts")</f>
        <v/>
      </c>
      <c r="F31" s="880" t="str">
        <f>IF(PE!$AO$4=2,"",IF(AND(COUNT(PE!$A$6:$A$11)&gt;2,PE!$CF30="P"),PE!$CG30,""))</f>
        <v/>
      </c>
      <c r="G31" s="880"/>
      <c r="H31" s="144" t="str">
        <f>IF(F31="","","Rep.")</f>
        <v/>
      </c>
      <c r="I31" s="144"/>
      <c r="J31" s="144" t="str">
        <f>IF(K31="","","Pts")</f>
        <v/>
      </c>
      <c r="K31" s="880" t="str">
        <f>IF(PE!$AO$4=2,"",IF(AND(COUNT(PE!$A$6:$A$11)&gt;2,PE!$CF29="P"),PE!$CG29,""))</f>
        <v/>
      </c>
      <c r="L31" s="880"/>
      <c r="M31" s="144" t="str">
        <f>IF(K31="","","Rep.")</f>
        <v/>
      </c>
      <c r="N31" s="144"/>
      <c r="O31" s="144" t="str">
        <f>IF(P31="","","Pts")</f>
        <v/>
      </c>
      <c r="P31" s="880" t="str">
        <f>IF(PE!$AO$4=2,"",IF(AND(COUNT(PE!$A$6:$A$11)&gt;2,PE!$CF28="P"),PE!$CG28,""))</f>
        <v/>
      </c>
      <c r="Q31" s="880"/>
      <c r="R31" s="144" t="str">
        <f>IF(P31="","","Rep.")</f>
        <v/>
      </c>
      <c r="S31" s="144"/>
      <c r="T31" s="144" t="str">
        <f>IF(U31="","","Pts")</f>
        <v/>
      </c>
      <c r="U31" s="880" t="str">
        <f>IF(PE!$AO$4=2,"",IF(AND(COUNT(PE!$A$6:$A$11)&gt;2,PE!$CF27="P"),PE!$CG27,""))</f>
        <v/>
      </c>
      <c r="V31" s="880"/>
      <c r="W31" s="144" t="str">
        <f>IF(U31="","","Rep.")</f>
        <v/>
      </c>
      <c r="X31" s="32"/>
      <c r="Y31" s="887"/>
      <c r="Z31" s="887"/>
      <c r="AA31" s="887"/>
      <c r="AB31" s="887"/>
      <c r="AC31" s="32"/>
      <c r="AD31" s="144" t="str">
        <f>IF(AE31="","","Pts")</f>
        <v/>
      </c>
      <c r="AE31" s="880" t="str">
        <f>IF(PE!$AO$4=2,"",IF(AND(COUNT(PE!$A$6:$A$11)&gt;2,PE!$CF26="P"),PE!$CG26,""))</f>
        <v/>
      </c>
      <c r="AF31" s="880"/>
      <c r="AG31" s="144" t="str">
        <f>IF(AE31="","","Rep.")</f>
        <v/>
      </c>
      <c r="AH31" s="32"/>
      <c r="AI31" s="32"/>
      <c r="AJ31" s="32"/>
      <c r="AK31" s="145" t="str">
        <f>IF(AL31="","","PM")</f>
        <v/>
      </c>
      <c r="AL31" s="881" t="str" cm="1">
        <f t="array" ref="AL31">IF(SUM(PE!$Q$6:$Q$11)=0,"",IF(PE!$AO$4&gt;2,IF(_xlfn.XLOOKUP('T PE'!C32,"Licence n° "&amp;PE!$B$6:$B$11,PE!$AO$6:$AO$11,"",0,1)=1,"Forfait",_xlfn.XLOOKUP('T PE'!C32,"Licence n° "&amp;PE!$B$37:$B$42,PE!$Q$37:$Q$42,"",0,1)),""))</f>
        <v/>
      </c>
      <c r="AM31" s="881"/>
      <c r="AN31" s="145" t="str">
        <f>IF(AL31="","","MGP")</f>
        <v/>
      </c>
      <c r="AO31" s="32"/>
      <c r="AP31" s="151" t="str">
        <f>IF(AND(COUNT(PE!$A$6:$A$11)&gt;4,PE!$AO$4&gt;2,LEFT(PE!$F$13)="P"),"Pts Rk","")</f>
        <v/>
      </c>
      <c r="AQ31" s="32"/>
      <c r="AS31" s="830"/>
      <c r="AT31" s="32"/>
    </row>
    <row r="32" spans="1:52" ht="12.6" customHeight="1" x14ac:dyDescent="0.25">
      <c r="A32" s="32"/>
      <c r="B32" s="32"/>
      <c r="C32" s="147" t="str">
        <f>IF(PE!AO4=2,"",IF(COUNT(PE!A6:A11)&gt;4,"Licence n° "&amp;PE!B10,"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IF(AND(COUNT(PE!$A$6:$A$11)&gt;4,PE!$AO$4&gt;2,LEFT(PE!$F$13)="P"),"Bonus","")</f>
        <v/>
      </c>
      <c r="AQ32" s="32"/>
      <c r="AS32" s="831" t="s">
        <v>8121</v>
      </c>
      <c r="AT32" s="32"/>
    </row>
    <row r="33" spans="1:46" ht="50.1" customHeight="1" x14ac:dyDescent="0.25">
      <c r="A33" s="32"/>
      <c r="B33" s="32"/>
      <c r="C33" s="149" t="str">
        <f>IF(PE!AO4=2,"",IF(COUNT(PE!A6:A11)&gt;4,PE!G10," "))</f>
        <v xml:space="preserve"> </v>
      </c>
      <c r="D33" s="32"/>
      <c r="E33" s="883" t="str">
        <f>IF(F31="","",IF(F31&gt;0,E30/G30,"/"))</f>
        <v/>
      </c>
      <c r="F33" s="883"/>
      <c r="G33" s="884" t="str">
        <f>IF(PE!$AO$4=2,"",IF(AND(COUNT(PE!$A$6:$A$11)&gt;2,PE!$CF30="P"),PE!$CD30,""))</f>
        <v/>
      </c>
      <c r="H33" s="884"/>
      <c r="I33" s="32"/>
      <c r="J33" s="883" t="str">
        <f>IF(K31="","",IF(K31&gt;0,J30/L30,"/"))</f>
        <v/>
      </c>
      <c r="K33" s="883"/>
      <c r="L33" s="884" t="str">
        <f>IF(PE!$AO$4=2,"",IF(AND(COUNT(PE!$A$6:$A$11)&gt;2,PE!$CF29="P"),PE!$CD29,""))</f>
        <v/>
      </c>
      <c r="M33" s="884"/>
      <c r="N33" s="32"/>
      <c r="O33" s="883" t="str">
        <f>IF(P31="","",IF(P31&gt;0,O30/Q30,"/"))</f>
        <v/>
      </c>
      <c r="P33" s="883"/>
      <c r="Q33" s="884" t="str">
        <f>IF(PE!$AO$4=2,"",IF(AND(COUNT(PE!$A$6:$A$11)&gt;2,PE!$CF28="P"),PE!$CD28,""))</f>
        <v/>
      </c>
      <c r="R33" s="884"/>
      <c r="S33" s="32"/>
      <c r="T33" s="883" t="str">
        <f>IF(U31="","",IF(U31&gt;0,T30/V30,"/"))</f>
        <v/>
      </c>
      <c r="U33" s="883"/>
      <c r="V33" s="884" t="str">
        <f>IF(PE!$AO$4=2,"",IF(AND(COUNT(PE!$A$6:$A$11)&gt;2,PE!$CF27="P"),PE!$CD27,""))</f>
        <v/>
      </c>
      <c r="W33" s="884"/>
      <c r="X33" s="32"/>
      <c r="Y33" s="887"/>
      <c r="Z33" s="887"/>
      <c r="AA33" s="887"/>
      <c r="AB33" s="887"/>
      <c r="AC33" s="32"/>
      <c r="AD33" s="883" t="str">
        <f>IF(AE31="","",IF(AE31&gt;0,AD30/AF30,"/"))</f>
        <v/>
      </c>
      <c r="AE33" s="883"/>
      <c r="AF33" s="884" t="str">
        <f>IF(PE!$AO$4=2,"",IF(AND(COUNT(PE!$A$6:$A$11)&gt;2,PE!$CF26="P"),PE!$CD26,""))</f>
        <v/>
      </c>
      <c r="AG33" s="884"/>
      <c r="AH33" s="32"/>
      <c r="AI33" s="32"/>
      <c r="AJ33" s="32"/>
      <c r="AK33" s="883" t="str" cm="1">
        <f t="array" ref="AK33">IF(PE!$AO$4&lt;3,"",IF(_xlfn.XLOOKUP('T PE'!C32,"Licence n° "&amp;PE!$B$6:$B$11,PE!$AO$6:$AO$11,"",0,1)=1,"",_xlfn.XLOOKUP('T PE'!C32,"Licence n° "&amp;PE!$B$6:$B$11,PE!$U$6:$U$11,"",0,1)))</f>
        <v/>
      </c>
      <c r="AL33" s="883"/>
      <c r="AM33" s="884" t="str" cm="1">
        <f t="array" ref="AM33">IF(PE!$AO$4&lt;3,"",IF(_xlfn.XLOOKUP('T PE'!C32,"Licence n° "&amp;PE!$B$6:$B$11,PE!$AO$6:$AO$11,"",0,1)=1,"",_xlfn.XLOOKUP('T PE'!C32,"Licence n° "&amp;PE!$B$6:$B$11,PE!$S$6:$S$11,"",0,1)))</f>
        <v/>
      </c>
      <c r="AN33" s="884"/>
      <c r="AO33" s="32"/>
      <c r="AP33" s="562" t="str" cm="1">
        <f t="array" ref="AP33">_xlfn.XLOOKUP(C32,"Licence n° "&amp;PE!$B$6:$B$11,PE!$X$6:$X$11,"",0,1)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IF(PE!AO4=2,"",IF(COUNT(PE!A6:A11)&gt;5,CONCATENATE(PE!C11," ",LEFT(PE!E11),"."),""))</f>
        <v/>
      </c>
      <c r="D35" s="32"/>
      <c r="E35" s="882" t="str">
        <f>IF(PE!$AO$4=2,"",IF(AND(COUNT(PE!$A$6:$A$11)&gt;2,PE!$CF35="P"),PE!$CC35,""))</f>
        <v/>
      </c>
      <c r="F35" s="882"/>
      <c r="G35" s="882" t="str">
        <f>IF(PE!$AO$4=2,"",IF(AND(COUNT(PE!$A$6:$A$11)&gt;2,PE!$CF35="P"),PE!$CE35,""))</f>
        <v/>
      </c>
      <c r="H35" s="882"/>
      <c r="I35" s="142"/>
      <c r="J35" s="882" t="str">
        <f>IF(PE!$AO$4=2,"",IF(AND(COUNT(PE!$A$6:$A$11)&gt;2,PE!$CF34="P"),PE!$CC34,""))</f>
        <v/>
      </c>
      <c r="K35" s="882"/>
      <c r="L35" s="882" t="str">
        <f>IF(PE!$AO$4=2,"",IF(AND(COUNT(PE!$A$6:$A$11)&gt;2,PE!$CF34="P"),PE!$CE34,""))</f>
        <v/>
      </c>
      <c r="M35" s="882"/>
      <c r="N35" s="142"/>
      <c r="O35" s="882" t="str">
        <f>IF(PE!$AO$4=2,"",IF(AND(COUNT(PE!$A$6:$A$11)&gt;2,PE!$CF33="P"),PE!$CC33,""))</f>
        <v/>
      </c>
      <c r="P35" s="882"/>
      <c r="Q35" s="882" t="str">
        <f>IF(PE!$AO$4=2,"",IF(AND(COUNT(PE!$A$6:$A$11)&gt;2,PE!$CF33="P"),PE!$CE33,""))</f>
        <v/>
      </c>
      <c r="R35" s="882"/>
      <c r="S35" s="142"/>
      <c r="T35" s="882" t="str">
        <f>IF(PE!$AO$4=2,"",IF(AND(COUNT(PE!$A$6:$A$11)&gt;2,PE!$CF32="P"),PE!$CC32,""))</f>
        <v/>
      </c>
      <c r="U35" s="882"/>
      <c r="V35" s="882" t="str">
        <f>IF(PE!$AO$4=2,"",IF(AND(COUNT(PE!$A$6:$A$11)&gt;2,PE!$CF32="P"),PE!$CE32,""))</f>
        <v/>
      </c>
      <c r="W35" s="882"/>
      <c r="X35" s="142"/>
      <c r="Y35" s="882" t="str">
        <f>IF(PE!$AO$4=2,"",IF(AND(COUNT(PE!$A$6:$A$11)&gt;2,PE!$CF31="P"),PE!$CC31,""))</f>
        <v/>
      </c>
      <c r="Z35" s="882"/>
      <c r="AA35" s="882" t="str">
        <f>IF(PE!$AO$4=2,"",IF(AND(COUNT(PE!$A$6:$A$11)&gt;2,PE!$CF31="P"),PE!$CE31,""))</f>
        <v/>
      </c>
      <c r="AB35" s="882"/>
      <c r="AC35" s="32"/>
      <c r="AD35" s="885" t="str">
        <f>IF(PE!W35="NON",AG1,IF(PE!AO4=2,"",IF(COUNT(PE!A6:A11)&gt;5,_xlfn.XLOOKUP('T PE'!C38,'LOGOS CLUBS'!$B$2:$B$65,'LOGOS CLUBS'!$C$2:$C$65,C38,0,1),"")))</f>
        <v/>
      </c>
      <c r="AE35" s="885"/>
      <c r="AF35" s="885"/>
      <c r="AG35" s="885"/>
      <c r="AH35" s="32"/>
      <c r="AI35" s="32"/>
      <c r="AJ35" s="32"/>
      <c r="AK35" s="882" t="str" cm="1">
        <f t="array" ref="AK35">IF(PE!$AO$4&lt;3,"",IF(_xlfn.XLOOKUP('T PE'!C37,"Licence n° "&amp;PE!$B$6:$B$11,PE!$AO$6:$AO$11,"",0,1)=1,"",_xlfn.XLOOKUP('T PE'!C37,"Licence n° "&amp;PE!$B$6:$B$11,PE!$V$6:$V$11,"",0,1)))</f>
        <v/>
      </c>
      <c r="AL35" s="882"/>
      <c r="AM35" s="879" t="str" cm="1">
        <f t="array" ref="AM35">IF(PE!$AO$4&lt;3,"",IF(_xlfn.XLOOKUP('T PE'!C37,"Licence n° "&amp;PE!$B$6:$B$11,PE!$AO$6:$AO$11,"",0,1)=1,"",_xlfn.XLOOKUP('T PE'!C37,"Licence n° "&amp;PE!$B$6:$B$11,PE!$T$6:$T$11,"",0,1)))</f>
        <v/>
      </c>
      <c r="AN35" s="879"/>
      <c r="AO35" s="32"/>
      <c r="AP35" s="561" t="str" cm="1">
        <f t="array" ref="AP35">_xlfn.XLOOKUP(C37,"Licence n° "&amp;PE!$B$6:$B$11,PE!$W$6:$W$11,"",0,1)</f>
        <v/>
      </c>
      <c r="AQ35" s="32"/>
      <c r="AS35" s="832" t="s">
        <v>8124</v>
      </c>
      <c r="AT35" s="32"/>
    </row>
    <row r="36" spans="1:46" ht="12.6" customHeight="1" x14ac:dyDescent="0.25">
      <c r="A36" s="32"/>
      <c r="B36" s="32"/>
      <c r="C36" s="143" t="str">
        <f>IF(PE!$AO$4=2,"",IF(COUNT(PE!$A$6:$A$11)&gt;5,PE!$K11&amp;" - "&amp;PE!$AS11," "))</f>
        <v xml:space="preserve"> </v>
      </c>
      <c r="D36" s="32"/>
      <c r="E36" s="144" t="str">
        <f>IF(F36="","","Pts")</f>
        <v/>
      </c>
      <c r="F36" s="880" t="str">
        <f>IF(PE!$AO$4=2,"",IF(AND(COUNT(PE!$A$6:$A$11)&gt;2,PE!$CF35="P"),PE!$CG35,""))</f>
        <v/>
      </c>
      <c r="G36" s="880"/>
      <c r="H36" s="144" t="str">
        <f>IF(F36="","","Rep.")</f>
        <v/>
      </c>
      <c r="I36" s="144"/>
      <c r="J36" s="144" t="str">
        <f>IF(K36="","","Pts")</f>
        <v/>
      </c>
      <c r="K36" s="880" t="str">
        <f>IF(PE!$AO$4=2,"",IF(AND(COUNT(PE!$A$6:$A$11)&gt;2,PE!$CF34="P"),PE!$CG34,""))</f>
        <v/>
      </c>
      <c r="L36" s="880"/>
      <c r="M36" s="144" t="str">
        <f>IF(K36="","","Rep.")</f>
        <v/>
      </c>
      <c r="N36" s="144"/>
      <c r="O36" s="144" t="str">
        <f>IF(P36="","","Pts")</f>
        <v/>
      </c>
      <c r="P36" s="880" t="str">
        <f>IF(PE!$AO$4=2,"",IF(AND(COUNT(PE!$A$6:$A$11)&gt;2,PE!$CF33="P"),PE!$CG33,""))</f>
        <v/>
      </c>
      <c r="Q36" s="880"/>
      <c r="R36" s="144" t="str">
        <f>IF(P36="","","Rep.")</f>
        <v/>
      </c>
      <c r="S36" s="144"/>
      <c r="T36" s="144" t="str">
        <f>IF(U36="","","Pts")</f>
        <v/>
      </c>
      <c r="U36" s="880" t="str">
        <f>IF(PE!$AO$4=2,"",IF(AND(COUNT(PE!$A$6:$A$11)&gt;2,PE!$CF32="P"),PE!$CG32,""))</f>
        <v/>
      </c>
      <c r="V36" s="880"/>
      <c r="W36" s="144" t="str">
        <f>IF(U36="","","Rep.")</f>
        <v/>
      </c>
      <c r="X36" s="144"/>
      <c r="Y36" s="144" t="str">
        <f>IF(Z36="","","Pts")</f>
        <v/>
      </c>
      <c r="Z36" s="880" t="str">
        <f>IF(PE!$AO$4=2,"",IF(AND(COUNT(PE!$A$6:$A$11)&gt;2,PE!$CF31="P"),PE!$CG31,""))</f>
        <v/>
      </c>
      <c r="AA36" s="880"/>
      <c r="AB36" s="144" t="str">
        <f>IF(Z36="","","Rep.")</f>
        <v/>
      </c>
      <c r="AC36" s="32"/>
      <c r="AD36" s="885"/>
      <c r="AE36" s="885"/>
      <c r="AF36" s="885"/>
      <c r="AG36" s="885"/>
      <c r="AH36" s="32"/>
      <c r="AI36" s="32"/>
      <c r="AJ36" s="32"/>
      <c r="AK36" s="145" t="str">
        <f>IF(AL36="","","PM")</f>
        <v/>
      </c>
      <c r="AL36" s="881" t="str" cm="1">
        <f t="array" ref="AL36">IF(SUM(PE!$Q$6:$Q$11)=0,"",IF(PE!$AO$4&gt;2,IF(_xlfn.XLOOKUP('T PE'!C37,"Licence n° "&amp;PE!$B$6:$B$11,PE!$AO$6:$AO$11,"",0,1)=1,"Forfait",_xlfn.XLOOKUP('T PE'!C37,"Licence n° "&amp;PE!$B$37:$B$42,PE!$Q$37:$Q$42,"",0,1)),""))</f>
        <v/>
      </c>
      <c r="AM36" s="881"/>
      <c r="AN36" s="145" t="str">
        <f>IF(AL36="","","MGP")</f>
        <v/>
      </c>
      <c r="AO36" s="32"/>
      <c r="AP36" s="151" t="str">
        <f>IF(AND(COUNT(PE!$A$6:$A$11)&gt;5,PE!$AO$4&gt;2,LEFT(PE!$F$13)="P"),"Pts Rk","")</f>
        <v/>
      </c>
      <c r="AQ36" s="32"/>
      <c r="AS36" s="832"/>
      <c r="AT36" s="32"/>
    </row>
    <row r="37" spans="1:46" ht="12.6" customHeight="1" x14ac:dyDescent="0.25">
      <c r="A37" s="32"/>
      <c r="B37" s="32"/>
      <c r="C37" s="147" t="str">
        <f>IF(PE!AO4=2,"",IF(COUNT(PE!A6:A11)&gt;5,"Licence n° "&amp;PE!B11,"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IF(AND(COUNT(PE!$A$6:$A$11)&gt;5,PE!$AO$4&gt;2,LEFT(PE!$F$13)="P"),"Bonus","")</f>
        <v/>
      </c>
      <c r="AQ37" s="32"/>
      <c r="AS37" s="833" t="s">
        <v>8125</v>
      </c>
      <c r="AT37" s="32"/>
    </row>
    <row r="38" spans="1:46" ht="50.1" customHeight="1" thickBot="1" x14ac:dyDescent="0.3">
      <c r="A38" s="32"/>
      <c r="B38" s="32"/>
      <c r="C38" s="149" t="str">
        <f>IF(PE!AO4=2,"",IF(COUNT(PE!A6:A11)&gt;5,PE!G11," "))</f>
        <v xml:space="preserve"> </v>
      </c>
      <c r="D38" s="32"/>
      <c r="E38" s="883" t="str">
        <f>IF(F36="","",IF(F36&gt;0,E35/G35,"/"))</f>
        <v/>
      </c>
      <c r="F38" s="883"/>
      <c r="G38" s="884" t="str">
        <f>IF(PE!$AO$4=2,"",IF(AND(COUNT(PE!$A$6:$A$11)&gt;2,PE!$CF35="P"),PE!$CD35,""))</f>
        <v/>
      </c>
      <c r="H38" s="884"/>
      <c r="I38" s="32"/>
      <c r="J38" s="883" t="str">
        <f>IF(K36="","",IF(K36&gt;0,J35/L35,"/"))</f>
        <v/>
      </c>
      <c r="K38" s="883"/>
      <c r="L38" s="884" t="str">
        <f>IF(PE!$AO$4=2,"",IF(AND(COUNT(PE!$A$6:$A$11)&gt;2,PE!$CF34="P"),PE!$CD34,""))</f>
        <v/>
      </c>
      <c r="M38" s="884"/>
      <c r="N38" s="32"/>
      <c r="O38" s="883" t="str">
        <f>IF(P36="","",IF(P36&gt;0,O35/Q35,"/"))</f>
        <v/>
      </c>
      <c r="P38" s="883"/>
      <c r="Q38" s="884" t="str">
        <f>IF(PE!$AO$4=2,"",IF(AND(COUNT(PE!$A$6:$A$11)&gt;2,PE!$CF33="P"),PE!$CD33,""))</f>
        <v/>
      </c>
      <c r="R38" s="884"/>
      <c r="S38" s="32"/>
      <c r="T38" s="883" t="str">
        <f>IF(U36="","",IF(U36&gt;0,T35/V35,"/"))</f>
        <v/>
      </c>
      <c r="U38" s="883"/>
      <c r="V38" s="884" t="str">
        <f>IF(PE!$AO$4=2,"",IF(AND(COUNT(PE!$A$6:$A$11)&gt;2,PE!$CF32="P"),PE!$CD32,""))</f>
        <v/>
      </c>
      <c r="W38" s="884"/>
      <c r="X38" s="32"/>
      <c r="Y38" s="883" t="str">
        <f>IF(Z36="","",IF(Z36&gt;0,Y35/AA35,"/"))</f>
        <v/>
      </c>
      <c r="Z38" s="883"/>
      <c r="AA38" s="884" t="str">
        <f>IF(PE!$AO$4=2,"",IF(AND(COUNT(PE!$A$6:$A$11)&gt;2,PE!$CF31="P"),PE!$CD31,""))</f>
        <v/>
      </c>
      <c r="AB38" s="884"/>
      <c r="AC38" s="32"/>
      <c r="AD38" s="885"/>
      <c r="AE38" s="885"/>
      <c r="AF38" s="885"/>
      <c r="AG38" s="885"/>
      <c r="AH38" s="32"/>
      <c r="AI38" s="32"/>
      <c r="AJ38" s="32"/>
      <c r="AK38" s="883" t="str" cm="1">
        <f t="array" ref="AK38">IF(PE!$AO$4&lt;3,"",IF(_xlfn.XLOOKUP('T PE'!C37,"Licence n° "&amp;PE!$B$6:$B$11,PE!$AO$6:$AO$11,"",0,1)=1,"",_xlfn.XLOOKUP('T PE'!C37,"Licence n° "&amp;PE!$B$6:$B$11,PE!$U$6:$U$11,"",0,1)))</f>
        <v/>
      </c>
      <c r="AL38" s="883"/>
      <c r="AM38" s="884" t="str" cm="1">
        <f t="array" ref="AM38">IF(PE!$AO$4&lt;3,"",IF(_xlfn.XLOOKUP('T PE'!C37,"Licence n° "&amp;PE!$B$6:$B$11,PE!$AO$6:$AO$11,"",0,1)=1,"",_xlfn.XLOOKUP('T PE'!C37,"Licence n° "&amp;PE!$B$6:$B$11,PE!$S$6:$S$11,"",0,1)))</f>
        <v/>
      </c>
      <c r="AN38" s="884"/>
      <c r="AO38" s="32"/>
      <c r="AP38" s="562" t="str" cm="1">
        <f t="array" ref="AP38">_xlfn.XLOOKUP(C37,"Licence n° "&amp;PE!$B$6:$B$11,PE!$X$6:$X$11,"",0,1)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jk+GVRTWVWUCB9I6rO2VHyztMIou5K6ve47UHVTV5Ly0RStJLIC2apb4Xm1YZleaim8d5ryPU5zqTOdzmAaLAA==" saltValue="dL48+DVNA6dMAjWNZ+hx+A=="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377" priority="130">
      <formula>F16=0</formula>
    </cfRule>
    <cfRule type="expression" dxfId="1376" priority="129">
      <formula>F16=1</formula>
    </cfRule>
    <cfRule type="expression" dxfId="1375" priority="128">
      <formula>F16=2</formula>
    </cfRule>
  </conditionalFormatting>
  <conditionalFormatting sqref="F21">
    <cfRule type="expression" dxfId="1374" priority="113">
      <formula>F21=2</formula>
    </cfRule>
    <cfRule type="expression" dxfId="1373" priority="114">
      <formula>F21=1</formula>
    </cfRule>
    <cfRule type="expression" dxfId="1372" priority="115">
      <formula>F21=0</formula>
    </cfRule>
  </conditionalFormatting>
  <conditionalFormatting sqref="F26">
    <cfRule type="expression" dxfId="1371" priority="98">
      <formula>F26=2</formula>
    </cfRule>
    <cfRule type="expression" dxfId="1370" priority="99">
      <formula>F26=1</formula>
    </cfRule>
    <cfRule type="expression" dxfId="1369" priority="100">
      <formula>F26=0</formula>
    </cfRule>
  </conditionalFormatting>
  <conditionalFormatting sqref="F31">
    <cfRule type="expression" dxfId="1368" priority="83">
      <formula>F31=2</formula>
    </cfRule>
    <cfRule type="expression" dxfId="1367" priority="84">
      <formula>F31=1</formula>
    </cfRule>
    <cfRule type="expression" dxfId="1366" priority="85">
      <formula>F31=0</formula>
    </cfRule>
  </conditionalFormatting>
  <conditionalFormatting sqref="F36">
    <cfRule type="expression" dxfId="1365" priority="70">
      <formula>F36=0</formula>
    </cfRule>
    <cfRule type="expression" dxfId="1364" priority="69">
      <formula>F36=1</formula>
    </cfRule>
    <cfRule type="expression" dxfId="1363" priority="68">
      <formula>F36=2</formula>
    </cfRule>
  </conditionalFormatting>
  <conditionalFormatting sqref="J15:M18">
    <cfRule type="expression" dxfId="1354" priority="147">
      <formula>$J$15="MATCH 1"</formula>
    </cfRule>
  </conditionalFormatting>
  <conditionalFormatting sqref="K21">
    <cfRule type="expression" dxfId="1353" priority="110">
      <formula>K21=2</formula>
    </cfRule>
    <cfRule type="expression" dxfId="1352" priority="111">
      <formula>K21=1</formula>
    </cfRule>
    <cfRule type="expression" dxfId="1351" priority="112">
      <formula>K21=0</formula>
    </cfRule>
  </conditionalFormatting>
  <conditionalFormatting sqref="K26">
    <cfRule type="expression" dxfId="1350" priority="97">
      <formula>K26=0</formula>
    </cfRule>
    <cfRule type="expression" dxfId="1349" priority="96">
      <formula>K26=1</formula>
    </cfRule>
    <cfRule type="expression" dxfId="1348" priority="95">
      <formula>K26=2</formula>
    </cfRule>
  </conditionalFormatting>
  <conditionalFormatting sqref="K31">
    <cfRule type="expression" dxfId="1347" priority="82">
      <formula>K31=0</formula>
    </cfRule>
    <cfRule type="expression" dxfId="1346" priority="80">
      <formula>K31=2</formula>
    </cfRule>
    <cfRule type="expression" dxfId="1345" priority="81">
      <formula>K31=1</formula>
    </cfRule>
  </conditionalFormatting>
  <conditionalFormatting sqref="K36">
    <cfRule type="expression" dxfId="1344" priority="65">
      <formula>K36=2</formula>
    </cfRule>
    <cfRule type="expression" dxfId="1343" priority="66">
      <formula>K36=1</formula>
    </cfRule>
    <cfRule type="expression" dxfId="1342" priority="67">
      <formula>K36=0</formula>
    </cfRule>
  </conditionalFormatting>
  <conditionalFormatting sqref="K11:L12">
    <cfRule type="expression" dxfId="1341" priority="143">
      <formula>K11=2</formula>
    </cfRule>
    <cfRule type="expression" dxfId="1340" priority="144">
      <formula>K11=1</formula>
    </cfRule>
    <cfRule type="expression" dxfId="1339" priority="145">
      <formula>K11=0</formula>
    </cfRule>
  </conditionalFormatting>
  <conditionalFormatting sqref="O20:R23">
    <cfRule type="expression" dxfId="1332" priority="146">
      <formula>$O$20="MATCH 2"</formula>
    </cfRule>
  </conditionalFormatting>
  <conditionalFormatting sqref="P11">
    <cfRule type="expression" dxfId="1331" priority="140">
      <formula>P11=2</formula>
    </cfRule>
    <cfRule type="expression" dxfId="1330" priority="141">
      <formula>P11=1</formula>
    </cfRule>
    <cfRule type="expression" dxfId="1329" priority="142">
      <formula>P11=0</formula>
    </cfRule>
  </conditionalFormatting>
  <conditionalFormatting sqref="P16">
    <cfRule type="expression" dxfId="1328" priority="125">
      <formula>P16=2</formula>
    </cfRule>
    <cfRule type="expression" dxfId="1327" priority="127">
      <formula>P16=0</formula>
    </cfRule>
    <cfRule type="expression" dxfId="1326" priority="126">
      <formula>P16=1</formula>
    </cfRule>
  </conditionalFormatting>
  <conditionalFormatting sqref="P26">
    <cfRule type="expression" dxfId="1325" priority="93">
      <formula>P26=1</formula>
    </cfRule>
    <cfRule type="expression" dxfId="1324" priority="92">
      <formula>P26=2</formula>
    </cfRule>
    <cfRule type="expression" dxfId="1323" priority="94">
      <formula>P26=0</formula>
    </cfRule>
  </conditionalFormatting>
  <conditionalFormatting sqref="P31">
    <cfRule type="expression" dxfId="1322" priority="77">
      <formula>P31=2</formula>
    </cfRule>
    <cfRule type="expression" dxfId="1321" priority="78">
      <formula>P31=1</formula>
    </cfRule>
    <cfRule type="expression" dxfId="1320" priority="79">
      <formula>P31=0</formula>
    </cfRule>
  </conditionalFormatting>
  <conditionalFormatting sqref="P36">
    <cfRule type="expression" dxfId="1319" priority="64">
      <formula>P36=0</formula>
    </cfRule>
    <cfRule type="expression" dxfId="1318" priority="63">
      <formula>P36=1</formula>
    </cfRule>
    <cfRule type="expression" dxfId="1317" priority="62">
      <formula>P36=2</formula>
    </cfRule>
  </conditionalFormatting>
  <conditionalFormatting sqref="U11">
    <cfRule type="expression" dxfId="1316" priority="138">
      <formula>U11=1</formula>
    </cfRule>
    <cfRule type="expression" dxfId="1315" priority="139">
      <formula>U11=0</formula>
    </cfRule>
    <cfRule type="expression" dxfId="1314" priority="137">
      <formula>U11=2</formula>
    </cfRule>
  </conditionalFormatting>
  <conditionalFormatting sqref="U16">
    <cfRule type="expression" dxfId="1313" priority="123">
      <formula>U16=1</formula>
    </cfRule>
    <cfRule type="expression" dxfId="1312" priority="122">
      <formula>U16=2</formula>
    </cfRule>
    <cfRule type="expression" dxfId="1311" priority="124">
      <formula>U16=0</formula>
    </cfRule>
  </conditionalFormatting>
  <conditionalFormatting sqref="U21">
    <cfRule type="expression" dxfId="1310" priority="108">
      <formula>U21=1</formula>
    </cfRule>
    <cfRule type="expression" dxfId="1309" priority="109">
      <formula>U21=0</formula>
    </cfRule>
    <cfRule type="expression" dxfId="1308" priority="107">
      <formula>U21=2</formula>
    </cfRule>
  </conditionalFormatting>
  <conditionalFormatting sqref="U31">
    <cfRule type="expression" dxfId="1307" priority="76">
      <formula>U31=0</formula>
    </cfRule>
    <cfRule type="expression" dxfId="1306" priority="75">
      <formula>U31=1</formula>
    </cfRule>
    <cfRule type="expression" dxfId="1305" priority="74">
      <formula>U31=2</formula>
    </cfRule>
  </conditionalFormatting>
  <conditionalFormatting sqref="U36">
    <cfRule type="expression" dxfId="1304" priority="61">
      <formula>U36=0</formula>
    </cfRule>
    <cfRule type="expression" dxfId="1303" priority="60">
      <formula>U36=1</formula>
    </cfRule>
    <cfRule type="expression" dxfId="1302" priority="59">
      <formula>U36=2</formula>
    </cfRule>
  </conditionalFormatting>
  <conditionalFormatting sqref="Z11">
    <cfRule type="expression" dxfId="1301" priority="134">
      <formula>Z11=2</formula>
    </cfRule>
    <cfRule type="expression" dxfId="1300" priority="136">
      <formula>Z11=0</formula>
    </cfRule>
    <cfRule type="expression" dxfId="1299" priority="135">
      <formula>Z11=1</formula>
    </cfRule>
  </conditionalFormatting>
  <conditionalFormatting sqref="Z16">
    <cfRule type="expression" dxfId="1298" priority="119">
      <formula>Z16=2</formula>
    </cfRule>
    <cfRule type="expression" dxfId="1297" priority="120">
      <formula>Z16=1</formula>
    </cfRule>
    <cfRule type="expression" dxfId="1296" priority="121">
      <formula>Z16=0</formula>
    </cfRule>
  </conditionalFormatting>
  <conditionalFormatting sqref="Z21">
    <cfRule type="expression" dxfId="1295" priority="104">
      <formula>Z21=2</formula>
    </cfRule>
    <cfRule type="expression" dxfId="1294" priority="105">
      <formula>Z21=1</formula>
    </cfRule>
    <cfRule type="expression" dxfId="1293" priority="106">
      <formula>Z21=0</formula>
    </cfRule>
  </conditionalFormatting>
  <conditionalFormatting sqref="Z26">
    <cfRule type="expression" dxfId="1292" priority="89">
      <formula>Z26=2</formula>
    </cfRule>
    <cfRule type="expression" dxfId="1291" priority="90">
      <formula>Z26=1</formula>
    </cfRule>
    <cfRule type="expression" dxfId="1290" priority="91">
      <formula>Z26=0</formula>
    </cfRule>
  </conditionalFormatting>
  <conditionalFormatting sqref="Z36">
    <cfRule type="expression" dxfId="1289" priority="57">
      <formula>Z36=1</formula>
    </cfRule>
    <cfRule type="expression" dxfId="1288" priority="56">
      <formula>Z36=2</formula>
    </cfRule>
    <cfRule type="expression" dxfId="1287" priority="58">
      <formula>Z36=0</formula>
    </cfRule>
  </conditionalFormatting>
  <conditionalFormatting sqref="AE11">
    <cfRule type="expression" dxfId="1282" priority="133">
      <formula>AE11=0</formula>
    </cfRule>
    <cfRule type="expression" dxfId="1281" priority="132">
      <formula>AE11=1</formula>
    </cfRule>
    <cfRule type="expression" dxfId="1280" priority="131">
      <formula>AE11=2</formula>
    </cfRule>
  </conditionalFormatting>
  <conditionalFormatting sqref="AE16">
    <cfRule type="expression" dxfId="1279" priority="118">
      <formula>AE16=0</formula>
    </cfRule>
    <cfRule type="expression" dxfId="1278" priority="117">
      <formula>AE16=1</formula>
    </cfRule>
    <cfRule type="expression" dxfId="1277" priority="116">
      <formula>AE16=2</formula>
    </cfRule>
  </conditionalFormatting>
  <conditionalFormatting sqref="AE21">
    <cfRule type="expression" dxfId="1276" priority="101">
      <formula>AE21=2</formula>
    </cfRule>
    <cfRule type="expression" dxfId="1275" priority="103">
      <formula>AE21=0</formula>
    </cfRule>
    <cfRule type="expression" dxfId="1274" priority="102">
      <formula>AE21=1</formula>
    </cfRule>
  </conditionalFormatting>
  <conditionalFormatting sqref="AE26">
    <cfRule type="expression" dxfId="1273" priority="87">
      <formula>AE26=1</formula>
    </cfRule>
    <cfRule type="expression" dxfId="1272" priority="86">
      <formula>AE26=2</formula>
    </cfRule>
    <cfRule type="expression" dxfId="1271" priority="88">
      <formula>AE26=0</formula>
    </cfRule>
  </conditionalFormatting>
  <conditionalFormatting sqref="AE31">
    <cfRule type="expression" dxfId="1270" priority="72">
      <formula>AE31=1</formula>
    </cfRule>
    <cfRule type="expression" dxfId="1269" priority="73">
      <formula>AE31=0</formula>
    </cfRule>
    <cfRule type="expression" dxfId="1268" priority="71">
      <formula>AE31=2</formula>
    </cfRule>
  </conditionalFormatting>
  <hyperlinks>
    <hyperlink ref="AS2" location="'GESTION DES JOUEURS'!D4" display="GESTION DES JOUEURS" xr:uid="{AD6E04ED-0621-4B3F-B8B8-25E445D0FA2B}"/>
    <hyperlink ref="AS10:AS11" location="PA!N18" display="PA!N18" xr:uid="{1BC678B2-5197-4104-8659-4BFBEAD49E2B}"/>
    <hyperlink ref="AS12:AS13" location="PB!N18" display="Poule B" xr:uid="{3570F671-3A16-480F-B4FA-032958E3F09A}"/>
    <hyperlink ref="AS15:AS16" location="PC!N18" display="Poule C" xr:uid="{55BC6589-2AE5-4590-8254-5B81DE875813}"/>
    <hyperlink ref="AS17:AS18" location="PD!N18" display="Poule D" xr:uid="{3022992E-B0C0-4509-B82F-FBAC6A59715C}"/>
    <hyperlink ref="AS20:AS21" location="PE!N18" display="Poule E" xr:uid="{75C9FE04-9354-48B9-A9FD-98EEF4D67B05}"/>
    <hyperlink ref="AS22:AS23" location="PF!N18" display="Poule F" xr:uid="{EEFA1DFF-5D93-40DE-A1AA-35D0604C1DA4}"/>
    <hyperlink ref="AS25:AS26" location="PG!N18" display="Poule G" xr:uid="{A34628A7-3C8E-4989-A861-300C10937B2B}"/>
    <hyperlink ref="AS27:AS28" location="PH!N18" display="Poule H" xr:uid="{5FB8BF6E-8712-4F9E-A265-7B3DCE52C3BE}"/>
    <hyperlink ref="AS30:AS31" location="PI!N18" display="Poule I" xr:uid="{FEA5AB5A-5A62-4A76-9AEB-1E645FF77AE0}"/>
    <hyperlink ref="AS32:AS33" location="PJ!N18" display="Poule J" xr:uid="{6A029E94-00C5-489B-846D-D175E2477BAE}"/>
    <hyperlink ref="AS35:AS36" location="PK!N18" display="Poule K" xr:uid="{7B38226A-CB0B-40F1-A202-ED9569A8468F}"/>
    <hyperlink ref="AS37:AS38" location="PL!N18" display="Poule L" xr:uid="{B9296B41-8403-4D0A-84FE-EF0F1C5013EC}"/>
    <hyperlink ref="AV2" location="'Phase finale'!A1" display="Phase Finale" xr:uid="{88F22EB0-0C3F-4F3A-8779-8B12CA27B2C0}"/>
    <hyperlink ref="AV9:AV11" location="RESULTATS!A1" display="RESULTATS" xr:uid="{EBF34B20-4061-44D4-91DE-99048C734FAE}"/>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7105" id="{894376A3-CCD0-4EB0-999A-C5CA6CC2C505}">
            <xm:f>AND(COUNT(PE!$A$6:$A$11)=3,PE!$AO$4&gt;2)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7136" id="{D1BC23BF-03BA-4EC4-98EE-374DB903C4AA}">
            <xm:f>AND(COUNT(PE!$A$6:$A$11)=4,PE!$AO$4&gt;2)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B3E0C4FF-48E8-47CC-BE37-DB02A7C41C49}">
            <xm:f>PE!$AO$4=2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7178" id="{40D02D4B-EFCA-4740-AD6D-7F8F841BA616}">
            <xm:f>AND(COUNT(PE!$A$6:$A$11)=4,PE!$AO$4&gt;2)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3682AFAE-4B04-4E7C-80B1-12E4E4EADA99}">
            <xm:f>PE!$AO$4=2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7198" id="{5F67205C-8898-477E-9EE7-88F4494567A3}">
            <xm:f>AND(COUNT(PE!$A$6:$A$11)=5,PE!$AO$4&gt;2)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7203" id="{702212B4-F2C1-4B1C-AC10-D4639F32DF6D}">
            <xm:f>AND(COUNT(PE!$A$6:$A$11)&gt;=5,PE!$AO$4&gt;2)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7258" id="{560F55C1-AF47-4CFB-81D5-AF7D2AAFA3F4}">
            <xm:f>AND(COUNT(PE!$A$6:$A$11)&gt;=5,PE!$AO$4&gt;2)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7333" id="{7476433D-27FC-460C-A43A-0E7A89B60B3B}">
            <xm:f>AND(COUNT(PE!$A$6:$A$11)=3,PE!$AO$4&gt;2)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7361" id="{379D2BC0-711E-424E-B0A1-6E30F676AEB3}">
            <xm:f>PE!$AO$4=2</xm:f>
            <x14:dxf>
              <border>
                <top/>
                <vertical/>
                <horizontal/>
              </border>
            </x14:dxf>
          </x14:cfRule>
          <x14:cfRule type="expression" priority="17360" id="{40444398-D0A6-4C5C-9C92-7607D1D72E32}">
            <xm:f>AND(COUNT(PE!$A$6:$A$11)=4,PE!$AO$4&gt;2)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7396" id="{3A0AE13C-0B61-4F59-BC35-2B3A9A4EE56F}">
            <xm:f>AND(COUNT(PE!$A$6:$A$11)&gt;=5,PE!$AO$4&gt;2)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7471" id="{5EBC146B-79EB-4626-907E-AC64AEBC8DB0}">
            <xm:f>AND(COUNT(PE!$A$6:$A$11)=3,PE!$AO$4&gt;2)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7498" id="{9389C466-7007-4F12-8D76-2C6F108EFF46}">
            <xm:f>AND(COUNT(PE!$A$6:$A$11)=4,PE!$AO$4&gt;2)</xm:f>
            <x14:dxf>
              <border>
                <bottom/>
                <vertical/>
                <horizontal/>
              </border>
            </x14:dxf>
          </x14:cfRule>
          <x14:cfRule type="expression" priority="17499" id="{5BF98FC3-4308-4335-8621-024F0C98DB2A}">
            <xm:f>PE!$AO$4=2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7534" id="{5C321A2C-DFBE-4803-B98F-BB1121DFC8E2}">
            <xm:f>AND(COUNT(PE!$A$6:$A$11)=4,PE!$AO$4&gt;2)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7564" id="{36FA9F31-4290-4D5A-AA7A-5EBA6DD732A1}">
            <xm:f>PE!$AO$4=2</xm:f>
            <x14:dxf>
              <border>
                <bottom/>
                <vertical/>
                <horizontal/>
              </border>
            </x14:dxf>
          </x14:cfRule>
          <x14:cfRule type="expression" priority="17565" id="{B4E0F703-BDE8-4B7A-AE99-78FB18E9CF0A}">
            <xm:f>AND(COUNT(PE!$A$6:$A$11)=4,PE!$AO$4&gt;2)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7566" id="{712EC52B-DF5C-4613-9095-4D4AC7747A5D}">
            <xm:f>AND(COUNT(PE!$A$6:$A$11)=4,PE!$AO$4&gt;2)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7596" id="{00B530FE-9089-4AAC-8A9E-6B21A2481354}">
            <xm:f>AND(COUNT(PE!$A$6:$A$11)=3,PE!$AO$4&gt;2)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7608" id="{C7846A13-461C-464F-8BAF-B5F524B4808D}">
            <xm:f>AND(COUNT(PE!$A$6:$A$11)&gt;=5,PE!$AO$4&gt;2)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7633" id="{3F11DF7A-7A05-46C9-931D-04E8778C2619}">
            <xm:f>AND(COUNT(PE!$A$6:$A$11)=6,PE!$AO$4&gt;2)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7666" id="{52B5BE54-8614-45CC-BA16-4051A49D2597}">
            <xm:f>AND(COUNT(PE!$A$6:$A$11)=6,PE!$AO$4&gt;2)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7691" id="{B9ED8D29-E743-4E4A-86AC-75DCEEC1B579}">
            <xm:f>AND(COUNT(PE!$A$6:$A$11)=6,PE!$AO$4&gt;2)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7724" id="{C9994BBD-F02C-40D2-ACC8-7F9BCC695B6E}">
            <xm:f>AND(COUNT(PE!$A$6:$A$11)=6,PE!$AO$4&gt;2)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7743" id="{21F21347-44F0-4C09-8F43-F09A44A66127}">
            <xm:f>AND(LEFT(PE!$F$13)="F",$AL$11=1,PE!$BU$5="X")</xm:f>
            <x14:dxf>
              <font>
                <color rgb="FF8E0000"/>
              </font>
              <fill>
                <patternFill>
                  <bgColor rgb="FFFBE93B"/>
                </patternFill>
              </fill>
            </x14:dxf>
          </x14:cfRule>
          <x14:cfRule type="expression" priority="17742" id="{29170044-B4A9-487B-A6A6-FAC0361D4596}">
            <xm:f>AND(LEFT(PE!$F$13)="F",$AL$11=2,PE!$BU$5="X")</xm:f>
            <x14:dxf>
              <font>
                <color rgb="FF8E0000"/>
              </font>
              <fill>
                <patternFill>
                  <bgColor theme="2"/>
                </patternFill>
              </fill>
            </x14:dxf>
          </x14:cfRule>
          <x14:cfRule type="expression" priority="17741" id="{CE9B011F-2DB8-4539-A4F8-AFF1CC322DF9}">
            <xm:f>AND(LEFT(PE!$F$13)="F",$AL$11=3,PE!$BU$5="X")</xm:f>
            <x14:dxf>
              <font>
                <color rgb="FF8E0000"/>
              </font>
              <fill>
                <patternFill>
                  <bgColor rgb="FFFECF82"/>
                </patternFill>
              </fill>
            </x14:dxf>
          </x14:cfRule>
          <xm:sqref>AL11</xm:sqref>
        </x14:conditionalFormatting>
        <x14:conditionalFormatting xmlns:xm="http://schemas.microsoft.com/office/excel/2006/main">
          <x14:cfRule type="expression" priority="17745" id="{4BC77495-BFEE-4171-A008-9C63A70FC352}">
            <xm:f>AND(LEFT(PE!$F$13)="F",$AL$16=2,PE!$BU$5="X")</xm:f>
            <x14:dxf>
              <font>
                <color rgb="FF8E0000"/>
              </font>
              <fill>
                <patternFill>
                  <bgColor theme="2"/>
                </patternFill>
              </fill>
            </x14:dxf>
          </x14:cfRule>
          <x14:cfRule type="expression" priority="17746" id="{06D1DA6C-49BE-4169-8BE8-FFFB2F9C442B}">
            <xm:f>AND(LEFT(PE!$F$13)="F",$AL$16=1,PE!$BU$5="X")</xm:f>
            <x14:dxf>
              <font>
                <color rgb="FF8E0000"/>
              </font>
              <fill>
                <patternFill>
                  <bgColor rgb="FFFBE93B"/>
                </patternFill>
              </fill>
            </x14:dxf>
          </x14:cfRule>
          <x14:cfRule type="expression" priority="17744" id="{8382D0A2-ED3F-4116-B2F1-B017BC10C102}">
            <xm:f>AND(LEFT(PE!$F$13)="F",$AL$16=3,PE!$BU$5="X")</xm:f>
            <x14:dxf>
              <font>
                <color rgb="FF8E0000"/>
              </font>
              <fill>
                <patternFill>
                  <bgColor rgb="FFFECF82"/>
                </patternFill>
              </fill>
            </x14:dxf>
          </x14:cfRule>
          <xm:sqref>AL16</xm:sqref>
        </x14:conditionalFormatting>
        <x14:conditionalFormatting xmlns:xm="http://schemas.microsoft.com/office/excel/2006/main">
          <x14:cfRule type="expression" priority="17747" id="{CA53D389-6F78-449E-B44E-FEDF546B7556}">
            <xm:f>AND(LEFT(PE!$F$13)="F",$AL$21=3,PE!$BU$5="X")</xm:f>
            <x14:dxf>
              <font>
                <color rgb="FF8E0000"/>
              </font>
              <fill>
                <patternFill>
                  <bgColor rgb="FFFECF82"/>
                </patternFill>
              </fill>
            </x14:dxf>
          </x14:cfRule>
          <x14:cfRule type="expression" priority="17748" id="{293D1678-C327-4BA8-A584-16BD991ECA17}">
            <xm:f>AND(LEFT(PE!$F$13)="F",$AL$21=2,PE!$BU$5="X")</xm:f>
            <x14:dxf>
              <font>
                <color rgb="FF8E0000"/>
              </font>
              <fill>
                <patternFill>
                  <bgColor theme="2"/>
                </patternFill>
              </fill>
            </x14:dxf>
          </x14:cfRule>
          <x14:cfRule type="expression" priority="17749" id="{E05B1EFA-945C-4327-B250-62B155239B43}">
            <xm:f>AND(LEFT(PE!$F$13)="F",$AL$21=1,PE!$BU$5="X")</xm:f>
            <x14:dxf>
              <font>
                <color rgb="FF8E0000"/>
              </font>
              <fill>
                <patternFill>
                  <bgColor rgb="FFFBE93B"/>
                </patternFill>
              </fill>
            </x14:dxf>
          </x14:cfRule>
          <xm:sqref>AL21</xm:sqref>
        </x14:conditionalFormatting>
        <x14:conditionalFormatting xmlns:xm="http://schemas.microsoft.com/office/excel/2006/main">
          <x14:cfRule type="expression" priority="17752" id="{8F27583D-D029-4510-BDA7-F2DD5593BAB9}">
            <xm:f>AND(LEFT(PE!$F$13)="F",$AL$26=1,PE!$BU$5="X")</xm:f>
            <x14:dxf>
              <font>
                <color rgb="FF8E0000"/>
              </font>
              <fill>
                <patternFill>
                  <bgColor rgb="FFFBE93B"/>
                </patternFill>
              </fill>
            </x14:dxf>
          </x14:cfRule>
          <x14:cfRule type="expression" priority="17751" id="{19D95CB7-2267-4AA2-BCAA-1A90A531EBAC}">
            <xm:f>AND(LEFT(PE!$F$13)="F",$AL$26=2,PE!$BU$5="X")</xm:f>
            <x14:dxf>
              <font>
                <color rgb="FF8E0000"/>
              </font>
              <fill>
                <patternFill>
                  <bgColor theme="2"/>
                </patternFill>
              </fill>
            </x14:dxf>
          </x14:cfRule>
          <x14:cfRule type="expression" priority="17750" id="{93E3494B-3FA8-417C-96B6-F76E8BA25424}">
            <xm:f>AND(LEFT(PE!$F$13)="F",$AL$26=3,PE!$BU$5="X")</xm:f>
            <x14:dxf>
              <font>
                <color rgb="FF8E0000"/>
              </font>
              <fill>
                <patternFill>
                  <bgColor rgb="FFFECF82"/>
                </patternFill>
              </fill>
            </x14:dxf>
          </x14:cfRule>
          <xm:sqref>AL26</xm:sqref>
        </x14:conditionalFormatting>
        <x14:conditionalFormatting xmlns:xm="http://schemas.microsoft.com/office/excel/2006/main">
          <x14:cfRule type="expression" priority="17754" id="{D9A4EAC8-3333-49DF-B74D-6018E601145C}">
            <xm:f>AND(LEFT(PE!$F$13)="F",$AL$31=2,PE!$BU$5="X")</xm:f>
            <x14:dxf>
              <font>
                <color rgb="FF8E0000"/>
              </font>
              <fill>
                <patternFill>
                  <bgColor theme="2"/>
                </patternFill>
              </fill>
            </x14:dxf>
          </x14:cfRule>
          <x14:cfRule type="expression" priority="17753" id="{A0025E82-93AB-4258-A2F3-D38AA6268213}">
            <xm:f>AND(LEFT(PE!$F$13)="F",$AL$31=3,PE!$BU$5="X")</xm:f>
            <x14:dxf>
              <font>
                <color rgb="FF8E0000"/>
              </font>
              <fill>
                <patternFill>
                  <bgColor rgb="FFFECF82"/>
                </patternFill>
              </fill>
            </x14:dxf>
          </x14:cfRule>
          <x14:cfRule type="expression" priority="17755" id="{4F7EC6C8-A134-4587-B883-AD77CE017194}">
            <xm:f>AND(LEFT(PE!$F$13)="F",$AL$31=1,PE!$BU$5="X")</xm:f>
            <x14:dxf>
              <font>
                <color rgb="FF8E0000"/>
              </font>
              <fill>
                <patternFill>
                  <bgColor rgb="FFFBE93B"/>
                </patternFill>
              </fill>
            </x14:dxf>
          </x14:cfRule>
          <xm:sqref>AL31</xm:sqref>
        </x14:conditionalFormatting>
        <x14:conditionalFormatting xmlns:xm="http://schemas.microsoft.com/office/excel/2006/main">
          <x14:cfRule type="expression" priority="17756" id="{51A6D485-FAB5-44F1-819D-B54C26EF93CC}">
            <xm:f>AND(LEFT(PE!$F$13)="F",$AL$36=3,PE!$BU$5="X")</xm:f>
            <x14:dxf>
              <font>
                <color rgb="FF8E0000"/>
              </font>
              <fill>
                <patternFill>
                  <bgColor rgb="FFFECF82"/>
                </patternFill>
              </fill>
            </x14:dxf>
          </x14:cfRule>
          <x14:cfRule type="expression" priority="17757" id="{A5B7024F-369B-466A-B773-81C401FA6E78}">
            <xm:f>AND(LEFT(PE!$F$13)="F",$AL$36=2,PE!$BU$5="X")</xm:f>
            <x14:dxf>
              <font>
                <color rgb="FF8E0000"/>
              </font>
              <fill>
                <patternFill>
                  <bgColor theme="2"/>
                </patternFill>
              </fill>
            </x14:dxf>
          </x14:cfRule>
          <x14:cfRule type="expression" priority="17758" id="{66FA7BFF-24C4-4057-B393-33DED9FD63CE}">
            <xm:f>AND(LEFT(PE!$F$13)="F",$AL$36=1,PE!$BU$5="X")</xm:f>
            <x14:dxf>
              <font>
                <color rgb="FF8E0000"/>
              </font>
              <fill>
                <patternFill>
                  <bgColor rgb="FFFBE93B"/>
                </patternFill>
              </fill>
            </x14:dxf>
          </x14:cfRule>
          <xm:sqref>AL36</xm:sqref>
        </x14:conditionalFormatting>
        <x14:conditionalFormatting xmlns:xm="http://schemas.microsoft.com/office/excel/2006/main">
          <x14:cfRule type="expression" priority="148" id="{F417C54E-7F37-4D6D-A443-60D41A5C6522}">
            <xm:f>LEFT(PE!$B$15)="3"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853" id="{456F0383-E164-4F33-B2E7-0E6759ED9770}">
            <xm:f>AND(LEFT(PA!$F$13)="P",PA!$AO$4&gt;1)</xm:f>
            <x14:dxf>
              <border>
                <bottom/>
                <vertical/>
                <horizontal/>
              </border>
            </x14:dxf>
          </x14:cfRule>
          <xm:sqref>AP10 AP12 AP15 AP17</xm:sqref>
        </x14:conditionalFormatting>
        <x14:conditionalFormatting xmlns:xm="http://schemas.microsoft.com/office/excel/2006/main">
          <x14:cfRule type="expression" priority="4" id="{BE84AD94-C11E-4D97-A1D5-BFA79E78D21E}">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857" id="{07EBE790-BAA3-4451-AD64-43710946C9A1}">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859" id="{344B52D8-3FE4-49F0-B004-4B35200B0F57}">
            <xm:f>AND(LEFT(PA!$F$13)="P",PA!$AO$4&gt;1)</xm:f>
            <x14:dxf>
              <border>
                <top/>
                <vertical/>
                <horizontal/>
              </border>
            </x14:dxf>
          </x14:cfRule>
          <xm:sqref>AP11 AP13 AP16 AP18</xm:sqref>
        </x14:conditionalFormatting>
        <x14:conditionalFormatting xmlns:xm="http://schemas.microsoft.com/office/excel/2006/main">
          <x14:cfRule type="expression" priority="11883" id="{C390F377-8DCA-46F3-BA3C-7348B40FBB06}">
            <xm:f>AND(LEFT(PA!$F$13)="P",PA!$AO$4&gt;1)</xm:f>
            <x14:dxf>
              <fill>
                <patternFill>
                  <bgColor theme="1"/>
                </patternFill>
              </fill>
            </x14:dxf>
          </x14:cfRule>
          <xm:sqref>AP14 AP19</xm:sqref>
        </x14:conditionalFormatting>
        <x14:conditionalFormatting xmlns:xm="http://schemas.microsoft.com/office/excel/2006/main">
          <x14:cfRule type="expression" priority="11863" id="{C63B551E-7F5C-4C18-9583-EB6ADEE4F269}">
            <xm:f>AND(LEFT(PA!$F$13)="P",PA!$AO$4&gt;2)</xm:f>
            <x14:dxf>
              <border>
                <bottom/>
                <vertical/>
                <horizontal/>
              </border>
            </x14:dxf>
          </x14:cfRule>
          <xm:sqref>AP20 AP22</xm:sqref>
        </x14:conditionalFormatting>
        <x14:conditionalFormatting xmlns:xm="http://schemas.microsoft.com/office/excel/2006/main">
          <x14:cfRule type="expression" priority="11865" id="{E65E1F1B-06BC-4AB6-86EA-16A7A98A3EE5}">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866" id="{BBFD54A8-8594-4831-802A-A86CD031BF65}">
            <xm:f>AND(LEFT(PA!$F$13)="P",PA!$AO$4&gt;2)</xm:f>
            <x14:dxf>
              <border>
                <top/>
                <vertical/>
                <horizontal/>
              </border>
            </x14:dxf>
          </x14:cfRule>
          <xm:sqref>AP21 AP23</xm:sqref>
        </x14:conditionalFormatting>
        <x14:conditionalFormatting xmlns:xm="http://schemas.microsoft.com/office/excel/2006/main">
          <x14:cfRule type="expression" priority="11885" id="{7CAC5B72-9B00-4AD9-AC9C-8F0CB5785413}">
            <xm:f>AND(LEFT(PA!$F$13)="P",PA!$AO$4&gt;2)</xm:f>
            <x14:dxf>
              <fill>
                <patternFill>
                  <bgColor theme="1"/>
                </patternFill>
              </fill>
            </x14:dxf>
          </x14:cfRule>
          <xm:sqref>AP24</xm:sqref>
        </x14:conditionalFormatting>
        <x14:conditionalFormatting xmlns:xm="http://schemas.microsoft.com/office/excel/2006/main">
          <x14:cfRule type="expression" priority="11868" id="{EA7D14BE-D03D-4CF5-8826-0A7E2FD59419}">
            <xm:f>AND(LEFT(PA!$F$13)="P",PA!$AO$4&gt;2,COUNT(PA!$A$6:$A$11)&gt;3)</xm:f>
            <x14:dxf>
              <border>
                <bottom/>
                <vertical/>
                <horizontal/>
              </border>
            </x14:dxf>
          </x14:cfRule>
          <xm:sqref>AP25 AP27</xm:sqref>
        </x14:conditionalFormatting>
        <x14:conditionalFormatting xmlns:xm="http://schemas.microsoft.com/office/excel/2006/main">
          <x14:cfRule type="expression" priority="11870" id="{288CE61B-0E54-4C0D-BBE1-B2857E44E9D1}">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871" id="{B4E0EA29-C795-45AE-862F-AB59495F1A90}">
            <xm:f>AND(LEFT(PA!$F$13)="P",PA!$AO$4&gt;2,COUNT(PA!$A$6:$A$11)&gt;3)</xm:f>
            <x14:dxf>
              <border>
                <top/>
                <vertical/>
                <horizontal/>
              </border>
            </x14:dxf>
          </x14:cfRule>
          <xm:sqref>AP26 AP28</xm:sqref>
        </x14:conditionalFormatting>
        <x14:conditionalFormatting xmlns:xm="http://schemas.microsoft.com/office/excel/2006/main">
          <x14:cfRule type="expression" priority="11886" id="{D81A8A79-D82B-4773-A4ED-CE23B15A0A47}">
            <xm:f>AND(LEFT(PA!$F$13)="P",PA!$AO$4&gt;2,COUNT(PA!$A$6:$A$11)&gt;3)</xm:f>
            <x14:dxf>
              <fill>
                <patternFill>
                  <bgColor theme="1"/>
                </patternFill>
              </fill>
            </x14:dxf>
          </x14:cfRule>
          <xm:sqref>AP29</xm:sqref>
        </x14:conditionalFormatting>
        <x14:conditionalFormatting xmlns:xm="http://schemas.microsoft.com/office/excel/2006/main">
          <x14:cfRule type="expression" priority="11873" id="{50650E3A-0B25-4FC4-B22A-0666BD3D7C06}">
            <xm:f>AND(LEFT(PA!$F$13)="P",PA!$AO$4&gt;2,COUNT(PA!$A$6:$A$11)&gt;4)</xm:f>
            <x14:dxf>
              <border>
                <bottom/>
                <vertical/>
                <horizontal/>
              </border>
            </x14:dxf>
          </x14:cfRule>
          <xm:sqref>AP30 AP32</xm:sqref>
        </x14:conditionalFormatting>
        <x14:conditionalFormatting xmlns:xm="http://schemas.microsoft.com/office/excel/2006/main">
          <x14:cfRule type="expression" priority="11875" id="{34B2930E-F075-4081-910C-F2EE23C8C49A}">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876" id="{33D9E2E6-CB1A-44B8-ABE7-2129A4B3DFAA}">
            <xm:f>AND(LEFT(PA!$F$13)="P",PA!$AO$4&gt;2,COUNT(PA!$A$6:$A$11)&gt;4)</xm:f>
            <x14:dxf>
              <border>
                <top/>
                <vertical/>
                <horizontal/>
              </border>
            </x14:dxf>
          </x14:cfRule>
          <xm:sqref>AP31 AP33</xm:sqref>
        </x14:conditionalFormatting>
        <x14:conditionalFormatting xmlns:xm="http://schemas.microsoft.com/office/excel/2006/main">
          <x14:cfRule type="expression" priority="11887" id="{CAEBE63E-44FC-4B9A-98EE-5AC9009E5344}">
            <xm:f>AND(LEFT(PA!$F$13)="P",PA!$AO$4&gt;2,COUNT(PA!$A$6:$A$11)&gt;4)</xm:f>
            <x14:dxf>
              <fill>
                <patternFill>
                  <bgColor theme="1"/>
                </patternFill>
              </fill>
            </x14:dxf>
          </x14:cfRule>
          <xm:sqref>AP34</xm:sqref>
        </x14:conditionalFormatting>
        <x14:conditionalFormatting xmlns:xm="http://schemas.microsoft.com/office/excel/2006/main">
          <x14:cfRule type="expression" priority="11878" id="{FA50163E-612A-40B4-B4AB-A213CC3FD72E}">
            <xm:f>AND(LEFT(PA!$F$13)="P",PA!$AO$4&gt;2,COUNT(PA!$A$6:$A$11)&gt;5)</xm:f>
            <x14:dxf>
              <border>
                <bottom/>
                <vertical/>
                <horizontal/>
              </border>
            </x14:dxf>
          </x14:cfRule>
          <xm:sqref>AP35 AP37</xm:sqref>
        </x14:conditionalFormatting>
        <x14:conditionalFormatting xmlns:xm="http://schemas.microsoft.com/office/excel/2006/main">
          <x14:cfRule type="expression" priority="11880" id="{CA1ABA6A-AABD-4313-B67A-633FA67B346F}">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881" id="{BAE31EDD-71CD-4429-989A-C7DFA878E925}">
            <xm:f>AND(LEFT(PA!$F$13)="P",PA!$AO$4&gt;2,COUNT(PA!$A$6:$A$11)&gt;5)</xm:f>
            <x14:dxf>
              <border>
                <top/>
                <vertical/>
                <horizontal/>
              </border>
            </x14:dxf>
          </x14:cfRule>
          <xm:sqref>AP36 AP38</xm:sqref>
        </x14:conditionalFormatting>
        <x14:conditionalFormatting xmlns:xm="http://schemas.microsoft.com/office/excel/2006/main">
          <x14:cfRule type="expression" priority="17759" id="{6AAB8A30-7180-4199-9C9F-621207B171F3}">
            <xm:f>AND(LEFT(PE!$F$13)="P",PE!$AO$4&gt;1)</xm:f>
            <x14:dxf>
              <fill>
                <patternFill>
                  <bgColor theme="1"/>
                </patternFill>
              </fill>
            </x14:dxf>
          </x14:cfRule>
          <xm:sqref>AP9:AQ9 AQ10:AQ19</xm:sqref>
        </x14:conditionalFormatting>
        <x14:conditionalFormatting xmlns:xm="http://schemas.microsoft.com/office/excel/2006/main">
          <x14:cfRule type="expression" priority="17761" id="{6EE9A2B4-BC18-4280-A984-B33BE75ABA2C}">
            <xm:f>AND(LEFT(PE!$F$13)="P",PE!$AO$4&gt;2)</xm:f>
            <x14:dxf>
              <fill>
                <patternFill>
                  <bgColor theme="1"/>
                </patternFill>
              </fill>
            </x14:dxf>
          </x14:cfRule>
          <xm:sqref>AQ20:AQ24</xm:sqref>
        </x14:conditionalFormatting>
        <x14:conditionalFormatting xmlns:xm="http://schemas.microsoft.com/office/excel/2006/main">
          <x14:cfRule type="expression" priority="17762" id="{8103CE94-0D8D-4FC0-9A1A-991599765F00}">
            <xm:f>AND(LEFT(PE!$F$13)="P",PE!$AO$4&gt;2,COUNT(PE!$A$6:$A$11)&gt;3)</xm:f>
            <x14:dxf>
              <fill>
                <patternFill>
                  <bgColor theme="1"/>
                </patternFill>
              </fill>
            </x14:dxf>
          </x14:cfRule>
          <xm:sqref>AQ25:AQ29</xm:sqref>
        </x14:conditionalFormatting>
        <x14:conditionalFormatting xmlns:xm="http://schemas.microsoft.com/office/excel/2006/main">
          <x14:cfRule type="expression" priority="17763" id="{9D32AB29-869F-4A32-833C-70374B8F3BDB}">
            <xm:f>AND(LEFT(PE!$F$13)="P",PE!$AO$4&gt;2,COUNT(PE!$A$6:$A$11)&gt;4)</xm:f>
            <x14:dxf>
              <fill>
                <patternFill>
                  <bgColor theme="1"/>
                </patternFill>
              </fill>
            </x14:dxf>
          </x14:cfRule>
          <xm:sqref>AQ30:AQ34</xm:sqref>
        </x14:conditionalFormatting>
        <x14:conditionalFormatting xmlns:xm="http://schemas.microsoft.com/office/excel/2006/main">
          <x14:cfRule type="expression" priority="17764" id="{6CEBAFE8-CC82-4ED1-9EEA-737F2457153E}">
            <xm:f>AND(LEFT(PE!$F$13)="P",PE!$AO$4&gt;2,COUNT(PE!$A$6:$A$11)&gt;5)</xm:f>
            <x14:dxf>
              <fill>
                <patternFill>
                  <bgColor theme="1"/>
                </patternFill>
              </fill>
            </x14:dxf>
          </x14:cfRule>
          <xm:sqref>AQ35:AQ38 AP39:AQ39</xm:sqref>
        </x14:conditionalFormatting>
        <x14:conditionalFormatting xmlns:xm="http://schemas.microsoft.com/office/excel/2006/main">
          <x14:cfRule type="expression" priority="39" id="{064EBCE6-8AD5-4512-9141-380DB22C13EA}">
            <xm:f>'GESTION DES JOUEURS'!$T$8&lt;2</xm:f>
            <x14:dxf>
              <font>
                <color theme="0" tint="-0.24994659260841701"/>
              </font>
              <fill>
                <patternFill>
                  <bgColor theme="0" tint="-0.24994659260841701"/>
                </patternFill>
              </fill>
            </x14:dxf>
          </x14:cfRule>
          <x14:cfRule type="expression" priority="40" id="{FEB235C9-364C-4E4C-95E1-684424B91DF8}">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14B9A615-498B-405C-90F9-7B18576558A1}">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C5D6D3CC-3DD3-4F02-9535-9C234092ABEE}">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9D005E62-0222-4CE2-A7F3-3A1A79B8B462}">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499B5CA4-A9DF-4F6D-BA46-0456FADFD545}">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1D0ABC08-A499-41DC-A2BC-4C1B9B5E6502}">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1C46CE2A-F8AF-4A15-96F3-6A8ACC5AC9F6}">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0B998104-99C7-4509-9762-CED9CB103736}">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5688E332-24A7-4D7F-836A-C2DDFA338601}">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92E0937A-FF8C-4F66-AB11-3D48ECE1A7DC}">
            <xm:f>'GESTION DES JOUEURS'!$D$8="Finale"</xm:f>
            <x14:dxf>
              <font>
                <color theme="0" tint="-0.24994659260841701"/>
              </font>
              <fill>
                <patternFill>
                  <bgColor theme="0" tint="-0.24994659260841701"/>
                </patternFill>
              </fill>
            </x14:dxf>
          </x14:cfRule>
          <x14:cfRule type="expression" priority="25" id="{AE2E45FF-7AB7-4033-B6EA-67CC615F397B}">
            <xm:f>OR('GESTION DES JOUEURS'!$D$8="poules",'GESTION DES JOUEURS'!$D$8="Finale")</xm:f>
            <x14:dxf>
              <font>
                <color theme="0" tint="-0.24994659260841701"/>
              </font>
              <fill>
                <patternFill>
                  <fgColor auto="1"/>
                  <bgColor theme="0" tint="-0.24994659260841701"/>
                </patternFill>
              </fill>
            </x14:dxf>
          </x14:cfRule>
          <x14:cfRule type="expression" priority="24" id="{8C2E7797-34C4-463E-8AA4-82E4E9331C44}">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EBF8BD99-D75C-4B6C-AD45-B117257C081E}">
            <xm:f>'GESTION DES JOUEURS'!$T$8=1</xm:f>
            <x14:dxf>
              <font>
                <color theme="0" tint="-0.24994659260841701"/>
              </font>
              <fill>
                <patternFill>
                  <bgColor theme="0" tint="-0.24994659260841701"/>
                </patternFill>
              </fill>
            </x14:dxf>
          </x14:cfRule>
          <x14:cfRule type="expression" priority="3" id="{76DC9DD1-5285-4B29-A7C1-BAAD72CD7635}">
            <xm:f>OR('GESTION DES JOUEURS'!$D$8="Poules",'GESTION DES JOUEURS'!$D$8="Finale",'GESTION DES JOUEURS'!$D$8="Tournoi")</xm:f>
            <x14:dxf>
              <font>
                <color theme="0" tint="-0.24994659260841701"/>
              </font>
              <fill>
                <patternFill>
                  <bgColor theme="0" tint="-0.24994659260841701"/>
                </patternFill>
              </fill>
            </x14:dxf>
          </x14:cfRule>
          <x14:cfRule type="expression" priority="2" id="{7C6C9316-02C0-4E65-B6DF-962118203FD8}">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E54D5C6F-CDA9-490F-AD54-2F5B30EFCAAA}">
            <xm:f>'GESTION DES JOUEURS'!$T$8=1</xm:f>
            <x14:dxf>
              <font>
                <color theme="0" tint="-0.24994659260841701"/>
              </font>
              <fill>
                <patternFill>
                  <bgColor theme="0" tint="-0.24994659260841701"/>
                </patternFill>
              </fill>
            </x14:dxf>
          </x14:cfRule>
          <x14:cfRule type="expression" priority="53" id="{DF5A65D3-12E2-48AB-B16C-027AFC1BA169}">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54D22-1885-4F91-A370-21918E0E07FF}">
  <sheetPr>
    <tabColor rgb="FF72C3FA"/>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976" t="str">
        <f>'GESTION DES JOUEURS'!M21</f>
        <v>Poule F</v>
      </c>
      <c r="C2" s="977"/>
      <c r="D2" s="977"/>
      <c r="E2" s="977"/>
      <c r="F2" s="977"/>
      <c r="G2" s="977"/>
      <c r="H2" s="977"/>
      <c r="I2" s="977"/>
      <c r="J2" s="977"/>
      <c r="K2" s="977"/>
      <c r="L2" s="977"/>
      <c r="M2" s="977"/>
      <c r="N2" s="977"/>
      <c r="O2" s="977"/>
      <c r="P2" s="977"/>
      <c r="Q2" s="977"/>
      <c r="R2" s="977"/>
      <c r="S2" s="977"/>
      <c r="T2" s="977"/>
      <c r="U2" s="977"/>
      <c r="V2" s="977"/>
      <c r="W2" s="977"/>
      <c r="X2" s="978"/>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IFERROR(VLOOKUP("F1",'GESTION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JOUEURS'!$Y$8="R",PouleATerminée="X"),_xlfn.XLOOKUP(($AO$4&amp;_xlfn.XLOOKUP(B6,$B$37:$B$42,$Q$37:$Q$42,"",0,1)&amp;_xlfn.XLOOKUP(B6,$B$37:$B$42,PF!$AE$37:$AE$42,"",0,1)),PTSRKPOULES[Colonne1],PTSRKPOULES[PR 3B],"",0,1),IF(AND('GESTION DES JOUEURS'!$D$8="Poules",'GESTION DES JOUEURS'!$Y$8="JDSR",PouleATerminée="X"),_xlfn.XLOOKUP($AO$4&amp;_xlfn.XLOOKUP(B6,$B$37:$B$42,$Q$37:$Q$42,"",0,1)&amp;_xlfn.XLOOKUP(B6,$B$37:$B$42,PF!$AE$37:$AE$42,"",0,1),PTSRKPOULES[Colonne1],PTSRKPOULES[PR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IFERROR(VLOOKUP("F2",'GESTION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JOUEURS'!$Y$8="R",PouleATerminée="X"),_xlfn.XLOOKUP(($AO$4&amp;_xlfn.XLOOKUP(B7,$B$37:$B$42,$Q$37:$Q$42,"",0,1)&amp;_xlfn.XLOOKUP(B7,$B$37:$B$42,PF!$AE$37:$AE$42,"",0,1)),PTSRKPOULES[Colonne1],PTSRKPOULES[PR 3B],"",0,1),IF(AND('GESTION DES JOUEURS'!$D$8="Poules",'GESTION DES JOUEURS'!$Y$8="JDSR",PouleATerminée="X"),_xlfn.XLOOKUP($AO$4&amp;_xlfn.XLOOKUP(B7,$B$37:$B$42,$Q$37:$Q$42,"",0,1)&amp;_xlfn.XLOOKUP(B7,$B$37:$B$42,PF!$AE$37:$AE$42,"",0,1),PTSRKPOULES[Colonne1],PTSRKPOULES[PR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IFERROR(VLOOKUP("F3",'GESTION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JOUEURS'!$Y$8="R",PouleATerminée="X"),_xlfn.XLOOKUP(($AO$4&amp;_xlfn.XLOOKUP(B8,$B$37:$B$42,$Q$37:$Q$42,"",0,1)&amp;_xlfn.XLOOKUP(B8,$B$37:$B$42,PF!$AE$37:$AE$42,"",0,1)),PTSRKPOULES[Colonne1],PTSRKPOULES[PR 3B],"",0,1),IF(AND('GESTION DES JOUEURS'!$D$8="Poules",'GESTION DES JOUEURS'!$Y$8="JDSR",PouleATerminée="X"),_xlfn.XLOOKUP($AO$4&amp;_xlfn.XLOOKUP(B8,$B$37:$B$42,$Q$37:$Q$42,"",0,1)&amp;_xlfn.XLOOKUP(B8,$B$37:$B$42,PF!$AE$37:$AE$42,"",0,1),PTSRKPOULES[Colonne1],PTSRKPOULES[PR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IFERROR(VLOOKUP("F4",'GESTION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JOUEURS'!$Y$8="R",PouleATerminée="X"),_xlfn.XLOOKUP(($AO$4&amp;_xlfn.XLOOKUP(B9,$B$37:$B$42,$Q$37:$Q$42,"",0,1)&amp;_xlfn.XLOOKUP(B9,$B$37:$B$42,PF!$AE$37:$AE$42,"",0,1)),PTSRKPOULES[Colonne1],PTSRKPOULES[PR 3B],"",0,1),IF(AND('GESTION DES JOUEURS'!$D$8="Poules",'GESTION DES JOUEURS'!$Y$8="JDSR",PouleATerminée="X"),_xlfn.XLOOKUP($AO$4&amp;_xlfn.XLOOKUP(B9,$B$37:$B$42,$Q$37:$Q$42,"",0,1)&amp;_xlfn.XLOOKUP(B9,$B$37:$B$42,PF!$AE$37:$AE$42,"",0,1),PTSRKPOULES[Colonne1],PTSRKPOULES[PR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IFERROR(VLOOKUP("F5",'GESTION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JOUEURS'!$Y$8="R",PouleATerminée="X"),_xlfn.XLOOKUP(($AO$4&amp;_xlfn.XLOOKUP(B10,$B$37:$B$42,$Q$37:$Q$42,"",0,1)&amp;_xlfn.XLOOKUP(B10,$B$37:$B$42,PF!$AE$37:$AE$42,"",0,1)),PTSRKPOULES[Colonne1],PTSRKPOULES[PR 3B],"",0,1),IF(AND('GESTION DES JOUEURS'!$D$8="Poules",'GESTION DES JOUEURS'!$Y$8="JDSR",PouleATerminée="X"),_xlfn.XLOOKUP($AO$4&amp;_xlfn.XLOOKUP(B10,$B$37:$B$42,$Q$37:$Q$42,"",0,1)&amp;_xlfn.XLOOKUP(B10,$B$37:$B$42,PF!$AE$37:$AE$42,"",0,1),PTSRKPOULES[Colonne1],PTSRKPOULES[PR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IFERROR(VLOOKUP("F6",'GESTION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JOUEURS'!$Y$8="R",PouleATerminée="X"),_xlfn.XLOOKUP(($AO$4&amp;_xlfn.XLOOKUP(B11,$B$37:$B$42,$Q$37:$Q$42,"",0,1)&amp;_xlfn.XLOOKUP(B11,$B$37:$B$42,PF!$AE$37:$AE$42,"",0,1)),PTSRKPOULES[Colonne1],PTSRKPOULES[PR 3B],"",0,1),IF(AND('GESTION DES JOUEURS'!$D$8="Poules",'GESTION DES JOUEURS'!$Y$8="JDSR",PouleATerminée="X"),_xlfn.XLOOKUP($AO$4&amp;_xlfn.XLOOKUP(B11,$B$37:$B$42,$Q$37:$Q$42,"",0,1)&amp;_xlfn.XLOOKUP(B11,$B$37:$B$42,PF!$AE$37:$AE$42,"",0,1),PTSRKPOULES[Colonne1],PTSRKPOULES[PR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IF(K13="Poule","F","")</f>
        <v>F</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F</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979" t="str">
        <f>"TABLEAU "&amp;CHAR(10)&amp;B2</f>
        <v>TABLEAU 
Poule F</v>
      </c>
      <c r="V37" s="980"/>
      <c r="W37" s="980"/>
      <c r="X37" s="981"/>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982"/>
      <c r="V38" s="983"/>
      <c r="W38" s="983"/>
      <c r="X38" s="984"/>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982"/>
      <c r="V39" s="983"/>
      <c r="W39" s="983"/>
      <c r="X39" s="984"/>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982"/>
      <c r="V40" s="983"/>
      <c r="W40" s="983"/>
      <c r="X40" s="984"/>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982"/>
      <c r="V41" s="983"/>
      <c r="W41" s="983"/>
      <c r="X41" s="984"/>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985"/>
      <c r="V42" s="986"/>
      <c r="W42" s="986"/>
      <c r="X42" s="987"/>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OVdOveMQnSFTF64LBNSiiTvuk97QPeybc3OXK+m32FiuaLfJroxOjP3bQD5ATRzpCJA3wMKMsrPNeYeieHJkyQ==" saltValue="oCQAa5sko4wbqwzrrSWAOA=="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1205" priority="3">
      <formula>$B18=""</formula>
    </cfRule>
  </conditionalFormatting>
  <conditionalFormatting sqref="B19:Y32">
    <cfRule type="expression" dxfId="1204" priority="2">
      <formula>$B18=MAX($B$18:$B$32)</formula>
    </cfRule>
  </conditionalFormatting>
  <conditionalFormatting sqref="E18:E32 W18:W32">
    <cfRule type="expression" dxfId="1203" priority="4">
      <formula>LEFT($B$15)="3"</formula>
    </cfRule>
  </conditionalFormatting>
  <conditionalFormatting sqref="L13">
    <cfRule type="expression" dxfId="1202" priority="56">
      <formula>$F$13&lt;&gt;"FINALE"</formula>
    </cfRule>
  </conditionalFormatting>
  <conditionalFormatting sqref="T6:U11 N37:O42">
    <cfRule type="expression" dxfId="1200" priority="57">
      <formula>LEFT($B$15)="3"</formula>
    </cfRule>
  </conditionalFormatting>
  <dataValidations count="3">
    <dataValidation type="list" allowBlank="1" showInputMessage="1" showErrorMessage="1" sqref="O6" xr:uid="{79B162A4-BCB3-472E-97E2-3F1B14EAA629}">
      <formula1>"1,2,3,4,5,6"</formula1>
    </dataValidation>
    <dataValidation type="list" allowBlank="1" showInputMessage="1" showErrorMessage="1" sqref="W35:X35" xr:uid="{BA4BDBE6-FE22-4005-B722-F1FE0FDE98A2}">
      <formula1>"OUI,NON"</formula1>
    </dataValidation>
    <dataValidation type="list" allowBlank="1" showInputMessage="1" showErrorMessage="1" sqref="O7:O11" xr:uid="{95549E11-C98C-4166-AC81-3C9AA728A20C}">
      <formula1>"F,1,2,3,4,5,6"</formula1>
    </dataValidation>
  </dataValidations>
  <hyperlinks>
    <hyperlink ref="AA4:AA5" location="'GESTION DES JOUEURS'!D4" display="GESTION DES JOUEURS" xr:uid="{7F2CF89E-003B-4B01-B37C-7D5C3EBC346D}"/>
    <hyperlink ref="U37:X42" location="'T PF'!A1" display="'T PF'!A1" xr:uid="{E71D9FFB-9B6C-4C41-B0AA-014452CFE7E9}"/>
    <hyperlink ref="AA9:AA10" location="PA!N18" display="PA!N18" xr:uid="{2FA7A490-24B1-42D8-B79B-0145E739778E}"/>
    <hyperlink ref="AA11:AA12" location="PB!N18" display="Poule B" xr:uid="{B268DC68-5673-48E0-A1F6-A655B894685A}"/>
    <hyperlink ref="AA13:AA14" location="PC!N18" display="Poule C" xr:uid="{D94434B2-33C8-4793-AC25-8D3E7777DAC5}"/>
    <hyperlink ref="AA15:AA16" location="PD!N18" display="Poule D" xr:uid="{CB12EFE7-2E25-46AB-9591-F5D3AF326E8E}"/>
    <hyperlink ref="AA17:AA18" location="PE!N18" display="Poule E" xr:uid="{BE29AE1B-8EE6-4D5C-9A4F-F5A61C360D99}"/>
    <hyperlink ref="AA19:AA20" location="PF!N18" display="Poule F" xr:uid="{283C5B36-A963-4ABB-933D-9CBD1B58BE00}"/>
    <hyperlink ref="AA21:AA22" location="PG!N18" display="Poule G" xr:uid="{4D4E50ED-5253-48A1-A01A-9185F62A9E1E}"/>
    <hyperlink ref="AA23:AA24" location="PH!N18" display="Poule H" xr:uid="{8EF9409C-84FC-422D-AD9F-339EFA199CCB}"/>
    <hyperlink ref="AA25:AA26" location="PI!N18" display="Poule I" xr:uid="{AE3D1C1F-ADFB-463A-BF13-D9F0B91ADB4F}"/>
    <hyperlink ref="AA27:AA28" location="PJ!N18" display="Poule J" xr:uid="{3F366BE7-3DB0-4022-8D6D-D3DB97ADA7F7}"/>
    <hyperlink ref="AA29:AA30" location="PK!N18" display="Poule K" xr:uid="{4EE78EAF-2A2F-449F-B540-930F02EE682B}"/>
    <hyperlink ref="AA31:AA32" location="PL!N18" display="Poule L" xr:uid="{091CC887-5FE2-46D7-B13B-EB55831C326A}"/>
    <hyperlink ref="AA37:AA38" location="Consolante!A1" display="Consolante" xr:uid="{2BA97A58-FD00-4AC7-BD5B-8392A7BC9295}"/>
    <hyperlink ref="AA40:AA42" location="RESULTATS!A1" display="RESULTATS" xr:uid="{75196B68-9B07-4042-B3C9-BF43FE3B1913}"/>
    <hyperlink ref="AA34:AA35" location="'Phase finale'!A1" display="Phase Finale" xr:uid="{25CD3368-E531-41AE-B573-0E43478DB4CA}"/>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BA395312-D11C-4E3A-900E-CD5326394757}">
            <xm:f>'GESTION DES JOUEURS'!$D$8="Open"</xm:f>
            <x14:dxf>
              <numFmt numFmtId="14" formatCode="0.00%"/>
            </x14:dxf>
          </x14:cfRule>
          <xm:sqref>R37:S42</xm:sqref>
        </x14:conditionalFormatting>
        <x14:conditionalFormatting xmlns:xm="http://schemas.microsoft.com/office/excel/2006/main">
          <x14:cfRule type="expression" priority="8" id="{DE2ABE9C-C451-4B58-96FC-5D5C493D854F}">
            <xm:f>'GESTION DES JOUEURS'!$D$8="Open"</xm:f>
            <x14:dxf>
              <numFmt numFmtId="14" formatCode="0.00%"/>
            </x14:dxf>
          </x14:cfRule>
          <xm:sqref>W6:X11</xm:sqref>
        </x14:conditionalFormatting>
        <x14:conditionalFormatting xmlns:xm="http://schemas.microsoft.com/office/excel/2006/main">
          <x14:cfRule type="expression" priority="1" id="{C65AF2DB-7D7C-4469-9BDE-D56FDC27B1D9}">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45B174CB-D77B-4B50-9FB7-768A0DDC9E65}">
            <xm:f>'GESTION DES JOUEURS'!$T$8&lt;2</xm:f>
            <x14:dxf>
              <font>
                <color theme="0" tint="-0.24994659260841701"/>
              </font>
              <fill>
                <patternFill>
                  <bgColor theme="0" tint="-0.24994659260841701"/>
                </patternFill>
              </fill>
            </x14:dxf>
          </x14:cfRule>
          <x14:cfRule type="expression" priority="42" id="{F157F5AE-45A3-40C7-A413-C2A54F48E012}">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D4ACB075-8538-423E-A223-A77F17EB77D9}">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9AC44A60-4D24-4FD2-A089-13B6B0D90D59}">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8EF5B1E3-6DAC-4890-914A-5018F08BF287}">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B7A8EEC2-3B87-4D15-A0FC-79C6AABFF086}">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D13E6CE8-0407-4FE4-ACBB-F689ED57710B}">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DAD50A1A-DE8F-40CA-BB03-09DCC73FDA22}">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8FCF9070-C9AE-443F-85EA-FAFEC1F4DD5A}">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6698352B-1437-486F-B826-E67F31D62572}">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E4BDF851-314F-4BA0-A0CE-3ED0B6C10AB4}">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CC1399FF-85E3-4FFD-9C66-A6F060389BCC}">
            <xm:f>'GESTION DES JOUEURS'!$T$8=1</xm:f>
            <x14:dxf>
              <font>
                <color theme="0" tint="-0.24994659260841701"/>
              </font>
              <fill>
                <patternFill>
                  <bgColor theme="0" tint="-0.24994659260841701"/>
                </patternFill>
              </fill>
            </x14:dxf>
          </x14:cfRule>
          <x14:cfRule type="expression" priority="19" id="{4DF0D703-27FC-44E0-A2F3-5A9BE6B6A690}">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A932A602-BAE6-4B86-A218-2F11499CC26C}">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7FFB968-277B-4ED7-931A-D221A61C1931}">
          <x14:formula1>
            <xm:f>IF(AND(_xlfn.XLOOKUP($F18,$B$6:$B$11,$AD$6:$AD$11,"",0,1)&lt;&gt;"N1",_xlfn.XLOOKUP($U18,$B$6:$B$11,$AD$6:$AD$11,"",0,1)&lt;&gt;"N1",$B$15="Cadre N1/N2"),Distances!$B$89:$KP$89,Distances!$B$86:$KQ$86)</xm:f>
          </x14:formula1>
          <xm:sqref>O18:O32</xm:sqref>
        </x14:dataValidation>
        <x14:dataValidation type="list" allowBlank="1" showInputMessage="1" showErrorMessage="1" xr:uid="{1F8EB7E2-AF71-47C7-B4BC-5DBC73838652}">
          <x14:formula1>
            <xm:f>IF(AND(_xlfn.XLOOKUP($F18,$B$6:$B$11,$AD$6:$AD$11,"",0,1)&lt;&gt;"N1",_xlfn.XLOOKUP($U18,$B$6:$B$11,$AD$6:$AD$11,"",0,1)&lt;&gt;"N1",$B$15="Cadre N1/N2"),Distances!$B$88:$KP$88,Distances!$B$85:$KQ$85)</xm:f>
          </x14:formula1>
          <xm:sqref>N18:N32 P18:P32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A353-0E06-4B74-9D60-38A06455492E}">
  <sheetPr>
    <tabColor rgb="FF72C3FA"/>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IF(PF!F13="FINALE","District 93-94"&amp;" - "&amp;IF(MONTH(AT5)&gt;8,YEAR(AT5)&amp;"/"&amp;YEAR(AT5)+1,YEAR(AT5)-1&amp;"/"&amp;YEAR(AT5))&amp;CHAR(10)&amp;PF!F13&amp;CHAR(10)&amp;PF!B15&amp;AT2,"District 93-94"&amp;" - "&amp;IF(MONTH(AT5)&gt;8,YEAR(AT5)&amp;"/"&amp;YEAR(AT5)+1,YEAR(AT5)-1&amp;"/"&amp;YEAR(AT5))&amp;CHAR(10)&amp;'GESTION DES JOUEURS'!C2&amp;CHAR(10)&amp;PF!K13&amp;" "&amp;PF!L13)</f>
        <v>District 93-94 - 2024/2025
Journée 3 -  Libre R2
Poule F</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IF(PF!M14="","",PF!M14)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IF(LEFT(PF!$B$15)="C","   -   "&amp;_xlfn.XLOOKUP(PF!B15,Distances!D2:D77,Distances!K2:K77,"",0,1),"")</f>
        <v/>
      </c>
      <c r="AV2" s="450" t="s">
        <v>8130</v>
      </c>
    </row>
    <row r="3" spans="1:48" ht="21.95" customHeight="1" thickBot="1" x14ac:dyDescent="0.3">
      <c r="A3" s="32"/>
      <c r="B3" s="868" t="str">
        <f>IF('GESTION DES JOUEURS'!$F$6="","","Directeur de jeu : "&amp;PF!S13)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"&amp;_xlfn.XLOOKUP(PF!B15,Distances!D2:D77,Distances!A2:A77,"",0,1)&amp;AT2</f>
        <v>Mode de jeu : Libre</v>
      </c>
      <c r="C5" s="877"/>
      <c r="D5" s="877"/>
      <c r="E5" s="877"/>
      <c r="F5" s="877"/>
      <c r="G5" s="876" t="str">
        <f>"Catégorie : "&amp;_xlfn.XLOOKUP(PF!B15,Distances!D2:D77,Distances!B2:B77,"",0,1)</f>
        <v>Catégorie : R2</v>
      </c>
      <c r="H5" s="877"/>
      <c r="I5" s="877"/>
      <c r="J5" s="877"/>
      <c r="K5" s="877"/>
      <c r="L5" s="877"/>
      <c r="M5" s="877"/>
      <c r="N5" s="878"/>
      <c r="O5" s="870" t="str">
        <f>IF(G5="Catégorie : N1/N2","Distance réduite : 150 pts"&amp;CHAR(10)&amp;"si N2 Vs N2 120pts",PF!B14&amp;" "&amp;PF!E14&amp;" "&amp;PF!F14)</f>
        <v>Distance : 100 Pts</v>
      </c>
      <c r="P5" s="871"/>
      <c r="Q5" s="871"/>
      <c r="R5" s="871"/>
      <c r="S5" s="871"/>
      <c r="T5" s="871"/>
      <c r="U5" s="872"/>
      <c r="V5" s="870" t="str">
        <f>IFERROR(IF(G5="Catégorie : N1/N2","Reprises : 15"&amp;CHAR(10)&amp;"si N2 Vs N2 Reprises : 20 ",PF!G14&amp;" "&amp;PF!J14),"")</f>
        <v>Reprises : 40</v>
      </c>
      <c r="W5" s="871"/>
      <c r="X5" s="871"/>
      <c r="Y5" s="871"/>
      <c r="Z5" s="871"/>
      <c r="AA5" s="871"/>
      <c r="AB5" s="871"/>
      <c r="AC5" s="872"/>
      <c r="AD5" s="873" t="str">
        <f>_xlfn.XLOOKUP(PF!B15,Distances!D2:D77,Distances!J2:J77,"",0,1)&amp;" "&amp;_xlfn.XLOOKUP(PF!B15,Distances!D2:D77,Distances!I2:I77,"",0,1)&amp;"0 m"</f>
        <v>PC 2,80 m</v>
      </c>
      <c r="AE5" s="874"/>
      <c r="AF5" s="874"/>
      <c r="AG5" s="874"/>
      <c r="AH5" s="874"/>
      <c r="AI5" s="875"/>
      <c r="AJ5" s="850">
        <f>IF(PF!T14=0,"DATE",PF!T14)</f>
        <v>45633</v>
      </c>
      <c r="AK5" s="851"/>
      <c r="AL5" s="851"/>
      <c r="AM5" s="851"/>
      <c r="AN5" s="851"/>
      <c r="AO5" s="851"/>
      <c r="AP5" s="851"/>
      <c r="AQ5" s="852"/>
      <c r="AS5" s="841" t="s">
        <v>8129</v>
      </c>
      <c r="AT5" s="32">
        <f ca="1">IF(PF!T14&gt;1,AJ5,TODAY())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IF(PF!$AO$4&lt;2,"","JOUEURS")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IF(PF!$AO$4&lt;2,"","RESULTATS")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IF(PF!AO4=2,_xlfn.XLOOKUP(1,PF!M6:M11,PF!C6:D11&amp;" "&amp;LEFT(PF!E6)&amp;".","",0,1),IF(COUNT(PF!A6:A11)&gt;2,CONCATENATE(PF!C6," ",LEFT(PF!E6),"."),""))</f>
        <v/>
      </c>
      <c r="D10" s="32"/>
      <c r="E10" s="885" t="str">
        <f>IF(PF!W35="NON",AG1,IF(PF!AO4&gt;0,_xlfn.XLOOKUP('T PF'!C13,'LOGOS CLUBS'!$B$2:$B$65,'LOGOS CLUBS'!$C$2:$C$65,C13,0,1),""))</f>
        <v/>
      </c>
      <c r="F10" s="885"/>
      <c r="G10" s="885"/>
      <c r="H10" s="885"/>
      <c r="I10" s="32"/>
      <c r="J10" s="882" t="str">
        <f>IF(AND(PF!$AO$4=2,PF!$A18="P"),PF!N18,IF(AND(COUNT(PF!$A$6:$A$11)&gt;2,PF!$CF10="P"),PF!$CC10,""))</f>
        <v/>
      </c>
      <c r="K10" s="882"/>
      <c r="L10" s="882" t="str">
        <f>IF(AND(PF!$AO$4=2,PF!$A18="P"),PF!O18,IF(AND(COUNT(PF!$A$6:$A$11)&gt;2,PF!$CF10="P"),PF!$CE10,""))</f>
        <v/>
      </c>
      <c r="M10" s="882"/>
      <c r="N10" s="142"/>
      <c r="O10" s="882" t="str">
        <f>IF(PF!$AO$4=2,"",IF(AND(COUNT(PF!$A$6:$A$11)&gt;2,PF!$CF9="P"),PF!$CC9,""))</f>
        <v/>
      </c>
      <c r="P10" s="882"/>
      <c r="Q10" s="882" t="str">
        <f>IF(PF!$AO$4=2,"",IF(AND(COUNT(PF!$A$6:$A$11)&gt;2,PF!$CF9="P"),PF!$CE9,""))</f>
        <v/>
      </c>
      <c r="R10" s="882"/>
      <c r="S10" s="142"/>
      <c r="T10" s="882" t="str">
        <f>IF(PF!$AO$4=2,"",IF(AND(COUNT(PF!$A$6:$A$11)&gt;2,PF!$CF8="P"),PF!$CC8,""))</f>
        <v/>
      </c>
      <c r="U10" s="882"/>
      <c r="V10" s="882" t="str">
        <f>IF(PF!$AO$4=2,"",IF(AND(COUNT(PF!$A$6:$A$11)&gt;2,PF!$CF8="P"),PF!$CE8,""))</f>
        <v/>
      </c>
      <c r="W10" s="882"/>
      <c r="X10" s="142"/>
      <c r="Y10" s="882" t="str">
        <f>IF(PF!$AO$4=2,"",IF(AND(COUNT(PF!$A$6:$A$11)&gt;2,PF!$CF7="P"),PF!$CC7,""))</f>
        <v/>
      </c>
      <c r="Z10" s="882"/>
      <c r="AA10" s="882" t="str">
        <f>IF(PF!$AO$4=2,"",IF(AND(COUNT(PF!$A$6:$A$11)&gt;2,PF!$CF7="P"),PF!$CE7,""))</f>
        <v/>
      </c>
      <c r="AB10" s="882"/>
      <c r="AC10" s="142"/>
      <c r="AD10" s="882" t="str">
        <f>IF(PF!$AO$4=2,"",IF(AND(COUNT(PF!$A$6:$A$11)&gt;2,PF!$CF6="P"),PF!$CC6,""))</f>
        <v/>
      </c>
      <c r="AE10" s="882"/>
      <c r="AF10" s="882" t="str">
        <f>IF(PF!$AO$4=2,"",IF(AND(COUNT(PF!$A$6:$A$11)&gt;2,PF!$CF6="P"),PF!$CE6,""))</f>
        <v/>
      </c>
      <c r="AG10" s="882"/>
      <c r="AH10" s="32"/>
      <c r="AI10" s="32"/>
      <c r="AJ10" s="32"/>
      <c r="AK10" s="882" t="str" cm="1">
        <f t="array" ref="AK10">IF(PF!$AO$4&lt;2,"",IF(_xlfn.XLOOKUP('T PF'!C12,"Licence n° "&amp;PF!$B$6:$B$11,PF!$AO$6:$AO$11,"",0,1)=1,"",_xlfn.XLOOKUP('T PF'!C12,"Licence n° "&amp;PF!$B$6:$B$11,PF!$V$6:$V$11,"",0,1)))</f>
        <v/>
      </c>
      <c r="AL10" s="882"/>
      <c r="AM10" s="879" t="str" cm="1">
        <f t="array" ref="AM10">IF(PF!$AO$4&lt;2,"",IF(_xlfn.XLOOKUP('T PF'!C12,"Licence n° "&amp;PF!$B$6:$B$11,PF!$AO$6:$AO$11,"",0,1)=1,"",_xlfn.XLOOKUP('T PF'!C12,"Licence n° "&amp;PF!$B$6:$B$11,PF!$T$6:$T$11,"",0,1)))</f>
        <v/>
      </c>
      <c r="AN10" s="879"/>
      <c r="AO10" s="32"/>
      <c r="AP10" s="561" t="str" cm="1">
        <f t="array" ref="AP10">_xlfn.XLOOKUP(C12,"Licence n° "&amp;PF!$B$6:$B$11,PF!$W$6:$W$11,"",0,1)</f>
        <v/>
      </c>
      <c r="AQ10" s="32"/>
      <c r="AS10" s="843" t="str">
        <f>IF('GESTION DES JOUEURS'!$D$8="Finale","Poule Finale","Poule A")</f>
        <v>Poule A</v>
      </c>
      <c r="AT10" s="32"/>
      <c r="AV10" s="838"/>
    </row>
    <row r="11" spans="1:48" ht="12.6" customHeight="1" thickBot="1" x14ac:dyDescent="0.3">
      <c r="A11" s="32"/>
      <c r="B11" s="32"/>
      <c r="C11" s="143" t="str" cm="1">
        <f t="array" ref="C11">IF(PF!$AO$4=2,_xlfn.XLOOKUP(1,PF!$M$6:$M$11,PF!$K$6:$K$11&amp;" "&amp;PF!$AS$6:$AS$11,"",0,1),IF(COUNT(PF!$A$6:$A$11)&gt;2,PF!$K6&amp;" - "&amp;PF!$AS6," "))</f>
        <v xml:space="preserve"> </v>
      </c>
      <c r="D11" s="32"/>
      <c r="E11" s="885"/>
      <c r="F11" s="885"/>
      <c r="G11" s="885"/>
      <c r="H11" s="885"/>
      <c r="I11" s="32"/>
      <c r="J11" s="144" t="str">
        <f>IF(K11="","","Pts")</f>
        <v/>
      </c>
      <c r="K11" s="880" t="str">
        <f>IF(PF!$AO$4=2,PF!D18,IF(AND(COUNT(PF!$A$6:$A$11)&gt;2,PF!$CF10="P"),PF!$CG10,""))</f>
        <v/>
      </c>
      <c r="L11" s="880"/>
      <c r="M11" s="144" t="str">
        <f>IF(K11="","","Rep.")</f>
        <v/>
      </c>
      <c r="N11" s="144"/>
      <c r="O11" s="144" t="str">
        <f>IF(P11="","","Pts")</f>
        <v/>
      </c>
      <c r="P11" s="880" t="str">
        <f>IF(PF!$AO$4=2,"",IF(AND(COUNT(PF!$A$6:$A$11)&gt;2,PF!$CF9="P"),PF!$CG9,""))</f>
        <v/>
      </c>
      <c r="Q11" s="880"/>
      <c r="R11" s="144" t="str">
        <f>IF(P11="","","Rep.")</f>
        <v/>
      </c>
      <c r="S11" s="144"/>
      <c r="T11" s="144" t="str">
        <f>IF(U11="","","Pts")</f>
        <v/>
      </c>
      <c r="U11" s="880" t="str">
        <f>IF(PF!$AO$4=2,"",IF(AND(COUNT(PF!$A$6:$A$11)&gt;2,PF!$CF8="P"),PF!$CG8,""))</f>
        <v/>
      </c>
      <c r="V11" s="880"/>
      <c r="W11" s="144" t="str">
        <f>IF(U11="","","Rep.")</f>
        <v/>
      </c>
      <c r="X11" s="144"/>
      <c r="Y11" s="144" t="str">
        <f>IF(Z11="","","Pts")</f>
        <v/>
      </c>
      <c r="Z11" s="880" t="str">
        <f>IF(PF!$AO$4=2,"",IF(AND(COUNT(PF!$A$6:$A$11)&gt;2,PF!$CF7="P"),PF!$CG7,""))</f>
        <v/>
      </c>
      <c r="AA11" s="880"/>
      <c r="AB11" s="144" t="str">
        <f>IF(Z11="","","Rep.")</f>
        <v/>
      </c>
      <c r="AC11" s="144"/>
      <c r="AD11" s="144" t="str">
        <f>IF(AE11="","","Pts")</f>
        <v/>
      </c>
      <c r="AE11" s="880" t="str">
        <f>IF(PF!$AO$4=2,"",IF(AND(COUNT(PF!$A$6:$A$11)&gt;2,PF!$CF6="P"),PF!$CG6,""))</f>
        <v/>
      </c>
      <c r="AF11" s="880"/>
      <c r="AG11" s="144" t="str">
        <f>IF(AE11="","","Rep.")</f>
        <v/>
      </c>
      <c r="AH11" s="32"/>
      <c r="AI11" s="32"/>
      <c r="AJ11" s="32"/>
      <c r="AK11" s="145" t="str">
        <f>IF(AL11="","","PM")</f>
        <v/>
      </c>
      <c r="AL11" s="881" t="str" cm="1">
        <f t="array" ref="AL11">IF(SUM(PF!$Q$6:$Q$11)=0,"",IF(PF!$AO$4&gt;1,IF(_xlfn.XLOOKUP('T PF'!C12,"Licence n° "&amp;PF!$B$6:$B$11,PF!$AO$6:$AO$11,"",0,1)=1,"Forfait",_xlfn.XLOOKUP('T PF'!C12,"Licence n° "&amp;PF!$B$37:$B$42,PF!$Q$37:$Q$42,"",0,1)),""))</f>
        <v/>
      </c>
      <c r="AM11" s="881"/>
      <c r="AN11" s="145" t="str">
        <f>IF(AL11="","","MGP")</f>
        <v/>
      </c>
      <c r="AO11" s="32"/>
      <c r="AP11" s="146" t="str">
        <f>IF(OR(PF!$AO$4&lt;2,LEFT(PF!$F$13)="F"),"","Pts Rk")</f>
        <v/>
      </c>
      <c r="AQ11" s="32"/>
      <c r="AS11" s="844"/>
      <c r="AT11" s="32"/>
      <c r="AV11" s="839"/>
    </row>
    <row r="12" spans="1:48" ht="12.6" customHeight="1" x14ac:dyDescent="0.25">
      <c r="A12" s="32"/>
      <c r="B12" s="32"/>
      <c r="C12" s="147" t="str">
        <f>IF(PF!AO4=2,"Licence n° "&amp;_xlfn.XLOOKUP(1,PF!M6:M11,PF!B6:B11,"",0,1),IF(COUNT(PF!A6:A11)&gt;2,"Licence n° "&amp;PF!B6,"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IF(OR(PF!$AO$4&lt;2,LEFT(PF!$F$13)="F"),"","Bonus")</f>
        <v/>
      </c>
      <c r="AQ12" s="32"/>
      <c r="AS12" s="845" t="s">
        <v>8113</v>
      </c>
      <c r="AT12" s="32"/>
    </row>
    <row r="13" spans="1:48" ht="50.1" customHeight="1" x14ac:dyDescent="0.25">
      <c r="A13" s="32"/>
      <c r="B13" s="32"/>
      <c r="C13" s="149" t="str">
        <f>IF(PF!AO4=2,_xlfn.XLOOKUP(1,PF!M6:M11,PF!G6:G11,"",0,1),IF(COUNT(PF!A6:A11)&gt;2,PF!G6," "))</f>
        <v xml:space="preserve"> </v>
      </c>
      <c r="D13" s="32"/>
      <c r="E13" s="885"/>
      <c r="F13" s="885"/>
      <c r="G13" s="885"/>
      <c r="H13" s="885"/>
      <c r="I13" s="32"/>
      <c r="J13" s="883" t="str">
        <f>IF(K11="","",IF(K11&gt;0,J10/L10,"/"))</f>
        <v/>
      </c>
      <c r="K13" s="883"/>
      <c r="L13" s="884" t="str">
        <f>IF(AND(PF!$AO$4=2,PF!$A18="P"),PF!M18,IF(AND(COUNT(PF!$A$6:$A$11)&gt;2,PF!$CF10="P"),PF!$CD10,""))</f>
        <v/>
      </c>
      <c r="M13" s="884"/>
      <c r="N13" s="32"/>
      <c r="O13" s="883" t="str">
        <f>IF(P11="","",IF(P11&gt;0,O10/Q10,"/"))</f>
        <v/>
      </c>
      <c r="P13" s="883"/>
      <c r="Q13" s="884" t="str">
        <f>IF(PF!$AO$4=2,"",IF(AND(COUNT(PF!$A$6:$A$11)&gt;2,PF!$CF9="P"),PF!$CD9,""))</f>
        <v/>
      </c>
      <c r="R13" s="884"/>
      <c r="S13" s="32"/>
      <c r="T13" s="883" t="str">
        <f>IF(U11="","",IF(U11&gt;0,T10/V10,"/"))</f>
        <v/>
      </c>
      <c r="U13" s="883"/>
      <c r="V13" s="884" t="str">
        <f>IF(PF!$AO$4=2,"",IF(AND(COUNT(PF!$A$6:$A$11)&gt;2,PF!$CF8="P"),PF!$CD8,""))</f>
        <v/>
      </c>
      <c r="W13" s="884"/>
      <c r="X13" s="32"/>
      <c r="Y13" s="883" t="str">
        <f>IF(Z11="","",IF(Z11&gt;0,Y10/AA10,"/"))</f>
        <v/>
      </c>
      <c r="Z13" s="883"/>
      <c r="AA13" s="884" t="str">
        <f>IF(PF!$AO$4=2,"",IF(AND(COUNT(PF!$A$6:$A$11)&gt;2,PF!$CF7="P"),PF!$CD7,""))</f>
        <v/>
      </c>
      <c r="AB13" s="884"/>
      <c r="AC13" s="32"/>
      <c r="AD13" s="883" t="str">
        <f>IF(AE11="","",IF(AE11&gt;0,AD10/AF10,"/"))</f>
        <v/>
      </c>
      <c r="AE13" s="883"/>
      <c r="AF13" s="884" t="str">
        <f>IF(PF!$AO$4=2,"",IF(AND(COUNT(PF!$A$6:$A$11)&gt;2,PF!$CF6="P"),PF!$CD6,""))</f>
        <v/>
      </c>
      <c r="AG13" s="884"/>
      <c r="AH13" s="32"/>
      <c r="AI13" s="32"/>
      <c r="AJ13" s="32"/>
      <c r="AK13" s="883" t="str" cm="1">
        <f t="array" ref="AK13">IF(PF!$AO$4&lt;2,"",IF(_xlfn.XLOOKUP('T PF'!C12,"Licence n° "&amp;PF!$B$6:$B$11,PF!$AO$6:$AO$11,"",0,1)=1,"",_xlfn.XLOOKUP('T PF'!C12,"Licence n° "&amp;PF!$B$6:$B$11,PF!$U$6:$U$11,"",0,1)))</f>
        <v/>
      </c>
      <c r="AL13" s="883"/>
      <c r="AM13" s="884" t="str" cm="1">
        <f t="array" ref="AM13">IF(PF!$AO$4&lt;2,"",IF(_xlfn.XLOOKUP('T PF'!C12,"Licence n° "&amp;PF!$B$6:$B$11,PF!$AO$6:$AO$11,"",0,1)=1,"",_xlfn.XLOOKUP('T PF'!C12,"Licence n° "&amp;PF!$B$6:$B$11,PF!$S$6:$S$11,"",0,1)))</f>
        <v/>
      </c>
      <c r="AN13" s="884"/>
      <c r="AO13" s="32"/>
      <c r="AP13" s="562" t="str" cm="1">
        <f t="array" ref="AP13">_xlfn.XLOOKUP(C12,"Licence n° "&amp;PF!$B$6:$B$11,PF!$X$6:$X$11,"",0,1)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IF(PF!AO4=2,_xlfn.XLOOKUP(2,PF!M6:M11,PF!C6:D11&amp;" "&amp;LEFT(PF!E6:E11)&amp;".","",0,1),IF(COUNT(PF!A6:A11)&gt;2,CONCATENATE(PF!C7," ",LEFT(PF!E7),"."),""))</f>
        <v/>
      </c>
      <c r="D15" s="32"/>
      <c r="E15" s="882" t="str">
        <f>IF(AND(PF!$AO$4=2,PF!$A18="P"),PF!P18,IF(AND(COUNT(PF!$A$6:$A$11)&gt;2,PF!$CF15="P"),PF!$CC15,""))</f>
        <v/>
      </c>
      <c r="F15" s="882"/>
      <c r="G15" s="882" t="str">
        <f>IF(AND(PF!$AO$4=2,PF!$A18="P"),PF!O18,IF(AND(COUNT(PF!$A$6:$A$11)&gt;2,PF!$CF15="P"),PF!$CE15,""))</f>
        <v/>
      </c>
      <c r="H15" s="882"/>
      <c r="I15" s="32"/>
      <c r="J15" s="885" t="str">
        <f>IF(PF!W35="NON",AG1,IF(PF!AO4=2,"MATCH 1",IF(PF!AO4&gt;2,_xlfn.XLOOKUP(C18,'LOGOS CLUBS'!$B$2:$B$65,'LOGOS CLUBS'!$C$2:$C$65,C18,0,1),"")))</f>
        <v/>
      </c>
      <c r="K15" s="885"/>
      <c r="L15" s="885"/>
      <c r="M15" s="885"/>
      <c r="N15" s="32"/>
      <c r="O15" s="882" t="str">
        <f>IF(PF!$AO$4=2,"",IF(AND(COUNT(PF!$A$6:$A$11)&gt;2,PF!$CF14="P"),PF!$CC14,""))</f>
        <v/>
      </c>
      <c r="P15" s="882"/>
      <c r="Q15" s="882" t="str">
        <f>IF(PF!$AO$4=2,"",IF(AND(COUNT(PF!$A$6:$A$11)&gt;2,PF!$CF14="P"),PF!$CE14,""))</f>
        <v/>
      </c>
      <c r="R15" s="882"/>
      <c r="S15" s="142"/>
      <c r="T15" s="882" t="str">
        <f>IF(PF!$AO$4=2,"",IF(AND(COUNT(PF!$A$6:$A$11)&gt;2,PF!$CF13="P"),PF!$CC13,""))</f>
        <v/>
      </c>
      <c r="U15" s="882"/>
      <c r="V15" s="882" t="str">
        <f>IF(PF!$AO$4=2,"",IF(AND(COUNT(PF!$A$6:$A$11)&gt;2,PF!$CF13="P"),PF!$CE13,""))</f>
        <v/>
      </c>
      <c r="W15" s="882"/>
      <c r="X15" s="142"/>
      <c r="Y15" s="882" t="str">
        <f>IF(PF!$AO$4=2,"",IF(AND(COUNT(PF!$A$6:$A$11)&gt;2,PF!$CF12="P"),PF!$CC12,""))</f>
        <v/>
      </c>
      <c r="Z15" s="882"/>
      <c r="AA15" s="882" t="str">
        <f>IF(PF!$AO$4=2,"",IF(AND(COUNT(PF!$A$6:$A$11)&gt;2,PF!$CF12="P"),PF!$CE12,""))</f>
        <v/>
      </c>
      <c r="AB15" s="882"/>
      <c r="AC15" s="142"/>
      <c r="AD15" s="882" t="str">
        <f>IF(PF!$AO$4=2,"",IF(AND(COUNT(PF!$A$6:$A$11)&gt;2,PF!$CF11="P"),PF!$CC11,""))</f>
        <v/>
      </c>
      <c r="AE15" s="882"/>
      <c r="AF15" s="882" t="str">
        <f>IF(PF!$AO$4=2,"",IF(AND(COUNT(PF!$A$6:$A$11)&gt;2,PF!$CF11="P"),PF!$CE11,""))</f>
        <v/>
      </c>
      <c r="AG15" s="882"/>
      <c r="AH15" s="32"/>
      <c r="AI15" s="32"/>
      <c r="AJ15" s="32"/>
      <c r="AK15" s="882" t="str" cm="1">
        <f t="array" ref="AK15">IF(PF!$AO$4&lt;2,"",IF(_xlfn.XLOOKUP('T PF'!C17,"Licence n° "&amp;PF!$B$6:$B$11,PF!$AO$6:$AO$11,"",0,1)=1,"",_xlfn.XLOOKUP('T PF'!C17,"Licence n° "&amp;PF!$B$6:$B$11,PF!$V$6:$V$11,"",0,1)))</f>
        <v/>
      </c>
      <c r="AL15" s="882"/>
      <c r="AM15" s="879" t="str" cm="1">
        <f t="array" ref="AM15">IF(PF!$AO$4&lt;2,"",IF(_xlfn.XLOOKUP('T PF'!C17,"Licence n° "&amp;PF!$B$6:$B$11,PF!$AO$6:$AO$11,"",0,1)=1,"",_xlfn.XLOOKUP('T PF'!C17,"Licence n° "&amp;PF!$B$6:$B$11,PF!$T$6:$T$11,"",0,1)))</f>
        <v/>
      </c>
      <c r="AN15" s="879"/>
      <c r="AO15" s="32"/>
      <c r="AP15" s="561" t="str" cm="1">
        <f t="array" ref="AP15">_xlfn.XLOOKUP(C17,"Licence n° "&amp;PF!$B$6:$B$11,PF!$W$6:$W$11,"",0,1)</f>
        <v/>
      </c>
      <c r="AQ15" s="32"/>
      <c r="AS15" s="840" t="s">
        <v>8114</v>
      </c>
      <c r="AT15" s="32"/>
    </row>
    <row r="16" spans="1:48" ht="12.6" customHeight="1" x14ac:dyDescent="0.25">
      <c r="A16" s="32"/>
      <c r="B16" s="32"/>
      <c r="C16" s="143" t="str" cm="1">
        <f t="array" ref="C16">IF(PF!$AO$4=2,_xlfn.XLOOKUP(2,PF!$M$6:$M$11,PF!$K$6:$K$11&amp;" "&amp;PF!$AS$6:$AS$11,"",0,1),IF(COUNT(PF!$A$6:$A$11)&gt;2,PF!$K7&amp;" - "&amp;PF!$AS7," "))</f>
        <v xml:space="preserve"> </v>
      </c>
      <c r="D16" s="32"/>
      <c r="E16" s="144" t="str">
        <f>IF(F16="","","Pts")</f>
        <v/>
      </c>
      <c r="F16" s="880" t="str">
        <f>IF(PF!$AO$4=2,PF!X18,IF(AND(COUNT(PF!$A$6:$A$11)&gt;2,PF!$CF15="P"),PF!$CG15,""))</f>
        <v/>
      </c>
      <c r="G16" s="880"/>
      <c r="H16" s="144" t="str">
        <f>IF(F16="","","Rep.")</f>
        <v/>
      </c>
      <c r="I16" s="32"/>
      <c r="J16" s="885"/>
      <c r="K16" s="885"/>
      <c r="L16" s="885"/>
      <c r="M16" s="885"/>
      <c r="N16" s="32"/>
      <c r="O16" s="144" t="str">
        <f>IF(P16="","","Pts")</f>
        <v/>
      </c>
      <c r="P16" s="880" t="str">
        <f>IF(PF!$AO$4=2,"",IF(AND(COUNT(PF!$A$6:$A$11)&gt;2,PF!$CF14="P"),PF!$CG14,""))</f>
        <v/>
      </c>
      <c r="Q16" s="880"/>
      <c r="R16" s="144" t="str">
        <f>IF(P16="","","Rep.")</f>
        <v/>
      </c>
      <c r="S16" s="50"/>
      <c r="T16" s="144" t="str">
        <f>IF(U16="","","Pts")</f>
        <v/>
      </c>
      <c r="U16" s="880" t="str">
        <f>IF(PF!$AO$4=2,"",IF(AND(COUNT(PF!$A$6:$A$11)&gt;2,PF!$CF13="P"),PF!$CG13,""))</f>
        <v/>
      </c>
      <c r="V16" s="880"/>
      <c r="W16" s="144" t="str">
        <f>IF(U16="","","Rep.")</f>
        <v/>
      </c>
      <c r="X16" s="144"/>
      <c r="Y16" s="144" t="str">
        <f>IF(Z16="","","Pts")</f>
        <v/>
      </c>
      <c r="Z16" s="880" t="str">
        <f>IF(PF!$AO$4=2,"",IF(AND(COUNT(PF!$A$6:$A$11)&gt;2,PF!$CF12="P"),PF!$CG12,""))</f>
        <v/>
      </c>
      <c r="AA16" s="880"/>
      <c r="AB16" s="144" t="str">
        <f>IF(Z16="","","Rep.")</f>
        <v/>
      </c>
      <c r="AC16" s="144"/>
      <c r="AD16" s="144" t="str">
        <f>IF(AE16="","","Pts")</f>
        <v/>
      </c>
      <c r="AE16" s="880" t="str">
        <f>IF(PF!$AO$4=2,"",IF(AND(COUNT(PF!$A$6:$A$11)&gt;2,PF!$CF11="P"),PF!$CG11,""))</f>
        <v/>
      </c>
      <c r="AF16" s="880"/>
      <c r="AG16" s="144" t="str">
        <f>IF(AE16="","","Rep.")</f>
        <v/>
      </c>
      <c r="AH16" s="32"/>
      <c r="AI16" s="32"/>
      <c r="AJ16" s="32"/>
      <c r="AK16" s="145" t="str">
        <f>IF(AL16="","","PM")</f>
        <v/>
      </c>
      <c r="AL16" s="881" t="str" cm="1">
        <f t="array" ref="AL16">IF(SUM(PF!$Q$6:$Q$11)=0,"",IF(PF!$AO$4&gt;1,IF(_xlfn.XLOOKUP('T PF'!C17,"Licence n° "&amp;PF!$B$6:$B$11,PF!$AO$6:$AO$11,"",0,1)=1,"Forfait",_xlfn.XLOOKUP('T PF'!C17,"Licence n° "&amp;PF!$B$37:$B$42,PF!$Q$37:$Q$42,"",0,1)),""))</f>
        <v/>
      </c>
      <c r="AM16" s="881"/>
      <c r="AN16" s="145" t="str">
        <f>IF(AL16="","","MGP")</f>
        <v/>
      </c>
      <c r="AO16" s="32"/>
      <c r="AP16" s="151" t="str">
        <f>IF(OR(PF!$AO$4&lt;2,LEFT(PF!$F$13)="F"),"","Pts Rk")</f>
        <v/>
      </c>
      <c r="AQ16" s="32"/>
      <c r="AS16" s="840"/>
      <c r="AT16" s="32"/>
    </row>
    <row r="17" spans="1:52" ht="12.6" customHeight="1" x14ac:dyDescent="0.25">
      <c r="A17" s="32"/>
      <c r="B17" s="32"/>
      <c r="C17" s="147" t="str">
        <f>IF(PF!AO4=2,"Licence n° "&amp;_xlfn.XLOOKUP(2,PF!M6:M11,PF!B6:B11,"",0,1),IF(COUNT(PF!A6:A11)&gt;2,"Licence n° "&amp;PF!B7,"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IF(OR(PF!$AO$4&lt;2,LEFT(PF!$F$13)="F"),"","Bonus")</f>
        <v/>
      </c>
      <c r="AQ17" s="32"/>
      <c r="AS17" s="846" t="s">
        <v>8115</v>
      </c>
      <c r="AT17" s="32"/>
      <c r="AZ17" s="241"/>
    </row>
    <row r="18" spans="1:52" ht="50.1" customHeight="1" x14ac:dyDescent="0.25">
      <c r="A18" s="32"/>
      <c r="B18" s="32"/>
      <c r="C18" s="149" t="str">
        <f>IF(PF!AO4=2,_xlfn.XLOOKUP(2,PF!M6:M11,PF!G6:G11,"",0,1),IF(COUNT(PF!A6:A11)&gt;2,PF!G7," "))</f>
        <v xml:space="preserve"> </v>
      </c>
      <c r="D18" s="32"/>
      <c r="E18" s="883" t="str">
        <f>IF(F16="","",IF(F16&gt;0,E15/G15,"/"))</f>
        <v/>
      </c>
      <c r="F18" s="883"/>
      <c r="G18" s="884" t="str">
        <f>IF(AND(PF!$AO$4=2,PF!$A18="P"),PF!Q18,IF(AND(COUNT(PF!$A$6:$A$11)&gt;2,PF!$CF15="P"),PF!$CD15,""))</f>
        <v/>
      </c>
      <c r="H18" s="884"/>
      <c r="I18" s="32"/>
      <c r="J18" s="885"/>
      <c r="K18" s="885"/>
      <c r="L18" s="885"/>
      <c r="M18" s="885"/>
      <c r="N18" s="32"/>
      <c r="O18" s="883" t="str">
        <f>IF(P16="","",IF(P16&gt;0,O15/Q15,"/"))</f>
        <v/>
      </c>
      <c r="P18" s="883"/>
      <c r="Q18" s="884" t="str">
        <f>IF(PF!$AO$4=2,"",IF(AND(COUNT(PF!$A$6:$A$11)&gt;2,PF!$CF14="P"),PF!$CD14,""))</f>
        <v/>
      </c>
      <c r="R18" s="884"/>
      <c r="S18" s="32"/>
      <c r="T18" s="883" t="str">
        <f>IF(U16="","",IF(U16&gt;0,T15/V15,"/"))</f>
        <v/>
      </c>
      <c r="U18" s="883"/>
      <c r="V18" s="884" t="str">
        <f>IF(PF!$AO$4=2,"",IF(AND(COUNT(PF!$A$6:$A$11)&gt;2,PF!$CF13="P"),PF!$CD13,""))</f>
        <v/>
      </c>
      <c r="W18" s="884"/>
      <c r="X18" s="32"/>
      <c r="Y18" s="883" t="str">
        <f>IF(Z16="","",IF(Z16&gt;0,Y15/AA15,"/"))</f>
        <v/>
      </c>
      <c r="Z18" s="883"/>
      <c r="AA18" s="884" t="str">
        <f>IF(PF!$AO$4=2,"",IF(AND(COUNT(PF!$A$6:$A$11)&gt;2,PF!$CF12="P"),PF!$CD12,""))</f>
        <v/>
      </c>
      <c r="AB18" s="884"/>
      <c r="AC18" s="32"/>
      <c r="AD18" s="883" t="str">
        <f>IF(AE16="","",IF(AE16&gt;0,AD15/AF15,"/"))</f>
        <v/>
      </c>
      <c r="AE18" s="883"/>
      <c r="AF18" s="884" t="str">
        <f>IF(PF!$AO$4=2,"",IF(AND(COUNT(PF!$A$6:$A$11)&gt;2,PF!$CF11="P"),PF!$CD11,""))</f>
        <v/>
      </c>
      <c r="AG18" s="884"/>
      <c r="AH18" s="32"/>
      <c r="AI18" s="32"/>
      <c r="AJ18" s="32"/>
      <c r="AK18" s="883" t="str" cm="1">
        <f t="array" ref="AK18">IF(PF!$AO$4&lt;2,"",IF(_xlfn.XLOOKUP('T PF'!C17,"Licence n° "&amp;PF!$B$6:$B$11,PF!$AO$6:$AO$11,"",0,1)=1,"",_xlfn.XLOOKUP('T PF'!C17,"Licence n° "&amp;PF!$B$6:$B$11,PF!$U$6:$U$11,"",0,1)))</f>
        <v/>
      </c>
      <c r="AL18" s="883"/>
      <c r="AM18" s="884" t="str" cm="1">
        <f t="array" ref="AM18">IF(PF!$AO$4&lt;2,"",IF(_xlfn.XLOOKUP('T PF'!C17,"Licence n° "&amp;PF!$B$6:$B$11,PF!$AO$6:$AO$11,"",0,1)=1,"",_xlfn.XLOOKUP('T PF'!C17,"Licence n° "&amp;PF!$B$6:$B$11,PF!$S$6:$S$11,"",0,1)))</f>
        <v/>
      </c>
      <c r="AN18" s="884"/>
      <c r="AO18" s="32"/>
      <c r="AP18" s="562" t="str" cm="1">
        <f t="array" ref="AP18">_xlfn.XLOOKUP(C17,"Licence n° "&amp;PF!$B$6:$B$11,PF!$X$6:$X$11,"",0,1)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IF(PF!AO4=2,C10,IF(COUNT(PF!A6:A11)&gt;2,CONCATENATE(PF!C8," ",LEFT(PF!E8),"."),""))</f>
        <v/>
      </c>
      <c r="D20" s="32"/>
      <c r="E20" s="882" t="str">
        <f>IF(PF!$AO$4=2,"",IF(AND(COUNT(PF!$A$6:$A$11)&gt;2,PF!$CF20="P"),PF!$CC20,""))</f>
        <v/>
      </c>
      <c r="F20" s="882"/>
      <c r="G20" s="882" t="str">
        <f>IF(PF!$AO$4=2,"",IF(AND(COUNT(PF!$A$6:$A$11)&gt;2,PF!$CF20="P"),PF!$CE20,""))</f>
        <v/>
      </c>
      <c r="H20" s="882"/>
      <c r="I20" s="142"/>
      <c r="J20" s="882" t="str">
        <f>IF(PF!$AO$4=2,"",IF(AND(COUNT(PF!$A$6:$A$11)&gt;2,PF!$CF19="P"),PF!$CC19,""))</f>
        <v/>
      </c>
      <c r="K20" s="882"/>
      <c r="L20" s="882" t="str">
        <f>IF(PF!$AO$4=2,"",IF(AND(COUNT(PF!$A$6:$A$11)&gt;2,PF!$CF19="P"),PF!$CE19,""))</f>
        <v/>
      </c>
      <c r="M20" s="882"/>
      <c r="N20" s="32"/>
      <c r="O20" s="885" t="str">
        <f>IF(PF!W35="NON",AG1,IF(PF!AO4=2,"MATCH 2",IF(PF!AO4&gt;2,_xlfn.XLOOKUP(C23,'LOGOS CLUBS'!$B$2:$B$65,'LOGOS CLUBS'!$C$2:$C$65,C23,0,1),"")))</f>
        <v/>
      </c>
      <c r="P20" s="885"/>
      <c r="Q20" s="885"/>
      <c r="R20" s="885"/>
      <c r="S20" s="32"/>
      <c r="T20" s="882" t="str">
        <f>IF(AND(PF!$AO$4=2,PF!$A19="P"),PF!P19,IF(AND(COUNT(PF!$A$6:$A$11)&gt;2,PF!$CF18="P"),PF!$CC18,""))</f>
        <v/>
      </c>
      <c r="U20" s="882"/>
      <c r="V20" s="882" t="str">
        <f>IF(AND(PF!$AO$4=2,PF!$A19="P"),PF!O19,IF(AND(COUNT(PF!$A$6:$A$11)&gt;2,PF!$CF18="P"),PF!$CE18,""))</f>
        <v/>
      </c>
      <c r="W20" s="882"/>
      <c r="X20" s="142"/>
      <c r="Y20" s="882" t="str">
        <f>IF(PF!$AO$4=2,"",IF(AND(COUNT(PF!$A$6:$A$11)&gt;2,PF!$CF17="P"),PF!$CC17,""))</f>
        <v/>
      </c>
      <c r="Z20" s="882"/>
      <c r="AA20" s="882" t="str">
        <f>IF(PF!$AO$4=2,"",IF(AND(COUNT(PF!$A$6:$A$11)&gt;2,PF!$CF17="P"),PF!$CE17,""))</f>
        <v/>
      </c>
      <c r="AB20" s="882"/>
      <c r="AC20" s="142"/>
      <c r="AD20" s="882" t="str">
        <f>IF(PF!$AO$4=2,"",IF(AND(COUNT(PF!$A$6:$A$11)&gt;2,PF!$CF16="P"),PF!$CC16,""))</f>
        <v/>
      </c>
      <c r="AE20" s="882"/>
      <c r="AF20" s="882" t="str">
        <f>IF(PF!$AO$4=2,"",IF(AND(COUNT(PF!$A$6:$A$11)&gt;2,PF!$CF16="P"),PF!$CE16,""))</f>
        <v/>
      </c>
      <c r="AG20" s="882"/>
      <c r="AH20" s="32"/>
      <c r="AI20" s="32"/>
      <c r="AJ20" s="32"/>
      <c r="AK20" s="882" t="str" cm="1">
        <f t="array" ref="AK20">IF(PF!$AO$4&lt;3,"",IF(_xlfn.XLOOKUP('T PF'!C22,"Licence n° "&amp;PF!$B$6:$B$11,PF!$AO$6:$AO$11,"",0,1)=1,"",_xlfn.XLOOKUP('T PF'!C22,"Licence n° "&amp;PF!$B$6:$B$11,PF!$V$6:$V$11,"",0,1)))</f>
        <v/>
      </c>
      <c r="AL20" s="882"/>
      <c r="AM20" s="879" t="str" cm="1">
        <f t="array" ref="AM20">IF(PF!$AO$4&lt;3,"",IF(_xlfn.XLOOKUP('T PF'!C22,"Licence n° "&amp;PF!$B$6:$B$11,PF!$AO$6:$AO$11,"",0,1)=1,"",_xlfn.XLOOKUP('T PF'!C22,"Licence n° "&amp;PF!$B$6:$B$11,PF!$T$6:$T$11,"",0,1)))</f>
        <v/>
      </c>
      <c r="AN20" s="879"/>
      <c r="AO20" s="32"/>
      <c r="AP20" s="561" t="str" cm="1">
        <f t="array" ref="AP20">IF(PF!$AO$4&lt;3,"",_xlfn.XLOOKUP(C22,"Licence n° "&amp;PF!$B$6:$B$11,PF!$W$6:$W$11,"",0,1))</f>
        <v/>
      </c>
      <c r="AQ20" s="32"/>
      <c r="AS20" s="847" t="s">
        <v>8116</v>
      </c>
      <c r="AT20" s="32"/>
      <c r="AZ20" s="241"/>
    </row>
    <row r="21" spans="1:52" ht="12.6" customHeight="1" x14ac:dyDescent="0.25">
      <c r="A21" s="32"/>
      <c r="B21" s="32"/>
      <c r="C21" s="143" t="str" cm="1">
        <f t="array" ref="C21">IF(PF!$AO$4=2,_xlfn.XLOOKUP(1,PF!$M$6:$M$11,PF!$K$6:$K$11&amp;" "&amp;PF!$AS$6:$AS$11,"",0,1),IF(COUNT(PF!$A$6:$A$11)&gt;2,PF!$K8&amp;" - "&amp;PF!$AS8," "))</f>
        <v xml:space="preserve"> </v>
      </c>
      <c r="D21" s="32"/>
      <c r="E21" s="144" t="str">
        <f>IF(F21="","","Pts")</f>
        <v/>
      </c>
      <c r="F21" s="880" t="str">
        <f>IF(PF!$AO$4=2,"",IF(AND(COUNT(PF!$A$6:$A$11)&gt;2,PF!$CF20="P"),PF!$CG20,""))</f>
        <v/>
      </c>
      <c r="G21" s="880"/>
      <c r="H21" s="144" t="str">
        <f>IF(F21="","","Rep.")</f>
        <v/>
      </c>
      <c r="I21" s="144"/>
      <c r="J21" s="144" t="str">
        <f>IF(K21="","","Pts")</f>
        <v/>
      </c>
      <c r="K21" s="880" t="str">
        <f>IF(PF!$AO$4=2,"",IF(AND(COUNT(PF!$A$6:$A$11)&gt;2,PF!$CF19="P"),PF!$CG19,""))</f>
        <v/>
      </c>
      <c r="L21" s="880"/>
      <c r="M21" s="144" t="str">
        <f>IF(K21="","","Rep.")</f>
        <v/>
      </c>
      <c r="N21" s="32"/>
      <c r="O21" s="885"/>
      <c r="P21" s="885"/>
      <c r="Q21" s="885"/>
      <c r="R21" s="885"/>
      <c r="S21" s="32"/>
      <c r="T21" s="144" t="str">
        <f>IF(U21="","","Pts")</f>
        <v/>
      </c>
      <c r="U21" s="880" t="str">
        <f>IF(PF!$AO$4=2,PF!X19,IF(AND(COUNT(PF!$A$6:$A$11)&gt;2,PF!$CF18="P"),PF!$CG18,""))</f>
        <v/>
      </c>
      <c r="V21" s="880"/>
      <c r="W21" s="144" t="str">
        <f>IF(U21="","","Rep.")</f>
        <v/>
      </c>
      <c r="X21" s="144"/>
      <c r="Y21" s="144" t="str">
        <f>IF(Z21="","","Pts")</f>
        <v/>
      </c>
      <c r="Z21" s="880" t="str">
        <f>IF(PF!$AO$4=2,"",IF(AND(COUNT(PF!$A$6:$A$11)&gt;2,PF!$CF17="P"),PF!$CG17,""))</f>
        <v/>
      </c>
      <c r="AA21" s="880"/>
      <c r="AB21" s="144" t="str">
        <f>IF(Z21="","","Rep.")</f>
        <v/>
      </c>
      <c r="AC21" s="144"/>
      <c r="AD21" s="144" t="str">
        <f>IF(AE21="","","Pts")</f>
        <v/>
      </c>
      <c r="AE21" s="880" t="str">
        <f>IF(PF!$AO$4=2,"",IF(AND(COUNT(PF!$A$6:$A$11)&gt;2,PF!$CF16="P"),PF!$CG16,""))</f>
        <v/>
      </c>
      <c r="AF21" s="880"/>
      <c r="AG21" s="144" t="str">
        <f>IF(AE21="","","Rep.")</f>
        <v/>
      </c>
      <c r="AH21" s="32"/>
      <c r="AI21" s="32"/>
      <c r="AJ21" s="32"/>
      <c r="AK21" s="145" t="str">
        <f>IF(AL21="","","PM")</f>
        <v/>
      </c>
      <c r="AL21" s="881" t="str" cm="1">
        <f t="array" ref="AL21">IF(SUM(PF!$Q$6:$Q$11)=0,"",IF(PF!$AO$4&gt;2,IF(_xlfn.XLOOKUP('T PF'!C22,"Licence n° "&amp;PF!$B$6:$B$11,PF!$AO$6:$AO$11,"",0,1)=1,"Forfait",_xlfn.XLOOKUP('T PF'!C22,"Licence n° "&amp;PF!$B$37:$B$42,PF!$Q$37:$Q$42,"",0,1)),""))</f>
        <v/>
      </c>
      <c r="AM21" s="881"/>
      <c r="AN21" s="145" t="str">
        <f>IF(AL21="","","MGP")</f>
        <v/>
      </c>
      <c r="AO21" s="32"/>
      <c r="AP21" s="151" t="str">
        <f>IF(OR(PF!$AO$4&lt;3,LEFT(PF!$F$13)="F"),"","Pts Rk")</f>
        <v/>
      </c>
      <c r="AQ21" s="32"/>
      <c r="AS21" s="847"/>
      <c r="AT21" s="32"/>
    </row>
    <row r="22" spans="1:52" ht="12.6" customHeight="1" x14ac:dyDescent="0.25">
      <c r="A22" s="32"/>
      <c r="B22" s="32"/>
      <c r="C22" s="147" t="str">
        <f>IF(PF!AO4=2,C12,IF(COUNT(PF!A6:A11)&gt;2,"Licence n° "&amp;PF!B8,"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IF(OR(PF!$AO$4&lt;3,LEFT(PF!$F$13)="F"),"","Bonus")</f>
        <v/>
      </c>
      <c r="AQ22" s="32"/>
      <c r="AS22" s="848" t="s">
        <v>8117</v>
      </c>
      <c r="AT22" s="32"/>
    </row>
    <row r="23" spans="1:52" ht="50.1" customHeight="1" x14ac:dyDescent="0.25">
      <c r="A23" s="32"/>
      <c r="B23" s="32"/>
      <c r="C23" s="149" t="str">
        <f>IF(PF!AO4=2,C13,IF(COUNT(PF!A6:A11)&gt;2,PF!G8," "))</f>
        <v xml:space="preserve"> </v>
      </c>
      <c r="D23" s="32"/>
      <c r="E23" s="883" t="str">
        <f>IF(F21="","",IF(F21&gt;0,E20/G20,"/"))</f>
        <v/>
      </c>
      <c r="F23" s="883"/>
      <c r="G23" s="884" t="str">
        <f>IF(PF!$AO$4=2,"",IF(AND(COUNT(PF!$A$6:$A$11)&gt;2,PF!$CF20="P"),PF!$CD20,""))</f>
        <v/>
      </c>
      <c r="H23" s="884"/>
      <c r="I23" s="32"/>
      <c r="J23" s="883" t="str">
        <f>IF(K21="","",IF(K21&gt;0,J20/L20,"/"))</f>
        <v/>
      </c>
      <c r="K23" s="883"/>
      <c r="L23" s="884" t="str">
        <f>IF(PF!$AO$4=2,"",IF(AND(COUNT(PF!$A$6:$A$11)&gt;2,PF!$CF19="P"),PF!$CD19,""))</f>
        <v/>
      </c>
      <c r="M23" s="884"/>
      <c r="N23" s="32"/>
      <c r="O23" s="885"/>
      <c r="P23" s="885"/>
      <c r="Q23" s="885"/>
      <c r="R23" s="885"/>
      <c r="S23" s="32"/>
      <c r="T23" s="883" t="str">
        <f>IF(U21="","",IF(U21&gt;0,T20/V20,"/"))</f>
        <v/>
      </c>
      <c r="U23" s="883"/>
      <c r="V23" s="884" t="str">
        <f>IF(AND(PF!$AO$4=2,PF!$A19="P"),PF!Q19,IF(AND(COUNT(PF!$A$6:$A$11)&gt;2,PF!$CF18="P"),PF!$CD18,""))</f>
        <v/>
      </c>
      <c r="W23" s="884"/>
      <c r="X23" s="32"/>
      <c r="Y23" s="883" t="str">
        <f>IF(Z21="","",IF(Z21&gt;0,Y20/AA20,"/"))</f>
        <v/>
      </c>
      <c r="Z23" s="883"/>
      <c r="AA23" s="884" t="str">
        <f>IF(PF!$AO$4=2,"",IF(AND(COUNT(PF!$A$6:$A$11)&gt;2,PF!$CF17="P"),PF!$CD17,""))</f>
        <v/>
      </c>
      <c r="AB23" s="884"/>
      <c r="AC23" s="32"/>
      <c r="AD23" s="883" t="str">
        <f>IF(AE21="","",IF(AE21&gt;0,AD20/AF20,"/"))</f>
        <v/>
      </c>
      <c r="AE23" s="883"/>
      <c r="AF23" s="884" t="str">
        <f>IF(PF!$AO$4=2,"",IF(AND(COUNT(PF!$A$6:$A$11)&gt;2,PF!$CF16="P"),PF!$CD16,""))</f>
        <v/>
      </c>
      <c r="AG23" s="884"/>
      <c r="AH23" s="32"/>
      <c r="AI23" s="32"/>
      <c r="AJ23" s="32"/>
      <c r="AK23" s="883" t="str" cm="1">
        <f t="array" ref="AK23">IF(PF!$AO$4&lt;3,"",IF(_xlfn.XLOOKUP('T PF'!C22,"Licence n° "&amp;PF!$B$6:$B$11,PF!$AO$6:$AO$11,"",0,1)=1,"",_xlfn.XLOOKUP('T PF'!C22,"Licence n° "&amp;PF!$B$6:$B$11,PF!$U$6:$U$11,"",0,1)))</f>
        <v/>
      </c>
      <c r="AL23" s="883"/>
      <c r="AM23" s="884" t="str" cm="1">
        <f t="array" ref="AM23">IF(PF!$AO$4&lt;3,"",IF(_xlfn.XLOOKUP('T PF'!C22,"Licence n° "&amp;PF!$B$6:$B$11,PF!$AO$6:$AO$11,"",0,1)=1,"",_xlfn.XLOOKUP('T PF'!C22,"Licence n° "&amp;PF!$B$6:$B$11,PF!$S$6:$S$11,"",0,1)))</f>
        <v/>
      </c>
      <c r="AN23" s="884"/>
      <c r="AO23" s="32"/>
      <c r="AP23" s="562" t="str" cm="1">
        <f t="array" ref="AP23">IF(PF!$AO$4&lt;3,"",_xlfn.XLOOKUP(C22,"Licence n° "&amp;PF!$B$6:$B$11,PF!$X$6:$X$11,"",0,1))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IF(PF!AO4=2,C15,IF(COUNT(PF!A6:A11)&gt;3,CONCATENATE(PF!C9," ",LEFT(PF!E9),"."),""))</f>
        <v/>
      </c>
      <c r="D25" s="32"/>
      <c r="E25" s="882" t="str">
        <f>IF(PF!$AO$4=2,"",IF(AND(COUNT(PF!$A$6:$A$11)&gt;2,PF!$CF25="P"),PF!$CC25,""))</f>
        <v/>
      </c>
      <c r="F25" s="882"/>
      <c r="G25" s="882" t="str">
        <f>IF(PF!$AO$4=2,"",IF(AND(COUNT(PF!$A$6:$A$11)&gt;2,PF!$CF25="P"),PF!$CE25,""))</f>
        <v/>
      </c>
      <c r="H25" s="882"/>
      <c r="I25" s="142"/>
      <c r="J25" s="882" t="str">
        <f>IF(PF!$AO$4=2,"",IF(AND(COUNT(PF!$A$6:$A$11)&gt;2,PF!$CF24="P"),PF!$CC24,""))</f>
        <v/>
      </c>
      <c r="K25" s="882"/>
      <c r="L25" s="882" t="str">
        <f>IF(PF!$AO$4=2,"",IF(AND(COUNT(PF!$A$6:$A$11)&gt;2,PF!$CF24="P"),PF!$CE24,""))</f>
        <v/>
      </c>
      <c r="M25" s="882"/>
      <c r="N25" s="142"/>
      <c r="O25" s="882" t="str">
        <f>IF(AND(PF!$AO$4=2,PF!$A19="P"),PF!N19,IF(AND(COUNT(PF!$A$6:$A$11)&gt;2,PF!$CF23="P"),PF!$CC23,""))</f>
        <v/>
      </c>
      <c r="P25" s="882"/>
      <c r="Q25" s="882" t="str">
        <f>IF(AND(PF!$AO$4=2,PF!$A19="P"),PF!O19,IF(AND(COUNT(PF!$A$6:$A$11)&gt;2,PF!$CF23="P"),PF!$CE23,""))</f>
        <v/>
      </c>
      <c r="R25" s="882"/>
      <c r="S25" s="32"/>
      <c r="T25" s="886" t="str">
        <f>IF(PF!W35="NON",AG1,IF(OR(PF!AO4=2,COUNT(PF!A6:A11)&gt;3),_xlfn.XLOOKUP('T PF'!C28,'LOGOS CLUBS'!$B$2:$B$65,'LOGOS CLUBS'!$C$2:$C$65,C28,0,1),""))</f>
        <v/>
      </c>
      <c r="U25" s="886"/>
      <c r="V25" s="886"/>
      <c r="W25" s="886"/>
      <c r="X25" s="32"/>
      <c r="Y25" s="882" t="str">
        <f>IF(PF!$AO$4=2,"",IF(AND(COUNT(PF!$A$6:$A$11)&gt;2,PF!$CF22="P"),PF!$CC22,""))</f>
        <v/>
      </c>
      <c r="Z25" s="882"/>
      <c r="AA25" s="882" t="str">
        <f>IF(PF!$AO$4=2,"",IF(AND(COUNT(PF!$A$6:$A$11)&gt;2,PF!$CF22="P"),PF!$CE22,""))</f>
        <v/>
      </c>
      <c r="AB25" s="882"/>
      <c r="AC25" s="142"/>
      <c r="AD25" s="882" t="str">
        <f>IF(PF!$AO$4=2,"",IF(AND(COUNT(PF!$A$6:$A$11)&gt;2,PF!$CF21="P"),PF!$CC21,""))</f>
        <v/>
      </c>
      <c r="AE25" s="882"/>
      <c r="AF25" s="882" t="str">
        <f>IF(PF!$AO$4=2,"",IF(AND(COUNT(PF!$A$6:$A$11)&gt;2,PF!$CF21="P"),PF!$CE21,""))</f>
        <v/>
      </c>
      <c r="AG25" s="882"/>
      <c r="AH25" s="32"/>
      <c r="AI25" s="32"/>
      <c r="AJ25" s="32"/>
      <c r="AK25" s="882" t="str" cm="1">
        <f t="array" ref="AK25">IF(PF!$AO$4&lt;3,"",IF(_xlfn.XLOOKUP('T PF'!C27,"Licence n° "&amp;PF!$B$6:$B$11,PF!$AO$6:$AO$11,"",0,1)=1,"",_xlfn.XLOOKUP('T PF'!C27,"Licence n° "&amp;PF!$B$6:$B$11,PF!$V$6:$V$11,"",0,1)))</f>
        <v/>
      </c>
      <c r="AL25" s="882"/>
      <c r="AM25" s="879" t="str" cm="1">
        <f t="array" ref="AM25">IF(PF!$AO$4&lt;3,"",IF(_xlfn.XLOOKUP('T PF'!C27,"Licence n° "&amp;PF!$B$6:$B$11,PF!$AO$6:$AO$11,"",0,1)=1,"",_xlfn.XLOOKUP('T PF'!C27,"Licence n° "&amp;PF!$B$6:$B$11,PF!$T$6:$T$11,"",0,1)))</f>
        <v/>
      </c>
      <c r="AN25" s="879"/>
      <c r="AO25" s="32"/>
      <c r="AP25" s="561" t="str" cm="1">
        <f t="array" ref="AP25">IF(OR(PF!AO4&lt;3,COUNT(PF!$A$6:$A$11&lt;3)),"",_xlfn.XLOOKUP(C27,"Licence n° "&amp;PF!$B$6:$B$11,PF!$W$6:$W$11,"",0,1))</f>
        <v/>
      </c>
      <c r="AQ25" s="32"/>
      <c r="AS25" s="849" t="s">
        <v>8118</v>
      </c>
      <c r="AT25" s="32"/>
    </row>
    <row r="26" spans="1:52" ht="12.6" customHeight="1" x14ac:dyDescent="0.25">
      <c r="A26" s="32"/>
      <c r="B26" s="32"/>
      <c r="C26" s="143" t="str" cm="1">
        <f t="array" ref="C26">IF(PF!$AO$4=2,_xlfn.XLOOKUP(2,PF!$M$6:$M$11,PF!$K$6:$K$11&amp;" "&amp;PF!$AS$6:$AS$11,"",0,1),IF(COUNT(PF!$A$6:$A$11)&gt;3,PF!$K9&amp;" - "&amp;PF!$AS9," "))</f>
        <v xml:space="preserve"> </v>
      </c>
      <c r="D26" s="32"/>
      <c r="E26" s="144" t="str">
        <f>IF(F26="","","Pts")</f>
        <v/>
      </c>
      <c r="F26" s="880" t="str">
        <f>IF(PF!$AO$4=2,"",IF(AND(COUNT(PF!$A$6:$A$11)&gt;2,PF!$CF25="P"),PF!$CG25,""))</f>
        <v/>
      </c>
      <c r="G26" s="880"/>
      <c r="H26" s="144" t="str">
        <f>IF(F26="","","Rep.")</f>
        <v/>
      </c>
      <c r="I26" s="144"/>
      <c r="J26" s="144" t="str">
        <f>IF(K26="","","Pts")</f>
        <v/>
      </c>
      <c r="K26" s="880" t="str">
        <f>IF(PF!$AO$4=2,"",IF(AND(COUNT(PF!$A$6:$A$11)&gt;2,PF!$CF24="P"),PF!$CG24,""))</f>
        <v/>
      </c>
      <c r="L26" s="880"/>
      <c r="M26" s="144" t="str">
        <f>IF(K26="","","Rep.")</f>
        <v/>
      </c>
      <c r="N26" s="144"/>
      <c r="O26" s="144" t="str">
        <f>IF(P26="","","Pts")</f>
        <v/>
      </c>
      <c r="P26" s="880" t="str">
        <f>IF(PF!$AO$4=2,PF!D19,IF(AND(COUNT(PF!$A$6:$A$11)&gt;2,PF!$CF23="P"),PF!$CG23,""))</f>
        <v/>
      </c>
      <c r="Q26" s="880"/>
      <c r="R26" s="144" t="str">
        <f>IF(P26="","","Rep.")</f>
        <v/>
      </c>
      <c r="S26" s="32"/>
      <c r="T26" s="886"/>
      <c r="U26" s="886"/>
      <c r="V26" s="886"/>
      <c r="W26" s="886"/>
      <c r="X26" s="32"/>
      <c r="Y26" s="144" t="str">
        <f>IF(Z26="","","Pts")</f>
        <v/>
      </c>
      <c r="Z26" s="880" t="str">
        <f>IF(PF!$AO$4=2,"",IF(AND(COUNT(PF!$A$6:$A$11)&gt;2,PF!$CF22="P"),PF!$CG22,""))</f>
        <v/>
      </c>
      <c r="AA26" s="880"/>
      <c r="AB26" s="144" t="str">
        <f>IF(Z26="","","Rep.")</f>
        <v/>
      </c>
      <c r="AC26" s="144"/>
      <c r="AD26" s="144" t="str">
        <f>IF(AE26="","","Pts")</f>
        <v/>
      </c>
      <c r="AE26" s="880" t="str">
        <f>IF(PF!$AO$4=2,"",IF(AND(COUNT(PF!$A$6:$A$11)&gt;2,PF!$CF21="P"),PF!$CG21,""))</f>
        <v/>
      </c>
      <c r="AF26" s="880"/>
      <c r="AG26" s="144" t="str">
        <f>IF(AE26="","","Rep.")</f>
        <v/>
      </c>
      <c r="AH26" s="32"/>
      <c r="AI26" s="32"/>
      <c r="AJ26" s="32"/>
      <c r="AK26" s="145" t="str">
        <f>IF(AL26="","","PM")</f>
        <v/>
      </c>
      <c r="AL26" s="881" t="str" cm="1">
        <f t="array" ref="AL26">IF(SUM(PF!$Q$6:$Q$11)=0,"",IF(PF!$AO$4&gt;2,IF(_xlfn.XLOOKUP('T PF'!C27,"Licence n° "&amp;PF!$B$6:$B$11,PF!$AO$6:$AO$11,"",0,1)=1,"Forfait",_xlfn.XLOOKUP('T PF'!C27,"Licence n° "&amp;PF!$B$37:$B$42,PF!$Q$37:$Q$42,"",0,1)),""))</f>
        <v/>
      </c>
      <c r="AM26" s="881"/>
      <c r="AN26" s="145" t="str">
        <f>IF(AL26="","","MGP")</f>
        <v/>
      </c>
      <c r="AO26" s="32"/>
      <c r="AP26" s="151" t="str">
        <f>IF(AND(COUNT(PF!$A$6:$A$11)&gt;3,PF!$AO$4&gt;2,LEFT(PF!$F$13)="P"),"Pts Rk","")</f>
        <v/>
      </c>
      <c r="AQ26" s="32"/>
      <c r="AS26" s="849"/>
      <c r="AT26" s="32"/>
    </row>
    <row r="27" spans="1:52" ht="12.6" customHeight="1" x14ac:dyDescent="0.25">
      <c r="A27" s="32"/>
      <c r="B27" s="32"/>
      <c r="C27" s="147" t="str">
        <f>IF(PF!AO4=2,C17,IF(COUNT(PF!A6:A11)&gt;3,"Licence n° "&amp;PF!B9,"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IF(AND(COUNT(PF!$A$6:$A$11)&gt;3,PF!$AO$4&gt;2,LEFT(PF!$F$13)="P"),"Bonus","")</f>
        <v/>
      </c>
      <c r="AQ27" s="32"/>
      <c r="AS27" s="829" t="s">
        <v>8119</v>
      </c>
      <c r="AT27" s="32"/>
    </row>
    <row r="28" spans="1:52" ht="50.1" customHeight="1" x14ac:dyDescent="0.25">
      <c r="A28" s="32"/>
      <c r="B28" s="32"/>
      <c r="C28" s="149" t="str">
        <f>IF(PF!AO4=2,C18,IF(COUNT(PF!A6:A11)&gt;3,PF!G9," "))</f>
        <v xml:space="preserve"> </v>
      </c>
      <c r="D28" s="32"/>
      <c r="E28" s="883" t="str">
        <f>IF(F26="","",IF(F26&gt;0,E25/G25,"/"))</f>
        <v/>
      </c>
      <c r="F28" s="883"/>
      <c r="G28" s="884" t="str">
        <f>IF(PF!$AO$4=2,"",IF(AND(COUNT(PF!$A$6:$A$11)&gt;2,PF!$CF25="P"),PF!$CD25,""))</f>
        <v/>
      </c>
      <c r="H28" s="884"/>
      <c r="I28" s="32"/>
      <c r="J28" s="883" t="str">
        <f>IF(K26="","",IF(K26&gt;0,J25/L25,"/"))</f>
        <v/>
      </c>
      <c r="K28" s="883"/>
      <c r="L28" s="884" t="str">
        <f>IF(PF!$AO$4=2,"",IF(AND(COUNT(PF!$A$6:$A$11)&gt;2,PF!$CF24="P"),PF!$CD24,""))</f>
        <v/>
      </c>
      <c r="M28" s="884"/>
      <c r="N28" s="32"/>
      <c r="O28" s="883" t="str">
        <f>IF(P26="","",IF(P26&gt;0,O25/Q25,"/"))</f>
        <v/>
      </c>
      <c r="P28" s="883"/>
      <c r="Q28" s="884" t="str">
        <f>IF(AND(PF!$AO$4=2,PF!$A19="P"),PF!M19,IF(AND(COUNT(PF!$A$6:$A$11)&gt;2,PF!$CF23="P"),PF!$CD23,""))</f>
        <v/>
      </c>
      <c r="R28" s="884"/>
      <c r="S28" s="32"/>
      <c r="T28" s="886"/>
      <c r="U28" s="886"/>
      <c r="V28" s="886"/>
      <c r="W28" s="886"/>
      <c r="X28" s="32"/>
      <c r="Y28" s="883" t="str">
        <f>IF(Z26="","",IF(Z26&gt;0,Y25/AA25,"/"))</f>
        <v/>
      </c>
      <c r="Z28" s="883"/>
      <c r="AA28" s="884" t="str">
        <f>IF(PF!$AO$4=2,"",IF(AND(COUNT(PF!$A$6:$A$11)&gt;2,PF!$CF22="P"),PF!$CD22,""))</f>
        <v/>
      </c>
      <c r="AB28" s="884"/>
      <c r="AC28" s="32"/>
      <c r="AD28" s="883" t="str">
        <f>IF(AE26="","",IF(AE26&gt;0,AD25/AF25,"/"))</f>
        <v/>
      </c>
      <c r="AE28" s="883"/>
      <c r="AF28" s="884" t="str">
        <f>IF(PF!$AO$4=2,"",IF(AND(COUNT(PF!$A$6:$A$11)&gt;2,PF!$CF21="P"),PF!$CD21,""))</f>
        <v/>
      </c>
      <c r="AG28" s="884"/>
      <c r="AH28" s="32"/>
      <c r="AI28" s="32"/>
      <c r="AJ28" s="32"/>
      <c r="AK28" s="883" t="str" cm="1">
        <f t="array" ref="AK28">IF(PF!$AO$4&lt;3,"",IF(_xlfn.XLOOKUP('T PF'!C27,"Licence n° "&amp;PF!$B$6:$B$11,PF!$AO$6:$AO$11,"",0,1)=1,"",_xlfn.XLOOKUP('T PF'!C27,"Licence n° "&amp;PF!$B$6:$B$11,PF!$U$6:$U$11,"",0,1)))</f>
        <v/>
      </c>
      <c r="AL28" s="883"/>
      <c r="AM28" s="884" t="str" cm="1">
        <f t="array" ref="AM28">IF(PF!$AO$4&lt;3,"",IF(_xlfn.XLOOKUP('T PF'!C27,"Licence n° "&amp;PF!$B$6:$B$11,PF!$AO$6:$AO$11,"",0,1)=1,"",_xlfn.XLOOKUP('T PF'!C27,"Licence n° "&amp;PF!$B$6:$B$11,PF!$S$6:$S$11,"",0,1)))</f>
        <v/>
      </c>
      <c r="AN28" s="884"/>
      <c r="AO28" s="32"/>
      <c r="AP28" s="562" t="str" cm="1">
        <f t="array" ref="AP28">IF(OR(PF!AO4&lt;3,COUNT(PF!$A$6:$A$11)&lt;4),"",_xlfn.XLOOKUP(C27,"Licence n° "&amp;PF!$B$6:$B$11,PF!$X$6:$X$11,"",0,1))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IF(PF!AO4=2,"",IF(COUNT(PF!A6:A11)&gt;4,CONCATENATE(PF!C10," ",LEFT(PF!E10),"."),""))</f>
        <v/>
      </c>
      <c r="D30" s="32"/>
      <c r="E30" s="882" t="str">
        <f>IF(PF!$AO$4=2,"",IF(AND(COUNT(PF!$A$6:$A$11)&gt;2,PF!$CF30="P"),PF!$CC30,""))</f>
        <v/>
      </c>
      <c r="F30" s="882"/>
      <c r="G30" s="882" t="str">
        <f>IF(PF!$AO$4=2,"",IF(AND(COUNT(PF!$A$6:$A$11)&gt;2,PF!$CF30="P"),PF!$CE30,""))</f>
        <v/>
      </c>
      <c r="H30" s="882"/>
      <c r="I30" s="142"/>
      <c r="J30" s="882" t="str">
        <f>IF(PF!$AO$4=2,"",IF(AND(COUNT(PF!$A$6:$A$11)&gt;2,PF!$CF29="P"),PF!$CC29,""))</f>
        <v/>
      </c>
      <c r="K30" s="882"/>
      <c r="L30" s="882" t="str">
        <f>IF(PF!$AO$4=2,"",IF(AND(COUNT(PF!$A$6:$A$11)&gt;2,PF!$CF29="P"),PF!$CE29,""))</f>
        <v/>
      </c>
      <c r="M30" s="882"/>
      <c r="N30" s="142"/>
      <c r="O30" s="882" t="str">
        <f>IF(PF!$AO$4=2,"",IF(AND(COUNT(PF!$A$6:$A$11)&gt;2,PF!$CF28="P"),PF!$CC28,""))</f>
        <v/>
      </c>
      <c r="P30" s="882"/>
      <c r="Q30" s="882" t="str">
        <f>IF(PF!$AO$4=2,"",IF(AND(COUNT(PF!$A$6:$A$11)&gt;2,PF!$CF28="P"),PF!$CE28,""))</f>
        <v/>
      </c>
      <c r="R30" s="882"/>
      <c r="S30" s="142"/>
      <c r="T30" s="882" t="str">
        <f>IF(PF!$AO$4=2,"",IF(AND(COUNT(PF!$A$6:$A$11)&gt;2,PF!$CF27="P"),PF!$CC27,""))</f>
        <v/>
      </c>
      <c r="U30" s="882"/>
      <c r="V30" s="882" t="str">
        <f>IF(PF!$AO$4=2,"",IF(AND(COUNT(PF!$A$6:$A$11)&gt;2,PF!$CF27="P"),PF!$CE27,""))</f>
        <v/>
      </c>
      <c r="W30" s="882"/>
      <c r="X30" s="32"/>
      <c r="Y30" s="887" t="str">
        <f>IF(PF!W35="NON",AG1,IF(PF!AO4=2,"",IF(COUNT(PF!A6:A11)&gt;4,_xlfn.XLOOKUP('T PF'!C33,'LOGOS CLUBS'!$B$2:$B$65,'LOGOS CLUBS'!$C$2:$C$65,C33,0,1),"")))</f>
        <v/>
      </c>
      <c r="Z30" s="887"/>
      <c r="AA30" s="887"/>
      <c r="AB30" s="887"/>
      <c r="AC30" s="32"/>
      <c r="AD30" s="882" t="str">
        <f>IF(PF!$AO$4=2,"",IF(AND(COUNT(PF!$A$6:$A$11)&gt;2,PF!$CF26="P"),PF!$CC26,""))</f>
        <v/>
      </c>
      <c r="AE30" s="882"/>
      <c r="AF30" s="882" t="str">
        <f>IF(PF!$AO$4=2,"",IF(AND(COUNT(PF!$A$6:$A$11)&gt;2,PF!$CF26="P"),PF!$CE26,""))</f>
        <v/>
      </c>
      <c r="AG30" s="882"/>
      <c r="AH30" s="32"/>
      <c r="AI30" s="32"/>
      <c r="AJ30" s="32"/>
      <c r="AK30" s="882" t="str" cm="1">
        <f t="array" ref="AK30">IF(PF!$AO$4&lt;3,"",IF(_xlfn.XLOOKUP('T PF'!C32,"Licence n° "&amp;PF!$B$6:$B$11,PF!$AO$6:$AO$11,"",0,1)=1,"",_xlfn.XLOOKUP('T PF'!C32,"Licence n° "&amp;PF!$B$6:$B$11,PF!$V$6:$V$11,"",0,1)))</f>
        <v/>
      </c>
      <c r="AL30" s="882"/>
      <c r="AM30" s="879" t="str" cm="1">
        <f t="array" ref="AM30">IF(PF!$AO$4&lt;3,"",IF(_xlfn.XLOOKUP('T PF'!C32,"Licence n° "&amp;PF!$B$6:$B$11,PF!$AO$6:$AO$11,"",0,1)=1,"",_xlfn.XLOOKUP('T PF'!C32,"Licence n° "&amp;PF!$B$6:$B$11,PF!$T$6:$T$11,"",0,1)))</f>
        <v/>
      </c>
      <c r="AN30" s="879"/>
      <c r="AO30" s="32"/>
      <c r="AP30" s="561" t="str" cm="1">
        <f t="array" ref="AP30">_xlfn.XLOOKUP(C32,"Licence n° "&amp;PF!$B$6:$B$11,PF!$W$6:$W$11,"",0,1)</f>
        <v/>
      </c>
      <c r="AQ30" s="32"/>
      <c r="AS30" s="830" t="s">
        <v>8120</v>
      </c>
      <c r="AT30" s="32"/>
    </row>
    <row r="31" spans="1:52" ht="12.6" customHeight="1" x14ac:dyDescent="0.25">
      <c r="A31" s="32"/>
      <c r="B31" s="32"/>
      <c r="C31" s="143" t="str">
        <f>IF(PF!$AO$4=2,"",IF(COUNT(PF!$A$6:$A$11)&gt;4,PF!$K10&amp;" - "&amp;PF!$AS10," "))</f>
        <v xml:space="preserve"> </v>
      </c>
      <c r="D31" s="32"/>
      <c r="E31" s="144" t="str">
        <f>IF(F31="","","Pts")</f>
        <v/>
      </c>
      <c r="F31" s="880" t="str">
        <f>IF(PF!$AO$4=2,"",IF(AND(COUNT(PF!$A$6:$A$11)&gt;2,PF!$CF30="P"),PF!$CG30,""))</f>
        <v/>
      </c>
      <c r="G31" s="880"/>
      <c r="H31" s="144" t="str">
        <f>IF(F31="","","Rep.")</f>
        <v/>
      </c>
      <c r="I31" s="144"/>
      <c r="J31" s="144" t="str">
        <f>IF(K31="","","Pts")</f>
        <v/>
      </c>
      <c r="K31" s="880" t="str">
        <f>IF(PF!$AO$4=2,"",IF(AND(COUNT(PF!$A$6:$A$11)&gt;2,PF!$CF29="P"),PF!$CG29,""))</f>
        <v/>
      </c>
      <c r="L31" s="880"/>
      <c r="M31" s="144" t="str">
        <f>IF(K31="","","Rep.")</f>
        <v/>
      </c>
      <c r="N31" s="144"/>
      <c r="O31" s="144" t="str">
        <f>IF(P31="","","Pts")</f>
        <v/>
      </c>
      <c r="P31" s="880" t="str">
        <f>IF(PF!$AO$4=2,"",IF(AND(COUNT(PF!$A$6:$A$11)&gt;2,PF!$CF28="P"),PF!$CG28,""))</f>
        <v/>
      </c>
      <c r="Q31" s="880"/>
      <c r="R31" s="144" t="str">
        <f>IF(P31="","","Rep.")</f>
        <v/>
      </c>
      <c r="S31" s="144"/>
      <c r="T31" s="144" t="str">
        <f>IF(U31="","","Pts")</f>
        <v/>
      </c>
      <c r="U31" s="880" t="str">
        <f>IF(PF!$AO$4=2,"",IF(AND(COUNT(PF!$A$6:$A$11)&gt;2,PF!$CF27="P"),PF!$CG27,""))</f>
        <v/>
      </c>
      <c r="V31" s="880"/>
      <c r="W31" s="144" t="str">
        <f>IF(U31="","","Rep.")</f>
        <v/>
      </c>
      <c r="X31" s="32"/>
      <c r="Y31" s="887"/>
      <c r="Z31" s="887"/>
      <c r="AA31" s="887"/>
      <c r="AB31" s="887"/>
      <c r="AC31" s="32"/>
      <c r="AD31" s="144" t="str">
        <f>IF(AE31="","","Pts")</f>
        <v/>
      </c>
      <c r="AE31" s="880" t="str">
        <f>IF(PF!$AO$4=2,"",IF(AND(COUNT(PF!$A$6:$A$11)&gt;2,PF!$CF26="P"),PF!$CG26,""))</f>
        <v/>
      </c>
      <c r="AF31" s="880"/>
      <c r="AG31" s="144" t="str">
        <f>IF(AE31="","","Rep.")</f>
        <v/>
      </c>
      <c r="AH31" s="32"/>
      <c r="AI31" s="32"/>
      <c r="AJ31" s="32"/>
      <c r="AK31" s="145" t="str">
        <f>IF(AL31="","","PM")</f>
        <v/>
      </c>
      <c r="AL31" s="881" t="str" cm="1">
        <f t="array" ref="AL31">IF(SUM(PF!$Q$6:$Q$11)=0,"",IF(PF!$AO$4&gt;2,IF(_xlfn.XLOOKUP('T PF'!C32,"Licence n° "&amp;PF!$B$6:$B$11,PF!$AO$6:$AO$11,"",0,1)=1,"Forfait",_xlfn.XLOOKUP('T PF'!C32,"Licence n° "&amp;PF!$B$37:$B$42,PF!$Q$37:$Q$42,"",0,1)),""))</f>
        <v/>
      </c>
      <c r="AM31" s="881"/>
      <c r="AN31" s="145" t="str">
        <f>IF(AL31="","","MGP")</f>
        <v/>
      </c>
      <c r="AO31" s="32"/>
      <c r="AP31" s="151" t="str">
        <f>IF(AND(COUNT(PF!$A$6:$A$11)&gt;4,PF!$AO$4&gt;2,LEFT(PF!$F$13)="P"),"Pts Rk","")</f>
        <v/>
      </c>
      <c r="AQ31" s="32"/>
      <c r="AS31" s="830"/>
      <c r="AT31" s="32"/>
    </row>
    <row r="32" spans="1:52" ht="12.6" customHeight="1" x14ac:dyDescent="0.25">
      <c r="A32" s="32"/>
      <c r="B32" s="32"/>
      <c r="C32" s="147" t="str">
        <f>IF(PF!AO4=2,"",IF(COUNT(PF!A6:A11)&gt;4,"Licence n° "&amp;PF!B10,"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IF(AND(COUNT(PF!$A$6:$A$11)&gt;4,PF!$AO$4&gt;2,LEFT(PF!$F$13)="P"),"Bonus","")</f>
        <v/>
      </c>
      <c r="AQ32" s="32"/>
      <c r="AS32" s="831" t="s">
        <v>8121</v>
      </c>
      <c r="AT32" s="32"/>
    </row>
    <row r="33" spans="1:46" ht="50.1" customHeight="1" x14ac:dyDescent="0.25">
      <c r="A33" s="32"/>
      <c r="B33" s="32"/>
      <c r="C33" s="149" t="str">
        <f>IF(PF!AO4=2,"",IF(COUNT(PF!A6:A11)&gt;4,PF!G10," "))</f>
        <v xml:space="preserve"> </v>
      </c>
      <c r="D33" s="32"/>
      <c r="E33" s="883" t="str">
        <f>IF(F31="","",IF(F31&gt;0,E30/G30,"/"))</f>
        <v/>
      </c>
      <c r="F33" s="883"/>
      <c r="G33" s="884" t="str">
        <f>IF(PF!$AO$4=2,"",IF(AND(COUNT(PF!$A$6:$A$11)&gt;2,PF!$CF30="P"),PF!$CD30,""))</f>
        <v/>
      </c>
      <c r="H33" s="884"/>
      <c r="I33" s="32"/>
      <c r="J33" s="883" t="str">
        <f>IF(K31="","",IF(K31&gt;0,J30/L30,"/"))</f>
        <v/>
      </c>
      <c r="K33" s="883"/>
      <c r="L33" s="884" t="str">
        <f>IF(PF!$AO$4=2,"",IF(AND(COUNT(PF!$A$6:$A$11)&gt;2,PF!$CF29="P"),PF!$CD29,""))</f>
        <v/>
      </c>
      <c r="M33" s="884"/>
      <c r="N33" s="32"/>
      <c r="O33" s="883" t="str">
        <f>IF(P31="","",IF(P31&gt;0,O30/Q30,"/"))</f>
        <v/>
      </c>
      <c r="P33" s="883"/>
      <c r="Q33" s="884" t="str">
        <f>IF(PF!$AO$4=2,"",IF(AND(COUNT(PF!$A$6:$A$11)&gt;2,PF!$CF28="P"),PF!$CD28,""))</f>
        <v/>
      </c>
      <c r="R33" s="884"/>
      <c r="S33" s="32"/>
      <c r="T33" s="883" t="str">
        <f>IF(U31="","",IF(U31&gt;0,T30/V30,"/"))</f>
        <v/>
      </c>
      <c r="U33" s="883"/>
      <c r="V33" s="884" t="str">
        <f>IF(PF!$AO$4=2,"",IF(AND(COUNT(PF!$A$6:$A$11)&gt;2,PF!$CF27="P"),PF!$CD27,""))</f>
        <v/>
      </c>
      <c r="W33" s="884"/>
      <c r="X33" s="32"/>
      <c r="Y33" s="887"/>
      <c r="Z33" s="887"/>
      <c r="AA33" s="887"/>
      <c r="AB33" s="887"/>
      <c r="AC33" s="32"/>
      <c r="AD33" s="883" t="str">
        <f>IF(AE31="","",IF(AE31&gt;0,AD30/AF30,"/"))</f>
        <v/>
      </c>
      <c r="AE33" s="883"/>
      <c r="AF33" s="884" t="str">
        <f>IF(PF!$AO$4=2,"",IF(AND(COUNT(PF!$A$6:$A$11)&gt;2,PF!$CF26="P"),PF!$CD26,""))</f>
        <v/>
      </c>
      <c r="AG33" s="884"/>
      <c r="AH33" s="32"/>
      <c r="AI33" s="32"/>
      <c r="AJ33" s="32"/>
      <c r="AK33" s="883" t="str" cm="1">
        <f t="array" ref="AK33">IF(PF!$AO$4&lt;3,"",IF(_xlfn.XLOOKUP('T PF'!C32,"Licence n° "&amp;PF!$B$6:$B$11,PF!$AO$6:$AO$11,"",0,1)=1,"",_xlfn.XLOOKUP('T PF'!C32,"Licence n° "&amp;PF!$B$6:$B$11,PF!$U$6:$U$11,"",0,1)))</f>
        <v/>
      </c>
      <c r="AL33" s="883"/>
      <c r="AM33" s="884" t="str" cm="1">
        <f t="array" ref="AM33">IF(PF!$AO$4&lt;3,"",IF(_xlfn.XLOOKUP('T PF'!C32,"Licence n° "&amp;PF!$B$6:$B$11,PF!$AO$6:$AO$11,"",0,1)=1,"",_xlfn.XLOOKUP('T PF'!C32,"Licence n° "&amp;PF!$B$6:$B$11,PF!$S$6:$S$11,"",0,1)))</f>
        <v/>
      </c>
      <c r="AN33" s="884"/>
      <c r="AO33" s="32"/>
      <c r="AP33" s="562" t="str" cm="1">
        <f t="array" ref="AP33">_xlfn.XLOOKUP(C32,"Licence n° "&amp;PF!$B$6:$B$11,PF!$X$6:$X$11,"",0,1)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IF(PF!AO4=2,"",IF(COUNT(PF!A6:A11)&gt;5,CONCATENATE(PF!C11," ",LEFT(PF!E11),"."),""))</f>
        <v/>
      </c>
      <c r="D35" s="32"/>
      <c r="E35" s="882" t="str">
        <f>IF(PF!$AO$4=2,"",IF(AND(COUNT(PF!$A$6:$A$11)&gt;2,PF!$CF35="P"),PF!$CC35,""))</f>
        <v/>
      </c>
      <c r="F35" s="882"/>
      <c r="G35" s="882" t="str">
        <f>IF(PF!$AO$4=2,"",IF(AND(COUNT(PF!$A$6:$A$11)&gt;2,PF!$CF35="P"),PF!$CE35,""))</f>
        <v/>
      </c>
      <c r="H35" s="882"/>
      <c r="I35" s="142"/>
      <c r="J35" s="882" t="str">
        <f>IF(PF!$AO$4=2,"",IF(AND(COUNT(PF!$A$6:$A$11)&gt;2,PF!$CF34="P"),PF!$CC34,""))</f>
        <v/>
      </c>
      <c r="K35" s="882"/>
      <c r="L35" s="882" t="str">
        <f>IF(PF!$AO$4=2,"",IF(AND(COUNT(PF!$A$6:$A$11)&gt;2,PF!$CF34="P"),PF!$CE34,""))</f>
        <v/>
      </c>
      <c r="M35" s="882"/>
      <c r="N35" s="142"/>
      <c r="O35" s="882" t="str">
        <f>IF(PF!$AO$4=2,"",IF(AND(COUNT(PF!$A$6:$A$11)&gt;2,PF!$CF33="P"),PF!$CC33,""))</f>
        <v/>
      </c>
      <c r="P35" s="882"/>
      <c r="Q35" s="882" t="str">
        <f>IF(PF!$AO$4=2,"",IF(AND(COUNT(PF!$A$6:$A$11)&gt;2,PF!$CF33="P"),PF!$CE33,""))</f>
        <v/>
      </c>
      <c r="R35" s="882"/>
      <c r="S35" s="142"/>
      <c r="T35" s="882" t="str">
        <f>IF(PF!$AO$4=2,"",IF(AND(COUNT(PF!$A$6:$A$11)&gt;2,PF!$CF32="P"),PF!$CC32,""))</f>
        <v/>
      </c>
      <c r="U35" s="882"/>
      <c r="V35" s="882" t="str">
        <f>IF(PF!$AO$4=2,"",IF(AND(COUNT(PF!$A$6:$A$11)&gt;2,PF!$CF32="P"),PF!$CE32,""))</f>
        <v/>
      </c>
      <c r="W35" s="882"/>
      <c r="X35" s="142"/>
      <c r="Y35" s="882" t="str">
        <f>IF(PF!$AO$4=2,"",IF(AND(COUNT(PF!$A$6:$A$11)&gt;2,PF!$CF31="P"),PF!$CC31,""))</f>
        <v/>
      </c>
      <c r="Z35" s="882"/>
      <c r="AA35" s="882" t="str">
        <f>IF(PF!$AO$4=2,"",IF(AND(COUNT(PF!$A$6:$A$11)&gt;2,PF!$CF31="P"),PF!$CE31,""))</f>
        <v/>
      </c>
      <c r="AB35" s="882"/>
      <c r="AC35" s="32"/>
      <c r="AD35" s="885" t="str">
        <f>IF(PF!W35="NON",AG1,IF(PF!AO4=2,"",IF(COUNT(PF!A6:A11)&gt;5,_xlfn.XLOOKUP('T PF'!C38,'LOGOS CLUBS'!$B$2:$B$65,'LOGOS CLUBS'!$C$2:$C$65,C38,0,1),"")))</f>
        <v/>
      </c>
      <c r="AE35" s="885"/>
      <c r="AF35" s="885"/>
      <c r="AG35" s="885"/>
      <c r="AH35" s="32"/>
      <c r="AI35" s="32"/>
      <c r="AJ35" s="32"/>
      <c r="AK35" s="882" t="str" cm="1">
        <f t="array" ref="AK35">IF(PF!$AO$4&lt;3,"",IF(_xlfn.XLOOKUP('T PF'!C37,"Licence n° "&amp;PF!$B$6:$B$11,PF!$AO$6:$AO$11,"",0,1)=1,"",_xlfn.XLOOKUP('T PF'!C37,"Licence n° "&amp;PF!$B$6:$B$11,PF!$V$6:$V$11,"",0,1)))</f>
        <v/>
      </c>
      <c r="AL35" s="882"/>
      <c r="AM35" s="879" t="str" cm="1">
        <f t="array" ref="AM35">IF(PF!$AO$4&lt;3,"",IF(_xlfn.XLOOKUP('T PF'!C37,"Licence n° "&amp;PF!$B$6:$B$11,PF!$AO$6:$AO$11,"",0,1)=1,"",_xlfn.XLOOKUP('T PF'!C37,"Licence n° "&amp;PF!$B$6:$B$11,PF!$T$6:$T$11,"",0,1)))</f>
        <v/>
      </c>
      <c r="AN35" s="879"/>
      <c r="AO35" s="32"/>
      <c r="AP35" s="561" t="str" cm="1">
        <f t="array" ref="AP35">_xlfn.XLOOKUP(C37,"Licence n° "&amp;PF!$B$6:$B$11,PF!$W$6:$W$11,"",0,1)</f>
        <v/>
      </c>
      <c r="AQ35" s="32"/>
      <c r="AS35" s="832" t="s">
        <v>8124</v>
      </c>
      <c r="AT35" s="32"/>
    </row>
    <row r="36" spans="1:46" ht="12.6" customHeight="1" x14ac:dyDescent="0.25">
      <c r="A36" s="32"/>
      <c r="B36" s="32"/>
      <c r="C36" s="143" t="str">
        <f>IF(PF!$AO$4=2,"",IF(COUNT(PF!$A$6:$A$11)&gt;5,PF!$K11&amp;" - "&amp;PF!$AS11," "))</f>
        <v xml:space="preserve"> </v>
      </c>
      <c r="D36" s="32"/>
      <c r="E36" s="144" t="str">
        <f>IF(F36="","","Pts")</f>
        <v/>
      </c>
      <c r="F36" s="880" t="str">
        <f>IF(PF!$AO$4=2,"",IF(AND(COUNT(PF!$A$6:$A$11)&gt;2,PF!$CF35="P"),PF!$CG35,""))</f>
        <v/>
      </c>
      <c r="G36" s="880"/>
      <c r="H36" s="144" t="str">
        <f>IF(F36="","","Rep.")</f>
        <v/>
      </c>
      <c r="I36" s="144"/>
      <c r="J36" s="144" t="str">
        <f>IF(K36="","","Pts")</f>
        <v/>
      </c>
      <c r="K36" s="880" t="str">
        <f>IF(PF!$AO$4=2,"",IF(AND(COUNT(PF!$A$6:$A$11)&gt;2,PF!$CF34="P"),PF!$CG34,""))</f>
        <v/>
      </c>
      <c r="L36" s="880"/>
      <c r="M36" s="144" t="str">
        <f>IF(K36="","","Rep.")</f>
        <v/>
      </c>
      <c r="N36" s="144"/>
      <c r="O36" s="144" t="str">
        <f>IF(P36="","","Pts")</f>
        <v/>
      </c>
      <c r="P36" s="880" t="str">
        <f>IF(PF!$AO$4=2,"",IF(AND(COUNT(PF!$A$6:$A$11)&gt;2,PF!$CF33="P"),PF!$CG33,""))</f>
        <v/>
      </c>
      <c r="Q36" s="880"/>
      <c r="R36" s="144" t="str">
        <f>IF(P36="","","Rep.")</f>
        <v/>
      </c>
      <c r="S36" s="144"/>
      <c r="T36" s="144" t="str">
        <f>IF(U36="","","Pts")</f>
        <v/>
      </c>
      <c r="U36" s="880" t="str">
        <f>IF(PF!$AO$4=2,"",IF(AND(COUNT(PF!$A$6:$A$11)&gt;2,PF!$CF32="P"),PF!$CG32,""))</f>
        <v/>
      </c>
      <c r="V36" s="880"/>
      <c r="W36" s="144" t="str">
        <f>IF(U36="","","Rep.")</f>
        <v/>
      </c>
      <c r="X36" s="144"/>
      <c r="Y36" s="144" t="str">
        <f>IF(Z36="","","Pts")</f>
        <v/>
      </c>
      <c r="Z36" s="880" t="str">
        <f>IF(PF!$AO$4=2,"",IF(AND(COUNT(PF!$A$6:$A$11)&gt;2,PF!$CF31="P"),PF!$CG31,""))</f>
        <v/>
      </c>
      <c r="AA36" s="880"/>
      <c r="AB36" s="144" t="str">
        <f>IF(Z36="","","Rep.")</f>
        <v/>
      </c>
      <c r="AC36" s="32"/>
      <c r="AD36" s="885"/>
      <c r="AE36" s="885"/>
      <c r="AF36" s="885"/>
      <c r="AG36" s="885"/>
      <c r="AH36" s="32"/>
      <c r="AI36" s="32"/>
      <c r="AJ36" s="32"/>
      <c r="AK36" s="145" t="str">
        <f>IF(AL36="","","PM")</f>
        <v/>
      </c>
      <c r="AL36" s="881" t="str" cm="1">
        <f t="array" ref="AL36">IF(SUM(PF!$Q$6:$Q$11)=0,"",IF(PF!$AO$4&gt;2,IF(_xlfn.XLOOKUP('T PF'!C37,"Licence n° "&amp;PF!$B$6:$B$11,PF!$AO$6:$AO$11,"",0,1)=1,"Forfait",_xlfn.XLOOKUP('T PF'!C37,"Licence n° "&amp;PF!$B$37:$B$42,PF!$Q$37:$Q$42,"",0,1)),""))</f>
        <v/>
      </c>
      <c r="AM36" s="881"/>
      <c r="AN36" s="145" t="str">
        <f>IF(AL36="","","MGP")</f>
        <v/>
      </c>
      <c r="AO36" s="32"/>
      <c r="AP36" s="151" t="str">
        <f>IF(AND(COUNT(PF!$A$6:$A$11)&gt;5,PF!$AO$4&gt;2,LEFT(PF!$F$13)="P"),"Pts Rk","")</f>
        <v/>
      </c>
      <c r="AQ36" s="32"/>
      <c r="AS36" s="832"/>
      <c r="AT36" s="32"/>
    </row>
    <row r="37" spans="1:46" ht="12.6" customHeight="1" x14ac:dyDescent="0.25">
      <c r="A37" s="32"/>
      <c r="B37" s="32"/>
      <c r="C37" s="147" t="str">
        <f>IF(PF!AO4=2,"",IF(COUNT(PF!A6:A11)&gt;5,"Licence n° "&amp;PF!B11,"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IF(AND(COUNT(PF!$A$6:$A$11)&gt;5,PF!$AO$4&gt;2,LEFT(PF!$F$13)="P"),"Bonus","")</f>
        <v/>
      </c>
      <c r="AQ37" s="32"/>
      <c r="AS37" s="833" t="s">
        <v>8125</v>
      </c>
      <c r="AT37" s="32"/>
    </row>
    <row r="38" spans="1:46" ht="50.1" customHeight="1" thickBot="1" x14ac:dyDescent="0.3">
      <c r="A38" s="32"/>
      <c r="B38" s="32"/>
      <c r="C38" s="149" t="str">
        <f>IF(PF!AO4=2,"",IF(COUNT(PF!A6:A11)&gt;5,PF!G11," "))</f>
        <v xml:space="preserve"> </v>
      </c>
      <c r="D38" s="32"/>
      <c r="E38" s="883" t="str">
        <f>IF(F36="","",IF(F36&gt;0,E35/G35,"/"))</f>
        <v/>
      </c>
      <c r="F38" s="883"/>
      <c r="G38" s="884" t="str">
        <f>IF(PF!$AO$4=2,"",IF(AND(COUNT(PF!$A$6:$A$11)&gt;2,PF!$CF35="P"),PF!$CD35,""))</f>
        <v/>
      </c>
      <c r="H38" s="884"/>
      <c r="I38" s="32"/>
      <c r="J38" s="883" t="str">
        <f>IF(K36="","",IF(K36&gt;0,J35/L35,"/"))</f>
        <v/>
      </c>
      <c r="K38" s="883"/>
      <c r="L38" s="884" t="str">
        <f>IF(PF!$AO$4=2,"",IF(AND(COUNT(PF!$A$6:$A$11)&gt;2,PF!$CF34="P"),PF!$CD34,""))</f>
        <v/>
      </c>
      <c r="M38" s="884"/>
      <c r="N38" s="32"/>
      <c r="O38" s="883" t="str">
        <f>IF(P36="","",IF(P36&gt;0,O35/Q35,"/"))</f>
        <v/>
      </c>
      <c r="P38" s="883"/>
      <c r="Q38" s="884" t="str">
        <f>IF(PF!$AO$4=2,"",IF(AND(COUNT(PF!$A$6:$A$11)&gt;2,PF!$CF33="P"),PF!$CD33,""))</f>
        <v/>
      </c>
      <c r="R38" s="884"/>
      <c r="S38" s="32"/>
      <c r="T38" s="883" t="str">
        <f>IF(U36="","",IF(U36&gt;0,T35/V35,"/"))</f>
        <v/>
      </c>
      <c r="U38" s="883"/>
      <c r="V38" s="884" t="str">
        <f>IF(PF!$AO$4=2,"",IF(AND(COUNT(PF!$A$6:$A$11)&gt;2,PF!$CF32="P"),PF!$CD32,""))</f>
        <v/>
      </c>
      <c r="W38" s="884"/>
      <c r="X38" s="32"/>
      <c r="Y38" s="883" t="str">
        <f>IF(Z36="","",IF(Z36&gt;0,Y35/AA35,"/"))</f>
        <v/>
      </c>
      <c r="Z38" s="883"/>
      <c r="AA38" s="884" t="str">
        <f>IF(PF!$AO$4=2,"",IF(AND(COUNT(PF!$A$6:$A$11)&gt;2,PF!$CF31="P"),PF!$CD31,""))</f>
        <v/>
      </c>
      <c r="AB38" s="884"/>
      <c r="AC38" s="32"/>
      <c r="AD38" s="885"/>
      <c r="AE38" s="885"/>
      <c r="AF38" s="885"/>
      <c r="AG38" s="885"/>
      <c r="AH38" s="32"/>
      <c r="AI38" s="32"/>
      <c r="AJ38" s="32"/>
      <c r="AK38" s="883" t="str" cm="1">
        <f t="array" ref="AK38">IF(PF!$AO$4&lt;3,"",IF(_xlfn.XLOOKUP('T PF'!C37,"Licence n° "&amp;PF!$B$6:$B$11,PF!$AO$6:$AO$11,"",0,1)=1,"",_xlfn.XLOOKUP('T PF'!C37,"Licence n° "&amp;PF!$B$6:$B$11,PF!$U$6:$U$11,"",0,1)))</f>
        <v/>
      </c>
      <c r="AL38" s="883"/>
      <c r="AM38" s="884" t="str" cm="1">
        <f t="array" ref="AM38">IF(PF!$AO$4&lt;3,"",IF(_xlfn.XLOOKUP('T PF'!C37,"Licence n° "&amp;PF!$B$6:$B$11,PF!$AO$6:$AO$11,"",0,1)=1,"",_xlfn.XLOOKUP('T PF'!C37,"Licence n° "&amp;PF!$B$6:$B$11,PF!$S$6:$S$11,"",0,1)))</f>
        <v/>
      </c>
      <c r="AN38" s="884"/>
      <c r="AO38" s="32"/>
      <c r="AP38" s="562" t="str" cm="1">
        <f t="array" ref="AP38">_xlfn.XLOOKUP(C37,"Licence n° "&amp;PF!$B$6:$B$11,PF!$X$6:$X$11,"",0,1)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zWdmsT/L9b1xOG+mkeFxw0BTokgbu/5+xRHoD2X0wSrY2sp1PquiPgXfEyBhgdKbxAl1moieGEVSuIpYtL+Nag==" saltValue="W574ThXNhzv6NWeAP12l5Q=="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176" priority="130">
      <formula>F16=0</formula>
    </cfRule>
    <cfRule type="expression" dxfId="1175" priority="129">
      <formula>F16=1</formula>
    </cfRule>
    <cfRule type="expression" dxfId="1174" priority="128">
      <formula>F16=2</formula>
    </cfRule>
  </conditionalFormatting>
  <conditionalFormatting sqref="F21">
    <cfRule type="expression" dxfId="1173" priority="113">
      <formula>F21=2</formula>
    </cfRule>
    <cfRule type="expression" dxfId="1172" priority="114">
      <formula>F21=1</formula>
    </cfRule>
    <cfRule type="expression" dxfId="1171" priority="115">
      <formula>F21=0</formula>
    </cfRule>
  </conditionalFormatting>
  <conditionalFormatting sqref="F26">
    <cfRule type="expression" dxfId="1170" priority="98">
      <formula>F26=2</formula>
    </cfRule>
    <cfRule type="expression" dxfId="1169" priority="99">
      <formula>F26=1</formula>
    </cfRule>
    <cfRule type="expression" dxfId="1168" priority="100">
      <formula>F26=0</formula>
    </cfRule>
  </conditionalFormatting>
  <conditionalFormatting sqref="F31">
    <cfRule type="expression" dxfId="1167" priority="83">
      <formula>F31=2</formula>
    </cfRule>
    <cfRule type="expression" dxfId="1166" priority="84">
      <formula>F31=1</formula>
    </cfRule>
    <cfRule type="expression" dxfId="1165" priority="85">
      <formula>F31=0</formula>
    </cfRule>
  </conditionalFormatting>
  <conditionalFormatting sqref="F36">
    <cfRule type="expression" dxfId="1164" priority="70">
      <formula>F36=0</formula>
    </cfRule>
    <cfRule type="expression" dxfId="1163" priority="69">
      <formula>F36=1</formula>
    </cfRule>
    <cfRule type="expression" dxfId="1162" priority="68">
      <formula>F36=2</formula>
    </cfRule>
  </conditionalFormatting>
  <conditionalFormatting sqref="J15:M18">
    <cfRule type="expression" dxfId="1153" priority="147">
      <formula>$J$15="MATCH 1"</formula>
    </cfRule>
  </conditionalFormatting>
  <conditionalFormatting sqref="K21">
    <cfRule type="expression" dxfId="1152" priority="110">
      <formula>K21=2</formula>
    </cfRule>
    <cfRule type="expression" dxfId="1151" priority="111">
      <formula>K21=1</formula>
    </cfRule>
    <cfRule type="expression" dxfId="1150" priority="112">
      <formula>K21=0</formula>
    </cfRule>
  </conditionalFormatting>
  <conditionalFormatting sqref="K26">
    <cfRule type="expression" dxfId="1149" priority="97">
      <formula>K26=0</formula>
    </cfRule>
    <cfRule type="expression" dxfId="1148" priority="96">
      <formula>K26=1</formula>
    </cfRule>
    <cfRule type="expression" dxfId="1147" priority="95">
      <formula>K26=2</formula>
    </cfRule>
  </conditionalFormatting>
  <conditionalFormatting sqref="K31">
    <cfRule type="expression" dxfId="1146" priority="82">
      <formula>K31=0</formula>
    </cfRule>
    <cfRule type="expression" dxfId="1145" priority="80">
      <formula>K31=2</formula>
    </cfRule>
    <cfRule type="expression" dxfId="1144" priority="81">
      <formula>K31=1</formula>
    </cfRule>
  </conditionalFormatting>
  <conditionalFormatting sqref="K36">
    <cfRule type="expression" dxfId="1143" priority="65">
      <formula>K36=2</formula>
    </cfRule>
    <cfRule type="expression" dxfId="1142" priority="66">
      <formula>K36=1</formula>
    </cfRule>
    <cfRule type="expression" dxfId="1141" priority="67">
      <formula>K36=0</formula>
    </cfRule>
  </conditionalFormatting>
  <conditionalFormatting sqref="K11:L12">
    <cfRule type="expression" dxfId="1140" priority="143">
      <formula>K11=2</formula>
    </cfRule>
    <cfRule type="expression" dxfId="1139" priority="144">
      <formula>K11=1</formula>
    </cfRule>
    <cfRule type="expression" dxfId="1138" priority="145">
      <formula>K11=0</formula>
    </cfRule>
  </conditionalFormatting>
  <conditionalFormatting sqref="O20:R23">
    <cfRule type="expression" dxfId="1131" priority="146">
      <formula>$O$20="MATCH 2"</formula>
    </cfRule>
  </conditionalFormatting>
  <conditionalFormatting sqref="P11">
    <cfRule type="expression" dxfId="1130" priority="140">
      <formula>P11=2</formula>
    </cfRule>
    <cfRule type="expression" dxfId="1129" priority="141">
      <formula>P11=1</formula>
    </cfRule>
    <cfRule type="expression" dxfId="1128" priority="142">
      <formula>P11=0</formula>
    </cfRule>
  </conditionalFormatting>
  <conditionalFormatting sqref="P16">
    <cfRule type="expression" dxfId="1127" priority="125">
      <formula>P16=2</formula>
    </cfRule>
    <cfRule type="expression" dxfId="1126" priority="127">
      <formula>P16=0</formula>
    </cfRule>
    <cfRule type="expression" dxfId="1125" priority="126">
      <formula>P16=1</formula>
    </cfRule>
  </conditionalFormatting>
  <conditionalFormatting sqref="P26">
    <cfRule type="expression" dxfId="1124" priority="93">
      <formula>P26=1</formula>
    </cfRule>
    <cfRule type="expression" dxfId="1123" priority="92">
      <formula>P26=2</formula>
    </cfRule>
    <cfRule type="expression" dxfId="1122" priority="94">
      <formula>P26=0</formula>
    </cfRule>
  </conditionalFormatting>
  <conditionalFormatting sqref="P31">
    <cfRule type="expression" dxfId="1121" priority="77">
      <formula>P31=2</formula>
    </cfRule>
    <cfRule type="expression" dxfId="1120" priority="78">
      <formula>P31=1</formula>
    </cfRule>
    <cfRule type="expression" dxfId="1119" priority="79">
      <formula>P31=0</formula>
    </cfRule>
  </conditionalFormatting>
  <conditionalFormatting sqref="P36">
    <cfRule type="expression" dxfId="1118" priority="64">
      <formula>P36=0</formula>
    </cfRule>
    <cfRule type="expression" dxfId="1117" priority="63">
      <formula>P36=1</formula>
    </cfRule>
    <cfRule type="expression" dxfId="1116" priority="62">
      <formula>P36=2</formula>
    </cfRule>
  </conditionalFormatting>
  <conditionalFormatting sqref="U11">
    <cfRule type="expression" dxfId="1115" priority="138">
      <formula>U11=1</formula>
    </cfRule>
    <cfRule type="expression" dxfId="1114" priority="139">
      <formula>U11=0</formula>
    </cfRule>
    <cfRule type="expression" dxfId="1113" priority="137">
      <formula>U11=2</formula>
    </cfRule>
  </conditionalFormatting>
  <conditionalFormatting sqref="U16">
    <cfRule type="expression" dxfId="1112" priority="123">
      <formula>U16=1</formula>
    </cfRule>
    <cfRule type="expression" dxfId="1111" priority="122">
      <formula>U16=2</formula>
    </cfRule>
    <cfRule type="expression" dxfId="1110" priority="124">
      <formula>U16=0</formula>
    </cfRule>
  </conditionalFormatting>
  <conditionalFormatting sqref="U21">
    <cfRule type="expression" dxfId="1109" priority="108">
      <formula>U21=1</formula>
    </cfRule>
    <cfRule type="expression" dxfId="1108" priority="109">
      <formula>U21=0</formula>
    </cfRule>
    <cfRule type="expression" dxfId="1107" priority="107">
      <formula>U21=2</formula>
    </cfRule>
  </conditionalFormatting>
  <conditionalFormatting sqref="U31">
    <cfRule type="expression" dxfId="1106" priority="76">
      <formula>U31=0</formula>
    </cfRule>
    <cfRule type="expression" dxfId="1105" priority="75">
      <formula>U31=1</formula>
    </cfRule>
    <cfRule type="expression" dxfId="1104" priority="74">
      <formula>U31=2</formula>
    </cfRule>
  </conditionalFormatting>
  <conditionalFormatting sqref="U36">
    <cfRule type="expression" dxfId="1103" priority="61">
      <formula>U36=0</formula>
    </cfRule>
    <cfRule type="expression" dxfId="1102" priority="60">
      <formula>U36=1</formula>
    </cfRule>
    <cfRule type="expression" dxfId="1101" priority="59">
      <formula>U36=2</formula>
    </cfRule>
  </conditionalFormatting>
  <conditionalFormatting sqref="Z11">
    <cfRule type="expression" dxfId="1100" priority="134">
      <formula>Z11=2</formula>
    </cfRule>
    <cfRule type="expression" dxfId="1099" priority="136">
      <formula>Z11=0</formula>
    </cfRule>
    <cfRule type="expression" dxfId="1098" priority="135">
      <formula>Z11=1</formula>
    </cfRule>
  </conditionalFormatting>
  <conditionalFormatting sqref="Z16">
    <cfRule type="expression" dxfId="1097" priority="119">
      <formula>Z16=2</formula>
    </cfRule>
    <cfRule type="expression" dxfId="1096" priority="120">
      <formula>Z16=1</formula>
    </cfRule>
    <cfRule type="expression" dxfId="1095" priority="121">
      <formula>Z16=0</formula>
    </cfRule>
  </conditionalFormatting>
  <conditionalFormatting sqref="Z21">
    <cfRule type="expression" dxfId="1094" priority="104">
      <formula>Z21=2</formula>
    </cfRule>
    <cfRule type="expression" dxfId="1093" priority="105">
      <formula>Z21=1</formula>
    </cfRule>
    <cfRule type="expression" dxfId="1092" priority="106">
      <formula>Z21=0</formula>
    </cfRule>
  </conditionalFormatting>
  <conditionalFormatting sqref="Z26">
    <cfRule type="expression" dxfId="1091" priority="89">
      <formula>Z26=2</formula>
    </cfRule>
    <cfRule type="expression" dxfId="1090" priority="90">
      <formula>Z26=1</formula>
    </cfRule>
    <cfRule type="expression" dxfId="1089" priority="91">
      <formula>Z26=0</formula>
    </cfRule>
  </conditionalFormatting>
  <conditionalFormatting sqref="Z36">
    <cfRule type="expression" dxfId="1088" priority="57">
      <formula>Z36=1</formula>
    </cfRule>
    <cfRule type="expression" dxfId="1087" priority="56">
      <formula>Z36=2</formula>
    </cfRule>
    <cfRule type="expression" dxfId="1086" priority="58">
      <formula>Z36=0</formula>
    </cfRule>
  </conditionalFormatting>
  <conditionalFormatting sqref="AE11">
    <cfRule type="expression" dxfId="1081" priority="133">
      <formula>AE11=0</formula>
    </cfRule>
    <cfRule type="expression" dxfId="1080" priority="132">
      <formula>AE11=1</formula>
    </cfRule>
    <cfRule type="expression" dxfId="1079" priority="131">
      <formula>AE11=2</formula>
    </cfRule>
  </conditionalFormatting>
  <conditionalFormatting sqref="AE16">
    <cfRule type="expression" dxfId="1078" priority="118">
      <formula>AE16=0</formula>
    </cfRule>
    <cfRule type="expression" dxfId="1077" priority="117">
      <formula>AE16=1</formula>
    </cfRule>
    <cfRule type="expression" dxfId="1076" priority="116">
      <formula>AE16=2</formula>
    </cfRule>
  </conditionalFormatting>
  <conditionalFormatting sqref="AE21">
    <cfRule type="expression" dxfId="1075" priority="101">
      <formula>AE21=2</formula>
    </cfRule>
    <cfRule type="expression" dxfId="1074" priority="103">
      <formula>AE21=0</formula>
    </cfRule>
    <cfRule type="expression" dxfId="1073" priority="102">
      <formula>AE21=1</formula>
    </cfRule>
  </conditionalFormatting>
  <conditionalFormatting sqref="AE26">
    <cfRule type="expression" dxfId="1072" priority="87">
      <formula>AE26=1</formula>
    </cfRule>
    <cfRule type="expression" dxfId="1071" priority="86">
      <formula>AE26=2</formula>
    </cfRule>
    <cfRule type="expression" dxfId="1070" priority="88">
      <formula>AE26=0</formula>
    </cfRule>
  </conditionalFormatting>
  <conditionalFormatting sqref="AE31">
    <cfRule type="expression" dxfId="1069" priority="72">
      <formula>AE31=1</formula>
    </cfRule>
    <cfRule type="expression" dxfId="1068" priority="73">
      <formula>AE31=0</formula>
    </cfRule>
    <cfRule type="expression" dxfId="1067" priority="71">
      <formula>AE31=2</formula>
    </cfRule>
  </conditionalFormatting>
  <hyperlinks>
    <hyperlink ref="AS2" location="'GESTION DES JOUEURS'!D4" display="GESTION DES JOUEURS" xr:uid="{E26443BA-9542-46A1-ADC8-8E4A9AEA532D}"/>
    <hyperlink ref="AS10:AS11" location="PA!N18" display="PA!N18" xr:uid="{A6793DA9-F556-4BD1-BB9A-294A3557B6C4}"/>
    <hyperlink ref="AS12:AS13" location="PB!N18" display="Poule B" xr:uid="{9AF6BFAC-D1C9-43C8-9274-CC18618046BA}"/>
    <hyperlink ref="AS15:AS16" location="PC!N18" display="Poule C" xr:uid="{6F185976-A61A-4156-8E9D-E4FCA8996D0B}"/>
    <hyperlink ref="AS17:AS18" location="PD!N18" display="Poule D" xr:uid="{FF8407BB-E804-4A5E-B8FF-85A8A724448E}"/>
    <hyperlink ref="AS20:AS21" location="PE!N18" display="Poule E" xr:uid="{3A3C89B3-29AB-475D-AEC7-D43E492756D2}"/>
    <hyperlink ref="AS22:AS23" location="PF!N18" display="Poule F" xr:uid="{2A04BCBA-2DE1-4048-8473-1B02E8C1C279}"/>
    <hyperlink ref="AS25:AS26" location="PG!N18" display="Poule G" xr:uid="{E91B41DC-7ADD-48B5-A83D-BD402D2DFC8B}"/>
    <hyperlink ref="AS27:AS28" location="PH!N18" display="Poule H" xr:uid="{9BF76B0B-1C65-4B23-B797-26553D980EA4}"/>
    <hyperlink ref="AS30:AS31" location="PI!N18" display="Poule I" xr:uid="{E5670E6C-5F33-4598-8099-F39E6CD08B4B}"/>
    <hyperlink ref="AS32:AS33" location="PJ!N18" display="Poule J" xr:uid="{DEEC7C8F-80AC-4F71-B0B0-B1DFBDCE19A3}"/>
    <hyperlink ref="AS35:AS36" location="PK!N18" display="Poule K" xr:uid="{E7F1787E-0604-4461-9946-54434D8340C2}"/>
    <hyperlink ref="AS37:AS38" location="PL!N18" display="Poule L" xr:uid="{204148A7-B281-4562-A6D7-18F548963F18}"/>
    <hyperlink ref="AV2" location="'Phase finale'!A1" display="Phase Finale" xr:uid="{983F707F-FA89-465B-8692-B4F403D9F16E}"/>
    <hyperlink ref="AV9:AV11" location="RESULTATS!A1" display="RESULTATS" xr:uid="{24EF9927-3467-4D0B-B9AB-CDEA0AA8F691}"/>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6401" id="{B95CD203-F40B-4FE2-80BE-950736D7D83F}">
            <xm:f>AND(COUNT(PF!$A$6:$A$11)=3,PF!$AO$4&gt;2)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6432" id="{62365F23-815B-41A5-AAA9-8D5B37FDD303}">
            <xm:f>AND(COUNT(PF!$A$6:$A$11)=4,PF!$AO$4&gt;2)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063057CB-19D8-4DE1-9782-3F7D7013AE4C}">
            <xm:f>PF!$AO$4=2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6474" id="{BC296E81-B187-4960-95CC-D3D93086DC84}">
            <xm:f>AND(COUNT(PF!$A$6:$A$11)=4,PF!$AO$4&gt;2)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09E44428-6BD7-4F22-A4CA-3E80BA43B628}">
            <xm:f>PF!$AO$4=2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6494" id="{866A9583-95EA-49AE-AC4C-4E157E94932C}">
            <xm:f>AND(COUNT(PF!$A$6:$A$11)=5,PF!$AO$4&gt;2)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6499" id="{5C2CC917-A6D1-4672-926E-53F4D5135CC7}">
            <xm:f>AND(COUNT(PF!$A$6:$A$11)&gt;=5,PF!$AO$4&gt;2)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6554" id="{43B5A8B7-1C6D-4069-B193-7245BC76B29C}">
            <xm:f>AND(COUNT(PF!$A$6:$A$11)&gt;=5,PF!$AO$4&gt;2)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6629" id="{B9AFE1F8-B4D7-4DAA-BF22-BFFCCA3AF4DC}">
            <xm:f>AND(COUNT(PF!$A$6:$A$11)=3,PF!$AO$4&gt;2)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6657" id="{2AB626D2-4D5C-4C31-A12B-951A6253CEC8}">
            <xm:f>PF!$AO$4=2</xm:f>
            <x14:dxf>
              <border>
                <top/>
                <vertical/>
                <horizontal/>
              </border>
            </x14:dxf>
          </x14:cfRule>
          <x14:cfRule type="expression" priority="16656" id="{DBBD1C10-D6CD-43A9-8CE7-35D43687AE09}">
            <xm:f>AND(COUNT(PF!$A$6:$A$11)=4,PF!$AO$4&gt;2)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6692" id="{DE2C2EA8-6143-4D9B-948B-BF82CD330532}">
            <xm:f>AND(COUNT(PF!$A$6:$A$11)&gt;=5,PF!$AO$4&gt;2)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6767" id="{55D6DE70-4095-4248-879F-B8C1BB58D6F6}">
            <xm:f>AND(COUNT(PF!$A$6:$A$11)=3,PF!$AO$4&gt;2)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6794" id="{5C0D5515-AC13-4726-BF17-592633BFEA97}">
            <xm:f>AND(COUNT(PF!$A$6:$A$11)=4,PF!$AO$4&gt;2)</xm:f>
            <x14:dxf>
              <border>
                <bottom/>
                <vertical/>
                <horizontal/>
              </border>
            </x14:dxf>
          </x14:cfRule>
          <x14:cfRule type="expression" priority="16795" id="{6AD167D3-6392-4418-B648-004CC77BE17F}">
            <xm:f>PF!$AO$4=2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6830" id="{338CC200-6236-4E1F-8ED4-45BBE8AE563D}">
            <xm:f>AND(COUNT(PF!$A$6:$A$11)=4,PF!$AO$4&gt;2)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6860" id="{0A9FF52C-7C72-44D5-8594-8B8F64061FCE}">
            <xm:f>PF!$AO$4=2</xm:f>
            <x14:dxf>
              <border>
                <bottom/>
                <vertical/>
                <horizontal/>
              </border>
            </x14:dxf>
          </x14:cfRule>
          <x14:cfRule type="expression" priority="16861" id="{418EC53F-5826-4DD7-AC57-F4440B3539DF}">
            <xm:f>AND(COUNT(PF!$A$6:$A$11)=4,PF!$AO$4&gt;2)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6862" id="{7C414546-C078-4B13-93DC-387F7B4B5549}">
            <xm:f>AND(COUNT(PF!$A$6:$A$11)=4,PF!$AO$4&gt;2)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6892" id="{375AF2DA-A59C-4302-8476-D32E86797E34}">
            <xm:f>AND(COUNT(PF!$A$6:$A$11)=3,PF!$AO$4&gt;2)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6904" id="{A650F278-346A-4C52-A92D-A27F8706AC64}">
            <xm:f>AND(COUNT(PF!$A$6:$A$11)&gt;=5,PF!$AO$4&gt;2)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6929" id="{768229F9-3925-47AA-94BD-BB838DF7609D}">
            <xm:f>AND(COUNT(PF!$A$6:$A$11)=6,PF!$AO$4&gt;2)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6962" id="{DE94447F-D236-421F-8F25-A585A794F52B}">
            <xm:f>AND(COUNT(PF!$A$6:$A$11)=6,PF!$AO$4&gt;2)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6987" id="{BB3434DE-FBBA-4C3A-8899-6189C46A4510}">
            <xm:f>AND(COUNT(PF!$A$6:$A$11)=6,PF!$AO$4&gt;2)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7020" id="{E0D940CD-A2F0-4F1D-B968-D419CB2B9017}">
            <xm:f>AND(COUNT(PF!$A$6:$A$11)=6,PF!$AO$4&gt;2)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7039" id="{BB1DA337-BEFB-491B-B8ED-6FE6AB240EBE}">
            <xm:f>AND(LEFT(PF!$F$13)="F",$AL$11=1,PF!$BU$5="X")</xm:f>
            <x14:dxf>
              <font>
                <color rgb="FF8E0000"/>
              </font>
              <fill>
                <patternFill>
                  <bgColor rgb="FFFBE93B"/>
                </patternFill>
              </fill>
            </x14:dxf>
          </x14:cfRule>
          <x14:cfRule type="expression" priority="17038" id="{D71185D0-9C70-4533-A0B1-2A9BF0FC361B}">
            <xm:f>AND(LEFT(PF!$F$13)="F",$AL$11=2,PF!$BU$5="X")</xm:f>
            <x14:dxf>
              <font>
                <color rgb="FF8E0000"/>
              </font>
              <fill>
                <patternFill>
                  <bgColor theme="2"/>
                </patternFill>
              </fill>
            </x14:dxf>
          </x14:cfRule>
          <x14:cfRule type="expression" priority="17037" id="{A8C8613B-932B-49E8-B67B-BAFF3D7B61B8}">
            <xm:f>AND(LEFT(PF!$F$13)="F",$AL$11=3,PF!$BU$5="X")</xm:f>
            <x14:dxf>
              <font>
                <color rgb="FF8E0000"/>
              </font>
              <fill>
                <patternFill>
                  <bgColor rgb="FFFECF82"/>
                </patternFill>
              </fill>
            </x14:dxf>
          </x14:cfRule>
          <xm:sqref>AL11</xm:sqref>
        </x14:conditionalFormatting>
        <x14:conditionalFormatting xmlns:xm="http://schemas.microsoft.com/office/excel/2006/main">
          <x14:cfRule type="expression" priority="17041" id="{7B83FD3F-BD57-4839-AEBE-03C501E5AD1B}">
            <xm:f>AND(LEFT(PF!$F$13)="F",$AL$16=2,PF!$BU$5="X")</xm:f>
            <x14:dxf>
              <font>
                <color rgb="FF8E0000"/>
              </font>
              <fill>
                <patternFill>
                  <bgColor theme="2"/>
                </patternFill>
              </fill>
            </x14:dxf>
          </x14:cfRule>
          <x14:cfRule type="expression" priority="17042" id="{97CF3F57-BC71-47D4-BA3B-77251FEDCFB5}">
            <xm:f>AND(LEFT(PF!$F$13)="F",$AL$16=1,PF!$BU$5="X")</xm:f>
            <x14:dxf>
              <font>
                <color rgb="FF8E0000"/>
              </font>
              <fill>
                <patternFill>
                  <bgColor rgb="FFFBE93B"/>
                </patternFill>
              </fill>
            </x14:dxf>
          </x14:cfRule>
          <x14:cfRule type="expression" priority="17040" id="{C84981AA-50A4-4487-952D-D5ADC2E8664F}">
            <xm:f>AND(LEFT(PF!$F$13)="F",$AL$16=3,PF!$BU$5="X")</xm:f>
            <x14:dxf>
              <font>
                <color rgb="FF8E0000"/>
              </font>
              <fill>
                <patternFill>
                  <bgColor rgb="FFFECF82"/>
                </patternFill>
              </fill>
            </x14:dxf>
          </x14:cfRule>
          <xm:sqref>AL16</xm:sqref>
        </x14:conditionalFormatting>
        <x14:conditionalFormatting xmlns:xm="http://schemas.microsoft.com/office/excel/2006/main">
          <x14:cfRule type="expression" priority="17043" id="{8401522A-5287-453C-B70C-BC37A608ADE1}">
            <xm:f>AND(LEFT(PF!$F$13)="F",$AL$21=3,PF!$BU$5="X")</xm:f>
            <x14:dxf>
              <font>
                <color rgb="FF8E0000"/>
              </font>
              <fill>
                <patternFill>
                  <bgColor rgb="FFFECF82"/>
                </patternFill>
              </fill>
            </x14:dxf>
          </x14:cfRule>
          <x14:cfRule type="expression" priority="17044" id="{D8436AFB-1D18-4603-8FA6-E7166013283C}">
            <xm:f>AND(LEFT(PF!$F$13)="F",$AL$21=2,PF!$BU$5="X")</xm:f>
            <x14:dxf>
              <font>
                <color rgb="FF8E0000"/>
              </font>
              <fill>
                <patternFill>
                  <bgColor theme="2"/>
                </patternFill>
              </fill>
            </x14:dxf>
          </x14:cfRule>
          <x14:cfRule type="expression" priority="17045" id="{0964B345-EBA8-4B81-9A38-CAE377AE5B04}">
            <xm:f>AND(LEFT(PF!$F$13)="F",$AL$21=1,PF!$BU$5="X")</xm:f>
            <x14:dxf>
              <font>
                <color rgb="FF8E0000"/>
              </font>
              <fill>
                <patternFill>
                  <bgColor rgb="FFFBE93B"/>
                </patternFill>
              </fill>
            </x14:dxf>
          </x14:cfRule>
          <xm:sqref>AL21</xm:sqref>
        </x14:conditionalFormatting>
        <x14:conditionalFormatting xmlns:xm="http://schemas.microsoft.com/office/excel/2006/main">
          <x14:cfRule type="expression" priority="17048" id="{F3F462C9-478F-4F17-86D1-28625DE2867C}">
            <xm:f>AND(LEFT(PF!$F$13)="F",$AL$26=1,PF!$BU$5="X")</xm:f>
            <x14:dxf>
              <font>
                <color rgb="FF8E0000"/>
              </font>
              <fill>
                <patternFill>
                  <bgColor rgb="FFFBE93B"/>
                </patternFill>
              </fill>
            </x14:dxf>
          </x14:cfRule>
          <x14:cfRule type="expression" priority="17047" id="{6818ECEB-9898-424A-A935-1451C556ABDC}">
            <xm:f>AND(LEFT(PF!$F$13)="F",$AL$26=2,PF!$BU$5="X")</xm:f>
            <x14:dxf>
              <font>
                <color rgb="FF8E0000"/>
              </font>
              <fill>
                <patternFill>
                  <bgColor theme="2"/>
                </patternFill>
              </fill>
            </x14:dxf>
          </x14:cfRule>
          <x14:cfRule type="expression" priority="17046" id="{E948DE97-1B85-46FF-A65A-54457BD6EC9B}">
            <xm:f>AND(LEFT(PF!$F$13)="F",$AL$26=3,PF!$BU$5="X")</xm:f>
            <x14:dxf>
              <font>
                <color rgb="FF8E0000"/>
              </font>
              <fill>
                <patternFill>
                  <bgColor rgb="FFFECF82"/>
                </patternFill>
              </fill>
            </x14:dxf>
          </x14:cfRule>
          <xm:sqref>AL26</xm:sqref>
        </x14:conditionalFormatting>
        <x14:conditionalFormatting xmlns:xm="http://schemas.microsoft.com/office/excel/2006/main">
          <x14:cfRule type="expression" priority="17050" id="{A9404568-7BA8-4FBD-BECD-07147564B7A9}">
            <xm:f>AND(LEFT(PF!$F$13)="F",$AL$31=2,PF!$BU$5="X")</xm:f>
            <x14:dxf>
              <font>
                <color rgb="FF8E0000"/>
              </font>
              <fill>
                <patternFill>
                  <bgColor theme="2"/>
                </patternFill>
              </fill>
            </x14:dxf>
          </x14:cfRule>
          <x14:cfRule type="expression" priority="17049" id="{83B05C48-5317-4426-99D8-F4F49AA338AD}">
            <xm:f>AND(LEFT(PF!$F$13)="F",$AL$31=3,PF!$BU$5="X")</xm:f>
            <x14:dxf>
              <font>
                <color rgb="FF8E0000"/>
              </font>
              <fill>
                <patternFill>
                  <bgColor rgb="FFFECF82"/>
                </patternFill>
              </fill>
            </x14:dxf>
          </x14:cfRule>
          <x14:cfRule type="expression" priority="17051" id="{E8FB035A-6828-48A5-ADF8-A7606081B3A0}">
            <xm:f>AND(LEFT(PF!$F$13)="F",$AL$31=1,PF!$BU$5="X")</xm:f>
            <x14:dxf>
              <font>
                <color rgb="FF8E0000"/>
              </font>
              <fill>
                <patternFill>
                  <bgColor rgb="FFFBE93B"/>
                </patternFill>
              </fill>
            </x14:dxf>
          </x14:cfRule>
          <xm:sqref>AL31</xm:sqref>
        </x14:conditionalFormatting>
        <x14:conditionalFormatting xmlns:xm="http://schemas.microsoft.com/office/excel/2006/main">
          <x14:cfRule type="expression" priority="17052" id="{243399B3-EB19-431B-98A7-9D7E6D6E0E95}">
            <xm:f>AND(LEFT(PF!$F$13)="F",$AL$36=3,PF!$BU$5="X")</xm:f>
            <x14:dxf>
              <font>
                <color rgb="FF8E0000"/>
              </font>
              <fill>
                <patternFill>
                  <bgColor rgb="FFFECF82"/>
                </patternFill>
              </fill>
            </x14:dxf>
          </x14:cfRule>
          <x14:cfRule type="expression" priority="17053" id="{39C448F9-53EF-43DB-969B-D304781082E8}">
            <xm:f>AND(LEFT(PF!$F$13)="F",$AL$36=2,PF!$BU$5="X")</xm:f>
            <x14:dxf>
              <font>
                <color rgb="FF8E0000"/>
              </font>
              <fill>
                <patternFill>
                  <bgColor theme="2"/>
                </patternFill>
              </fill>
            </x14:dxf>
          </x14:cfRule>
          <x14:cfRule type="expression" priority="17054" id="{646FFCA4-A862-4C69-B41A-0E5BAE79D00E}">
            <xm:f>AND(LEFT(PF!$F$13)="F",$AL$36=1,PF!$BU$5="X")</xm:f>
            <x14:dxf>
              <font>
                <color rgb="FF8E0000"/>
              </font>
              <fill>
                <patternFill>
                  <bgColor rgb="FFFBE93B"/>
                </patternFill>
              </fill>
            </x14:dxf>
          </x14:cfRule>
          <xm:sqref>AL36</xm:sqref>
        </x14:conditionalFormatting>
        <x14:conditionalFormatting xmlns:xm="http://schemas.microsoft.com/office/excel/2006/main">
          <x14:cfRule type="expression" priority="148" id="{92112750-2DEE-4D1D-B2C3-F19294F06455}">
            <xm:f>LEFT(PF!$B$15)="3"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888" id="{83CE210D-D2A3-4BAB-B3AF-5E830327626F}">
            <xm:f>AND(LEFT(PA!$F$13)="P",PA!$AO$4&gt;1)</xm:f>
            <x14:dxf>
              <border>
                <bottom/>
                <vertical/>
                <horizontal/>
              </border>
            </x14:dxf>
          </x14:cfRule>
          <xm:sqref>AP10 AP12 AP15 AP17</xm:sqref>
        </x14:conditionalFormatting>
        <x14:conditionalFormatting xmlns:xm="http://schemas.microsoft.com/office/excel/2006/main">
          <x14:cfRule type="expression" priority="4" id="{4018073C-4247-43C6-B65D-489B97BADAF8}">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892" id="{BF227BCE-9533-45BF-810E-83835D1B0D0B}">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894" id="{EB718863-48AB-4B96-9276-54BA671CFBC3}">
            <xm:f>AND(LEFT(PA!$F$13)="P",PA!$AO$4&gt;1)</xm:f>
            <x14:dxf>
              <border>
                <top/>
                <vertical/>
                <horizontal/>
              </border>
            </x14:dxf>
          </x14:cfRule>
          <xm:sqref>AP11 AP13 AP16 AP18</xm:sqref>
        </x14:conditionalFormatting>
        <x14:conditionalFormatting xmlns:xm="http://schemas.microsoft.com/office/excel/2006/main">
          <x14:cfRule type="expression" priority="11918" id="{48E15CAA-F954-4BC1-9F2B-5E5C5C946DEF}">
            <xm:f>AND(LEFT(PA!$F$13)="P",PA!$AO$4&gt;1)</xm:f>
            <x14:dxf>
              <fill>
                <patternFill>
                  <bgColor theme="1"/>
                </patternFill>
              </fill>
            </x14:dxf>
          </x14:cfRule>
          <xm:sqref>AP14 AP19</xm:sqref>
        </x14:conditionalFormatting>
        <x14:conditionalFormatting xmlns:xm="http://schemas.microsoft.com/office/excel/2006/main">
          <x14:cfRule type="expression" priority="11898" id="{720D280B-27EB-47B2-A1BA-BD025B118A15}">
            <xm:f>AND(LEFT(PA!$F$13)="P",PA!$AO$4&gt;2)</xm:f>
            <x14:dxf>
              <border>
                <bottom/>
                <vertical/>
                <horizontal/>
              </border>
            </x14:dxf>
          </x14:cfRule>
          <xm:sqref>AP20 AP22</xm:sqref>
        </x14:conditionalFormatting>
        <x14:conditionalFormatting xmlns:xm="http://schemas.microsoft.com/office/excel/2006/main">
          <x14:cfRule type="expression" priority="11900" id="{90003965-C941-4820-AEEE-70828347F137}">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901" id="{DE482388-1B53-4824-820C-C61A80CAB238}">
            <xm:f>AND(LEFT(PA!$F$13)="P",PA!$AO$4&gt;2)</xm:f>
            <x14:dxf>
              <border>
                <top/>
                <vertical/>
                <horizontal/>
              </border>
            </x14:dxf>
          </x14:cfRule>
          <xm:sqref>AP21 AP23</xm:sqref>
        </x14:conditionalFormatting>
        <x14:conditionalFormatting xmlns:xm="http://schemas.microsoft.com/office/excel/2006/main">
          <x14:cfRule type="expression" priority="11920" id="{671B0A49-16D8-4CD1-A50C-5F2E8E9F9BDC}">
            <xm:f>AND(LEFT(PA!$F$13)="P",PA!$AO$4&gt;2)</xm:f>
            <x14:dxf>
              <fill>
                <patternFill>
                  <bgColor theme="1"/>
                </patternFill>
              </fill>
            </x14:dxf>
          </x14:cfRule>
          <xm:sqref>AP24</xm:sqref>
        </x14:conditionalFormatting>
        <x14:conditionalFormatting xmlns:xm="http://schemas.microsoft.com/office/excel/2006/main">
          <x14:cfRule type="expression" priority="11903" id="{5290B1D4-3F1C-40FF-A5AA-A8F2058DD297}">
            <xm:f>AND(LEFT(PA!$F$13)="P",PA!$AO$4&gt;2,COUNT(PA!$A$6:$A$11)&gt;3)</xm:f>
            <x14:dxf>
              <border>
                <bottom/>
                <vertical/>
                <horizontal/>
              </border>
            </x14:dxf>
          </x14:cfRule>
          <xm:sqref>AP25 AP27</xm:sqref>
        </x14:conditionalFormatting>
        <x14:conditionalFormatting xmlns:xm="http://schemas.microsoft.com/office/excel/2006/main">
          <x14:cfRule type="expression" priority="11905" id="{4318E034-9FF4-451D-B843-51FD9DDC8898}">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906" id="{754F0738-17F9-4C99-BCA3-5B646458965A}">
            <xm:f>AND(LEFT(PA!$F$13)="P",PA!$AO$4&gt;2,COUNT(PA!$A$6:$A$11)&gt;3)</xm:f>
            <x14:dxf>
              <border>
                <top/>
                <vertical/>
                <horizontal/>
              </border>
            </x14:dxf>
          </x14:cfRule>
          <xm:sqref>AP26 AP28</xm:sqref>
        </x14:conditionalFormatting>
        <x14:conditionalFormatting xmlns:xm="http://schemas.microsoft.com/office/excel/2006/main">
          <x14:cfRule type="expression" priority="11921" id="{B79224CB-6106-4538-9A1B-9B153EDF4214}">
            <xm:f>AND(LEFT(PA!$F$13)="P",PA!$AO$4&gt;2,COUNT(PA!$A$6:$A$11)&gt;3)</xm:f>
            <x14:dxf>
              <fill>
                <patternFill>
                  <bgColor theme="1"/>
                </patternFill>
              </fill>
            </x14:dxf>
          </x14:cfRule>
          <xm:sqref>AP29</xm:sqref>
        </x14:conditionalFormatting>
        <x14:conditionalFormatting xmlns:xm="http://schemas.microsoft.com/office/excel/2006/main">
          <x14:cfRule type="expression" priority="11908" id="{6B443154-7063-4151-AB93-CECB57A24DB6}">
            <xm:f>AND(LEFT(PA!$F$13)="P",PA!$AO$4&gt;2,COUNT(PA!$A$6:$A$11)&gt;4)</xm:f>
            <x14:dxf>
              <border>
                <bottom/>
                <vertical/>
                <horizontal/>
              </border>
            </x14:dxf>
          </x14:cfRule>
          <xm:sqref>AP30 AP32</xm:sqref>
        </x14:conditionalFormatting>
        <x14:conditionalFormatting xmlns:xm="http://schemas.microsoft.com/office/excel/2006/main">
          <x14:cfRule type="expression" priority="11910" id="{EB013475-EE40-4AD5-86E1-D3215F553FF7}">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911" id="{258699CE-013B-4392-8B38-155CF934AE9F}">
            <xm:f>AND(LEFT(PA!$F$13)="P",PA!$AO$4&gt;2,COUNT(PA!$A$6:$A$11)&gt;4)</xm:f>
            <x14:dxf>
              <border>
                <top/>
                <vertical/>
                <horizontal/>
              </border>
            </x14:dxf>
          </x14:cfRule>
          <xm:sqref>AP31 AP33</xm:sqref>
        </x14:conditionalFormatting>
        <x14:conditionalFormatting xmlns:xm="http://schemas.microsoft.com/office/excel/2006/main">
          <x14:cfRule type="expression" priority="11922" id="{9B4F72F8-E07A-4699-9779-4941E591659E}">
            <xm:f>AND(LEFT(PA!$F$13)="P",PA!$AO$4&gt;2,COUNT(PA!$A$6:$A$11)&gt;4)</xm:f>
            <x14:dxf>
              <fill>
                <patternFill>
                  <bgColor theme="1"/>
                </patternFill>
              </fill>
            </x14:dxf>
          </x14:cfRule>
          <xm:sqref>AP34</xm:sqref>
        </x14:conditionalFormatting>
        <x14:conditionalFormatting xmlns:xm="http://schemas.microsoft.com/office/excel/2006/main">
          <x14:cfRule type="expression" priority="11913" id="{BBF336C4-C0A2-4E75-ACB8-B3F70F2750DF}">
            <xm:f>AND(LEFT(PA!$F$13)="P",PA!$AO$4&gt;2,COUNT(PA!$A$6:$A$11)&gt;5)</xm:f>
            <x14:dxf>
              <border>
                <bottom/>
                <vertical/>
                <horizontal/>
              </border>
            </x14:dxf>
          </x14:cfRule>
          <xm:sqref>AP35 AP37</xm:sqref>
        </x14:conditionalFormatting>
        <x14:conditionalFormatting xmlns:xm="http://schemas.microsoft.com/office/excel/2006/main">
          <x14:cfRule type="expression" priority="11915" id="{8EE284DF-6869-44C8-92E8-00B9B1670947}">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916" id="{2EA968A7-661E-43FE-8E42-6C91642CB552}">
            <xm:f>AND(LEFT(PA!$F$13)="P",PA!$AO$4&gt;2,COUNT(PA!$A$6:$A$11)&gt;5)</xm:f>
            <x14:dxf>
              <border>
                <top/>
                <vertical/>
                <horizontal/>
              </border>
            </x14:dxf>
          </x14:cfRule>
          <xm:sqref>AP36 AP38</xm:sqref>
        </x14:conditionalFormatting>
        <x14:conditionalFormatting xmlns:xm="http://schemas.microsoft.com/office/excel/2006/main">
          <x14:cfRule type="expression" priority="17055" id="{052A6246-6531-402C-87BF-152BAC41ACFC}">
            <xm:f>AND(LEFT(PF!$F$13)="P",PF!$AO$4&gt;1)</xm:f>
            <x14:dxf>
              <fill>
                <patternFill>
                  <bgColor theme="1"/>
                </patternFill>
              </fill>
            </x14:dxf>
          </x14:cfRule>
          <xm:sqref>AP9:AQ9 AQ10:AQ19</xm:sqref>
        </x14:conditionalFormatting>
        <x14:conditionalFormatting xmlns:xm="http://schemas.microsoft.com/office/excel/2006/main">
          <x14:cfRule type="expression" priority="17057" id="{5597ED06-5905-44FA-820A-054326BA5092}">
            <xm:f>AND(LEFT(PF!$F$13)="P",PF!$AO$4&gt;2)</xm:f>
            <x14:dxf>
              <fill>
                <patternFill>
                  <bgColor theme="1"/>
                </patternFill>
              </fill>
            </x14:dxf>
          </x14:cfRule>
          <xm:sqref>AQ20:AQ24</xm:sqref>
        </x14:conditionalFormatting>
        <x14:conditionalFormatting xmlns:xm="http://schemas.microsoft.com/office/excel/2006/main">
          <x14:cfRule type="expression" priority="17058" id="{CF356238-33EE-4F3E-8B2A-22E5E444C097}">
            <xm:f>AND(LEFT(PF!$F$13)="P",PF!$AO$4&gt;2,COUNT(PF!$A$6:$A$11)&gt;3)</xm:f>
            <x14:dxf>
              <fill>
                <patternFill>
                  <bgColor theme="1"/>
                </patternFill>
              </fill>
            </x14:dxf>
          </x14:cfRule>
          <xm:sqref>AQ25:AQ29</xm:sqref>
        </x14:conditionalFormatting>
        <x14:conditionalFormatting xmlns:xm="http://schemas.microsoft.com/office/excel/2006/main">
          <x14:cfRule type="expression" priority="17059" id="{5BF858C0-0187-4F45-AD4C-4519A828313A}">
            <xm:f>AND(LEFT(PF!$F$13)="P",PF!$AO$4&gt;2,COUNT(PF!$A$6:$A$11)&gt;4)</xm:f>
            <x14:dxf>
              <fill>
                <patternFill>
                  <bgColor theme="1"/>
                </patternFill>
              </fill>
            </x14:dxf>
          </x14:cfRule>
          <xm:sqref>AQ30:AQ34</xm:sqref>
        </x14:conditionalFormatting>
        <x14:conditionalFormatting xmlns:xm="http://schemas.microsoft.com/office/excel/2006/main">
          <x14:cfRule type="expression" priority="17060" id="{A0CA8D8B-2EDC-45C3-9553-DC224CFA5347}">
            <xm:f>AND(LEFT(PF!$F$13)="P",PF!$AO$4&gt;2,COUNT(PF!$A$6:$A$11)&gt;5)</xm:f>
            <x14:dxf>
              <fill>
                <patternFill>
                  <bgColor theme="1"/>
                </patternFill>
              </fill>
            </x14:dxf>
          </x14:cfRule>
          <xm:sqref>AQ35:AQ38 AP39:AQ39</xm:sqref>
        </x14:conditionalFormatting>
        <x14:conditionalFormatting xmlns:xm="http://schemas.microsoft.com/office/excel/2006/main">
          <x14:cfRule type="expression" priority="39" id="{211AAEDC-B763-41F1-B53B-E4E65274F6AA}">
            <xm:f>'GESTION DES JOUEURS'!$T$8&lt;2</xm:f>
            <x14:dxf>
              <font>
                <color theme="0" tint="-0.24994659260841701"/>
              </font>
              <fill>
                <patternFill>
                  <bgColor theme="0" tint="-0.24994659260841701"/>
                </patternFill>
              </fill>
            </x14:dxf>
          </x14:cfRule>
          <x14:cfRule type="expression" priority="40" id="{3BF2707E-950F-42FB-A277-A77F3F73D4D5}">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A4356479-6FAA-4D95-9CD1-D89B623B1A2B}">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C91BAF7D-11AC-435A-9D35-91057A24A9CC}">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55821051-24FC-4DF0-A2C3-0AD32D4B1232}">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688631AB-55D3-4070-BC0C-7CAFE661123F}">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44403A4E-8A12-4669-8C26-D6BF1BD0DF33}">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16ECF8BB-4BF2-482A-967E-B72C28A81222}">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0DA02D1A-74B0-408B-A8A5-043441618757}">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DA84A942-E4E2-4BF3-B770-4E5C26DC305C}">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10227DE4-C0FD-4DDB-8924-E24573B1BE3A}">
            <xm:f>'GESTION DES JOUEURS'!$D$8="Finale"</xm:f>
            <x14:dxf>
              <font>
                <color theme="0" tint="-0.24994659260841701"/>
              </font>
              <fill>
                <patternFill>
                  <bgColor theme="0" tint="-0.24994659260841701"/>
                </patternFill>
              </fill>
            </x14:dxf>
          </x14:cfRule>
          <x14:cfRule type="expression" priority="25" id="{A83E8C83-31BF-4863-BBFA-D18EF2CBBE11}">
            <xm:f>OR('GESTION DES JOUEURS'!$D$8="poules",'GESTION DES JOUEURS'!$D$8="Finale")</xm:f>
            <x14:dxf>
              <font>
                <color theme="0" tint="-0.24994659260841701"/>
              </font>
              <fill>
                <patternFill>
                  <fgColor auto="1"/>
                  <bgColor theme="0" tint="-0.24994659260841701"/>
                </patternFill>
              </fill>
            </x14:dxf>
          </x14:cfRule>
          <x14:cfRule type="expression" priority="24" id="{D1B8B93A-7692-4BA6-BE67-0C0902A80CEE}">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F999B603-DC65-4CF6-BA64-943ED9278F6F}">
            <xm:f>'GESTION DES JOUEURS'!$T$8=1</xm:f>
            <x14:dxf>
              <font>
                <color theme="0" tint="-0.24994659260841701"/>
              </font>
              <fill>
                <patternFill>
                  <bgColor theme="0" tint="-0.24994659260841701"/>
                </patternFill>
              </fill>
            </x14:dxf>
          </x14:cfRule>
          <x14:cfRule type="expression" priority="3" id="{8AA563BF-5D6E-4E7B-83D9-E186F0312A15}">
            <xm:f>OR('GESTION DES JOUEURS'!$D$8="Poules",'GESTION DES JOUEURS'!$D$8="Finale",'GESTION DES JOUEURS'!$D$8="Tournoi")</xm:f>
            <x14:dxf>
              <font>
                <color theme="0" tint="-0.24994659260841701"/>
              </font>
              <fill>
                <patternFill>
                  <bgColor theme="0" tint="-0.24994659260841701"/>
                </patternFill>
              </fill>
            </x14:dxf>
          </x14:cfRule>
          <x14:cfRule type="expression" priority="2" id="{1197178D-FBE4-4DFD-8B7B-3B88280179BB}">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B46EAEAB-FC4E-49F3-A67A-EDB0BA75DF32}">
            <xm:f>'GESTION DES JOUEURS'!$T$8=1</xm:f>
            <x14:dxf>
              <font>
                <color theme="0" tint="-0.24994659260841701"/>
              </font>
              <fill>
                <patternFill>
                  <bgColor theme="0" tint="-0.24994659260841701"/>
                </patternFill>
              </fill>
            </x14:dxf>
          </x14:cfRule>
          <x14:cfRule type="expression" priority="53" id="{6CC24281-8B18-465B-B3EA-07BF040DE7F6}">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05691-9321-436B-8005-96D643C12E0C}">
  <sheetPr>
    <tabColor rgb="FFB9AAF8"/>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988" t="str">
        <f>'GESTION DES JOUEURS'!M23</f>
        <v>Poule G</v>
      </c>
      <c r="C2" s="989"/>
      <c r="D2" s="989"/>
      <c r="E2" s="989"/>
      <c r="F2" s="989"/>
      <c r="G2" s="989"/>
      <c r="H2" s="989"/>
      <c r="I2" s="989"/>
      <c r="J2" s="989"/>
      <c r="K2" s="989"/>
      <c r="L2" s="989"/>
      <c r="M2" s="989"/>
      <c r="N2" s="989"/>
      <c r="O2" s="989"/>
      <c r="P2" s="989"/>
      <c r="Q2" s="989"/>
      <c r="R2" s="989"/>
      <c r="S2" s="989"/>
      <c r="T2" s="989"/>
      <c r="U2" s="989"/>
      <c r="V2" s="989"/>
      <c r="W2" s="989"/>
      <c r="X2" s="990"/>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IFERROR(VLOOKUP("G1",'GESTION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JOUEURS'!$Y$8="R",PouleATerminée="X"),_xlfn.XLOOKUP(($AO$4&amp;_xlfn.XLOOKUP(B6,$B$37:$B$42,$Q$37:$Q$42,"",0,1)&amp;_xlfn.XLOOKUP(B6,$B$37:$B$42,PG!$AE$37:$AE$42,"",0,1)),PTSRKPOULES[Colonne1],PTSRKPOULES[PR 3B],"",0,1),IF(AND('GESTION DES JOUEURS'!$D$8="Poules",'GESTION DES JOUEURS'!$Y$8="JDSR",PouleATerminée="X"),_xlfn.XLOOKUP($AO$4&amp;_xlfn.XLOOKUP(B6,$B$37:$B$42,$Q$37:$Q$42,"",0,1)&amp;_xlfn.XLOOKUP(B6,$B$37:$B$42,PG!$AE$37:$AE$42,"",0,1),PTSRKPOULES[Colonne1],PTSRKPOULES[PR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IFERROR(VLOOKUP("G2",'GESTION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JOUEURS'!$Y$8="R",PouleATerminée="X"),_xlfn.XLOOKUP(($AO$4&amp;_xlfn.XLOOKUP(B7,$B$37:$B$42,$Q$37:$Q$42,"",0,1)&amp;_xlfn.XLOOKUP(B7,$B$37:$B$42,PG!$AE$37:$AE$42,"",0,1)),PTSRKPOULES[Colonne1],PTSRKPOULES[PR 3B],"",0,1),IF(AND('GESTION DES JOUEURS'!$D$8="Poules",'GESTION DES JOUEURS'!$Y$8="JDSR",PouleATerminée="X"),_xlfn.XLOOKUP($AO$4&amp;_xlfn.XLOOKUP(B7,$B$37:$B$42,$Q$37:$Q$42,"",0,1)&amp;_xlfn.XLOOKUP(B7,$B$37:$B$42,PG!$AE$37:$AE$42,"",0,1),PTSRKPOULES[Colonne1],PTSRKPOULES[PR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IFERROR(VLOOKUP("G3",'GESTION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JOUEURS'!$Y$8="R",PouleATerminée="X"),_xlfn.XLOOKUP(($AO$4&amp;_xlfn.XLOOKUP(B8,$B$37:$B$42,$Q$37:$Q$42,"",0,1)&amp;_xlfn.XLOOKUP(B8,$B$37:$B$42,PG!$AE$37:$AE$42,"",0,1)),PTSRKPOULES[Colonne1],PTSRKPOULES[PR 3B],"",0,1),IF(AND('GESTION DES JOUEURS'!$D$8="Poules",'GESTION DES JOUEURS'!$Y$8="JDSR",PouleATerminée="X"),_xlfn.XLOOKUP($AO$4&amp;_xlfn.XLOOKUP(B8,$B$37:$B$42,$Q$37:$Q$42,"",0,1)&amp;_xlfn.XLOOKUP(B8,$B$37:$B$42,PG!$AE$37:$AE$42,"",0,1),PTSRKPOULES[Colonne1],PTSRKPOULES[PR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IFERROR(VLOOKUP("G4",'GESTION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JOUEURS'!$Y$8="R",PouleATerminée="X"),_xlfn.XLOOKUP(($AO$4&amp;_xlfn.XLOOKUP(B9,$B$37:$B$42,$Q$37:$Q$42,"",0,1)&amp;_xlfn.XLOOKUP(B9,$B$37:$B$42,PG!$AE$37:$AE$42,"",0,1)),PTSRKPOULES[Colonne1],PTSRKPOULES[PR 3B],"",0,1),IF(AND('GESTION DES JOUEURS'!$D$8="Poules",'GESTION DES JOUEURS'!$Y$8="JDSR",PouleATerminée="X"),_xlfn.XLOOKUP($AO$4&amp;_xlfn.XLOOKUP(B9,$B$37:$B$42,$Q$37:$Q$42,"",0,1)&amp;_xlfn.XLOOKUP(B9,$B$37:$B$42,PG!$AE$37:$AE$42,"",0,1),PTSRKPOULES[Colonne1],PTSRKPOULES[PR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IFERROR(VLOOKUP("G5",'GESTION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JOUEURS'!$Y$8="R",PouleATerminée="X"),_xlfn.XLOOKUP(($AO$4&amp;_xlfn.XLOOKUP(B10,$B$37:$B$42,$Q$37:$Q$42,"",0,1)&amp;_xlfn.XLOOKUP(B10,$B$37:$B$42,PG!$AE$37:$AE$42,"",0,1)),PTSRKPOULES[Colonne1],PTSRKPOULES[PR 3B],"",0,1),IF(AND('GESTION DES JOUEURS'!$D$8="Poules",'GESTION DES JOUEURS'!$Y$8="JDSR",PouleATerminée="X"),_xlfn.XLOOKUP($AO$4&amp;_xlfn.XLOOKUP(B10,$B$37:$B$42,$Q$37:$Q$42,"",0,1)&amp;_xlfn.XLOOKUP(B10,$B$37:$B$42,PG!$AE$37:$AE$42,"",0,1),PTSRKPOULES[Colonne1],PTSRKPOULES[PR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IFERROR(VLOOKUP("G6",'GESTION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JOUEURS'!$Y$8="R",PouleATerminée="X"),_xlfn.XLOOKUP(($AO$4&amp;_xlfn.XLOOKUP(B11,$B$37:$B$42,$Q$37:$Q$42,"",0,1)&amp;_xlfn.XLOOKUP(B11,$B$37:$B$42,PG!$AE$37:$AE$42,"",0,1)),PTSRKPOULES[Colonne1],PTSRKPOULES[PR 3B],"",0,1),IF(AND('GESTION DES JOUEURS'!$D$8="Poules",'GESTION DES JOUEURS'!$Y$8="JDSR",PouleATerminée="X"),_xlfn.XLOOKUP($AO$4&amp;_xlfn.XLOOKUP(B11,$B$37:$B$42,$Q$37:$Q$42,"",0,1)&amp;_xlfn.XLOOKUP(B11,$B$37:$B$42,PG!$AE$37:$AE$42,"",0,1),PTSRKPOULES[Colonne1],PTSRKPOULES[PR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IF(K13="Poule","G","")</f>
        <v>G</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G</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991" t="str">
        <f>"TABLEAU "&amp;CHAR(10)&amp;B2</f>
        <v>TABLEAU 
Poule G</v>
      </c>
      <c r="V37" s="992"/>
      <c r="W37" s="992"/>
      <c r="X37" s="993"/>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994"/>
      <c r="V38" s="995"/>
      <c r="W38" s="995"/>
      <c r="X38" s="996"/>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994"/>
      <c r="V39" s="995"/>
      <c r="W39" s="995"/>
      <c r="X39" s="996"/>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994"/>
      <c r="V40" s="995"/>
      <c r="W40" s="995"/>
      <c r="X40" s="996"/>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994"/>
      <c r="V41" s="995"/>
      <c r="W41" s="995"/>
      <c r="X41" s="996"/>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997"/>
      <c r="V42" s="998"/>
      <c r="W42" s="998"/>
      <c r="X42" s="999"/>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MCzm9LqATFZkH4zTL/gbz5o3awjFmer18n2tgKXfsKzTJGdsGOMsI24soHfLa/BhH/gsJjri5rFADB5ocl/kOw==" saltValue="RNxMuwlFY2eR8LiHU7H4uQ=="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1004" priority="3">
      <formula>$B18=""</formula>
    </cfRule>
  </conditionalFormatting>
  <conditionalFormatting sqref="B19:Y32">
    <cfRule type="expression" dxfId="1003" priority="2">
      <formula>$B18=MAX($B$18:$B$32)</formula>
    </cfRule>
  </conditionalFormatting>
  <conditionalFormatting sqref="E18:E32 W18:W32">
    <cfRule type="expression" dxfId="1002" priority="4">
      <formula>LEFT($B$15)="3"</formula>
    </cfRule>
  </conditionalFormatting>
  <conditionalFormatting sqref="L13">
    <cfRule type="expression" dxfId="1001" priority="56">
      <formula>$F$13&lt;&gt;"FINALE"</formula>
    </cfRule>
  </conditionalFormatting>
  <conditionalFormatting sqref="T6:U11 N37:O42">
    <cfRule type="expression" dxfId="999" priority="57">
      <formula>LEFT($B$15)="3"</formula>
    </cfRule>
  </conditionalFormatting>
  <dataValidations count="3">
    <dataValidation type="list" allowBlank="1" showInputMessage="1" showErrorMessage="1" sqref="O7:O11" xr:uid="{18D56256-411E-4A83-8255-8499428BA7AF}">
      <formula1>"F,1,2,3,4,5,6"</formula1>
    </dataValidation>
    <dataValidation type="list" allowBlank="1" showInputMessage="1" showErrorMessage="1" sqref="W35:X35" xr:uid="{8660E139-D8F2-4106-BA27-7AB8C4E000EB}">
      <formula1>"OUI,NON"</formula1>
    </dataValidation>
    <dataValidation type="list" allowBlank="1" showInputMessage="1" showErrorMessage="1" sqref="O6" xr:uid="{25A3A6FE-B184-4A13-81C2-9A083F68F399}">
      <formula1>"1,2,3,4,5,6"</formula1>
    </dataValidation>
  </dataValidations>
  <hyperlinks>
    <hyperlink ref="AA4:AA5" location="'GESTION DES JOUEURS'!D4" display="GESTION DES JOUEURS" xr:uid="{465BFBD0-8DE1-4750-9CF5-10313DA0655A}"/>
    <hyperlink ref="U37:X42" location="'T PG'!A1" display="'T PG'!A1" xr:uid="{BE0F9130-B5F1-4A22-AE97-86B499DE06E4}"/>
    <hyperlink ref="AA9:AA10" location="PA!N18" display="PA!N18" xr:uid="{E0E23411-B1EB-4F0D-BC27-C80AB2156D25}"/>
    <hyperlink ref="AA11:AA12" location="PB!N18" display="Poule B" xr:uid="{1D1E9B1F-45ED-4B5B-A94F-25D621FF9F07}"/>
    <hyperlink ref="AA13:AA14" location="PC!N18" display="Poule C" xr:uid="{689E10B4-BD29-40B4-8461-130A6886FBD2}"/>
    <hyperlink ref="AA15:AA16" location="PD!N18" display="Poule D" xr:uid="{369B3067-D092-4A02-913D-EAC8134195C2}"/>
    <hyperlink ref="AA17:AA18" location="PE!N18" display="Poule E" xr:uid="{BACF6683-C122-4041-B408-581F70623A43}"/>
    <hyperlink ref="AA19:AA20" location="PF!N18" display="Poule F" xr:uid="{29A8FB5B-8F7F-42ED-AED5-5EAEB913298C}"/>
    <hyperlink ref="AA21:AA22" location="PG!N18" display="Poule G" xr:uid="{9C60DCA2-B27D-4F97-AC58-BD403A3E2FAD}"/>
    <hyperlink ref="AA23:AA24" location="PH!N18" display="Poule H" xr:uid="{6318A32E-15D9-4083-AC2B-7068C73155FA}"/>
    <hyperlink ref="AA25:AA26" location="PI!N18" display="Poule I" xr:uid="{42F042AE-02D1-44EC-B639-46E8E389BEF0}"/>
    <hyperlink ref="AA27:AA28" location="PJ!N18" display="Poule J" xr:uid="{BE72BDF4-5087-4C65-8FF2-BB15BFCA2BC9}"/>
    <hyperlink ref="AA29:AA30" location="PK!N18" display="Poule K" xr:uid="{352FA65D-1966-430C-85BA-E31D2C5D05A5}"/>
    <hyperlink ref="AA31:AA32" location="PL!N18" display="Poule L" xr:uid="{4C0AF7AA-AD10-4109-AFBE-030E0368E9F6}"/>
    <hyperlink ref="AA37:AA38" location="Consolante!A1" display="Consolante" xr:uid="{6B0DFEA1-42A2-42C9-A833-7F7EAA77E198}"/>
    <hyperlink ref="AA40:AA42" location="RESULTATS!A1" display="RESULTATS" xr:uid="{A21D0771-6D63-4A2D-A9D0-47EA6405AF24}"/>
    <hyperlink ref="AA34:AA35" location="'Phase finale'!A1" display="Phase Finale" xr:uid="{10039D5B-45A3-483C-81B5-C3CDCE2F12B8}"/>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A9B6A4D2-D6DA-4393-B60D-D7C924B62630}">
            <xm:f>'GESTION DES JOUEURS'!$D$8="Open"</xm:f>
            <x14:dxf>
              <numFmt numFmtId="14" formatCode="0.00%"/>
            </x14:dxf>
          </x14:cfRule>
          <xm:sqref>R37:S42</xm:sqref>
        </x14:conditionalFormatting>
        <x14:conditionalFormatting xmlns:xm="http://schemas.microsoft.com/office/excel/2006/main">
          <x14:cfRule type="expression" priority="8" id="{571E728A-012C-4BA0-A49A-129F83DC52C1}">
            <xm:f>'GESTION DES JOUEURS'!$D$8="Open"</xm:f>
            <x14:dxf>
              <numFmt numFmtId="14" formatCode="0.00%"/>
            </x14:dxf>
          </x14:cfRule>
          <xm:sqref>W6:X11</xm:sqref>
        </x14:conditionalFormatting>
        <x14:conditionalFormatting xmlns:xm="http://schemas.microsoft.com/office/excel/2006/main">
          <x14:cfRule type="expression" priority="1" id="{CF528252-EABA-4B9E-A7F7-38429E25EC6F}">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C1CFE0F1-C898-46A1-B90F-9E2E217B8155}">
            <xm:f>'GESTION DES JOUEURS'!$T$8&lt;2</xm:f>
            <x14:dxf>
              <font>
                <color theme="0" tint="-0.24994659260841701"/>
              </font>
              <fill>
                <patternFill>
                  <bgColor theme="0" tint="-0.24994659260841701"/>
                </patternFill>
              </fill>
            </x14:dxf>
          </x14:cfRule>
          <x14:cfRule type="expression" priority="42" id="{64897B74-D95F-4754-8256-EE6359A358AF}">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B6D932AE-DEA4-44BD-B551-F276A0851995}">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4CC7E3BB-BE86-4363-A6E4-88D17E228ACC}">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62129B98-C6AF-495F-8B39-6AE65F8FED5F}">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6C8E44A5-492B-4375-B6AD-0CFCC75A32CC}">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84B1E99A-020A-48E2-82B0-24F93658A609}">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0375B721-866B-4062-ABAB-B0914BBCF5E2}">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192DAA1C-47F9-435E-B6A8-5D4E71C09A84}">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08AC6231-DC18-4937-8016-C0F5BDEDA1A9}">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B45AEFEE-2311-4CF6-AFA6-D01F97B953C2}">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C99C5E3A-3154-4497-A9E7-AE7DE4AAA372}">
            <xm:f>'GESTION DES JOUEURS'!$T$8=1</xm:f>
            <x14:dxf>
              <font>
                <color theme="0" tint="-0.24994659260841701"/>
              </font>
              <fill>
                <patternFill>
                  <bgColor theme="0" tint="-0.24994659260841701"/>
                </patternFill>
              </fill>
            </x14:dxf>
          </x14:cfRule>
          <x14:cfRule type="expression" priority="19" id="{6CC87D62-AE24-43FC-8FF5-5E6982A2CACD}">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69F0A95D-5796-4026-A615-CC233BFCC0F0}">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9065BEA-38DC-45E1-9C6C-B3814AFAB44D}">
          <x14:formula1>
            <xm:f>IF(AND(_xlfn.XLOOKUP($F18,$B$6:$B$11,$AD$6:$AD$11,"",0,1)&lt;&gt;"N1",_xlfn.XLOOKUP($U18,$B$6:$B$11,$AD$6:$AD$11,"",0,1)&lt;&gt;"N1",$B$15="Cadre N1/N2"),Distances!$B$89:$KP$89,Distances!$B$86:$KQ$86)</xm:f>
          </x14:formula1>
          <xm:sqref>O18:O32</xm:sqref>
        </x14:dataValidation>
        <x14:dataValidation type="list" allowBlank="1" showInputMessage="1" showErrorMessage="1" xr:uid="{2F3E423E-767F-4C65-9711-FCB34E2DCC19}">
          <x14:formula1>
            <xm:f>IF(AND(_xlfn.XLOOKUP($F18,$B$6:$B$11,$AD$6:$AD$11,"",0,1)&lt;&gt;"N1",_xlfn.XLOOKUP($U18,$B$6:$B$11,$AD$6:$AD$11,"",0,1)&lt;&gt;"N1",$B$15="Cadre N1/N2"),Distances!$B$88:$KP$88,Distances!$B$85:$KQ$85)</xm:f>
          </x14:formula1>
          <xm:sqref>N18:N32 P18:P32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8664A-A2CA-4C23-9D63-AFEAEEEC6800}">
  <sheetPr>
    <tabColor rgb="FFB9AAF8"/>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IF(PG!F13="FINALE","District 93-94"&amp;" - "&amp;IF(MONTH(AT5)&gt;8,YEAR(AT5)&amp;"/"&amp;YEAR(AT5)+1,YEAR(AT5)-1&amp;"/"&amp;YEAR(AT5))&amp;CHAR(10)&amp;PG!F13&amp;CHAR(10)&amp;PG!B15&amp;AT2,"District 93-94"&amp;" - "&amp;IF(MONTH(AT5)&gt;8,YEAR(AT5)&amp;"/"&amp;YEAR(AT5)+1,YEAR(AT5)-1&amp;"/"&amp;YEAR(AT5))&amp;CHAR(10)&amp;'GESTION DES JOUEURS'!C2&amp;CHAR(10)&amp;PG!K13&amp;" "&amp;PG!L13)</f>
        <v>District 93-94 - 2024/2025
Journée 3 -  Libre R2
Poule G</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IF(PG!M14="","",PG!M14)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IF(LEFT(PG!$B$15)="C","   -   "&amp;_xlfn.XLOOKUP(PG!B15,Distances!D2:D77,Distances!K2:K77,"",0,1),"")</f>
        <v/>
      </c>
      <c r="AV2" s="450" t="s">
        <v>8130</v>
      </c>
    </row>
    <row r="3" spans="1:48" ht="21.95" customHeight="1" thickBot="1" x14ac:dyDescent="0.3">
      <c r="A3" s="32"/>
      <c r="B3" s="868" t="str">
        <f>IF('GESTION DES JOUEURS'!$F$6="","","Directeur de jeu : "&amp;PG!S13)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"&amp;_xlfn.XLOOKUP(PG!B15,Distances!D2:D77,Distances!A2:A77,"",0,1)&amp;AT2</f>
        <v>Mode de jeu : Libre</v>
      </c>
      <c r="C5" s="877"/>
      <c r="D5" s="877"/>
      <c r="E5" s="877"/>
      <c r="F5" s="877"/>
      <c r="G5" s="876" t="str">
        <f>"Catégorie : "&amp;_xlfn.XLOOKUP(PG!B15,Distances!D2:D77,Distances!B2:B77,"",0,1)</f>
        <v>Catégorie : R2</v>
      </c>
      <c r="H5" s="877"/>
      <c r="I5" s="877"/>
      <c r="J5" s="877"/>
      <c r="K5" s="877"/>
      <c r="L5" s="877"/>
      <c r="M5" s="877"/>
      <c r="N5" s="878"/>
      <c r="O5" s="870" t="str">
        <f>IF(G5="Catégorie : N1/N2","Distance réduite : 150 pts"&amp;CHAR(10)&amp;"si N2 Vs N2 120pts",PG!B14&amp;" "&amp;PG!E14&amp;" "&amp;PG!F14)</f>
        <v>Distance : 100 Pts</v>
      </c>
      <c r="P5" s="871"/>
      <c r="Q5" s="871"/>
      <c r="R5" s="871"/>
      <c r="S5" s="871"/>
      <c r="T5" s="871"/>
      <c r="U5" s="872"/>
      <c r="V5" s="870" t="str">
        <f>IFERROR(IF(G5="Catégorie : N1/N2","Reprises : 15"&amp;CHAR(10)&amp;"si N2 Vs N2 Reprises : 20 ",PG!G14&amp;" "&amp;PG!J14),"")</f>
        <v>Reprises : 40</v>
      </c>
      <c r="W5" s="871"/>
      <c r="X5" s="871"/>
      <c r="Y5" s="871"/>
      <c r="Z5" s="871"/>
      <c r="AA5" s="871"/>
      <c r="AB5" s="871"/>
      <c r="AC5" s="872"/>
      <c r="AD5" s="873" t="str">
        <f>_xlfn.XLOOKUP(PG!B15,Distances!D2:D77,Distances!J2:J77,"",0,1)&amp;" "&amp;_xlfn.XLOOKUP(PG!B15,Distances!D2:D77,Distances!I2:I77,"",0,1)&amp;"0 m"</f>
        <v>PC 2,80 m</v>
      </c>
      <c r="AE5" s="874"/>
      <c r="AF5" s="874"/>
      <c r="AG5" s="874"/>
      <c r="AH5" s="874"/>
      <c r="AI5" s="875"/>
      <c r="AJ5" s="850">
        <f>IF(PG!T14=0,"DATE",PG!T14)</f>
        <v>45633</v>
      </c>
      <c r="AK5" s="851"/>
      <c r="AL5" s="851"/>
      <c r="AM5" s="851"/>
      <c r="AN5" s="851"/>
      <c r="AO5" s="851"/>
      <c r="AP5" s="851"/>
      <c r="AQ5" s="852"/>
      <c r="AS5" s="841" t="s">
        <v>8129</v>
      </c>
      <c r="AT5" s="32">
        <f ca="1">IF(PG!T14&gt;1,AJ5,TODAY())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IF(PG!$AO$4&lt;2,"","JOUEURS")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IF(PG!$AO$4&lt;2,"","RESULTATS")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IF(PG!AO4=2,_xlfn.XLOOKUP(1,PG!M6:M11,PG!C6:D11&amp;" "&amp;LEFT(PG!E6)&amp;".","",0,1),IF(COUNT(PG!A6:A11)&gt;2,CONCATENATE(PG!C6," ",LEFT(PG!E6),"."),""))</f>
        <v/>
      </c>
      <c r="D10" s="32"/>
      <c r="E10" s="885" t="str">
        <f>IF(PG!W35="NON",AG1,IF(PG!AO4&gt;0,_xlfn.XLOOKUP('T PG'!C13,'LOGOS CLUBS'!$B$2:$B$65,'LOGOS CLUBS'!$C$2:$C$65,C13,0,1),""))</f>
        <v/>
      </c>
      <c r="F10" s="885"/>
      <c r="G10" s="885"/>
      <c r="H10" s="885"/>
      <c r="I10" s="32"/>
      <c r="J10" s="882" t="str">
        <f>IF(AND(PG!$AO$4=2,PG!$A18="P"),PG!N18,IF(AND(COUNT(PG!$A$6:$A$11)&gt;2,PG!$CF10="P"),PG!$CC10,""))</f>
        <v/>
      </c>
      <c r="K10" s="882"/>
      <c r="L10" s="882" t="str">
        <f>IF(AND(PG!$AO$4=2,PG!$A18="P"),PG!O18,IF(AND(COUNT(PG!$A$6:$A$11)&gt;2,PG!$CF10="P"),PG!$CE10,""))</f>
        <v/>
      </c>
      <c r="M10" s="882"/>
      <c r="N10" s="142"/>
      <c r="O10" s="882" t="str">
        <f>IF(PG!$AO$4=2,"",IF(AND(COUNT(PG!$A$6:$A$11)&gt;2,PG!$CF9="P"),PG!$CC9,""))</f>
        <v/>
      </c>
      <c r="P10" s="882"/>
      <c r="Q10" s="882" t="str">
        <f>IF(PG!$AO$4=2,"",IF(AND(COUNT(PG!$A$6:$A$11)&gt;2,PG!$CF9="P"),PG!$CE9,""))</f>
        <v/>
      </c>
      <c r="R10" s="882"/>
      <c r="S10" s="142"/>
      <c r="T10" s="882" t="str">
        <f>IF(PG!$AO$4=2,"",IF(AND(COUNT(PG!$A$6:$A$11)&gt;2,PG!$CF8="P"),PG!$CC8,""))</f>
        <v/>
      </c>
      <c r="U10" s="882"/>
      <c r="V10" s="882" t="str">
        <f>IF(PG!$AO$4=2,"",IF(AND(COUNT(PG!$A$6:$A$11)&gt;2,PG!$CF8="P"),PG!$CE8,""))</f>
        <v/>
      </c>
      <c r="W10" s="882"/>
      <c r="X10" s="142"/>
      <c r="Y10" s="882" t="str">
        <f>IF(PG!$AO$4=2,"",IF(AND(COUNT(PG!$A$6:$A$11)&gt;2,PG!$CF7="P"),PG!$CC7,""))</f>
        <v/>
      </c>
      <c r="Z10" s="882"/>
      <c r="AA10" s="882" t="str">
        <f>IF(PG!$AO$4=2,"",IF(AND(COUNT(PG!$A$6:$A$11)&gt;2,PG!$CF7="P"),PG!$CE7,""))</f>
        <v/>
      </c>
      <c r="AB10" s="882"/>
      <c r="AC10" s="142"/>
      <c r="AD10" s="882" t="str">
        <f>IF(PG!$AO$4=2,"",IF(AND(COUNT(PG!$A$6:$A$11)&gt;2,PG!$CF6="P"),PG!$CC6,""))</f>
        <v/>
      </c>
      <c r="AE10" s="882"/>
      <c r="AF10" s="882" t="str">
        <f>IF(PG!$AO$4=2,"",IF(AND(COUNT(PG!$A$6:$A$11)&gt;2,PG!$CF6="P"),PG!$CE6,""))</f>
        <v/>
      </c>
      <c r="AG10" s="882"/>
      <c r="AH10" s="32"/>
      <c r="AI10" s="32"/>
      <c r="AJ10" s="32"/>
      <c r="AK10" s="882" t="str" cm="1">
        <f t="array" ref="AK10">IF(PG!$AO$4&lt;2,"",IF(_xlfn.XLOOKUP('T PG'!C12,"Licence n° "&amp;PG!$B$6:$B$11,PG!$AO$6:$AO$11,"",0,1)=1,"",_xlfn.XLOOKUP('T PG'!C12,"Licence n° "&amp;PG!$B$6:$B$11,PG!$V$6:$V$11,"",0,1)))</f>
        <v/>
      </c>
      <c r="AL10" s="882"/>
      <c r="AM10" s="879" t="str" cm="1">
        <f t="array" ref="AM10">IF(PG!$AO$4&lt;2,"",IF(_xlfn.XLOOKUP('T PG'!C12,"Licence n° "&amp;PG!$B$6:$B$11,PG!$AO$6:$AO$11,"",0,1)=1,"",_xlfn.XLOOKUP('T PG'!C12,"Licence n° "&amp;PG!$B$6:$B$11,PG!$T$6:$T$11,"",0,1)))</f>
        <v/>
      </c>
      <c r="AN10" s="879"/>
      <c r="AO10" s="32"/>
      <c r="AP10" s="561" t="str" cm="1">
        <f t="array" ref="AP10">_xlfn.XLOOKUP(C12,"Licence n° "&amp;PG!$B$6:$B$11,PG!$W$6:$W$11,"",0,1)</f>
        <v/>
      </c>
      <c r="AQ10" s="32"/>
      <c r="AS10" s="843" t="str">
        <f>IF('GESTION DES JOUEURS'!$D$8="Finale","Poule Finale","Poule A")</f>
        <v>Poule A</v>
      </c>
      <c r="AT10" s="32"/>
      <c r="AV10" s="838"/>
    </row>
    <row r="11" spans="1:48" ht="12.6" customHeight="1" thickBot="1" x14ac:dyDescent="0.3">
      <c r="A11" s="32"/>
      <c r="B11" s="32"/>
      <c r="C11" s="143" t="str" cm="1">
        <f t="array" ref="C11">IF(PG!$AO$4=2,_xlfn.XLOOKUP(1,PG!$M$6:$M$11,PG!$K$6:$K$11&amp;" "&amp;PG!$AS$6:$AS$11,"",0,1),IF(COUNT(PG!$A$6:$A$11)&gt;2,PG!$K6&amp;" - "&amp;PG!$AS6," "))</f>
        <v xml:space="preserve"> </v>
      </c>
      <c r="D11" s="32"/>
      <c r="E11" s="885"/>
      <c r="F11" s="885"/>
      <c r="G11" s="885"/>
      <c r="H11" s="885"/>
      <c r="I11" s="32"/>
      <c r="J11" s="144" t="str">
        <f>IF(K11="","","Pts")</f>
        <v/>
      </c>
      <c r="K11" s="880" t="str">
        <f>IF(PG!$AO$4=2,PG!D18,IF(AND(COUNT(PG!$A$6:$A$11)&gt;2,PG!$CF10="P"),PG!$CG10,""))</f>
        <v/>
      </c>
      <c r="L11" s="880"/>
      <c r="M11" s="144" t="str">
        <f>IF(K11="","","Rep.")</f>
        <v/>
      </c>
      <c r="N11" s="144"/>
      <c r="O11" s="144" t="str">
        <f>IF(P11="","","Pts")</f>
        <v/>
      </c>
      <c r="P11" s="880" t="str">
        <f>IF(PG!$AO$4=2,"",IF(AND(COUNT(PG!$A$6:$A$11)&gt;2,PG!$CF9="P"),PG!$CG9,""))</f>
        <v/>
      </c>
      <c r="Q11" s="880"/>
      <c r="R11" s="144" t="str">
        <f>IF(P11="","","Rep.")</f>
        <v/>
      </c>
      <c r="S11" s="144"/>
      <c r="T11" s="144" t="str">
        <f>IF(U11="","","Pts")</f>
        <v/>
      </c>
      <c r="U11" s="880" t="str">
        <f>IF(PG!$AO$4=2,"",IF(AND(COUNT(PG!$A$6:$A$11)&gt;2,PG!$CF8="P"),PG!$CG8,""))</f>
        <v/>
      </c>
      <c r="V11" s="880"/>
      <c r="W11" s="144" t="str">
        <f>IF(U11="","","Rep.")</f>
        <v/>
      </c>
      <c r="X11" s="144"/>
      <c r="Y11" s="144" t="str">
        <f>IF(Z11="","","Pts")</f>
        <v/>
      </c>
      <c r="Z11" s="880" t="str">
        <f>IF(PG!$AO$4=2,"",IF(AND(COUNT(PG!$A$6:$A$11)&gt;2,PG!$CF7="P"),PG!$CG7,""))</f>
        <v/>
      </c>
      <c r="AA11" s="880"/>
      <c r="AB11" s="144" t="str">
        <f>IF(Z11="","","Rep.")</f>
        <v/>
      </c>
      <c r="AC11" s="144"/>
      <c r="AD11" s="144" t="str">
        <f>IF(AE11="","","Pts")</f>
        <v/>
      </c>
      <c r="AE11" s="880" t="str">
        <f>IF(PG!$AO$4=2,"",IF(AND(COUNT(PG!$A$6:$A$11)&gt;2,PG!$CF6="P"),PG!$CG6,""))</f>
        <v/>
      </c>
      <c r="AF11" s="880"/>
      <c r="AG11" s="144" t="str">
        <f>IF(AE11="","","Rep.")</f>
        <v/>
      </c>
      <c r="AH11" s="32"/>
      <c r="AI11" s="32"/>
      <c r="AJ11" s="32"/>
      <c r="AK11" s="145" t="str">
        <f>IF(AL11="","","PM")</f>
        <v/>
      </c>
      <c r="AL11" s="881" t="str" cm="1">
        <f t="array" ref="AL11">IF(SUM(PG!$Q$6:$Q$11)=0,"",IF(PG!$AO$4&gt;1,IF(_xlfn.XLOOKUP('T PG'!C12,"Licence n° "&amp;PG!$B$6:$B$11,PG!$AO$6:$AO$11,"",0,1)=1,"Forfait",_xlfn.XLOOKUP('T PG'!C12,"Licence n° "&amp;PG!$B$37:$B$42,PG!$Q$37:$Q$42,"",0,1)),""))</f>
        <v/>
      </c>
      <c r="AM11" s="881"/>
      <c r="AN11" s="145" t="str">
        <f>IF(AL11="","","MGP")</f>
        <v/>
      </c>
      <c r="AO11" s="32"/>
      <c r="AP11" s="146" t="str">
        <f>IF(OR(PG!$AO$4&lt;2,LEFT(PG!$F$13)="F"),"","Pts Rk")</f>
        <v/>
      </c>
      <c r="AQ11" s="32"/>
      <c r="AS11" s="844"/>
      <c r="AT11" s="32"/>
      <c r="AV11" s="839"/>
    </row>
    <row r="12" spans="1:48" ht="12.6" customHeight="1" x14ac:dyDescent="0.25">
      <c r="A12" s="32"/>
      <c r="B12" s="32"/>
      <c r="C12" s="147" t="str">
        <f>IF(PG!AO4=2,"Licence n° "&amp;_xlfn.XLOOKUP(1,PG!M6:M11,PG!B6:B11,"",0,1),IF(COUNT(PG!A6:A11)&gt;2,"Licence n° "&amp;PG!B6,"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IF(OR(PG!$AO$4&lt;2,LEFT(PG!$F$13)="F"),"","Bonus")</f>
        <v/>
      </c>
      <c r="AQ12" s="32"/>
      <c r="AS12" s="845" t="s">
        <v>8113</v>
      </c>
      <c r="AT12" s="32"/>
    </row>
    <row r="13" spans="1:48" ht="50.1" customHeight="1" x14ac:dyDescent="0.25">
      <c r="A13" s="32"/>
      <c r="B13" s="32"/>
      <c r="C13" s="149" t="str">
        <f>IF(PG!AO4=2,_xlfn.XLOOKUP(1,PG!M6:M11,PG!G6:G11,"",0,1),IF(COUNT(PG!A6:A11)&gt;2,PG!G6," "))</f>
        <v xml:space="preserve"> </v>
      </c>
      <c r="D13" s="32"/>
      <c r="E13" s="885"/>
      <c r="F13" s="885"/>
      <c r="G13" s="885"/>
      <c r="H13" s="885"/>
      <c r="I13" s="32"/>
      <c r="J13" s="883" t="str">
        <f>IF(K11="","",IF(K11&gt;0,J10/L10,"/"))</f>
        <v/>
      </c>
      <c r="K13" s="883"/>
      <c r="L13" s="884" t="str">
        <f>IF(AND(PG!$AO$4=2,PG!$A18="P"),PG!M18,IF(AND(COUNT(PG!$A$6:$A$11)&gt;2,PG!$CF10="P"),PG!$CD10,""))</f>
        <v/>
      </c>
      <c r="M13" s="884"/>
      <c r="N13" s="32"/>
      <c r="O13" s="883" t="str">
        <f>IF(P11="","",IF(P11&gt;0,O10/Q10,"/"))</f>
        <v/>
      </c>
      <c r="P13" s="883"/>
      <c r="Q13" s="884" t="str">
        <f>IF(PG!$AO$4=2,"",IF(AND(COUNT(PG!$A$6:$A$11)&gt;2,PG!$CF9="P"),PG!$CD9,""))</f>
        <v/>
      </c>
      <c r="R13" s="884"/>
      <c r="S13" s="32"/>
      <c r="T13" s="883" t="str">
        <f>IF(U11="","",IF(U11&gt;0,T10/V10,"/"))</f>
        <v/>
      </c>
      <c r="U13" s="883"/>
      <c r="V13" s="884" t="str">
        <f>IF(PG!$AO$4=2,"",IF(AND(COUNT(PG!$A$6:$A$11)&gt;2,PG!$CF8="P"),PG!$CD8,""))</f>
        <v/>
      </c>
      <c r="W13" s="884"/>
      <c r="X13" s="32"/>
      <c r="Y13" s="883" t="str">
        <f>IF(Z11="","",IF(Z11&gt;0,Y10/AA10,"/"))</f>
        <v/>
      </c>
      <c r="Z13" s="883"/>
      <c r="AA13" s="884" t="str">
        <f>IF(PG!$AO$4=2,"",IF(AND(COUNT(PG!$A$6:$A$11)&gt;2,PG!$CF7="P"),PG!$CD7,""))</f>
        <v/>
      </c>
      <c r="AB13" s="884"/>
      <c r="AC13" s="32"/>
      <c r="AD13" s="883" t="str">
        <f>IF(AE11="","",IF(AE11&gt;0,AD10/AF10,"/"))</f>
        <v/>
      </c>
      <c r="AE13" s="883"/>
      <c r="AF13" s="884" t="str">
        <f>IF(PG!$AO$4=2,"",IF(AND(COUNT(PG!$A$6:$A$11)&gt;2,PG!$CF6="P"),PG!$CD6,""))</f>
        <v/>
      </c>
      <c r="AG13" s="884"/>
      <c r="AH13" s="32"/>
      <c r="AI13" s="32"/>
      <c r="AJ13" s="32"/>
      <c r="AK13" s="883" t="str" cm="1">
        <f t="array" ref="AK13">IF(PG!$AO$4&lt;2,"",IF(_xlfn.XLOOKUP('T PG'!C12,"Licence n° "&amp;PG!$B$6:$B$11,PG!$AO$6:$AO$11,"",0,1)=1,"",_xlfn.XLOOKUP('T PG'!C12,"Licence n° "&amp;PG!$B$6:$B$11,PG!$U$6:$U$11,"",0,1)))</f>
        <v/>
      </c>
      <c r="AL13" s="883"/>
      <c r="AM13" s="884" t="str" cm="1">
        <f t="array" ref="AM13">IF(PG!$AO$4&lt;2,"",IF(_xlfn.XLOOKUP('T PG'!C12,"Licence n° "&amp;PG!$B$6:$B$11,PG!$AO$6:$AO$11,"",0,1)=1,"",_xlfn.XLOOKUP('T PG'!C12,"Licence n° "&amp;PG!$B$6:$B$11,PG!$S$6:$S$11,"",0,1)))</f>
        <v/>
      </c>
      <c r="AN13" s="884"/>
      <c r="AO13" s="32"/>
      <c r="AP13" s="562" t="str" cm="1">
        <f t="array" ref="AP13">_xlfn.XLOOKUP(C12,"Licence n° "&amp;PG!$B$6:$B$11,PG!$X$6:$X$11,"",0,1)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IF(PG!AO4=2,_xlfn.XLOOKUP(2,PG!M6:M11,PG!C6:D11&amp;" "&amp;LEFT(PG!E6:E11)&amp;".","",0,1),IF(COUNT(PG!A6:A11)&gt;2,CONCATENATE(PG!C7," ",LEFT(PG!E7),"."),""))</f>
        <v/>
      </c>
      <c r="D15" s="32"/>
      <c r="E15" s="882" t="str">
        <f>IF(AND(PG!$AO$4=2,PG!$A18="P"),PG!P18,IF(AND(COUNT(PG!$A$6:$A$11)&gt;2,PG!$CF15="P"),PG!$CC15,""))</f>
        <v/>
      </c>
      <c r="F15" s="882"/>
      <c r="G15" s="882" t="str">
        <f>IF(AND(PG!$AO$4=2,PG!$A18="P"),PG!O18,IF(AND(COUNT(PG!$A$6:$A$11)&gt;2,PG!$CF15="P"),PG!$CE15,""))</f>
        <v/>
      </c>
      <c r="H15" s="882"/>
      <c r="I15" s="32"/>
      <c r="J15" s="885" t="str">
        <f>IF(PG!W35="NON",AG1,IF(PG!AO4=2,"MATCH 1",IF(PG!AO4&gt;2,_xlfn.XLOOKUP(C18,'LOGOS CLUBS'!$B$2:$B$65,'LOGOS CLUBS'!$C$2:$C$65,C18,0,1),"")))</f>
        <v/>
      </c>
      <c r="K15" s="885"/>
      <c r="L15" s="885"/>
      <c r="M15" s="885"/>
      <c r="N15" s="32"/>
      <c r="O15" s="882" t="str">
        <f>IF(PG!$AO$4=2,"",IF(AND(COUNT(PG!$A$6:$A$11)&gt;2,PG!$CF14="P"),PG!$CC14,""))</f>
        <v/>
      </c>
      <c r="P15" s="882"/>
      <c r="Q15" s="882" t="str">
        <f>IF(PG!$AO$4=2,"",IF(AND(COUNT(PG!$A$6:$A$11)&gt;2,PG!$CF14="P"),PG!$CE14,""))</f>
        <v/>
      </c>
      <c r="R15" s="882"/>
      <c r="S15" s="142"/>
      <c r="T15" s="882" t="str">
        <f>IF(PG!$AO$4=2,"",IF(AND(COUNT(PG!$A$6:$A$11)&gt;2,PG!$CF13="P"),PG!$CC13,""))</f>
        <v/>
      </c>
      <c r="U15" s="882"/>
      <c r="V15" s="882" t="str">
        <f>IF(PG!$AO$4=2,"",IF(AND(COUNT(PG!$A$6:$A$11)&gt;2,PG!$CF13="P"),PG!$CE13,""))</f>
        <v/>
      </c>
      <c r="W15" s="882"/>
      <c r="X15" s="142"/>
      <c r="Y15" s="882" t="str">
        <f>IF(PG!$AO$4=2,"",IF(AND(COUNT(PG!$A$6:$A$11)&gt;2,PG!$CF12="P"),PG!$CC12,""))</f>
        <v/>
      </c>
      <c r="Z15" s="882"/>
      <c r="AA15" s="882" t="str">
        <f>IF(PG!$AO$4=2,"",IF(AND(COUNT(PG!$A$6:$A$11)&gt;2,PG!$CF12="P"),PG!$CE12,""))</f>
        <v/>
      </c>
      <c r="AB15" s="882"/>
      <c r="AC15" s="142"/>
      <c r="AD15" s="882" t="str">
        <f>IF(PG!$AO$4=2,"",IF(AND(COUNT(PG!$A$6:$A$11)&gt;2,PG!$CF11="P"),PG!$CC11,""))</f>
        <v/>
      </c>
      <c r="AE15" s="882"/>
      <c r="AF15" s="882" t="str">
        <f>IF(PG!$AO$4=2,"",IF(AND(COUNT(PG!$A$6:$A$11)&gt;2,PG!$CF11="P"),PG!$CE11,""))</f>
        <v/>
      </c>
      <c r="AG15" s="882"/>
      <c r="AH15" s="32"/>
      <c r="AI15" s="32"/>
      <c r="AJ15" s="32"/>
      <c r="AK15" s="882" t="str" cm="1">
        <f t="array" ref="AK15">IF(PG!$AO$4&lt;2,"",IF(_xlfn.XLOOKUP('T PG'!C17,"Licence n° "&amp;PG!$B$6:$B$11,PG!$AO$6:$AO$11,"",0,1)=1,"",_xlfn.XLOOKUP('T PG'!C17,"Licence n° "&amp;PG!$B$6:$B$11,PG!$V$6:$V$11,"",0,1)))</f>
        <v/>
      </c>
      <c r="AL15" s="882"/>
      <c r="AM15" s="879" t="str" cm="1">
        <f t="array" ref="AM15">IF(PG!$AO$4&lt;2,"",IF(_xlfn.XLOOKUP('T PG'!C17,"Licence n° "&amp;PG!$B$6:$B$11,PG!$AO$6:$AO$11,"",0,1)=1,"",_xlfn.XLOOKUP('T PG'!C17,"Licence n° "&amp;PG!$B$6:$B$11,PG!$T$6:$T$11,"",0,1)))</f>
        <v/>
      </c>
      <c r="AN15" s="879"/>
      <c r="AO15" s="32"/>
      <c r="AP15" s="561" t="str" cm="1">
        <f t="array" ref="AP15">_xlfn.XLOOKUP(C17,"Licence n° "&amp;PG!$B$6:$B$11,PG!$W$6:$W$11,"",0,1)</f>
        <v/>
      </c>
      <c r="AQ15" s="32"/>
      <c r="AS15" s="840" t="s">
        <v>8114</v>
      </c>
      <c r="AT15" s="32"/>
    </row>
    <row r="16" spans="1:48" ht="12.6" customHeight="1" x14ac:dyDescent="0.25">
      <c r="A16" s="32"/>
      <c r="B16" s="32"/>
      <c r="C16" s="143" t="str" cm="1">
        <f t="array" ref="C16">IF(PG!$AO$4=2,_xlfn.XLOOKUP(2,PG!$M$6:$M$11,PG!$K$6:$K$11&amp;" "&amp;PG!$AS$6:$AS$11,"",0,1),IF(COUNT(PG!$A$6:$A$11)&gt;2,PG!$K7&amp;" - "&amp;PG!$AS7," "))</f>
        <v xml:space="preserve"> </v>
      </c>
      <c r="D16" s="32"/>
      <c r="E16" s="144" t="str">
        <f>IF(F16="","","Pts")</f>
        <v/>
      </c>
      <c r="F16" s="880" t="str">
        <f>IF(PG!$AO$4=2,PG!X18,IF(AND(COUNT(PG!$A$6:$A$11)&gt;2,PG!$CF15="P"),PG!$CG15,""))</f>
        <v/>
      </c>
      <c r="G16" s="880"/>
      <c r="H16" s="144" t="str">
        <f>IF(F16="","","Rep.")</f>
        <v/>
      </c>
      <c r="I16" s="32"/>
      <c r="J16" s="885"/>
      <c r="K16" s="885"/>
      <c r="L16" s="885"/>
      <c r="M16" s="885"/>
      <c r="N16" s="32"/>
      <c r="O16" s="144" t="str">
        <f>IF(P16="","","Pts")</f>
        <v/>
      </c>
      <c r="P16" s="880" t="str">
        <f>IF(PG!$AO$4=2,"",IF(AND(COUNT(PG!$A$6:$A$11)&gt;2,PG!$CF14="P"),PG!$CG14,""))</f>
        <v/>
      </c>
      <c r="Q16" s="880"/>
      <c r="R16" s="144" t="str">
        <f>IF(P16="","","Rep.")</f>
        <v/>
      </c>
      <c r="S16" s="50"/>
      <c r="T16" s="144" t="str">
        <f>IF(U16="","","Pts")</f>
        <v/>
      </c>
      <c r="U16" s="880" t="str">
        <f>IF(PG!$AO$4=2,"",IF(AND(COUNT(PG!$A$6:$A$11)&gt;2,PG!$CF13="P"),PG!$CG13,""))</f>
        <v/>
      </c>
      <c r="V16" s="880"/>
      <c r="W16" s="144" t="str">
        <f>IF(U16="","","Rep.")</f>
        <v/>
      </c>
      <c r="X16" s="144"/>
      <c r="Y16" s="144" t="str">
        <f>IF(Z16="","","Pts")</f>
        <v/>
      </c>
      <c r="Z16" s="880" t="str">
        <f>IF(PG!$AO$4=2,"",IF(AND(COUNT(PG!$A$6:$A$11)&gt;2,PG!$CF12="P"),PG!$CG12,""))</f>
        <v/>
      </c>
      <c r="AA16" s="880"/>
      <c r="AB16" s="144" t="str">
        <f>IF(Z16="","","Rep.")</f>
        <v/>
      </c>
      <c r="AC16" s="144"/>
      <c r="AD16" s="144" t="str">
        <f>IF(AE16="","","Pts")</f>
        <v/>
      </c>
      <c r="AE16" s="880" t="str">
        <f>IF(PG!$AO$4=2,"",IF(AND(COUNT(PG!$A$6:$A$11)&gt;2,PG!$CF11="P"),PG!$CG11,""))</f>
        <v/>
      </c>
      <c r="AF16" s="880"/>
      <c r="AG16" s="144" t="str">
        <f>IF(AE16="","","Rep.")</f>
        <v/>
      </c>
      <c r="AH16" s="32"/>
      <c r="AI16" s="32"/>
      <c r="AJ16" s="32"/>
      <c r="AK16" s="145" t="str">
        <f>IF(AL16="","","PM")</f>
        <v/>
      </c>
      <c r="AL16" s="881" t="str" cm="1">
        <f t="array" ref="AL16">IF(SUM(PG!$Q$6:$Q$11)=0,"",IF(PG!$AO$4&gt;1,IF(_xlfn.XLOOKUP('T PG'!C17,"Licence n° "&amp;PG!$B$6:$B$11,PG!$AO$6:$AO$11,"",0,1)=1,"Forfait",_xlfn.XLOOKUP('T PG'!C17,"Licence n° "&amp;PG!$B$37:$B$42,PG!$Q$37:$Q$42,"",0,1)),""))</f>
        <v/>
      </c>
      <c r="AM16" s="881"/>
      <c r="AN16" s="145" t="str">
        <f>IF(AL16="","","MGP")</f>
        <v/>
      </c>
      <c r="AO16" s="32"/>
      <c r="AP16" s="151" t="str">
        <f>IF(OR(PG!$AO$4&lt;2,LEFT(PG!$F$13)="F"),"","Pts Rk")</f>
        <v/>
      </c>
      <c r="AQ16" s="32"/>
      <c r="AS16" s="840"/>
      <c r="AT16" s="32"/>
    </row>
    <row r="17" spans="1:52" ht="12.6" customHeight="1" x14ac:dyDescent="0.25">
      <c r="A17" s="32"/>
      <c r="B17" s="32"/>
      <c r="C17" s="147" t="str">
        <f>IF(PG!AO4=2,"Licence n° "&amp;_xlfn.XLOOKUP(2,PG!M6:M11,PG!B6:B11,"",0,1),IF(COUNT(PG!A6:A11)&gt;2,"Licence n° "&amp;PG!B7,"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IF(OR(PG!$AO$4&lt;2,LEFT(PG!$F$13)="F"),"","Bonus")</f>
        <v/>
      </c>
      <c r="AQ17" s="32"/>
      <c r="AS17" s="846" t="s">
        <v>8115</v>
      </c>
      <c r="AT17" s="32"/>
      <c r="AZ17" s="241"/>
    </row>
    <row r="18" spans="1:52" ht="50.1" customHeight="1" x14ac:dyDescent="0.25">
      <c r="A18" s="32"/>
      <c r="B18" s="32"/>
      <c r="C18" s="149" t="str">
        <f>IF(PG!AO4=2,_xlfn.XLOOKUP(2,PG!M6:M11,PG!G6:G11,"",0,1),IF(COUNT(PG!A6:A11)&gt;2,PG!G7," "))</f>
        <v xml:space="preserve"> </v>
      </c>
      <c r="D18" s="32"/>
      <c r="E18" s="883" t="str">
        <f>IF(F16="","",IF(F16&gt;0,E15/G15,"/"))</f>
        <v/>
      </c>
      <c r="F18" s="883"/>
      <c r="G18" s="884" t="str">
        <f>IF(AND(PG!$AO$4=2,PG!$A18="P"),PG!Q18,IF(AND(COUNT(PG!$A$6:$A$11)&gt;2,PG!$CF15="P"),PG!$CD15,""))</f>
        <v/>
      </c>
      <c r="H18" s="884"/>
      <c r="I18" s="32"/>
      <c r="J18" s="885"/>
      <c r="K18" s="885"/>
      <c r="L18" s="885"/>
      <c r="M18" s="885"/>
      <c r="N18" s="32"/>
      <c r="O18" s="883" t="str">
        <f>IF(P16="","",IF(P16&gt;0,O15/Q15,"/"))</f>
        <v/>
      </c>
      <c r="P18" s="883"/>
      <c r="Q18" s="884" t="str">
        <f>IF(PG!$AO$4=2,"",IF(AND(COUNT(PG!$A$6:$A$11)&gt;2,PG!$CF14="P"),PG!$CD14,""))</f>
        <v/>
      </c>
      <c r="R18" s="884"/>
      <c r="S18" s="32"/>
      <c r="T18" s="883" t="str">
        <f>IF(U16="","",IF(U16&gt;0,T15/V15,"/"))</f>
        <v/>
      </c>
      <c r="U18" s="883"/>
      <c r="V18" s="884" t="str">
        <f>IF(PG!$AO$4=2,"",IF(AND(COUNT(PG!$A$6:$A$11)&gt;2,PG!$CF13="P"),PG!$CD13,""))</f>
        <v/>
      </c>
      <c r="W18" s="884"/>
      <c r="X18" s="32"/>
      <c r="Y18" s="883" t="str">
        <f>IF(Z16="","",IF(Z16&gt;0,Y15/AA15,"/"))</f>
        <v/>
      </c>
      <c r="Z18" s="883"/>
      <c r="AA18" s="884" t="str">
        <f>IF(PG!$AO$4=2,"",IF(AND(COUNT(PG!$A$6:$A$11)&gt;2,PG!$CF12="P"),PG!$CD12,""))</f>
        <v/>
      </c>
      <c r="AB18" s="884"/>
      <c r="AC18" s="32"/>
      <c r="AD18" s="883" t="str">
        <f>IF(AE16="","",IF(AE16&gt;0,AD15/AF15,"/"))</f>
        <v/>
      </c>
      <c r="AE18" s="883"/>
      <c r="AF18" s="884" t="str">
        <f>IF(PG!$AO$4=2,"",IF(AND(COUNT(PG!$A$6:$A$11)&gt;2,PG!$CF11="P"),PG!$CD11,""))</f>
        <v/>
      </c>
      <c r="AG18" s="884"/>
      <c r="AH18" s="32"/>
      <c r="AI18" s="32"/>
      <c r="AJ18" s="32"/>
      <c r="AK18" s="883" t="str" cm="1">
        <f t="array" ref="AK18">IF(PG!$AO$4&lt;2,"",IF(_xlfn.XLOOKUP('T PG'!C17,"Licence n° "&amp;PG!$B$6:$B$11,PG!$AO$6:$AO$11,"",0,1)=1,"",_xlfn.XLOOKUP('T PG'!C17,"Licence n° "&amp;PG!$B$6:$B$11,PG!$U$6:$U$11,"",0,1)))</f>
        <v/>
      </c>
      <c r="AL18" s="883"/>
      <c r="AM18" s="884" t="str" cm="1">
        <f t="array" ref="AM18">IF(PG!$AO$4&lt;2,"",IF(_xlfn.XLOOKUP('T PG'!C17,"Licence n° "&amp;PG!$B$6:$B$11,PG!$AO$6:$AO$11,"",0,1)=1,"",_xlfn.XLOOKUP('T PG'!C17,"Licence n° "&amp;PG!$B$6:$B$11,PG!$S$6:$S$11,"",0,1)))</f>
        <v/>
      </c>
      <c r="AN18" s="884"/>
      <c r="AO18" s="32"/>
      <c r="AP18" s="562" t="str" cm="1">
        <f t="array" ref="AP18">_xlfn.XLOOKUP(C17,"Licence n° "&amp;PG!$B$6:$B$11,PG!$X$6:$X$11,"",0,1)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IF(PG!AO4=2,C10,IF(COUNT(PG!A6:A11)&gt;2,CONCATENATE(PG!C8," ",LEFT(PG!E8),"."),""))</f>
        <v/>
      </c>
      <c r="D20" s="32"/>
      <c r="E20" s="882" t="str">
        <f>IF(PG!$AO$4=2,"",IF(AND(COUNT(PG!$A$6:$A$11)&gt;2,PG!$CF20="P"),PG!$CC20,""))</f>
        <v/>
      </c>
      <c r="F20" s="882"/>
      <c r="G20" s="882" t="str">
        <f>IF(PG!$AO$4=2,"",IF(AND(COUNT(PG!$A$6:$A$11)&gt;2,PG!$CF20="P"),PG!$CE20,""))</f>
        <v/>
      </c>
      <c r="H20" s="882"/>
      <c r="I20" s="142"/>
      <c r="J20" s="882" t="str">
        <f>IF(PG!$AO$4=2,"",IF(AND(COUNT(PG!$A$6:$A$11)&gt;2,PG!$CF19="P"),PG!$CC19,""))</f>
        <v/>
      </c>
      <c r="K20" s="882"/>
      <c r="L20" s="882" t="str">
        <f>IF(PG!$AO$4=2,"",IF(AND(COUNT(PG!$A$6:$A$11)&gt;2,PG!$CF19="P"),PG!$CE19,""))</f>
        <v/>
      </c>
      <c r="M20" s="882"/>
      <c r="N20" s="32"/>
      <c r="O20" s="885" t="str">
        <f>IF(PG!W35="NON",AG1,IF(PG!AO4=2,"MATCH 2",IF(PG!AO4&gt;2,_xlfn.XLOOKUP(C23,'LOGOS CLUBS'!$B$2:$B$65,'LOGOS CLUBS'!$C$2:$C$65,C23,0,1),"")))</f>
        <v/>
      </c>
      <c r="P20" s="885"/>
      <c r="Q20" s="885"/>
      <c r="R20" s="885"/>
      <c r="S20" s="32"/>
      <c r="T20" s="882" t="str">
        <f>IF(AND(PG!$AO$4=2,PG!$A19="P"),PG!P19,IF(AND(COUNT(PG!$A$6:$A$11)&gt;2,PG!$CF18="P"),PG!$CC18,""))</f>
        <v/>
      </c>
      <c r="U20" s="882"/>
      <c r="V20" s="882" t="str">
        <f>IF(AND(PG!$AO$4=2,PG!$A19="P"),PG!O19,IF(AND(COUNT(PG!$A$6:$A$11)&gt;2,PG!$CF18="P"),PG!$CE18,""))</f>
        <v/>
      </c>
      <c r="W20" s="882"/>
      <c r="X20" s="142"/>
      <c r="Y20" s="882" t="str">
        <f>IF(PG!$AO$4=2,"",IF(AND(COUNT(PG!$A$6:$A$11)&gt;2,PG!$CF17="P"),PG!$CC17,""))</f>
        <v/>
      </c>
      <c r="Z20" s="882"/>
      <c r="AA20" s="882" t="str">
        <f>IF(PG!$AO$4=2,"",IF(AND(COUNT(PG!$A$6:$A$11)&gt;2,PG!$CF17="P"),PG!$CE17,""))</f>
        <v/>
      </c>
      <c r="AB20" s="882"/>
      <c r="AC20" s="142"/>
      <c r="AD20" s="882" t="str">
        <f>IF(PG!$AO$4=2,"",IF(AND(COUNT(PG!$A$6:$A$11)&gt;2,PG!$CF16="P"),PG!$CC16,""))</f>
        <v/>
      </c>
      <c r="AE20" s="882"/>
      <c r="AF20" s="882" t="str">
        <f>IF(PG!$AO$4=2,"",IF(AND(COUNT(PG!$A$6:$A$11)&gt;2,PG!$CF16="P"),PG!$CE16,""))</f>
        <v/>
      </c>
      <c r="AG20" s="882"/>
      <c r="AH20" s="32"/>
      <c r="AI20" s="32"/>
      <c r="AJ20" s="32"/>
      <c r="AK20" s="882" t="str" cm="1">
        <f t="array" ref="AK20">IF(PG!$AO$4&lt;3,"",IF(_xlfn.XLOOKUP('T PG'!C22,"Licence n° "&amp;PG!$B$6:$B$11,PG!$AO$6:$AO$11,"",0,1)=1,"",_xlfn.XLOOKUP('T PG'!C22,"Licence n° "&amp;PG!$B$6:$B$11,PG!$V$6:$V$11,"",0,1)))</f>
        <v/>
      </c>
      <c r="AL20" s="882"/>
      <c r="AM20" s="879" t="str" cm="1">
        <f t="array" ref="AM20">IF(PG!$AO$4&lt;3,"",IF(_xlfn.XLOOKUP('T PG'!C22,"Licence n° "&amp;PG!$B$6:$B$11,PG!$AO$6:$AO$11,"",0,1)=1,"",_xlfn.XLOOKUP('T PG'!C22,"Licence n° "&amp;PG!$B$6:$B$11,PG!$T$6:$T$11,"",0,1)))</f>
        <v/>
      </c>
      <c r="AN20" s="879"/>
      <c r="AO20" s="32"/>
      <c r="AP20" s="561" t="str" cm="1">
        <f t="array" ref="AP20">IF(PG!$AO$4&lt;3,"",_xlfn.XLOOKUP(C22,"Licence n° "&amp;PG!$B$6:$B$11,PG!$W$6:$W$11,"",0,1))</f>
        <v/>
      </c>
      <c r="AQ20" s="32"/>
      <c r="AS20" s="847" t="s">
        <v>8116</v>
      </c>
      <c r="AT20" s="32"/>
      <c r="AZ20" s="241"/>
    </row>
    <row r="21" spans="1:52" ht="12.6" customHeight="1" x14ac:dyDescent="0.25">
      <c r="A21" s="32"/>
      <c r="B21" s="32"/>
      <c r="C21" s="143" t="str" cm="1">
        <f t="array" ref="C21">IF(PG!$AO$4=2,_xlfn.XLOOKUP(1,PG!$M$6:$M$11,PG!$K$6:$K$11&amp;" "&amp;PG!$AS$6:$AS$11,"",0,1),IF(COUNT(PG!$A$6:$A$11)&gt;2,PG!$K8&amp;" - "&amp;PG!$AS8," "))</f>
        <v xml:space="preserve"> </v>
      </c>
      <c r="D21" s="32"/>
      <c r="E21" s="144" t="str">
        <f>IF(F21="","","Pts")</f>
        <v/>
      </c>
      <c r="F21" s="880" t="str">
        <f>IF(PG!$AO$4=2,"",IF(AND(COUNT(PG!$A$6:$A$11)&gt;2,PG!$CF20="P"),PG!$CG20,""))</f>
        <v/>
      </c>
      <c r="G21" s="880"/>
      <c r="H21" s="144" t="str">
        <f>IF(F21="","","Rep.")</f>
        <v/>
      </c>
      <c r="I21" s="144"/>
      <c r="J21" s="144" t="str">
        <f>IF(K21="","","Pts")</f>
        <v/>
      </c>
      <c r="K21" s="880" t="str">
        <f>IF(PG!$AO$4=2,"",IF(AND(COUNT(PG!$A$6:$A$11)&gt;2,PG!$CF19="P"),PG!$CG19,""))</f>
        <v/>
      </c>
      <c r="L21" s="880"/>
      <c r="M21" s="144" t="str">
        <f>IF(K21="","","Rep.")</f>
        <v/>
      </c>
      <c r="N21" s="32"/>
      <c r="O21" s="885"/>
      <c r="P21" s="885"/>
      <c r="Q21" s="885"/>
      <c r="R21" s="885"/>
      <c r="S21" s="32"/>
      <c r="T21" s="144" t="str">
        <f>IF(U21="","","Pts")</f>
        <v/>
      </c>
      <c r="U21" s="880" t="str">
        <f>IF(PG!$AO$4=2,PG!X19,IF(AND(COUNT(PG!$A$6:$A$11)&gt;2,PG!$CF18="P"),PG!$CG18,""))</f>
        <v/>
      </c>
      <c r="V21" s="880"/>
      <c r="W21" s="144" t="str">
        <f>IF(U21="","","Rep.")</f>
        <v/>
      </c>
      <c r="X21" s="144"/>
      <c r="Y21" s="144" t="str">
        <f>IF(Z21="","","Pts")</f>
        <v/>
      </c>
      <c r="Z21" s="880" t="str">
        <f>IF(PG!$AO$4=2,"",IF(AND(COUNT(PG!$A$6:$A$11)&gt;2,PG!$CF17="P"),PG!$CG17,""))</f>
        <v/>
      </c>
      <c r="AA21" s="880"/>
      <c r="AB21" s="144" t="str">
        <f>IF(Z21="","","Rep.")</f>
        <v/>
      </c>
      <c r="AC21" s="144"/>
      <c r="AD21" s="144" t="str">
        <f>IF(AE21="","","Pts")</f>
        <v/>
      </c>
      <c r="AE21" s="880" t="str">
        <f>IF(PG!$AO$4=2,"",IF(AND(COUNT(PG!$A$6:$A$11)&gt;2,PG!$CF16="P"),PG!$CG16,""))</f>
        <v/>
      </c>
      <c r="AF21" s="880"/>
      <c r="AG21" s="144" t="str">
        <f>IF(AE21="","","Rep.")</f>
        <v/>
      </c>
      <c r="AH21" s="32"/>
      <c r="AI21" s="32"/>
      <c r="AJ21" s="32"/>
      <c r="AK21" s="145" t="str">
        <f>IF(AL21="","","PM")</f>
        <v/>
      </c>
      <c r="AL21" s="881" t="str" cm="1">
        <f t="array" ref="AL21">IF(SUM(PG!$Q$6:$Q$11)=0,"",IF(PG!$AO$4&gt;2,IF(_xlfn.XLOOKUP('T PG'!C22,"Licence n° "&amp;PG!$B$6:$B$11,PG!$AO$6:$AO$11,"",0,1)=1,"Forfait",_xlfn.XLOOKUP('T PG'!C22,"Licence n° "&amp;PG!$B$37:$B$42,PG!$Q$37:$Q$42,"",0,1)),""))</f>
        <v/>
      </c>
      <c r="AM21" s="881"/>
      <c r="AN21" s="145" t="str">
        <f>IF(AL21="","","MGP")</f>
        <v/>
      </c>
      <c r="AO21" s="32"/>
      <c r="AP21" s="151" t="str">
        <f>IF(OR(PG!$AO$4&lt;3,LEFT(PG!$F$13)="F"),"","Pts Rk")</f>
        <v/>
      </c>
      <c r="AQ21" s="32"/>
      <c r="AS21" s="847"/>
      <c r="AT21" s="32"/>
    </row>
    <row r="22" spans="1:52" ht="12.6" customHeight="1" x14ac:dyDescent="0.25">
      <c r="A22" s="32"/>
      <c r="B22" s="32"/>
      <c r="C22" s="147" t="str">
        <f>IF(PG!AO4=2,C12,IF(COUNT(PG!A6:A11)&gt;2,"Licence n° "&amp;PG!B8,"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IF(OR(PG!$AO$4&lt;3,LEFT(PG!$F$13)="F"),"","Bonus")</f>
        <v/>
      </c>
      <c r="AQ22" s="32"/>
      <c r="AS22" s="848" t="s">
        <v>8117</v>
      </c>
      <c r="AT22" s="32"/>
    </row>
    <row r="23" spans="1:52" ht="50.1" customHeight="1" x14ac:dyDescent="0.25">
      <c r="A23" s="32"/>
      <c r="B23" s="32"/>
      <c r="C23" s="149" t="str">
        <f>IF(PG!AO4=2,C13,IF(COUNT(PG!A6:A11)&gt;2,PG!G8," "))</f>
        <v xml:space="preserve"> </v>
      </c>
      <c r="D23" s="32"/>
      <c r="E23" s="883" t="str">
        <f>IF(F21="","",IF(F21&gt;0,E20/G20,"/"))</f>
        <v/>
      </c>
      <c r="F23" s="883"/>
      <c r="G23" s="884" t="str">
        <f>IF(PG!$AO$4=2,"",IF(AND(COUNT(PG!$A$6:$A$11)&gt;2,PG!$CF20="P"),PG!$CD20,""))</f>
        <v/>
      </c>
      <c r="H23" s="884"/>
      <c r="I23" s="32"/>
      <c r="J23" s="883" t="str">
        <f>IF(K21="","",IF(K21&gt;0,J20/L20,"/"))</f>
        <v/>
      </c>
      <c r="K23" s="883"/>
      <c r="L23" s="884" t="str">
        <f>IF(PG!$AO$4=2,"",IF(AND(COUNT(PG!$A$6:$A$11)&gt;2,PG!$CF19="P"),PG!$CD19,""))</f>
        <v/>
      </c>
      <c r="M23" s="884"/>
      <c r="N23" s="32"/>
      <c r="O23" s="885"/>
      <c r="P23" s="885"/>
      <c r="Q23" s="885"/>
      <c r="R23" s="885"/>
      <c r="S23" s="32"/>
      <c r="T23" s="883" t="str">
        <f>IF(U21="","",IF(U21&gt;0,T20/V20,"/"))</f>
        <v/>
      </c>
      <c r="U23" s="883"/>
      <c r="V23" s="884" t="str">
        <f>IF(AND(PG!$AO$4=2,PG!$A19="P"),PG!Q19,IF(AND(COUNT(PG!$A$6:$A$11)&gt;2,PG!$CF18="P"),PG!$CD18,""))</f>
        <v/>
      </c>
      <c r="W23" s="884"/>
      <c r="X23" s="32"/>
      <c r="Y23" s="883" t="str">
        <f>IF(Z21="","",IF(Z21&gt;0,Y20/AA20,"/"))</f>
        <v/>
      </c>
      <c r="Z23" s="883"/>
      <c r="AA23" s="884" t="str">
        <f>IF(PG!$AO$4=2,"",IF(AND(COUNT(PG!$A$6:$A$11)&gt;2,PG!$CF17="P"),PG!$CD17,""))</f>
        <v/>
      </c>
      <c r="AB23" s="884"/>
      <c r="AC23" s="32"/>
      <c r="AD23" s="883" t="str">
        <f>IF(AE21="","",IF(AE21&gt;0,AD20/AF20,"/"))</f>
        <v/>
      </c>
      <c r="AE23" s="883"/>
      <c r="AF23" s="884" t="str">
        <f>IF(PG!$AO$4=2,"",IF(AND(COUNT(PG!$A$6:$A$11)&gt;2,PG!$CF16="P"),PG!$CD16,""))</f>
        <v/>
      </c>
      <c r="AG23" s="884"/>
      <c r="AH23" s="32"/>
      <c r="AI23" s="32"/>
      <c r="AJ23" s="32"/>
      <c r="AK23" s="883" t="str" cm="1">
        <f t="array" ref="AK23">IF(PG!$AO$4&lt;3,"",IF(_xlfn.XLOOKUP('T PG'!C22,"Licence n° "&amp;PG!$B$6:$B$11,PG!$AO$6:$AO$11,"",0,1)=1,"",_xlfn.XLOOKUP('T PG'!C22,"Licence n° "&amp;PG!$B$6:$B$11,PG!$U$6:$U$11,"",0,1)))</f>
        <v/>
      </c>
      <c r="AL23" s="883"/>
      <c r="AM23" s="884" t="str" cm="1">
        <f t="array" ref="AM23">IF(PG!$AO$4&lt;3,"",IF(_xlfn.XLOOKUP('T PG'!C22,"Licence n° "&amp;PG!$B$6:$B$11,PG!$AO$6:$AO$11,"",0,1)=1,"",_xlfn.XLOOKUP('T PG'!C22,"Licence n° "&amp;PG!$B$6:$B$11,PG!$S$6:$S$11,"",0,1)))</f>
        <v/>
      </c>
      <c r="AN23" s="884"/>
      <c r="AO23" s="32"/>
      <c r="AP23" s="562" t="str" cm="1">
        <f t="array" ref="AP23">IF(PG!$AO$4&lt;3,"",_xlfn.XLOOKUP(C22,"Licence n° "&amp;PG!$B$6:$B$11,PG!$X$6:$X$11,"",0,1))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IF(PG!AO4=2,C15,IF(COUNT(PG!A6:A11)&gt;3,CONCATENATE(PG!C9," ",LEFT(PG!E9),"."),""))</f>
        <v/>
      </c>
      <c r="D25" s="32"/>
      <c r="E25" s="882" t="str">
        <f>IF(PG!$AO$4=2,"",IF(AND(COUNT(PG!$A$6:$A$11)&gt;2,PG!$CF25="P"),PG!$CC25,""))</f>
        <v/>
      </c>
      <c r="F25" s="882"/>
      <c r="G25" s="882" t="str">
        <f>IF(PG!$AO$4=2,"",IF(AND(COUNT(PG!$A$6:$A$11)&gt;2,PG!$CF25="P"),PG!$CE25,""))</f>
        <v/>
      </c>
      <c r="H25" s="882"/>
      <c r="I25" s="142"/>
      <c r="J25" s="882" t="str">
        <f>IF(PG!$AO$4=2,"",IF(AND(COUNT(PG!$A$6:$A$11)&gt;2,PG!$CF24="P"),PG!$CC24,""))</f>
        <v/>
      </c>
      <c r="K25" s="882"/>
      <c r="L25" s="882" t="str">
        <f>IF(PG!$AO$4=2,"",IF(AND(COUNT(PG!$A$6:$A$11)&gt;2,PG!$CF24="P"),PG!$CE24,""))</f>
        <v/>
      </c>
      <c r="M25" s="882"/>
      <c r="N25" s="142"/>
      <c r="O25" s="882" t="str">
        <f>IF(AND(PG!$AO$4=2,PG!$A19="P"),PG!N19,IF(AND(COUNT(PG!$A$6:$A$11)&gt;2,PG!$CF23="P"),PG!$CC23,""))</f>
        <v/>
      </c>
      <c r="P25" s="882"/>
      <c r="Q25" s="882" t="str">
        <f>IF(AND(PG!$AO$4=2,PG!$A19="P"),PG!O19,IF(AND(COUNT(PG!$A$6:$A$11)&gt;2,PG!$CF23="P"),PG!$CE23,""))</f>
        <v/>
      </c>
      <c r="R25" s="882"/>
      <c r="S25" s="32"/>
      <c r="T25" s="886" t="str">
        <f>IF(PG!W35="NON",AG1,IF(OR(PG!AO4=2,COUNT(PG!A6:A11)&gt;3),_xlfn.XLOOKUP('T PG'!C28,'LOGOS CLUBS'!$B$2:$B$65,'LOGOS CLUBS'!$C$2:$C$65,C28,0,1),""))</f>
        <v/>
      </c>
      <c r="U25" s="886"/>
      <c r="V25" s="886"/>
      <c r="W25" s="886"/>
      <c r="X25" s="32"/>
      <c r="Y25" s="882" t="str">
        <f>IF(PG!$AO$4=2,"",IF(AND(COUNT(PG!$A$6:$A$11)&gt;2,PG!$CF22="P"),PG!$CC22,""))</f>
        <v/>
      </c>
      <c r="Z25" s="882"/>
      <c r="AA25" s="882" t="str">
        <f>IF(PG!$AO$4=2,"",IF(AND(COUNT(PG!$A$6:$A$11)&gt;2,PG!$CF22="P"),PG!$CE22,""))</f>
        <v/>
      </c>
      <c r="AB25" s="882"/>
      <c r="AC25" s="142"/>
      <c r="AD25" s="882" t="str">
        <f>IF(PG!$AO$4=2,"",IF(AND(COUNT(PG!$A$6:$A$11)&gt;2,PG!$CF21="P"),PG!$CC21,""))</f>
        <v/>
      </c>
      <c r="AE25" s="882"/>
      <c r="AF25" s="882" t="str">
        <f>IF(PG!$AO$4=2,"",IF(AND(COUNT(PG!$A$6:$A$11)&gt;2,PG!$CF21="P"),PG!$CE21,""))</f>
        <v/>
      </c>
      <c r="AG25" s="882"/>
      <c r="AH25" s="32"/>
      <c r="AI25" s="32"/>
      <c r="AJ25" s="32"/>
      <c r="AK25" s="882" t="str" cm="1">
        <f t="array" ref="AK25">IF(PG!$AO$4&lt;3,"",IF(_xlfn.XLOOKUP('T PG'!C27,"Licence n° "&amp;PG!$B$6:$B$11,PG!$AO$6:$AO$11,"",0,1)=1,"",_xlfn.XLOOKUP('T PG'!C27,"Licence n° "&amp;PG!$B$6:$B$11,PG!$V$6:$V$11,"",0,1)))</f>
        <v/>
      </c>
      <c r="AL25" s="882"/>
      <c r="AM25" s="879" t="str" cm="1">
        <f t="array" ref="AM25">IF(PG!$AO$4&lt;3,"",IF(_xlfn.XLOOKUP('T PG'!C27,"Licence n° "&amp;PG!$B$6:$B$11,PG!$AO$6:$AO$11,"",0,1)=1,"",_xlfn.XLOOKUP('T PG'!C27,"Licence n° "&amp;PG!$B$6:$B$11,PG!$T$6:$T$11,"",0,1)))</f>
        <v/>
      </c>
      <c r="AN25" s="879"/>
      <c r="AO25" s="32"/>
      <c r="AP25" s="561" t="str" cm="1">
        <f t="array" ref="AP25">IF(OR(PG!AO4&lt;3,COUNT(PG!$A$6:$A$11&lt;3)),"",_xlfn.XLOOKUP(C27,"Licence n° "&amp;PG!$B$6:$B$11,PG!$W$6:$W$11,"",0,1))</f>
        <v/>
      </c>
      <c r="AQ25" s="32"/>
      <c r="AS25" s="849" t="s">
        <v>8118</v>
      </c>
      <c r="AT25" s="32"/>
    </row>
    <row r="26" spans="1:52" ht="12.6" customHeight="1" x14ac:dyDescent="0.25">
      <c r="A26" s="32"/>
      <c r="B26" s="32"/>
      <c r="C26" s="143" t="str" cm="1">
        <f t="array" ref="C26">IF(PG!$AO$4=2,_xlfn.XLOOKUP(2,PG!$M$6:$M$11,PG!$K$6:$K$11&amp;" "&amp;PG!$AS$6:$AS$11,"",0,1),IF(COUNT(PG!$A$6:$A$11)&gt;3,PG!$K9&amp;" - "&amp;PG!$AS9," "))</f>
        <v xml:space="preserve"> </v>
      </c>
      <c r="D26" s="32"/>
      <c r="E26" s="144" t="str">
        <f>IF(F26="","","Pts")</f>
        <v/>
      </c>
      <c r="F26" s="880" t="str">
        <f>IF(PG!$AO$4=2,"",IF(AND(COUNT(PG!$A$6:$A$11)&gt;2,PG!$CF25="P"),PG!$CG25,""))</f>
        <v/>
      </c>
      <c r="G26" s="880"/>
      <c r="H26" s="144" t="str">
        <f>IF(F26="","","Rep.")</f>
        <v/>
      </c>
      <c r="I26" s="144"/>
      <c r="J26" s="144" t="str">
        <f>IF(K26="","","Pts")</f>
        <v/>
      </c>
      <c r="K26" s="880" t="str">
        <f>IF(PG!$AO$4=2,"",IF(AND(COUNT(PG!$A$6:$A$11)&gt;2,PG!$CF24="P"),PG!$CG24,""))</f>
        <v/>
      </c>
      <c r="L26" s="880"/>
      <c r="M26" s="144" t="str">
        <f>IF(K26="","","Rep.")</f>
        <v/>
      </c>
      <c r="N26" s="144"/>
      <c r="O26" s="144" t="str">
        <f>IF(P26="","","Pts")</f>
        <v/>
      </c>
      <c r="P26" s="880" t="str">
        <f>IF(PG!$AO$4=2,PG!D19,IF(AND(COUNT(PG!$A$6:$A$11)&gt;2,PG!$CF23="P"),PG!$CG23,""))</f>
        <v/>
      </c>
      <c r="Q26" s="880"/>
      <c r="R26" s="144" t="str">
        <f>IF(P26="","","Rep.")</f>
        <v/>
      </c>
      <c r="S26" s="32"/>
      <c r="T26" s="886"/>
      <c r="U26" s="886"/>
      <c r="V26" s="886"/>
      <c r="W26" s="886"/>
      <c r="X26" s="32"/>
      <c r="Y26" s="144" t="str">
        <f>IF(Z26="","","Pts")</f>
        <v/>
      </c>
      <c r="Z26" s="880" t="str">
        <f>IF(PG!$AO$4=2,"",IF(AND(COUNT(PG!$A$6:$A$11)&gt;2,PG!$CF22="P"),PG!$CG22,""))</f>
        <v/>
      </c>
      <c r="AA26" s="880"/>
      <c r="AB26" s="144" t="str">
        <f>IF(Z26="","","Rep.")</f>
        <v/>
      </c>
      <c r="AC26" s="144"/>
      <c r="AD26" s="144" t="str">
        <f>IF(AE26="","","Pts")</f>
        <v/>
      </c>
      <c r="AE26" s="880" t="str">
        <f>IF(PG!$AO$4=2,"",IF(AND(COUNT(PG!$A$6:$A$11)&gt;2,PG!$CF21="P"),PG!$CG21,""))</f>
        <v/>
      </c>
      <c r="AF26" s="880"/>
      <c r="AG26" s="144" t="str">
        <f>IF(AE26="","","Rep.")</f>
        <v/>
      </c>
      <c r="AH26" s="32"/>
      <c r="AI26" s="32"/>
      <c r="AJ26" s="32"/>
      <c r="AK26" s="145" t="str">
        <f>IF(AL26="","","PM")</f>
        <v/>
      </c>
      <c r="AL26" s="881" t="str" cm="1">
        <f t="array" ref="AL26">IF(SUM(PG!$Q$6:$Q$11)=0,"",IF(PG!$AO$4&gt;2,IF(_xlfn.XLOOKUP('T PG'!C27,"Licence n° "&amp;PG!$B$6:$B$11,PG!$AO$6:$AO$11,"",0,1)=1,"Forfait",_xlfn.XLOOKUP('T PG'!C27,"Licence n° "&amp;PG!$B$37:$B$42,PG!$Q$37:$Q$42,"",0,1)),""))</f>
        <v/>
      </c>
      <c r="AM26" s="881"/>
      <c r="AN26" s="145" t="str">
        <f>IF(AL26="","","MGP")</f>
        <v/>
      </c>
      <c r="AO26" s="32"/>
      <c r="AP26" s="151" t="str">
        <f>IF(AND(COUNT(PG!$A$6:$A$11)&gt;3,PG!$AO$4&gt;2,LEFT(PG!$F$13)="P"),"Pts Rk","")</f>
        <v/>
      </c>
      <c r="AQ26" s="32"/>
      <c r="AS26" s="849"/>
      <c r="AT26" s="32"/>
    </row>
    <row r="27" spans="1:52" ht="12.6" customHeight="1" x14ac:dyDescent="0.25">
      <c r="A27" s="32"/>
      <c r="B27" s="32"/>
      <c r="C27" s="147" t="str">
        <f>IF(PG!AO4=2,C17,IF(COUNT(PG!A6:A11)&gt;3,"Licence n° "&amp;PG!B9,"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IF(AND(COUNT(PG!$A$6:$A$11)&gt;3,PG!$AO$4&gt;2,LEFT(PG!$F$13)="P"),"Bonus","")</f>
        <v/>
      </c>
      <c r="AQ27" s="32"/>
      <c r="AS27" s="829" t="s">
        <v>8119</v>
      </c>
      <c r="AT27" s="32"/>
    </row>
    <row r="28" spans="1:52" ht="50.1" customHeight="1" x14ac:dyDescent="0.25">
      <c r="A28" s="32"/>
      <c r="B28" s="32"/>
      <c r="C28" s="149" t="str">
        <f>IF(PG!AO4=2,C18,IF(COUNT(PG!A6:A11)&gt;3,PG!G9," "))</f>
        <v xml:space="preserve"> </v>
      </c>
      <c r="D28" s="32"/>
      <c r="E28" s="883" t="str">
        <f>IF(F26="","",IF(F26&gt;0,E25/G25,"/"))</f>
        <v/>
      </c>
      <c r="F28" s="883"/>
      <c r="G28" s="884" t="str">
        <f>IF(PG!$AO$4=2,"",IF(AND(COUNT(PG!$A$6:$A$11)&gt;2,PG!$CF25="P"),PG!$CD25,""))</f>
        <v/>
      </c>
      <c r="H28" s="884"/>
      <c r="I28" s="32"/>
      <c r="J28" s="883" t="str">
        <f>IF(K26="","",IF(K26&gt;0,J25/L25,"/"))</f>
        <v/>
      </c>
      <c r="K28" s="883"/>
      <c r="L28" s="884" t="str">
        <f>IF(PG!$AO$4=2,"",IF(AND(COUNT(PG!$A$6:$A$11)&gt;2,PG!$CF24="P"),PG!$CD24,""))</f>
        <v/>
      </c>
      <c r="M28" s="884"/>
      <c r="N28" s="32"/>
      <c r="O28" s="883" t="str">
        <f>IF(P26="","",IF(P26&gt;0,O25/Q25,"/"))</f>
        <v/>
      </c>
      <c r="P28" s="883"/>
      <c r="Q28" s="884" t="str">
        <f>IF(AND(PG!$AO$4=2,PG!$A19="P"),PG!M19,IF(AND(COUNT(PG!$A$6:$A$11)&gt;2,PG!$CF23="P"),PG!$CD23,""))</f>
        <v/>
      </c>
      <c r="R28" s="884"/>
      <c r="S28" s="32"/>
      <c r="T28" s="886"/>
      <c r="U28" s="886"/>
      <c r="V28" s="886"/>
      <c r="W28" s="886"/>
      <c r="X28" s="32"/>
      <c r="Y28" s="883" t="str">
        <f>IF(Z26="","",IF(Z26&gt;0,Y25/AA25,"/"))</f>
        <v/>
      </c>
      <c r="Z28" s="883"/>
      <c r="AA28" s="884" t="str">
        <f>IF(PG!$AO$4=2,"",IF(AND(COUNT(PG!$A$6:$A$11)&gt;2,PG!$CF22="P"),PG!$CD22,""))</f>
        <v/>
      </c>
      <c r="AB28" s="884"/>
      <c r="AC28" s="32"/>
      <c r="AD28" s="883" t="str">
        <f>IF(AE26="","",IF(AE26&gt;0,AD25/AF25,"/"))</f>
        <v/>
      </c>
      <c r="AE28" s="883"/>
      <c r="AF28" s="884" t="str">
        <f>IF(PG!$AO$4=2,"",IF(AND(COUNT(PG!$A$6:$A$11)&gt;2,PG!$CF21="P"),PG!$CD21,""))</f>
        <v/>
      </c>
      <c r="AG28" s="884"/>
      <c r="AH28" s="32"/>
      <c r="AI28" s="32"/>
      <c r="AJ28" s="32"/>
      <c r="AK28" s="883" t="str" cm="1">
        <f t="array" ref="AK28">IF(PG!$AO$4&lt;3,"",IF(_xlfn.XLOOKUP('T PG'!C27,"Licence n° "&amp;PG!$B$6:$B$11,PG!$AO$6:$AO$11,"",0,1)=1,"",_xlfn.XLOOKUP('T PG'!C27,"Licence n° "&amp;PG!$B$6:$B$11,PG!$U$6:$U$11,"",0,1)))</f>
        <v/>
      </c>
      <c r="AL28" s="883"/>
      <c r="AM28" s="884" t="str" cm="1">
        <f t="array" ref="AM28">IF(PG!$AO$4&lt;3,"",IF(_xlfn.XLOOKUP('T PG'!C27,"Licence n° "&amp;PG!$B$6:$B$11,PG!$AO$6:$AO$11,"",0,1)=1,"",_xlfn.XLOOKUP('T PG'!C27,"Licence n° "&amp;PG!$B$6:$B$11,PG!$S$6:$S$11,"",0,1)))</f>
        <v/>
      </c>
      <c r="AN28" s="884"/>
      <c r="AO28" s="32"/>
      <c r="AP28" s="562" t="str" cm="1">
        <f t="array" ref="AP28">IF(OR(PG!AO4&lt;3,COUNT(PG!$A$6:$A$11)&lt;4),"",_xlfn.XLOOKUP(C27,"Licence n° "&amp;PG!$B$6:$B$11,PG!$X$6:$X$11,"",0,1))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IF(PG!AO4=2,"",IF(COUNT(PG!A6:A11)&gt;4,CONCATENATE(PG!C10," ",LEFT(PG!E10),"."),""))</f>
        <v/>
      </c>
      <c r="D30" s="32"/>
      <c r="E30" s="882" t="str">
        <f>IF(PG!$AO$4=2,"",IF(AND(COUNT(PG!$A$6:$A$11)&gt;2,PG!$CF30="P"),PG!$CC30,""))</f>
        <v/>
      </c>
      <c r="F30" s="882"/>
      <c r="G30" s="882" t="str">
        <f>IF(PG!$AO$4=2,"",IF(AND(COUNT(PG!$A$6:$A$11)&gt;2,PG!$CF30="P"),PG!$CE30,""))</f>
        <v/>
      </c>
      <c r="H30" s="882"/>
      <c r="I30" s="142"/>
      <c r="J30" s="882" t="str">
        <f>IF(PG!$AO$4=2,"",IF(AND(COUNT(PG!$A$6:$A$11)&gt;2,PG!$CF29="P"),PG!$CC29,""))</f>
        <v/>
      </c>
      <c r="K30" s="882"/>
      <c r="L30" s="882" t="str">
        <f>IF(PG!$AO$4=2,"",IF(AND(COUNT(PG!$A$6:$A$11)&gt;2,PG!$CF29="P"),PG!$CE29,""))</f>
        <v/>
      </c>
      <c r="M30" s="882"/>
      <c r="N30" s="142"/>
      <c r="O30" s="882" t="str">
        <f>IF(PG!$AO$4=2,"",IF(AND(COUNT(PG!$A$6:$A$11)&gt;2,PG!$CF28="P"),PG!$CC28,""))</f>
        <v/>
      </c>
      <c r="P30" s="882"/>
      <c r="Q30" s="882" t="str">
        <f>IF(PG!$AO$4=2,"",IF(AND(COUNT(PG!$A$6:$A$11)&gt;2,PG!$CF28="P"),PG!$CE28,""))</f>
        <v/>
      </c>
      <c r="R30" s="882"/>
      <c r="S30" s="142"/>
      <c r="T30" s="882" t="str">
        <f>IF(PG!$AO$4=2,"",IF(AND(COUNT(PG!$A$6:$A$11)&gt;2,PG!$CF27="P"),PG!$CC27,""))</f>
        <v/>
      </c>
      <c r="U30" s="882"/>
      <c r="V30" s="882" t="str">
        <f>IF(PG!$AO$4=2,"",IF(AND(COUNT(PG!$A$6:$A$11)&gt;2,PG!$CF27="P"),PG!$CE27,""))</f>
        <v/>
      </c>
      <c r="W30" s="882"/>
      <c r="X30" s="32"/>
      <c r="Y30" s="887" t="str">
        <f>IF(PG!W35="NON",AG1,IF(PG!AO4=2,"",IF(COUNT(PG!A6:A11)&gt;4,_xlfn.XLOOKUP('T PG'!C33,'LOGOS CLUBS'!$B$2:$B$65,'LOGOS CLUBS'!$C$2:$C$65,C33,0,1),"")))</f>
        <v/>
      </c>
      <c r="Z30" s="887"/>
      <c r="AA30" s="887"/>
      <c r="AB30" s="887"/>
      <c r="AC30" s="32"/>
      <c r="AD30" s="882" t="str">
        <f>IF(PG!$AO$4=2,"",IF(AND(COUNT(PG!$A$6:$A$11)&gt;2,PG!$CF26="P"),PG!$CC26,""))</f>
        <v/>
      </c>
      <c r="AE30" s="882"/>
      <c r="AF30" s="882" t="str">
        <f>IF(PG!$AO$4=2,"",IF(AND(COUNT(PG!$A$6:$A$11)&gt;2,PG!$CF26="P"),PG!$CE26,""))</f>
        <v/>
      </c>
      <c r="AG30" s="882"/>
      <c r="AH30" s="32"/>
      <c r="AI30" s="32"/>
      <c r="AJ30" s="32"/>
      <c r="AK30" s="882" t="str" cm="1">
        <f t="array" ref="AK30">IF(PG!$AO$4&lt;3,"",IF(_xlfn.XLOOKUP('T PG'!C32,"Licence n° "&amp;PG!$B$6:$B$11,PG!$AO$6:$AO$11,"",0,1)=1,"",_xlfn.XLOOKUP('T PG'!C32,"Licence n° "&amp;PG!$B$6:$B$11,PG!$V$6:$V$11,"",0,1)))</f>
        <v/>
      </c>
      <c r="AL30" s="882"/>
      <c r="AM30" s="879" t="str" cm="1">
        <f t="array" ref="AM30">IF(PG!$AO$4&lt;3,"",IF(_xlfn.XLOOKUP('T PG'!C32,"Licence n° "&amp;PG!$B$6:$B$11,PG!$AO$6:$AO$11,"",0,1)=1,"",_xlfn.XLOOKUP('T PG'!C32,"Licence n° "&amp;PG!$B$6:$B$11,PG!$T$6:$T$11,"",0,1)))</f>
        <v/>
      </c>
      <c r="AN30" s="879"/>
      <c r="AO30" s="32"/>
      <c r="AP30" s="561" t="str" cm="1">
        <f t="array" ref="AP30">_xlfn.XLOOKUP(C32,"Licence n° "&amp;PG!$B$6:$B$11,PG!$W$6:$W$11,"",0,1)</f>
        <v/>
      </c>
      <c r="AQ30" s="32"/>
      <c r="AS30" s="830" t="s">
        <v>8120</v>
      </c>
      <c r="AT30" s="32"/>
    </row>
    <row r="31" spans="1:52" ht="12.6" customHeight="1" x14ac:dyDescent="0.25">
      <c r="A31" s="32"/>
      <c r="B31" s="32"/>
      <c r="C31" s="143" t="str">
        <f>IF(PG!$AO$4=2,"",IF(COUNT(PG!$A$6:$A$11)&gt;4,PG!$K10&amp;" - "&amp;PG!$AS10," "))</f>
        <v xml:space="preserve"> </v>
      </c>
      <c r="D31" s="32"/>
      <c r="E31" s="144" t="str">
        <f>IF(F31="","","Pts")</f>
        <v/>
      </c>
      <c r="F31" s="880" t="str">
        <f>IF(PG!$AO$4=2,"",IF(AND(COUNT(PG!$A$6:$A$11)&gt;2,PG!$CF30="P"),PG!$CG30,""))</f>
        <v/>
      </c>
      <c r="G31" s="880"/>
      <c r="H31" s="144" t="str">
        <f>IF(F31="","","Rep.")</f>
        <v/>
      </c>
      <c r="I31" s="144"/>
      <c r="J31" s="144" t="str">
        <f>IF(K31="","","Pts")</f>
        <v/>
      </c>
      <c r="K31" s="880" t="str">
        <f>IF(PG!$AO$4=2,"",IF(AND(COUNT(PG!$A$6:$A$11)&gt;2,PG!$CF29="P"),PG!$CG29,""))</f>
        <v/>
      </c>
      <c r="L31" s="880"/>
      <c r="M31" s="144" t="str">
        <f>IF(K31="","","Rep.")</f>
        <v/>
      </c>
      <c r="N31" s="144"/>
      <c r="O31" s="144" t="str">
        <f>IF(P31="","","Pts")</f>
        <v/>
      </c>
      <c r="P31" s="880" t="str">
        <f>IF(PG!$AO$4=2,"",IF(AND(COUNT(PG!$A$6:$A$11)&gt;2,PG!$CF28="P"),PG!$CG28,""))</f>
        <v/>
      </c>
      <c r="Q31" s="880"/>
      <c r="R31" s="144" t="str">
        <f>IF(P31="","","Rep.")</f>
        <v/>
      </c>
      <c r="S31" s="144"/>
      <c r="T31" s="144" t="str">
        <f>IF(U31="","","Pts")</f>
        <v/>
      </c>
      <c r="U31" s="880" t="str">
        <f>IF(PG!$AO$4=2,"",IF(AND(COUNT(PG!$A$6:$A$11)&gt;2,PG!$CF27="P"),PG!$CG27,""))</f>
        <v/>
      </c>
      <c r="V31" s="880"/>
      <c r="W31" s="144" t="str">
        <f>IF(U31="","","Rep.")</f>
        <v/>
      </c>
      <c r="X31" s="32"/>
      <c r="Y31" s="887"/>
      <c r="Z31" s="887"/>
      <c r="AA31" s="887"/>
      <c r="AB31" s="887"/>
      <c r="AC31" s="32"/>
      <c r="AD31" s="144" t="str">
        <f>IF(AE31="","","Pts")</f>
        <v/>
      </c>
      <c r="AE31" s="880" t="str">
        <f>IF(PG!$AO$4=2,"",IF(AND(COUNT(PG!$A$6:$A$11)&gt;2,PG!$CF26="P"),PG!$CG26,""))</f>
        <v/>
      </c>
      <c r="AF31" s="880"/>
      <c r="AG31" s="144" t="str">
        <f>IF(AE31="","","Rep.")</f>
        <v/>
      </c>
      <c r="AH31" s="32"/>
      <c r="AI31" s="32"/>
      <c r="AJ31" s="32"/>
      <c r="AK31" s="145" t="str">
        <f>IF(AL31="","","PM")</f>
        <v/>
      </c>
      <c r="AL31" s="881" t="str" cm="1">
        <f t="array" ref="AL31">IF(SUM(PG!$Q$6:$Q$11)=0,"",IF(PG!$AO$4&gt;2,IF(_xlfn.XLOOKUP('T PG'!C32,"Licence n° "&amp;PG!$B$6:$B$11,PG!$AO$6:$AO$11,"",0,1)=1,"Forfait",_xlfn.XLOOKUP('T PG'!C32,"Licence n° "&amp;PG!$B$37:$B$42,PG!$Q$37:$Q$42,"",0,1)),""))</f>
        <v/>
      </c>
      <c r="AM31" s="881"/>
      <c r="AN31" s="145" t="str">
        <f>IF(AL31="","","MGP")</f>
        <v/>
      </c>
      <c r="AO31" s="32"/>
      <c r="AP31" s="151" t="str">
        <f>IF(AND(COUNT(PG!$A$6:$A$11)&gt;4,PG!$AO$4&gt;2,LEFT(PG!$F$13)="P"),"Pts Rk","")</f>
        <v/>
      </c>
      <c r="AQ31" s="32"/>
      <c r="AS31" s="830"/>
      <c r="AT31" s="32"/>
    </row>
    <row r="32" spans="1:52" ht="12.6" customHeight="1" x14ac:dyDescent="0.25">
      <c r="A32" s="32"/>
      <c r="B32" s="32"/>
      <c r="C32" s="147" t="str">
        <f>IF(PG!AO4=2,"",IF(COUNT(PG!A6:A11)&gt;4,"Licence n° "&amp;PG!B10,"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IF(AND(COUNT(PG!$A$6:$A$11)&gt;4,PG!$AO$4&gt;2,LEFT(PG!$F$13)="P"),"Bonus","")</f>
        <v/>
      </c>
      <c r="AQ32" s="32"/>
      <c r="AS32" s="831" t="s">
        <v>8121</v>
      </c>
      <c r="AT32" s="32"/>
    </row>
    <row r="33" spans="1:46" ht="50.1" customHeight="1" x14ac:dyDescent="0.25">
      <c r="A33" s="32"/>
      <c r="B33" s="32"/>
      <c r="C33" s="149" t="str">
        <f>IF(PG!AO4=2,"",IF(COUNT(PG!A6:A11)&gt;4,PG!G10," "))</f>
        <v xml:space="preserve"> </v>
      </c>
      <c r="D33" s="32"/>
      <c r="E33" s="883" t="str">
        <f>IF(F31="","",IF(F31&gt;0,E30/G30,"/"))</f>
        <v/>
      </c>
      <c r="F33" s="883"/>
      <c r="G33" s="884" t="str">
        <f>IF(PG!$AO$4=2,"",IF(AND(COUNT(PG!$A$6:$A$11)&gt;2,PG!$CF30="P"),PG!$CD30,""))</f>
        <v/>
      </c>
      <c r="H33" s="884"/>
      <c r="I33" s="32"/>
      <c r="J33" s="883" t="str">
        <f>IF(K31="","",IF(K31&gt;0,J30/L30,"/"))</f>
        <v/>
      </c>
      <c r="K33" s="883"/>
      <c r="L33" s="884" t="str">
        <f>IF(PG!$AO$4=2,"",IF(AND(COUNT(PG!$A$6:$A$11)&gt;2,PG!$CF29="P"),PG!$CD29,""))</f>
        <v/>
      </c>
      <c r="M33" s="884"/>
      <c r="N33" s="32"/>
      <c r="O33" s="883" t="str">
        <f>IF(P31="","",IF(P31&gt;0,O30/Q30,"/"))</f>
        <v/>
      </c>
      <c r="P33" s="883"/>
      <c r="Q33" s="884" t="str">
        <f>IF(PG!$AO$4=2,"",IF(AND(COUNT(PG!$A$6:$A$11)&gt;2,PG!$CF28="P"),PG!$CD28,""))</f>
        <v/>
      </c>
      <c r="R33" s="884"/>
      <c r="S33" s="32"/>
      <c r="T33" s="883" t="str">
        <f>IF(U31="","",IF(U31&gt;0,T30/V30,"/"))</f>
        <v/>
      </c>
      <c r="U33" s="883"/>
      <c r="V33" s="884" t="str">
        <f>IF(PG!$AO$4=2,"",IF(AND(COUNT(PG!$A$6:$A$11)&gt;2,PG!$CF27="P"),PG!$CD27,""))</f>
        <v/>
      </c>
      <c r="W33" s="884"/>
      <c r="X33" s="32"/>
      <c r="Y33" s="887"/>
      <c r="Z33" s="887"/>
      <c r="AA33" s="887"/>
      <c r="AB33" s="887"/>
      <c r="AC33" s="32"/>
      <c r="AD33" s="883" t="str">
        <f>IF(AE31="","",IF(AE31&gt;0,AD30/AF30,"/"))</f>
        <v/>
      </c>
      <c r="AE33" s="883"/>
      <c r="AF33" s="884" t="str">
        <f>IF(PG!$AO$4=2,"",IF(AND(COUNT(PG!$A$6:$A$11)&gt;2,PG!$CF26="P"),PG!$CD26,""))</f>
        <v/>
      </c>
      <c r="AG33" s="884"/>
      <c r="AH33" s="32"/>
      <c r="AI33" s="32"/>
      <c r="AJ33" s="32"/>
      <c r="AK33" s="883" t="str" cm="1">
        <f t="array" ref="AK33">IF(PG!$AO$4&lt;3,"",IF(_xlfn.XLOOKUP('T PG'!C32,"Licence n° "&amp;PG!$B$6:$B$11,PG!$AO$6:$AO$11,"",0,1)=1,"",_xlfn.XLOOKUP('T PG'!C32,"Licence n° "&amp;PG!$B$6:$B$11,PG!$U$6:$U$11,"",0,1)))</f>
        <v/>
      </c>
      <c r="AL33" s="883"/>
      <c r="AM33" s="884" t="str" cm="1">
        <f t="array" ref="AM33">IF(PG!$AO$4&lt;3,"",IF(_xlfn.XLOOKUP('T PG'!C32,"Licence n° "&amp;PG!$B$6:$B$11,PG!$AO$6:$AO$11,"",0,1)=1,"",_xlfn.XLOOKUP('T PG'!C32,"Licence n° "&amp;PG!$B$6:$B$11,PG!$S$6:$S$11,"",0,1)))</f>
        <v/>
      </c>
      <c r="AN33" s="884"/>
      <c r="AO33" s="32"/>
      <c r="AP33" s="562" t="str" cm="1">
        <f t="array" ref="AP33">_xlfn.XLOOKUP(C32,"Licence n° "&amp;PG!$B$6:$B$11,PG!$X$6:$X$11,"",0,1)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IF(PG!AO4=2,"",IF(COUNT(PG!A6:A11)&gt;5,CONCATENATE(PG!C11," ",LEFT(PG!E11),"."),""))</f>
        <v/>
      </c>
      <c r="D35" s="32"/>
      <c r="E35" s="882" t="str">
        <f>IF(PG!$AO$4=2,"",IF(AND(COUNT(PG!$A$6:$A$11)&gt;2,PG!$CF35="P"),PG!$CC35,""))</f>
        <v/>
      </c>
      <c r="F35" s="882"/>
      <c r="G35" s="882" t="str">
        <f>IF(PG!$AO$4=2,"",IF(AND(COUNT(PG!$A$6:$A$11)&gt;2,PG!$CF35="P"),PG!$CE35,""))</f>
        <v/>
      </c>
      <c r="H35" s="882"/>
      <c r="I35" s="142"/>
      <c r="J35" s="882" t="str">
        <f>IF(PG!$AO$4=2,"",IF(AND(COUNT(PG!$A$6:$A$11)&gt;2,PG!$CF34="P"),PG!$CC34,""))</f>
        <v/>
      </c>
      <c r="K35" s="882"/>
      <c r="L35" s="882" t="str">
        <f>IF(PG!$AO$4=2,"",IF(AND(COUNT(PG!$A$6:$A$11)&gt;2,PG!$CF34="P"),PG!$CE34,""))</f>
        <v/>
      </c>
      <c r="M35" s="882"/>
      <c r="N35" s="142"/>
      <c r="O35" s="882" t="str">
        <f>IF(PG!$AO$4=2,"",IF(AND(COUNT(PG!$A$6:$A$11)&gt;2,PG!$CF33="P"),PG!$CC33,""))</f>
        <v/>
      </c>
      <c r="P35" s="882"/>
      <c r="Q35" s="882" t="str">
        <f>IF(PG!$AO$4=2,"",IF(AND(COUNT(PG!$A$6:$A$11)&gt;2,PG!$CF33="P"),PG!$CE33,""))</f>
        <v/>
      </c>
      <c r="R35" s="882"/>
      <c r="S35" s="142"/>
      <c r="T35" s="882" t="str">
        <f>IF(PG!$AO$4=2,"",IF(AND(COUNT(PG!$A$6:$A$11)&gt;2,PG!$CF32="P"),PG!$CC32,""))</f>
        <v/>
      </c>
      <c r="U35" s="882"/>
      <c r="V35" s="882" t="str">
        <f>IF(PG!$AO$4=2,"",IF(AND(COUNT(PG!$A$6:$A$11)&gt;2,PG!$CF32="P"),PG!$CE32,""))</f>
        <v/>
      </c>
      <c r="W35" s="882"/>
      <c r="X35" s="142"/>
      <c r="Y35" s="882" t="str">
        <f>IF(PG!$AO$4=2,"",IF(AND(COUNT(PG!$A$6:$A$11)&gt;2,PG!$CF31="P"),PG!$CC31,""))</f>
        <v/>
      </c>
      <c r="Z35" s="882"/>
      <c r="AA35" s="882" t="str">
        <f>IF(PG!$AO$4=2,"",IF(AND(COUNT(PG!$A$6:$A$11)&gt;2,PG!$CF31="P"),PG!$CE31,""))</f>
        <v/>
      </c>
      <c r="AB35" s="882"/>
      <c r="AC35" s="32"/>
      <c r="AD35" s="885" t="str">
        <f>IF(PG!W35="NON",AG1,IF(PG!AO4=2,"",IF(COUNT(PG!A6:A11)&gt;5,_xlfn.XLOOKUP('T PG'!C38,'LOGOS CLUBS'!$B$2:$B$65,'LOGOS CLUBS'!$C$2:$C$65,C38,0,1),"")))</f>
        <v/>
      </c>
      <c r="AE35" s="885"/>
      <c r="AF35" s="885"/>
      <c r="AG35" s="885"/>
      <c r="AH35" s="32"/>
      <c r="AI35" s="32"/>
      <c r="AJ35" s="32"/>
      <c r="AK35" s="882" t="str" cm="1">
        <f t="array" ref="AK35">IF(PG!$AO$4&lt;3,"",IF(_xlfn.XLOOKUP('T PG'!C37,"Licence n° "&amp;PG!$B$6:$B$11,PG!$AO$6:$AO$11,"",0,1)=1,"",_xlfn.XLOOKUP('T PG'!C37,"Licence n° "&amp;PG!$B$6:$B$11,PG!$V$6:$V$11,"",0,1)))</f>
        <v/>
      </c>
      <c r="AL35" s="882"/>
      <c r="AM35" s="879" t="str" cm="1">
        <f t="array" ref="AM35">IF(PG!$AO$4&lt;3,"",IF(_xlfn.XLOOKUP('T PG'!C37,"Licence n° "&amp;PG!$B$6:$B$11,PG!$AO$6:$AO$11,"",0,1)=1,"",_xlfn.XLOOKUP('T PG'!C37,"Licence n° "&amp;PG!$B$6:$B$11,PG!$T$6:$T$11,"",0,1)))</f>
        <v/>
      </c>
      <c r="AN35" s="879"/>
      <c r="AO35" s="32"/>
      <c r="AP35" s="561" t="str" cm="1">
        <f t="array" ref="AP35">_xlfn.XLOOKUP(C37,"Licence n° "&amp;PG!$B$6:$B$11,PG!$W$6:$W$11,"",0,1)</f>
        <v/>
      </c>
      <c r="AQ35" s="32"/>
      <c r="AS35" s="832" t="s">
        <v>8124</v>
      </c>
      <c r="AT35" s="32"/>
    </row>
    <row r="36" spans="1:46" ht="12.6" customHeight="1" x14ac:dyDescent="0.25">
      <c r="A36" s="32"/>
      <c r="B36" s="32"/>
      <c r="C36" s="143" t="str">
        <f>IF(PG!$AO$4=2,"",IF(COUNT(PG!$A$6:$A$11)&gt;5,PG!$K11&amp;" - "&amp;PG!$AS11," "))</f>
        <v xml:space="preserve"> </v>
      </c>
      <c r="D36" s="32"/>
      <c r="E36" s="144" t="str">
        <f>IF(F36="","","Pts")</f>
        <v/>
      </c>
      <c r="F36" s="880" t="str">
        <f>IF(PG!$AO$4=2,"",IF(AND(COUNT(PG!$A$6:$A$11)&gt;2,PG!$CF35="P"),PG!$CG35,""))</f>
        <v/>
      </c>
      <c r="G36" s="880"/>
      <c r="H36" s="144" t="str">
        <f>IF(F36="","","Rep.")</f>
        <v/>
      </c>
      <c r="I36" s="144"/>
      <c r="J36" s="144" t="str">
        <f>IF(K36="","","Pts")</f>
        <v/>
      </c>
      <c r="K36" s="880" t="str">
        <f>IF(PG!$AO$4=2,"",IF(AND(COUNT(PG!$A$6:$A$11)&gt;2,PG!$CF34="P"),PG!$CG34,""))</f>
        <v/>
      </c>
      <c r="L36" s="880"/>
      <c r="M36" s="144" t="str">
        <f>IF(K36="","","Rep.")</f>
        <v/>
      </c>
      <c r="N36" s="144"/>
      <c r="O36" s="144" t="str">
        <f>IF(P36="","","Pts")</f>
        <v/>
      </c>
      <c r="P36" s="880" t="str">
        <f>IF(PG!$AO$4=2,"",IF(AND(COUNT(PG!$A$6:$A$11)&gt;2,PG!$CF33="P"),PG!$CG33,""))</f>
        <v/>
      </c>
      <c r="Q36" s="880"/>
      <c r="R36" s="144" t="str">
        <f>IF(P36="","","Rep.")</f>
        <v/>
      </c>
      <c r="S36" s="144"/>
      <c r="T36" s="144" t="str">
        <f>IF(U36="","","Pts")</f>
        <v/>
      </c>
      <c r="U36" s="880" t="str">
        <f>IF(PG!$AO$4=2,"",IF(AND(COUNT(PG!$A$6:$A$11)&gt;2,PG!$CF32="P"),PG!$CG32,""))</f>
        <v/>
      </c>
      <c r="V36" s="880"/>
      <c r="W36" s="144" t="str">
        <f>IF(U36="","","Rep.")</f>
        <v/>
      </c>
      <c r="X36" s="144"/>
      <c r="Y36" s="144" t="str">
        <f>IF(Z36="","","Pts")</f>
        <v/>
      </c>
      <c r="Z36" s="880" t="str">
        <f>IF(PG!$AO$4=2,"",IF(AND(COUNT(PG!$A$6:$A$11)&gt;2,PG!$CF31="P"),PG!$CG31,""))</f>
        <v/>
      </c>
      <c r="AA36" s="880"/>
      <c r="AB36" s="144" t="str">
        <f>IF(Z36="","","Rep.")</f>
        <v/>
      </c>
      <c r="AC36" s="32"/>
      <c r="AD36" s="885"/>
      <c r="AE36" s="885"/>
      <c r="AF36" s="885"/>
      <c r="AG36" s="885"/>
      <c r="AH36" s="32"/>
      <c r="AI36" s="32"/>
      <c r="AJ36" s="32"/>
      <c r="AK36" s="145" t="str">
        <f>IF(AL36="","","PM")</f>
        <v/>
      </c>
      <c r="AL36" s="881" t="str" cm="1">
        <f t="array" ref="AL36">IF(SUM(PG!$Q$6:$Q$11)=0,"",IF(PG!$AO$4&gt;2,IF(_xlfn.XLOOKUP('T PG'!C37,"Licence n° "&amp;PG!$B$6:$B$11,PG!$AO$6:$AO$11,"",0,1)=1,"Forfait",_xlfn.XLOOKUP('T PG'!C37,"Licence n° "&amp;PG!$B$37:$B$42,PG!$Q$37:$Q$42,"",0,1)),""))</f>
        <v/>
      </c>
      <c r="AM36" s="881"/>
      <c r="AN36" s="145" t="str">
        <f>IF(AL36="","","MGP")</f>
        <v/>
      </c>
      <c r="AO36" s="32"/>
      <c r="AP36" s="151" t="str">
        <f>IF(AND(COUNT(PG!$A$6:$A$11)&gt;5,PG!$AO$4&gt;2,LEFT(PG!$F$13)="P"),"Pts Rk","")</f>
        <v/>
      </c>
      <c r="AQ36" s="32"/>
      <c r="AS36" s="832"/>
      <c r="AT36" s="32"/>
    </row>
    <row r="37" spans="1:46" ht="12.6" customHeight="1" x14ac:dyDescent="0.25">
      <c r="A37" s="32"/>
      <c r="B37" s="32"/>
      <c r="C37" s="147" t="str">
        <f>IF(PG!AO4=2,"",IF(COUNT(PG!A6:A11)&gt;5,"Licence n° "&amp;PG!B11,"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IF(AND(COUNT(PG!$A$6:$A$11)&gt;5,PG!$AO$4&gt;2,LEFT(PG!$F$13)="P"),"Bonus","")</f>
        <v/>
      </c>
      <c r="AQ37" s="32"/>
      <c r="AS37" s="833" t="s">
        <v>8125</v>
      </c>
      <c r="AT37" s="32"/>
    </row>
    <row r="38" spans="1:46" ht="50.1" customHeight="1" thickBot="1" x14ac:dyDescent="0.3">
      <c r="A38" s="32"/>
      <c r="B38" s="32"/>
      <c r="C38" s="149" t="str">
        <f>IF(PG!AO4=2,"",IF(COUNT(PG!A6:A11)&gt;5,PG!G11," "))</f>
        <v xml:space="preserve"> </v>
      </c>
      <c r="D38" s="32"/>
      <c r="E38" s="883" t="str">
        <f>IF(F36="","",IF(F36&gt;0,E35/G35,"/"))</f>
        <v/>
      </c>
      <c r="F38" s="883"/>
      <c r="G38" s="884" t="str">
        <f>IF(PG!$AO$4=2,"",IF(AND(COUNT(PG!$A$6:$A$11)&gt;2,PG!$CF35="P"),PG!$CD35,""))</f>
        <v/>
      </c>
      <c r="H38" s="884"/>
      <c r="I38" s="32"/>
      <c r="J38" s="883" t="str">
        <f>IF(K36="","",IF(K36&gt;0,J35/L35,"/"))</f>
        <v/>
      </c>
      <c r="K38" s="883"/>
      <c r="L38" s="884" t="str">
        <f>IF(PG!$AO$4=2,"",IF(AND(COUNT(PG!$A$6:$A$11)&gt;2,PG!$CF34="P"),PG!$CD34,""))</f>
        <v/>
      </c>
      <c r="M38" s="884"/>
      <c r="N38" s="32"/>
      <c r="O38" s="883" t="str">
        <f>IF(P36="","",IF(P36&gt;0,O35/Q35,"/"))</f>
        <v/>
      </c>
      <c r="P38" s="883"/>
      <c r="Q38" s="884" t="str">
        <f>IF(PG!$AO$4=2,"",IF(AND(COUNT(PG!$A$6:$A$11)&gt;2,PG!$CF33="P"),PG!$CD33,""))</f>
        <v/>
      </c>
      <c r="R38" s="884"/>
      <c r="S38" s="32"/>
      <c r="T38" s="883" t="str">
        <f>IF(U36="","",IF(U36&gt;0,T35/V35,"/"))</f>
        <v/>
      </c>
      <c r="U38" s="883"/>
      <c r="V38" s="884" t="str">
        <f>IF(PG!$AO$4=2,"",IF(AND(COUNT(PG!$A$6:$A$11)&gt;2,PG!$CF32="P"),PG!$CD32,""))</f>
        <v/>
      </c>
      <c r="W38" s="884"/>
      <c r="X38" s="32"/>
      <c r="Y38" s="883" t="str">
        <f>IF(Z36="","",IF(Z36&gt;0,Y35/AA35,"/"))</f>
        <v/>
      </c>
      <c r="Z38" s="883"/>
      <c r="AA38" s="884" t="str">
        <f>IF(PG!$AO$4=2,"",IF(AND(COUNT(PG!$A$6:$A$11)&gt;2,PG!$CF31="P"),PG!$CD31,""))</f>
        <v/>
      </c>
      <c r="AB38" s="884"/>
      <c r="AC38" s="32"/>
      <c r="AD38" s="885"/>
      <c r="AE38" s="885"/>
      <c r="AF38" s="885"/>
      <c r="AG38" s="885"/>
      <c r="AH38" s="32"/>
      <c r="AI38" s="32"/>
      <c r="AJ38" s="32"/>
      <c r="AK38" s="883" t="str" cm="1">
        <f t="array" ref="AK38">IF(PG!$AO$4&lt;3,"",IF(_xlfn.XLOOKUP('T PG'!C37,"Licence n° "&amp;PG!$B$6:$B$11,PG!$AO$6:$AO$11,"",0,1)=1,"",_xlfn.XLOOKUP('T PG'!C37,"Licence n° "&amp;PG!$B$6:$B$11,PG!$U$6:$U$11,"",0,1)))</f>
        <v/>
      </c>
      <c r="AL38" s="883"/>
      <c r="AM38" s="884" t="str" cm="1">
        <f t="array" ref="AM38">IF(PG!$AO$4&lt;3,"",IF(_xlfn.XLOOKUP('T PG'!C37,"Licence n° "&amp;PG!$B$6:$B$11,PG!$AO$6:$AO$11,"",0,1)=1,"",_xlfn.XLOOKUP('T PG'!C37,"Licence n° "&amp;PG!$B$6:$B$11,PG!$S$6:$S$11,"",0,1)))</f>
        <v/>
      </c>
      <c r="AN38" s="884"/>
      <c r="AO38" s="32"/>
      <c r="AP38" s="562" t="str" cm="1">
        <f t="array" ref="AP38">_xlfn.XLOOKUP(C37,"Licence n° "&amp;PG!$B$6:$B$11,PG!$X$6:$X$11,"",0,1)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mxMmjrfqTgsGppwSDy2d5SUyjeCDB7kArDtSKLE3nAqg1+Q/SZbKMcOr78eHbS11dwjIMmC23hl9BPO4TX9CgA==" saltValue="I20zTgp1KIa98lTMbOQOsw=="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975" priority="130">
      <formula>F16=0</formula>
    </cfRule>
    <cfRule type="expression" dxfId="974" priority="129">
      <formula>F16=1</formula>
    </cfRule>
    <cfRule type="expression" dxfId="973" priority="128">
      <formula>F16=2</formula>
    </cfRule>
  </conditionalFormatting>
  <conditionalFormatting sqref="F21">
    <cfRule type="expression" dxfId="972" priority="113">
      <formula>F21=2</formula>
    </cfRule>
    <cfRule type="expression" dxfId="971" priority="114">
      <formula>F21=1</formula>
    </cfRule>
    <cfRule type="expression" dxfId="970" priority="115">
      <formula>F21=0</formula>
    </cfRule>
  </conditionalFormatting>
  <conditionalFormatting sqref="F26">
    <cfRule type="expression" dxfId="969" priority="98">
      <formula>F26=2</formula>
    </cfRule>
    <cfRule type="expression" dxfId="968" priority="99">
      <formula>F26=1</formula>
    </cfRule>
    <cfRule type="expression" dxfId="967" priority="100">
      <formula>F26=0</formula>
    </cfRule>
  </conditionalFormatting>
  <conditionalFormatting sqref="F31">
    <cfRule type="expression" dxfId="966" priority="83">
      <formula>F31=2</formula>
    </cfRule>
    <cfRule type="expression" dxfId="965" priority="84">
      <formula>F31=1</formula>
    </cfRule>
    <cfRule type="expression" dxfId="964" priority="85">
      <formula>F31=0</formula>
    </cfRule>
  </conditionalFormatting>
  <conditionalFormatting sqref="F36">
    <cfRule type="expression" dxfId="963" priority="70">
      <formula>F36=0</formula>
    </cfRule>
    <cfRule type="expression" dxfId="962" priority="69">
      <formula>F36=1</formula>
    </cfRule>
    <cfRule type="expression" dxfId="961" priority="68">
      <formula>F36=2</formula>
    </cfRule>
  </conditionalFormatting>
  <conditionalFormatting sqref="J15:M18">
    <cfRule type="expression" dxfId="952" priority="147">
      <formula>$J$15="MATCH 1"</formula>
    </cfRule>
  </conditionalFormatting>
  <conditionalFormatting sqref="K21">
    <cfRule type="expression" dxfId="951" priority="110">
      <formula>K21=2</formula>
    </cfRule>
    <cfRule type="expression" dxfId="950" priority="111">
      <formula>K21=1</formula>
    </cfRule>
    <cfRule type="expression" dxfId="949" priority="112">
      <formula>K21=0</formula>
    </cfRule>
  </conditionalFormatting>
  <conditionalFormatting sqref="K26">
    <cfRule type="expression" dxfId="948" priority="97">
      <formula>K26=0</formula>
    </cfRule>
    <cfRule type="expression" dxfId="947" priority="96">
      <formula>K26=1</formula>
    </cfRule>
    <cfRule type="expression" dxfId="946" priority="95">
      <formula>K26=2</formula>
    </cfRule>
  </conditionalFormatting>
  <conditionalFormatting sqref="K31">
    <cfRule type="expression" dxfId="945" priority="82">
      <formula>K31=0</formula>
    </cfRule>
    <cfRule type="expression" dxfId="944" priority="80">
      <formula>K31=2</formula>
    </cfRule>
    <cfRule type="expression" dxfId="943" priority="81">
      <formula>K31=1</formula>
    </cfRule>
  </conditionalFormatting>
  <conditionalFormatting sqref="K36">
    <cfRule type="expression" dxfId="942" priority="65">
      <formula>K36=2</formula>
    </cfRule>
    <cfRule type="expression" dxfId="941" priority="66">
      <formula>K36=1</formula>
    </cfRule>
    <cfRule type="expression" dxfId="940" priority="67">
      <formula>K36=0</formula>
    </cfRule>
  </conditionalFormatting>
  <conditionalFormatting sqref="K11:L12">
    <cfRule type="expression" dxfId="939" priority="143">
      <formula>K11=2</formula>
    </cfRule>
    <cfRule type="expression" dxfId="938" priority="144">
      <formula>K11=1</formula>
    </cfRule>
    <cfRule type="expression" dxfId="937" priority="145">
      <formula>K11=0</formula>
    </cfRule>
  </conditionalFormatting>
  <conditionalFormatting sqref="O20:R23">
    <cfRule type="expression" dxfId="930" priority="146">
      <formula>$O$20="MATCH 2"</formula>
    </cfRule>
  </conditionalFormatting>
  <conditionalFormatting sqref="P11">
    <cfRule type="expression" dxfId="929" priority="140">
      <formula>P11=2</formula>
    </cfRule>
    <cfRule type="expression" dxfId="928" priority="141">
      <formula>P11=1</formula>
    </cfRule>
    <cfRule type="expression" dxfId="927" priority="142">
      <formula>P11=0</formula>
    </cfRule>
  </conditionalFormatting>
  <conditionalFormatting sqref="P16">
    <cfRule type="expression" dxfId="926" priority="125">
      <formula>P16=2</formula>
    </cfRule>
    <cfRule type="expression" dxfId="925" priority="127">
      <formula>P16=0</formula>
    </cfRule>
    <cfRule type="expression" dxfId="924" priority="126">
      <formula>P16=1</formula>
    </cfRule>
  </conditionalFormatting>
  <conditionalFormatting sqref="P26">
    <cfRule type="expression" dxfId="923" priority="93">
      <formula>P26=1</formula>
    </cfRule>
    <cfRule type="expression" dxfId="922" priority="92">
      <formula>P26=2</formula>
    </cfRule>
    <cfRule type="expression" dxfId="921" priority="94">
      <formula>P26=0</formula>
    </cfRule>
  </conditionalFormatting>
  <conditionalFormatting sqref="P31">
    <cfRule type="expression" dxfId="920" priority="77">
      <formula>P31=2</formula>
    </cfRule>
    <cfRule type="expression" dxfId="919" priority="78">
      <formula>P31=1</formula>
    </cfRule>
    <cfRule type="expression" dxfId="918" priority="79">
      <formula>P31=0</formula>
    </cfRule>
  </conditionalFormatting>
  <conditionalFormatting sqref="P36">
    <cfRule type="expression" dxfId="917" priority="64">
      <formula>P36=0</formula>
    </cfRule>
    <cfRule type="expression" dxfId="916" priority="63">
      <formula>P36=1</formula>
    </cfRule>
    <cfRule type="expression" dxfId="915" priority="62">
      <formula>P36=2</formula>
    </cfRule>
  </conditionalFormatting>
  <conditionalFormatting sqref="U11">
    <cfRule type="expression" dxfId="914" priority="138">
      <formula>U11=1</formula>
    </cfRule>
    <cfRule type="expression" dxfId="913" priority="139">
      <formula>U11=0</formula>
    </cfRule>
    <cfRule type="expression" dxfId="912" priority="137">
      <formula>U11=2</formula>
    </cfRule>
  </conditionalFormatting>
  <conditionalFormatting sqref="U16">
    <cfRule type="expression" dxfId="911" priority="123">
      <formula>U16=1</formula>
    </cfRule>
    <cfRule type="expression" dxfId="910" priority="122">
      <formula>U16=2</formula>
    </cfRule>
    <cfRule type="expression" dxfId="909" priority="124">
      <formula>U16=0</formula>
    </cfRule>
  </conditionalFormatting>
  <conditionalFormatting sqref="U21">
    <cfRule type="expression" dxfId="908" priority="108">
      <formula>U21=1</formula>
    </cfRule>
    <cfRule type="expression" dxfId="907" priority="109">
      <formula>U21=0</formula>
    </cfRule>
    <cfRule type="expression" dxfId="906" priority="107">
      <formula>U21=2</formula>
    </cfRule>
  </conditionalFormatting>
  <conditionalFormatting sqref="U31">
    <cfRule type="expression" dxfId="905" priority="76">
      <formula>U31=0</formula>
    </cfRule>
    <cfRule type="expression" dxfId="904" priority="75">
      <formula>U31=1</formula>
    </cfRule>
    <cfRule type="expression" dxfId="903" priority="74">
      <formula>U31=2</formula>
    </cfRule>
  </conditionalFormatting>
  <conditionalFormatting sqref="U36">
    <cfRule type="expression" dxfId="902" priority="61">
      <formula>U36=0</formula>
    </cfRule>
    <cfRule type="expression" dxfId="901" priority="60">
      <formula>U36=1</formula>
    </cfRule>
    <cfRule type="expression" dxfId="900" priority="59">
      <formula>U36=2</formula>
    </cfRule>
  </conditionalFormatting>
  <conditionalFormatting sqref="Z11">
    <cfRule type="expression" dxfId="899" priority="134">
      <formula>Z11=2</formula>
    </cfRule>
    <cfRule type="expression" dxfId="898" priority="136">
      <formula>Z11=0</formula>
    </cfRule>
    <cfRule type="expression" dxfId="897" priority="135">
      <formula>Z11=1</formula>
    </cfRule>
  </conditionalFormatting>
  <conditionalFormatting sqref="Z16">
    <cfRule type="expression" dxfId="896" priority="119">
      <formula>Z16=2</formula>
    </cfRule>
    <cfRule type="expression" dxfId="895" priority="120">
      <formula>Z16=1</formula>
    </cfRule>
    <cfRule type="expression" dxfId="894" priority="121">
      <formula>Z16=0</formula>
    </cfRule>
  </conditionalFormatting>
  <conditionalFormatting sqref="Z21">
    <cfRule type="expression" dxfId="893" priority="104">
      <formula>Z21=2</formula>
    </cfRule>
    <cfRule type="expression" dxfId="892" priority="105">
      <formula>Z21=1</formula>
    </cfRule>
    <cfRule type="expression" dxfId="891" priority="106">
      <formula>Z21=0</formula>
    </cfRule>
  </conditionalFormatting>
  <conditionalFormatting sqref="Z26">
    <cfRule type="expression" dxfId="890" priority="89">
      <formula>Z26=2</formula>
    </cfRule>
    <cfRule type="expression" dxfId="889" priority="90">
      <formula>Z26=1</formula>
    </cfRule>
    <cfRule type="expression" dxfId="888" priority="91">
      <formula>Z26=0</formula>
    </cfRule>
  </conditionalFormatting>
  <conditionalFormatting sqref="Z36">
    <cfRule type="expression" dxfId="887" priority="57">
      <formula>Z36=1</formula>
    </cfRule>
    <cfRule type="expression" dxfId="886" priority="56">
      <formula>Z36=2</formula>
    </cfRule>
    <cfRule type="expression" dxfId="885" priority="58">
      <formula>Z36=0</formula>
    </cfRule>
  </conditionalFormatting>
  <conditionalFormatting sqref="AE11">
    <cfRule type="expression" dxfId="880" priority="133">
      <formula>AE11=0</formula>
    </cfRule>
    <cfRule type="expression" dxfId="879" priority="132">
      <formula>AE11=1</formula>
    </cfRule>
    <cfRule type="expression" dxfId="878" priority="131">
      <formula>AE11=2</formula>
    </cfRule>
  </conditionalFormatting>
  <conditionalFormatting sqref="AE16">
    <cfRule type="expression" dxfId="877" priority="118">
      <formula>AE16=0</formula>
    </cfRule>
    <cfRule type="expression" dxfId="876" priority="117">
      <formula>AE16=1</formula>
    </cfRule>
    <cfRule type="expression" dxfId="875" priority="116">
      <formula>AE16=2</formula>
    </cfRule>
  </conditionalFormatting>
  <conditionalFormatting sqref="AE21">
    <cfRule type="expression" dxfId="874" priority="101">
      <formula>AE21=2</formula>
    </cfRule>
    <cfRule type="expression" dxfId="873" priority="103">
      <formula>AE21=0</formula>
    </cfRule>
    <cfRule type="expression" dxfId="872" priority="102">
      <formula>AE21=1</formula>
    </cfRule>
  </conditionalFormatting>
  <conditionalFormatting sqref="AE26">
    <cfRule type="expression" dxfId="871" priority="87">
      <formula>AE26=1</formula>
    </cfRule>
    <cfRule type="expression" dxfId="870" priority="86">
      <formula>AE26=2</formula>
    </cfRule>
    <cfRule type="expression" dxfId="869" priority="88">
      <formula>AE26=0</formula>
    </cfRule>
  </conditionalFormatting>
  <conditionalFormatting sqref="AE31">
    <cfRule type="expression" dxfId="868" priority="72">
      <formula>AE31=1</formula>
    </cfRule>
    <cfRule type="expression" dxfId="867" priority="73">
      <formula>AE31=0</formula>
    </cfRule>
    <cfRule type="expression" dxfId="866" priority="71">
      <formula>AE31=2</formula>
    </cfRule>
  </conditionalFormatting>
  <hyperlinks>
    <hyperlink ref="AS2" location="'GESTION DES JOUEURS'!D4" display="GESTION DES JOUEURS" xr:uid="{98B2631D-4B6F-4B23-85A3-317AD72CAEEC}"/>
    <hyperlink ref="AS10:AS11" location="PA!N18" display="PA!N18" xr:uid="{4C11B31B-CE23-4596-B43F-4BC7CD099B4A}"/>
    <hyperlink ref="AS12:AS13" location="PB!N18" display="Poule B" xr:uid="{FD285796-116B-4832-9057-564338243FDF}"/>
    <hyperlink ref="AS15:AS16" location="PC!N18" display="Poule C" xr:uid="{F8951B9E-42EE-42A5-8712-90272AC18E0B}"/>
    <hyperlink ref="AS17:AS18" location="PD!N18" display="Poule D" xr:uid="{69DD894E-D9EC-4C7D-8AC2-791669D3D09E}"/>
    <hyperlink ref="AS20:AS21" location="PE!N18" display="Poule E" xr:uid="{66E96A48-F921-4DF0-9124-077E62E2FB98}"/>
    <hyperlink ref="AS22:AS23" location="PF!N18" display="Poule F" xr:uid="{22044DFB-17A9-4907-B454-D0AAEA058B66}"/>
    <hyperlink ref="AS25:AS26" location="PG!N18" display="Poule G" xr:uid="{0C683279-6DEA-43DE-9B37-6770BFBBA449}"/>
    <hyperlink ref="AS27:AS28" location="PH!N18" display="Poule H" xr:uid="{D38A1286-99A2-41A0-903D-E9C0222BEF73}"/>
    <hyperlink ref="AS30:AS31" location="PI!N18" display="Poule I" xr:uid="{E355AAFC-B78B-4653-8B7C-C1382DA84310}"/>
    <hyperlink ref="AS32:AS33" location="PJ!N18" display="Poule J" xr:uid="{65ADF378-6E04-492E-BF12-714123F43448}"/>
    <hyperlink ref="AS35:AS36" location="PK!N18" display="Poule K" xr:uid="{7CE0DF5B-913F-4F86-80D3-3B0EA6C937BD}"/>
    <hyperlink ref="AS37:AS38" location="PL!N18" display="Poule L" xr:uid="{F57B66E6-3E07-4D51-984D-FBA4B56E6679}"/>
    <hyperlink ref="AV2" location="'Phase finale'!A1" display="Phase Finale" xr:uid="{BA9F2375-CA60-4FA3-B200-4181995C06F2}"/>
    <hyperlink ref="AV9:AV11" location="RESULTATS!A1" display="RESULTATS" xr:uid="{2B4B083D-2BB7-4CA4-8C15-7979E85C93C0}"/>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5697" id="{12BF520E-4013-4446-915F-7B7D7C526D5E}">
            <xm:f>AND(COUNT(PG!$A$6:$A$11)=3,PG!$AO$4&gt;2)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5728" id="{3D70FECC-C9BC-47A4-8A5B-08FA24782145}">
            <xm:f>AND(COUNT(PG!$A$6:$A$11)=4,PG!$AO$4&gt;2)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18D59CF6-5224-4EA2-A9F8-17E0D809A08A}">
            <xm:f>PG!$AO$4=2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5770" id="{6AFD047A-7FC8-45D6-80B7-6491419328A6}">
            <xm:f>AND(COUNT(PG!$A$6:$A$11)=4,PG!$AO$4&gt;2)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6D705B59-4974-4084-834E-777D33035300}">
            <xm:f>PG!$AO$4=2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5790" id="{6E543F66-CDDB-4132-9435-92A81CB03E46}">
            <xm:f>AND(COUNT(PG!$A$6:$A$11)=5,PG!$AO$4&gt;2)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5795" id="{1F19D85F-92D1-4794-B427-A8ED3C7EBFF5}">
            <xm:f>AND(COUNT(PG!$A$6:$A$11)&gt;=5,PG!$AO$4&gt;2)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5850" id="{145C4334-ABE7-440C-814C-761422AC6639}">
            <xm:f>AND(COUNT(PG!$A$6:$A$11)&gt;=5,PG!$AO$4&gt;2)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5925" id="{ACE14767-AB7F-46DF-AD19-10068D1F4D98}">
            <xm:f>AND(COUNT(PG!$A$6:$A$11)=3,PG!$AO$4&gt;2)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5953" id="{650926B8-7FA7-40C3-94B2-6D1B2C3BE0A4}">
            <xm:f>PG!$AO$4=2</xm:f>
            <x14:dxf>
              <border>
                <top/>
                <vertical/>
                <horizontal/>
              </border>
            </x14:dxf>
          </x14:cfRule>
          <x14:cfRule type="expression" priority="15952" id="{4102D0D3-6D70-42E3-AC62-B8219210966E}">
            <xm:f>AND(COUNT(PG!$A$6:$A$11)=4,PG!$AO$4&gt;2)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5988" id="{2A4E30C9-B148-44BE-AB5D-2095807B7ED6}">
            <xm:f>AND(COUNT(PG!$A$6:$A$11)&gt;=5,PG!$AO$4&gt;2)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6063" id="{A3CC9313-7FE4-48D5-A0CE-284F1877D7D3}">
            <xm:f>AND(COUNT(PG!$A$6:$A$11)=3,PG!$AO$4&gt;2)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6090" id="{CE72F947-B073-41F9-96DA-B51A28B405AB}">
            <xm:f>AND(COUNT(PG!$A$6:$A$11)=4,PG!$AO$4&gt;2)</xm:f>
            <x14:dxf>
              <border>
                <bottom/>
                <vertical/>
                <horizontal/>
              </border>
            </x14:dxf>
          </x14:cfRule>
          <x14:cfRule type="expression" priority="16091" id="{E590CFF1-A26C-4DB9-B27B-09C1B5CB3DA8}">
            <xm:f>PG!$AO$4=2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6126" id="{2F3C3F63-72A6-4702-A9CB-C6DB414A9D96}">
            <xm:f>AND(COUNT(PG!$A$6:$A$11)=4,PG!$AO$4&gt;2)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6156" id="{89EB4E0E-2BC7-4C79-B1A8-47E1C58F1021}">
            <xm:f>PG!$AO$4=2</xm:f>
            <x14:dxf>
              <border>
                <bottom/>
                <vertical/>
                <horizontal/>
              </border>
            </x14:dxf>
          </x14:cfRule>
          <x14:cfRule type="expression" priority="16157" id="{2449826B-FC3C-4257-9A10-12A6163F5B94}">
            <xm:f>AND(COUNT(PG!$A$6:$A$11)=4,PG!$AO$4&gt;2)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6158" id="{949BC931-3DD0-4C21-B731-BAFB037A57B2}">
            <xm:f>AND(COUNT(PG!$A$6:$A$11)=4,PG!$AO$4&gt;2)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6188" id="{F04F9E4B-14C8-4009-8953-024A6B0B4800}">
            <xm:f>AND(COUNT(PG!$A$6:$A$11)=3,PG!$AO$4&gt;2)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6200" id="{D9028DAE-5E21-4822-BA6C-3F435EF085FF}">
            <xm:f>AND(COUNT(PG!$A$6:$A$11)&gt;=5,PG!$AO$4&gt;2)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6225" id="{C743F5F8-0390-434A-B8A7-C160A04261E2}">
            <xm:f>AND(COUNT(PG!$A$6:$A$11)=6,PG!$AO$4&gt;2)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6258" id="{BA4612C3-3768-472D-9846-4AF3BEE8B745}">
            <xm:f>AND(COUNT(PG!$A$6:$A$11)=6,PG!$AO$4&gt;2)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6283" id="{4089CB31-0688-4FB6-9490-1819E3F60AAB}">
            <xm:f>AND(COUNT(PG!$A$6:$A$11)=6,PG!$AO$4&gt;2)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6316" id="{7D331142-746C-4570-913D-19AE658C4E92}">
            <xm:f>AND(COUNT(PG!$A$6:$A$11)=6,PG!$AO$4&gt;2)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6335" id="{509CFC13-F4D9-43DF-9161-DA18AEE9682F}">
            <xm:f>AND(LEFT(PG!$F$13)="F",$AL$11=1,PG!$BU$5="X")</xm:f>
            <x14:dxf>
              <font>
                <color rgb="FF8E0000"/>
              </font>
              <fill>
                <patternFill>
                  <bgColor rgb="FFFBE93B"/>
                </patternFill>
              </fill>
            </x14:dxf>
          </x14:cfRule>
          <x14:cfRule type="expression" priority="16334" id="{F15ED277-0F76-4863-8076-81BDBAB014B2}">
            <xm:f>AND(LEFT(PG!$F$13)="F",$AL$11=2,PG!$BU$5="X")</xm:f>
            <x14:dxf>
              <font>
                <color rgb="FF8E0000"/>
              </font>
              <fill>
                <patternFill>
                  <bgColor theme="2"/>
                </patternFill>
              </fill>
            </x14:dxf>
          </x14:cfRule>
          <x14:cfRule type="expression" priority="16333" id="{8C248A87-4353-438B-B524-BC82632BD2FA}">
            <xm:f>AND(LEFT(PG!$F$13)="F",$AL$11=3,PG!$BU$5="X")</xm:f>
            <x14:dxf>
              <font>
                <color rgb="FF8E0000"/>
              </font>
              <fill>
                <patternFill>
                  <bgColor rgb="FFFECF82"/>
                </patternFill>
              </fill>
            </x14:dxf>
          </x14:cfRule>
          <xm:sqref>AL11</xm:sqref>
        </x14:conditionalFormatting>
        <x14:conditionalFormatting xmlns:xm="http://schemas.microsoft.com/office/excel/2006/main">
          <x14:cfRule type="expression" priority="16337" id="{60050394-E1EB-4A15-B4FE-509793D14104}">
            <xm:f>AND(LEFT(PG!$F$13)="F",$AL$16=2,PG!$BU$5="X")</xm:f>
            <x14:dxf>
              <font>
                <color rgb="FF8E0000"/>
              </font>
              <fill>
                <patternFill>
                  <bgColor theme="2"/>
                </patternFill>
              </fill>
            </x14:dxf>
          </x14:cfRule>
          <x14:cfRule type="expression" priority="16338" id="{B0D8E4EC-111C-4D58-B0C5-E4EFDA4AAEBF}">
            <xm:f>AND(LEFT(PG!$F$13)="F",$AL$16=1,PG!$BU$5="X")</xm:f>
            <x14:dxf>
              <font>
                <color rgb="FF8E0000"/>
              </font>
              <fill>
                <patternFill>
                  <bgColor rgb="FFFBE93B"/>
                </patternFill>
              </fill>
            </x14:dxf>
          </x14:cfRule>
          <x14:cfRule type="expression" priority="16336" id="{33BF456A-294E-4F0B-9333-201D06E8CF1E}">
            <xm:f>AND(LEFT(PG!$F$13)="F",$AL$16=3,PG!$BU$5="X")</xm:f>
            <x14:dxf>
              <font>
                <color rgb="FF8E0000"/>
              </font>
              <fill>
                <patternFill>
                  <bgColor rgb="FFFECF82"/>
                </patternFill>
              </fill>
            </x14:dxf>
          </x14:cfRule>
          <xm:sqref>AL16</xm:sqref>
        </x14:conditionalFormatting>
        <x14:conditionalFormatting xmlns:xm="http://schemas.microsoft.com/office/excel/2006/main">
          <x14:cfRule type="expression" priority="16339" id="{8FE084DE-6F25-4DDA-B655-802AC6E0EC49}">
            <xm:f>AND(LEFT(PG!$F$13)="F",$AL$21=3,PG!$BU$5="X")</xm:f>
            <x14:dxf>
              <font>
                <color rgb="FF8E0000"/>
              </font>
              <fill>
                <patternFill>
                  <bgColor rgb="FFFECF82"/>
                </patternFill>
              </fill>
            </x14:dxf>
          </x14:cfRule>
          <x14:cfRule type="expression" priority="16340" id="{33C8C9FD-7CF2-41AC-9821-1BAE9B032D9C}">
            <xm:f>AND(LEFT(PG!$F$13)="F",$AL$21=2,PG!$BU$5="X")</xm:f>
            <x14:dxf>
              <font>
                <color rgb="FF8E0000"/>
              </font>
              <fill>
                <patternFill>
                  <bgColor theme="2"/>
                </patternFill>
              </fill>
            </x14:dxf>
          </x14:cfRule>
          <x14:cfRule type="expression" priority="16341" id="{42E1BC39-AC88-4D7A-BD5B-989AA76B60A0}">
            <xm:f>AND(LEFT(PG!$F$13)="F",$AL$21=1,PG!$BU$5="X")</xm:f>
            <x14:dxf>
              <font>
                <color rgb="FF8E0000"/>
              </font>
              <fill>
                <patternFill>
                  <bgColor rgb="FFFBE93B"/>
                </patternFill>
              </fill>
            </x14:dxf>
          </x14:cfRule>
          <xm:sqref>AL21</xm:sqref>
        </x14:conditionalFormatting>
        <x14:conditionalFormatting xmlns:xm="http://schemas.microsoft.com/office/excel/2006/main">
          <x14:cfRule type="expression" priority="16344" id="{0E9FB29A-6D05-41BD-815D-7C749685039C}">
            <xm:f>AND(LEFT(PG!$F$13)="F",$AL$26=1,PG!$BU$5="X")</xm:f>
            <x14:dxf>
              <font>
                <color rgb="FF8E0000"/>
              </font>
              <fill>
                <patternFill>
                  <bgColor rgb="FFFBE93B"/>
                </patternFill>
              </fill>
            </x14:dxf>
          </x14:cfRule>
          <x14:cfRule type="expression" priority="16343" id="{2D2E8B0F-9528-406F-8F24-6DD50135EBFC}">
            <xm:f>AND(LEFT(PG!$F$13)="F",$AL$26=2,PG!$BU$5="X")</xm:f>
            <x14:dxf>
              <font>
                <color rgb="FF8E0000"/>
              </font>
              <fill>
                <patternFill>
                  <bgColor theme="2"/>
                </patternFill>
              </fill>
            </x14:dxf>
          </x14:cfRule>
          <x14:cfRule type="expression" priority="16342" id="{3F72E77B-204D-4DA0-82DF-8B65E0B4D3D9}">
            <xm:f>AND(LEFT(PG!$F$13)="F",$AL$26=3,PG!$BU$5="X")</xm:f>
            <x14:dxf>
              <font>
                <color rgb="FF8E0000"/>
              </font>
              <fill>
                <patternFill>
                  <bgColor rgb="FFFECF82"/>
                </patternFill>
              </fill>
            </x14:dxf>
          </x14:cfRule>
          <xm:sqref>AL26</xm:sqref>
        </x14:conditionalFormatting>
        <x14:conditionalFormatting xmlns:xm="http://schemas.microsoft.com/office/excel/2006/main">
          <x14:cfRule type="expression" priority="16346" id="{E1F52CEF-9A4B-43D1-8F65-41DC7BD7531C}">
            <xm:f>AND(LEFT(PG!$F$13)="F",$AL$31=2,PG!$BU$5="X")</xm:f>
            <x14:dxf>
              <font>
                <color rgb="FF8E0000"/>
              </font>
              <fill>
                <patternFill>
                  <bgColor theme="2"/>
                </patternFill>
              </fill>
            </x14:dxf>
          </x14:cfRule>
          <x14:cfRule type="expression" priority="16345" id="{1D8F7193-B230-49E2-95EE-5F0892647A76}">
            <xm:f>AND(LEFT(PG!$F$13)="F",$AL$31=3,PG!$BU$5="X")</xm:f>
            <x14:dxf>
              <font>
                <color rgb="FF8E0000"/>
              </font>
              <fill>
                <patternFill>
                  <bgColor rgb="FFFECF82"/>
                </patternFill>
              </fill>
            </x14:dxf>
          </x14:cfRule>
          <x14:cfRule type="expression" priority="16347" id="{F12EFF1D-8F56-494D-B353-15EAD728CD96}">
            <xm:f>AND(LEFT(PG!$F$13)="F",$AL$31=1,PG!$BU$5="X")</xm:f>
            <x14:dxf>
              <font>
                <color rgb="FF8E0000"/>
              </font>
              <fill>
                <patternFill>
                  <bgColor rgb="FFFBE93B"/>
                </patternFill>
              </fill>
            </x14:dxf>
          </x14:cfRule>
          <xm:sqref>AL31</xm:sqref>
        </x14:conditionalFormatting>
        <x14:conditionalFormatting xmlns:xm="http://schemas.microsoft.com/office/excel/2006/main">
          <x14:cfRule type="expression" priority="16348" id="{E26D4803-4877-4842-8CB6-E9D1F6DC6FCE}">
            <xm:f>AND(LEFT(PG!$F$13)="F",$AL$36=3,PG!$BU$5="X")</xm:f>
            <x14:dxf>
              <font>
                <color rgb="FF8E0000"/>
              </font>
              <fill>
                <patternFill>
                  <bgColor rgb="FFFECF82"/>
                </patternFill>
              </fill>
            </x14:dxf>
          </x14:cfRule>
          <x14:cfRule type="expression" priority="16349" id="{82759661-B20D-4150-B5AF-F52D51990894}">
            <xm:f>AND(LEFT(PG!$F$13)="F",$AL$36=2,PG!$BU$5="X")</xm:f>
            <x14:dxf>
              <font>
                <color rgb="FF8E0000"/>
              </font>
              <fill>
                <patternFill>
                  <bgColor theme="2"/>
                </patternFill>
              </fill>
            </x14:dxf>
          </x14:cfRule>
          <x14:cfRule type="expression" priority="16350" id="{FAA3B176-6C63-404D-AA09-B9B06FD716FA}">
            <xm:f>AND(LEFT(PG!$F$13)="F",$AL$36=1,PG!$BU$5="X")</xm:f>
            <x14:dxf>
              <font>
                <color rgb="FF8E0000"/>
              </font>
              <fill>
                <patternFill>
                  <bgColor rgb="FFFBE93B"/>
                </patternFill>
              </fill>
            </x14:dxf>
          </x14:cfRule>
          <xm:sqref>AL36</xm:sqref>
        </x14:conditionalFormatting>
        <x14:conditionalFormatting xmlns:xm="http://schemas.microsoft.com/office/excel/2006/main">
          <x14:cfRule type="expression" priority="148" id="{63A5C8C3-86CB-4258-A3D9-8373D1F13DD6}">
            <xm:f>LEFT(PG!$B$15)="3"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923" id="{BD06F8EE-B07E-4023-9D2C-34AE8C0C9270}">
            <xm:f>AND(LEFT(PA!$F$13)="P",PA!$AO$4&gt;1)</xm:f>
            <x14:dxf>
              <border>
                <bottom/>
                <vertical/>
                <horizontal/>
              </border>
            </x14:dxf>
          </x14:cfRule>
          <xm:sqref>AP10 AP12 AP15 AP17</xm:sqref>
        </x14:conditionalFormatting>
        <x14:conditionalFormatting xmlns:xm="http://schemas.microsoft.com/office/excel/2006/main">
          <x14:cfRule type="expression" priority="4" id="{67BD4BF7-C7BE-4AE0-9CC5-B7A459D28A4A}">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927" id="{E6DDAD36-6805-46C2-95E1-A97DED48A9AB}">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929" id="{C16CA113-65FE-490C-92D7-B2ED87F1517D}">
            <xm:f>AND(LEFT(PA!$F$13)="P",PA!$AO$4&gt;1)</xm:f>
            <x14:dxf>
              <border>
                <top/>
                <vertical/>
                <horizontal/>
              </border>
            </x14:dxf>
          </x14:cfRule>
          <xm:sqref>AP11 AP13 AP16 AP18</xm:sqref>
        </x14:conditionalFormatting>
        <x14:conditionalFormatting xmlns:xm="http://schemas.microsoft.com/office/excel/2006/main">
          <x14:cfRule type="expression" priority="11953" id="{6B08C3D2-267D-45B9-B3FE-3E32AD45D0E7}">
            <xm:f>AND(LEFT(PA!$F$13)="P",PA!$AO$4&gt;1)</xm:f>
            <x14:dxf>
              <fill>
                <patternFill>
                  <bgColor theme="1"/>
                </patternFill>
              </fill>
            </x14:dxf>
          </x14:cfRule>
          <xm:sqref>AP14 AP19</xm:sqref>
        </x14:conditionalFormatting>
        <x14:conditionalFormatting xmlns:xm="http://schemas.microsoft.com/office/excel/2006/main">
          <x14:cfRule type="expression" priority="11933" id="{F7201C10-F41F-4C9C-B4F3-770FF332E232}">
            <xm:f>AND(LEFT(PA!$F$13)="P",PA!$AO$4&gt;2)</xm:f>
            <x14:dxf>
              <border>
                <bottom/>
                <vertical/>
                <horizontal/>
              </border>
            </x14:dxf>
          </x14:cfRule>
          <xm:sqref>AP20 AP22</xm:sqref>
        </x14:conditionalFormatting>
        <x14:conditionalFormatting xmlns:xm="http://schemas.microsoft.com/office/excel/2006/main">
          <x14:cfRule type="expression" priority="11935" id="{C4E80FFE-859B-461F-999B-1D7C5D141A69}">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936" id="{0E80F251-02AF-4718-8F45-DB2C74D1BA5A}">
            <xm:f>AND(LEFT(PA!$F$13)="P",PA!$AO$4&gt;2)</xm:f>
            <x14:dxf>
              <border>
                <top/>
                <vertical/>
                <horizontal/>
              </border>
            </x14:dxf>
          </x14:cfRule>
          <xm:sqref>AP21 AP23</xm:sqref>
        </x14:conditionalFormatting>
        <x14:conditionalFormatting xmlns:xm="http://schemas.microsoft.com/office/excel/2006/main">
          <x14:cfRule type="expression" priority="11955" id="{68F386A9-DF59-44F6-A385-363CC8F925B6}">
            <xm:f>AND(LEFT(PA!$F$13)="P",PA!$AO$4&gt;2)</xm:f>
            <x14:dxf>
              <fill>
                <patternFill>
                  <bgColor theme="1"/>
                </patternFill>
              </fill>
            </x14:dxf>
          </x14:cfRule>
          <xm:sqref>AP24</xm:sqref>
        </x14:conditionalFormatting>
        <x14:conditionalFormatting xmlns:xm="http://schemas.microsoft.com/office/excel/2006/main">
          <x14:cfRule type="expression" priority="11938" id="{588AC516-9042-4008-949B-C18A497717B4}">
            <xm:f>AND(LEFT(PA!$F$13)="P",PA!$AO$4&gt;2,COUNT(PA!$A$6:$A$11)&gt;3)</xm:f>
            <x14:dxf>
              <border>
                <bottom/>
                <vertical/>
                <horizontal/>
              </border>
            </x14:dxf>
          </x14:cfRule>
          <xm:sqref>AP25 AP27</xm:sqref>
        </x14:conditionalFormatting>
        <x14:conditionalFormatting xmlns:xm="http://schemas.microsoft.com/office/excel/2006/main">
          <x14:cfRule type="expression" priority="11940" id="{15D80368-E561-4A71-8D7B-6A0D5C0CD5EA}">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941" id="{17D475C2-6F1A-42C6-A7CE-B3CE1DF7E829}">
            <xm:f>AND(LEFT(PA!$F$13)="P",PA!$AO$4&gt;2,COUNT(PA!$A$6:$A$11)&gt;3)</xm:f>
            <x14:dxf>
              <border>
                <top/>
                <vertical/>
                <horizontal/>
              </border>
            </x14:dxf>
          </x14:cfRule>
          <xm:sqref>AP26 AP28</xm:sqref>
        </x14:conditionalFormatting>
        <x14:conditionalFormatting xmlns:xm="http://schemas.microsoft.com/office/excel/2006/main">
          <x14:cfRule type="expression" priority="11956" id="{CB2C5D17-6D49-43E9-938F-4236B614AAE1}">
            <xm:f>AND(LEFT(PA!$F$13)="P",PA!$AO$4&gt;2,COUNT(PA!$A$6:$A$11)&gt;3)</xm:f>
            <x14:dxf>
              <fill>
                <patternFill>
                  <bgColor theme="1"/>
                </patternFill>
              </fill>
            </x14:dxf>
          </x14:cfRule>
          <xm:sqref>AP29</xm:sqref>
        </x14:conditionalFormatting>
        <x14:conditionalFormatting xmlns:xm="http://schemas.microsoft.com/office/excel/2006/main">
          <x14:cfRule type="expression" priority="11943" id="{8E520AB0-8514-40E2-9F4B-4D199152321C}">
            <xm:f>AND(LEFT(PA!$F$13)="P",PA!$AO$4&gt;2,COUNT(PA!$A$6:$A$11)&gt;4)</xm:f>
            <x14:dxf>
              <border>
                <bottom/>
                <vertical/>
                <horizontal/>
              </border>
            </x14:dxf>
          </x14:cfRule>
          <xm:sqref>AP30 AP32</xm:sqref>
        </x14:conditionalFormatting>
        <x14:conditionalFormatting xmlns:xm="http://schemas.microsoft.com/office/excel/2006/main">
          <x14:cfRule type="expression" priority="11945" id="{986C2E2B-8D50-4E81-8FE4-70E986AF7D67}">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946" id="{D943D6C0-75E7-4A8B-8944-B9D01BF474A2}">
            <xm:f>AND(LEFT(PA!$F$13)="P",PA!$AO$4&gt;2,COUNT(PA!$A$6:$A$11)&gt;4)</xm:f>
            <x14:dxf>
              <border>
                <top/>
                <vertical/>
                <horizontal/>
              </border>
            </x14:dxf>
          </x14:cfRule>
          <xm:sqref>AP31 AP33</xm:sqref>
        </x14:conditionalFormatting>
        <x14:conditionalFormatting xmlns:xm="http://schemas.microsoft.com/office/excel/2006/main">
          <x14:cfRule type="expression" priority="11957" id="{EFEBF457-F468-4838-8C79-ACC62528B7C7}">
            <xm:f>AND(LEFT(PA!$F$13)="P",PA!$AO$4&gt;2,COUNT(PA!$A$6:$A$11)&gt;4)</xm:f>
            <x14:dxf>
              <fill>
                <patternFill>
                  <bgColor theme="1"/>
                </patternFill>
              </fill>
            </x14:dxf>
          </x14:cfRule>
          <xm:sqref>AP34</xm:sqref>
        </x14:conditionalFormatting>
        <x14:conditionalFormatting xmlns:xm="http://schemas.microsoft.com/office/excel/2006/main">
          <x14:cfRule type="expression" priority="11948" id="{D188BAF0-27EA-4F65-9A34-918F215D228C}">
            <xm:f>AND(LEFT(PA!$F$13)="P",PA!$AO$4&gt;2,COUNT(PA!$A$6:$A$11)&gt;5)</xm:f>
            <x14:dxf>
              <border>
                <bottom/>
                <vertical/>
                <horizontal/>
              </border>
            </x14:dxf>
          </x14:cfRule>
          <xm:sqref>AP35 AP37</xm:sqref>
        </x14:conditionalFormatting>
        <x14:conditionalFormatting xmlns:xm="http://schemas.microsoft.com/office/excel/2006/main">
          <x14:cfRule type="expression" priority="11950" id="{FAC90355-45A3-4F43-AA84-3F13BB8FB3D9}">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951" id="{45285116-9A3F-4A5D-875D-6F3B93782F0D}">
            <xm:f>AND(LEFT(PA!$F$13)="P",PA!$AO$4&gt;2,COUNT(PA!$A$6:$A$11)&gt;5)</xm:f>
            <x14:dxf>
              <border>
                <top/>
                <vertical/>
                <horizontal/>
              </border>
            </x14:dxf>
          </x14:cfRule>
          <xm:sqref>AP36 AP38</xm:sqref>
        </x14:conditionalFormatting>
        <x14:conditionalFormatting xmlns:xm="http://schemas.microsoft.com/office/excel/2006/main">
          <x14:cfRule type="expression" priority="16351" id="{27C848FD-4468-452A-B71C-581ECA6BCCAE}">
            <xm:f>AND(LEFT(PG!$F$13)="P",PG!$AO$4&gt;1)</xm:f>
            <x14:dxf>
              <fill>
                <patternFill>
                  <bgColor theme="1"/>
                </patternFill>
              </fill>
            </x14:dxf>
          </x14:cfRule>
          <xm:sqref>AP9:AQ9 AQ10:AQ19</xm:sqref>
        </x14:conditionalFormatting>
        <x14:conditionalFormatting xmlns:xm="http://schemas.microsoft.com/office/excel/2006/main">
          <x14:cfRule type="expression" priority="16353" id="{56B6ED69-1D83-4019-8B0F-897ED2E54BE9}">
            <xm:f>AND(LEFT(PG!$F$13)="P",PG!$AO$4&gt;2)</xm:f>
            <x14:dxf>
              <fill>
                <patternFill>
                  <bgColor theme="1"/>
                </patternFill>
              </fill>
            </x14:dxf>
          </x14:cfRule>
          <xm:sqref>AQ20:AQ24</xm:sqref>
        </x14:conditionalFormatting>
        <x14:conditionalFormatting xmlns:xm="http://schemas.microsoft.com/office/excel/2006/main">
          <x14:cfRule type="expression" priority="16354" id="{789F46A6-5B21-4792-B7E7-D37165CC5E45}">
            <xm:f>AND(LEFT(PG!$F$13)="P",PG!$AO$4&gt;2,COUNT(PG!$A$6:$A$11)&gt;3)</xm:f>
            <x14:dxf>
              <fill>
                <patternFill>
                  <bgColor theme="1"/>
                </patternFill>
              </fill>
            </x14:dxf>
          </x14:cfRule>
          <xm:sqref>AQ25:AQ29</xm:sqref>
        </x14:conditionalFormatting>
        <x14:conditionalFormatting xmlns:xm="http://schemas.microsoft.com/office/excel/2006/main">
          <x14:cfRule type="expression" priority="16355" id="{C470C94C-29AF-4175-BA77-4F9B3400ED3D}">
            <xm:f>AND(LEFT(PG!$F$13)="P",PG!$AO$4&gt;2,COUNT(PG!$A$6:$A$11)&gt;4)</xm:f>
            <x14:dxf>
              <fill>
                <patternFill>
                  <bgColor theme="1"/>
                </patternFill>
              </fill>
            </x14:dxf>
          </x14:cfRule>
          <xm:sqref>AQ30:AQ34</xm:sqref>
        </x14:conditionalFormatting>
        <x14:conditionalFormatting xmlns:xm="http://schemas.microsoft.com/office/excel/2006/main">
          <x14:cfRule type="expression" priority="16356" id="{0E8835C8-61DA-4481-A500-F0DB1E82ADF7}">
            <xm:f>AND(LEFT(PG!$F$13)="P",PG!$AO$4&gt;2,COUNT(PG!$A$6:$A$11)&gt;5)</xm:f>
            <x14:dxf>
              <fill>
                <patternFill>
                  <bgColor theme="1"/>
                </patternFill>
              </fill>
            </x14:dxf>
          </x14:cfRule>
          <xm:sqref>AQ35:AQ38 AP39:AQ39</xm:sqref>
        </x14:conditionalFormatting>
        <x14:conditionalFormatting xmlns:xm="http://schemas.microsoft.com/office/excel/2006/main">
          <x14:cfRule type="expression" priority="39" id="{7AC3DAB9-0A56-4254-A06C-B106DEB1130C}">
            <xm:f>'GESTION DES JOUEURS'!$T$8&lt;2</xm:f>
            <x14:dxf>
              <font>
                <color theme="0" tint="-0.24994659260841701"/>
              </font>
              <fill>
                <patternFill>
                  <bgColor theme="0" tint="-0.24994659260841701"/>
                </patternFill>
              </fill>
            </x14:dxf>
          </x14:cfRule>
          <x14:cfRule type="expression" priority="40" id="{7CAA7BED-E942-4FCB-88AF-C6C58312402A}">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0CBF24F2-A6AC-462F-9B9E-B89468972235}">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FBD53223-261D-4651-81A2-9D8993FD01FC}">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408536C9-98AE-4840-B6AE-46E1A2BF2882}">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618885F7-D4AA-4498-8A87-6718313F5B64}">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88C550F1-6817-4B08-9335-03647FFDB40C}">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EF1607D1-D0CD-4EA9-AFEF-DAA4C4951BA0}">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F2DA4DAF-9F85-49EB-8A3F-ECB039734C1F}">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71B84ACD-8DE8-4B61-85E1-3F7B71824E27}">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2A3EE5D9-1001-4808-93BD-7D6C57C95AB9}">
            <xm:f>'GESTION DES JOUEURS'!$D$8="Finale"</xm:f>
            <x14:dxf>
              <font>
                <color theme="0" tint="-0.24994659260841701"/>
              </font>
              <fill>
                <patternFill>
                  <bgColor theme="0" tint="-0.24994659260841701"/>
                </patternFill>
              </fill>
            </x14:dxf>
          </x14:cfRule>
          <x14:cfRule type="expression" priority="25" id="{84A9CB69-C8FD-4050-95A4-3A50E8B35C6D}">
            <xm:f>OR('GESTION DES JOUEURS'!$D$8="poules",'GESTION DES JOUEURS'!$D$8="Finale")</xm:f>
            <x14:dxf>
              <font>
                <color theme="0" tint="-0.24994659260841701"/>
              </font>
              <fill>
                <patternFill>
                  <fgColor auto="1"/>
                  <bgColor theme="0" tint="-0.24994659260841701"/>
                </patternFill>
              </fill>
            </x14:dxf>
          </x14:cfRule>
          <x14:cfRule type="expression" priority="24" id="{9EA5F778-2EBC-4F2B-82BE-279C9BCBF237}">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7A220655-B0F0-4649-BCCE-6CB2C89860ED}">
            <xm:f>'GESTION DES JOUEURS'!$T$8=1</xm:f>
            <x14:dxf>
              <font>
                <color theme="0" tint="-0.24994659260841701"/>
              </font>
              <fill>
                <patternFill>
                  <bgColor theme="0" tint="-0.24994659260841701"/>
                </patternFill>
              </fill>
            </x14:dxf>
          </x14:cfRule>
          <x14:cfRule type="expression" priority="3" id="{B27D5F75-8615-4380-9E58-C808549538DA}">
            <xm:f>OR('GESTION DES JOUEURS'!$D$8="Poules",'GESTION DES JOUEURS'!$D$8="Finale",'GESTION DES JOUEURS'!$D$8="Tournoi")</xm:f>
            <x14:dxf>
              <font>
                <color theme="0" tint="-0.24994659260841701"/>
              </font>
              <fill>
                <patternFill>
                  <bgColor theme="0" tint="-0.24994659260841701"/>
                </patternFill>
              </fill>
            </x14:dxf>
          </x14:cfRule>
          <x14:cfRule type="expression" priority="2" id="{BF322FB7-B891-411C-92B6-63A6EE90107B}">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D27BDD7B-C693-4A58-8437-0F13F33818FF}">
            <xm:f>'GESTION DES JOUEURS'!$T$8=1</xm:f>
            <x14:dxf>
              <font>
                <color theme="0" tint="-0.24994659260841701"/>
              </font>
              <fill>
                <patternFill>
                  <bgColor theme="0" tint="-0.24994659260841701"/>
                </patternFill>
              </fill>
            </x14:dxf>
          </x14:cfRule>
          <x14:cfRule type="expression" priority="53" id="{CA45EC7C-9205-4C9E-9BA9-992D0A4121FD}">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A889-9C00-4473-AAF5-842069B7688B}">
  <sheetPr>
    <tabColor rgb="FFA7FF4F"/>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1000" t="str">
        <f>'GESTION DES JOUEURS'!M25</f>
        <v>Poule H</v>
      </c>
      <c r="C2" s="1001"/>
      <c r="D2" s="1001"/>
      <c r="E2" s="1001"/>
      <c r="F2" s="1001"/>
      <c r="G2" s="1001"/>
      <c r="H2" s="1001"/>
      <c r="I2" s="1001"/>
      <c r="J2" s="1001"/>
      <c r="K2" s="1001"/>
      <c r="L2" s="1001"/>
      <c r="M2" s="1001"/>
      <c r="N2" s="1001"/>
      <c r="O2" s="1001"/>
      <c r="P2" s="1001"/>
      <c r="Q2" s="1001"/>
      <c r="R2" s="1001"/>
      <c r="S2" s="1001"/>
      <c r="T2" s="1001"/>
      <c r="U2" s="1001"/>
      <c r="V2" s="1001"/>
      <c r="W2" s="1001"/>
      <c r="X2" s="1002"/>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IFERROR(VLOOKUP("H1",'GESTION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JOUEURS'!$Y$8="R",PouleATerminée="X"),_xlfn.XLOOKUP(($AO$4&amp;_xlfn.XLOOKUP(B6,$B$37:$B$42,$Q$37:$Q$42,"",0,1)&amp;_xlfn.XLOOKUP(B6,$B$37:$B$42,PH!$AE$37:$AE$42,"",0,1)),PTSRKPOULES[Colonne1],PTSRKPOULES[PR 3B],"",0,1),IF(AND('GESTION DES JOUEURS'!$D$8="Poules",'GESTION DES JOUEURS'!$Y$8="JDSR",PouleATerminée="X"),_xlfn.XLOOKUP($AO$4&amp;_xlfn.XLOOKUP(B6,$B$37:$B$42,$Q$37:$Q$42,"",0,1)&amp;_xlfn.XLOOKUP(B6,$B$37:$B$42,PH!$AE$37:$AE$42,"",0,1),PTSRKPOULES[Colonne1],PTSRKPOULES[PR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IFERROR(VLOOKUP("H2",'GESTION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JOUEURS'!$Y$8="R",PouleATerminée="X"),_xlfn.XLOOKUP(($AO$4&amp;_xlfn.XLOOKUP(B7,$B$37:$B$42,$Q$37:$Q$42,"",0,1)&amp;_xlfn.XLOOKUP(B7,$B$37:$B$42,PH!$AE$37:$AE$42,"",0,1)),PTSRKPOULES[Colonne1],PTSRKPOULES[PR 3B],"",0,1),IF(AND('GESTION DES JOUEURS'!$D$8="Poules",'GESTION DES JOUEURS'!$Y$8="JDSR",PouleATerminée="X"),_xlfn.XLOOKUP($AO$4&amp;_xlfn.XLOOKUP(B7,$B$37:$B$42,$Q$37:$Q$42,"",0,1)&amp;_xlfn.XLOOKUP(B7,$B$37:$B$42,PH!$AE$37:$AE$42,"",0,1),PTSRKPOULES[Colonne1],PTSRKPOULES[PR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IFERROR(VLOOKUP("H3",'GESTION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JOUEURS'!$Y$8="R",PouleATerminée="X"),_xlfn.XLOOKUP(($AO$4&amp;_xlfn.XLOOKUP(B8,$B$37:$B$42,$Q$37:$Q$42,"",0,1)&amp;_xlfn.XLOOKUP(B8,$B$37:$B$42,PH!$AE$37:$AE$42,"",0,1)),PTSRKPOULES[Colonne1],PTSRKPOULES[PR 3B],"",0,1),IF(AND('GESTION DES JOUEURS'!$D$8="Poules",'GESTION DES JOUEURS'!$Y$8="JDSR",PouleATerminée="X"),_xlfn.XLOOKUP($AO$4&amp;_xlfn.XLOOKUP(B8,$B$37:$B$42,$Q$37:$Q$42,"",0,1)&amp;_xlfn.XLOOKUP(B8,$B$37:$B$42,PH!$AE$37:$AE$42,"",0,1),PTSRKPOULES[Colonne1],PTSRKPOULES[PR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IFERROR(VLOOKUP("H4",'GESTION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JOUEURS'!$Y$8="R",PouleATerminée="X"),_xlfn.XLOOKUP(($AO$4&amp;_xlfn.XLOOKUP(B9,$B$37:$B$42,$Q$37:$Q$42,"",0,1)&amp;_xlfn.XLOOKUP(B9,$B$37:$B$42,PH!$AE$37:$AE$42,"",0,1)),PTSRKPOULES[Colonne1],PTSRKPOULES[PR 3B],"",0,1),IF(AND('GESTION DES JOUEURS'!$D$8="Poules",'GESTION DES JOUEURS'!$Y$8="JDSR",PouleATerminée="X"),_xlfn.XLOOKUP($AO$4&amp;_xlfn.XLOOKUP(B9,$B$37:$B$42,$Q$37:$Q$42,"",0,1)&amp;_xlfn.XLOOKUP(B9,$B$37:$B$42,PH!$AE$37:$AE$42,"",0,1),PTSRKPOULES[Colonne1],PTSRKPOULES[PR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IFERROR(VLOOKUP("H5",'GESTION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JOUEURS'!$Y$8="R",PouleATerminée="X"),_xlfn.XLOOKUP(($AO$4&amp;_xlfn.XLOOKUP(B10,$B$37:$B$42,$Q$37:$Q$42,"",0,1)&amp;_xlfn.XLOOKUP(B10,$B$37:$B$42,PH!$AE$37:$AE$42,"",0,1)),PTSRKPOULES[Colonne1],PTSRKPOULES[PR 3B],"",0,1),IF(AND('GESTION DES JOUEURS'!$D$8="Poules",'GESTION DES JOUEURS'!$Y$8="JDSR",PouleATerminée="X"),_xlfn.XLOOKUP($AO$4&amp;_xlfn.XLOOKUP(B10,$B$37:$B$42,$Q$37:$Q$42,"",0,1)&amp;_xlfn.XLOOKUP(B10,$B$37:$B$42,PH!$AE$37:$AE$42,"",0,1),PTSRKPOULES[Colonne1],PTSRKPOULES[PR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IFERROR(VLOOKUP("H6",'GESTION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JOUEURS'!$Y$8="R",PouleATerminée="X"),_xlfn.XLOOKUP(($AO$4&amp;_xlfn.XLOOKUP(B11,$B$37:$B$42,$Q$37:$Q$42,"",0,1)&amp;_xlfn.XLOOKUP(B11,$B$37:$B$42,PH!$AE$37:$AE$42,"",0,1)),PTSRKPOULES[Colonne1],PTSRKPOULES[PR 3B],"",0,1),IF(AND('GESTION DES JOUEURS'!$D$8="Poules",'GESTION DES JOUEURS'!$Y$8="JDSR",PouleATerminée="X"),_xlfn.XLOOKUP($AO$4&amp;_xlfn.XLOOKUP(B11,$B$37:$B$42,$Q$37:$Q$42,"",0,1)&amp;_xlfn.XLOOKUP(B11,$B$37:$B$42,PH!$AE$37:$AE$42,"",0,1),PTSRKPOULES[Colonne1],PTSRKPOULES[PR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IF(K13="Poule","H","")</f>
        <v>H</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H</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1003" t="str">
        <f>"TABLEAU "&amp;CHAR(10)&amp;B2</f>
        <v>TABLEAU 
Poule H</v>
      </c>
      <c r="V37" s="1004"/>
      <c r="W37" s="1004"/>
      <c r="X37" s="1005"/>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1006"/>
      <c r="V38" s="1007"/>
      <c r="W38" s="1007"/>
      <c r="X38" s="1008"/>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1006"/>
      <c r="V39" s="1007"/>
      <c r="W39" s="1007"/>
      <c r="X39" s="1008"/>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1006"/>
      <c r="V40" s="1007"/>
      <c r="W40" s="1007"/>
      <c r="X40" s="1008"/>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1006"/>
      <c r="V41" s="1007"/>
      <c r="W41" s="1007"/>
      <c r="X41" s="1008"/>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1009"/>
      <c r="V42" s="1010"/>
      <c r="W42" s="1010"/>
      <c r="X42" s="1011"/>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9qG+xQWbSI7mPL/KU5oVr5San0v4rfy4x+8igMaUS/meEhk9sDyDJLfgKhhegGwUwHbiIms41rENK5IsB0fmxQ==" saltValue="6pQUXiEh2A/itg3qPHb3Wg=="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803" priority="3">
      <formula>$B18=""</formula>
    </cfRule>
  </conditionalFormatting>
  <conditionalFormatting sqref="B19:Y32">
    <cfRule type="expression" dxfId="802" priority="2">
      <formula>$B18=MAX($B$18:$B$32)</formula>
    </cfRule>
  </conditionalFormatting>
  <conditionalFormatting sqref="E18:E32 W18:W32">
    <cfRule type="expression" dxfId="801" priority="4">
      <formula>LEFT($B$15)="3"</formula>
    </cfRule>
  </conditionalFormatting>
  <conditionalFormatting sqref="L13">
    <cfRule type="expression" dxfId="800" priority="56">
      <formula>$F$13&lt;&gt;"FINALE"</formula>
    </cfRule>
  </conditionalFormatting>
  <conditionalFormatting sqref="T6:U11 N37:O42">
    <cfRule type="expression" dxfId="798" priority="57">
      <formula>LEFT($B$15)="3"</formula>
    </cfRule>
  </conditionalFormatting>
  <dataValidations count="3">
    <dataValidation type="list" allowBlank="1" showInputMessage="1" showErrorMessage="1" sqref="O6" xr:uid="{53F03143-4061-4DED-8F7D-CF480C5525F1}">
      <formula1>"1,2,3,4,5,6"</formula1>
    </dataValidation>
    <dataValidation type="list" allowBlank="1" showInputMessage="1" showErrorMessage="1" sqref="W35:X35" xr:uid="{D1D68A2B-0F23-44D7-B0FF-8BBAF83BCA50}">
      <formula1>"OUI,NON"</formula1>
    </dataValidation>
    <dataValidation type="list" allowBlank="1" showInputMessage="1" showErrorMessage="1" sqref="O7:O11" xr:uid="{161E597F-8FD2-43B0-B48D-D77DABC5BD19}">
      <formula1>"F,1,2,3,4,5,6"</formula1>
    </dataValidation>
  </dataValidations>
  <hyperlinks>
    <hyperlink ref="AA4:AA5" location="'GESTION DES JOUEURS'!D4" display="GESTION DES JOUEURS" xr:uid="{377663E9-E51F-4356-AB02-2A772E8926D6}"/>
    <hyperlink ref="U37:X42" location="'T PH'!A1" display="'T PH'!A1" xr:uid="{87486FDC-F118-441F-98E5-91F1A9667AD6}"/>
    <hyperlink ref="AA9:AA10" location="PA!N18" display="PA!N18" xr:uid="{DFB867EE-36E8-471E-8C2D-7849BFFEE05B}"/>
    <hyperlink ref="AA11:AA12" location="PB!N18" display="Poule B" xr:uid="{4AB36AF0-22FA-4B9D-8718-D121D25E4F4A}"/>
    <hyperlink ref="AA13:AA14" location="PC!N18" display="Poule C" xr:uid="{3736C28D-CB1F-4CCE-B770-FA719E148BEA}"/>
    <hyperlink ref="AA15:AA16" location="PD!N18" display="Poule D" xr:uid="{3F64CC65-1D07-4578-965D-17C4D70B69A4}"/>
    <hyperlink ref="AA17:AA18" location="PE!N18" display="Poule E" xr:uid="{7EC9DBF2-032F-417D-B00B-799870AF012B}"/>
    <hyperlink ref="AA19:AA20" location="PF!N18" display="Poule F" xr:uid="{21C11A64-BFAD-4B6C-9F6B-E3F2F0910494}"/>
    <hyperlink ref="AA21:AA22" location="PG!N18" display="Poule G" xr:uid="{ABD701E0-1ABF-4AF8-839A-BB5991439CB0}"/>
    <hyperlink ref="AA23:AA24" location="PH!N18" display="Poule H" xr:uid="{A3266E10-6A3A-4C98-859D-524CA455C035}"/>
    <hyperlink ref="AA25:AA26" location="PI!N18" display="Poule I" xr:uid="{A6E9D024-B6E2-4536-A4D7-6A710F6094C4}"/>
    <hyperlink ref="AA27:AA28" location="PJ!N18" display="Poule J" xr:uid="{4D48C30C-6E9D-40A1-A93C-AB2FA183F033}"/>
    <hyperlink ref="AA29:AA30" location="PK!N18" display="Poule K" xr:uid="{DDEC1EC1-47E2-47A4-85BF-0146733C48B3}"/>
    <hyperlink ref="AA31:AA32" location="PL!N18" display="Poule L" xr:uid="{04BF08CF-548F-454D-B24B-04706552D55A}"/>
    <hyperlink ref="AA37:AA38" location="Consolante!A1" display="Consolante" xr:uid="{68C18875-2628-49E7-9C14-5A7C544A527A}"/>
    <hyperlink ref="AA40:AA42" location="RESULTATS!A1" display="RESULTATS" xr:uid="{264A5E24-BECA-4607-831B-057E38CF8EA3}"/>
    <hyperlink ref="AA34:AA35" location="'Phase finale'!A1" display="Phase Finale" xr:uid="{5AB51FAD-A6D4-43F2-96E4-7C4F08E30121}"/>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A2A6BB12-8555-41F9-BF2D-9D0A9A705C60}">
            <xm:f>'GESTION DES JOUEURS'!$D$8="Open"</xm:f>
            <x14:dxf>
              <numFmt numFmtId="14" formatCode="0.00%"/>
            </x14:dxf>
          </x14:cfRule>
          <xm:sqref>R37:S42</xm:sqref>
        </x14:conditionalFormatting>
        <x14:conditionalFormatting xmlns:xm="http://schemas.microsoft.com/office/excel/2006/main">
          <x14:cfRule type="expression" priority="8" id="{D9A1845C-17CC-4DE4-9C01-D7D8A00CBFA8}">
            <xm:f>'GESTION DES JOUEURS'!$D$8="Open"</xm:f>
            <x14:dxf>
              <numFmt numFmtId="14" formatCode="0.00%"/>
            </x14:dxf>
          </x14:cfRule>
          <xm:sqref>W6:X11</xm:sqref>
        </x14:conditionalFormatting>
        <x14:conditionalFormatting xmlns:xm="http://schemas.microsoft.com/office/excel/2006/main">
          <x14:cfRule type="expression" priority="1" id="{98AAF441-7EB7-4985-8739-75D5DE656E36}">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417A2915-7E20-4640-AC0B-2F560A2CBCEF}">
            <xm:f>'GESTION DES JOUEURS'!$T$8&lt;2</xm:f>
            <x14:dxf>
              <font>
                <color theme="0" tint="-0.24994659260841701"/>
              </font>
              <fill>
                <patternFill>
                  <bgColor theme="0" tint="-0.24994659260841701"/>
                </patternFill>
              </fill>
            </x14:dxf>
          </x14:cfRule>
          <x14:cfRule type="expression" priority="42" id="{040952F8-E41B-4063-88B9-59DF73C015E7}">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8E641D62-D87A-4484-BD3B-05BF5D7459D9}">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38AF64A4-88F9-4CA3-AACF-EFE62858422C}">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791635AD-F0B4-48FA-85C2-5267A665F298}">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CD6A95E9-AE0F-47CA-BC98-0DB49CDFB852}">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7D017D15-2671-4EAD-9FA6-1993272EEC41}">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B2D8921D-8C6A-4EA0-878A-2DC044C1E7C1}">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D5DA2673-A7A3-4069-94BF-267F7C23BF7E}">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AF856948-AA61-476C-9474-B9122409770D}">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04C9CDFC-7058-4E97-9C8C-04958DEDFE57}">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36EC553E-856D-472A-8635-79ABB786FEB2}">
            <xm:f>'GESTION DES JOUEURS'!$T$8=1</xm:f>
            <x14:dxf>
              <font>
                <color theme="0" tint="-0.24994659260841701"/>
              </font>
              <fill>
                <patternFill>
                  <bgColor theme="0" tint="-0.24994659260841701"/>
                </patternFill>
              </fill>
            </x14:dxf>
          </x14:cfRule>
          <x14:cfRule type="expression" priority="19" id="{B7751CFE-D4F0-44F3-81DF-EBDED5691B56}">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A5499133-BDFA-43C7-914D-815A640EFA31}">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5CEEF2A-96BE-4103-ADE5-D6E09AF262C2}">
          <x14:formula1>
            <xm:f>IF(AND(_xlfn.XLOOKUP($F18,$B$6:$B$11,$AD$6:$AD$11,"",0,1)&lt;&gt;"N1",_xlfn.XLOOKUP($U18,$B$6:$B$11,$AD$6:$AD$11,"",0,1)&lt;&gt;"N1",$B$15="Cadre N1/N2"),Distances!$B$89:$KP$89,Distances!$B$86:$KQ$86)</xm:f>
          </x14:formula1>
          <xm:sqref>O18:O32</xm:sqref>
        </x14:dataValidation>
        <x14:dataValidation type="list" allowBlank="1" showInputMessage="1" showErrorMessage="1" xr:uid="{7A2EF41F-FB05-4BA6-86E8-02AA960ACBD1}">
          <x14:formula1>
            <xm:f>IF(AND(_xlfn.XLOOKUP($F18,$B$6:$B$11,$AD$6:$AD$11,"",0,1)&lt;&gt;"N1",_xlfn.XLOOKUP($U18,$B$6:$B$11,$AD$6:$AD$11,"",0,1)&lt;&gt;"N1",$B$15="Cadre N1/N2"),Distances!$B$88:$KP$88,Distances!$B$85:$KQ$85)</xm:f>
          </x14:formula1>
          <xm:sqref>N18:N32 P18:P32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CB62-F27D-4F4C-B78C-2C21E0541E70}">
  <sheetPr>
    <tabColor rgb="FFA7FF4F"/>
    <pageSetUpPr fitToPage="1"/>
  </sheetPr>
  <dimension ref="A1:AZ40"/>
  <sheetViews>
    <sheetView zoomScale="53" zoomScaleNormal="84" workbookViewId="0">
      <selection activeCell="AV2" sqref="AV2"/>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IF(PH!F13="FINALE","District 93-94"&amp;" - "&amp;IF(MONTH(AT5)&gt;8,YEAR(AT5)&amp;"/"&amp;YEAR(AT5)+1,YEAR(AT5)-1&amp;"/"&amp;YEAR(AT5))&amp;CHAR(10)&amp;PH!F13&amp;CHAR(10)&amp;PH!B15&amp;AT2,"District 93-94"&amp;" - "&amp;IF(MONTH(AT5)&gt;8,YEAR(AT5)&amp;"/"&amp;YEAR(AT5)+1,YEAR(AT5)-1&amp;"/"&amp;YEAR(AT5))&amp;CHAR(10)&amp;'GESTION DES JOUEURS'!C2&amp;CHAR(10)&amp;PH!K13&amp;" "&amp;PH!L13)</f>
        <v>District 93-94 - 2024/2025
Journée 3 -  Libre R2
Poule H</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IF(PH!M14="","",PH!M14)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IF(LEFT(PH!$B$15)="C","   -   "&amp;_xlfn.XLOOKUP(PH!B15,Distances!D2:D77,Distances!K2:K77,"",0,1),"")</f>
        <v/>
      </c>
      <c r="AV2" s="450" t="s">
        <v>8130</v>
      </c>
    </row>
    <row r="3" spans="1:48" ht="21.95" customHeight="1" thickBot="1" x14ac:dyDescent="0.3">
      <c r="A3" s="32"/>
      <c r="B3" s="868" t="str">
        <f>IF('GESTION DES JOUEURS'!$F$6="","","Directeur de jeu : "&amp;PH!S13)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"&amp;_xlfn.XLOOKUP(PH!B15,Distances!D2:D77,Distances!A2:A77,"",0,1)&amp;AT2</f>
        <v>Mode de jeu : Libre</v>
      </c>
      <c r="C5" s="877"/>
      <c r="D5" s="877"/>
      <c r="E5" s="877"/>
      <c r="F5" s="877"/>
      <c r="G5" s="876" t="str">
        <f>"Catégorie : "&amp;_xlfn.XLOOKUP(PH!B15,Distances!D2:D77,Distances!B2:B77,"",0,1)</f>
        <v>Catégorie : R2</v>
      </c>
      <c r="H5" s="877"/>
      <c r="I5" s="877"/>
      <c r="J5" s="877"/>
      <c r="K5" s="877"/>
      <c r="L5" s="877"/>
      <c r="M5" s="877"/>
      <c r="N5" s="878"/>
      <c r="O5" s="870" t="str">
        <f>IF(G5="Catégorie : N1/N2","Distance réduite : 150 pts"&amp;CHAR(10)&amp;"si N2 Vs N2 120pts",PH!B14&amp;" "&amp;PH!E14&amp;" "&amp;PH!F14)</f>
        <v>Distance : 100 Pts</v>
      </c>
      <c r="P5" s="871"/>
      <c r="Q5" s="871"/>
      <c r="R5" s="871"/>
      <c r="S5" s="871"/>
      <c r="T5" s="871"/>
      <c r="U5" s="872"/>
      <c r="V5" s="870" t="str">
        <f>IFERROR(IF(G5="Catégorie : N1/N2","Reprises : 15"&amp;CHAR(10)&amp;"si N2 Vs N2 Reprises : 20 ",PH!G14&amp;" "&amp;PH!J14),"")</f>
        <v>Reprises : 40</v>
      </c>
      <c r="W5" s="871"/>
      <c r="X5" s="871"/>
      <c r="Y5" s="871"/>
      <c r="Z5" s="871"/>
      <c r="AA5" s="871"/>
      <c r="AB5" s="871"/>
      <c r="AC5" s="872"/>
      <c r="AD5" s="873" t="str">
        <f>_xlfn.XLOOKUP(PH!B15,Distances!D2:D77,Distances!J2:J77,"",0,1)&amp;" "&amp;_xlfn.XLOOKUP(PH!B15,Distances!D2:D77,Distances!I2:I77,"",0,1)&amp;"0 m"</f>
        <v>PC 2,80 m</v>
      </c>
      <c r="AE5" s="874"/>
      <c r="AF5" s="874"/>
      <c r="AG5" s="874"/>
      <c r="AH5" s="874"/>
      <c r="AI5" s="875"/>
      <c r="AJ5" s="850">
        <f>IF(PH!T14=0,"DATE",PH!T14)</f>
        <v>45633</v>
      </c>
      <c r="AK5" s="851"/>
      <c r="AL5" s="851"/>
      <c r="AM5" s="851"/>
      <c r="AN5" s="851"/>
      <c r="AO5" s="851"/>
      <c r="AP5" s="851"/>
      <c r="AQ5" s="852"/>
      <c r="AS5" s="841" t="s">
        <v>8129</v>
      </c>
      <c r="AT5" s="32">
        <f ca="1">IF(PH!T14&gt;1,AJ5,TODAY())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IF(PH!$AO$4&lt;2,"","JOUEURS")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IF(PH!$AO$4&lt;2,"","RESULTATS")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IF(PH!AO4=2,_xlfn.XLOOKUP(1,PH!M6:M11,PH!C6:D11&amp;" "&amp;LEFT(PH!E6)&amp;".","",0,1),IF(COUNT(PH!A6:A11)&gt;2,CONCATENATE(PH!C6," ",LEFT(PH!E6),"."),""))</f>
        <v/>
      </c>
      <c r="D10" s="32"/>
      <c r="E10" s="885" t="str">
        <f>IF(PH!W35="NON",AG1,IF(PH!AO4&gt;0,_xlfn.XLOOKUP('T PH'!C13,'LOGOS CLUBS'!$B$2:$B$65,'LOGOS CLUBS'!$C$2:$C$65,C13,0,1),""))</f>
        <v/>
      </c>
      <c r="F10" s="885"/>
      <c r="G10" s="885"/>
      <c r="H10" s="885"/>
      <c r="I10" s="32"/>
      <c r="J10" s="882" t="str">
        <f>IF(AND(PH!$AO$4=2,PH!$A18="P"),PH!N18,IF(AND(COUNT(PH!$A$6:$A$11)&gt;2,PH!$CF10="P"),PH!$CC10,""))</f>
        <v/>
      </c>
      <c r="K10" s="882"/>
      <c r="L10" s="882" t="str">
        <f>IF(AND(PH!$AO$4=2,PH!$A18="P"),PH!O18,IF(AND(COUNT(PH!$A$6:$A$11)&gt;2,PH!$CF10="P"),PH!$CE10,""))</f>
        <v/>
      </c>
      <c r="M10" s="882"/>
      <c r="N10" s="142"/>
      <c r="O10" s="882" t="str">
        <f>IF(PH!$AO$4=2,"",IF(AND(COUNT(PH!$A$6:$A$11)&gt;2,PH!$CF9="P"),PH!$CC9,""))</f>
        <v/>
      </c>
      <c r="P10" s="882"/>
      <c r="Q10" s="882" t="str">
        <f>IF(PH!$AO$4=2,"",IF(AND(COUNT(PH!$A$6:$A$11)&gt;2,PH!$CF9="P"),PH!$CE9,""))</f>
        <v/>
      </c>
      <c r="R10" s="882"/>
      <c r="S10" s="142"/>
      <c r="T10" s="882" t="str">
        <f>IF(PH!$AO$4=2,"",IF(AND(COUNT(PH!$A$6:$A$11)&gt;2,PH!$CF8="P"),PH!$CC8,""))</f>
        <v/>
      </c>
      <c r="U10" s="882"/>
      <c r="V10" s="882" t="str">
        <f>IF(PH!$AO$4=2,"",IF(AND(COUNT(PH!$A$6:$A$11)&gt;2,PH!$CF8="P"),PH!$CE8,""))</f>
        <v/>
      </c>
      <c r="W10" s="882"/>
      <c r="X10" s="142"/>
      <c r="Y10" s="882" t="str">
        <f>IF(PH!$AO$4=2,"",IF(AND(COUNT(PH!$A$6:$A$11)&gt;2,PH!$CF7="P"),PH!$CC7,""))</f>
        <v/>
      </c>
      <c r="Z10" s="882"/>
      <c r="AA10" s="882" t="str">
        <f>IF(PH!$AO$4=2,"",IF(AND(COUNT(PH!$A$6:$A$11)&gt;2,PH!$CF7="P"),PH!$CE7,""))</f>
        <v/>
      </c>
      <c r="AB10" s="882"/>
      <c r="AC10" s="142"/>
      <c r="AD10" s="882" t="str">
        <f>IF(PH!$AO$4=2,"",IF(AND(COUNT(PH!$A$6:$A$11)&gt;2,PH!$CF6="P"),PH!$CC6,""))</f>
        <v/>
      </c>
      <c r="AE10" s="882"/>
      <c r="AF10" s="882" t="str">
        <f>IF(PH!$AO$4=2,"",IF(AND(COUNT(PH!$A$6:$A$11)&gt;2,PH!$CF6="P"),PH!$CE6,""))</f>
        <v/>
      </c>
      <c r="AG10" s="882"/>
      <c r="AH10" s="32"/>
      <c r="AI10" s="32"/>
      <c r="AJ10" s="32"/>
      <c r="AK10" s="882" t="str" cm="1">
        <f t="array" ref="AK10">IF(PH!$AO$4&lt;2,"",IF(_xlfn.XLOOKUP('T PH'!C12,"Licence n° "&amp;PH!$B$6:$B$11,PH!$AO$6:$AO$11,"",0,1)=1,"",_xlfn.XLOOKUP('T PH'!C12,"Licence n° "&amp;PH!$B$6:$B$11,PH!$V$6:$V$11,"",0,1)))</f>
        <v/>
      </c>
      <c r="AL10" s="882"/>
      <c r="AM10" s="879" t="str" cm="1">
        <f t="array" ref="AM10">IF(PH!$AO$4&lt;2,"",IF(_xlfn.XLOOKUP('T PH'!C12,"Licence n° "&amp;PH!$B$6:$B$11,PH!$AO$6:$AO$11,"",0,1)=1,"",_xlfn.XLOOKUP('T PH'!C12,"Licence n° "&amp;PH!$B$6:$B$11,PH!$T$6:$T$11,"",0,1)))</f>
        <v/>
      </c>
      <c r="AN10" s="879"/>
      <c r="AO10" s="32"/>
      <c r="AP10" s="561" t="str" cm="1">
        <f t="array" ref="AP10">_xlfn.XLOOKUP(C12,"Licence n° "&amp;PH!$B$6:$B$11,PH!$W$6:$W$11,"",0,1)</f>
        <v/>
      </c>
      <c r="AQ10" s="32"/>
      <c r="AS10" s="843" t="str">
        <f>IF('GESTION DES JOUEURS'!$D$8="Finale","Poule Finale","Poule A")</f>
        <v>Poule A</v>
      </c>
      <c r="AT10" s="32"/>
      <c r="AV10" s="838"/>
    </row>
    <row r="11" spans="1:48" ht="12.6" customHeight="1" thickBot="1" x14ac:dyDescent="0.3">
      <c r="A11" s="32"/>
      <c r="B11" s="32"/>
      <c r="C11" s="143" t="str" cm="1">
        <f t="array" ref="C11">IF(PH!$AO$4=2,_xlfn.XLOOKUP(1,PH!$M$6:$M$11,PH!$K$6:$K$11&amp;" "&amp;PH!$AS$6:$AS$11,"",0,1),IF(COUNT(PH!$A$6:$A$11)&gt;2,PH!$K6&amp;" - "&amp;PH!$AS6," "))</f>
        <v xml:space="preserve"> </v>
      </c>
      <c r="D11" s="32"/>
      <c r="E11" s="885"/>
      <c r="F11" s="885"/>
      <c r="G11" s="885"/>
      <c r="H11" s="885"/>
      <c r="I11" s="32"/>
      <c r="J11" s="144" t="str">
        <f>IF(K11="","","Pts")</f>
        <v/>
      </c>
      <c r="K11" s="880" t="str">
        <f>IF(PH!$AO$4=2,PH!D18,IF(AND(COUNT(PH!$A$6:$A$11)&gt;2,PH!$CF10="P"),PH!$CG10,""))</f>
        <v/>
      </c>
      <c r="L11" s="880"/>
      <c r="M11" s="144" t="str">
        <f>IF(K11="","","Rep.")</f>
        <v/>
      </c>
      <c r="N11" s="144"/>
      <c r="O11" s="144" t="str">
        <f>IF(P11="","","Pts")</f>
        <v/>
      </c>
      <c r="P11" s="880" t="str">
        <f>IF(PH!$AO$4=2,"",IF(AND(COUNT(PH!$A$6:$A$11)&gt;2,PH!$CF9="P"),PH!$CG9,""))</f>
        <v/>
      </c>
      <c r="Q11" s="880"/>
      <c r="R11" s="144" t="str">
        <f>IF(P11="","","Rep.")</f>
        <v/>
      </c>
      <c r="S11" s="144"/>
      <c r="T11" s="144" t="str">
        <f>IF(U11="","","Pts")</f>
        <v/>
      </c>
      <c r="U11" s="880" t="str">
        <f>IF(PH!$AO$4=2,"",IF(AND(COUNT(PH!$A$6:$A$11)&gt;2,PH!$CF8="P"),PH!$CG8,""))</f>
        <v/>
      </c>
      <c r="V11" s="880"/>
      <c r="W11" s="144" t="str">
        <f>IF(U11="","","Rep.")</f>
        <v/>
      </c>
      <c r="X11" s="144"/>
      <c r="Y11" s="144" t="str">
        <f>IF(Z11="","","Pts")</f>
        <v/>
      </c>
      <c r="Z11" s="880" t="str">
        <f>IF(PH!$AO$4=2,"",IF(AND(COUNT(PH!$A$6:$A$11)&gt;2,PH!$CF7="P"),PH!$CG7,""))</f>
        <v/>
      </c>
      <c r="AA11" s="880"/>
      <c r="AB11" s="144" t="str">
        <f>IF(Z11="","","Rep.")</f>
        <v/>
      </c>
      <c r="AC11" s="144"/>
      <c r="AD11" s="144" t="str">
        <f>IF(AE11="","","Pts")</f>
        <v/>
      </c>
      <c r="AE11" s="880" t="str">
        <f>IF(PH!$AO$4=2,"",IF(AND(COUNT(PH!$A$6:$A$11)&gt;2,PH!$CF6="P"),PH!$CG6,""))</f>
        <v/>
      </c>
      <c r="AF11" s="880"/>
      <c r="AG11" s="144" t="str">
        <f>IF(AE11="","","Rep.")</f>
        <v/>
      </c>
      <c r="AH11" s="32"/>
      <c r="AI11" s="32"/>
      <c r="AJ11" s="32"/>
      <c r="AK11" s="145" t="str">
        <f>IF(AL11="","","PM")</f>
        <v/>
      </c>
      <c r="AL11" s="881" t="str" cm="1">
        <f t="array" ref="AL11">IF(SUM(PH!$Q$6:$Q$11)=0,"",IF(PH!$AO$4&gt;1,IF(_xlfn.XLOOKUP('T PH'!C12,"Licence n° "&amp;PH!$B$6:$B$11,PH!$AO$6:$AO$11,"",0,1)=1,"Forfait",_xlfn.XLOOKUP('T PH'!C12,"Licence n° "&amp;PH!$B$37:$B$42,PH!$Q$37:$Q$42,"",0,1)),""))</f>
        <v/>
      </c>
      <c r="AM11" s="881"/>
      <c r="AN11" s="145" t="str">
        <f>IF(AL11="","","MGP")</f>
        <v/>
      </c>
      <c r="AO11" s="32"/>
      <c r="AP11" s="146" t="str">
        <f>IF(OR(PH!$AO$4&lt;2,LEFT(PH!$F$13)="F"),"","Pts Rk")</f>
        <v/>
      </c>
      <c r="AQ11" s="32"/>
      <c r="AS11" s="844"/>
      <c r="AT11" s="32"/>
      <c r="AV11" s="839"/>
    </row>
    <row r="12" spans="1:48" ht="12.6" customHeight="1" x14ac:dyDescent="0.25">
      <c r="A12" s="32"/>
      <c r="B12" s="32"/>
      <c r="C12" s="147" t="str">
        <f>IF(PH!AO4=2,"Licence n° "&amp;_xlfn.XLOOKUP(1,PH!M6:M11,PH!B6:B11,"",0,1),IF(COUNT(PH!A6:A11)&gt;2,"Licence n° "&amp;PH!B6,"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IF(OR(PH!$AO$4&lt;2,LEFT(PH!$F$13)="F"),"","Bonus")</f>
        <v/>
      </c>
      <c r="AQ12" s="32"/>
      <c r="AS12" s="845" t="s">
        <v>8113</v>
      </c>
      <c r="AT12" s="32"/>
    </row>
    <row r="13" spans="1:48" ht="50.1" customHeight="1" x14ac:dyDescent="0.25">
      <c r="A13" s="32"/>
      <c r="B13" s="32"/>
      <c r="C13" s="149" t="str">
        <f>IF(PH!AO4=2,_xlfn.XLOOKUP(1,PH!M6:M11,PH!G6:G11,"",0,1),IF(COUNT(PH!A6:A11)&gt;2,PH!G6," "))</f>
        <v xml:space="preserve"> </v>
      </c>
      <c r="D13" s="32"/>
      <c r="E13" s="885"/>
      <c r="F13" s="885"/>
      <c r="G13" s="885"/>
      <c r="H13" s="885"/>
      <c r="I13" s="32"/>
      <c r="J13" s="883" t="str">
        <f>IF(K11="","",IF(K11&gt;0,J10/L10,"/"))</f>
        <v/>
      </c>
      <c r="K13" s="883"/>
      <c r="L13" s="884" t="str">
        <f>IF(AND(PH!$AO$4=2,PH!$A18="P"),PH!M18,IF(AND(COUNT(PH!$A$6:$A$11)&gt;2,PH!$CF10="P"),PH!$CD10,""))</f>
        <v/>
      </c>
      <c r="M13" s="884"/>
      <c r="N13" s="32"/>
      <c r="O13" s="883" t="str">
        <f>IF(P11="","",IF(P11&gt;0,O10/Q10,"/"))</f>
        <v/>
      </c>
      <c r="P13" s="883"/>
      <c r="Q13" s="884" t="str">
        <f>IF(PH!$AO$4=2,"",IF(AND(COUNT(PH!$A$6:$A$11)&gt;2,PH!$CF9="P"),PH!$CD9,""))</f>
        <v/>
      </c>
      <c r="R13" s="884"/>
      <c r="S13" s="32"/>
      <c r="T13" s="883" t="str">
        <f>IF(U11="","",IF(U11&gt;0,T10/V10,"/"))</f>
        <v/>
      </c>
      <c r="U13" s="883"/>
      <c r="V13" s="884" t="str">
        <f>IF(PH!$AO$4=2,"",IF(AND(COUNT(PH!$A$6:$A$11)&gt;2,PH!$CF8="P"),PH!$CD8,""))</f>
        <v/>
      </c>
      <c r="W13" s="884"/>
      <c r="X13" s="32"/>
      <c r="Y13" s="883" t="str">
        <f>IF(Z11="","",IF(Z11&gt;0,Y10/AA10,"/"))</f>
        <v/>
      </c>
      <c r="Z13" s="883"/>
      <c r="AA13" s="884" t="str">
        <f>IF(PH!$AO$4=2,"",IF(AND(COUNT(PH!$A$6:$A$11)&gt;2,PH!$CF7="P"),PH!$CD7,""))</f>
        <v/>
      </c>
      <c r="AB13" s="884"/>
      <c r="AC13" s="32"/>
      <c r="AD13" s="883" t="str">
        <f>IF(AE11="","",IF(AE11&gt;0,AD10/AF10,"/"))</f>
        <v/>
      </c>
      <c r="AE13" s="883"/>
      <c r="AF13" s="884" t="str">
        <f>IF(PH!$AO$4=2,"",IF(AND(COUNT(PH!$A$6:$A$11)&gt;2,PH!$CF6="P"),PH!$CD6,""))</f>
        <v/>
      </c>
      <c r="AG13" s="884"/>
      <c r="AH13" s="32"/>
      <c r="AI13" s="32"/>
      <c r="AJ13" s="32"/>
      <c r="AK13" s="883" t="str" cm="1">
        <f t="array" ref="AK13">IF(PH!$AO$4&lt;2,"",IF(_xlfn.XLOOKUP('T PH'!C12,"Licence n° "&amp;PH!$B$6:$B$11,PH!$AO$6:$AO$11,"",0,1)=1,"",_xlfn.XLOOKUP('T PH'!C12,"Licence n° "&amp;PH!$B$6:$B$11,PH!$U$6:$U$11,"",0,1)))</f>
        <v/>
      </c>
      <c r="AL13" s="883"/>
      <c r="AM13" s="884" t="str" cm="1">
        <f t="array" ref="AM13">IF(PH!$AO$4&lt;2,"",IF(_xlfn.XLOOKUP('T PH'!C12,"Licence n° "&amp;PH!$B$6:$B$11,PH!$AO$6:$AO$11,"",0,1)=1,"",_xlfn.XLOOKUP('T PH'!C12,"Licence n° "&amp;PH!$B$6:$B$11,PH!$S$6:$S$11,"",0,1)))</f>
        <v/>
      </c>
      <c r="AN13" s="884"/>
      <c r="AO13" s="32"/>
      <c r="AP13" s="562" t="str" cm="1">
        <f t="array" ref="AP13">_xlfn.XLOOKUP(C12,"Licence n° "&amp;PH!$B$6:$B$11,PH!$X$6:$X$11,"",0,1)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IF(PH!AO4=2,_xlfn.XLOOKUP(2,PH!M6:M11,PH!C6:D11&amp;" "&amp;LEFT(PH!E6:E11)&amp;".","",0,1),IF(COUNT(PH!A6:A11)&gt;2,CONCATENATE(PH!C7," ",LEFT(PH!E7),"."),""))</f>
        <v/>
      </c>
      <c r="D15" s="32"/>
      <c r="E15" s="882" t="str">
        <f>IF(AND(PH!$AO$4=2,PH!$A18="P"),PH!P18,IF(AND(COUNT(PH!$A$6:$A$11)&gt;2,PH!$CF15="P"),PH!$CC15,""))</f>
        <v/>
      </c>
      <c r="F15" s="882"/>
      <c r="G15" s="882" t="str">
        <f>IF(AND(PH!$AO$4=2,PH!$A18="P"),PH!O18,IF(AND(COUNT(PH!$A$6:$A$11)&gt;2,PH!$CF15="P"),PH!$CE15,""))</f>
        <v/>
      </c>
      <c r="H15" s="882"/>
      <c r="I15" s="32"/>
      <c r="J15" s="885" t="str">
        <f>IF(PH!W35="NON",AG1,IF(PH!AO4=2,"MATCH 1",IF(PH!AO4&gt;2,_xlfn.XLOOKUP(C18,'LOGOS CLUBS'!$B$2:$B$65,'LOGOS CLUBS'!$C$2:$C$65,C18,0,1),"")))</f>
        <v/>
      </c>
      <c r="K15" s="885"/>
      <c r="L15" s="885"/>
      <c r="M15" s="885"/>
      <c r="N15" s="32"/>
      <c r="O15" s="882" t="str">
        <f>IF(PH!$AO$4=2,"",IF(AND(COUNT(PH!$A$6:$A$11)&gt;2,PH!$CF14="P"),PH!$CC14,""))</f>
        <v/>
      </c>
      <c r="P15" s="882"/>
      <c r="Q15" s="882" t="str">
        <f>IF(PH!$AO$4=2,"",IF(AND(COUNT(PH!$A$6:$A$11)&gt;2,PH!$CF14="P"),PH!$CE14,""))</f>
        <v/>
      </c>
      <c r="R15" s="882"/>
      <c r="S15" s="142"/>
      <c r="T15" s="882" t="str">
        <f>IF(PH!$AO$4=2,"",IF(AND(COUNT(PH!$A$6:$A$11)&gt;2,PH!$CF13="P"),PH!$CC13,""))</f>
        <v/>
      </c>
      <c r="U15" s="882"/>
      <c r="V15" s="882" t="str">
        <f>IF(PH!$AO$4=2,"",IF(AND(COUNT(PH!$A$6:$A$11)&gt;2,PH!$CF13="P"),PH!$CE13,""))</f>
        <v/>
      </c>
      <c r="W15" s="882"/>
      <c r="X15" s="142"/>
      <c r="Y15" s="882" t="str">
        <f>IF(PH!$AO$4=2,"",IF(AND(COUNT(PH!$A$6:$A$11)&gt;2,PH!$CF12="P"),PH!$CC12,""))</f>
        <v/>
      </c>
      <c r="Z15" s="882"/>
      <c r="AA15" s="882" t="str">
        <f>IF(PH!$AO$4=2,"",IF(AND(COUNT(PH!$A$6:$A$11)&gt;2,PH!$CF12="P"),PH!$CE12,""))</f>
        <v/>
      </c>
      <c r="AB15" s="882"/>
      <c r="AC15" s="142"/>
      <c r="AD15" s="882" t="str">
        <f>IF(PH!$AO$4=2,"",IF(AND(COUNT(PH!$A$6:$A$11)&gt;2,PH!$CF11="P"),PH!$CC11,""))</f>
        <v/>
      </c>
      <c r="AE15" s="882"/>
      <c r="AF15" s="882" t="str">
        <f>IF(PH!$AO$4=2,"",IF(AND(COUNT(PH!$A$6:$A$11)&gt;2,PH!$CF11="P"),PH!$CE11,""))</f>
        <v/>
      </c>
      <c r="AG15" s="882"/>
      <c r="AH15" s="32"/>
      <c r="AI15" s="32"/>
      <c r="AJ15" s="32"/>
      <c r="AK15" s="882" t="str" cm="1">
        <f t="array" ref="AK15">IF(PH!$AO$4&lt;2,"",IF(_xlfn.XLOOKUP('T PH'!C17,"Licence n° "&amp;PH!$B$6:$B$11,PH!$AO$6:$AO$11,"",0,1)=1,"",_xlfn.XLOOKUP('T PH'!C17,"Licence n° "&amp;PH!$B$6:$B$11,PH!$V$6:$V$11,"",0,1)))</f>
        <v/>
      </c>
      <c r="AL15" s="882"/>
      <c r="AM15" s="879" t="str" cm="1">
        <f t="array" ref="AM15">IF(PH!$AO$4&lt;2,"",IF(_xlfn.XLOOKUP('T PH'!C17,"Licence n° "&amp;PH!$B$6:$B$11,PH!$AO$6:$AO$11,"",0,1)=1,"",_xlfn.XLOOKUP('T PH'!C17,"Licence n° "&amp;PH!$B$6:$B$11,PH!$T$6:$T$11,"",0,1)))</f>
        <v/>
      </c>
      <c r="AN15" s="879"/>
      <c r="AO15" s="32"/>
      <c r="AP15" s="561" t="str" cm="1">
        <f t="array" ref="AP15">_xlfn.XLOOKUP(C17,"Licence n° "&amp;PH!$B$6:$B$11,PH!$W$6:$W$11,"",0,1)</f>
        <v/>
      </c>
      <c r="AQ15" s="32"/>
      <c r="AS15" s="840" t="s">
        <v>8114</v>
      </c>
      <c r="AT15" s="32"/>
    </row>
    <row r="16" spans="1:48" ht="12.6" customHeight="1" x14ac:dyDescent="0.25">
      <c r="A16" s="32"/>
      <c r="B16" s="32"/>
      <c r="C16" s="143" t="str" cm="1">
        <f t="array" ref="C16">IF(PH!$AO$4=2,_xlfn.XLOOKUP(2,PH!$M$6:$M$11,PH!$K$6:$K$11&amp;" "&amp;PH!$AS$6:$AS$11,"",0,1),IF(COUNT(PH!$A$6:$A$11)&gt;2,PH!$K7&amp;" - "&amp;PH!$AS7," "))</f>
        <v xml:space="preserve"> </v>
      </c>
      <c r="D16" s="32"/>
      <c r="E16" s="144" t="str">
        <f>IF(F16="","","Pts")</f>
        <v/>
      </c>
      <c r="F16" s="880" t="str">
        <f>IF(PH!$AO$4=2,PH!X18,IF(AND(COUNT(PH!$A$6:$A$11)&gt;2,PH!$CF15="P"),PH!$CG15,""))</f>
        <v/>
      </c>
      <c r="G16" s="880"/>
      <c r="H16" s="144" t="str">
        <f>IF(F16="","","Rep.")</f>
        <v/>
      </c>
      <c r="I16" s="32"/>
      <c r="J16" s="885"/>
      <c r="K16" s="885"/>
      <c r="L16" s="885"/>
      <c r="M16" s="885"/>
      <c r="N16" s="32"/>
      <c r="O16" s="144" t="str">
        <f>IF(P16="","","Pts")</f>
        <v/>
      </c>
      <c r="P16" s="880" t="str">
        <f>IF(PH!$AO$4=2,"",IF(AND(COUNT(PH!$A$6:$A$11)&gt;2,PH!$CF14="P"),PH!$CG14,""))</f>
        <v/>
      </c>
      <c r="Q16" s="880"/>
      <c r="R16" s="144" t="str">
        <f>IF(P16="","","Rep.")</f>
        <v/>
      </c>
      <c r="S16" s="50"/>
      <c r="T16" s="144" t="str">
        <f>IF(U16="","","Pts")</f>
        <v/>
      </c>
      <c r="U16" s="880" t="str">
        <f>IF(PH!$AO$4=2,"",IF(AND(COUNT(PH!$A$6:$A$11)&gt;2,PH!$CF13="P"),PH!$CG13,""))</f>
        <v/>
      </c>
      <c r="V16" s="880"/>
      <c r="W16" s="144" t="str">
        <f>IF(U16="","","Rep.")</f>
        <v/>
      </c>
      <c r="X16" s="144"/>
      <c r="Y16" s="144" t="str">
        <f>IF(Z16="","","Pts")</f>
        <v/>
      </c>
      <c r="Z16" s="880" t="str">
        <f>IF(PH!$AO$4=2,"",IF(AND(COUNT(PH!$A$6:$A$11)&gt;2,PH!$CF12="P"),PH!$CG12,""))</f>
        <v/>
      </c>
      <c r="AA16" s="880"/>
      <c r="AB16" s="144" t="str">
        <f>IF(Z16="","","Rep.")</f>
        <v/>
      </c>
      <c r="AC16" s="144"/>
      <c r="AD16" s="144" t="str">
        <f>IF(AE16="","","Pts")</f>
        <v/>
      </c>
      <c r="AE16" s="880" t="str">
        <f>IF(PH!$AO$4=2,"",IF(AND(COUNT(PH!$A$6:$A$11)&gt;2,PH!$CF11="P"),PH!$CG11,""))</f>
        <v/>
      </c>
      <c r="AF16" s="880"/>
      <c r="AG16" s="144" t="str">
        <f>IF(AE16="","","Rep.")</f>
        <v/>
      </c>
      <c r="AH16" s="32"/>
      <c r="AI16" s="32"/>
      <c r="AJ16" s="32"/>
      <c r="AK16" s="145" t="str">
        <f>IF(AL16="","","PM")</f>
        <v/>
      </c>
      <c r="AL16" s="881" t="str" cm="1">
        <f t="array" ref="AL16">IF(SUM(PH!$Q$6:$Q$11)=0,"",IF(PH!$AO$4&gt;1,IF(_xlfn.XLOOKUP('T PH'!C17,"Licence n° "&amp;PH!$B$6:$B$11,PH!$AO$6:$AO$11,"",0,1)=1,"Forfait",_xlfn.XLOOKUP('T PH'!C17,"Licence n° "&amp;PH!$B$37:$B$42,PH!$Q$37:$Q$42,"",0,1)),""))</f>
        <v/>
      </c>
      <c r="AM16" s="881"/>
      <c r="AN16" s="145" t="str">
        <f>IF(AL16="","","MGP")</f>
        <v/>
      </c>
      <c r="AO16" s="32"/>
      <c r="AP16" s="151" t="str">
        <f>IF(OR(PH!$AO$4&lt;2,LEFT(PH!$F$13)="F"),"","Pts Rk")</f>
        <v/>
      </c>
      <c r="AQ16" s="32"/>
      <c r="AS16" s="840"/>
      <c r="AT16" s="32"/>
    </row>
    <row r="17" spans="1:52" ht="12.6" customHeight="1" x14ac:dyDescent="0.25">
      <c r="A17" s="32"/>
      <c r="B17" s="32"/>
      <c r="C17" s="147" t="str">
        <f>IF(PH!AO4=2,"Licence n° "&amp;_xlfn.XLOOKUP(2,PH!M6:M11,PH!B6:B11,"",0,1),IF(COUNT(PH!A6:A11)&gt;2,"Licence n° "&amp;PH!B7,"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IF(OR(PH!$AO$4&lt;2,LEFT(PH!$F$13)="F"),"","Bonus")</f>
        <v/>
      </c>
      <c r="AQ17" s="32"/>
      <c r="AS17" s="846" t="s">
        <v>8115</v>
      </c>
      <c r="AT17" s="32"/>
      <c r="AZ17" s="241"/>
    </row>
    <row r="18" spans="1:52" ht="50.1" customHeight="1" x14ac:dyDescent="0.25">
      <c r="A18" s="32"/>
      <c r="B18" s="32"/>
      <c r="C18" s="149" t="str">
        <f>IF(PH!AO4=2,_xlfn.XLOOKUP(2,PH!M6:M11,PH!G6:G11,"",0,1),IF(COUNT(PH!A6:A11)&gt;2,PH!G7," "))</f>
        <v xml:space="preserve"> </v>
      </c>
      <c r="D18" s="32"/>
      <c r="E18" s="883" t="str">
        <f>IF(F16="","",IF(F16&gt;0,E15/G15,"/"))</f>
        <v/>
      </c>
      <c r="F18" s="883"/>
      <c r="G18" s="884" t="str">
        <f>IF(AND(PH!$AO$4=2,PH!$A18="P"),PH!Q18,IF(AND(COUNT(PH!$A$6:$A$11)&gt;2,PH!$CF15="P"),PH!$CD15,""))</f>
        <v/>
      </c>
      <c r="H18" s="884"/>
      <c r="I18" s="32"/>
      <c r="J18" s="885"/>
      <c r="K18" s="885"/>
      <c r="L18" s="885"/>
      <c r="M18" s="885"/>
      <c r="N18" s="32"/>
      <c r="O18" s="883" t="str">
        <f>IF(P16="","",IF(P16&gt;0,O15/Q15,"/"))</f>
        <v/>
      </c>
      <c r="P18" s="883"/>
      <c r="Q18" s="884" t="str">
        <f>IF(PH!$AO$4=2,"",IF(AND(COUNT(PH!$A$6:$A$11)&gt;2,PH!$CF14="P"),PH!$CD14,""))</f>
        <v/>
      </c>
      <c r="R18" s="884"/>
      <c r="S18" s="32"/>
      <c r="T18" s="883" t="str">
        <f>IF(U16="","",IF(U16&gt;0,T15/V15,"/"))</f>
        <v/>
      </c>
      <c r="U18" s="883"/>
      <c r="V18" s="884" t="str">
        <f>IF(PH!$AO$4=2,"",IF(AND(COUNT(PH!$A$6:$A$11)&gt;2,PH!$CF13="P"),PH!$CD13,""))</f>
        <v/>
      </c>
      <c r="W18" s="884"/>
      <c r="X18" s="32"/>
      <c r="Y18" s="883" t="str">
        <f>IF(Z16="","",IF(Z16&gt;0,Y15/AA15,"/"))</f>
        <v/>
      </c>
      <c r="Z18" s="883"/>
      <c r="AA18" s="884" t="str">
        <f>IF(PH!$AO$4=2,"",IF(AND(COUNT(PH!$A$6:$A$11)&gt;2,PH!$CF12="P"),PH!$CD12,""))</f>
        <v/>
      </c>
      <c r="AB18" s="884"/>
      <c r="AC18" s="32"/>
      <c r="AD18" s="883" t="str">
        <f>IF(AE16="","",IF(AE16&gt;0,AD15/AF15,"/"))</f>
        <v/>
      </c>
      <c r="AE18" s="883"/>
      <c r="AF18" s="884" t="str">
        <f>IF(PH!$AO$4=2,"",IF(AND(COUNT(PH!$A$6:$A$11)&gt;2,PH!$CF11="P"),PH!$CD11,""))</f>
        <v/>
      </c>
      <c r="AG18" s="884"/>
      <c r="AH18" s="32"/>
      <c r="AI18" s="32"/>
      <c r="AJ18" s="32"/>
      <c r="AK18" s="883" t="str" cm="1">
        <f t="array" ref="AK18">IF(PH!$AO$4&lt;2,"",IF(_xlfn.XLOOKUP('T PH'!C17,"Licence n° "&amp;PH!$B$6:$B$11,PH!$AO$6:$AO$11,"",0,1)=1,"",_xlfn.XLOOKUP('T PH'!C17,"Licence n° "&amp;PH!$B$6:$B$11,PH!$U$6:$U$11,"",0,1)))</f>
        <v/>
      </c>
      <c r="AL18" s="883"/>
      <c r="AM18" s="884" t="str" cm="1">
        <f t="array" ref="AM18">IF(PH!$AO$4&lt;2,"",IF(_xlfn.XLOOKUP('T PH'!C17,"Licence n° "&amp;PH!$B$6:$B$11,PH!$AO$6:$AO$11,"",0,1)=1,"",_xlfn.XLOOKUP('T PH'!C17,"Licence n° "&amp;PH!$B$6:$B$11,PH!$S$6:$S$11,"",0,1)))</f>
        <v/>
      </c>
      <c r="AN18" s="884"/>
      <c r="AO18" s="32"/>
      <c r="AP18" s="562" t="str" cm="1">
        <f t="array" ref="AP18">_xlfn.XLOOKUP(C17,"Licence n° "&amp;PH!$B$6:$B$11,PH!$X$6:$X$11,"",0,1)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IF(PH!AO4=2,C10,IF(COUNT(PH!A6:A11)&gt;2,CONCATENATE(PH!C8," ",LEFT(PH!E8),"."),""))</f>
        <v/>
      </c>
      <c r="D20" s="32"/>
      <c r="E20" s="882" t="str">
        <f>IF(PH!$AO$4=2,"",IF(AND(COUNT(PH!$A$6:$A$11)&gt;2,PH!$CF20="P"),PH!$CC20,""))</f>
        <v/>
      </c>
      <c r="F20" s="882"/>
      <c r="G20" s="882" t="str">
        <f>IF(PH!$AO$4=2,"",IF(AND(COUNT(PH!$A$6:$A$11)&gt;2,PH!$CF20="P"),PH!$CE20,""))</f>
        <v/>
      </c>
      <c r="H20" s="882"/>
      <c r="I20" s="142"/>
      <c r="J20" s="882" t="str">
        <f>IF(PH!$AO$4=2,"",IF(AND(COUNT(PH!$A$6:$A$11)&gt;2,PH!$CF19="P"),PH!$CC19,""))</f>
        <v/>
      </c>
      <c r="K20" s="882"/>
      <c r="L20" s="882" t="str">
        <f>IF(PH!$AO$4=2,"",IF(AND(COUNT(PH!$A$6:$A$11)&gt;2,PH!$CF19="P"),PH!$CE19,""))</f>
        <v/>
      </c>
      <c r="M20" s="882"/>
      <c r="N20" s="32"/>
      <c r="O20" s="885" t="str">
        <f>IF(PH!W35="NON",AG1,IF(PH!AO4=2,"MATCH 2",IF(PH!AO4&gt;2,_xlfn.XLOOKUP(C23,'LOGOS CLUBS'!$B$2:$B$65,'LOGOS CLUBS'!$C$2:$C$65,C23,0,1),"")))</f>
        <v/>
      </c>
      <c r="P20" s="885"/>
      <c r="Q20" s="885"/>
      <c r="R20" s="885"/>
      <c r="S20" s="32"/>
      <c r="T20" s="882" t="str">
        <f>IF(AND(PH!$AO$4=2,PH!$A19="P"),PH!P19,IF(AND(COUNT(PH!$A$6:$A$11)&gt;2,PH!$CF18="P"),PH!$CC18,""))</f>
        <v/>
      </c>
      <c r="U20" s="882"/>
      <c r="V20" s="882" t="str">
        <f>IF(AND(PH!$AO$4=2,PH!$A19="P"),PH!O19,IF(AND(COUNT(PH!$A$6:$A$11)&gt;2,PH!$CF18="P"),PH!$CE18,""))</f>
        <v/>
      </c>
      <c r="W20" s="882"/>
      <c r="X20" s="142"/>
      <c r="Y20" s="882" t="str">
        <f>IF(PH!$AO$4=2,"",IF(AND(COUNT(PH!$A$6:$A$11)&gt;2,PH!$CF17="P"),PH!$CC17,""))</f>
        <v/>
      </c>
      <c r="Z20" s="882"/>
      <c r="AA20" s="882" t="str">
        <f>IF(PH!$AO$4=2,"",IF(AND(COUNT(PH!$A$6:$A$11)&gt;2,PH!$CF17="P"),PH!$CE17,""))</f>
        <v/>
      </c>
      <c r="AB20" s="882"/>
      <c r="AC20" s="142"/>
      <c r="AD20" s="882" t="str">
        <f>IF(PH!$AO$4=2,"",IF(AND(COUNT(PH!$A$6:$A$11)&gt;2,PH!$CF16="P"),PH!$CC16,""))</f>
        <v/>
      </c>
      <c r="AE20" s="882"/>
      <c r="AF20" s="882" t="str">
        <f>IF(PH!$AO$4=2,"",IF(AND(COUNT(PH!$A$6:$A$11)&gt;2,PH!$CF16="P"),PH!$CE16,""))</f>
        <v/>
      </c>
      <c r="AG20" s="882"/>
      <c r="AH20" s="32"/>
      <c r="AI20" s="32"/>
      <c r="AJ20" s="32"/>
      <c r="AK20" s="882" t="str" cm="1">
        <f t="array" ref="AK20">IF(PH!$AO$4&lt;3,"",IF(_xlfn.XLOOKUP('T PH'!C22,"Licence n° "&amp;PH!$B$6:$B$11,PH!$AO$6:$AO$11,"",0,1)=1,"",_xlfn.XLOOKUP('T PH'!C22,"Licence n° "&amp;PH!$B$6:$B$11,PH!$V$6:$V$11,"",0,1)))</f>
        <v/>
      </c>
      <c r="AL20" s="882"/>
      <c r="AM20" s="879" t="str" cm="1">
        <f t="array" ref="AM20">IF(PH!$AO$4&lt;3,"",IF(_xlfn.XLOOKUP('T PH'!C22,"Licence n° "&amp;PH!$B$6:$B$11,PH!$AO$6:$AO$11,"",0,1)=1,"",_xlfn.XLOOKUP('T PH'!C22,"Licence n° "&amp;PH!$B$6:$B$11,PH!$T$6:$T$11,"",0,1)))</f>
        <v/>
      </c>
      <c r="AN20" s="879"/>
      <c r="AO20" s="32"/>
      <c r="AP20" s="561" t="str" cm="1">
        <f t="array" ref="AP20">IF(PH!$AO$4&lt;3,"",_xlfn.XLOOKUP(C22,"Licence n° "&amp;PH!$B$6:$B$11,PH!$W$6:$W$11,"",0,1))</f>
        <v/>
      </c>
      <c r="AQ20" s="32"/>
      <c r="AS20" s="847" t="s">
        <v>8116</v>
      </c>
      <c r="AT20" s="32"/>
      <c r="AZ20" s="241"/>
    </row>
    <row r="21" spans="1:52" ht="12.6" customHeight="1" x14ac:dyDescent="0.25">
      <c r="A21" s="32"/>
      <c r="B21" s="32"/>
      <c r="C21" s="143" t="str" cm="1">
        <f t="array" ref="C21">IF(PH!$AO$4=2,_xlfn.XLOOKUP(1,PH!$M$6:$M$11,PH!$K$6:$K$11&amp;" "&amp;PH!$AS$6:$AS$11,"",0,1),IF(COUNT(PH!$A$6:$A$11)&gt;2,PH!$K8&amp;" - "&amp;PH!$AS8," "))</f>
        <v xml:space="preserve"> </v>
      </c>
      <c r="D21" s="32"/>
      <c r="E21" s="144" t="str">
        <f>IF(F21="","","Pts")</f>
        <v/>
      </c>
      <c r="F21" s="880" t="str">
        <f>IF(PH!$AO$4=2,"",IF(AND(COUNT(PH!$A$6:$A$11)&gt;2,PH!$CF20="P"),PH!$CG20,""))</f>
        <v/>
      </c>
      <c r="G21" s="880"/>
      <c r="H21" s="144" t="str">
        <f>IF(F21="","","Rep.")</f>
        <v/>
      </c>
      <c r="I21" s="144"/>
      <c r="J21" s="144" t="str">
        <f>IF(K21="","","Pts")</f>
        <v/>
      </c>
      <c r="K21" s="880" t="str">
        <f>IF(PH!$AO$4=2,"",IF(AND(COUNT(PH!$A$6:$A$11)&gt;2,PH!$CF19="P"),PH!$CG19,""))</f>
        <v/>
      </c>
      <c r="L21" s="880"/>
      <c r="M21" s="144" t="str">
        <f>IF(K21="","","Rep.")</f>
        <v/>
      </c>
      <c r="N21" s="32"/>
      <c r="O21" s="885"/>
      <c r="P21" s="885"/>
      <c r="Q21" s="885"/>
      <c r="R21" s="885"/>
      <c r="S21" s="32"/>
      <c r="T21" s="144" t="str">
        <f>IF(U21="","","Pts")</f>
        <v/>
      </c>
      <c r="U21" s="880" t="str">
        <f>IF(PH!$AO$4=2,PH!X19,IF(AND(COUNT(PH!$A$6:$A$11)&gt;2,PH!$CF18="P"),PH!$CG18,""))</f>
        <v/>
      </c>
      <c r="V21" s="880"/>
      <c r="W21" s="144" t="str">
        <f>IF(U21="","","Rep.")</f>
        <v/>
      </c>
      <c r="X21" s="144"/>
      <c r="Y21" s="144" t="str">
        <f>IF(Z21="","","Pts")</f>
        <v/>
      </c>
      <c r="Z21" s="880" t="str">
        <f>IF(PH!$AO$4=2,"",IF(AND(COUNT(PH!$A$6:$A$11)&gt;2,PH!$CF17="P"),PH!$CG17,""))</f>
        <v/>
      </c>
      <c r="AA21" s="880"/>
      <c r="AB21" s="144" t="str">
        <f>IF(Z21="","","Rep.")</f>
        <v/>
      </c>
      <c r="AC21" s="144"/>
      <c r="AD21" s="144" t="str">
        <f>IF(AE21="","","Pts")</f>
        <v/>
      </c>
      <c r="AE21" s="880" t="str">
        <f>IF(PH!$AO$4=2,"",IF(AND(COUNT(PH!$A$6:$A$11)&gt;2,PH!$CF16="P"),PH!$CG16,""))</f>
        <v/>
      </c>
      <c r="AF21" s="880"/>
      <c r="AG21" s="144" t="str">
        <f>IF(AE21="","","Rep.")</f>
        <v/>
      </c>
      <c r="AH21" s="32"/>
      <c r="AI21" s="32"/>
      <c r="AJ21" s="32"/>
      <c r="AK21" s="145" t="str">
        <f>IF(AL21="","","PM")</f>
        <v/>
      </c>
      <c r="AL21" s="881" t="str" cm="1">
        <f t="array" ref="AL21">IF(SUM(PH!$Q$6:$Q$11)=0,"",IF(PH!$AO$4&gt;2,IF(_xlfn.XLOOKUP('T PH'!C22,"Licence n° "&amp;PH!$B$6:$B$11,PH!$AO$6:$AO$11,"",0,1)=1,"Forfait",_xlfn.XLOOKUP('T PH'!C22,"Licence n° "&amp;PH!$B$37:$B$42,PH!$Q$37:$Q$42,"",0,1)),""))</f>
        <v/>
      </c>
      <c r="AM21" s="881"/>
      <c r="AN21" s="145" t="str">
        <f>IF(AL21="","","MGP")</f>
        <v/>
      </c>
      <c r="AO21" s="32"/>
      <c r="AP21" s="151" t="str">
        <f>IF(OR(PH!$AO$4&lt;3,LEFT(PH!$F$13)="F"),"","Pts Rk")</f>
        <v/>
      </c>
      <c r="AQ21" s="32"/>
      <c r="AS21" s="847"/>
      <c r="AT21" s="32"/>
    </row>
    <row r="22" spans="1:52" ht="12.6" customHeight="1" x14ac:dyDescent="0.25">
      <c r="A22" s="32"/>
      <c r="B22" s="32"/>
      <c r="C22" s="147" t="str">
        <f>IF(PH!AO4=2,C12,IF(COUNT(PH!A6:A11)&gt;2,"Licence n° "&amp;PH!B8,"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IF(OR(PH!$AO$4&lt;3,LEFT(PH!$F$13)="F"),"","Bonus")</f>
        <v/>
      </c>
      <c r="AQ22" s="32"/>
      <c r="AS22" s="848" t="s">
        <v>8117</v>
      </c>
      <c r="AT22" s="32"/>
    </row>
    <row r="23" spans="1:52" ht="50.1" customHeight="1" x14ac:dyDescent="0.25">
      <c r="A23" s="32"/>
      <c r="B23" s="32"/>
      <c r="C23" s="149" t="str">
        <f>IF(PH!AO4=2,C13,IF(COUNT(PH!A6:A11)&gt;2,PH!G8," "))</f>
        <v xml:space="preserve"> </v>
      </c>
      <c r="D23" s="32"/>
      <c r="E23" s="883" t="str">
        <f>IF(F21="","",IF(F21&gt;0,E20/G20,"/"))</f>
        <v/>
      </c>
      <c r="F23" s="883"/>
      <c r="G23" s="884" t="str">
        <f>IF(PH!$AO$4=2,"",IF(AND(COUNT(PH!$A$6:$A$11)&gt;2,PH!$CF20="P"),PH!$CD20,""))</f>
        <v/>
      </c>
      <c r="H23" s="884"/>
      <c r="I23" s="32"/>
      <c r="J23" s="883" t="str">
        <f>IF(K21="","",IF(K21&gt;0,J20/L20,"/"))</f>
        <v/>
      </c>
      <c r="K23" s="883"/>
      <c r="L23" s="884" t="str">
        <f>IF(PH!$AO$4=2,"",IF(AND(COUNT(PH!$A$6:$A$11)&gt;2,PH!$CF19="P"),PH!$CD19,""))</f>
        <v/>
      </c>
      <c r="M23" s="884"/>
      <c r="N23" s="32"/>
      <c r="O23" s="885"/>
      <c r="P23" s="885"/>
      <c r="Q23" s="885"/>
      <c r="R23" s="885"/>
      <c r="S23" s="32"/>
      <c r="T23" s="883" t="str">
        <f>IF(U21="","",IF(U21&gt;0,T20/V20,"/"))</f>
        <v/>
      </c>
      <c r="U23" s="883"/>
      <c r="V23" s="884" t="str">
        <f>IF(AND(PH!$AO$4=2,PH!$A19="P"),PH!Q19,IF(AND(COUNT(PH!$A$6:$A$11)&gt;2,PH!$CF18="P"),PH!$CD18,""))</f>
        <v/>
      </c>
      <c r="W23" s="884"/>
      <c r="X23" s="32"/>
      <c r="Y23" s="883" t="str">
        <f>IF(Z21="","",IF(Z21&gt;0,Y20/AA20,"/"))</f>
        <v/>
      </c>
      <c r="Z23" s="883"/>
      <c r="AA23" s="884" t="str">
        <f>IF(PH!$AO$4=2,"",IF(AND(COUNT(PH!$A$6:$A$11)&gt;2,PH!$CF17="P"),PH!$CD17,""))</f>
        <v/>
      </c>
      <c r="AB23" s="884"/>
      <c r="AC23" s="32"/>
      <c r="AD23" s="883" t="str">
        <f>IF(AE21="","",IF(AE21&gt;0,AD20/AF20,"/"))</f>
        <v/>
      </c>
      <c r="AE23" s="883"/>
      <c r="AF23" s="884" t="str">
        <f>IF(PH!$AO$4=2,"",IF(AND(COUNT(PH!$A$6:$A$11)&gt;2,PH!$CF16="P"),PH!$CD16,""))</f>
        <v/>
      </c>
      <c r="AG23" s="884"/>
      <c r="AH23" s="32"/>
      <c r="AI23" s="32"/>
      <c r="AJ23" s="32"/>
      <c r="AK23" s="883" t="str" cm="1">
        <f t="array" ref="AK23">IF(PH!$AO$4&lt;3,"",IF(_xlfn.XLOOKUP('T PH'!C22,"Licence n° "&amp;PH!$B$6:$B$11,PH!$AO$6:$AO$11,"",0,1)=1,"",_xlfn.XLOOKUP('T PH'!C22,"Licence n° "&amp;PH!$B$6:$B$11,PH!$U$6:$U$11,"",0,1)))</f>
        <v/>
      </c>
      <c r="AL23" s="883"/>
      <c r="AM23" s="884" t="str" cm="1">
        <f t="array" ref="AM23">IF(PH!$AO$4&lt;3,"",IF(_xlfn.XLOOKUP('T PH'!C22,"Licence n° "&amp;PH!$B$6:$B$11,PH!$AO$6:$AO$11,"",0,1)=1,"",_xlfn.XLOOKUP('T PH'!C22,"Licence n° "&amp;PH!$B$6:$B$11,PH!$S$6:$S$11,"",0,1)))</f>
        <v/>
      </c>
      <c r="AN23" s="884"/>
      <c r="AO23" s="32"/>
      <c r="AP23" s="562" t="str" cm="1">
        <f t="array" ref="AP23">IF(PH!$AO$4&lt;3,"",_xlfn.XLOOKUP(C22,"Licence n° "&amp;PH!$B$6:$B$11,PH!$X$6:$X$11,"",0,1))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IF(PH!AO4=2,C15,IF(COUNT(PH!A6:A11)&gt;3,CONCATENATE(PH!C9," ",LEFT(PH!E9),"."),""))</f>
        <v/>
      </c>
      <c r="D25" s="32"/>
      <c r="E25" s="882" t="str">
        <f>IF(PH!$AO$4=2,"",IF(AND(COUNT(PH!$A$6:$A$11)&gt;2,PH!$CF25="P"),PH!$CC25,""))</f>
        <v/>
      </c>
      <c r="F25" s="882"/>
      <c r="G25" s="882" t="str">
        <f>IF(PH!$AO$4=2,"",IF(AND(COUNT(PH!$A$6:$A$11)&gt;2,PH!$CF25="P"),PH!$CE25,""))</f>
        <v/>
      </c>
      <c r="H25" s="882"/>
      <c r="I25" s="142"/>
      <c r="J25" s="882" t="str">
        <f>IF(PH!$AO$4=2,"",IF(AND(COUNT(PH!$A$6:$A$11)&gt;2,PH!$CF24="P"),PH!$CC24,""))</f>
        <v/>
      </c>
      <c r="K25" s="882"/>
      <c r="L25" s="882" t="str">
        <f>IF(PH!$AO$4=2,"",IF(AND(COUNT(PH!$A$6:$A$11)&gt;2,PH!$CF24="P"),PH!$CE24,""))</f>
        <v/>
      </c>
      <c r="M25" s="882"/>
      <c r="N25" s="142"/>
      <c r="O25" s="882" t="str">
        <f>IF(AND(PH!$AO$4=2,PH!$A19="P"),PH!N19,IF(AND(COUNT(PH!$A$6:$A$11)&gt;2,PH!$CF23="P"),PH!$CC23,""))</f>
        <v/>
      </c>
      <c r="P25" s="882"/>
      <c r="Q25" s="882" t="str">
        <f>IF(AND(PH!$AO$4=2,PH!$A19="P"),PH!O19,IF(AND(COUNT(PH!$A$6:$A$11)&gt;2,PH!$CF23="P"),PH!$CE23,""))</f>
        <v/>
      </c>
      <c r="R25" s="882"/>
      <c r="S25" s="32"/>
      <c r="T25" s="886" t="str">
        <f>IF(PH!W35="NON",AG1,IF(OR(PH!AO4=2,COUNT(PH!A6:A11)&gt;3),_xlfn.XLOOKUP('T PH'!C28,'LOGOS CLUBS'!$B$2:$B$65,'LOGOS CLUBS'!$C$2:$C$65,C28,0,1),""))</f>
        <v/>
      </c>
      <c r="U25" s="886"/>
      <c r="V25" s="886"/>
      <c r="W25" s="886"/>
      <c r="X25" s="32"/>
      <c r="Y25" s="882" t="str">
        <f>IF(PH!$AO$4=2,"",IF(AND(COUNT(PH!$A$6:$A$11)&gt;2,PH!$CF22="P"),PH!$CC22,""))</f>
        <v/>
      </c>
      <c r="Z25" s="882"/>
      <c r="AA25" s="882" t="str">
        <f>IF(PH!$AO$4=2,"",IF(AND(COUNT(PH!$A$6:$A$11)&gt;2,PH!$CF22="P"),PH!$CE22,""))</f>
        <v/>
      </c>
      <c r="AB25" s="882"/>
      <c r="AC25" s="142"/>
      <c r="AD25" s="882" t="str">
        <f>IF(PH!$AO$4=2,"",IF(AND(COUNT(PH!$A$6:$A$11)&gt;2,PH!$CF21="P"),PH!$CC21,""))</f>
        <v/>
      </c>
      <c r="AE25" s="882"/>
      <c r="AF25" s="882" t="str">
        <f>IF(PH!$AO$4=2,"",IF(AND(COUNT(PH!$A$6:$A$11)&gt;2,PH!$CF21="P"),PH!$CE21,""))</f>
        <v/>
      </c>
      <c r="AG25" s="882"/>
      <c r="AH25" s="32"/>
      <c r="AI25" s="32"/>
      <c r="AJ25" s="32"/>
      <c r="AK25" s="882" t="str" cm="1">
        <f t="array" ref="AK25">IF(PH!$AO$4&lt;3,"",IF(_xlfn.XLOOKUP('T PH'!C27,"Licence n° "&amp;PH!$B$6:$B$11,PH!$AO$6:$AO$11,"",0,1)=1,"",_xlfn.XLOOKUP('T PH'!C27,"Licence n° "&amp;PH!$B$6:$B$11,PH!$V$6:$V$11,"",0,1)))</f>
        <v/>
      </c>
      <c r="AL25" s="882"/>
      <c r="AM25" s="879" t="str" cm="1">
        <f t="array" ref="AM25">IF(PH!$AO$4&lt;3,"",IF(_xlfn.XLOOKUP('T PH'!C27,"Licence n° "&amp;PH!$B$6:$B$11,PH!$AO$6:$AO$11,"",0,1)=1,"",_xlfn.XLOOKUP('T PH'!C27,"Licence n° "&amp;PH!$B$6:$B$11,PH!$T$6:$T$11,"",0,1)))</f>
        <v/>
      </c>
      <c r="AN25" s="879"/>
      <c r="AO25" s="32"/>
      <c r="AP25" s="561" t="str" cm="1">
        <f t="array" ref="AP25">IF(OR(PH!AO4&lt;3,COUNT(PH!$A$6:$A$11&lt;3)),"",_xlfn.XLOOKUP(C27,"Licence n° "&amp;PH!$B$6:$B$11,PH!$W$6:$W$11,"",0,1))</f>
        <v/>
      </c>
      <c r="AQ25" s="32"/>
      <c r="AS25" s="849" t="s">
        <v>8118</v>
      </c>
      <c r="AT25" s="32"/>
    </row>
    <row r="26" spans="1:52" ht="12.6" customHeight="1" x14ac:dyDescent="0.25">
      <c r="A26" s="32"/>
      <c r="B26" s="32"/>
      <c r="C26" s="143" t="str" cm="1">
        <f t="array" ref="C26">IF(PH!$AO$4=2,_xlfn.XLOOKUP(2,PH!$M$6:$M$11,PH!$K$6:$K$11&amp;" "&amp;PH!$AS$6:$AS$11,"",0,1),IF(COUNT(PH!$A$6:$A$11)&gt;3,PH!$K9&amp;" - "&amp;PH!$AS9," "))</f>
        <v xml:space="preserve"> </v>
      </c>
      <c r="D26" s="32"/>
      <c r="E26" s="144" t="str">
        <f>IF(F26="","","Pts")</f>
        <v/>
      </c>
      <c r="F26" s="880" t="str">
        <f>IF(PH!$AO$4=2,"",IF(AND(COUNT(PH!$A$6:$A$11)&gt;2,PH!$CF25="P"),PH!$CG25,""))</f>
        <v/>
      </c>
      <c r="G26" s="880"/>
      <c r="H26" s="144" t="str">
        <f>IF(F26="","","Rep.")</f>
        <v/>
      </c>
      <c r="I26" s="144"/>
      <c r="J26" s="144" t="str">
        <f>IF(K26="","","Pts")</f>
        <v/>
      </c>
      <c r="K26" s="880" t="str">
        <f>IF(PH!$AO$4=2,"",IF(AND(COUNT(PH!$A$6:$A$11)&gt;2,PH!$CF24="P"),PH!$CG24,""))</f>
        <v/>
      </c>
      <c r="L26" s="880"/>
      <c r="M26" s="144" t="str">
        <f>IF(K26="","","Rep.")</f>
        <v/>
      </c>
      <c r="N26" s="144"/>
      <c r="O26" s="144" t="str">
        <f>IF(P26="","","Pts")</f>
        <v/>
      </c>
      <c r="P26" s="880" t="str">
        <f>IF(PH!$AO$4=2,PH!D19,IF(AND(COUNT(PH!$A$6:$A$11)&gt;2,PH!$CF23="P"),PH!$CG23,""))</f>
        <v/>
      </c>
      <c r="Q26" s="880"/>
      <c r="R26" s="144" t="str">
        <f>IF(P26="","","Rep.")</f>
        <v/>
      </c>
      <c r="S26" s="32"/>
      <c r="T26" s="886"/>
      <c r="U26" s="886"/>
      <c r="V26" s="886"/>
      <c r="W26" s="886"/>
      <c r="X26" s="32"/>
      <c r="Y26" s="144" t="str">
        <f>IF(Z26="","","Pts")</f>
        <v/>
      </c>
      <c r="Z26" s="880" t="str">
        <f>IF(PH!$AO$4=2,"",IF(AND(COUNT(PH!$A$6:$A$11)&gt;2,PH!$CF22="P"),PH!$CG22,""))</f>
        <v/>
      </c>
      <c r="AA26" s="880"/>
      <c r="AB26" s="144" t="str">
        <f>IF(Z26="","","Rep.")</f>
        <v/>
      </c>
      <c r="AC26" s="144"/>
      <c r="AD26" s="144" t="str">
        <f>IF(AE26="","","Pts")</f>
        <v/>
      </c>
      <c r="AE26" s="880" t="str">
        <f>IF(PH!$AO$4=2,"",IF(AND(COUNT(PH!$A$6:$A$11)&gt;2,PH!$CF21="P"),PH!$CG21,""))</f>
        <v/>
      </c>
      <c r="AF26" s="880"/>
      <c r="AG26" s="144" t="str">
        <f>IF(AE26="","","Rep.")</f>
        <v/>
      </c>
      <c r="AH26" s="32"/>
      <c r="AI26" s="32"/>
      <c r="AJ26" s="32"/>
      <c r="AK26" s="145" t="str">
        <f>IF(AL26="","","PM")</f>
        <v/>
      </c>
      <c r="AL26" s="881" t="str" cm="1">
        <f t="array" ref="AL26">IF(SUM(PH!$Q$6:$Q$11)=0,"",IF(PH!$AO$4&gt;2,IF(_xlfn.XLOOKUP('T PH'!C27,"Licence n° "&amp;PH!$B$6:$B$11,PH!$AO$6:$AO$11,"",0,1)=1,"Forfait",_xlfn.XLOOKUP('T PH'!C27,"Licence n° "&amp;PH!$B$37:$B$42,PH!$Q$37:$Q$42,"",0,1)),""))</f>
        <v/>
      </c>
      <c r="AM26" s="881"/>
      <c r="AN26" s="145" t="str">
        <f>IF(AL26="","","MGP")</f>
        <v/>
      </c>
      <c r="AO26" s="32"/>
      <c r="AP26" s="151" t="str">
        <f>IF(AND(COUNT(PH!$A$6:$A$11)&gt;3,PH!$AO$4&gt;2,LEFT(PH!$F$13)="P"),"Pts Rk","")</f>
        <v/>
      </c>
      <c r="AQ26" s="32"/>
      <c r="AS26" s="849"/>
      <c r="AT26" s="32"/>
    </row>
    <row r="27" spans="1:52" ht="12.6" customHeight="1" x14ac:dyDescent="0.25">
      <c r="A27" s="32"/>
      <c r="B27" s="32"/>
      <c r="C27" s="147" t="str">
        <f>IF(PH!AO4=2,C17,IF(COUNT(PH!A6:A11)&gt;3,"Licence n° "&amp;PH!B9,"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IF(AND(COUNT(PH!$A$6:$A$11)&gt;3,PH!$AO$4&gt;2,LEFT(PH!$F$13)="P"),"Bonus","")</f>
        <v/>
      </c>
      <c r="AQ27" s="32"/>
      <c r="AS27" s="829" t="s">
        <v>8119</v>
      </c>
      <c r="AT27" s="32"/>
    </row>
    <row r="28" spans="1:52" ht="50.1" customHeight="1" x14ac:dyDescent="0.25">
      <c r="A28" s="32"/>
      <c r="B28" s="32"/>
      <c r="C28" s="149" t="str">
        <f>IF(PH!AO4=2,C18,IF(COUNT(PH!A6:A11)&gt;3,PH!G9," "))</f>
        <v xml:space="preserve"> </v>
      </c>
      <c r="D28" s="32"/>
      <c r="E28" s="883" t="str">
        <f>IF(F26="","",IF(F26&gt;0,E25/G25,"/"))</f>
        <v/>
      </c>
      <c r="F28" s="883"/>
      <c r="G28" s="884" t="str">
        <f>IF(PH!$AO$4=2,"",IF(AND(COUNT(PH!$A$6:$A$11)&gt;2,PH!$CF25="P"),PH!$CD25,""))</f>
        <v/>
      </c>
      <c r="H28" s="884"/>
      <c r="I28" s="32"/>
      <c r="J28" s="883" t="str">
        <f>IF(K26="","",IF(K26&gt;0,J25/L25,"/"))</f>
        <v/>
      </c>
      <c r="K28" s="883"/>
      <c r="L28" s="884" t="str">
        <f>IF(PH!$AO$4=2,"",IF(AND(COUNT(PH!$A$6:$A$11)&gt;2,PH!$CF24="P"),PH!$CD24,""))</f>
        <v/>
      </c>
      <c r="M28" s="884"/>
      <c r="N28" s="32"/>
      <c r="O28" s="883" t="str">
        <f>IF(P26="","",IF(P26&gt;0,O25/Q25,"/"))</f>
        <v/>
      </c>
      <c r="P28" s="883"/>
      <c r="Q28" s="884" t="str">
        <f>IF(AND(PH!$AO$4=2,PH!$A19="P"),PH!M19,IF(AND(COUNT(PH!$A$6:$A$11)&gt;2,PH!$CF23="P"),PH!$CD23,""))</f>
        <v/>
      </c>
      <c r="R28" s="884"/>
      <c r="S28" s="32"/>
      <c r="T28" s="886"/>
      <c r="U28" s="886"/>
      <c r="V28" s="886"/>
      <c r="W28" s="886"/>
      <c r="X28" s="32"/>
      <c r="Y28" s="883" t="str">
        <f>IF(Z26="","",IF(Z26&gt;0,Y25/AA25,"/"))</f>
        <v/>
      </c>
      <c r="Z28" s="883"/>
      <c r="AA28" s="884" t="str">
        <f>IF(PH!$AO$4=2,"",IF(AND(COUNT(PH!$A$6:$A$11)&gt;2,PH!$CF22="P"),PH!$CD22,""))</f>
        <v/>
      </c>
      <c r="AB28" s="884"/>
      <c r="AC28" s="32"/>
      <c r="AD28" s="883" t="str">
        <f>IF(AE26="","",IF(AE26&gt;0,AD25/AF25,"/"))</f>
        <v/>
      </c>
      <c r="AE28" s="883"/>
      <c r="AF28" s="884" t="str">
        <f>IF(PH!$AO$4=2,"",IF(AND(COUNT(PH!$A$6:$A$11)&gt;2,PH!$CF21="P"),PH!$CD21,""))</f>
        <v/>
      </c>
      <c r="AG28" s="884"/>
      <c r="AH28" s="32"/>
      <c r="AI28" s="32"/>
      <c r="AJ28" s="32"/>
      <c r="AK28" s="883" t="str" cm="1">
        <f t="array" ref="AK28">IF(PH!$AO$4&lt;3,"",IF(_xlfn.XLOOKUP('T PH'!C27,"Licence n° "&amp;PH!$B$6:$B$11,PH!$AO$6:$AO$11,"",0,1)=1,"",_xlfn.XLOOKUP('T PH'!C27,"Licence n° "&amp;PH!$B$6:$B$11,PH!$U$6:$U$11,"",0,1)))</f>
        <v/>
      </c>
      <c r="AL28" s="883"/>
      <c r="AM28" s="884" t="str" cm="1">
        <f t="array" ref="AM28">IF(PH!$AO$4&lt;3,"",IF(_xlfn.XLOOKUP('T PH'!C27,"Licence n° "&amp;PH!$B$6:$B$11,PH!$AO$6:$AO$11,"",0,1)=1,"",_xlfn.XLOOKUP('T PH'!C27,"Licence n° "&amp;PH!$B$6:$B$11,PH!$S$6:$S$11,"",0,1)))</f>
        <v/>
      </c>
      <c r="AN28" s="884"/>
      <c r="AO28" s="32"/>
      <c r="AP28" s="562" t="str" cm="1">
        <f t="array" ref="AP28">IF(OR(PH!AO4&lt;3,COUNT(PH!$A$6:$A$11)&lt;4),"",_xlfn.XLOOKUP(C27,"Licence n° "&amp;PH!$B$6:$B$11,PH!$X$6:$X$11,"",0,1))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IF(PH!AO4=2,"",IF(COUNT(PH!A6:A11)&gt;4,CONCATENATE(PH!C10," ",LEFT(PH!E10),"."),""))</f>
        <v/>
      </c>
      <c r="D30" s="32"/>
      <c r="E30" s="882" t="str">
        <f>IF(PH!$AO$4=2,"",IF(AND(COUNT(PH!$A$6:$A$11)&gt;2,PH!$CF30="P"),PH!$CC30,""))</f>
        <v/>
      </c>
      <c r="F30" s="882"/>
      <c r="G30" s="882" t="str">
        <f>IF(PH!$AO$4=2,"",IF(AND(COUNT(PH!$A$6:$A$11)&gt;2,PH!$CF30="P"),PH!$CE30,""))</f>
        <v/>
      </c>
      <c r="H30" s="882"/>
      <c r="I30" s="142"/>
      <c r="J30" s="882" t="str">
        <f>IF(PH!$AO$4=2,"",IF(AND(COUNT(PH!$A$6:$A$11)&gt;2,PH!$CF29="P"),PH!$CC29,""))</f>
        <v/>
      </c>
      <c r="K30" s="882"/>
      <c r="L30" s="882" t="str">
        <f>IF(PH!$AO$4=2,"",IF(AND(COUNT(PH!$A$6:$A$11)&gt;2,PH!$CF29="P"),PH!$CE29,""))</f>
        <v/>
      </c>
      <c r="M30" s="882"/>
      <c r="N30" s="142"/>
      <c r="O30" s="882" t="str">
        <f>IF(PH!$AO$4=2,"",IF(AND(COUNT(PH!$A$6:$A$11)&gt;2,PH!$CF28="P"),PH!$CC28,""))</f>
        <v/>
      </c>
      <c r="P30" s="882"/>
      <c r="Q30" s="882" t="str">
        <f>IF(PH!$AO$4=2,"",IF(AND(COUNT(PH!$A$6:$A$11)&gt;2,PH!$CF28="P"),PH!$CE28,""))</f>
        <v/>
      </c>
      <c r="R30" s="882"/>
      <c r="S30" s="142"/>
      <c r="T30" s="882" t="str">
        <f>IF(PH!$AO$4=2,"",IF(AND(COUNT(PH!$A$6:$A$11)&gt;2,PH!$CF27="P"),PH!$CC27,""))</f>
        <v/>
      </c>
      <c r="U30" s="882"/>
      <c r="V30" s="882" t="str">
        <f>IF(PH!$AO$4=2,"",IF(AND(COUNT(PH!$A$6:$A$11)&gt;2,PH!$CF27="P"),PH!$CE27,""))</f>
        <v/>
      </c>
      <c r="W30" s="882"/>
      <c r="X30" s="32"/>
      <c r="Y30" s="887" t="str">
        <f>IF(PH!W35="NON",AG1,IF(PH!AO4=2,"",IF(COUNT(PH!A6:A11)&gt;4,_xlfn.XLOOKUP('T PH'!C33,'LOGOS CLUBS'!$B$2:$B$65,'LOGOS CLUBS'!$C$2:$C$65,C33,0,1),"")))</f>
        <v/>
      </c>
      <c r="Z30" s="887"/>
      <c r="AA30" s="887"/>
      <c r="AB30" s="887"/>
      <c r="AC30" s="32"/>
      <c r="AD30" s="882" t="str">
        <f>IF(PH!$AO$4=2,"",IF(AND(COUNT(PH!$A$6:$A$11)&gt;2,PH!$CF26="P"),PH!$CC26,""))</f>
        <v/>
      </c>
      <c r="AE30" s="882"/>
      <c r="AF30" s="882" t="str">
        <f>IF(PH!$AO$4=2,"",IF(AND(COUNT(PH!$A$6:$A$11)&gt;2,PH!$CF26="P"),PH!$CE26,""))</f>
        <v/>
      </c>
      <c r="AG30" s="882"/>
      <c r="AH30" s="32"/>
      <c r="AI30" s="32"/>
      <c r="AJ30" s="32"/>
      <c r="AK30" s="882" t="str" cm="1">
        <f t="array" ref="AK30">IF(PH!$AO$4&lt;3,"",IF(_xlfn.XLOOKUP('T PH'!C32,"Licence n° "&amp;PH!$B$6:$B$11,PH!$AO$6:$AO$11,"",0,1)=1,"",_xlfn.XLOOKUP('T PH'!C32,"Licence n° "&amp;PH!$B$6:$B$11,PH!$V$6:$V$11,"",0,1)))</f>
        <v/>
      </c>
      <c r="AL30" s="882"/>
      <c r="AM30" s="879" t="str" cm="1">
        <f t="array" ref="AM30">IF(PH!$AO$4&lt;3,"",IF(_xlfn.XLOOKUP('T PH'!C32,"Licence n° "&amp;PH!$B$6:$B$11,PH!$AO$6:$AO$11,"",0,1)=1,"",_xlfn.XLOOKUP('T PH'!C32,"Licence n° "&amp;PH!$B$6:$B$11,PH!$T$6:$T$11,"",0,1)))</f>
        <v/>
      </c>
      <c r="AN30" s="879"/>
      <c r="AO30" s="32"/>
      <c r="AP30" s="561" t="str" cm="1">
        <f t="array" ref="AP30">_xlfn.XLOOKUP(C32,"Licence n° "&amp;PH!$B$6:$B$11,PH!$W$6:$W$11,"",0,1)</f>
        <v/>
      </c>
      <c r="AQ30" s="32"/>
      <c r="AS30" s="830" t="s">
        <v>8120</v>
      </c>
      <c r="AT30" s="32"/>
    </row>
    <row r="31" spans="1:52" ht="12.6" customHeight="1" x14ac:dyDescent="0.25">
      <c r="A31" s="32"/>
      <c r="B31" s="32"/>
      <c r="C31" s="143" t="str">
        <f>IF(PH!$AO$4=2,"",IF(COUNT(PH!$A$6:$A$11)&gt;4,PH!$K10&amp;" - "&amp;PH!$AS10," "))</f>
        <v xml:space="preserve"> </v>
      </c>
      <c r="D31" s="32"/>
      <c r="E31" s="144" t="str">
        <f>IF(F31="","","Pts")</f>
        <v/>
      </c>
      <c r="F31" s="880" t="str">
        <f>IF(PH!$AO$4=2,"",IF(AND(COUNT(PH!$A$6:$A$11)&gt;2,PH!$CF30="P"),PH!$CG30,""))</f>
        <v/>
      </c>
      <c r="G31" s="880"/>
      <c r="H31" s="144" t="str">
        <f>IF(F31="","","Rep.")</f>
        <v/>
      </c>
      <c r="I31" s="144"/>
      <c r="J31" s="144" t="str">
        <f>IF(K31="","","Pts")</f>
        <v/>
      </c>
      <c r="K31" s="880" t="str">
        <f>IF(PH!$AO$4=2,"",IF(AND(COUNT(PH!$A$6:$A$11)&gt;2,PH!$CF29="P"),PH!$CG29,""))</f>
        <v/>
      </c>
      <c r="L31" s="880"/>
      <c r="M31" s="144" t="str">
        <f>IF(K31="","","Rep.")</f>
        <v/>
      </c>
      <c r="N31" s="144"/>
      <c r="O31" s="144" t="str">
        <f>IF(P31="","","Pts")</f>
        <v/>
      </c>
      <c r="P31" s="880" t="str">
        <f>IF(PH!$AO$4=2,"",IF(AND(COUNT(PH!$A$6:$A$11)&gt;2,PH!$CF28="P"),PH!$CG28,""))</f>
        <v/>
      </c>
      <c r="Q31" s="880"/>
      <c r="R31" s="144" t="str">
        <f>IF(P31="","","Rep.")</f>
        <v/>
      </c>
      <c r="S31" s="144"/>
      <c r="T31" s="144" t="str">
        <f>IF(U31="","","Pts")</f>
        <v/>
      </c>
      <c r="U31" s="880" t="str">
        <f>IF(PH!$AO$4=2,"",IF(AND(COUNT(PH!$A$6:$A$11)&gt;2,PH!$CF27="P"),PH!$CG27,""))</f>
        <v/>
      </c>
      <c r="V31" s="880"/>
      <c r="W31" s="144" t="str">
        <f>IF(U31="","","Rep.")</f>
        <v/>
      </c>
      <c r="X31" s="32"/>
      <c r="Y31" s="887"/>
      <c r="Z31" s="887"/>
      <c r="AA31" s="887"/>
      <c r="AB31" s="887"/>
      <c r="AC31" s="32"/>
      <c r="AD31" s="144" t="str">
        <f>IF(AE31="","","Pts")</f>
        <v/>
      </c>
      <c r="AE31" s="880" t="str">
        <f>IF(PH!$AO$4=2,"",IF(AND(COUNT(PH!$A$6:$A$11)&gt;2,PH!$CF26="P"),PH!$CG26,""))</f>
        <v/>
      </c>
      <c r="AF31" s="880"/>
      <c r="AG31" s="144" t="str">
        <f>IF(AE31="","","Rep.")</f>
        <v/>
      </c>
      <c r="AH31" s="32"/>
      <c r="AI31" s="32"/>
      <c r="AJ31" s="32"/>
      <c r="AK31" s="145" t="str">
        <f>IF(AL31="","","PM")</f>
        <v/>
      </c>
      <c r="AL31" s="881" t="str" cm="1">
        <f t="array" ref="AL31">IF(SUM(PH!$Q$6:$Q$11)=0,"",IF(PH!$AO$4&gt;2,IF(_xlfn.XLOOKUP('T PH'!C32,"Licence n° "&amp;PH!$B$6:$B$11,PH!$AO$6:$AO$11,"",0,1)=1,"Forfait",_xlfn.XLOOKUP('T PH'!C32,"Licence n° "&amp;PH!$B$37:$B$42,PH!$Q$37:$Q$42,"",0,1)),""))</f>
        <v/>
      </c>
      <c r="AM31" s="881"/>
      <c r="AN31" s="145" t="str">
        <f>IF(AL31="","","MGP")</f>
        <v/>
      </c>
      <c r="AO31" s="32"/>
      <c r="AP31" s="151" t="str">
        <f>IF(AND(COUNT(PH!$A$6:$A$11)&gt;4,PH!$AO$4&gt;2,LEFT(PH!$F$13)="P"),"Pts Rk","")</f>
        <v/>
      </c>
      <c r="AQ31" s="32"/>
      <c r="AS31" s="830"/>
      <c r="AT31" s="32"/>
    </row>
    <row r="32" spans="1:52" ht="12.6" customHeight="1" x14ac:dyDescent="0.25">
      <c r="A32" s="32"/>
      <c r="B32" s="32"/>
      <c r="C32" s="147" t="str">
        <f>IF(PH!AO4=2,"",IF(COUNT(PH!A6:A11)&gt;4,"Licence n° "&amp;PH!B10,"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IF(AND(COUNT(PH!$A$6:$A$11)&gt;4,PH!$AO$4&gt;2,LEFT(PH!$F$13)="P"),"Bonus","")</f>
        <v/>
      </c>
      <c r="AQ32" s="32"/>
      <c r="AS32" s="831" t="s">
        <v>8121</v>
      </c>
      <c r="AT32" s="32"/>
    </row>
    <row r="33" spans="1:46" ht="50.1" customHeight="1" x14ac:dyDescent="0.25">
      <c r="A33" s="32"/>
      <c r="B33" s="32"/>
      <c r="C33" s="149" t="str">
        <f>IF(PH!AO4=2,"",IF(COUNT(PH!A6:A11)&gt;4,PH!G10," "))</f>
        <v xml:space="preserve"> </v>
      </c>
      <c r="D33" s="32"/>
      <c r="E33" s="883" t="str">
        <f>IF(F31="","",IF(F31&gt;0,E30/G30,"/"))</f>
        <v/>
      </c>
      <c r="F33" s="883"/>
      <c r="G33" s="884" t="str">
        <f>IF(PH!$AO$4=2,"",IF(AND(COUNT(PH!$A$6:$A$11)&gt;2,PH!$CF30="P"),PH!$CD30,""))</f>
        <v/>
      </c>
      <c r="H33" s="884"/>
      <c r="I33" s="32"/>
      <c r="J33" s="883" t="str">
        <f>IF(K31="","",IF(K31&gt;0,J30/L30,"/"))</f>
        <v/>
      </c>
      <c r="K33" s="883"/>
      <c r="L33" s="884" t="str">
        <f>IF(PH!$AO$4=2,"",IF(AND(COUNT(PH!$A$6:$A$11)&gt;2,PH!$CF29="P"),PH!$CD29,""))</f>
        <v/>
      </c>
      <c r="M33" s="884"/>
      <c r="N33" s="32"/>
      <c r="O33" s="883" t="str">
        <f>IF(P31="","",IF(P31&gt;0,O30/Q30,"/"))</f>
        <v/>
      </c>
      <c r="P33" s="883"/>
      <c r="Q33" s="884" t="str">
        <f>IF(PH!$AO$4=2,"",IF(AND(COUNT(PH!$A$6:$A$11)&gt;2,PH!$CF28="P"),PH!$CD28,""))</f>
        <v/>
      </c>
      <c r="R33" s="884"/>
      <c r="S33" s="32"/>
      <c r="T33" s="883" t="str">
        <f>IF(U31="","",IF(U31&gt;0,T30/V30,"/"))</f>
        <v/>
      </c>
      <c r="U33" s="883"/>
      <c r="V33" s="884" t="str">
        <f>IF(PH!$AO$4=2,"",IF(AND(COUNT(PH!$A$6:$A$11)&gt;2,PH!$CF27="P"),PH!$CD27,""))</f>
        <v/>
      </c>
      <c r="W33" s="884"/>
      <c r="X33" s="32"/>
      <c r="Y33" s="887"/>
      <c r="Z33" s="887"/>
      <c r="AA33" s="887"/>
      <c r="AB33" s="887"/>
      <c r="AC33" s="32"/>
      <c r="AD33" s="883" t="str">
        <f>IF(AE31="","",IF(AE31&gt;0,AD30/AF30,"/"))</f>
        <v/>
      </c>
      <c r="AE33" s="883"/>
      <c r="AF33" s="884" t="str">
        <f>IF(PH!$AO$4=2,"",IF(AND(COUNT(PH!$A$6:$A$11)&gt;2,PH!$CF26="P"),PH!$CD26,""))</f>
        <v/>
      </c>
      <c r="AG33" s="884"/>
      <c r="AH33" s="32"/>
      <c r="AI33" s="32"/>
      <c r="AJ33" s="32"/>
      <c r="AK33" s="883" t="str" cm="1">
        <f t="array" ref="AK33">IF(PH!$AO$4&lt;3,"",IF(_xlfn.XLOOKUP('T PH'!C32,"Licence n° "&amp;PH!$B$6:$B$11,PH!$AO$6:$AO$11,"",0,1)=1,"",_xlfn.XLOOKUP('T PH'!C32,"Licence n° "&amp;PH!$B$6:$B$11,PH!$U$6:$U$11,"",0,1)))</f>
        <v/>
      </c>
      <c r="AL33" s="883"/>
      <c r="AM33" s="884" t="str" cm="1">
        <f t="array" ref="AM33">IF(PH!$AO$4&lt;3,"",IF(_xlfn.XLOOKUP('T PH'!C32,"Licence n° "&amp;PH!$B$6:$B$11,PH!$AO$6:$AO$11,"",0,1)=1,"",_xlfn.XLOOKUP('T PH'!C32,"Licence n° "&amp;PH!$B$6:$B$11,PH!$S$6:$S$11,"",0,1)))</f>
        <v/>
      </c>
      <c r="AN33" s="884"/>
      <c r="AO33" s="32"/>
      <c r="AP33" s="562" t="str" cm="1">
        <f t="array" ref="AP33">_xlfn.XLOOKUP(C32,"Licence n° "&amp;PH!$B$6:$B$11,PH!$X$6:$X$11,"",0,1)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IF(PH!AO4=2,"",IF(COUNT(PH!A6:A11)&gt;5,CONCATENATE(PH!C11," ",LEFT(PH!E11),"."),""))</f>
        <v/>
      </c>
      <c r="D35" s="32"/>
      <c r="E35" s="882" t="str">
        <f>IF(PH!$AO$4=2,"",IF(AND(COUNT(PH!$A$6:$A$11)&gt;2,PH!$CF35="P"),PH!$CC35,""))</f>
        <v/>
      </c>
      <c r="F35" s="882"/>
      <c r="G35" s="882" t="str">
        <f>IF(PH!$AO$4=2,"",IF(AND(COUNT(PH!$A$6:$A$11)&gt;2,PH!$CF35="P"),PH!$CE35,""))</f>
        <v/>
      </c>
      <c r="H35" s="882"/>
      <c r="I35" s="142"/>
      <c r="J35" s="882" t="str">
        <f>IF(PH!$AO$4=2,"",IF(AND(COUNT(PH!$A$6:$A$11)&gt;2,PH!$CF34="P"),PH!$CC34,""))</f>
        <v/>
      </c>
      <c r="K35" s="882"/>
      <c r="L35" s="882" t="str">
        <f>IF(PH!$AO$4=2,"",IF(AND(COUNT(PH!$A$6:$A$11)&gt;2,PH!$CF34="P"),PH!$CE34,""))</f>
        <v/>
      </c>
      <c r="M35" s="882"/>
      <c r="N35" s="142"/>
      <c r="O35" s="882" t="str">
        <f>IF(PH!$AO$4=2,"",IF(AND(COUNT(PH!$A$6:$A$11)&gt;2,PH!$CF33="P"),PH!$CC33,""))</f>
        <v/>
      </c>
      <c r="P35" s="882"/>
      <c r="Q35" s="882" t="str">
        <f>IF(PH!$AO$4=2,"",IF(AND(COUNT(PH!$A$6:$A$11)&gt;2,PH!$CF33="P"),PH!$CE33,""))</f>
        <v/>
      </c>
      <c r="R35" s="882"/>
      <c r="S35" s="142"/>
      <c r="T35" s="882" t="str">
        <f>IF(PH!$AO$4=2,"",IF(AND(COUNT(PH!$A$6:$A$11)&gt;2,PH!$CF32="P"),PH!$CC32,""))</f>
        <v/>
      </c>
      <c r="U35" s="882"/>
      <c r="V35" s="882" t="str">
        <f>IF(PH!$AO$4=2,"",IF(AND(COUNT(PH!$A$6:$A$11)&gt;2,PH!$CF32="P"),PH!$CE32,""))</f>
        <v/>
      </c>
      <c r="W35" s="882"/>
      <c r="X35" s="142"/>
      <c r="Y35" s="882" t="str">
        <f>IF(PH!$AO$4=2,"",IF(AND(COUNT(PH!$A$6:$A$11)&gt;2,PH!$CF31="P"),PH!$CC31,""))</f>
        <v/>
      </c>
      <c r="Z35" s="882"/>
      <c r="AA35" s="882" t="str">
        <f>IF(PH!$AO$4=2,"",IF(AND(COUNT(PH!$A$6:$A$11)&gt;2,PH!$CF31="P"),PH!$CE31,""))</f>
        <v/>
      </c>
      <c r="AB35" s="882"/>
      <c r="AC35" s="32"/>
      <c r="AD35" s="885" t="str">
        <f>IF(PH!W35="NON",AG1,IF(PH!AO4=2,"",IF(COUNT(PH!A6:A11)&gt;5,_xlfn.XLOOKUP('T PH'!C38,'LOGOS CLUBS'!$B$2:$B$65,'LOGOS CLUBS'!$C$2:$C$65,C38,0,1),"")))</f>
        <v/>
      </c>
      <c r="AE35" s="885"/>
      <c r="AF35" s="885"/>
      <c r="AG35" s="885"/>
      <c r="AH35" s="32"/>
      <c r="AI35" s="32"/>
      <c r="AJ35" s="32"/>
      <c r="AK35" s="882" t="str" cm="1">
        <f t="array" ref="AK35">IF(PH!$AO$4&lt;3,"",IF(_xlfn.XLOOKUP('T PH'!C37,"Licence n° "&amp;PH!$B$6:$B$11,PH!$AO$6:$AO$11,"",0,1)=1,"",_xlfn.XLOOKUP('T PH'!C37,"Licence n° "&amp;PH!$B$6:$B$11,PH!$V$6:$V$11,"",0,1)))</f>
        <v/>
      </c>
      <c r="AL35" s="882"/>
      <c r="AM35" s="879" t="str" cm="1">
        <f t="array" ref="AM35">IF(PH!$AO$4&lt;3,"",IF(_xlfn.XLOOKUP('T PH'!C37,"Licence n° "&amp;PH!$B$6:$B$11,PH!$AO$6:$AO$11,"",0,1)=1,"",_xlfn.XLOOKUP('T PH'!C37,"Licence n° "&amp;PH!$B$6:$B$11,PH!$T$6:$T$11,"",0,1)))</f>
        <v/>
      </c>
      <c r="AN35" s="879"/>
      <c r="AO35" s="32"/>
      <c r="AP35" s="561" t="str" cm="1">
        <f t="array" ref="AP35">_xlfn.XLOOKUP(C37,"Licence n° "&amp;PH!$B$6:$B$11,PH!$W$6:$W$11,"",0,1)</f>
        <v/>
      </c>
      <c r="AQ35" s="32"/>
      <c r="AS35" s="832" t="s">
        <v>8124</v>
      </c>
      <c r="AT35" s="32"/>
    </row>
    <row r="36" spans="1:46" ht="12.6" customHeight="1" x14ac:dyDescent="0.25">
      <c r="A36" s="32"/>
      <c r="B36" s="32"/>
      <c r="C36" s="143" t="str">
        <f>IF(PH!$AO$4=2,"",IF(COUNT(PH!$A$6:$A$11)&gt;5,PH!$K11&amp;" - "&amp;PH!$AS11," "))</f>
        <v xml:space="preserve"> </v>
      </c>
      <c r="D36" s="32"/>
      <c r="E36" s="144" t="str">
        <f>IF(F36="","","Pts")</f>
        <v/>
      </c>
      <c r="F36" s="880" t="str">
        <f>IF(PH!$AO$4=2,"",IF(AND(COUNT(PH!$A$6:$A$11)&gt;2,PH!$CF35="P"),PH!$CG35,""))</f>
        <v/>
      </c>
      <c r="G36" s="880"/>
      <c r="H36" s="144" t="str">
        <f>IF(F36="","","Rep.")</f>
        <v/>
      </c>
      <c r="I36" s="144"/>
      <c r="J36" s="144" t="str">
        <f>IF(K36="","","Pts")</f>
        <v/>
      </c>
      <c r="K36" s="880" t="str">
        <f>IF(PH!$AO$4=2,"",IF(AND(COUNT(PH!$A$6:$A$11)&gt;2,PH!$CF34="P"),PH!$CG34,""))</f>
        <v/>
      </c>
      <c r="L36" s="880"/>
      <c r="M36" s="144" t="str">
        <f>IF(K36="","","Rep.")</f>
        <v/>
      </c>
      <c r="N36" s="144"/>
      <c r="O36" s="144" t="str">
        <f>IF(P36="","","Pts")</f>
        <v/>
      </c>
      <c r="P36" s="880" t="str">
        <f>IF(PH!$AO$4=2,"",IF(AND(COUNT(PH!$A$6:$A$11)&gt;2,PH!$CF33="P"),PH!$CG33,""))</f>
        <v/>
      </c>
      <c r="Q36" s="880"/>
      <c r="R36" s="144" t="str">
        <f>IF(P36="","","Rep.")</f>
        <v/>
      </c>
      <c r="S36" s="144"/>
      <c r="T36" s="144" t="str">
        <f>IF(U36="","","Pts")</f>
        <v/>
      </c>
      <c r="U36" s="880" t="str">
        <f>IF(PH!$AO$4=2,"",IF(AND(COUNT(PH!$A$6:$A$11)&gt;2,PH!$CF32="P"),PH!$CG32,""))</f>
        <v/>
      </c>
      <c r="V36" s="880"/>
      <c r="W36" s="144" t="str">
        <f>IF(U36="","","Rep.")</f>
        <v/>
      </c>
      <c r="X36" s="144"/>
      <c r="Y36" s="144" t="str">
        <f>IF(Z36="","","Pts")</f>
        <v/>
      </c>
      <c r="Z36" s="880" t="str">
        <f>IF(PH!$AO$4=2,"",IF(AND(COUNT(PH!$A$6:$A$11)&gt;2,PH!$CF31="P"),PH!$CG31,""))</f>
        <v/>
      </c>
      <c r="AA36" s="880"/>
      <c r="AB36" s="144" t="str">
        <f>IF(Z36="","","Rep.")</f>
        <v/>
      </c>
      <c r="AC36" s="32"/>
      <c r="AD36" s="885"/>
      <c r="AE36" s="885"/>
      <c r="AF36" s="885"/>
      <c r="AG36" s="885"/>
      <c r="AH36" s="32"/>
      <c r="AI36" s="32"/>
      <c r="AJ36" s="32"/>
      <c r="AK36" s="145" t="str">
        <f>IF(AL36="","","PM")</f>
        <v/>
      </c>
      <c r="AL36" s="881" t="str" cm="1">
        <f t="array" ref="AL36">IF(SUM(PH!$Q$6:$Q$11)=0,"",IF(PH!$AO$4&gt;2,IF(_xlfn.XLOOKUP('T PH'!C37,"Licence n° "&amp;PH!$B$6:$B$11,PH!$AO$6:$AO$11,"",0,1)=1,"Forfait",_xlfn.XLOOKUP('T PH'!C37,"Licence n° "&amp;PH!$B$37:$B$42,PH!$Q$37:$Q$42,"",0,1)),""))</f>
        <v/>
      </c>
      <c r="AM36" s="881"/>
      <c r="AN36" s="145" t="str">
        <f>IF(AL36="","","MGP")</f>
        <v/>
      </c>
      <c r="AO36" s="32"/>
      <c r="AP36" s="151" t="str">
        <f>IF(AND(COUNT(PH!$A$6:$A$11)&gt;5,PH!$AO$4&gt;2,LEFT(PH!$F$13)="P"),"Pts Rk","")</f>
        <v/>
      </c>
      <c r="AQ36" s="32"/>
      <c r="AS36" s="832"/>
      <c r="AT36" s="32"/>
    </row>
    <row r="37" spans="1:46" ht="12.6" customHeight="1" x14ac:dyDescent="0.25">
      <c r="A37" s="32"/>
      <c r="B37" s="32"/>
      <c r="C37" s="147" t="str">
        <f>IF(PH!AO4=2,"",IF(COUNT(PH!A6:A11)&gt;5,"Licence n° "&amp;PH!B11,"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IF(AND(COUNT(PH!$A$6:$A$11)&gt;5,PH!$AO$4&gt;2,LEFT(PH!$F$13)="P"),"Bonus","")</f>
        <v/>
      </c>
      <c r="AQ37" s="32"/>
      <c r="AS37" s="833" t="s">
        <v>8125</v>
      </c>
      <c r="AT37" s="32"/>
    </row>
    <row r="38" spans="1:46" ht="50.1" customHeight="1" thickBot="1" x14ac:dyDescent="0.3">
      <c r="A38" s="32"/>
      <c r="B38" s="32"/>
      <c r="C38" s="149" t="str">
        <f>IF(PH!AO4=2,"",IF(COUNT(PH!A6:A11)&gt;5,PH!G11," "))</f>
        <v xml:space="preserve"> </v>
      </c>
      <c r="D38" s="32"/>
      <c r="E38" s="883" t="str">
        <f>IF(F36="","",IF(F36&gt;0,E35/G35,"/"))</f>
        <v/>
      </c>
      <c r="F38" s="883"/>
      <c r="G38" s="884" t="str">
        <f>IF(PH!$AO$4=2,"",IF(AND(COUNT(PH!$A$6:$A$11)&gt;2,PH!$CF35="P"),PH!$CD35,""))</f>
        <v/>
      </c>
      <c r="H38" s="884"/>
      <c r="I38" s="32"/>
      <c r="J38" s="883" t="str">
        <f>IF(K36="","",IF(K36&gt;0,J35/L35,"/"))</f>
        <v/>
      </c>
      <c r="K38" s="883"/>
      <c r="L38" s="884" t="str">
        <f>IF(PH!$AO$4=2,"",IF(AND(COUNT(PH!$A$6:$A$11)&gt;2,PH!$CF34="P"),PH!$CD34,""))</f>
        <v/>
      </c>
      <c r="M38" s="884"/>
      <c r="N38" s="32"/>
      <c r="O38" s="883" t="str">
        <f>IF(P36="","",IF(P36&gt;0,O35/Q35,"/"))</f>
        <v/>
      </c>
      <c r="P38" s="883"/>
      <c r="Q38" s="884" t="str">
        <f>IF(PH!$AO$4=2,"",IF(AND(COUNT(PH!$A$6:$A$11)&gt;2,PH!$CF33="P"),PH!$CD33,""))</f>
        <v/>
      </c>
      <c r="R38" s="884"/>
      <c r="S38" s="32"/>
      <c r="T38" s="883" t="str">
        <f>IF(U36="","",IF(U36&gt;0,T35/V35,"/"))</f>
        <v/>
      </c>
      <c r="U38" s="883"/>
      <c r="V38" s="884" t="str">
        <f>IF(PH!$AO$4=2,"",IF(AND(COUNT(PH!$A$6:$A$11)&gt;2,PH!$CF32="P"),PH!$CD32,""))</f>
        <v/>
      </c>
      <c r="W38" s="884"/>
      <c r="X38" s="32"/>
      <c r="Y38" s="883" t="str">
        <f>IF(Z36="","",IF(Z36&gt;0,Y35/AA35,"/"))</f>
        <v/>
      </c>
      <c r="Z38" s="883"/>
      <c r="AA38" s="884" t="str">
        <f>IF(PH!$AO$4=2,"",IF(AND(COUNT(PH!$A$6:$A$11)&gt;2,PH!$CF31="P"),PH!$CD31,""))</f>
        <v/>
      </c>
      <c r="AB38" s="884"/>
      <c r="AC38" s="32"/>
      <c r="AD38" s="885"/>
      <c r="AE38" s="885"/>
      <c r="AF38" s="885"/>
      <c r="AG38" s="885"/>
      <c r="AH38" s="32"/>
      <c r="AI38" s="32"/>
      <c r="AJ38" s="32"/>
      <c r="AK38" s="883" t="str" cm="1">
        <f t="array" ref="AK38">IF(PH!$AO$4&lt;3,"",IF(_xlfn.XLOOKUP('T PH'!C37,"Licence n° "&amp;PH!$B$6:$B$11,PH!$AO$6:$AO$11,"",0,1)=1,"",_xlfn.XLOOKUP('T PH'!C37,"Licence n° "&amp;PH!$B$6:$B$11,PH!$U$6:$U$11,"",0,1)))</f>
        <v/>
      </c>
      <c r="AL38" s="883"/>
      <c r="AM38" s="884" t="str" cm="1">
        <f t="array" ref="AM38">IF(PH!$AO$4&lt;3,"",IF(_xlfn.XLOOKUP('T PH'!C37,"Licence n° "&amp;PH!$B$6:$B$11,PH!$AO$6:$AO$11,"",0,1)=1,"",_xlfn.XLOOKUP('T PH'!C37,"Licence n° "&amp;PH!$B$6:$B$11,PH!$S$6:$S$11,"",0,1)))</f>
        <v/>
      </c>
      <c r="AN38" s="884"/>
      <c r="AO38" s="32"/>
      <c r="AP38" s="562" t="str" cm="1">
        <f t="array" ref="AP38">_xlfn.XLOOKUP(C37,"Licence n° "&amp;PH!$B$6:$B$11,PH!$X$6:$X$11,"",0,1)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WLmt7dkZMZ9MMbifbfRbyG7hBfHMX7u3btJSZgN1u/vY0XiFtRNkZ/1l4+31FVUWwrvy2YYwAnHk5TSBTsZqA==" saltValue="j4ghW0aWVX5156V3BP7AWw=="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774" priority="130">
      <formula>F16=0</formula>
    </cfRule>
    <cfRule type="expression" dxfId="773" priority="129">
      <formula>F16=1</formula>
    </cfRule>
    <cfRule type="expression" dxfId="772" priority="128">
      <formula>F16=2</formula>
    </cfRule>
  </conditionalFormatting>
  <conditionalFormatting sqref="F21">
    <cfRule type="expression" dxfId="771" priority="113">
      <formula>F21=2</formula>
    </cfRule>
    <cfRule type="expression" dxfId="770" priority="114">
      <formula>F21=1</formula>
    </cfRule>
    <cfRule type="expression" dxfId="769" priority="115">
      <formula>F21=0</formula>
    </cfRule>
  </conditionalFormatting>
  <conditionalFormatting sqref="F26">
    <cfRule type="expression" dxfId="768" priority="98">
      <formula>F26=2</formula>
    </cfRule>
    <cfRule type="expression" dxfId="767" priority="99">
      <formula>F26=1</formula>
    </cfRule>
    <cfRule type="expression" dxfId="766" priority="100">
      <formula>F26=0</formula>
    </cfRule>
  </conditionalFormatting>
  <conditionalFormatting sqref="F31">
    <cfRule type="expression" dxfId="765" priority="83">
      <formula>F31=2</formula>
    </cfRule>
    <cfRule type="expression" dxfId="764" priority="84">
      <formula>F31=1</formula>
    </cfRule>
    <cfRule type="expression" dxfId="763" priority="85">
      <formula>F31=0</formula>
    </cfRule>
  </conditionalFormatting>
  <conditionalFormatting sqref="F36">
    <cfRule type="expression" dxfId="762" priority="70">
      <formula>F36=0</formula>
    </cfRule>
    <cfRule type="expression" dxfId="761" priority="69">
      <formula>F36=1</formula>
    </cfRule>
    <cfRule type="expression" dxfId="760" priority="68">
      <formula>F36=2</formula>
    </cfRule>
  </conditionalFormatting>
  <conditionalFormatting sqref="J15:M18">
    <cfRule type="expression" dxfId="751" priority="147">
      <formula>$J$15="MATCH 1"</formula>
    </cfRule>
  </conditionalFormatting>
  <conditionalFormatting sqref="K21">
    <cfRule type="expression" dxfId="750" priority="110">
      <formula>K21=2</formula>
    </cfRule>
    <cfRule type="expression" dxfId="749" priority="111">
      <formula>K21=1</formula>
    </cfRule>
    <cfRule type="expression" dxfId="748" priority="112">
      <formula>K21=0</formula>
    </cfRule>
  </conditionalFormatting>
  <conditionalFormatting sqref="K26">
    <cfRule type="expression" dxfId="747" priority="97">
      <formula>K26=0</formula>
    </cfRule>
    <cfRule type="expression" dxfId="746" priority="96">
      <formula>K26=1</formula>
    </cfRule>
    <cfRule type="expression" dxfId="745" priority="95">
      <formula>K26=2</formula>
    </cfRule>
  </conditionalFormatting>
  <conditionalFormatting sqref="K31">
    <cfRule type="expression" dxfId="744" priority="82">
      <formula>K31=0</formula>
    </cfRule>
    <cfRule type="expression" dxfId="743" priority="80">
      <formula>K31=2</formula>
    </cfRule>
    <cfRule type="expression" dxfId="742" priority="81">
      <formula>K31=1</formula>
    </cfRule>
  </conditionalFormatting>
  <conditionalFormatting sqref="K36">
    <cfRule type="expression" dxfId="741" priority="65">
      <formula>K36=2</formula>
    </cfRule>
    <cfRule type="expression" dxfId="740" priority="66">
      <formula>K36=1</formula>
    </cfRule>
    <cfRule type="expression" dxfId="739" priority="67">
      <formula>K36=0</formula>
    </cfRule>
  </conditionalFormatting>
  <conditionalFormatting sqref="K11:L12">
    <cfRule type="expression" dxfId="738" priority="143">
      <formula>K11=2</formula>
    </cfRule>
    <cfRule type="expression" dxfId="737" priority="144">
      <formula>K11=1</formula>
    </cfRule>
    <cfRule type="expression" dxfId="736" priority="145">
      <formula>K11=0</formula>
    </cfRule>
  </conditionalFormatting>
  <conditionalFormatting sqref="O20:R23">
    <cfRule type="expression" dxfId="729" priority="146">
      <formula>$O$20="MATCH 2"</formula>
    </cfRule>
  </conditionalFormatting>
  <conditionalFormatting sqref="P11">
    <cfRule type="expression" dxfId="728" priority="140">
      <formula>P11=2</formula>
    </cfRule>
    <cfRule type="expression" dxfId="727" priority="141">
      <formula>P11=1</formula>
    </cfRule>
    <cfRule type="expression" dxfId="726" priority="142">
      <formula>P11=0</formula>
    </cfRule>
  </conditionalFormatting>
  <conditionalFormatting sqref="P16">
    <cfRule type="expression" dxfId="725" priority="125">
      <formula>P16=2</formula>
    </cfRule>
    <cfRule type="expression" dxfId="724" priority="127">
      <formula>P16=0</formula>
    </cfRule>
    <cfRule type="expression" dxfId="723" priority="126">
      <formula>P16=1</formula>
    </cfRule>
  </conditionalFormatting>
  <conditionalFormatting sqref="P26">
    <cfRule type="expression" dxfId="722" priority="93">
      <formula>P26=1</formula>
    </cfRule>
    <cfRule type="expression" dxfId="721" priority="92">
      <formula>P26=2</formula>
    </cfRule>
    <cfRule type="expression" dxfId="720" priority="94">
      <formula>P26=0</formula>
    </cfRule>
  </conditionalFormatting>
  <conditionalFormatting sqref="P31">
    <cfRule type="expression" dxfId="719" priority="77">
      <formula>P31=2</formula>
    </cfRule>
    <cfRule type="expression" dxfId="718" priority="78">
      <formula>P31=1</formula>
    </cfRule>
    <cfRule type="expression" dxfId="717" priority="79">
      <formula>P31=0</formula>
    </cfRule>
  </conditionalFormatting>
  <conditionalFormatting sqref="P36">
    <cfRule type="expression" dxfId="716" priority="64">
      <formula>P36=0</formula>
    </cfRule>
    <cfRule type="expression" dxfId="715" priority="63">
      <formula>P36=1</formula>
    </cfRule>
    <cfRule type="expression" dxfId="714" priority="62">
      <formula>P36=2</formula>
    </cfRule>
  </conditionalFormatting>
  <conditionalFormatting sqref="U11">
    <cfRule type="expression" dxfId="713" priority="138">
      <formula>U11=1</formula>
    </cfRule>
    <cfRule type="expression" dxfId="712" priority="139">
      <formula>U11=0</formula>
    </cfRule>
    <cfRule type="expression" dxfId="711" priority="137">
      <formula>U11=2</formula>
    </cfRule>
  </conditionalFormatting>
  <conditionalFormatting sqref="U16">
    <cfRule type="expression" dxfId="710" priority="123">
      <formula>U16=1</formula>
    </cfRule>
    <cfRule type="expression" dxfId="709" priority="122">
      <formula>U16=2</formula>
    </cfRule>
    <cfRule type="expression" dxfId="708" priority="124">
      <formula>U16=0</formula>
    </cfRule>
  </conditionalFormatting>
  <conditionalFormatting sqref="U21">
    <cfRule type="expression" dxfId="707" priority="108">
      <formula>U21=1</formula>
    </cfRule>
    <cfRule type="expression" dxfId="706" priority="109">
      <formula>U21=0</formula>
    </cfRule>
    <cfRule type="expression" dxfId="705" priority="107">
      <formula>U21=2</formula>
    </cfRule>
  </conditionalFormatting>
  <conditionalFormatting sqref="U31">
    <cfRule type="expression" dxfId="704" priority="76">
      <formula>U31=0</formula>
    </cfRule>
    <cfRule type="expression" dxfId="703" priority="75">
      <formula>U31=1</formula>
    </cfRule>
    <cfRule type="expression" dxfId="702" priority="74">
      <formula>U31=2</formula>
    </cfRule>
  </conditionalFormatting>
  <conditionalFormatting sqref="U36">
    <cfRule type="expression" dxfId="701" priority="61">
      <formula>U36=0</formula>
    </cfRule>
    <cfRule type="expression" dxfId="700" priority="60">
      <formula>U36=1</formula>
    </cfRule>
    <cfRule type="expression" dxfId="699" priority="59">
      <formula>U36=2</formula>
    </cfRule>
  </conditionalFormatting>
  <conditionalFormatting sqref="Z11">
    <cfRule type="expression" dxfId="698" priority="134">
      <formula>Z11=2</formula>
    </cfRule>
    <cfRule type="expression" dxfId="697" priority="136">
      <formula>Z11=0</formula>
    </cfRule>
    <cfRule type="expression" dxfId="696" priority="135">
      <formula>Z11=1</formula>
    </cfRule>
  </conditionalFormatting>
  <conditionalFormatting sqref="Z16">
    <cfRule type="expression" dxfId="695" priority="119">
      <formula>Z16=2</formula>
    </cfRule>
    <cfRule type="expression" dxfId="694" priority="120">
      <formula>Z16=1</formula>
    </cfRule>
    <cfRule type="expression" dxfId="693" priority="121">
      <formula>Z16=0</formula>
    </cfRule>
  </conditionalFormatting>
  <conditionalFormatting sqref="Z21">
    <cfRule type="expression" dxfId="692" priority="104">
      <formula>Z21=2</formula>
    </cfRule>
    <cfRule type="expression" dxfId="691" priority="105">
      <formula>Z21=1</formula>
    </cfRule>
    <cfRule type="expression" dxfId="690" priority="106">
      <formula>Z21=0</formula>
    </cfRule>
  </conditionalFormatting>
  <conditionalFormatting sqref="Z26">
    <cfRule type="expression" dxfId="689" priority="89">
      <formula>Z26=2</formula>
    </cfRule>
    <cfRule type="expression" dxfId="688" priority="90">
      <formula>Z26=1</formula>
    </cfRule>
    <cfRule type="expression" dxfId="687" priority="91">
      <formula>Z26=0</formula>
    </cfRule>
  </conditionalFormatting>
  <conditionalFormatting sqref="Z36">
    <cfRule type="expression" dxfId="686" priority="57">
      <formula>Z36=1</formula>
    </cfRule>
    <cfRule type="expression" dxfId="685" priority="56">
      <formula>Z36=2</formula>
    </cfRule>
    <cfRule type="expression" dxfId="684" priority="58">
      <formula>Z36=0</formula>
    </cfRule>
  </conditionalFormatting>
  <conditionalFormatting sqref="AE11">
    <cfRule type="expression" dxfId="679" priority="133">
      <formula>AE11=0</formula>
    </cfRule>
    <cfRule type="expression" dxfId="678" priority="132">
      <formula>AE11=1</formula>
    </cfRule>
    <cfRule type="expression" dxfId="677" priority="131">
      <formula>AE11=2</formula>
    </cfRule>
  </conditionalFormatting>
  <conditionalFormatting sqref="AE16">
    <cfRule type="expression" dxfId="676" priority="118">
      <formula>AE16=0</formula>
    </cfRule>
    <cfRule type="expression" dxfId="675" priority="117">
      <formula>AE16=1</formula>
    </cfRule>
    <cfRule type="expression" dxfId="674" priority="116">
      <formula>AE16=2</formula>
    </cfRule>
  </conditionalFormatting>
  <conditionalFormatting sqref="AE21">
    <cfRule type="expression" dxfId="673" priority="101">
      <formula>AE21=2</formula>
    </cfRule>
    <cfRule type="expression" dxfId="672" priority="103">
      <formula>AE21=0</formula>
    </cfRule>
    <cfRule type="expression" dxfId="671" priority="102">
      <formula>AE21=1</formula>
    </cfRule>
  </conditionalFormatting>
  <conditionalFormatting sqref="AE26">
    <cfRule type="expression" dxfId="670" priority="87">
      <formula>AE26=1</formula>
    </cfRule>
    <cfRule type="expression" dxfId="669" priority="86">
      <formula>AE26=2</formula>
    </cfRule>
    <cfRule type="expression" dxfId="668" priority="88">
      <formula>AE26=0</formula>
    </cfRule>
  </conditionalFormatting>
  <conditionalFormatting sqref="AE31">
    <cfRule type="expression" dxfId="667" priority="72">
      <formula>AE31=1</formula>
    </cfRule>
    <cfRule type="expression" dxfId="666" priority="73">
      <formula>AE31=0</formula>
    </cfRule>
    <cfRule type="expression" dxfId="665" priority="71">
      <formula>AE31=2</formula>
    </cfRule>
  </conditionalFormatting>
  <hyperlinks>
    <hyperlink ref="AS2" location="'GESTION DES JOUEURS'!D4" display="GESTION DES JOUEURS" xr:uid="{238B7EEF-BEE3-48D5-B18F-6329E8C57A57}"/>
    <hyperlink ref="AS10:AS11" location="PA!N18" display="PA!N18" xr:uid="{BAE68477-FB30-4909-981D-9C3AB8D3EA2E}"/>
    <hyperlink ref="AS12:AS13" location="PB!N18" display="Poule B" xr:uid="{C18A017A-7632-4FE0-B2B9-D2BD655837A8}"/>
    <hyperlink ref="AS15:AS16" location="PC!N18" display="Poule C" xr:uid="{24132792-8930-4AC6-9C2D-9DEF019096AA}"/>
    <hyperlink ref="AS17:AS18" location="PD!N18" display="Poule D" xr:uid="{001B9E68-1B14-4E88-B121-BF791B83733F}"/>
    <hyperlink ref="AS20:AS21" location="PE!N18" display="Poule E" xr:uid="{73CC6CCB-E2BB-47EF-8A29-5B2FB21138A9}"/>
    <hyperlink ref="AS22:AS23" location="PF!N18" display="Poule F" xr:uid="{3B383009-EB97-42AC-896A-43077CA608C2}"/>
    <hyperlink ref="AS25:AS26" location="PG!N18" display="Poule G" xr:uid="{E387D591-5117-4B48-8452-B0AEBC368983}"/>
    <hyperlink ref="AS27:AS28" location="PH!N18" display="Poule H" xr:uid="{3FD1BD3C-63A3-49B1-976D-967AF62EA249}"/>
    <hyperlink ref="AS30:AS31" location="PI!N18" display="Poule I" xr:uid="{B8981EDC-D8F5-473C-93CB-F11A35030227}"/>
    <hyperlink ref="AS32:AS33" location="PJ!N18" display="Poule J" xr:uid="{69905F00-C5FE-44DD-A0A7-0DC9C0EF9C64}"/>
    <hyperlink ref="AS35:AS36" location="PK!N18" display="Poule K" xr:uid="{BACAE458-DC69-4BD4-A694-8326755061A8}"/>
    <hyperlink ref="AS37:AS38" location="PL!N18" display="Poule L" xr:uid="{D9AD36C8-2575-4C8F-863B-42A3949D6089}"/>
    <hyperlink ref="AV2" location="'Phase finale'!A1" display="Phase Finale" xr:uid="{995B8EEE-C02A-4D5F-ABD1-7D545C48FA30}"/>
    <hyperlink ref="AV9:AV11" location="RESULTATS!A1" display="RESULTATS" xr:uid="{45A080CE-D6D3-4440-ACA0-761FC3F98669}"/>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4993" id="{2FDA4567-FCE5-45A8-926E-B940D88F6837}">
            <xm:f>AND(COUNT(PH!$A$6:$A$11)=3,PH!$AO$4&gt;2)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5024" id="{60420988-E880-4866-98F3-D98BB185A4FB}">
            <xm:f>AND(COUNT(PH!$A$6:$A$11)=4,PH!$AO$4&gt;2)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5F922886-85F0-40C3-9A20-31C411A5D90C}">
            <xm:f>PH!$AO$4=2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5066" id="{681FCD91-1DF5-4A07-A8DC-22616442FFF7}">
            <xm:f>AND(COUNT(PH!$A$6:$A$11)=4,PH!$AO$4&gt;2)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062C54B0-67F1-48B5-8279-C8C3879E29D7}">
            <xm:f>PH!$AO$4=2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5086" id="{4F388E3D-A148-48E3-937C-C911DBCF9A37}">
            <xm:f>AND(COUNT(PH!$A$6:$A$11)=5,PH!$AO$4&gt;2)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5091" id="{A33C2F19-73B7-4DFE-8726-F35A3DC12F40}">
            <xm:f>AND(COUNT(PH!$A$6:$A$11)&gt;=5,PH!$AO$4&gt;2)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5146" id="{52AB81EB-8722-44B7-B83B-D6962528D573}">
            <xm:f>AND(COUNT(PH!$A$6:$A$11)&gt;=5,PH!$AO$4&gt;2)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5221" id="{19785F76-B391-40D4-BEB7-7B37664ED401}">
            <xm:f>AND(COUNT(PH!$A$6:$A$11)=3,PH!$AO$4&gt;2)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5249" id="{AD9C7281-9C5C-4951-929F-D0E9DF23AB62}">
            <xm:f>PH!$AO$4=2</xm:f>
            <x14:dxf>
              <border>
                <top/>
                <vertical/>
                <horizontal/>
              </border>
            </x14:dxf>
          </x14:cfRule>
          <x14:cfRule type="expression" priority="15248" id="{348D25A7-67A7-4F02-B941-86E2ABEB273C}">
            <xm:f>AND(COUNT(PH!$A$6:$A$11)=4,PH!$AO$4&gt;2)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5284" id="{94F858E2-E0B0-49CE-BA4B-8A14E09994A4}">
            <xm:f>AND(COUNT(PH!$A$6:$A$11)&gt;=5,PH!$AO$4&gt;2)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5359" id="{A3BC8607-46AC-411F-A598-3470FFBA8623}">
            <xm:f>AND(COUNT(PH!$A$6:$A$11)=3,PH!$AO$4&gt;2)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5386" id="{DEFB0AAA-CE29-4617-AB27-C812AE32DDB6}">
            <xm:f>AND(COUNT(PH!$A$6:$A$11)=4,PH!$AO$4&gt;2)</xm:f>
            <x14:dxf>
              <border>
                <bottom/>
                <vertical/>
                <horizontal/>
              </border>
            </x14:dxf>
          </x14:cfRule>
          <x14:cfRule type="expression" priority="15387" id="{8DAA5737-F3B2-4FE6-A38C-EC26E1C0D65E}">
            <xm:f>PH!$AO$4=2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5422" id="{A82C1A1E-04CA-47A3-AC16-B451A94BE3C4}">
            <xm:f>AND(COUNT(PH!$A$6:$A$11)=4,PH!$AO$4&gt;2)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5452" id="{C9BDC8B2-513D-4C39-B57C-73CFE309662F}">
            <xm:f>PH!$AO$4=2</xm:f>
            <x14:dxf>
              <border>
                <bottom/>
                <vertical/>
                <horizontal/>
              </border>
            </x14:dxf>
          </x14:cfRule>
          <x14:cfRule type="expression" priority="15453" id="{D11C4E17-1252-46EB-907C-048DB6B034E0}">
            <xm:f>AND(COUNT(PH!$A$6:$A$11)=4,PH!$AO$4&gt;2)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5454" id="{E4B2ED49-5C2F-4B95-8986-4D3E106AA465}">
            <xm:f>AND(COUNT(PH!$A$6:$A$11)=4,PH!$AO$4&gt;2)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5484" id="{26D4469F-B2FE-46FE-8A0E-A5EAD9A23E8F}">
            <xm:f>AND(COUNT(PH!$A$6:$A$11)=3,PH!$AO$4&gt;2)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5496" id="{5F3CEB4E-4FB2-4015-89DD-A2C351483EAB}">
            <xm:f>AND(COUNT(PH!$A$6:$A$11)&gt;=5,PH!$AO$4&gt;2)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5521" id="{8EB77A2F-402A-4A7B-AB26-0BF9AE67CE5D}">
            <xm:f>AND(COUNT(PH!$A$6:$A$11)=6,PH!$AO$4&gt;2)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5554" id="{DD766DC9-B600-479E-BF9E-989DD3460849}">
            <xm:f>AND(COUNT(PH!$A$6:$A$11)=6,PH!$AO$4&gt;2)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5579" id="{24DF36D5-9616-4900-9F9A-C5D002E10D3A}">
            <xm:f>AND(COUNT(PH!$A$6:$A$11)=6,PH!$AO$4&gt;2)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5612" id="{75B29F64-AA78-4093-8509-F3832C07C99E}">
            <xm:f>AND(COUNT(PH!$A$6:$A$11)=6,PH!$AO$4&gt;2)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5631" id="{CF1B53AB-861F-4AB7-A75F-3971E23DE328}">
            <xm:f>AND(LEFT(PH!$F$13)="F",$AL$11=1,PH!$BU$5="X")</xm:f>
            <x14:dxf>
              <font>
                <color rgb="FF8E0000"/>
              </font>
              <fill>
                <patternFill>
                  <bgColor rgb="FFFBE93B"/>
                </patternFill>
              </fill>
            </x14:dxf>
          </x14:cfRule>
          <x14:cfRule type="expression" priority="15630" id="{5F4ABDC2-7DDD-49C4-A6D9-69689EE41D20}">
            <xm:f>AND(LEFT(PH!$F$13)="F",$AL$11=2,PH!$BU$5="X")</xm:f>
            <x14:dxf>
              <font>
                <color rgb="FF8E0000"/>
              </font>
              <fill>
                <patternFill>
                  <bgColor theme="2"/>
                </patternFill>
              </fill>
            </x14:dxf>
          </x14:cfRule>
          <x14:cfRule type="expression" priority="15629" id="{6B1EBA4F-1DFA-4B78-A20A-1F81B2AE3B35}">
            <xm:f>AND(LEFT(PH!$F$13)="F",$AL$11=3,PH!$BU$5="X")</xm:f>
            <x14:dxf>
              <font>
                <color rgb="FF8E0000"/>
              </font>
              <fill>
                <patternFill>
                  <bgColor rgb="FFFECF82"/>
                </patternFill>
              </fill>
            </x14:dxf>
          </x14:cfRule>
          <xm:sqref>AL11</xm:sqref>
        </x14:conditionalFormatting>
        <x14:conditionalFormatting xmlns:xm="http://schemas.microsoft.com/office/excel/2006/main">
          <x14:cfRule type="expression" priority="15633" id="{3ECAA2A7-5168-4CEF-8368-E4FBCDFB539C}">
            <xm:f>AND(LEFT(PH!$F$13)="F",$AL$16=2,PH!$BU$5="X")</xm:f>
            <x14:dxf>
              <font>
                <color rgb="FF8E0000"/>
              </font>
              <fill>
                <patternFill>
                  <bgColor theme="2"/>
                </patternFill>
              </fill>
            </x14:dxf>
          </x14:cfRule>
          <x14:cfRule type="expression" priority="15634" id="{BBC3C6DB-020E-483A-B5D0-16407C82B62A}">
            <xm:f>AND(LEFT(PH!$F$13)="F",$AL$16=1,PH!$BU$5="X")</xm:f>
            <x14:dxf>
              <font>
                <color rgb="FF8E0000"/>
              </font>
              <fill>
                <patternFill>
                  <bgColor rgb="FFFBE93B"/>
                </patternFill>
              </fill>
            </x14:dxf>
          </x14:cfRule>
          <x14:cfRule type="expression" priority="15632" id="{71CE9062-8DB7-4279-9132-187CBA59E8A6}">
            <xm:f>AND(LEFT(PH!$F$13)="F",$AL$16=3,PH!$BU$5="X")</xm:f>
            <x14:dxf>
              <font>
                <color rgb="FF8E0000"/>
              </font>
              <fill>
                <patternFill>
                  <bgColor rgb="FFFECF82"/>
                </patternFill>
              </fill>
            </x14:dxf>
          </x14:cfRule>
          <xm:sqref>AL16</xm:sqref>
        </x14:conditionalFormatting>
        <x14:conditionalFormatting xmlns:xm="http://schemas.microsoft.com/office/excel/2006/main">
          <x14:cfRule type="expression" priority="15635" id="{B7A254FE-BDD6-4A8D-A4F7-7A5FB11CE8E1}">
            <xm:f>AND(LEFT(PH!$F$13)="F",$AL$21=3,PH!$BU$5="X")</xm:f>
            <x14:dxf>
              <font>
                <color rgb="FF8E0000"/>
              </font>
              <fill>
                <patternFill>
                  <bgColor rgb="FFFECF82"/>
                </patternFill>
              </fill>
            </x14:dxf>
          </x14:cfRule>
          <x14:cfRule type="expression" priority="15636" id="{16228B47-925C-4494-8F94-72556D7687A1}">
            <xm:f>AND(LEFT(PH!$F$13)="F",$AL$21=2,PH!$BU$5="X")</xm:f>
            <x14:dxf>
              <font>
                <color rgb="FF8E0000"/>
              </font>
              <fill>
                <patternFill>
                  <bgColor theme="2"/>
                </patternFill>
              </fill>
            </x14:dxf>
          </x14:cfRule>
          <x14:cfRule type="expression" priority="15637" id="{C64D534E-C0B0-41C3-B5EC-08924D8F1E08}">
            <xm:f>AND(LEFT(PH!$F$13)="F",$AL$21=1,PH!$BU$5="X")</xm:f>
            <x14:dxf>
              <font>
                <color rgb="FF8E0000"/>
              </font>
              <fill>
                <patternFill>
                  <bgColor rgb="FFFBE93B"/>
                </patternFill>
              </fill>
            </x14:dxf>
          </x14:cfRule>
          <xm:sqref>AL21</xm:sqref>
        </x14:conditionalFormatting>
        <x14:conditionalFormatting xmlns:xm="http://schemas.microsoft.com/office/excel/2006/main">
          <x14:cfRule type="expression" priority="15640" id="{54C7C0C0-8B60-4EF1-A30B-13DC03EEB40A}">
            <xm:f>AND(LEFT(PH!$F$13)="F",$AL$26=1,PH!$BU$5="X")</xm:f>
            <x14:dxf>
              <font>
                <color rgb="FF8E0000"/>
              </font>
              <fill>
                <patternFill>
                  <bgColor rgb="FFFBE93B"/>
                </patternFill>
              </fill>
            </x14:dxf>
          </x14:cfRule>
          <x14:cfRule type="expression" priority="15639" id="{CDD258FE-20B4-48DC-9119-8847E8EFD9F5}">
            <xm:f>AND(LEFT(PH!$F$13)="F",$AL$26=2,PH!$BU$5="X")</xm:f>
            <x14:dxf>
              <font>
                <color rgb="FF8E0000"/>
              </font>
              <fill>
                <patternFill>
                  <bgColor theme="2"/>
                </patternFill>
              </fill>
            </x14:dxf>
          </x14:cfRule>
          <x14:cfRule type="expression" priority="15638" id="{FC6F63BF-A996-4647-A3CD-06D8E1CBFF26}">
            <xm:f>AND(LEFT(PH!$F$13)="F",$AL$26=3,PH!$BU$5="X")</xm:f>
            <x14:dxf>
              <font>
                <color rgb="FF8E0000"/>
              </font>
              <fill>
                <patternFill>
                  <bgColor rgb="FFFECF82"/>
                </patternFill>
              </fill>
            </x14:dxf>
          </x14:cfRule>
          <xm:sqref>AL26</xm:sqref>
        </x14:conditionalFormatting>
        <x14:conditionalFormatting xmlns:xm="http://schemas.microsoft.com/office/excel/2006/main">
          <x14:cfRule type="expression" priority="15642" id="{DE60E71B-752F-4343-BAA0-C1F5AE437EA2}">
            <xm:f>AND(LEFT(PH!$F$13)="F",$AL$31=2,PH!$BU$5="X")</xm:f>
            <x14:dxf>
              <font>
                <color rgb="FF8E0000"/>
              </font>
              <fill>
                <patternFill>
                  <bgColor theme="2"/>
                </patternFill>
              </fill>
            </x14:dxf>
          </x14:cfRule>
          <x14:cfRule type="expression" priority="15641" id="{FE819328-02F2-4707-BD0B-EFBC04CBF1C5}">
            <xm:f>AND(LEFT(PH!$F$13)="F",$AL$31=3,PH!$BU$5="X")</xm:f>
            <x14:dxf>
              <font>
                <color rgb="FF8E0000"/>
              </font>
              <fill>
                <patternFill>
                  <bgColor rgb="FFFECF82"/>
                </patternFill>
              </fill>
            </x14:dxf>
          </x14:cfRule>
          <x14:cfRule type="expression" priority="15643" id="{C2BB175B-34E2-4376-93C6-8A5B86D7147D}">
            <xm:f>AND(LEFT(PH!$F$13)="F",$AL$31=1,PH!$BU$5="X")</xm:f>
            <x14:dxf>
              <font>
                <color rgb="FF8E0000"/>
              </font>
              <fill>
                <patternFill>
                  <bgColor rgb="FFFBE93B"/>
                </patternFill>
              </fill>
            </x14:dxf>
          </x14:cfRule>
          <xm:sqref>AL31</xm:sqref>
        </x14:conditionalFormatting>
        <x14:conditionalFormatting xmlns:xm="http://schemas.microsoft.com/office/excel/2006/main">
          <x14:cfRule type="expression" priority="15644" id="{D4F1FDA5-B9CF-4B2B-AFB4-DA6E98A2FC4D}">
            <xm:f>AND(LEFT(PH!$F$13)="F",$AL$36=3,PH!$BU$5="X")</xm:f>
            <x14:dxf>
              <font>
                <color rgb="FF8E0000"/>
              </font>
              <fill>
                <patternFill>
                  <bgColor rgb="FFFECF82"/>
                </patternFill>
              </fill>
            </x14:dxf>
          </x14:cfRule>
          <x14:cfRule type="expression" priority="15645" id="{8EC54F03-9579-4D91-A84B-21CDE3E626CF}">
            <xm:f>AND(LEFT(PH!$F$13)="F",$AL$36=2,PH!$BU$5="X")</xm:f>
            <x14:dxf>
              <font>
                <color rgb="FF8E0000"/>
              </font>
              <fill>
                <patternFill>
                  <bgColor theme="2"/>
                </patternFill>
              </fill>
            </x14:dxf>
          </x14:cfRule>
          <x14:cfRule type="expression" priority="15646" id="{77A0DF13-0439-439D-8695-7649AA2AA38A}">
            <xm:f>AND(LEFT(PH!$F$13)="F",$AL$36=1,PH!$BU$5="X")</xm:f>
            <x14:dxf>
              <font>
                <color rgb="FF8E0000"/>
              </font>
              <fill>
                <patternFill>
                  <bgColor rgb="FFFBE93B"/>
                </patternFill>
              </fill>
            </x14:dxf>
          </x14:cfRule>
          <xm:sqref>AL36</xm:sqref>
        </x14:conditionalFormatting>
        <x14:conditionalFormatting xmlns:xm="http://schemas.microsoft.com/office/excel/2006/main">
          <x14:cfRule type="expression" priority="148" id="{0444E9A6-52BD-4A97-9D76-A82625135F2B}">
            <xm:f>LEFT(PH!$B$15)="3"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958" id="{29059B51-A3C7-4C7D-9A5C-6808205AED4E}">
            <xm:f>AND(LEFT(PA!$F$13)="P",PA!$AO$4&gt;1)</xm:f>
            <x14:dxf>
              <border>
                <bottom/>
                <vertical/>
                <horizontal/>
              </border>
            </x14:dxf>
          </x14:cfRule>
          <xm:sqref>AP10 AP12 AP15 AP17</xm:sqref>
        </x14:conditionalFormatting>
        <x14:conditionalFormatting xmlns:xm="http://schemas.microsoft.com/office/excel/2006/main">
          <x14:cfRule type="expression" priority="4" id="{B6D25826-1F5D-45AE-B9E7-6D95698B7C70}">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962" id="{AF7829A4-3647-490A-B3A4-10C402771CB1}">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964" id="{8ABB5FD8-F460-44E8-8570-CB7692C22169}">
            <xm:f>AND(LEFT(PA!$F$13)="P",PA!$AO$4&gt;1)</xm:f>
            <x14:dxf>
              <border>
                <top/>
                <vertical/>
                <horizontal/>
              </border>
            </x14:dxf>
          </x14:cfRule>
          <xm:sqref>AP11 AP13 AP16 AP18</xm:sqref>
        </x14:conditionalFormatting>
        <x14:conditionalFormatting xmlns:xm="http://schemas.microsoft.com/office/excel/2006/main">
          <x14:cfRule type="expression" priority="11988" id="{728BD808-2E3D-4822-943D-9E8E71E9125F}">
            <xm:f>AND(LEFT(PA!$F$13)="P",PA!$AO$4&gt;1)</xm:f>
            <x14:dxf>
              <fill>
                <patternFill>
                  <bgColor theme="1"/>
                </patternFill>
              </fill>
            </x14:dxf>
          </x14:cfRule>
          <xm:sqref>AP14 AP19</xm:sqref>
        </x14:conditionalFormatting>
        <x14:conditionalFormatting xmlns:xm="http://schemas.microsoft.com/office/excel/2006/main">
          <x14:cfRule type="expression" priority="11968" id="{33D571EA-DA18-43FF-86E5-7A018390DE8F}">
            <xm:f>AND(LEFT(PA!$F$13)="P",PA!$AO$4&gt;2)</xm:f>
            <x14:dxf>
              <border>
                <bottom/>
                <vertical/>
                <horizontal/>
              </border>
            </x14:dxf>
          </x14:cfRule>
          <xm:sqref>AP20 AP22</xm:sqref>
        </x14:conditionalFormatting>
        <x14:conditionalFormatting xmlns:xm="http://schemas.microsoft.com/office/excel/2006/main">
          <x14:cfRule type="expression" priority="11970" id="{DB7C1952-8B9B-42B1-AFA6-157C3F187CA1}">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971" id="{A5D5A1E9-742C-461D-9E36-D7B3F20A47A2}">
            <xm:f>AND(LEFT(PA!$F$13)="P",PA!$AO$4&gt;2)</xm:f>
            <x14:dxf>
              <border>
                <top/>
                <vertical/>
                <horizontal/>
              </border>
            </x14:dxf>
          </x14:cfRule>
          <xm:sqref>AP21 AP23</xm:sqref>
        </x14:conditionalFormatting>
        <x14:conditionalFormatting xmlns:xm="http://schemas.microsoft.com/office/excel/2006/main">
          <x14:cfRule type="expression" priority="11990" id="{6094F10F-3C95-41F9-9382-2B7F6B470F6A}">
            <xm:f>AND(LEFT(PA!$F$13)="P",PA!$AO$4&gt;2)</xm:f>
            <x14:dxf>
              <fill>
                <patternFill>
                  <bgColor theme="1"/>
                </patternFill>
              </fill>
            </x14:dxf>
          </x14:cfRule>
          <xm:sqref>AP24</xm:sqref>
        </x14:conditionalFormatting>
        <x14:conditionalFormatting xmlns:xm="http://schemas.microsoft.com/office/excel/2006/main">
          <x14:cfRule type="expression" priority="11973" id="{A4B85D1B-424E-49FE-B0A4-FF77DF3A832F}">
            <xm:f>AND(LEFT(PA!$F$13)="P",PA!$AO$4&gt;2,COUNT(PA!$A$6:$A$11)&gt;3)</xm:f>
            <x14:dxf>
              <border>
                <bottom/>
                <vertical/>
                <horizontal/>
              </border>
            </x14:dxf>
          </x14:cfRule>
          <xm:sqref>AP25 AP27</xm:sqref>
        </x14:conditionalFormatting>
        <x14:conditionalFormatting xmlns:xm="http://schemas.microsoft.com/office/excel/2006/main">
          <x14:cfRule type="expression" priority="11975" id="{06DED22A-5CF8-4F15-95D3-D0A520B96FA1}">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976" id="{B6FDAFE2-6F8E-408E-AB9C-D840F9CA81BD}">
            <xm:f>AND(LEFT(PA!$F$13)="P",PA!$AO$4&gt;2,COUNT(PA!$A$6:$A$11)&gt;3)</xm:f>
            <x14:dxf>
              <border>
                <top/>
                <vertical/>
                <horizontal/>
              </border>
            </x14:dxf>
          </x14:cfRule>
          <xm:sqref>AP26 AP28</xm:sqref>
        </x14:conditionalFormatting>
        <x14:conditionalFormatting xmlns:xm="http://schemas.microsoft.com/office/excel/2006/main">
          <x14:cfRule type="expression" priority="11991" id="{24960CCC-D7B4-4FC1-8C24-0CCEA66A3BFA}">
            <xm:f>AND(LEFT(PA!$F$13)="P",PA!$AO$4&gt;2,COUNT(PA!$A$6:$A$11)&gt;3)</xm:f>
            <x14:dxf>
              <fill>
                <patternFill>
                  <bgColor theme="1"/>
                </patternFill>
              </fill>
            </x14:dxf>
          </x14:cfRule>
          <xm:sqref>AP29</xm:sqref>
        </x14:conditionalFormatting>
        <x14:conditionalFormatting xmlns:xm="http://schemas.microsoft.com/office/excel/2006/main">
          <x14:cfRule type="expression" priority="11978" id="{A2FB6318-85C0-4844-9143-C49FACA9E64A}">
            <xm:f>AND(LEFT(PA!$F$13)="P",PA!$AO$4&gt;2,COUNT(PA!$A$6:$A$11)&gt;4)</xm:f>
            <x14:dxf>
              <border>
                <bottom/>
                <vertical/>
                <horizontal/>
              </border>
            </x14:dxf>
          </x14:cfRule>
          <xm:sqref>AP30 AP32</xm:sqref>
        </x14:conditionalFormatting>
        <x14:conditionalFormatting xmlns:xm="http://schemas.microsoft.com/office/excel/2006/main">
          <x14:cfRule type="expression" priority="11980" id="{BEE49C00-008E-4D39-88C7-E1FB6ED79CCD}">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981" id="{5365C494-6595-49B6-94FE-D4559413B46A}">
            <xm:f>AND(LEFT(PA!$F$13)="P",PA!$AO$4&gt;2,COUNT(PA!$A$6:$A$11)&gt;4)</xm:f>
            <x14:dxf>
              <border>
                <top/>
                <vertical/>
                <horizontal/>
              </border>
            </x14:dxf>
          </x14:cfRule>
          <xm:sqref>AP31 AP33</xm:sqref>
        </x14:conditionalFormatting>
        <x14:conditionalFormatting xmlns:xm="http://schemas.microsoft.com/office/excel/2006/main">
          <x14:cfRule type="expression" priority="11992" id="{9864ADF9-F98C-4867-A1E8-AE5FFE9A2DFD}">
            <xm:f>AND(LEFT(PA!$F$13)="P",PA!$AO$4&gt;2,COUNT(PA!$A$6:$A$11)&gt;4)</xm:f>
            <x14:dxf>
              <fill>
                <patternFill>
                  <bgColor theme="1"/>
                </patternFill>
              </fill>
            </x14:dxf>
          </x14:cfRule>
          <xm:sqref>AP34</xm:sqref>
        </x14:conditionalFormatting>
        <x14:conditionalFormatting xmlns:xm="http://schemas.microsoft.com/office/excel/2006/main">
          <x14:cfRule type="expression" priority="11983" id="{33F796D5-5398-4CF5-B5FC-7C1C0778BEB6}">
            <xm:f>AND(LEFT(PA!$F$13)="P",PA!$AO$4&gt;2,COUNT(PA!$A$6:$A$11)&gt;5)</xm:f>
            <x14:dxf>
              <border>
                <bottom/>
                <vertical/>
                <horizontal/>
              </border>
            </x14:dxf>
          </x14:cfRule>
          <xm:sqref>AP35 AP37</xm:sqref>
        </x14:conditionalFormatting>
        <x14:conditionalFormatting xmlns:xm="http://schemas.microsoft.com/office/excel/2006/main">
          <x14:cfRule type="expression" priority="11985" id="{38897A5C-459C-4A86-A053-1F36428137B8}">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986" id="{8470F324-8CB9-426C-9CC5-996384760166}">
            <xm:f>AND(LEFT(PA!$F$13)="P",PA!$AO$4&gt;2,COUNT(PA!$A$6:$A$11)&gt;5)</xm:f>
            <x14:dxf>
              <border>
                <top/>
                <vertical/>
                <horizontal/>
              </border>
            </x14:dxf>
          </x14:cfRule>
          <xm:sqref>AP36 AP38</xm:sqref>
        </x14:conditionalFormatting>
        <x14:conditionalFormatting xmlns:xm="http://schemas.microsoft.com/office/excel/2006/main">
          <x14:cfRule type="expression" priority="15647" id="{6AA3D92D-C047-4A21-BB4C-66BAD57DC028}">
            <xm:f>AND(LEFT(PH!$F$13)="P",PH!$AO$4&gt;1)</xm:f>
            <x14:dxf>
              <fill>
                <patternFill>
                  <bgColor theme="1"/>
                </patternFill>
              </fill>
            </x14:dxf>
          </x14:cfRule>
          <xm:sqref>AP9:AQ9 AQ10:AQ19</xm:sqref>
        </x14:conditionalFormatting>
        <x14:conditionalFormatting xmlns:xm="http://schemas.microsoft.com/office/excel/2006/main">
          <x14:cfRule type="expression" priority="15649" id="{AC179B42-9DAC-4952-9BB1-3CA73C925D4D}">
            <xm:f>AND(LEFT(PH!$F$13)="P",PH!$AO$4&gt;2)</xm:f>
            <x14:dxf>
              <fill>
                <patternFill>
                  <bgColor theme="1"/>
                </patternFill>
              </fill>
            </x14:dxf>
          </x14:cfRule>
          <xm:sqref>AQ20:AQ24</xm:sqref>
        </x14:conditionalFormatting>
        <x14:conditionalFormatting xmlns:xm="http://schemas.microsoft.com/office/excel/2006/main">
          <x14:cfRule type="expression" priority="15650" id="{A37DE750-2482-4D56-B419-1A71EF493349}">
            <xm:f>AND(LEFT(PH!$F$13)="P",PH!$AO$4&gt;2,COUNT(PH!$A$6:$A$11)&gt;3)</xm:f>
            <x14:dxf>
              <fill>
                <patternFill>
                  <bgColor theme="1"/>
                </patternFill>
              </fill>
            </x14:dxf>
          </x14:cfRule>
          <xm:sqref>AQ25:AQ29</xm:sqref>
        </x14:conditionalFormatting>
        <x14:conditionalFormatting xmlns:xm="http://schemas.microsoft.com/office/excel/2006/main">
          <x14:cfRule type="expression" priority="15651" id="{E72CA2A2-9324-45EB-AAE6-078141C6ACF2}">
            <xm:f>AND(LEFT(PH!$F$13)="P",PH!$AO$4&gt;2,COUNT(PH!$A$6:$A$11)&gt;4)</xm:f>
            <x14:dxf>
              <fill>
                <patternFill>
                  <bgColor theme="1"/>
                </patternFill>
              </fill>
            </x14:dxf>
          </x14:cfRule>
          <xm:sqref>AQ30:AQ34</xm:sqref>
        </x14:conditionalFormatting>
        <x14:conditionalFormatting xmlns:xm="http://schemas.microsoft.com/office/excel/2006/main">
          <x14:cfRule type="expression" priority="15652" id="{FA9CB0C5-51ED-4126-95CF-5DD68EA87A9B}">
            <xm:f>AND(LEFT(PH!$F$13)="P",PH!$AO$4&gt;2,COUNT(PH!$A$6:$A$11)&gt;5)</xm:f>
            <x14:dxf>
              <fill>
                <patternFill>
                  <bgColor theme="1"/>
                </patternFill>
              </fill>
            </x14:dxf>
          </x14:cfRule>
          <xm:sqref>AQ35:AQ38 AP39:AQ39</xm:sqref>
        </x14:conditionalFormatting>
        <x14:conditionalFormatting xmlns:xm="http://schemas.microsoft.com/office/excel/2006/main">
          <x14:cfRule type="expression" priority="39" id="{6EB6B133-E9AF-4198-96FF-0ABA43F67048}">
            <xm:f>'GESTION DES JOUEURS'!$T$8&lt;2</xm:f>
            <x14:dxf>
              <font>
                <color theme="0" tint="-0.24994659260841701"/>
              </font>
              <fill>
                <patternFill>
                  <bgColor theme="0" tint="-0.24994659260841701"/>
                </patternFill>
              </fill>
            </x14:dxf>
          </x14:cfRule>
          <x14:cfRule type="expression" priority="40" id="{6099F64C-6674-40BB-8A3D-E87F3EB90799}">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E5CD0412-0254-4FD7-9D7F-E72490CC90C0}">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CE7CC4BC-CF24-400A-82B7-0C8104C1595A}">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0A0E9B79-1624-415E-9F1C-D8EF98DC1560}">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60AA555B-1DB5-4E86-820C-B40795713A5D}">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5FBC0C31-396E-4EA8-A5BA-BB8F2F68A5DF}">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F74DA2E5-AE8A-4557-AF39-91B02414545E}">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5F607EB2-D23B-4DB5-9F27-C5BE1B5B9A3F}">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5AAEC194-C82A-4FB7-9D82-986A0EB6D157}">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B8AC07F0-DD00-47F6-ACF2-28CC88A676D9}">
            <xm:f>'GESTION DES JOUEURS'!$D$8="Finale"</xm:f>
            <x14:dxf>
              <font>
                <color theme="0" tint="-0.24994659260841701"/>
              </font>
              <fill>
                <patternFill>
                  <bgColor theme="0" tint="-0.24994659260841701"/>
                </patternFill>
              </fill>
            </x14:dxf>
          </x14:cfRule>
          <x14:cfRule type="expression" priority="25" id="{E8409F77-5FC2-417C-AD94-7C6B73AC7D29}">
            <xm:f>OR('GESTION DES JOUEURS'!$D$8="poules",'GESTION DES JOUEURS'!$D$8="Finale")</xm:f>
            <x14:dxf>
              <font>
                <color theme="0" tint="-0.24994659260841701"/>
              </font>
              <fill>
                <patternFill>
                  <fgColor auto="1"/>
                  <bgColor theme="0" tint="-0.24994659260841701"/>
                </patternFill>
              </fill>
            </x14:dxf>
          </x14:cfRule>
          <x14:cfRule type="expression" priority="24" id="{4104BE8B-4A26-4CE5-9205-D090B694DC0C}">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4D686614-3EAA-4513-A2E0-B3F1B394A819}">
            <xm:f>'GESTION DES JOUEURS'!$T$8=1</xm:f>
            <x14:dxf>
              <font>
                <color theme="0" tint="-0.24994659260841701"/>
              </font>
              <fill>
                <patternFill>
                  <bgColor theme="0" tint="-0.24994659260841701"/>
                </patternFill>
              </fill>
            </x14:dxf>
          </x14:cfRule>
          <x14:cfRule type="expression" priority="3" id="{3323E099-60D4-4C73-B045-7B0B8E587357}">
            <xm:f>OR('GESTION DES JOUEURS'!$D$8="Poules",'GESTION DES JOUEURS'!$D$8="Finale",'GESTION DES JOUEURS'!$D$8="Tournoi")</xm:f>
            <x14:dxf>
              <font>
                <color theme="0" tint="-0.24994659260841701"/>
              </font>
              <fill>
                <patternFill>
                  <bgColor theme="0" tint="-0.24994659260841701"/>
                </patternFill>
              </fill>
            </x14:dxf>
          </x14:cfRule>
          <x14:cfRule type="expression" priority="2" id="{833CE410-BD64-4888-9CBA-30614424AF97}">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401583DA-81A0-45E1-AE86-A399FAFC6EB3}">
            <xm:f>'GESTION DES JOUEURS'!$T$8=1</xm:f>
            <x14:dxf>
              <font>
                <color theme="0" tint="-0.24994659260841701"/>
              </font>
              <fill>
                <patternFill>
                  <bgColor theme="0" tint="-0.24994659260841701"/>
                </patternFill>
              </fill>
            </x14:dxf>
          </x14:cfRule>
          <x14:cfRule type="expression" priority="53" id="{D478EC0E-814A-4AC9-AE69-91C7A646C37F}">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305B-524F-4673-9169-4CDC98ACBE9E}">
  <sheetPr>
    <tabColor rgb="FFFF8669"/>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1012" t="str">
        <f>'GESTION DES JOUEURS'!M27</f>
        <v>Poule I</v>
      </c>
      <c r="C2" s="1013"/>
      <c r="D2" s="1013"/>
      <c r="E2" s="1013"/>
      <c r="F2" s="1013"/>
      <c r="G2" s="1013"/>
      <c r="H2" s="1013"/>
      <c r="I2" s="1013"/>
      <c r="J2" s="1013"/>
      <c r="K2" s="1013"/>
      <c r="L2" s="1013"/>
      <c r="M2" s="1013"/>
      <c r="N2" s="1013"/>
      <c r="O2" s="1013"/>
      <c r="P2" s="1013"/>
      <c r="Q2" s="1013"/>
      <c r="R2" s="1013"/>
      <c r="S2" s="1013"/>
      <c r="T2" s="1013"/>
      <c r="U2" s="1013"/>
      <c r="V2" s="1013"/>
      <c r="W2" s="1013"/>
      <c r="X2" s="1014"/>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IFERROR(VLOOKUP("I1",'GESTION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JOUEURS'!$Y$8="R",PouleATerminée="X"),_xlfn.XLOOKUP(($AO$4&amp;_xlfn.XLOOKUP(B6,$B$37:$B$42,$Q$37:$Q$42,"",0,1)&amp;_xlfn.XLOOKUP(B6,$B$37:$B$42,PI!$AE$37:$AE$42,"",0,1)),PTSRKPOULES[Colonne1],PTSRKPOULES[PR 3B],"",0,1),IF(AND('GESTION DES JOUEURS'!$D$8="Poules",'GESTION DES JOUEURS'!$Y$8="JDSR",PouleATerminée="X"),_xlfn.XLOOKUP($AO$4&amp;_xlfn.XLOOKUP(B6,$B$37:$B$42,$Q$37:$Q$42,"",0,1)&amp;_xlfn.XLOOKUP(B6,$B$37:$B$42,PI!$AE$37:$AE$42,"",0,1),PTSRKPOULES[Colonne1],PTSRKPOULES[PR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IFERROR(VLOOKUP("I2",'GESTION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JOUEURS'!$Y$8="R",PouleATerminée="X"),_xlfn.XLOOKUP(($AO$4&amp;_xlfn.XLOOKUP(B7,$B$37:$B$42,$Q$37:$Q$42,"",0,1)&amp;_xlfn.XLOOKUP(B7,$B$37:$B$42,PI!$AE$37:$AE$42,"",0,1)),PTSRKPOULES[Colonne1],PTSRKPOULES[PR 3B],"",0,1),IF(AND('GESTION DES JOUEURS'!$D$8="Poules",'GESTION DES JOUEURS'!$Y$8="JDSR",PouleATerminée="X"),_xlfn.XLOOKUP($AO$4&amp;_xlfn.XLOOKUP(B7,$B$37:$B$42,$Q$37:$Q$42,"",0,1)&amp;_xlfn.XLOOKUP(B7,$B$37:$B$42,PI!$AE$37:$AE$42,"",0,1),PTSRKPOULES[Colonne1],PTSRKPOULES[PR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IFERROR(VLOOKUP("I3",'GESTION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JOUEURS'!$Y$8="R",PouleATerminée="X"),_xlfn.XLOOKUP(($AO$4&amp;_xlfn.XLOOKUP(B8,$B$37:$B$42,$Q$37:$Q$42,"",0,1)&amp;_xlfn.XLOOKUP(B8,$B$37:$B$42,PI!$AE$37:$AE$42,"",0,1)),PTSRKPOULES[Colonne1],PTSRKPOULES[PR 3B],"",0,1),IF(AND('GESTION DES JOUEURS'!$D$8="Poules",'GESTION DES JOUEURS'!$Y$8="JDSR",PouleATerminée="X"),_xlfn.XLOOKUP($AO$4&amp;_xlfn.XLOOKUP(B8,$B$37:$B$42,$Q$37:$Q$42,"",0,1)&amp;_xlfn.XLOOKUP(B8,$B$37:$B$42,PI!$AE$37:$AE$42,"",0,1),PTSRKPOULES[Colonne1],PTSRKPOULES[PR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IFERROR(VLOOKUP("I4",'GESTION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JOUEURS'!$Y$8="R",PouleATerminée="X"),_xlfn.XLOOKUP(($AO$4&amp;_xlfn.XLOOKUP(B9,$B$37:$B$42,$Q$37:$Q$42,"",0,1)&amp;_xlfn.XLOOKUP(B9,$B$37:$B$42,PI!$AE$37:$AE$42,"",0,1)),PTSRKPOULES[Colonne1],PTSRKPOULES[PR 3B],"",0,1),IF(AND('GESTION DES JOUEURS'!$D$8="Poules",'GESTION DES JOUEURS'!$Y$8="JDSR",PouleATerminée="X"),_xlfn.XLOOKUP($AO$4&amp;_xlfn.XLOOKUP(B9,$B$37:$B$42,$Q$37:$Q$42,"",0,1)&amp;_xlfn.XLOOKUP(B9,$B$37:$B$42,PI!$AE$37:$AE$42,"",0,1),PTSRKPOULES[Colonne1],PTSRKPOULES[PR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IFERROR(VLOOKUP("I5",'GESTION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JOUEURS'!$Y$8="R",PouleATerminée="X"),_xlfn.XLOOKUP(($AO$4&amp;_xlfn.XLOOKUP(B10,$B$37:$B$42,$Q$37:$Q$42,"",0,1)&amp;_xlfn.XLOOKUP(B10,$B$37:$B$42,PI!$AE$37:$AE$42,"",0,1)),PTSRKPOULES[Colonne1],PTSRKPOULES[PR 3B],"",0,1),IF(AND('GESTION DES JOUEURS'!$D$8="Poules",'GESTION DES JOUEURS'!$Y$8="JDSR",PouleATerminée="X"),_xlfn.XLOOKUP($AO$4&amp;_xlfn.XLOOKUP(B10,$B$37:$B$42,$Q$37:$Q$42,"",0,1)&amp;_xlfn.XLOOKUP(B10,$B$37:$B$42,PI!$AE$37:$AE$42,"",0,1),PTSRKPOULES[Colonne1],PTSRKPOULES[PR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IFERROR(VLOOKUP("I6",'GESTION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JOUEURS'!$Y$8="R",PouleATerminée="X"),_xlfn.XLOOKUP(($AO$4&amp;_xlfn.XLOOKUP(B11,$B$37:$B$42,$Q$37:$Q$42,"",0,1)&amp;_xlfn.XLOOKUP(B11,$B$37:$B$42,PI!$AE$37:$AE$42,"",0,1)),PTSRKPOULES[Colonne1],PTSRKPOULES[PR 3B],"",0,1),IF(AND('GESTION DES JOUEURS'!$D$8="Poules",'GESTION DES JOUEURS'!$Y$8="JDSR",PouleATerminée="X"),_xlfn.XLOOKUP($AO$4&amp;_xlfn.XLOOKUP(B11,$B$37:$B$42,$Q$37:$Q$42,"",0,1)&amp;_xlfn.XLOOKUP(B11,$B$37:$B$42,PI!$AE$37:$AE$42,"",0,1),PTSRKPOULES[Colonne1],PTSRKPOULES[PR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IF(K13="Poule","I","")</f>
        <v>I</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I</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1015" t="str">
        <f>"TABLEAU "&amp;CHAR(10)&amp;B2</f>
        <v>TABLEAU 
Poule I</v>
      </c>
      <c r="V37" s="1016"/>
      <c r="W37" s="1016"/>
      <c r="X37" s="1017"/>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1018"/>
      <c r="V38" s="1019"/>
      <c r="W38" s="1019"/>
      <c r="X38" s="1020"/>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1018"/>
      <c r="V39" s="1019"/>
      <c r="W39" s="1019"/>
      <c r="X39" s="1020"/>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1018"/>
      <c r="V40" s="1019"/>
      <c r="W40" s="1019"/>
      <c r="X40" s="1020"/>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1018"/>
      <c r="V41" s="1019"/>
      <c r="W41" s="1019"/>
      <c r="X41" s="1020"/>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1021"/>
      <c r="V42" s="1022"/>
      <c r="W42" s="1022"/>
      <c r="X42" s="1023"/>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m/FwLrnnOPT0bdS7btyrBz0XlIkxyT8oKzmMPHoQWJUVIbR0/si76sZQ8mB07KYJLeej1/iDH0x7oovt9gfozQ==" saltValue="lovtrpl4cCRiAE8zC1AJAA=="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602" priority="3">
      <formula>$B18=""</formula>
    </cfRule>
  </conditionalFormatting>
  <conditionalFormatting sqref="B19:Y32">
    <cfRule type="expression" dxfId="601" priority="2">
      <formula>$B18=MAX($B$18:$B$32)</formula>
    </cfRule>
  </conditionalFormatting>
  <conditionalFormatting sqref="E18:E32 W18:W32">
    <cfRule type="expression" dxfId="600" priority="4">
      <formula>LEFT($B$15)="3"</formula>
    </cfRule>
  </conditionalFormatting>
  <conditionalFormatting sqref="L13">
    <cfRule type="expression" dxfId="599" priority="56">
      <formula>$F$13&lt;&gt;"FINALE"</formula>
    </cfRule>
  </conditionalFormatting>
  <conditionalFormatting sqref="T6:U11 N37:O42">
    <cfRule type="expression" dxfId="597" priority="57">
      <formula>LEFT($B$15)="3"</formula>
    </cfRule>
  </conditionalFormatting>
  <dataValidations count="3">
    <dataValidation type="list" allowBlank="1" showInputMessage="1" showErrorMessage="1" sqref="O7:O11" xr:uid="{47AAACA7-4D7F-4663-A170-198275E5471D}">
      <formula1>"F,1,2,3,4,5,6"</formula1>
    </dataValidation>
    <dataValidation type="list" allowBlank="1" showInputMessage="1" showErrorMessage="1" sqref="W35:X35" xr:uid="{11B408C6-13DB-4AB2-ADE4-39AF13F71622}">
      <formula1>"OUI,NON"</formula1>
    </dataValidation>
    <dataValidation type="list" allowBlank="1" showInputMessage="1" showErrorMessage="1" sqref="O6" xr:uid="{282CE70A-6D50-44A0-BD51-A8CC3E31D85D}">
      <formula1>"1,2,3,4,5,6"</formula1>
    </dataValidation>
  </dataValidations>
  <hyperlinks>
    <hyperlink ref="AA4:AA5" location="'GESTION DES JOUEURS'!D4" display="GESTION DES JOUEURS" xr:uid="{024DDBBC-98E2-4606-A629-71F4F78FCECF}"/>
    <hyperlink ref="U37:X42" location="'T PI'!A1" display="'T PI'!A1" xr:uid="{C997BDBB-7AE5-41B7-8BD3-A236E71E99BF}"/>
    <hyperlink ref="AA9:AA10" location="PA!N18" display="PA!N18" xr:uid="{620C9C67-1947-43D5-98FE-B4CC6D712BAF}"/>
    <hyperlink ref="AA11:AA12" location="PB!N18" display="Poule B" xr:uid="{3CE5D54C-8B43-4E69-87FC-B3F6D318D64F}"/>
    <hyperlink ref="AA13:AA14" location="PC!N18" display="Poule C" xr:uid="{8674A428-E51A-4292-A567-177543805669}"/>
    <hyperlink ref="AA15:AA16" location="PD!N18" display="Poule D" xr:uid="{875E537E-CB70-4C9C-9518-D0D2AEAC5A9B}"/>
    <hyperlink ref="AA17:AA18" location="PE!N18" display="Poule E" xr:uid="{885E2955-1592-4540-B614-86B6C0632E27}"/>
    <hyperlink ref="AA19:AA20" location="PF!N18" display="Poule F" xr:uid="{1708C600-F289-49ED-A988-4DB455530777}"/>
    <hyperlink ref="AA21:AA22" location="PG!N18" display="Poule G" xr:uid="{D48F568E-7615-4897-B00F-7374748B5428}"/>
    <hyperlink ref="AA23:AA24" location="PH!N18" display="Poule H" xr:uid="{6981ADCE-5A6F-4943-AC32-5EE110FEDCDF}"/>
    <hyperlink ref="AA25:AA26" location="PI!N18" display="Poule I" xr:uid="{53D26F8A-A40A-4F32-A89F-455CCF01AD97}"/>
    <hyperlink ref="AA27:AA28" location="PJ!N18" display="Poule J" xr:uid="{74906D96-46BD-4708-9666-D8FC1C2B7D72}"/>
    <hyperlink ref="AA29:AA30" location="PK!N18" display="Poule K" xr:uid="{B44E7649-F186-4769-959E-E06760728FE7}"/>
    <hyperlink ref="AA31:AA32" location="PL!N18" display="Poule L" xr:uid="{076EEF3A-723A-4906-9E8C-FD8197AB7354}"/>
    <hyperlink ref="AA37:AA38" location="Consolante!A1" display="Consolante" xr:uid="{DD4AAFDE-C143-4F9D-A9A5-E68195B131E0}"/>
    <hyperlink ref="AA40:AA42" location="RESULTATS!A1" display="RESULTATS" xr:uid="{8048BFC9-1A65-43A0-BD14-D60D07F2A4A8}"/>
    <hyperlink ref="AA34:AA35" location="'Phase finale'!A1" display="Phase Finale" xr:uid="{70D268EE-A950-4220-B9E3-6BB98B3C6A04}"/>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7350609E-5095-45FD-B6CA-EEA82EA0359A}">
            <xm:f>'GESTION DES JOUEURS'!$D$8="Open"</xm:f>
            <x14:dxf>
              <numFmt numFmtId="14" formatCode="0.00%"/>
            </x14:dxf>
          </x14:cfRule>
          <xm:sqref>R37:S42</xm:sqref>
        </x14:conditionalFormatting>
        <x14:conditionalFormatting xmlns:xm="http://schemas.microsoft.com/office/excel/2006/main">
          <x14:cfRule type="expression" priority="8" id="{776041F0-D026-4179-BEFC-6F86A105CEC7}">
            <xm:f>'GESTION DES JOUEURS'!$D$8="Open"</xm:f>
            <x14:dxf>
              <numFmt numFmtId="14" formatCode="0.00%"/>
            </x14:dxf>
          </x14:cfRule>
          <xm:sqref>W6:X11</xm:sqref>
        </x14:conditionalFormatting>
        <x14:conditionalFormatting xmlns:xm="http://schemas.microsoft.com/office/excel/2006/main">
          <x14:cfRule type="expression" priority="1" id="{AD543402-5F50-49B9-87FA-BE0078C642C1}">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E881E739-B520-474E-B08C-96494B3CABAE}">
            <xm:f>'GESTION DES JOUEURS'!$T$8&lt;2</xm:f>
            <x14:dxf>
              <font>
                <color theme="0" tint="-0.24994659260841701"/>
              </font>
              <fill>
                <patternFill>
                  <bgColor theme="0" tint="-0.24994659260841701"/>
                </patternFill>
              </fill>
            </x14:dxf>
          </x14:cfRule>
          <x14:cfRule type="expression" priority="42" id="{BA064D66-2DB4-4E33-86B3-CE8551C91146}">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78D158EF-3A6F-47D7-AA75-F8B95D0AC32C}">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53E6ECF1-30E9-4FDC-84ED-87D733828DBA}">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6BA3C797-C2E1-4DC9-9861-DCC227B4219E}">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4EE60C6A-439B-481E-8230-8DCDE14248CE}">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CF79799A-1476-47F2-8590-D97D86457E89}">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35DDC3E1-F5F7-4D5C-B85E-0376A2271259}">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D6344628-4349-4C25-A9B8-816CE891C161}">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E1712310-2412-4F92-8475-5955F486AACA}">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816D0B30-CEE7-445D-ACCD-F1E5E08E4F5D}">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7EF81D21-77A4-421E-86C1-A4E76DAAA042}">
            <xm:f>'GESTION DES JOUEURS'!$T$8=1</xm:f>
            <x14:dxf>
              <font>
                <color theme="0" tint="-0.24994659260841701"/>
              </font>
              <fill>
                <patternFill>
                  <bgColor theme="0" tint="-0.24994659260841701"/>
                </patternFill>
              </fill>
            </x14:dxf>
          </x14:cfRule>
          <x14:cfRule type="expression" priority="19" id="{BC974A67-808A-4C40-9DB1-969FDF4FE84C}">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D8498CCC-2F6A-4C88-B5FC-9FFC8AF5E983}">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3AFA234-9E4D-4121-8D07-54A855D734BB}">
          <x14:formula1>
            <xm:f>IF(AND(_xlfn.XLOOKUP($F18,$B$6:$B$11,$AD$6:$AD$11,"",0,1)&lt;&gt;"N1",_xlfn.XLOOKUP($U18,$B$6:$B$11,$AD$6:$AD$11,"",0,1)&lt;&gt;"N1",$B$15="Cadre N1/N2"),Distances!$B$89:$KP$89,Distances!$B$86:$KQ$86)</xm:f>
          </x14:formula1>
          <xm:sqref>O18:O32</xm:sqref>
        </x14:dataValidation>
        <x14:dataValidation type="list" allowBlank="1" showInputMessage="1" showErrorMessage="1" xr:uid="{433C0931-0008-408F-8F31-5939790F76B1}">
          <x14:formula1>
            <xm:f>IF(AND(_xlfn.XLOOKUP($F18,$B$6:$B$11,$AD$6:$AD$11,"",0,1)&lt;&gt;"N1",_xlfn.XLOOKUP($U18,$B$6:$B$11,$AD$6:$AD$11,"",0,1)&lt;&gt;"N1",$B$15="Cadre N1/N2"),Distances!$B$88:$KP$88,Distances!$B$85:$KQ$85)</xm:f>
          </x14:formula1>
          <xm:sqref>N18:N32 P18:P32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B6A9D-8ABA-4B5B-9D97-15ABBD74706F}">
  <sheetPr>
    <tabColor rgb="FFFF8669"/>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IF(PI!F13="FINALE","District 93-94"&amp;" - "&amp;IF(MONTH(AT5)&gt;8,YEAR(AT5)&amp;"/"&amp;YEAR(AT5)+1,YEAR(AT5)-1&amp;"/"&amp;YEAR(AT5))&amp;CHAR(10)&amp;PI!F13&amp;CHAR(10)&amp;PI!B15&amp;AT2,"District 93-94"&amp;" - "&amp;IF(MONTH(AT5)&gt;8,YEAR(AT5)&amp;"/"&amp;YEAR(AT5)+1,YEAR(AT5)-1&amp;"/"&amp;YEAR(AT5))&amp;CHAR(10)&amp;'GESTION DES JOUEURS'!C2&amp;CHAR(10)&amp;PI!K13&amp;" "&amp;PI!L13)</f>
        <v>District 93-94 - 2024/2025
Journée 3 -  Libre R2
Poule I</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IF(PI!M14="","",PI!M14)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IF(LEFT(PI!$B$15)="C","   -   "&amp;_xlfn.XLOOKUP(PI!B15,Distances!D2:D77,Distances!K2:K77,"",0,1),"")</f>
        <v/>
      </c>
      <c r="AV2" s="450" t="s">
        <v>8130</v>
      </c>
    </row>
    <row r="3" spans="1:48" ht="21.95" customHeight="1" thickBot="1" x14ac:dyDescent="0.3">
      <c r="A3" s="32"/>
      <c r="B3" s="868" t="str">
        <f>IF('GESTION DES JOUEURS'!$F$6="","","Directeur de jeu : "&amp;PI!S13)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"&amp;_xlfn.XLOOKUP(PI!B15,Distances!D2:D77,Distances!A2:A77,"",0,1)&amp;AT2</f>
        <v>Mode de jeu : Libre</v>
      </c>
      <c r="C5" s="877"/>
      <c r="D5" s="877"/>
      <c r="E5" s="877"/>
      <c r="F5" s="877"/>
      <c r="G5" s="876" t="str">
        <f>"Catégorie : "&amp;_xlfn.XLOOKUP(PI!B15,Distances!D2:D77,Distances!B2:B77,"",0,1)</f>
        <v>Catégorie : R2</v>
      </c>
      <c r="H5" s="877"/>
      <c r="I5" s="877"/>
      <c r="J5" s="877"/>
      <c r="K5" s="877"/>
      <c r="L5" s="877"/>
      <c r="M5" s="877"/>
      <c r="N5" s="878"/>
      <c r="O5" s="870" t="str">
        <f>IF(G5="Catégorie : N1/N2","Distance réduite : 150 pts"&amp;CHAR(10)&amp;"si N2 Vs N2 120pts",PI!B14&amp;" "&amp;PI!E14&amp;" "&amp;PI!F14)</f>
        <v>Distance : 100 Pts</v>
      </c>
      <c r="P5" s="871"/>
      <c r="Q5" s="871"/>
      <c r="R5" s="871"/>
      <c r="S5" s="871"/>
      <c r="T5" s="871"/>
      <c r="U5" s="872"/>
      <c r="V5" s="870" t="str">
        <f>IFERROR(IF(G5="Catégorie : N1/N2","Reprises : 15"&amp;CHAR(10)&amp;"si N2 Vs N2 Reprises : 20 ",PI!G14&amp;" "&amp;PI!J14),"")</f>
        <v>Reprises : 40</v>
      </c>
      <c r="W5" s="871"/>
      <c r="X5" s="871"/>
      <c r="Y5" s="871"/>
      <c r="Z5" s="871"/>
      <c r="AA5" s="871"/>
      <c r="AB5" s="871"/>
      <c r="AC5" s="872"/>
      <c r="AD5" s="873" t="str">
        <f>_xlfn.XLOOKUP(PI!B15,Distances!D2:D77,Distances!J2:J77,"",0,1)&amp;" "&amp;_xlfn.XLOOKUP(PI!B15,Distances!D2:D77,Distances!I2:I77,"",0,1)&amp;"0 m"</f>
        <v>PC 2,80 m</v>
      </c>
      <c r="AE5" s="874"/>
      <c r="AF5" s="874"/>
      <c r="AG5" s="874"/>
      <c r="AH5" s="874"/>
      <c r="AI5" s="875"/>
      <c r="AJ5" s="850">
        <f>IF(PI!T14=0,"DATE",PI!T14)</f>
        <v>45633</v>
      </c>
      <c r="AK5" s="851"/>
      <c r="AL5" s="851"/>
      <c r="AM5" s="851"/>
      <c r="AN5" s="851"/>
      <c r="AO5" s="851"/>
      <c r="AP5" s="851"/>
      <c r="AQ5" s="852"/>
      <c r="AS5" s="841" t="s">
        <v>8129</v>
      </c>
      <c r="AT5" s="32">
        <f ca="1">IF(PI!T14&gt;1,AJ5,TODAY())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IF(PI!$AO$4&lt;2,"","JOUEURS")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IF(PI!$AO$4&lt;2,"","RESULTATS")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IF(PI!AO4=2,_xlfn.XLOOKUP(1,PI!M6:M11,PI!C6:D11&amp;" "&amp;LEFT(PI!E6)&amp;".","",0,1),IF(COUNT(PI!A6:A11)&gt;2,CONCATENATE(PI!C6," ",LEFT(PI!E6),"."),""))</f>
        <v/>
      </c>
      <c r="D10" s="32"/>
      <c r="E10" s="885" t="str">
        <f>IF(PI!W35="NON",AG1,IF(PI!AO4&gt;0,_xlfn.XLOOKUP('T PI'!C13,'LOGOS CLUBS'!$B$2:$B$65,'LOGOS CLUBS'!$C$2:$C$65,C13,0,1),""))</f>
        <v/>
      </c>
      <c r="F10" s="885"/>
      <c r="G10" s="885"/>
      <c r="H10" s="885"/>
      <c r="I10" s="32"/>
      <c r="J10" s="882" t="str">
        <f>IF(AND(PI!$AO$4=2,PI!$A18="P"),PI!N18,IF(AND(COUNT(PI!$A$6:$A$11)&gt;2,PI!$CF10="P"),PI!$CC10,""))</f>
        <v/>
      </c>
      <c r="K10" s="882"/>
      <c r="L10" s="882" t="str">
        <f>IF(AND(PI!$AO$4=2,PI!$A18="P"),PI!O18,IF(AND(COUNT(PI!$A$6:$A$11)&gt;2,PI!$CF10="P"),PI!$CE10,""))</f>
        <v/>
      </c>
      <c r="M10" s="882"/>
      <c r="N10" s="142"/>
      <c r="O10" s="882" t="str">
        <f>IF(PI!$AO$4=2,"",IF(AND(COUNT(PI!$A$6:$A$11)&gt;2,PI!$CF9="P"),PI!$CC9,""))</f>
        <v/>
      </c>
      <c r="P10" s="882"/>
      <c r="Q10" s="882" t="str">
        <f>IF(PI!$AO$4=2,"",IF(AND(COUNT(PI!$A$6:$A$11)&gt;2,PI!$CF9="P"),PI!$CE9,""))</f>
        <v/>
      </c>
      <c r="R10" s="882"/>
      <c r="S10" s="142"/>
      <c r="T10" s="882" t="str">
        <f>IF(PI!$AO$4=2,"",IF(AND(COUNT(PI!$A$6:$A$11)&gt;2,PI!$CF8="P"),PI!$CC8,""))</f>
        <v/>
      </c>
      <c r="U10" s="882"/>
      <c r="V10" s="882" t="str">
        <f>IF(PI!$AO$4=2,"",IF(AND(COUNT(PI!$A$6:$A$11)&gt;2,PI!$CF8="P"),PI!$CE8,""))</f>
        <v/>
      </c>
      <c r="W10" s="882"/>
      <c r="X10" s="142"/>
      <c r="Y10" s="882" t="str">
        <f>IF(PI!$AO$4=2,"",IF(AND(COUNT(PI!$A$6:$A$11)&gt;2,PI!$CF7="P"),PI!$CC7,""))</f>
        <v/>
      </c>
      <c r="Z10" s="882"/>
      <c r="AA10" s="882" t="str">
        <f>IF(PI!$AO$4=2,"",IF(AND(COUNT(PI!$A$6:$A$11)&gt;2,PI!$CF7="P"),PI!$CE7,""))</f>
        <v/>
      </c>
      <c r="AB10" s="882"/>
      <c r="AC10" s="142"/>
      <c r="AD10" s="882" t="str">
        <f>IF(PI!$AO$4=2,"",IF(AND(COUNT(PI!$A$6:$A$11)&gt;2,PI!$CF6="P"),PI!$CC6,""))</f>
        <v/>
      </c>
      <c r="AE10" s="882"/>
      <c r="AF10" s="882" t="str">
        <f>IF(PI!$AO$4=2,"",IF(AND(COUNT(PI!$A$6:$A$11)&gt;2,PI!$CF6="P"),PI!$CE6,""))</f>
        <v/>
      </c>
      <c r="AG10" s="882"/>
      <c r="AH10" s="32"/>
      <c r="AI10" s="32"/>
      <c r="AJ10" s="32"/>
      <c r="AK10" s="882" t="str" cm="1">
        <f t="array" ref="AK10">IF(PI!$AO$4&lt;2,"",IF(_xlfn.XLOOKUP('T PI'!C12,"Licence n° "&amp;PI!$B$6:$B$11,PI!$AO$6:$AO$11,"",0,1)=1,"",_xlfn.XLOOKUP('T PI'!C12,"Licence n° "&amp;PI!$B$6:$B$11,PI!$V$6:$V$11,"",0,1)))</f>
        <v/>
      </c>
      <c r="AL10" s="882"/>
      <c r="AM10" s="879" t="str" cm="1">
        <f t="array" ref="AM10">IF(PI!$AO$4&lt;2,"",IF(_xlfn.XLOOKUP('T PI'!C12,"Licence n° "&amp;PI!$B$6:$B$11,PI!$AO$6:$AO$11,"",0,1)=1,"",_xlfn.XLOOKUP('T PI'!C12,"Licence n° "&amp;PI!$B$6:$B$11,PI!$T$6:$T$11,"",0,1)))</f>
        <v/>
      </c>
      <c r="AN10" s="879"/>
      <c r="AO10" s="32"/>
      <c r="AP10" s="561" t="str" cm="1">
        <f t="array" ref="AP10">_xlfn.XLOOKUP(C12,"Licence n° "&amp;PI!$B$6:$B$11,PI!$W$6:$W$11,"",0,1)</f>
        <v/>
      </c>
      <c r="AQ10" s="32"/>
      <c r="AS10" s="843" t="str">
        <f>IF('GESTION DES JOUEURS'!$D$8="Finale","Poule Finale","Poule A")</f>
        <v>Poule A</v>
      </c>
      <c r="AT10" s="32"/>
      <c r="AV10" s="838"/>
    </row>
    <row r="11" spans="1:48" ht="12.6" customHeight="1" thickBot="1" x14ac:dyDescent="0.3">
      <c r="A11" s="32"/>
      <c r="B11" s="32"/>
      <c r="C11" s="143" t="str" cm="1">
        <f t="array" ref="C11">IF(PI!$AO$4=2,_xlfn.XLOOKUP(1,PI!$M$6:$M$11,PI!$K$6:$K$11&amp;" "&amp;PI!$AS$6:$AS$11,"",0,1),IF(COUNT(PI!$A$6:$A$11)&gt;2,PI!$K6&amp;" - "&amp;PI!$AS6," "))</f>
        <v xml:space="preserve"> </v>
      </c>
      <c r="D11" s="32"/>
      <c r="E11" s="885"/>
      <c r="F11" s="885"/>
      <c r="G11" s="885"/>
      <c r="H11" s="885"/>
      <c r="I11" s="32"/>
      <c r="J11" s="144" t="str">
        <f>IF(K11="","","Pts")</f>
        <v/>
      </c>
      <c r="K11" s="880" t="str">
        <f>IF(PI!$AO$4=2,PI!D18,IF(AND(COUNT(PI!$A$6:$A$11)&gt;2,PI!$CF10="P"),PI!$CG10,""))</f>
        <v/>
      </c>
      <c r="L11" s="880"/>
      <c r="M11" s="144" t="str">
        <f>IF(K11="","","Rep.")</f>
        <v/>
      </c>
      <c r="N11" s="144"/>
      <c r="O11" s="144" t="str">
        <f>IF(P11="","","Pts")</f>
        <v/>
      </c>
      <c r="P11" s="880" t="str">
        <f>IF(PI!$AO$4=2,"",IF(AND(COUNT(PI!$A$6:$A$11)&gt;2,PI!$CF9="P"),PI!$CG9,""))</f>
        <v/>
      </c>
      <c r="Q11" s="880"/>
      <c r="R11" s="144" t="str">
        <f>IF(P11="","","Rep.")</f>
        <v/>
      </c>
      <c r="S11" s="144"/>
      <c r="T11" s="144" t="str">
        <f>IF(U11="","","Pts")</f>
        <v/>
      </c>
      <c r="U11" s="880" t="str">
        <f>IF(PI!$AO$4=2,"",IF(AND(COUNT(PI!$A$6:$A$11)&gt;2,PI!$CF8="P"),PI!$CG8,""))</f>
        <v/>
      </c>
      <c r="V11" s="880"/>
      <c r="W11" s="144" t="str">
        <f>IF(U11="","","Rep.")</f>
        <v/>
      </c>
      <c r="X11" s="144"/>
      <c r="Y11" s="144" t="str">
        <f>IF(Z11="","","Pts")</f>
        <v/>
      </c>
      <c r="Z11" s="880" t="str">
        <f>IF(PI!$AO$4=2,"",IF(AND(COUNT(PI!$A$6:$A$11)&gt;2,PI!$CF7="P"),PI!$CG7,""))</f>
        <v/>
      </c>
      <c r="AA11" s="880"/>
      <c r="AB11" s="144" t="str">
        <f>IF(Z11="","","Rep.")</f>
        <v/>
      </c>
      <c r="AC11" s="144"/>
      <c r="AD11" s="144" t="str">
        <f>IF(AE11="","","Pts")</f>
        <v/>
      </c>
      <c r="AE11" s="880" t="str">
        <f>IF(PI!$AO$4=2,"",IF(AND(COUNT(PI!$A$6:$A$11)&gt;2,PI!$CF6="P"),PI!$CG6,""))</f>
        <v/>
      </c>
      <c r="AF11" s="880"/>
      <c r="AG11" s="144" t="str">
        <f>IF(AE11="","","Rep.")</f>
        <v/>
      </c>
      <c r="AH11" s="32"/>
      <c r="AI11" s="32"/>
      <c r="AJ11" s="32"/>
      <c r="AK11" s="145" t="str">
        <f>IF(AL11="","","PM")</f>
        <v/>
      </c>
      <c r="AL11" s="881" t="str" cm="1">
        <f t="array" ref="AL11">IF(SUM(PI!$Q$6:$Q$11)=0,"",IF(PI!$AO$4&gt;1,IF(_xlfn.XLOOKUP('T PI'!C12,"Licence n° "&amp;PI!$B$6:$B$11,PI!$AO$6:$AO$11,"",0,1)=1,"Forfait",_xlfn.XLOOKUP('T PI'!C12,"Licence n° "&amp;PI!$B$37:$B$42,PI!$Q$37:$Q$42,"",0,1)),""))</f>
        <v/>
      </c>
      <c r="AM11" s="881"/>
      <c r="AN11" s="145" t="str">
        <f>IF(AL11="","","MGP")</f>
        <v/>
      </c>
      <c r="AO11" s="32"/>
      <c r="AP11" s="146" t="str">
        <f>IF(OR(PI!$AO$4&lt;2,LEFT(PI!$F$13)="F"),"","Pts Rk")</f>
        <v/>
      </c>
      <c r="AQ11" s="32"/>
      <c r="AS11" s="844"/>
      <c r="AT11" s="32"/>
      <c r="AV11" s="839"/>
    </row>
    <row r="12" spans="1:48" ht="12.6" customHeight="1" x14ac:dyDescent="0.25">
      <c r="A12" s="32"/>
      <c r="B12" s="32"/>
      <c r="C12" s="147" t="str">
        <f>IF(PI!AO4=2,"Licence n° "&amp;_xlfn.XLOOKUP(1,PI!M6:M11,PI!B6:B11,"",0,1),IF(COUNT(PI!A6:A11)&gt;2,"Licence n° "&amp;PI!B6,"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IF(OR(PI!$AO$4&lt;2,LEFT(PI!$F$13)="F"),"","Bonus")</f>
        <v/>
      </c>
      <c r="AQ12" s="32"/>
      <c r="AS12" s="845" t="s">
        <v>8113</v>
      </c>
      <c r="AT12" s="32"/>
    </row>
    <row r="13" spans="1:48" ht="50.1" customHeight="1" x14ac:dyDescent="0.25">
      <c r="A13" s="32"/>
      <c r="B13" s="32"/>
      <c r="C13" s="149" t="str">
        <f>IF(PI!AO4=2,_xlfn.XLOOKUP(1,PI!M6:M11,PI!G6:G11,"",0,1),IF(COUNT(PI!A6:A11)&gt;2,PI!G6," "))</f>
        <v xml:space="preserve"> </v>
      </c>
      <c r="D13" s="32"/>
      <c r="E13" s="885"/>
      <c r="F13" s="885"/>
      <c r="G13" s="885"/>
      <c r="H13" s="885"/>
      <c r="I13" s="32"/>
      <c r="J13" s="883" t="str">
        <f>IF(K11="","",IF(K11&gt;0,J10/L10,"/"))</f>
        <v/>
      </c>
      <c r="K13" s="883"/>
      <c r="L13" s="884" t="str">
        <f>IF(AND(PI!$AO$4=2,PI!$A18="P"),PI!M18,IF(AND(COUNT(PI!$A$6:$A$11)&gt;2,PI!$CF10="P"),PI!$CD10,""))</f>
        <v/>
      </c>
      <c r="M13" s="884"/>
      <c r="N13" s="32"/>
      <c r="O13" s="883" t="str">
        <f>IF(P11="","",IF(P11&gt;0,O10/Q10,"/"))</f>
        <v/>
      </c>
      <c r="P13" s="883"/>
      <c r="Q13" s="884" t="str">
        <f>IF(PI!$AO$4=2,"",IF(AND(COUNT(PI!$A$6:$A$11)&gt;2,PI!$CF9="P"),PI!$CD9,""))</f>
        <v/>
      </c>
      <c r="R13" s="884"/>
      <c r="S13" s="32"/>
      <c r="T13" s="883" t="str">
        <f>IF(U11="","",IF(U11&gt;0,T10/V10,"/"))</f>
        <v/>
      </c>
      <c r="U13" s="883"/>
      <c r="V13" s="884" t="str">
        <f>IF(PI!$AO$4=2,"",IF(AND(COUNT(PI!$A$6:$A$11)&gt;2,PI!$CF8="P"),PI!$CD8,""))</f>
        <v/>
      </c>
      <c r="W13" s="884"/>
      <c r="X13" s="32"/>
      <c r="Y13" s="883" t="str">
        <f>IF(Z11="","",IF(Z11&gt;0,Y10/AA10,"/"))</f>
        <v/>
      </c>
      <c r="Z13" s="883"/>
      <c r="AA13" s="884" t="str">
        <f>IF(PI!$AO$4=2,"",IF(AND(COUNT(PI!$A$6:$A$11)&gt;2,PI!$CF7="P"),PI!$CD7,""))</f>
        <v/>
      </c>
      <c r="AB13" s="884"/>
      <c r="AC13" s="32"/>
      <c r="AD13" s="883" t="str">
        <f>IF(AE11="","",IF(AE11&gt;0,AD10/AF10,"/"))</f>
        <v/>
      </c>
      <c r="AE13" s="883"/>
      <c r="AF13" s="884" t="str">
        <f>IF(PI!$AO$4=2,"",IF(AND(COUNT(PI!$A$6:$A$11)&gt;2,PI!$CF6="P"),PI!$CD6,""))</f>
        <v/>
      </c>
      <c r="AG13" s="884"/>
      <c r="AH13" s="32"/>
      <c r="AI13" s="32"/>
      <c r="AJ13" s="32"/>
      <c r="AK13" s="883" t="str" cm="1">
        <f t="array" ref="AK13">IF(PI!$AO$4&lt;2,"",IF(_xlfn.XLOOKUP('T PI'!C12,"Licence n° "&amp;PI!$B$6:$B$11,PI!$AO$6:$AO$11,"",0,1)=1,"",_xlfn.XLOOKUP('T PI'!C12,"Licence n° "&amp;PI!$B$6:$B$11,PI!$U$6:$U$11,"",0,1)))</f>
        <v/>
      </c>
      <c r="AL13" s="883"/>
      <c r="AM13" s="884" t="str" cm="1">
        <f t="array" ref="AM13">IF(PI!$AO$4&lt;2,"",IF(_xlfn.XLOOKUP('T PI'!C12,"Licence n° "&amp;PI!$B$6:$B$11,PI!$AO$6:$AO$11,"",0,1)=1,"",_xlfn.XLOOKUP('T PI'!C12,"Licence n° "&amp;PI!$B$6:$B$11,PI!$S$6:$S$11,"",0,1)))</f>
        <v/>
      </c>
      <c r="AN13" s="884"/>
      <c r="AO13" s="32"/>
      <c r="AP13" s="562" t="str" cm="1">
        <f t="array" ref="AP13">_xlfn.XLOOKUP(C12,"Licence n° "&amp;PI!$B$6:$B$11,PI!$X$6:$X$11,"",0,1)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IF(PI!AO4=2,_xlfn.XLOOKUP(2,PI!M6:M11,PI!C6:D11&amp;" "&amp;LEFT(PI!E6:E11)&amp;".","",0,1),IF(COUNT(PI!A6:A11)&gt;2,CONCATENATE(PI!C7," ",LEFT(PI!E7),"."),""))</f>
        <v/>
      </c>
      <c r="D15" s="32"/>
      <c r="E15" s="882" t="str">
        <f>IF(AND(PI!$AO$4=2,PI!$A18="P"),PI!P18,IF(AND(COUNT(PI!$A$6:$A$11)&gt;2,PI!$CF15="P"),PI!$CC15,""))</f>
        <v/>
      </c>
      <c r="F15" s="882"/>
      <c r="G15" s="882" t="str">
        <f>IF(AND(PI!$AO$4=2,PI!$A18="P"),PI!O18,IF(AND(COUNT(PI!$A$6:$A$11)&gt;2,PI!$CF15="P"),PI!$CE15,""))</f>
        <v/>
      </c>
      <c r="H15" s="882"/>
      <c r="I15" s="32"/>
      <c r="J15" s="885" t="str">
        <f>IF(PI!W35="NON",AG1,IF(PI!AO4=2,"MATCH 1",IF(PI!AO4&gt;2,_xlfn.XLOOKUP(C18,'LOGOS CLUBS'!$B$2:$B$65,'LOGOS CLUBS'!$C$2:$C$65,C18,0,1),"")))</f>
        <v/>
      </c>
      <c r="K15" s="885"/>
      <c r="L15" s="885"/>
      <c r="M15" s="885"/>
      <c r="N15" s="32"/>
      <c r="O15" s="882" t="str">
        <f>IF(PI!$AO$4=2,"",IF(AND(COUNT(PI!$A$6:$A$11)&gt;2,PI!$CF14="P"),PI!$CC14,""))</f>
        <v/>
      </c>
      <c r="P15" s="882"/>
      <c r="Q15" s="882" t="str">
        <f>IF(PI!$AO$4=2,"",IF(AND(COUNT(PI!$A$6:$A$11)&gt;2,PI!$CF14="P"),PI!$CE14,""))</f>
        <v/>
      </c>
      <c r="R15" s="882"/>
      <c r="S15" s="142"/>
      <c r="T15" s="882" t="str">
        <f>IF(PI!$AO$4=2,"",IF(AND(COUNT(PI!$A$6:$A$11)&gt;2,PI!$CF13="P"),PI!$CC13,""))</f>
        <v/>
      </c>
      <c r="U15" s="882"/>
      <c r="V15" s="882" t="str">
        <f>IF(PI!$AO$4=2,"",IF(AND(COUNT(PI!$A$6:$A$11)&gt;2,PI!$CF13="P"),PI!$CE13,""))</f>
        <v/>
      </c>
      <c r="W15" s="882"/>
      <c r="X15" s="142"/>
      <c r="Y15" s="882" t="str">
        <f>IF(PI!$AO$4=2,"",IF(AND(COUNT(PI!$A$6:$A$11)&gt;2,PI!$CF12="P"),PI!$CC12,""))</f>
        <v/>
      </c>
      <c r="Z15" s="882"/>
      <c r="AA15" s="882" t="str">
        <f>IF(PI!$AO$4=2,"",IF(AND(COUNT(PI!$A$6:$A$11)&gt;2,PI!$CF12="P"),PI!$CE12,""))</f>
        <v/>
      </c>
      <c r="AB15" s="882"/>
      <c r="AC15" s="142"/>
      <c r="AD15" s="882" t="str">
        <f>IF(PI!$AO$4=2,"",IF(AND(COUNT(PI!$A$6:$A$11)&gt;2,PI!$CF11="P"),PI!$CC11,""))</f>
        <v/>
      </c>
      <c r="AE15" s="882"/>
      <c r="AF15" s="882" t="str">
        <f>IF(PI!$AO$4=2,"",IF(AND(COUNT(PI!$A$6:$A$11)&gt;2,PI!$CF11="P"),PI!$CE11,""))</f>
        <v/>
      </c>
      <c r="AG15" s="882"/>
      <c r="AH15" s="32"/>
      <c r="AI15" s="32"/>
      <c r="AJ15" s="32"/>
      <c r="AK15" s="882" t="str" cm="1">
        <f t="array" ref="AK15">IF(PI!$AO$4&lt;2,"",IF(_xlfn.XLOOKUP('T PI'!C17,"Licence n° "&amp;PI!$B$6:$B$11,PI!$AO$6:$AO$11,"",0,1)=1,"",_xlfn.XLOOKUP('T PI'!C17,"Licence n° "&amp;PI!$B$6:$B$11,PI!$V$6:$V$11,"",0,1)))</f>
        <v/>
      </c>
      <c r="AL15" s="882"/>
      <c r="AM15" s="879" t="str" cm="1">
        <f t="array" ref="AM15">IF(PI!$AO$4&lt;2,"",IF(_xlfn.XLOOKUP('T PI'!C17,"Licence n° "&amp;PI!$B$6:$B$11,PI!$AO$6:$AO$11,"",0,1)=1,"",_xlfn.XLOOKUP('T PI'!C17,"Licence n° "&amp;PI!$B$6:$B$11,PI!$T$6:$T$11,"",0,1)))</f>
        <v/>
      </c>
      <c r="AN15" s="879"/>
      <c r="AO15" s="32"/>
      <c r="AP15" s="561" t="str" cm="1">
        <f t="array" ref="AP15">_xlfn.XLOOKUP(C17,"Licence n° "&amp;PI!$B$6:$B$11,PI!$W$6:$W$11,"",0,1)</f>
        <v/>
      </c>
      <c r="AQ15" s="32"/>
      <c r="AS15" s="840" t="s">
        <v>8114</v>
      </c>
      <c r="AT15" s="32"/>
    </row>
    <row r="16" spans="1:48" ht="12.6" customHeight="1" x14ac:dyDescent="0.25">
      <c r="A16" s="32"/>
      <c r="B16" s="32"/>
      <c r="C16" s="143" t="str" cm="1">
        <f t="array" ref="C16">IF(PI!$AO$4=2,_xlfn.XLOOKUP(2,PI!$M$6:$M$11,PI!$K$6:$K$11&amp;" "&amp;PI!$AS$6:$AS$11,"",0,1),IF(COUNT(PI!$A$6:$A$11)&gt;2,PI!$K7&amp;" - "&amp;PI!$AS7," "))</f>
        <v xml:space="preserve"> </v>
      </c>
      <c r="D16" s="32"/>
      <c r="E16" s="144" t="str">
        <f>IF(F16="","","Pts")</f>
        <v/>
      </c>
      <c r="F16" s="880" t="str">
        <f>IF(PI!$AO$4=2,PI!X18,IF(AND(COUNT(PI!$A$6:$A$11)&gt;2,PI!$CF15="P"),PI!$CG15,""))</f>
        <v/>
      </c>
      <c r="G16" s="880"/>
      <c r="H16" s="144" t="str">
        <f>IF(F16="","","Rep.")</f>
        <v/>
      </c>
      <c r="I16" s="32"/>
      <c r="J16" s="885"/>
      <c r="K16" s="885"/>
      <c r="L16" s="885"/>
      <c r="M16" s="885"/>
      <c r="N16" s="32"/>
      <c r="O16" s="144" t="str">
        <f>IF(P16="","","Pts")</f>
        <v/>
      </c>
      <c r="P16" s="880" t="str">
        <f>IF(PI!$AO$4=2,"",IF(AND(COUNT(PI!$A$6:$A$11)&gt;2,PI!$CF14="P"),PI!$CG14,""))</f>
        <v/>
      </c>
      <c r="Q16" s="880"/>
      <c r="R16" s="144" t="str">
        <f>IF(P16="","","Rep.")</f>
        <v/>
      </c>
      <c r="S16" s="50"/>
      <c r="T16" s="144" t="str">
        <f>IF(U16="","","Pts")</f>
        <v/>
      </c>
      <c r="U16" s="880" t="str">
        <f>IF(PI!$AO$4=2,"",IF(AND(COUNT(PI!$A$6:$A$11)&gt;2,PI!$CF13="P"),PI!$CG13,""))</f>
        <v/>
      </c>
      <c r="V16" s="880"/>
      <c r="W16" s="144" t="str">
        <f>IF(U16="","","Rep.")</f>
        <v/>
      </c>
      <c r="X16" s="144"/>
      <c r="Y16" s="144" t="str">
        <f>IF(Z16="","","Pts")</f>
        <v/>
      </c>
      <c r="Z16" s="880" t="str">
        <f>IF(PI!$AO$4=2,"",IF(AND(COUNT(PI!$A$6:$A$11)&gt;2,PI!$CF12="P"),PI!$CG12,""))</f>
        <v/>
      </c>
      <c r="AA16" s="880"/>
      <c r="AB16" s="144" t="str">
        <f>IF(Z16="","","Rep.")</f>
        <v/>
      </c>
      <c r="AC16" s="144"/>
      <c r="AD16" s="144" t="str">
        <f>IF(AE16="","","Pts")</f>
        <v/>
      </c>
      <c r="AE16" s="880" t="str">
        <f>IF(PI!$AO$4=2,"",IF(AND(COUNT(PI!$A$6:$A$11)&gt;2,PI!$CF11="P"),PI!$CG11,""))</f>
        <v/>
      </c>
      <c r="AF16" s="880"/>
      <c r="AG16" s="144" t="str">
        <f>IF(AE16="","","Rep.")</f>
        <v/>
      </c>
      <c r="AH16" s="32"/>
      <c r="AI16" s="32"/>
      <c r="AJ16" s="32"/>
      <c r="AK16" s="145" t="str">
        <f>IF(AL16="","","PM")</f>
        <v/>
      </c>
      <c r="AL16" s="881" t="str" cm="1">
        <f t="array" ref="AL16">IF(SUM(PI!$Q$6:$Q$11)=0,"",IF(PI!$AO$4&gt;1,IF(_xlfn.XLOOKUP('T PI'!C17,"Licence n° "&amp;PI!$B$6:$B$11,PI!$AO$6:$AO$11,"",0,1)=1,"Forfait",_xlfn.XLOOKUP('T PI'!C17,"Licence n° "&amp;PI!$B$37:$B$42,PI!$Q$37:$Q$42,"",0,1)),""))</f>
        <v/>
      </c>
      <c r="AM16" s="881"/>
      <c r="AN16" s="145" t="str">
        <f>IF(AL16="","","MGP")</f>
        <v/>
      </c>
      <c r="AO16" s="32"/>
      <c r="AP16" s="151" t="str">
        <f>IF(OR(PI!$AO$4&lt;2,LEFT(PI!$F$13)="F"),"","Pts Rk")</f>
        <v/>
      </c>
      <c r="AQ16" s="32"/>
      <c r="AS16" s="840"/>
      <c r="AT16" s="32"/>
    </row>
    <row r="17" spans="1:52" ht="12.6" customHeight="1" x14ac:dyDescent="0.25">
      <c r="A17" s="32"/>
      <c r="B17" s="32"/>
      <c r="C17" s="147" t="str">
        <f>IF(PI!AO4=2,"Licence n° "&amp;_xlfn.XLOOKUP(2,PI!M6:M11,PI!B6:B11,"",0,1),IF(COUNT(PI!A6:A11)&gt;2,"Licence n° "&amp;PI!B7,"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IF(OR(PI!$AO$4&lt;2,LEFT(PI!$F$13)="F"),"","Bonus")</f>
        <v/>
      </c>
      <c r="AQ17" s="32"/>
      <c r="AS17" s="846" t="s">
        <v>8115</v>
      </c>
      <c r="AT17" s="32"/>
      <c r="AZ17" s="241"/>
    </row>
    <row r="18" spans="1:52" ht="50.1" customHeight="1" x14ac:dyDescent="0.25">
      <c r="A18" s="32"/>
      <c r="B18" s="32"/>
      <c r="C18" s="149" t="str">
        <f>IF(PI!AO4=2,_xlfn.XLOOKUP(2,PI!M6:M11,PI!G6:G11,"",0,1),IF(COUNT(PI!A6:A11)&gt;2,PI!G7," "))</f>
        <v xml:space="preserve"> </v>
      </c>
      <c r="D18" s="32"/>
      <c r="E18" s="883" t="str">
        <f>IF(F16="","",IF(F16&gt;0,E15/G15,"/"))</f>
        <v/>
      </c>
      <c r="F18" s="883"/>
      <c r="G18" s="884" t="str">
        <f>IF(AND(PI!$AO$4=2,PI!$A18="P"),PI!Q18,IF(AND(COUNT(PI!$A$6:$A$11)&gt;2,PI!$CF15="P"),PI!$CD15,""))</f>
        <v/>
      </c>
      <c r="H18" s="884"/>
      <c r="I18" s="32"/>
      <c r="J18" s="885"/>
      <c r="K18" s="885"/>
      <c r="L18" s="885"/>
      <c r="M18" s="885"/>
      <c r="N18" s="32"/>
      <c r="O18" s="883" t="str">
        <f>IF(P16="","",IF(P16&gt;0,O15/Q15,"/"))</f>
        <v/>
      </c>
      <c r="P18" s="883"/>
      <c r="Q18" s="884" t="str">
        <f>IF(PI!$AO$4=2,"",IF(AND(COUNT(PI!$A$6:$A$11)&gt;2,PI!$CF14="P"),PI!$CD14,""))</f>
        <v/>
      </c>
      <c r="R18" s="884"/>
      <c r="S18" s="32"/>
      <c r="T18" s="883" t="str">
        <f>IF(U16="","",IF(U16&gt;0,T15/V15,"/"))</f>
        <v/>
      </c>
      <c r="U18" s="883"/>
      <c r="V18" s="884" t="str">
        <f>IF(PI!$AO$4=2,"",IF(AND(COUNT(PI!$A$6:$A$11)&gt;2,PI!$CF13="P"),PI!$CD13,""))</f>
        <v/>
      </c>
      <c r="W18" s="884"/>
      <c r="X18" s="32"/>
      <c r="Y18" s="883" t="str">
        <f>IF(Z16="","",IF(Z16&gt;0,Y15/AA15,"/"))</f>
        <v/>
      </c>
      <c r="Z18" s="883"/>
      <c r="AA18" s="884" t="str">
        <f>IF(PI!$AO$4=2,"",IF(AND(COUNT(PI!$A$6:$A$11)&gt;2,PI!$CF12="P"),PI!$CD12,""))</f>
        <v/>
      </c>
      <c r="AB18" s="884"/>
      <c r="AC18" s="32"/>
      <c r="AD18" s="883" t="str">
        <f>IF(AE16="","",IF(AE16&gt;0,AD15/AF15,"/"))</f>
        <v/>
      </c>
      <c r="AE18" s="883"/>
      <c r="AF18" s="884" t="str">
        <f>IF(PI!$AO$4=2,"",IF(AND(COUNT(PI!$A$6:$A$11)&gt;2,PI!$CF11="P"),PI!$CD11,""))</f>
        <v/>
      </c>
      <c r="AG18" s="884"/>
      <c r="AH18" s="32"/>
      <c r="AI18" s="32"/>
      <c r="AJ18" s="32"/>
      <c r="AK18" s="883" t="str" cm="1">
        <f t="array" ref="AK18">IF(PI!$AO$4&lt;2,"",IF(_xlfn.XLOOKUP('T PI'!C17,"Licence n° "&amp;PI!$B$6:$B$11,PI!$AO$6:$AO$11,"",0,1)=1,"",_xlfn.XLOOKUP('T PI'!C17,"Licence n° "&amp;PI!$B$6:$B$11,PI!$U$6:$U$11,"",0,1)))</f>
        <v/>
      </c>
      <c r="AL18" s="883"/>
      <c r="AM18" s="884" t="str" cm="1">
        <f t="array" ref="AM18">IF(PI!$AO$4&lt;2,"",IF(_xlfn.XLOOKUP('T PI'!C17,"Licence n° "&amp;PI!$B$6:$B$11,PI!$AO$6:$AO$11,"",0,1)=1,"",_xlfn.XLOOKUP('T PI'!C17,"Licence n° "&amp;PI!$B$6:$B$11,PI!$S$6:$S$11,"",0,1)))</f>
        <v/>
      </c>
      <c r="AN18" s="884"/>
      <c r="AO18" s="32"/>
      <c r="AP18" s="562" t="str" cm="1">
        <f t="array" ref="AP18">_xlfn.XLOOKUP(C17,"Licence n° "&amp;PI!$B$6:$B$11,PI!$X$6:$X$11,"",0,1)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IF(PI!AO4=2,C10,IF(COUNT(PI!A6:A11)&gt;2,CONCATENATE(PI!C8," ",LEFT(PI!E8),"."),""))</f>
        <v/>
      </c>
      <c r="D20" s="32"/>
      <c r="E20" s="882" t="str">
        <f>IF(PI!$AO$4=2,"",IF(AND(COUNT(PI!$A$6:$A$11)&gt;2,PI!$CF20="P"),PI!$CC20,""))</f>
        <v/>
      </c>
      <c r="F20" s="882"/>
      <c r="G20" s="882" t="str">
        <f>IF(PI!$AO$4=2,"",IF(AND(COUNT(PI!$A$6:$A$11)&gt;2,PI!$CF20="P"),PI!$CE20,""))</f>
        <v/>
      </c>
      <c r="H20" s="882"/>
      <c r="I20" s="142"/>
      <c r="J20" s="882" t="str">
        <f>IF(PI!$AO$4=2,"",IF(AND(COUNT(PI!$A$6:$A$11)&gt;2,PI!$CF19="P"),PI!$CC19,""))</f>
        <v/>
      </c>
      <c r="K20" s="882"/>
      <c r="L20" s="882" t="str">
        <f>IF(PI!$AO$4=2,"",IF(AND(COUNT(PI!$A$6:$A$11)&gt;2,PI!$CF19="P"),PI!$CE19,""))</f>
        <v/>
      </c>
      <c r="M20" s="882"/>
      <c r="N20" s="32"/>
      <c r="O20" s="885" t="str">
        <f>IF(PI!W35="NON",AG1,IF(PI!AO4=2,"MATCH 2",IF(PI!AO4&gt;2,_xlfn.XLOOKUP(C23,'LOGOS CLUBS'!$B$2:$B$65,'LOGOS CLUBS'!$C$2:$C$65,C23,0,1),"")))</f>
        <v/>
      </c>
      <c r="P20" s="885"/>
      <c r="Q20" s="885"/>
      <c r="R20" s="885"/>
      <c r="S20" s="32"/>
      <c r="T20" s="882" t="str">
        <f>IF(AND(PI!$AO$4=2,PI!$A19="P"),PI!P19,IF(AND(COUNT(PI!$A$6:$A$11)&gt;2,PI!$CF18="P"),PI!$CC18,""))</f>
        <v/>
      </c>
      <c r="U20" s="882"/>
      <c r="V20" s="882" t="str">
        <f>IF(AND(PI!$AO$4=2,PI!$A19="P"),PI!O19,IF(AND(COUNT(PI!$A$6:$A$11)&gt;2,PI!$CF18="P"),PI!$CE18,""))</f>
        <v/>
      </c>
      <c r="W20" s="882"/>
      <c r="X20" s="142"/>
      <c r="Y20" s="882" t="str">
        <f>IF(PI!$AO$4=2,"",IF(AND(COUNT(PI!$A$6:$A$11)&gt;2,PI!$CF17="P"),PI!$CC17,""))</f>
        <v/>
      </c>
      <c r="Z20" s="882"/>
      <c r="AA20" s="882" t="str">
        <f>IF(PI!$AO$4=2,"",IF(AND(COUNT(PI!$A$6:$A$11)&gt;2,PI!$CF17="P"),PI!$CE17,""))</f>
        <v/>
      </c>
      <c r="AB20" s="882"/>
      <c r="AC20" s="142"/>
      <c r="AD20" s="882" t="str">
        <f>IF(PI!$AO$4=2,"",IF(AND(COUNT(PI!$A$6:$A$11)&gt;2,PI!$CF16="P"),PI!$CC16,""))</f>
        <v/>
      </c>
      <c r="AE20" s="882"/>
      <c r="AF20" s="882" t="str">
        <f>IF(PI!$AO$4=2,"",IF(AND(COUNT(PI!$A$6:$A$11)&gt;2,PI!$CF16="P"),PI!$CE16,""))</f>
        <v/>
      </c>
      <c r="AG20" s="882"/>
      <c r="AH20" s="32"/>
      <c r="AI20" s="32"/>
      <c r="AJ20" s="32"/>
      <c r="AK20" s="882" t="str" cm="1">
        <f t="array" ref="AK20">IF(PI!$AO$4&lt;3,"",IF(_xlfn.XLOOKUP('T PI'!C22,"Licence n° "&amp;PI!$B$6:$B$11,PI!$AO$6:$AO$11,"",0,1)=1,"",_xlfn.XLOOKUP('T PI'!C22,"Licence n° "&amp;PI!$B$6:$B$11,PI!$V$6:$V$11,"",0,1)))</f>
        <v/>
      </c>
      <c r="AL20" s="882"/>
      <c r="AM20" s="879" t="str" cm="1">
        <f t="array" ref="AM20">IF(PI!$AO$4&lt;3,"",IF(_xlfn.XLOOKUP('T PI'!C22,"Licence n° "&amp;PI!$B$6:$B$11,PI!$AO$6:$AO$11,"",0,1)=1,"",_xlfn.XLOOKUP('T PI'!C22,"Licence n° "&amp;PI!$B$6:$B$11,PI!$T$6:$T$11,"",0,1)))</f>
        <v/>
      </c>
      <c r="AN20" s="879"/>
      <c r="AO20" s="32"/>
      <c r="AP20" s="561" t="str" cm="1">
        <f t="array" ref="AP20">IF(PI!$AO$4&lt;3,"",_xlfn.XLOOKUP(C22,"Licence n° "&amp;PI!$B$6:$B$11,PI!$W$6:$W$11,"",0,1))</f>
        <v/>
      </c>
      <c r="AQ20" s="32"/>
      <c r="AS20" s="847" t="s">
        <v>8116</v>
      </c>
      <c r="AT20" s="32"/>
      <c r="AZ20" s="241"/>
    </row>
    <row r="21" spans="1:52" ht="12.6" customHeight="1" x14ac:dyDescent="0.25">
      <c r="A21" s="32"/>
      <c r="B21" s="32"/>
      <c r="C21" s="143" t="str" cm="1">
        <f t="array" ref="C21">IF(PI!$AO$4=2,_xlfn.XLOOKUP(1,PI!$M$6:$M$11,PI!$K$6:$K$11&amp;" "&amp;PI!$AS$6:$AS$11,"",0,1),IF(COUNT(PI!$A$6:$A$11)&gt;2,PI!$K8&amp;" - "&amp;PI!$AS8," "))</f>
        <v xml:space="preserve"> </v>
      </c>
      <c r="D21" s="32"/>
      <c r="E21" s="144" t="str">
        <f>IF(F21="","","Pts")</f>
        <v/>
      </c>
      <c r="F21" s="880" t="str">
        <f>IF(PI!$AO$4=2,"",IF(AND(COUNT(PI!$A$6:$A$11)&gt;2,PI!$CF20="P"),PI!$CG20,""))</f>
        <v/>
      </c>
      <c r="G21" s="880"/>
      <c r="H21" s="144" t="str">
        <f>IF(F21="","","Rep.")</f>
        <v/>
      </c>
      <c r="I21" s="144"/>
      <c r="J21" s="144" t="str">
        <f>IF(K21="","","Pts")</f>
        <v/>
      </c>
      <c r="K21" s="880" t="str">
        <f>IF(PI!$AO$4=2,"",IF(AND(COUNT(PI!$A$6:$A$11)&gt;2,PI!$CF19="P"),PI!$CG19,""))</f>
        <v/>
      </c>
      <c r="L21" s="880"/>
      <c r="M21" s="144" t="str">
        <f>IF(K21="","","Rep.")</f>
        <v/>
      </c>
      <c r="N21" s="32"/>
      <c r="O21" s="885"/>
      <c r="P21" s="885"/>
      <c r="Q21" s="885"/>
      <c r="R21" s="885"/>
      <c r="S21" s="32"/>
      <c r="T21" s="144" t="str">
        <f>IF(U21="","","Pts")</f>
        <v/>
      </c>
      <c r="U21" s="880" t="str">
        <f>IF(PI!$AO$4=2,PI!X19,IF(AND(COUNT(PI!$A$6:$A$11)&gt;2,PI!$CF18="P"),PI!$CG18,""))</f>
        <v/>
      </c>
      <c r="V21" s="880"/>
      <c r="W21" s="144" t="str">
        <f>IF(U21="","","Rep.")</f>
        <v/>
      </c>
      <c r="X21" s="144"/>
      <c r="Y21" s="144" t="str">
        <f>IF(Z21="","","Pts")</f>
        <v/>
      </c>
      <c r="Z21" s="880" t="str">
        <f>IF(PI!$AO$4=2,"",IF(AND(COUNT(PI!$A$6:$A$11)&gt;2,PI!$CF17="P"),PI!$CG17,""))</f>
        <v/>
      </c>
      <c r="AA21" s="880"/>
      <c r="AB21" s="144" t="str">
        <f>IF(Z21="","","Rep.")</f>
        <v/>
      </c>
      <c r="AC21" s="144"/>
      <c r="AD21" s="144" t="str">
        <f>IF(AE21="","","Pts")</f>
        <v/>
      </c>
      <c r="AE21" s="880" t="str">
        <f>IF(PI!$AO$4=2,"",IF(AND(COUNT(PI!$A$6:$A$11)&gt;2,PI!$CF16="P"),PI!$CG16,""))</f>
        <v/>
      </c>
      <c r="AF21" s="880"/>
      <c r="AG21" s="144" t="str">
        <f>IF(AE21="","","Rep.")</f>
        <v/>
      </c>
      <c r="AH21" s="32"/>
      <c r="AI21" s="32"/>
      <c r="AJ21" s="32"/>
      <c r="AK21" s="145" t="str">
        <f>IF(AL21="","","PM")</f>
        <v/>
      </c>
      <c r="AL21" s="881" t="str" cm="1">
        <f t="array" ref="AL21">IF(SUM(PI!$Q$6:$Q$11)=0,"",IF(PI!$AO$4&gt;2,IF(_xlfn.XLOOKUP('T PI'!C22,"Licence n° "&amp;PI!$B$6:$B$11,PI!$AO$6:$AO$11,"",0,1)=1,"Forfait",_xlfn.XLOOKUP('T PI'!C22,"Licence n° "&amp;PI!$B$37:$B$42,PI!$Q$37:$Q$42,"",0,1)),""))</f>
        <v/>
      </c>
      <c r="AM21" s="881"/>
      <c r="AN21" s="145" t="str">
        <f>IF(AL21="","","MGP")</f>
        <v/>
      </c>
      <c r="AO21" s="32"/>
      <c r="AP21" s="151" t="str">
        <f>IF(OR(PI!$AO$4&lt;3,LEFT(PI!$F$13)="F"),"","Pts Rk")</f>
        <v/>
      </c>
      <c r="AQ21" s="32"/>
      <c r="AS21" s="847"/>
      <c r="AT21" s="32"/>
    </row>
    <row r="22" spans="1:52" ht="12.6" customHeight="1" x14ac:dyDescent="0.25">
      <c r="A22" s="32"/>
      <c r="B22" s="32"/>
      <c r="C22" s="147" t="str">
        <f>IF(PI!AO4=2,C12,IF(COUNT(PI!A6:A11)&gt;2,"Licence n° "&amp;PI!B8,"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IF(OR(PI!$AO$4&lt;3,LEFT(PI!$F$13)="F"),"","Bonus")</f>
        <v/>
      </c>
      <c r="AQ22" s="32"/>
      <c r="AS22" s="848" t="s">
        <v>8117</v>
      </c>
      <c r="AT22" s="32"/>
    </row>
    <row r="23" spans="1:52" ht="50.1" customHeight="1" x14ac:dyDescent="0.25">
      <c r="A23" s="32"/>
      <c r="B23" s="32"/>
      <c r="C23" s="149" t="str">
        <f>IF(PI!AO4=2,C13,IF(COUNT(PI!A6:A11)&gt;2,PI!G8," "))</f>
        <v xml:space="preserve"> </v>
      </c>
      <c r="D23" s="32"/>
      <c r="E23" s="883" t="str">
        <f>IF(F21="","",IF(F21&gt;0,E20/G20,"/"))</f>
        <v/>
      </c>
      <c r="F23" s="883"/>
      <c r="G23" s="884" t="str">
        <f>IF(PI!$AO$4=2,"",IF(AND(COUNT(PI!$A$6:$A$11)&gt;2,PI!$CF20="P"),PI!$CD20,""))</f>
        <v/>
      </c>
      <c r="H23" s="884"/>
      <c r="I23" s="32"/>
      <c r="J23" s="883" t="str">
        <f>IF(K21="","",IF(K21&gt;0,J20/L20,"/"))</f>
        <v/>
      </c>
      <c r="K23" s="883"/>
      <c r="L23" s="884" t="str">
        <f>IF(PI!$AO$4=2,"",IF(AND(COUNT(PI!$A$6:$A$11)&gt;2,PI!$CF19="P"),PI!$CD19,""))</f>
        <v/>
      </c>
      <c r="M23" s="884"/>
      <c r="N23" s="32"/>
      <c r="O23" s="885"/>
      <c r="P23" s="885"/>
      <c r="Q23" s="885"/>
      <c r="R23" s="885"/>
      <c r="S23" s="32"/>
      <c r="T23" s="883" t="str">
        <f>IF(U21="","",IF(U21&gt;0,T20/V20,"/"))</f>
        <v/>
      </c>
      <c r="U23" s="883"/>
      <c r="V23" s="884" t="str">
        <f>IF(AND(PI!$AO$4=2,PI!$A19="P"),PI!Q19,IF(AND(COUNT(PI!$A$6:$A$11)&gt;2,PI!$CF18="P"),PI!$CD18,""))</f>
        <v/>
      </c>
      <c r="W23" s="884"/>
      <c r="X23" s="32"/>
      <c r="Y23" s="883" t="str">
        <f>IF(Z21="","",IF(Z21&gt;0,Y20/AA20,"/"))</f>
        <v/>
      </c>
      <c r="Z23" s="883"/>
      <c r="AA23" s="884" t="str">
        <f>IF(PI!$AO$4=2,"",IF(AND(COUNT(PI!$A$6:$A$11)&gt;2,PI!$CF17="P"),PI!$CD17,""))</f>
        <v/>
      </c>
      <c r="AB23" s="884"/>
      <c r="AC23" s="32"/>
      <c r="AD23" s="883" t="str">
        <f>IF(AE21="","",IF(AE21&gt;0,AD20/AF20,"/"))</f>
        <v/>
      </c>
      <c r="AE23" s="883"/>
      <c r="AF23" s="884" t="str">
        <f>IF(PI!$AO$4=2,"",IF(AND(COUNT(PI!$A$6:$A$11)&gt;2,PI!$CF16="P"),PI!$CD16,""))</f>
        <v/>
      </c>
      <c r="AG23" s="884"/>
      <c r="AH23" s="32"/>
      <c r="AI23" s="32"/>
      <c r="AJ23" s="32"/>
      <c r="AK23" s="883" t="str" cm="1">
        <f t="array" ref="AK23">IF(PI!$AO$4&lt;3,"",IF(_xlfn.XLOOKUP('T PI'!C22,"Licence n° "&amp;PI!$B$6:$B$11,PI!$AO$6:$AO$11,"",0,1)=1,"",_xlfn.XLOOKUP('T PI'!C22,"Licence n° "&amp;PI!$B$6:$B$11,PI!$U$6:$U$11,"",0,1)))</f>
        <v/>
      </c>
      <c r="AL23" s="883"/>
      <c r="AM23" s="884" t="str" cm="1">
        <f t="array" ref="AM23">IF(PI!$AO$4&lt;3,"",IF(_xlfn.XLOOKUP('T PI'!C22,"Licence n° "&amp;PI!$B$6:$B$11,PI!$AO$6:$AO$11,"",0,1)=1,"",_xlfn.XLOOKUP('T PI'!C22,"Licence n° "&amp;PI!$B$6:$B$11,PI!$S$6:$S$11,"",0,1)))</f>
        <v/>
      </c>
      <c r="AN23" s="884"/>
      <c r="AO23" s="32"/>
      <c r="AP23" s="562" t="str" cm="1">
        <f t="array" ref="AP23">IF(PI!$AO$4&lt;3,"",_xlfn.XLOOKUP(C22,"Licence n° "&amp;PI!$B$6:$B$11,PI!$X$6:$X$11,"",0,1))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IF(PI!AO4=2,C15,IF(COUNT(PI!A6:A11)&gt;3,CONCATENATE(PI!C9," ",LEFT(PI!E9),"."),""))</f>
        <v/>
      </c>
      <c r="D25" s="32"/>
      <c r="E25" s="882" t="str">
        <f>IF(PI!$AO$4=2,"",IF(AND(COUNT(PI!$A$6:$A$11)&gt;2,PI!$CF25="P"),PI!$CC25,""))</f>
        <v/>
      </c>
      <c r="F25" s="882"/>
      <c r="G25" s="882" t="str">
        <f>IF(PI!$AO$4=2,"",IF(AND(COUNT(PI!$A$6:$A$11)&gt;2,PI!$CF25="P"),PI!$CE25,""))</f>
        <v/>
      </c>
      <c r="H25" s="882"/>
      <c r="I25" s="142"/>
      <c r="J25" s="882" t="str">
        <f>IF(PI!$AO$4=2,"",IF(AND(COUNT(PI!$A$6:$A$11)&gt;2,PI!$CF24="P"),PI!$CC24,""))</f>
        <v/>
      </c>
      <c r="K25" s="882"/>
      <c r="L25" s="882" t="str">
        <f>IF(PI!$AO$4=2,"",IF(AND(COUNT(PI!$A$6:$A$11)&gt;2,PI!$CF24="P"),PI!$CE24,""))</f>
        <v/>
      </c>
      <c r="M25" s="882"/>
      <c r="N25" s="142"/>
      <c r="O25" s="882" t="str">
        <f>IF(AND(PI!$AO$4=2,PI!$A19="P"),PI!N19,IF(AND(COUNT(PI!$A$6:$A$11)&gt;2,PI!$CF23="P"),PI!$CC23,""))</f>
        <v/>
      </c>
      <c r="P25" s="882"/>
      <c r="Q25" s="882" t="str">
        <f>IF(AND(PI!$AO$4=2,PI!$A19="P"),PI!O19,IF(AND(COUNT(PI!$A$6:$A$11)&gt;2,PI!$CF23="P"),PI!$CE23,""))</f>
        <v/>
      </c>
      <c r="R25" s="882"/>
      <c r="S25" s="32"/>
      <c r="T25" s="886" t="str">
        <f>IF(PI!W35="NON",AG1,IF(OR(PI!AO4=2,COUNT(PI!A6:A11)&gt;3),_xlfn.XLOOKUP('T PI'!C28,'LOGOS CLUBS'!$B$2:$B$65,'LOGOS CLUBS'!$C$2:$C$65,C28,0,1),""))</f>
        <v/>
      </c>
      <c r="U25" s="886"/>
      <c r="V25" s="886"/>
      <c r="W25" s="886"/>
      <c r="X25" s="32"/>
      <c r="Y25" s="882" t="str">
        <f>IF(PI!$AO$4=2,"",IF(AND(COUNT(PI!$A$6:$A$11)&gt;2,PI!$CF22="P"),PI!$CC22,""))</f>
        <v/>
      </c>
      <c r="Z25" s="882"/>
      <c r="AA25" s="882" t="str">
        <f>IF(PI!$AO$4=2,"",IF(AND(COUNT(PI!$A$6:$A$11)&gt;2,PI!$CF22="P"),PI!$CE22,""))</f>
        <v/>
      </c>
      <c r="AB25" s="882"/>
      <c r="AC25" s="142"/>
      <c r="AD25" s="882" t="str">
        <f>IF(PI!$AO$4=2,"",IF(AND(COUNT(PI!$A$6:$A$11)&gt;2,PI!$CF21="P"),PI!$CC21,""))</f>
        <v/>
      </c>
      <c r="AE25" s="882"/>
      <c r="AF25" s="882" t="str">
        <f>IF(PI!$AO$4=2,"",IF(AND(COUNT(PI!$A$6:$A$11)&gt;2,PI!$CF21="P"),PI!$CE21,""))</f>
        <v/>
      </c>
      <c r="AG25" s="882"/>
      <c r="AH25" s="32"/>
      <c r="AI25" s="32"/>
      <c r="AJ25" s="32"/>
      <c r="AK25" s="882" t="str" cm="1">
        <f t="array" ref="AK25">IF(PI!$AO$4&lt;3,"",IF(_xlfn.XLOOKUP('T PI'!C27,"Licence n° "&amp;PI!$B$6:$B$11,PI!$AO$6:$AO$11,"",0,1)=1,"",_xlfn.XLOOKUP('T PI'!C27,"Licence n° "&amp;PI!$B$6:$B$11,PI!$V$6:$V$11,"",0,1)))</f>
        <v/>
      </c>
      <c r="AL25" s="882"/>
      <c r="AM25" s="879" t="str" cm="1">
        <f t="array" ref="AM25">IF(PI!$AO$4&lt;3,"",IF(_xlfn.XLOOKUP('T PI'!C27,"Licence n° "&amp;PI!$B$6:$B$11,PI!$AO$6:$AO$11,"",0,1)=1,"",_xlfn.XLOOKUP('T PI'!C27,"Licence n° "&amp;PI!$B$6:$B$11,PI!$T$6:$T$11,"",0,1)))</f>
        <v/>
      </c>
      <c r="AN25" s="879"/>
      <c r="AO25" s="32"/>
      <c r="AP25" s="561" t="str" cm="1">
        <f t="array" ref="AP25">IF(OR(PI!AO4&lt;3,COUNT(PI!$A$6:$A$11&lt;3)),"",_xlfn.XLOOKUP(C27,"Licence n° "&amp;PI!$B$6:$B$11,PI!$W$6:$W$11,"",0,1))</f>
        <v/>
      </c>
      <c r="AQ25" s="32"/>
      <c r="AS25" s="849" t="s">
        <v>8118</v>
      </c>
      <c r="AT25" s="32"/>
    </row>
    <row r="26" spans="1:52" ht="12.6" customHeight="1" x14ac:dyDescent="0.25">
      <c r="A26" s="32"/>
      <c r="B26" s="32"/>
      <c r="C26" s="143" t="str" cm="1">
        <f t="array" ref="C26">IF(PI!$AO$4=2,_xlfn.XLOOKUP(2,PI!$M$6:$M$11,PI!$K$6:$K$11&amp;" "&amp;PI!$AS$6:$AS$11,"",0,1),IF(COUNT(PI!$A$6:$A$11)&gt;3,PI!$K9&amp;" - "&amp;PI!$AS9," "))</f>
        <v xml:space="preserve"> </v>
      </c>
      <c r="D26" s="32"/>
      <c r="E26" s="144" t="str">
        <f>IF(F26="","","Pts")</f>
        <v/>
      </c>
      <c r="F26" s="880" t="str">
        <f>IF(PI!$AO$4=2,"",IF(AND(COUNT(PI!$A$6:$A$11)&gt;2,PI!$CF25="P"),PI!$CG25,""))</f>
        <v/>
      </c>
      <c r="G26" s="880"/>
      <c r="H26" s="144" t="str">
        <f>IF(F26="","","Rep.")</f>
        <v/>
      </c>
      <c r="I26" s="144"/>
      <c r="J26" s="144" t="str">
        <f>IF(K26="","","Pts")</f>
        <v/>
      </c>
      <c r="K26" s="880" t="str">
        <f>IF(PI!$AO$4=2,"",IF(AND(COUNT(PI!$A$6:$A$11)&gt;2,PI!$CF24="P"),PI!$CG24,""))</f>
        <v/>
      </c>
      <c r="L26" s="880"/>
      <c r="M26" s="144" t="str">
        <f>IF(K26="","","Rep.")</f>
        <v/>
      </c>
      <c r="N26" s="144"/>
      <c r="O26" s="144" t="str">
        <f>IF(P26="","","Pts")</f>
        <v/>
      </c>
      <c r="P26" s="880" t="str">
        <f>IF(PI!$AO$4=2,PI!D19,IF(AND(COUNT(PI!$A$6:$A$11)&gt;2,PI!$CF23="P"),PI!$CG23,""))</f>
        <v/>
      </c>
      <c r="Q26" s="880"/>
      <c r="R26" s="144" t="str">
        <f>IF(P26="","","Rep.")</f>
        <v/>
      </c>
      <c r="S26" s="32"/>
      <c r="T26" s="886"/>
      <c r="U26" s="886"/>
      <c r="V26" s="886"/>
      <c r="W26" s="886"/>
      <c r="X26" s="32"/>
      <c r="Y26" s="144" t="str">
        <f>IF(Z26="","","Pts")</f>
        <v/>
      </c>
      <c r="Z26" s="880" t="str">
        <f>IF(PI!$AO$4=2,"",IF(AND(COUNT(PI!$A$6:$A$11)&gt;2,PI!$CF22="P"),PI!$CG22,""))</f>
        <v/>
      </c>
      <c r="AA26" s="880"/>
      <c r="AB26" s="144" t="str">
        <f>IF(Z26="","","Rep.")</f>
        <v/>
      </c>
      <c r="AC26" s="144"/>
      <c r="AD26" s="144" t="str">
        <f>IF(AE26="","","Pts")</f>
        <v/>
      </c>
      <c r="AE26" s="880" t="str">
        <f>IF(PI!$AO$4=2,"",IF(AND(COUNT(PI!$A$6:$A$11)&gt;2,PI!$CF21="P"),PI!$CG21,""))</f>
        <v/>
      </c>
      <c r="AF26" s="880"/>
      <c r="AG26" s="144" t="str">
        <f>IF(AE26="","","Rep.")</f>
        <v/>
      </c>
      <c r="AH26" s="32"/>
      <c r="AI26" s="32"/>
      <c r="AJ26" s="32"/>
      <c r="AK26" s="145" t="str">
        <f>IF(AL26="","","PM")</f>
        <v/>
      </c>
      <c r="AL26" s="881" t="str" cm="1">
        <f t="array" ref="AL26">IF(SUM(PI!$Q$6:$Q$11)=0,"",IF(PI!$AO$4&gt;2,IF(_xlfn.XLOOKUP('T PI'!C27,"Licence n° "&amp;PI!$B$6:$B$11,PI!$AO$6:$AO$11,"",0,1)=1,"Forfait",_xlfn.XLOOKUP('T PI'!C27,"Licence n° "&amp;PI!$B$37:$B$42,PI!$Q$37:$Q$42,"",0,1)),""))</f>
        <v/>
      </c>
      <c r="AM26" s="881"/>
      <c r="AN26" s="145" t="str">
        <f>IF(AL26="","","MGP")</f>
        <v/>
      </c>
      <c r="AO26" s="32"/>
      <c r="AP26" s="151" t="str">
        <f>IF(AND(COUNT(PI!$A$6:$A$11)&gt;3,PI!$AO$4&gt;2,LEFT(PI!$F$13)="P"),"Pts Rk","")</f>
        <v/>
      </c>
      <c r="AQ26" s="32"/>
      <c r="AS26" s="849"/>
      <c r="AT26" s="32"/>
    </row>
    <row r="27" spans="1:52" ht="12.6" customHeight="1" x14ac:dyDescent="0.25">
      <c r="A27" s="32"/>
      <c r="B27" s="32"/>
      <c r="C27" s="147" t="str">
        <f>IF(PI!AO4=2,C17,IF(COUNT(PI!A6:A11)&gt;3,"Licence n° "&amp;PI!B9,"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IF(AND(COUNT(PI!$A$6:$A$11)&gt;3,PI!$AO$4&gt;2,LEFT(PI!$F$13)="P"),"Bonus","")</f>
        <v/>
      </c>
      <c r="AQ27" s="32"/>
      <c r="AS27" s="829" t="s">
        <v>8119</v>
      </c>
      <c r="AT27" s="32"/>
    </row>
    <row r="28" spans="1:52" ht="50.1" customHeight="1" x14ac:dyDescent="0.25">
      <c r="A28" s="32"/>
      <c r="B28" s="32"/>
      <c r="C28" s="149" t="str">
        <f>IF(PI!AO4=2,C18,IF(COUNT(PI!A6:A11)&gt;3,PI!G9," "))</f>
        <v xml:space="preserve"> </v>
      </c>
      <c r="D28" s="32"/>
      <c r="E28" s="883" t="str">
        <f>IF(F26="","",IF(F26&gt;0,E25/G25,"/"))</f>
        <v/>
      </c>
      <c r="F28" s="883"/>
      <c r="G28" s="884" t="str">
        <f>IF(PI!$AO$4=2,"",IF(AND(COUNT(PI!$A$6:$A$11)&gt;2,PI!$CF25="P"),PI!$CD25,""))</f>
        <v/>
      </c>
      <c r="H28" s="884"/>
      <c r="I28" s="32"/>
      <c r="J28" s="883" t="str">
        <f>IF(K26="","",IF(K26&gt;0,J25/L25,"/"))</f>
        <v/>
      </c>
      <c r="K28" s="883"/>
      <c r="L28" s="884" t="str">
        <f>IF(PI!$AO$4=2,"",IF(AND(COUNT(PI!$A$6:$A$11)&gt;2,PI!$CF24="P"),PI!$CD24,""))</f>
        <v/>
      </c>
      <c r="M28" s="884"/>
      <c r="N28" s="32"/>
      <c r="O28" s="883" t="str">
        <f>IF(P26="","",IF(P26&gt;0,O25/Q25,"/"))</f>
        <v/>
      </c>
      <c r="P28" s="883"/>
      <c r="Q28" s="884" t="str">
        <f>IF(AND(PI!$AO$4=2,PI!$A19="P"),PI!M19,IF(AND(COUNT(PI!$A$6:$A$11)&gt;2,PI!$CF23="P"),PI!$CD23,""))</f>
        <v/>
      </c>
      <c r="R28" s="884"/>
      <c r="S28" s="32"/>
      <c r="T28" s="886"/>
      <c r="U28" s="886"/>
      <c r="V28" s="886"/>
      <c r="W28" s="886"/>
      <c r="X28" s="32"/>
      <c r="Y28" s="883" t="str">
        <f>IF(Z26="","",IF(Z26&gt;0,Y25/AA25,"/"))</f>
        <v/>
      </c>
      <c r="Z28" s="883"/>
      <c r="AA28" s="884" t="str">
        <f>IF(PI!$AO$4=2,"",IF(AND(COUNT(PI!$A$6:$A$11)&gt;2,PI!$CF22="P"),PI!$CD22,""))</f>
        <v/>
      </c>
      <c r="AB28" s="884"/>
      <c r="AC28" s="32"/>
      <c r="AD28" s="883" t="str">
        <f>IF(AE26="","",IF(AE26&gt;0,AD25/AF25,"/"))</f>
        <v/>
      </c>
      <c r="AE28" s="883"/>
      <c r="AF28" s="884" t="str">
        <f>IF(PI!$AO$4=2,"",IF(AND(COUNT(PI!$A$6:$A$11)&gt;2,PI!$CF21="P"),PI!$CD21,""))</f>
        <v/>
      </c>
      <c r="AG28" s="884"/>
      <c r="AH28" s="32"/>
      <c r="AI28" s="32"/>
      <c r="AJ28" s="32"/>
      <c r="AK28" s="883" t="str" cm="1">
        <f t="array" ref="AK28">IF(PI!$AO$4&lt;3,"",IF(_xlfn.XLOOKUP('T PI'!C27,"Licence n° "&amp;PI!$B$6:$B$11,PI!$AO$6:$AO$11,"",0,1)=1,"",_xlfn.XLOOKUP('T PI'!C27,"Licence n° "&amp;PI!$B$6:$B$11,PI!$U$6:$U$11,"",0,1)))</f>
        <v/>
      </c>
      <c r="AL28" s="883"/>
      <c r="AM28" s="884" t="str" cm="1">
        <f t="array" ref="AM28">IF(PI!$AO$4&lt;3,"",IF(_xlfn.XLOOKUP('T PI'!C27,"Licence n° "&amp;PI!$B$6:$B$11,PI!$AO$6:$AO$11,"",0,1)=1,"",_xlfn.XLOOKUP('T PI'!C27,"Licence n° "&amp;PI!$B$6:$B$11,PI!$S$6:$S$11,"",0,1)))</f>
        <v/>
      </c>
      <c r="AN28" s="884"/>
      <c r="AO28" s="32"/>
      <c r="AP28" s="562" t="str" cm="1">
        <f t="array" ref="AP28">IF(OR(PI!AO4&lt;3,COUNT(PI!$A$6:$A$11)&lt;4),"",_xlfn.XLOOKUP(C27,"Licence n° "&amp;PI!$B$6:$B$11,PI!$X$6:$X$11,"",0,1))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IF(PI!AO4=2,"",IF(COUNT(PI!A6:A11)&gt;4,CONCATENATE(PI!C10," ",LEFT(PI!E10),"."),""))</f>
        <v/>
      </c>
      <c r="D30" s="32"/>
      <c r="E30" s="882" t="str">
        <f>IF(PI!$AO$4=2,"",IF(AND(COUNT(PI!$A$6:$A$11)&gt;2,PI!$CF30="P"),PI!$CC30,""))</f>
        <v/>
      </c>
      <c r="F30" s="882"/>
      <c r="G30" s="882" t="str">
        <f>IF(PI!$AO$4=2,"",IF(AND(COUNT(PI!$A$6:$A$11)&gt;2,PI!$CF30="P"),PI!$CE30,""))</f>
        <v/>
      </c>
      <c r="H30" s="882"/>
      <c r="I30" s="142"/>
      <c r="J30" s="882" t="str">
        <f>IF(PI!$AO$4=2,"",IF(AND(COUNT(PI!$A$6:$A$11)&gt;2,PI!$CF29="P"),PI!$CC29,""))</f>
        <v/>
      </c>
      <c r="K30" s="882"/>
      <c r="L30" s="882" t="str">
        <f>IF(PI!$AO$4=2,"",IF(AND(COUNT(PI!$A$6:$A$11)&gt;2,PI!$CF29="P"),PI!$CE29,""))</f>
        <v/>
      </c>
      <c r="M30" s="882"/>
      <c r="N30" s="142"/>
      <c r="O30" s="882" t="str">
        <f>IF(PI!$AO$4=2,"",IF(AND(COUNT(PI!$A$6:$A$11)&gt;2,PI!$CF28="P"),PI!$CC28,""))</f>
        <v/>
      </c>
      <c r="P30" s="882"/>
      <c r="Q30" s="882" t="str">
        <f>IF(PI!$AO$4=2,"",IF(AND(COUNT(PI!$A$6:$A$11)&gt;2,PI!$CF28="P"),PI!$CE28,""))</f>
        <v/>
      </c>
      <c r="R30" s="882"/>
      <c r="S30" s="142"/>
      <c r="T30" s="882" t="str">
        <f>IF(PI!$AO$4=2,"",IF(AND(COUNT(PI!$A$6:$A$11)&gt;2,PI!$CF27="P"),PI!$CC27,""))</f>
        <v/>
      </c>
      <c r="U30" s="882"/>
      <c r="V30" s="882" t="str">
        <f>IF(PI!$AO$4=2,"",IF(AND(COUNT(PI!$A$6:$A$11)&gt;2,PI!$CF27="P"),PI!$CE27,""))</f>
        <v/>
      </c>
      <c r="W30" s="882"/>
      <c r="X30" s="32"/>
      <c r="Y30" s="887" t="str">
        <f>IF(PI!W35="NON",AG1,IF(PI!AO4=2,"",IF(COUNT(PI!A6:A11)&gt;4,_xlfn.XLOOKUP('T PI'!C33,'LOGOS CLUBS'!$B$2:$B$65,'LOGOS CLUBS'!$C$2:$C$65,C33,0,1),"")))</f>
        <v/>
      </c>
      <c r="Z30" s="887"/>
      <c r="AA30" s="887"/>
      <c r="AB30" s="887"/>
      <c r="AC30" s="32"/>
      <c r="AD30" s="882" t="str">
        <f>IF(PI!$AO$4=2,"",IF(AND(COUNT(PI!$A$6:$A$11)&gt;2,PI!$CF26="P"),PI!$CC26,""))</f>
        <v/>
      </c>
      <c r="AE30" s="882"/>
      <c r="AF30" s="882" t="str">
        <f>IF(PI!$AO$4=2,"",IF(AND(COUNT(PI!$A$6:$A$11)&gt;2,PI!$CF26="P"),PI!$CE26,""))</f>
        <v/>
      </c>
      <c r="AG30" s="882"/>
      <c r="AH30" s="32"/>
      <c r="AI30" s="32"/>
      <c r="AJ30" s="32"/>
      <c r="AK30" s="882" t="str" cm="1">
        <f t="array" ref="AK30">IF(PI!$AO$4&lt;3,"",IF(_xlfn.XLOOKUP('T PI'!C32,"Licence n° "&amp;PI!$B$6:$B$11,PI!$AO$6:$AO$11,"",0,1)=1,"",_xlfn.XLOOKUP('T PI'!C32,"Licence n° "&amp;PI!$B$6:$B$11,PI!$V$6:$V$11,"",0,1)))</f>
        <v/>
      </c>
      <c r="AL30" s="882"/>
      <c r="AM30" s="879" t="str" cm="1">
        <f t="array" ref="AM30">IF(PI!$AO$4&lt;3,"",IF(_xlfn.XLOOKUP('T PI'!C32,"Licence n° "&amp;PI!$B$6:$B$11,PI!$AO$6:$AO$11,"",0,1)=1,"",_xlfn.XLOOKUP('T PI'!C32,"Licence n° "&amp;PI!$B$6:$B$11,PI!$T$6:$T$11,"",0,1)))</f>
        <v/>
      </c>
      <c r="AN30" s="879"/>
      <c r="AO30" s="32"/>
      <c r="AP30" s="561" t="str" cm="1">
        <f t="array" ref="AP30">_xlfn.XLOOKUP(C32,"Licence n° "&amp;PI!$B$6:$B$11,PI!$W$6:$W$11,"",0,1)</f>
        <v/>
      </c>
      <c r="AQ30" s="32"/>
      <c r="AS30" s="830" t="s">
        <v>8120</v>
      </c>
      <c r="AT30" s="32"/>
    </row>
    <row r="31" spans="1:52" ht="12.6" customHeight="1" x14ac:dyDescent="0.25">
      <c r="A31" s="32"/>
      <c r="B31" s="32"/>
      <c r="C31" s="143" t="str">
        <f>IF(PI!$AO$4=2,"",IF(COUNT(PI!$A$6:$A$11)&gt;4,PI!$K10&amp;" - "&amp;PI!$AS10," "))</f>
        <v xml:space="preserve"> </v>
      </c>
      <c r="D31" s="32"/>
      <c r="E31" s="144" t="str">
        <f>IF(F31="","","Pts")</f>
        <v/>
      </c>
      <c r="F31" s="880" t="str">
        <f>IF(PI!$AO$4=2,"",IF(AND(COUNT(PI!$A$6:$A$11)&gt;2,PI!$CF30="P"),PI!$CG30,""))</f>
        <v/>
      </c>
      <c r="G31" s="880"/>
      <c r="H31" s="144" t="str">
        <f>IF(F31="","","Rep.")</f>
        <v/>
      </c>
      <c r="I31" s="144"/>
      <c r="J31" s="144" t="str">
        <f>IF(K31="","","Pts")</f>
        <v/>
      </c>
      <c r="K31" s="880" t="str">
        <f>IF(PI!$AO$4=2,"",IF(AND(COUNT(PI!$A$6:$A$11)&gt;2,PI!$CF29="P"),PI!$CG29,""))</f>
        <v/>
      </c>
      <c r="L31" s="880"/>
      <c r="M31" s="144" t="str">
        <f>IF(K31="","","Rep.")</f>
        <v/>
      </c>
      <c r="N31" s="144"/>
      <c r="O31" s="144" t="str">
        <f>IF(P31="","","Pts")</f>
        <v/>
      </c>
      <c r="P31" s="880" t="str">
        <f>IF(PI!$AO$4=2,"",IF(AND(COUNT(PI!$A$6:$A$11)&gt;2,PI!$CF28="P"),PI!$CG28,""))</f>
        <v/>
      </c>
      <c r="Q31" s="880"/>
      <c r="R31" s="144" t="str">
        <f>IF(P31="","","Rep.")</f>
        <v/>
      </c>
      <c r="S31" s="144"/>
      <c r="T31" s="144" t="str">
        <f>IF(U31="","","Pts")</f>
        <v/>
      </c>
      <c r="U31" s="880" t="str">
        <f>IF(PI!$AO$4=2,"",IF(AND(COUNT(PI!$A$6:$A$11)&gt;2,PI!$CF27="P"),PI!$CG27,""))</f>
        <v/>
      </c>
      <c r="V31" s="880"/>
      <c r="W31" s="144" t="str">
        <f>IF(U31="","","Rep.")</f>
        <v/>
      </c>
      <c r="X31" s="32"/>
      <c r="Y31" s="887"/>
      <c r="Z31" s="887"/>
      <c r="AA31" s="887"/>
      <c r="AB31" s="887"/>
      <c r="AC31" s="32"/>
      <c r="AD31" s="144" t="str">
        <f>IF(AE31="","","Pts")</f>
        <v/>
      </c>
      <c r="AE31" s="880" t="str">
        <f>IF(PI!$AO$4=2,"",IF(AND(COUNT(PI!$A$6:$A$11)&gt;2,PI!$CF26="P"),PI!$CG26,""))</f>
        <v/>
      </c>
      <c r="AF31" s="880"/>
      <c r="AG31" s="144" t="str">
        <f>IF(AE31="","","Rep.")</f>
        <v/>
      </c>
      <c r="AH31" s="32"/>
      <c r="AI31" s="32"/>
      <c r="AJ31" s="32"/>
      <c r="AK31" s="145" t="str">
        <f>IF(AL31="","","PM")</f>
        <v/>
      </c>
      <c r="AL31" s="881" t="str" cm="1">
        <f t="array" ref="AL31">IF(SUM(PI!$Q$6:$Q$11)=0,"",IF(PI!$AO$4&gt;2,IF(_xlfn.XLOOKUP('T PI'!C32,"Licence n° "&amp;PI!$B$6:$B$11,PI!$AO$6:$AO$11,"",0,1)=1,"Forfait",_xlfn.XLOOKUP('T PI'!C32,"Licence n° "&amp;PI!$B$37:$B$42,PI!$Q$37:$Q$42,"",0,1)),""))</f>
        <v/>
      </c>
      <c r="AM31" s="881"/>
      <c r="AN31" s="145" t="str">
        <f>IF(AL31="","","MGP")</f>
        <v/>
      </c>
      <c r="AO31" s="32"/>
      <c r="AP31" s="151" t="str">
        <f>IF(AND(COUNT(PI!$A$6:$A$11)&gt;4,PI!$AO$4&gt;2,LEFT(PI!$F$13)="P"),"Pts Rk","")</f>
        <v/>
      </c>
      <c r="AQ31" s="32"/>
      <c r="AS31" s="830"/>
      <c r="AT31" s="32"/>
    </row>
    <row r="32" spans="1:52" ht="12.6" customHeight="1" x14ac:dyDescent="0.25">
      <c r="A32" s="32"/>
      <c r="B32" s="32"/>
      <c r="C32" s="147" t="str">
        <f>IF(PI!AO4=2,"",IF(COUNT(PI!A6:A11)&gt;4,"Licence n° "&amp;PI!B10,"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IF(AND(COUNT(PI!$A$6:$A$11)&gt;4,PI!$AO$4&gt;2,LEFT(PI!$F$13)="P"),"Bonus","")</f>
        <v/>
      </c>
      <c r="AQ32" s="32"/>
      <c r="AS32" s="831" t="s">
        <v>8121</v>
      </c>
      <c r="AT32" s="32"/>
    </row>
    <row r="33" spans="1:46" ht="50.1" customHeight="1" x14ac:dyDescent="0.25">
      <c r="A33" s="32"/>
      <c r="B33" s="32"/>
      <c r="C33" s="149" t="str">
        <f>IF(PI!AO4=2,"",IF(COUNT(PI!A6:A11)&gt;4,PI!G10," "))</f>
        <v xml:space="preserve"> </v>
      </c>
      <c r="D33" s="32"/>
      <c r="E33" s="883" t="str">
        <f>IF(F31="","",IF(F31&gt;0,E30/G30,"/"))</f>
        <v/>
      </c>
      <c r="F33" s="883"/>
      <c r="G33" s="884" t="str">
        <f>IF(PI!$AO$4=2,"",IF(AND(COUNT(PI!$A$6:$A$11)&gt;2,PI!$CF30="P"),PI!$CD30,""))</f>
        <v/>
      </c>
      <c r="H33" s="884"/>
      <c r="I33" s="32"/>
      <c r="J33" s="883" t="str">
        <f>IF(K31="","",IF(K31&gt;0,J30/L30,"/"))</f>
        <v/>
      </c>
      <c r="K33" s="883"/>
      <c r="L33" s="884" t="str">
        <f>IF(PI!$AO$4=2,"",IF(AND(COUNT(PI!$A$6:$A$11)&gt;2,PI!$CF29="P"),PI!$CD29,""))</f>
        <v/>
      </c>
      <c r="M33" s="884"/>
      <c r="N33" s="32"/>
      <c r="O33" s="883" t="str">
        <f>IF(P31="","",IF(P31&gt;0,O30/Q30,"/"))</f>
        <v/>
      </c>
      <c r="P33" s="883"/>
      <c r="Q33" s="884" t="str">
        <f>IF(PI!$AO$4=2,"",IF(AND(COUNT(PI!$A$6:$A$11)&gt;2,PI!$CF28="P"),PI!$CD28,""))</f>
        <v/>
      </c>
      <c r="R33" s="884"/>
      <c r="S33" s="32"/>
      <c r="T33" s="883" t="str">
        <f>IF(U31="","",IF(U31&gt;0,T30/V30,"/"))</f>
        <v/>
      </c>
      <c r="U33" s="883"/>
      <c r="V33" s="884" t="str">
        <f>IF(PI!$AO$4=2,"",IF(AND(COUNT(PI!$A$6:$A$11)&gt;2,PI!$CF27="P"),PI!$CD27,""))</f>
        <v/>
      </c>
      <c r="W33" s="884"/>
      <c r="X33" s="32"/>
      <c r="Y33" s="887"/>
      <c r="Z33" s="887"/>
      <c r="AA33" s="887"/>
      <c r="AB33" s="887"/>
      <c r="AC33" s="32"/>
      <c r="AD33" s="883" t="str">
        <f>IF(AE31="","",IF(AE31&gt;0,AD30/AF30,"/"))</f>
        <v/>
      </c>
      <c r="AE33" s="883"/>
      <c r="AF33" s="884" t="str">
        <f>IF(PI!$AO$4=2,"",IF(AND(COUNT(PI!$A$6:$A$11)&gt;2,PI!$CF26="P"),PI!$CD26,""))</f>
        <v/>
      </c>
      <c r="AG33" s="884"/>
      <c r="AH33" s="32"/>
      <c r="AI33" s="32"/>
      <c r="AJ33" s="32"/>
      <c r="AK33" s="883" t="str" cm="1">
        <f t="array" ref="AK33">IF(PI!$AO$4&lt;3,"",IF(_xlfn.XLOOKUP('T PI'!C32,"Licence n° "&amp;PI!$B$6:$B$11,PI!$AO$6:$AO$11,"",0,1)=1,"",_xlfn.XLOOKUP('T PI'!C32,"Licence n° "&amp;PI!$B$6:$B$11,PI!$U$6:$U$11,"",0,1)))</f>
        <v/>
      </c>
      <c r="AL33" s="883"/>
      <c r="AM33" s="884" t="str" cm="1">
        <f t="array" ref="AM33">IF(PI!$AO$4&lt;3,"",IF(_xlfn.XLOOKUP('T PI'!C32,"Licence n° "&amp;PI!$B$6:$B$11,PI!$AO$6:$AO$11,"",0,1)=1,"",_xlfn.XLOOKUP('T PI'!C32,"Licence n° "&amp;PI!$B$6:$B$11,PI!$S$6:$S$11,"",0,1)))</f>
        <v/>
      </c>
      <c r="AN33" s="884"/>
      <c r="AO33" s="32"/>
      <c r="AP33" s="562" t="str" cm="1">
        <f t="array" ref="AP33">_xlfn.XLOOKUP(C32,"Licence n° "&amp;PI!$B$6:$B$11,PI!$X$6:$X$11,"",0,1)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IF(PI!AO4=2,"",IF(COUNT(PI!A6:A11)&gt;5,CONCATENATE(PI!C11," ",LEFT(PI!E11),"."),""))</f>
        <v/>
      </c>
      <c r="D35" s="32"/>
      <c r="E35" s="882" t="str">
        <f>IF(PI!$AO$4=2,"",IF(AND(COUNT(PI!$A$6:$A$11)&gt;2,PI!$CF35="P"),PI!$CC35,""))</f>
        <v/>
      </c>
      <c r="F35" s="882"/>
      <c r="G35" s="882" t="str">
        <f>IF(PI!$AO$4=2,"",IF(AND(COUNT(PI!$A$6:$A$11)&gt;2,PI!$CF35="P"),PI!$CE35,""))</f>
        <v/>
      </c>
      <c r="H35" s="882"/>
      <c r="I35" s="142"/>
      <c r="J35" s="882" t="str">
        <f>IF(PI!$AO$4=2,"",IF(AND(COUNT(PI!$A$6:$A$11)&gt;2,PI!$CF34="P"),PI!$CC34,""))</f>
        <v/>
      </c>
      <c r="K35" s="882"/>
      <c r="L35" s="882" t="str">
        <f>IF(PI!$AO$4=2,"",IF(AND(COUNT(PI!$A$6:$A$11)&gt;2,PI!$CF34="P"),PI!$CE34,""))</f>
        <v/>
      </c>
      <c r="M35" s="882"/>
      <c r="N35" s="142"/>
      <c r="O35" s="882" t="str">
        <f>IF(PI!$AO$4=2,"",IF(AND(COUNT(PI!$A$6:$A$11)&gt;2,PI!$CF33="P"),PI!$CC33,""))</f>
        <v/>
      </c>
      <c r="P35" s="882"/>
      <c r="Q35" s="882" t="str">
        <f>IF(PI!$AO$4=2,"",IF(AND(COUNT(PI!$A$6:$A$11)&gt;2,PI!$CF33="P"),PI!$CE33,""))</f>
        <v/>
      </c>
      <c r="R35" s="882"/>
      <c r="S35" s="142"/>
      <c r="T35" s="882" t="str">
        <f>IF(PI!$AO$4=2,"",IF(AND(COUNT(PI!$A$6:$A$11)&gt;2,PI!$CF32="P"),PI!$CC32,""))</f>
        <v/>
      </c>
      <c r="U35" s="882"/>
      <c r="V35" s="882" t="str">
        <f>IF(PI!$AO$4=2,"",IF(AND(COUNT(PI!$A$6:$A$11)&gt;2,PI!$CF32="P"),PI!$CE32,""))</f>
        <v/>
      </c>
      <c r="W35" s="882"/>
      <c r="X35" s="142"/>
      <c r="Y35" s="882" t="str">
        <f>IF(PI!$AO$4=2,"",IF(AND(COUNT(PI!$A$6:$A$11)&gt;2,PI!$CF31="P"),PI!$CC31,""))</f>
        <v/>
      </c>
      <c r="Z35" s="882"/>
      <c r="AA35" s="882" t="str">
        <f>IF(PI!$AO$4=2,"",IF(AND(COUNT(PI!$A$6:$A$11)&gt;2,PI!$CF31="P"),PI!$CE31,""))</f>
        <v/>
      </c>
      <c r="AB35" s="882"/>
      <c r="AC35" s="32"/>
      <c r="AD35" s="885" t="str">
        <f>IF(PI!W35="NON",AG1,IF(PI!AO4=2,"",IF(COUNT(PI!A6:A11)&gt;5,_xlfn.XLOOKUP('T PI'!C38,'LOGOS CLUBS'!$B$2:$B$65,'LOGOS CLUBS'!$C$2:$C$65,C38,0,1),"")))</f>
        <v/>
      </c>
      <c r="AE35" s="885"/>
      <c r="AF35" s="885"/>
      <c r="AG35" s="885"/>
      <c r="AH35" s="32"/>
      <c r="AI35" s="32"/>
      <c r="AJ35" s="32"/>
      <c r="AK35" s="882" t="str" cm="1">
        <f t="array" ref="AK35">IF(PI!$AO$4&lt;3,"",IF(_xlfn.XLOOKUP('T PI'!C37,"Licence n° "&amp;PI!$B$6:$B$11,PI!$AO$6:$AO$11,"",0,1)=1,"",_xlfn.XLOOKUP('T PI'!C37,"Licence n° "&amp;PI!$B$6:$B$11,PI!$V$6:$V$11,"",0,1)))</f>
        <v/>
      </c>
      <c r="AL35" s="882"/>
      <c r="AM35" s="879" t="str" cm="1">
        <f t="array" ref="AM35">IF(PI!$AO$4&lt;3,"",IF(_xlfn.XLOOKUP('T PI'!C37,"Licence n° "&amp;PI!$B$6:$B$11,PI!$AO$6:$AO$11,"",0,1)=1,"",_xlfn.XLOOKUP('T PI'!C37,"Licence n° "&amp;PI!$B$6:$B$11,PI!$T$6:$T$11,"",0,1)))</f>
        <v/>
      </c>
      <c r="AN35" s="879"/>
      <c r="AO35" s="32"/>
      <c r="AP35" s="561" t="str" cm="1">
        <f t="array" ref="AP35">_xlfn.XLOOKUP(C37,"Licence n° "&amp;PI!$B$6:$B$11,PI!$W$6:$W$11,"",0,1)</f>
        <v/>
      </c>
      <c r="AQ35" s="32"/>
      <c r="AS35" s="832" t="s">
        <v>8124</v>
      </c>
      <c r="AT35" s="32"/>
    </row>
    <row r="36" spans="1:46" ht="12.6" customHeight="1" x14ac:dyDescent="0.25">
      <c r="A36" s="32"/>
      <c r="B36" s="32"/>
      <c r="C36" s="143" t="str">
        <f>IF(PI!$AO$4=2,"",IF(COUNT(PI!$A$6:$A$11)&gt;5,PI!$K11&amp;" - "&amp;PI!$AS11," "))</f>
        <v xml:space="preserve"> </v>
      </c>
      <c r="D36" s="32"/>
      <c r="E36" s="144" t="str">
        <f>IF(F36="","","Pts")</f>
        <v/>
      </c>
      <c r="F36" s="880" t="str">
        <f>IF(PI!$AO$4=2,"",IF(AND(COUNT(PI!$A$6:$A$11)&gt;2,PI!$CF35="P"),PI!$CG35,""))</f>
        <v/>
      </c>
      <c r="G36" s="880"/>
      <c r="H36" s="144" t="str">
        <f>IF(F36="","","Rep.")</f>
        <v/>
      </c>
      <c r="I36" s="144"/>
      <c r="J36" s="144" t="str">
        <f>IF(K36="","","Pts")</f>
        <v/>
      </c>
      <c r="K36" s="880" t="str">
        <f>IF(PI!$AO$4=2,"",IF(AND(COUNT(PI!$A$6:$A$11)&gt;2,PI!$CF34="P"),PI!$CG34,""))</f>
        <v/>
      </c>
      <c r="L36" s="880"/>
      <c r="M36" s="144" t="str">
        <f>IF(K36="","","Rep.")</f>
        <v/>
      </c>
      <c r="N36" s="144"/>
      <c r="O36" s="144" t="str">
        <f>IF(P36="","","Pts")</f>
        <v/>
      </c>
      <c r="P36" s="880" t="str">
        <f>IF(PI!$AO$4=2,"",IF(AND(COUNT(PI!$A$6:$A$11)&gt;2,PI!$CF33="P"),PI!$CG33,""))</f>
        <v/>
      </c>
      <c r="Q36" s="880"/>
      <c r="R36" s="144" t="str">
        <f>IF(P36="","","Rep.")</f>
        <v/>
      </c>
      <c r="S36" s="144"/>
      <c r="T36" s="144" t="str">
        <f>IF(U36="","","Pts")</f>
        <v/>
      </c>
      <c r="U36" s="880" t="str">
        <f>IF(PI!$AO$4=2,"",IF(AND(COUNT(PI!$A$6:$A$11)&gt;2,PI!$CF32="P"),PI!$CG32,""))</f>
        <v/>
      </c>
      <c r="V36" s="880"/>
      <c r="W36" s="144" t="str">
        <f>IF(U36="","","Rep.")</f>
        <v/>
      </c>
      <c r="X36" s="144"/>
      <c r="Y36" s="144" t="str">
        <f>IF(Z36="","","Pts")</f>
        <v/>
      </c>
      <c r="Z36" s="880" t="str">
        <f>IF(PI!$AO$4=2,"",IF(AND(COUNT(PI!$A$6:$A$11)&gt;2,PI!$CF31="P"),PI!$CG31,""))</f>
        <v/>
      </c>
      <c r="AA36" s="880"/>
      <c r="AB36" s="144" t="str">
        <f>IF(Z36="","","Rep.")</f>
        <v/>
      </c>
      <c r="AC36" s="32"/>
      <c r="AD36" s="885"/>
      <c r="AE36" s="885"/>
      <c r="AF36" s="885"/>
      <c r="AG36" s="885"/>
      <c r="AH36" s="32"/>
      <c r="AI36" s="32"/>
      <c r="AJ36" s="32"/>
      <c r="AK36" s="145" t="str">
        <f>IF(AL36="","","PM")</f>
        <v/>
      </c>
      <c r="AL36" s="881" t="str" cm="1">
        <f t="array" ref="AL36">IF(SUM(PI!$Q$6:$Q$11)=0,"",IF(PI!$AO$4&gt;2,IF(_xlfn.XLOOKUP('T PI'!C37,"Licence n° "&amp;PI!$B$6:$B$11,PI!$AO$6:$AO$11,"",0,1)=1,"Forfait",_xlfn.XLOOKUP('T PI'!C37,"Licence n° "&amp;PI!$B$37:$B$42,PI!$Q$37:$Q$42,"",0,1)),""))</f>
        <v/>
      </c>
      <c r="AM36" s="881"/>
      <c r="AN36" s="145" t="str">
        <f>IF(AL36="","","MGP")</f>
        <v/>
      </c>
      <c r="AO36" s="32"/>
      <c r="AP36" s="151" t="str">
        <f>IF(AND(COUNT(PI!$A$6:$A$11)&gt;5,PI!$AO$4&gt;2,LEFT(PI!$F$13)="P"),"Pts Rk","")</f>
        <v/>
      </c>
      <c r="AQ36" s="32"/>
      <c r="AS36" s="832"/>
      <c r="AT36" s="32"/>
    </row>
    <row r="37" spans="1:46" ht="12.6" customHeight="1" x14ac:dyDescent="0.25">
      <c r="A37" s="32"/>
      <c r="B37" s="32"/>
      <c r="C37" s="147" t="str">
        <f>IF(PI!AO4=2,"",IF(COUNT(PI!A6:A11)&gt;5,"Licence n° "&amp;PI!B11,"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IF(AND(COUNT(PI!$A$6:$A$11)&gt;5,PI!$AO$4&gt;2,LEFT(PI!$F$13)="P"),"Bonus","")</f>
        <v/>
      </c>
      <c r="AQ37" s="32"/>
      <c r="AS37" s="833" t="s">
        <v>8125</v>
      </c>
      <c r="AT37" s="32"/>
    </row>
    <row r="38" spans="1:46" ht="50.1" customHeight="1" thickBot="1" x14ac:dyDescent="0.3">
      <c r="A38" s="32"/>
      <c r="B38" s="32"/>
      <c r="C38" s="149" t="str">
        <f>IF(PI!AO4=2,"",IF(COUNT(PI!A6:A11)&gt;5,PI!G11," "))</f>
        <v xml:space="preserve"> </v>
      </c>
      <c r="D38" s="32"/>
      <c r="E38" s="883" t="str">
        <f>IF(F36="","",IF(F36&gt;0,E35/G35,"/"))</f>
        <v/>
      </c>
      <c r="F38" s="883"/>
      <c r="G38" s="884" t="str">
        <f>IF(PI!$AO$4=2,"",IF(AND(COUNT(PI!$A$6:$A$11)&gt;2,PI!$CF35="P"),PI!$CD35,""))</f>
        <v/>
      </c>
      <c r="H38" s="884"/>
      <c r="I38" s="32"/>
      <c r="J38" s="883" t="str">
        <f>IF(K36="","",IF(K36&gt;0,J35/L35,"/"))</f>
        <v/>
      </c>
      <c r="K38" s="883"/>
      <c r="L38" s="884" t="str">
        <f>IF(PI!$AO$4=2,"",IF(AND(COUNT(PI!$A$6:$A$11)&gt;2,PI!$CF34="P"),PI!$CD34,""))</f>
        <v/>
      </c>
      <c r="M38" s="884"/>
      <c r="N38" s="32"/>
      <c r="O38" s="883" t="str">
        <f>IF(P36="","",IF(P36&gt;0,O35/Q35,"/"))</f>
        <v/>
      </c>
      <c r="P38" s="883"/>
      <c r="Q38" s="884" t="str">
        <f>IF(PI!$AO$4=2,"",IF(AND(COUNT(PI!$A$6:$A$11)&gt;2,PI!$CF33="P"),PI!$CD33,""))</f>
        <v/>
      </c>
      <c r="R38" s="884"/>
      <c r="S38" s="32"/>
      <c r="T38" s="883" t="str">
        <f>IF(U36="","",IF(U36&gt;0,T35/V35,"/"))</f>
        <v/>
      </c>
      <c r="U38" s="883"/>
      <c r="V38" s="884" t="str">
        <f>IF(PI!$AO$4=2,"",IF(AND(COUNT(PI!$A$6:$A$11)&gt;2,PI!$CF32="P"),PI!$CD32,""))</f>
        <v/>
      </c>
      <c r="W38" s="884"/>
      <c r="X38" s="32"/>
      <c r="Y38" s="883" t="str">
        <f>IF(Z36="","",IF(Z36&gt;0,Y35/AA35,"/"))</f>
        <v/>
      </c>
      <c r="Z38" s="883"/>
      <c r="AA38" s="884" t="str">
        <f>IF(PI!$AO$4=2,"",IF(AND(COUNT(PI!$A$6:$A$11)&gt;2,PI!$CF31="P"),PI!$CD31,""))</f>
        <v/>
      </c>
      <c r="AB38" s="884"/>
      <c r="AC38" s="32"/>
      <c r="AD38" s="885"/>
      <c r="AE38" s="885"/>
      <c r="AF38" s="885"/>
      <c r="AG38" s="885"/>
      <c r="AH38" s="32"/>
      <c r="AI38" s="32"/>
      <c r="AJ38" s="32"/>
      <c r="AK38" s="883" t="str" cm="1">
        <f t="array" ref="AK38">IF(PI!$AO$4&lt;3,"",IF(_xlfn.XLOOKUP('T PI'!C37,"Licence n° "&amp;PI!$B$6:$B$11,PI!$AO$6:$AO$11,"",0,1)=1,"",_xlfn.XLOOKUP('T PI'!C37,"Licence n° "&amp;PI!$B$6:$B$11,PI!$U$6:$U$11,"",0,1)))</f>
        <v/>
      </c>
      <c r="AL38" s="883"/>
      <c r="AM38" s="884" t="str" cm="1">
        <f t="array" ref="AM38">IF(PI!$AO$4&lt;3,"",IF(_xlfn.XLOOKUP('T PI'!C37,"Licence n° "&amp;PI!$B$6:$B$11,PI!$AO$6:$AO$11,"",0,1)=1,"",_xlfn.XLOOKUP('T PI'!C37,"Licence n° "&amp;PI!$B$6:$B$11,PI!$S$6:$S$11,"",0,1)))</f>
        <v/>
      </c>
      <c r="AN38" s="884"/>
      <c r="AO38" s="32"/>
      <c r="AP38" s="562" t="str" cm="1">
        <f t="array" ref="AP38">_xlfn.XLOOKUP(C37,"Licence n° "&amp;PI!$B$6:$B$11,PI!$X$6:$X$11,"",0,1)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SjkDKiD7egvvc0J6N43S1reWVpT+Yj+4A9gJo6AJF4gp34L3wF7Tubj05BjcPxUINnD4rNZrz5K1m6lTFJ8X+g==" saltValue="NPPEZskhDrRSdmbHFCuEAQ=="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573" priority="130">
      <formula>F16=0</formula>
    </cfRule>
    <cfRule type="expression" dxfId="572" priority="129">
      <formula>F16=1</formula>
    </cfRule>
    <cfRule type="expression" dxfId="571" priority="128">
      <formula>F16=2</formula>
    </cfRule>
  </conditionalFormatting>
  <conditionalFormatting sqref="F21">
    <cfRule type="expression" dxfId="570" priority="113">
      <formula>F21=2</formula>
    </cfRule>
    <cfRule type="expression" dxfId="569" priority="114">
      <formula>F21=1</formula>
    </cfRule>
    <cfRule type="expression" dxfId="568" priority="115">
      <formula>F21=0</formula>
    </cfRule>
  </conditionalFormatting>
  <conditionalFormatting sqref="F26">
    <cfRule type="expression" dxfId="567" priority="98">
      <formula>F26=2</formula>
    </cfRule>
    <cfRule type="expression" dxfId="566" priority="99">
      <formula>F26=1</formula>
    </cfRule>
    <cfRule type="expression" dxfId="565" priority="100">
      <formula>F26=0</formula>
    </cfRule>
  </conditionalFormatting>
  <conditionalFormatting sqref="F31">
    <cfRule type="expression" dxfId="564" priority="83">
      <formula>F31=2</formula>
    </cfRule>
    <cfRule type="expression" dxfId="563" priority="84">
      <formula>F31=1</formula>
    </cfRule>
    <cfRule type="expression" dxfId="562" priority="85">
      <formula>F31=0</formula>
    </cfRule>
  </conditionalFormatting>
  <conditionalFormatting sqref="F36">
    <cfRule type="expression" dxfId="561" priority="70">
      <formula>F36=0</formula>
    </cfRule>
    <cfRule type="expression" dxfId="560" priority="69">
      <formula>F36=1</formula>
    </cfRule>
    <cfRule type="expression" dxfId="559" priority="68">
      <formula>F36=2</formula>
    </cfRule>
  </conditionalFormatting>
  <conditionalFormatting sqref="J15:M18">
    <cfRule type="expression" dxfId="550" priority="147">
      <formula>$J$15="MATCH 1"</formula>
    </cfRule>
  </conditionalFormatting>
  <conditionalFormatting sqref="K21">
    <cfRule type="expression" dxfId="549" priority="110">
      <formula>K21=2</formula>
    </cfRule>
    <cfRule type="expression" dxfId="548" priority="111">
      <formula>K21=1</formula>
    </cfRule>
    <cfRule type="expression" dxfId="547" priority="112">
      <formula>K21=0</formula>
    </cfRule>
  </conditionalFormatting>
  <conditionalFormatting sqref="K26">
    <cfRule type="expression" dxfId="546" priority="97">
      <formula>K26=0</formula>
    </cfRule>
    <cfRule type="expression" dxfId="545" priority="96">
      <formula>K26=1</formula>
    </cfRule>
    <cfRule type="expression" dxfId="544" priority="95">
      <formula>K26=2</formula>
    </cfRule>
  </conditionalFormatting>
  <conditionalFormatting sqref="K31">
    <cfRule type="expression" dxfId="543" priority="82">
      <formula>K31=0</formula>
    </cfRule>
    <cfRule type="expression" dxfId="542" priority="80">
      <formula>K31=2</formula>
    </cfRule>
    <cfRule type="expression" dxfId="541" priority="81">
      <formula>K31=1</formula>
    </cfRule>
  </conditionalFormatting>
  <conditionalFormatting sqref="K36">
    <cfRule type="expression" dxfId="540" priority="65">
      <formula>K36=2</formula>
    </cfRule>
    <cfRule type="expression" dxfId="539" priority="66">
      <formula>K36=1</formula>
    </cfRule>
    <cfRule type="expression" dxfId="538" priority="67">
      <formula>K36=0</formula>
    </cfRule>
  </conditionalFormatting>
  <conditionalFormatting sqref="K11:L12">
    <cfRule type="expression" dxfId="537" priority="143">
      <formula>K11=2</formula>
    </cfRule>
    <cfRule type="expression" dxfId="536" priority="144">
      <formula>K11=1</formula>
    </cfRule>
    <cfRule type="expression" dxfId="535" priority="145">
      <formula>K11=0</formula>
    </cfRule>
  </conditionalFormatting>
  <conditionalFormatting sqref="O20:R23">
    <cfRule type="expression" dxfId="528" priority="146">
      <formula>$O$20="MATCH 2"</formula>
    </cfRule>
  </conditionalFormatting>
  <conditionalFormatting sqref="P11">
    <cfRule type="expression" dxfId="527" priority="140">
      <formula>P11=2</formula>
    </cfRule>
    <cfRule type="expression" dxfId="526" priority="141">
      <formula>P11=1</formula>
    </cfRule>
    <cfRule type="expression" dxfId="525" priority="142">
      <formula>P11=0</formula>
    </cfRule>
  </conditionalFormatting>
  <conditionalFormatting sqref="P16">
    <cfRule type="expression" dxfId="524" priority="125">
      <formula>P16=2</formula>
    </cfRule>
    <cfRule type="expression" dxfId="523" priority="127">
      <formula>P16=0</formula>
    </cfRule>
    <cfRule type="expression" dxfId="522" priority="126">
      <formula>P16=1</formula>
    </cfRule>
  </conditionalFormatting>
  <conditionalFormatting sqref="P26">
    <cfRule type="expression" dxfId="521" priority="93">
      <formula>P26=1</formula>
    </cfRule>
    <cfRule type="expression" dxfId="520" priority="92">
      <formula>P26=2</formula>
    </cfRule>
    <cfRule type="expression" dxfId="519" priority="94">
      <formula>P26=0</formula>
    </cfRule>
  </conditionalFormatting>
  <conditionalFormatting sqref="P31">
    <cfRule type="expression" dxfId="518" priority="77">
      <formula>P31=2</formula>
    </cfRule>
    <cfRule type="expression" dxfId="517" priority="78">
      <formula>P31=1</formula>
    </cfRule>
    <cfRule type="expression" dxfId="516" priority="79">
      <formula>P31=0</formula>
    </cfRule>
  </conditionalFormatting>
  <conditionalFormatting sqref="P36">
    <cfRule type="expression" dxfId="515" priority="64">
      <formula>P36=0</formula>
    </cfRule>
    <cfRule type="expression" dxfId="514" priority="63">
      <formula>P36=1</formula>
    </cfRule>
    <cfRule type="expression" dxfId="513" priority="62">
      <formula>P36=2</formula>
    </cfRule>
  </conditionalFormatting>
  <conditionalFormatting sqref="U11">
    <cfRule type="expression" dxfId="512" priority="138">
      <formula>U11=1</formula>
    </cfRule>
    <cfRule type="expression" dxfId="511" priority="139">
      <formula>U11=0</formula>
    </cfRule>
    <cfRule type="expression" dxfId="510" priority="137">
      <formula>U11=2</formula>
    </cfRule>
  </conditionalFormatting>
  <conditionalFormatting sqref="U16">
    <cfRule type="expression" dxfId="509" priority="123">
      <formula>U16=1</formula>
    </cfRule>
    <cfRule type="expression" dxfId="508" priority="122">
      <formula>U16=2</formula>
    </cfRule>
    <cfRule type="expression" dxfId="507" priority="124">
      <formula>U16=0</formula>
    </cfRule>
  </conditionalFormatting>
  <conditionalFormatting sqref="U21">
    <cfRule type="expression" dxfId="506" priority="108">
      <formula>U21=1</formula>
    </cfRule>
    <cfRule type="expression" dxfId="505" priority="109">
      <formula>U21=0</formula>
    </cfRule>
    <cfRule type="expression" dxfId="504" priority="107">
      <formula>U21=2</formula>
    </cfRule>
  </conditionalFormatting>
  <conditionalFormatting sqref="U31">
    <cfRule type="expression" dxfId="503" priority="76">
      <formula>U31=0</formula>
    </cfRule>
    <cfRule type="expression" dxfId="502" priority="75">
      <formula>U31=1</formula>
    </cfRule>
    <cfRule type="expression" dxfId="501" priority="74">
      <formula>U31=2</formula>
    </cfRule>
  </conditionalFormatting>
  <conditionalFormatting sqref="U36">
    <cfRule type="expression" dxfId="500" priority="61">
      <formula>U36=0</formula>
    </cfRule>
    <cfRule type="expression" dxfId="499" priority="60">
      <formula>U36=1</formula>
    </cfRule>
    <cfRule type="expression" dxfId="498" priority="59">
      <formula>U36=2</formula>
    </cfRule>
  </conditionalFormatting>
  <conditionalFormatting sqref="Z11">
    <cfRule type="expression" dxfId="497" priority="134">
      <formula>Z11=2</formula>
    </cfRule>
    <cfRule type="expression" dxfId="496" priority="136">
      <formula>Z11=0</formula>
    </cfRule>
    <cfRule type="expression" dxfId="495" priority="135">
      <formula>Z11=1</formula>
    </cfRule>
  </conditionalFormatting>
  <conditionalFormatting sqref="Z16">
    <cfRule type="expression" dxfId="494" priority="119">
      <formula>Z16=2</formula>
    </cfRule>
    <cfRule type="expression" dxfId="493" priority="120">
      <formula>Z16=1</formula>
    </cfRule>
    <cfRule type="expression" dxfId="492" priority="121">
      <formula>Z16=0</formula>
    </cfRule>
  </conditionalFormatting>
  <conditionalFormatting sqref="Z21">
    <cfRule type="expression" dxfId="491" priority="104">
      <formula>Z21=2</formula>
    </cfRule>
    <cfRule type="expression" dxfId="490" priority="105">
      <formula>Z21=1</formula>
    </cfRule>
    <cfRule type="expression" dxfId="489" priority="106">
      <formula>Z21=0</formula>
    </cfRule>
  </conditionalFormatting>
  <conditionalFormatting sqref="Z26">
    <cfRule type="expression" dxfId="488" priority="89">
      <formula>Z26=2</formula>
    </cfRule>
    <cfRule type="expression" dxfId="487" priority="90">
      <formula>Z26=1</formula>
    </cfRule>
    <cfRule type="expression" dxfId="486" priority="91">
      <formula>Z26=0</formula>
    </cfRule>
  </conditionalFormatting>
  <conditionalFormatting sqref="Z36">
    <cfRule type="expression" dxfId="485" priority="57">
      <formula>Z36=1</formula>
    </cfRule>
    <cfRule type="expression" dxfId="484" priority="56">
      <formula>Z36=2</formula>
    </cfRule>
    <cfRule type="expression" dxfId="483" priority="58">
      <formula>Z36=0</formula>
    </cfRule>
  </conditionalFormatting>
  <conditionalFormatting sqref="AE11">
    <cfRule type="expression" dxfId="478" priority="133">
      <formula>AE11=0</formula>
    </cfRule>
    <cfRule type="expression" dxfId="477" priority="132">
      <formula>AE11=1</formula>
    </cfRule>
    <cfRule type="expression" dxfId="476" priority="131">
      <formula>AE11=2</formula>
    </cfRule>
  </conditionalFormatting>
  <conditionalFormatting sqref="AE16">
    <cfRule type="expression" dxfId="475" priority="118">
      <formula>AE16=0</formula>
    </cfRule>
    <cfRule type="expression" dxfId="474" priority="117">
      <formula>AE16=1</formula>
    </cfRule>
    <cfRule type="expression" dxfId="473" priority="116">
      <formula>AE16=2</formula>
    </cfRule>
  </conditionalFormatting>
  <conditionalFormatting sqref="AE21">
    <cfRule type="expression" dxfId="472" priority="101">
      <formula>AE21=2</formula>
    </cfRule>
    <cfRule type="expression" dxfId="471" priority="103">
      <formula>AE21=0</formula>
    </cfRule>
    <cfRule type="expression" dxfId="470" priority="102">
      <formula>AE21=1</formula>
    </cfRule>
  </conditionalFormatting>
  <conditionalFormatting sqref="AE26">
    <cfRule type="expression" dxfId="469" priority="87">
      <formula>AE26=1</formula>
    </cfRule>
    <cfRule type="expression" dxfId="468" priority="86">
      <formula>AE26=2</formula>
    </cfRule>
    <cfRule type="expression" dxfId="467" priority="88">
      <formula>AE26=0</formula>
    </cfRule>
  </conditionalFormatting>
  <conditionalFormatting sqref="AE31">
    <cfRule type="expression" dxfId="466" priority="72">
      <formula>AE31=1</formula>
    </cfRule>
    <cfRule type="expression" dxfId="465" priority="73">
      <formula>AE31=0</formula>
    </cfRule>
    <cfRule type="expression" dxfId="464" priority="71">
      <formula>AE31=2</formula>
    </cfRule>
  </conditionalFormatting>
  <hyperlinks>
    <hyperlink ref="AS2" location="'GESTION DES JOUEURS'!D4" display="GESTION DES JOUEURS" xr:uid="{12BEB21D-233E-4359-8C21-084EA9B20F3B}"/>
    <hyperlink ref="AS10:AS11" location="PA!N18" display="PA!N18" xr:uid="{0D0DEB68-52A1-4BEB-9A8C-7710E6F7E5B6}"/>
    <hyperlink ref="AS12:AS13" location="PB!N18" display="Poule B" xr:uid="{60D9ADC7-2099-44C1-ABA9-681E20283B0C}"/>
    <hyperlink ref="AS15:AS16" location="PC!N18" display="Poule C" xr:uid="{A203168E-6C12-4C9F-AB07-38FA6D0BC39A}"/>
    <hyperlink ref="AS17:AS18" location="PD!N18" display="Poule D" xr:uid="{BB08B63A-1C27-49E1-A963-8DFDE02F73DA}"/>
    <hyperlink ref="AS20:AS21" location="PE!N18" display="Poule E" xr:uid="{C0158372-92C3-4D40-B1D2-F7928CE98975}"/>
    <hyperlink ref="AS22:AS23" location="PF!N18" display="Poule F" xr:uid="{6EDA542D-F1C2-4AFA-9D1B-8D8B926596CE}"/>
    <hyperlink ref="AS25:AS26" location="PG!N18" display="Poule G" xr:uid="{FB66633F-FB8F-4761-A00E-A229010AB217}"/>
    <hyperlink ref="AS27:AS28" location="PH!N18" display="Poule H" xr:uid="{CADDA4B4-26C3-429F-87FB-8C2A08A004A2}"/>
    <hyperlink ref="AS30:AS31" location="PI!N18" display="Poule I" xr:uid="{F4E17026-C9AC-45B8-B508-A691CB57FC64}"/>
    <hyperlink ref="AS32:AS33" location="PJ!N18" display="Poule J" xr:uid="{838C8FBD-19CB-43DE-BEA8-DB82529109E8}"/>
    <hyperlink ref="AS35:AS36" location="PK!N18" display="Poule K" xr:uid="{4B20948E-51B2-4C91-B629-B4BED7745AD2}"/>
    <hyperlink ref="AS37:AS38" location="PL!N18" display="Poule L" xr:uid="{D64AE30E-D2A6-4EDA-BE3C-951AFF9A668A}"/>
    <hyperlink ref="AV2" location="'Phase finale'!A1" display="Phase Finale" xr:uid="{09D82925-288B-4AD6-A2C9-5FE58AACC105}"/>
    <hyperlink ref="AV9:AV11" location="RESULTATS!A1" display="RESULTATS" xr:uid="{BB237E92-CAC9-4E1F-9CE0-5CFEA49E68FD}"/>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4289" id="{F9599DF0-51EF-40AC-AF5E-3B5E31C52EEA}">
            <xm:f>AND(COUNT(PI!$A$6:$A$11)=3,PI!$AO$4&gt;2)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4320" id="{96B7CA3D-1AB8-4678-A9A4-39FE7931BA0C}">
            <xm:f>AND(COUNT(PI!$A$6:$A$11)=4,PI!$AO$4&gt;2)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FB6AC26F-BA9C-41A9-8738-E8A95348649F}">
            <xm:f>PI!$AO$4=2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4362" id="{F9325275-7D26-4087-B94B-4E86BABBCFDA}">
            <xm:f>AND(COUNT(PI!$A$6:$A$11)=4,PI!$AO$4&gt;2)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09944FE1-3997-4786-B213-B8CE8049EB61}">
            <xm:f>PI!$AO$4=2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4382" id="{AD715543-CB33-4460-8FA4-57C3AB11C993}">
            <xm:f>AND(COUNT(PI!$A$6:$A$11)=5,PI!$AO$4&gt;2)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4387" id="{DFB14594-BF0B-44CA-A192-1574697BDBC0}">
            <xm:f>AND(COUNT(PI!$A$6:$A$11)&gt;=5,PI!$AO$4&gt;2)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4442" id="{2404DAE4-B598-4333-84C2-648840FD60B7}">
            <xm:f>AND(COUNT(PI!$A$6:$A$11)&gt;=5,PI!$AO$4&gt;2)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4517" id="{B4CD3D3D-C000-4848-A6C2-EA0F3326BD18}">
            <xm:f>AND(COUNT(PI!$A$6:$A$11)=3,PI!$AO$4&gt;2)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4545" id="{4AF77A35-473B-4019-9B1C-361DC8EFC573}">
            <xm:f>PI!$AO$4=2</xm:f>
            <x14:dxf>
              <border>
                <top/>
                <vertical/>
                <horizontal/>
              </border>
            </x14:dxf>
          </x14:cfRule>
          <x14:cfRule type="expression" priority="14544" id="{D144A43D-9FD8-496B-B5F8-A9BDAE62D0FF}">
            <xm:f>AND(COUNT(PI!$A$6:$A$11)=4,PI!$AO$4&gt;2)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4580" id="{F1C6D6BF-382B-4D42-8A99-CDB7AEADACDB}">
            <xm:f>AND(COUNT(PI!$A$6:$A$11)&gt;=5,PI!$AO$4&gt;2)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4655" id="{99D498C6-869B-4E63-BD86-E27C563AAE4D}">
            <xm:f>AND(COUNT(PI!$A$6:$A$11)=3,PI!$AO$4&gt;2)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4682" id="{1A78B992-84DE-48B5-BCE0-0578CFD6284A}">
            <xm:f>AND(COUNT(PI!$A$6:$A$11)=4,PI!$AO$4&gt;2)</xm:f>
            <x14:dxf>
              <border>
                <bottom/>
                <vertical/>
                <horizontal/>
              </border>
            </x14:dxf>
          </x14:cfRule>
          <x14:cfRule type="expression" priority="14683" id="{4249D812-96E7-468B-A419-E6D679AA7617}">
            <xm:f>PI!$AO$4=2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4718" id="{6977415D-ADDB-4FE8-864E-A1E9BA8421E9}">
            <xm:f>AND(COUNT(PI!$A$6:$A$11)=4,PI!$AO$4&gt;2)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4748" id="{781F859F-2F8D-4AE3-89BE-349243541458}">
            <xm:f>PI!$AO$4=2</xm:f>
            <x14:dxf>
              <border>
                <bottom/>
                <vertical/>
                <horizontal/>
              </border>
            </x14:dxf>
          </x14:cfRule>
          <x14:cfRule type="expression" priority="14749" id="{659901A0-4C25-48CB-849A-010E67AE01A0}">
            <xm:f>AND(COUNT(PI!$A$6:$A$11)=4,PI!$AO$4&gt;2)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4750" id="{6047B9EC-C0A0-4202-93AE-8CD35321EF20}">
            <xm:f>AND(COUNT(PI!$A$6:$A$11)=4,PI!$AO$4&gt;2)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4780" id="{CC63B524-17B8-422D-8ACE-4BDF5586BFF7}">
            <xm:f>AND(COUNT(PI!$A$6:$A$11)=3,PI!$AO$4&gt;2)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4792" id="{F10A9454-53E9-4409-B93D-C049018DC11C}">
            <xm:f>AND(COUNT(PI!$A$6:$A$11)&gt;=5,PI!$AO$4&gt;2)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4817" id="{9089265A-D8B6-4904-8A18-2FA27BE5CEE3}">
            <xm:f>AND(COUNT(PI!$A$6:$A$11)=6,PI!$AO$4&gt;2)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4850" id="{E63518D3-8A38-4C4F-9BD7-BF822E741DDA}">
            <xm:f>AND(COUNT(PI!$A$6:$A$11)=6,PI!$AO$4&gt;2)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4875" id="{28B22A2F-E71D-4550-BEF4-9109E9BDBBB1}">
            <xm:f>AND(COUNT(PI!$A$6:$A$11)=6,PI!$AO$4&gt;2)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4908" id="{60452F73-AC30-4A10-ABEE-0E8D23D32AAD}">
            <xm:f>AND(COUNT(PI!$A$6:$A$11)=6,PI!$AO$4&gt;2)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4927" id="{29CB6503-4EAF-4E87-B9D8-830B468D0A05}">
            <xm:f>AND(LEFT(PI!$F$13)="F",$AL$11=1,PI!$BU$5="X")</xm:f>
            <x14:dxf>
              <font>
                <color rgb="FF8E0000"/>
              </font>
              <fill>
                <patternFill>
                  <bgColor rgb="FFFBE93B"/>
                </patternFill>
              </fill>
            </x14:dxf>
          </x14:cfRule>
          <x14:cfRule type="expression" priority="14926" id="{A0B58C56-831D-4BCF-9D79-5CEDC136D670}">
            <xm:f>AND(LEFT(PI!$F$13)="F",$AL$11=2,PI!$BU$5="X")</xm:f>
            <x14:dxf>
              <font>
                <color rgb="FF8E0000"/>
              </font>
              <fill>
                <patternFill>
                  <bgColor theme="2"/>
                </patternFill>
              </fill>
            </x14:dxf>
          </x14:cfRule>
          <x14:cfRule type="expression" priority="14925" id="{D1069A7B-AA1B-4A75-8D72-833BFEE93D5D}">
            <xm:f>AND(LEFT(PI!$F$13)="F",$AL$11=3,PI!$BU$5="X")</xm:f>
            <x14:dxf>
              <font>
                <color rgb="FF8E0000"/>
              </font>
              <fill>
                <patternFill>
                  <bgColor rgb="FFFECF82"/>
                </patternFill>
              </fill>
            </x14:dxf>
          </x14:cfRule>
          <xm:sqref>AL11</xm:sqref>
        </x14:conditionalFormatting>
        <x14:conditionalFormatting xmlns:xm="http://schemas.microsoft.com/office/excel/2006/main">
          <x14:cfRule type="expression" priority="14929" id="{5B85CA4A-C543-459F-B6B9-9D06F911F4A7}">
            <xm:f>AND(LEFT(PI!$F$13)="F",$AL$16=2,PI!$BU$5="X")</xm:f>
            <x14:dxf>
              <font>
                <color rgb="FF8E0000"/>
              </font>
              <fill>
                <patternFill>
                  <bgColor theme="2"/>
                </patternFill>
              </fill>
            </x14:dxf>
          </x14:cfRule>
          <x14:cfRule type="expression" priority="14930" id="{1A74A225-1620-48B8-B66B-1FA097129D0B}">
            <xm:f>AND(LEFT(PI!$F$13)="F",$AL$16=1,PI!$BU$5="X")</xm:f>
            <x14:dxf>
              <font>
                <color rgb="FF8E0000"/>
              </font>
              <fill>
                <patternFill>
                  <bgColor rgb="FFFBE93B"/>
                </patternFill>
              </fill>
            </x14:dxf>
          </x14:cfRule>
          <x14:cfRule type="expression" priority="14928" id="{D957B742-FD84-4AD2-9006-FC64A5744042}">
            <xm:f>AND(LEFT(PI!$F$13)="F",$AL$16=3,PI!$BU$5="X")</xm:f>
            <x14:dxf>
              <font>
                <color rgb="FF8E0000"/>
              </font>
              <fill>
                <patternFill>
                  <bgColor rgb="FFFECF82"/>
                </patternFill>
              </fill>
            </x14:dxf>
          </x14:cfRule>
          <xm:sqref>AL16</xm:sqref>
        </x14:conditionalFormatting>
        <x14:conditionalFormatting xmlns:xm="http://schemas.microsoft.com/office/excel/2006/main">
          <x14:cfRule type="expression" priority="14931" id="{C3ECFCA1-510A-43F2-A0C1-B9FAB229527F}">
            <xm:f>AND(LEFT(PI!$F$13)="F",$AL$21=3,PI!$BU$5="X")</xm:f>
            <x14:dxf>
              <font>
                <color rgb="FF8E0000"/>
              </font>
              <fill>
                <patternFill>
                  <bgColor rgb="FFFECF82"/>
                </patternFill>
              </fill>
            </x14:dxf>
          </x14:cfRule>
          <x14:cfRule type="expression" priority="14932" id="{22EEC0A3-E5D5-4FBF-A29D-24E73B7D3398}">
            <xm:f>AND(LEFT(PI!$F$13)="F",$AL$21=2,PI!$BU$5="X")</xm:f>
            <x14:dxf>
              <font>
                <color rgb="FF8E0000"/>
              </font>
              <fill>
                <patternFill>
                  <bgColor theme="2"/>
                </patternFill>
              </fill>
            </x14:dxf>
          </x14:cfRule>
          <x14:cfRule type="expression" priority="14933" id="{3FDCEB6C-F088-4714-8F49-EA6B8B0185EB}">
            <xm:f>AND(LEFT(PI!$F$13)="F",$AL$21=1,PI!$BU$5="X")</xm:f>
            <x14:dxf>
              <font>
                <color rgb="FF8E0000"/>
              </font>
              <fill>
                <patternFill>
                  <bgColor rgb="FFFBE93B"/>
                </patternFill>
              </fill>
            </x14:dxf>
          </x14:cfRule>
          <xm:sqref>AL21</xm:sqref>
        </x14:conditionalFormatting>
        <x14:conditionalFormatting xmlns:xm="http://schemas.microsoft.com/office/excel/2006/main">
          <x14:cfRule type="expression" priority="14936" id="{351CA85F-E6B7-4E0D-9AC2-BBCCBFAE0FB7}">
            <xm:f>AND(LEFT(PI!$F$13)="F",$AL$26=1,PI!$BU$5="X")</xm:f>
            <x14:dxf>
              <font>
                <color rgb="FF8E0000"/>
              </font>
              <fill>
                <patternFill>
                  <bgColor rgb="FFFBE93B"/>
                </patternFill>
              </fill>
            </x14:dxf>
          </x14:cfRule>
          <x14:cfRule type="expression" priority="14935" id="{9C014618-8897-4404-95D5-7F986DC3F2AD}">
            <xm:f>AND(LEFT(PI!$F$13)="F",$AL$26=2,PI!$BU$5="X")</xm:f>
            <x14:dxf>
              <font>
                <color rgb="FF8E0000"/>
              </font>
              <fill>
                <patternFill>
                  <bgColor theme="2"/>
                </patternFill>
              </fill>
            </x14:dxf>
          </x14:cfRule>
          <x14:cfRule type="expression" priority="14934" id="{922E2D32-1603-469F-8044-D2A79606E827}">
            <xm:f>AND(LEFT(PI!$F$13)="F",$AL$26=3,PI!$BU$5="X")</xm:f>
            <x14:dxf>
              <font>
                <color rgb="FF8E0000"/>
              </font>
              <fill>
                <patternFill>
                  <bgColor rgb="FFFECF82"/>
                </patternFill>
              </fill>
            </x14:dxf>
          </x14:cfRule>
          <xm:sqref>AL26</xm:sqref>
        </x14:conditionalFormatting>
        <x14:conditionalFormatting xmlns:xm="http://schemas.microsoft.com/office/excel/2006/main">
          <x14:cfRule type="expression" priority="14938" id="{F56C0D0A-510D-4BFA-97E6-FEBCAA69AD62}">
            <xm:f>AND(LEFT(PI!$F$13)="F",$AL$31=2,PI!$BU$5="X")</xm:f>
            <x14:dxf>
              <font>
                <color rgb="FF8E0000"/>
              </font>
              <fill>
                <patternFill>
                  <bgColor theme="2"/>
                </patternFill>
              </fill>
            </x14:dxf>
          </x14:cfRule>
          <x14:cfRule type="expression" priority="14937" id="{590864B1-8E3F-4D8D-861B-C42B666EBDC2}">
            <xm:f>AND(LEFT(PI!$F$13)="F",$AL$31=3,PI!$BU$5="X")</xm:f>
            <x14:dxf>
              <font>
                <color rgb="FF8E0000"/>
              </font>
              <fill>
                <patternFill>
                  <bgColor rgb="FFFECF82"/>
                </patternFill>
              </fill>
            </x14:dxf>
          </x14:cfRule>
          <x14:cfRule type="expression" priority="14939" id="{9EBCFA9E-98D1-49F4-A119-80862FD42344}">
            <xm:f>AND(LEFT(PI!$F$13)="F",$AL$31=1,PI!$BU$5="X")</xm:f>
            <x14:dxf>
              <font>
                <color rgb="FF8E0000"/>
              </font>
              <fill>
                <patternFill>
                  <bgColor rgb="FFFBE93B"/>
                </patternFill>
              </fill>
            </x14:dxf>
          </x14:cfRule>
          <xm:sqref>AL31</xm:sqref>
        </x14:conditionalFormatting>
        <x14:conditionalFormatting xmlns:xm="http://schemas.microsoft.com/office/excel/2006/main">
          <x14:cfRule type="expression" priority="14940" id="{C1EF3103-4F99-4563-B2F2-104CEDD3092A}">
            <xm:f>AND(LEFT(PI!$F$13)="F",$AL$36=3,PI!$BU$5="X")</xm:f>
            <x14:dxf>
              <font>
                <color rgb="FF8E0000"/>
              </font>
              <fill>
                <patternFill>
                  <bgColor rgb="FFFECF82"/>
                </patternFill>
              </fill>
            </x14:dxf>
          </x14:cfRule>
          <x14:cfRule type="expression" priority="14941" id="{A8FB10AC-08D8-4BD7-8649-27B14C5CD5BC}">
            <xm:f>AND(LEFT(PI!$F$13)="F",$AL$36=2,PI!$BU$5="X")</xm:f>
            <x14:dxf>
              <font>
                <color rgb="FF8E0000"/>
              </font>
              <fill>
                <patternFill>
                  <bgColor theme="2"/>
                </patternFill>
              </fill>
            </x14:dxf>
          </x14:cfRule>
          <x14:cfRule type="expression" priority="14942" id="{41D1B69E-7916-4D9C-8D9E-4F6D19F762D6}">
            <xm:f>AND(LEFT(PI!$F$13)="F",$AL$36=1,PI!$BU$5="X")</xm:f>
            <x14:dxf>
              <font>
                <color rgb="FF8E0000"/>
              </font>
              <fill>
                <patternFill>
                  <bgColor rgb="FFFBE93B"/>
                </patternFill>
              </fill>
            </x14:dxf>
          </x14:cfRule>
          <xm:sqref>AL36</xm:sqref>
        </x14:conditionalFormatting>
        <x14:conditionalFormatting xmlns:xm="http://schemas.microsoft.com/office/excel/2006/main">
          <x14:cfRule type="expression" priority="148" id="{60778CB6-9EC9-4A1C-BECB-6CDEB2AD75C5}">
            <xm:f>LEFT(PI!$B$15)="3"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993" id="{5A7DFEFA-0F5F-444E-998E-1341274A7BC2}">
            <xm:f>AND(LEFT(PA!$F$13)="P",PA!$AO$4&gt;1)</xm:f>
            <x14:dxf>
              <border>
                <bottom/>
                <vertical/>
                <horizontal/>
              </border>
            </x14:dxf>
          </x14:cfRule>
          <xm:sqref>AP10 AP12 AP15 AP17</xm:sqref>
        </x14:conditionalFormatting>
        <x14:conditionalFormatting xmlns:xm="http://schemas.microsoft.com/office/excel/2006/main">
          <x14:cfRule type="expression" priority="4" id="{277767C0-A33D-40A4-AEC9-7DD1633AE966}">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997" id="{80FB0AF0-ED26-42BC-B53D-EBFFF8170958}">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999" id="{F6868E1F-2646-4994-A791-04ABC3F9FEF3}">
            <xm:f>AND(LEFT(PA!$F$13)="P",PA!$AO$4&gt;1)</xm:f>
            <x14:dxf>
              <border>
                <top/>
                <vertical/>
                <horizontal/>
              </border>
            </x14:dxf>
          </x14:cfRule>
          <xm:sqref>AP11 AP13 AP16 AP18</xm:sqref>
        </x14:conditionalFormatting>
        <x14:conditionalFormatting xmlns:xm="http://schemas.microsoft.com/office/excel/2006/main">
          <x14:cfRule type="expression" priority="12023" id="{D14A695D-7611-4202-8C7B-1557B4F635B2}">
            <xm:f>AND(LEFT(PA!$F$13)="P",PA!$AO$4&gt;1)</xm:f>
            <x14:dxf>
              <fill>
                <patternFill>
                  <bgColor theme="1"/>
                </patternFill>
              </fill>
            </x14:dxf>
          </x14:cfRule>
          <xm:sqref>AP14 AP19</xm:sqref>
        </x14:conditionalFormatting>
        <x14:conditionalFormatting xmlns:xm="http://schemas.microsoft.com/office/excel/2006/main">
          <x14:cfRule type="expression" priority="12003" id="{86A32194-D4CA-44CA-854A-4E67654C7F94}">
            <xm:f>AND(LEFT(PA!$F$13)="P",PA!$AO$4&gt;2)</xm:f>
            <x14:dxf>
              <border>
                <bottom/>
                <vertical/>
                <horizontal/>
              </border>
            </x14:dxf>
          </x14:cfRule>
          <xm:sqref>AP20 AP22</xm:sqref>
        </x14:conditionalFormatting>
        <x14:conditionalFormatting xmlns:xm="http://schemas.microsoft.com/office/excel/2006/main">
          <x14:cfRule type="expression" priority="12005" id="{91B35527-C36F-42A8-8C2B-77E90860F1B0}">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2006" id="{8BB7C6A3-615D-4DF5-B192-27967EEC02BA}">
            <xm:f>AND(LEFT(PA!$F$13)="P",PA!$AO$4&gt;2)</xm:f>
            <x14:dxf>
              <border>
                <top/>
                <vertical/>
                <horizontal/>
              </border>
            </x14:dxf>
          </x14:cfRule>
          <xm:sqref>AP21 AP23</xm:sqref>
        </x14:conditionalFormatting>
        <x14:conditionalFormatting xmlns:xm="http://schemas.microsoft.com/office/excel/2006/main">
          <x14:cfRule type="expression" priority="12025" id="{240D5570-C046-4EBF-95CB-EB2EBBFAC2F1}">
            <xm:f>AND(LEFT(PA!$F$13)="P",PA!$AO$4&gt;2)</xm:f>
            <x14:dxf>
              <fill>
                <patternFill>
                  <bgColor theme="1"/>
                </patternFill>
              </fill>
            </x14:dxf>
          </x14:cfRule>
          <xm:sqref>AP24</xm:sqref>
        </x14:conditionalFormatting>
        <x14:conditionalFormatting xmlns:xm="http://schemas.microsoft.com/office/excel/2006/main">
          <x14:cfRule type="expression" priority="12008" id="{26FB1281-8C04-44CF-A344-9651497AE3B1}">
            <xm:f>AND(LEFT(PA!$F$13)="P",PA!$AO$4&gt;2,COUNT(PA!$A$6:$A$11)&gt;3)</xm:f>
            <x14:dxf>
              <border>
                <bottom/>
                <vertical/>
                <horizontal/>
              </border>
            </x14:dxf>
          </x14:cfRule>
          <xm:sqref>AP25 AP27</xm:sqref>
        </x14:conditionalFormatting>
        <x14:conditionalFormatting xmlns:xm="http://schemas.microsoft.com/office/excel/2006/main">
          <x14:cfRule type="expression" priority="12010" id="{F875175C-D64D-4E09-80D7-55CDE04F9093}">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2011" id="{9D9748E6-119F-49E8-8B14-BD59C3E864A3}">
            <xm:f>AND(LEFT(PA!$F$13)="P",PA!$AO$4&gt;2,COUNT(PA!$A$6:$A$11)&gt;3)</xm:f>
            <x14:dxf>
              <border>
                <top/>
                <vertical/>
                <horizontal/>
              </border>
            </x14:dxf>
          </x14:cfRule>
          <xm:sqref>AP26 AP28</xm:sqref>
        </x14:conditionalFormatting>
        <x14:conditionalFormatting xmlns:xm="http://schemas.microsoft.com/office/excel/2006/main">
          <x14:cfRule type="expression" priority="12026" id="{338C1815-C154-4B88-8587-955084715D53}">
            <xm:f>AND(LEFT(PA!$F$13)="P",PA!$AO$4&gt;2,COUNT(PA!$A$6:$A$11)&gt;3)</xm:f>
            <x14:dxf>
              <fill>
                <patternFill>
                  <bgColor theme="1"/>
                </patternFill>
              </fill>
            </x14:dxf>
          </x14:cfRule>
          <xm:sqref>AP29</xm:sqref>
        </x14:conditionalFormatting>
        <x14:conditionalFormatting xmlns:xm="http://schemas.microsoft.com/office/excel/2006/main">
          <x14:cfRule type="expression" priority="12013" id="{BBDF1CEA-C43D-4223-8121-3A2C3A082C93}">
            <xm:f>AND(LEFT(PA!$F$13)="P",PA!$AO$4&gt;2,COUNT(PA!$A$6:$A$11)&gt;4)</xm:f>
            <x14:dxf>
              <border>
                <bottom/>
                <vertical/>
                <horizontal/>
              </border>
            </x14:dxf>
          </x14:cfRule>
          <xm:sqref>AP30 AP32</xm:sqref>
        </x14:conditionalFormatting>
        <x14:conditionalFormatting xmlns:xm="http://schemas.microsoft.com/office/excel/2006/main">
          <x14:cfRule type="expression" priority="12015" id="{A9B55F25-6CB9-4D85-A3BD-9D75608B9434}">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2016" id="{9BE511A4-8C2E-4B78-B41B-F72BBFE4E64B}">
            <xm:f>AND(LEFT(PA!$F$13)="P",PA!$AO$4&gt;2,COUNT(PA!$A$6:$A$11)&gt;4)</xm:f>
            <x14:dxf>
              <border>
                <top/>
                <vertical/>
                <horizontal/>
              </border>
            </x14:dxf>
          </x14:cfRule>
          <xm:sqref>AP31 AP33</xm:sqref>
        </x14:conditionalFormatting>
        <x14:conditionalFormatting xmlns:xm="http://schemas.microsoft.com/office/excel/2006/main">
          <x14:cfRule type="expression" priority="12027" id="{05615456-D947-4800-9B55-2BFB1E0FE06C}">
            <xm:f>AND(LEFT(PA!$F$13)="P",PA!$AO$4&gt;2,COUNT(PA!$A$6:$A$11)&gt;4)</xm:f>
            <x14:dxf>
              <fill>
                <patternFill>
                  <bgColor theme="1"/>
                </patternFill>
              </fill>
            </x14:dxf>
          </x14:cfRule>
          <xm:sqref>AP34</xm:sqref>
        </x14:conditionalFormatting>
        <x14:conditionalFormatting xmlns:xm="http://schemas.microsoft.com/office/excel/2006/main">
          <x14:cfRule type="expression" priority="12018" id="{C0C4D4E5-A979-4B57-92C3-B985ED366C58}">
            <xm:f>AND(LEFT(PA!$F$13)="P",PA!$AO$4&gt;2,COUNT(PA!$A$6:$A$11)&gt;5)</xm:f>
            <x14:dxf>
              <border>
                <bottom/>
                <vertical/>
                <horizontal/>
              </border>
            </x14:dxf>
          </x14:cfRule>
          <xm:sqref>AP35 AP37</xm:sqref>
        </x14:conditionalFormatting>
        <x14:conditionalFormatting xmlns:xm="http://schemas.microsoft.com/office/excel/2006/main">
          <x14:cfRule type="expression" priority="12020" id="{A1908A1F-0926-4A33-B0BC-75A40509DC7C}">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2021" id="{D6D8370B-05A9-4BBD-B071-2E9EEA4935ED}">
            <xm:f>AND(LEFT(PA!$F$13)="P",PA!$AO$4&gt;2,COUNT(PA!$A$6:$A$11)&gt;5)</xm:f>
            <x14:dxf>
              <border>
                <top/>
                <vertical/>
                <horizontal/>
              </border>
            </x14:dxf>
          </x14:cfRule>
          <xm:sqref>AP36 AP38</xm:sqref>
        </x14:conditionalFormatting>
        <x14:conditionalFormatting xmlns:xm="http://schemas.microsoft.com/office/excel/2006/main">
          <x14:cfRule type="expression" priority="14943" id="{3C38AACA-416A-42B2-9BFA-E667E10E2EC3}">
            <xm:f>AND(LEFT(PI!$F$13)="P",PI!$AO$4&gt;1)</xm:f>
            <x14:dxf>
              <fill>
                <patternFill>
                  <bgColor theme="1"/>
                </patternFill>
              </fill>
            </x14:dxf>
          </x14:cfRule>
          <xm:sqref>AP9:AQ9 AQ10:AQ19</xm:sqref>
        </x14:conditionalFormatting>
        <x14:conditionalFormatting xmlns:xm="http://schemas.microsoft.com/office/excel/2006/main">
          <x14:cfRule type="expression" priority="14945" id="{A2A49846-D74C-4C48-BCB7-0B9D740C4BFE}">
            <xm:f>AND(LEFT(PI!$F$13)="P",PI!$AO$4&gt;2)</xm:f>
            <x14:dxf>
              <fill>
                <patternFill>
                  <bgColor theme="1"/>
                </patternFill>
              </fill>
            </x14:dxf>
          </x14:cfRule>
          <xm:sqref>AQ20:AQ24</xm:sqref>
        </x14:conditionalFormatting>
        <x14:conditionalFormatting xmlns:xm="http://schemas.microsoft.com/office/excel/2006/main">
          <x14:cfRule type="expression" priority="14946" id="{97C5B68F-05FD-4314-A426-F47B32CA2C33}">
            <xm:f>AND(LEFT(PI!$F$13)="P",PI!$AO$4&gt;2,COUNT(PI!$A$6:$A$11)&gt;3)</xm:f>
            <x14:dxf>
              <fill>
                <patternFill>
                  <bgColor theme="1"/>
                </patternFill>
              </fill>
            </x14:dxf>
          </x14:cfRule>
          <xm:sqref>AQ25:AQ29</xm:sqref>
        </x14:conditionalFormatting>
        <x14:conditionalFormatting xmlns:xm="http://schemas.microsoft.com/office/excel/2006/main">
          <x14:cfRule type="expression" priority="14947" id="{2503033A-8636-4508-B6DF-512F0F642ABD}">
            <xm:f>AND(LEFT(PI!$F$13)="P",PI!$AO$4&gt;2,COUNT(PI!$A$6:$A$11)&gt;4)</xm:f>
            <x14:dxf>
              <fill>
                <patternFill>
                  <bgColor theme="1"/>
                </patternFill>
              </fill>
            </x14:dxf>
          </x14:cfRule>
          <xm:sqref>AQ30:AQ34</xm:sqref>
        </x14:conditionalFormatting>
        <x14:conditionalFormatting xmlns:xm="http://schemas.microsoft.com/office/excel/2006/main">
          <x14:cfRule type="expression" priority="14948" id="{4E80C0E3-8715-4B53-AE8E-EA1B0F153C8B}">
            <xm:f>AND(LEFT(PI!$F$13)="P",PI!$AO$4&gt;2,COUNT(PI!$A$6:$A$11)&gt;5)</xm:f>
            <x14:dxf>
              <fill>
                <patternFill>
                  <bgColor theme="1"/>
                </patternFill>
              </fill>
            </x14:dxf>
          </x14:cfRule>
          <xm:sqref>AQ35:AQ38 AP39:AQ39</xm:sqref>
        </x14:conditionalFormatting>
        <x14:conditionalFormatting xmlns:xm="http://schemas.microsoft.com/office/excel/2006/main">
          <x14:cfRule type="expression" priority="39" id="{DE261AB7-4187-4E0D-A907-DCF1EE39E2D7}">
            <xm:f>'GESTION DES JOUEURS'!$T$8&lt;2</xm:f>
            <x14:dxf>
              <font>
                <color theme="0" tint="-0.24994659260841701"/>
              </font>
              <fill>
                <patternFill>
                  <bgColor theme="0" tint="-0.24994659260841701"/>
                </patternFill>
              </fill>
            </x14:dxf>
          </x14:cfRule>
          <x14:cfRule type="expression" priority="40" id="{3EF18082-1F87-4B3A-953C-E725CE4A4D7A}">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34E32026-D985-4BD9-B5B0-72C48C569C9C}">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2FAFC90A-58EE-4EFC-B1D3-037D95B727FF}">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CBD139C5-4D55-4DDE-A417-425BF14549FB}">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27FE4856-1155-468D-85CC-D49803B849E5}">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91C2DFCD-A71C-4A22-A976-3549F909DA04}">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8222F5B5-7CCA-49F5-BCAC-113C082BAA0E}">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B63F5C93-D54D-478D-83BE-BC4540DD721A}">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60C12C2E-5E80-4C8E-9B63-5F631922D44C}">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9F6657E0-9767-4608-BA82-242BBF039D46}">
            <xm:f>'GESTION DES JOUEURS'!$D$8="Finale"</xm:f>
            <x14:dxf>
              <font>
                <color theme="0" tint="-0.24994659260841701"/>
              </font>
              <fill>
                <patternFill>
                  <bgColor theme="0" tint="-0.24994659260841701"/>
                </patternFill>
              </fill>
            </x14:dxf>
          </x14:cfRule>
          <x14:cfRule type="expression" priority="25" id="{6206ADC9-4DDE-40F3-B680-1BE9A2EB75E5}">
            <xm:f>OR('GESTION DES JOUEURS'!$D$8="poules",'GESTION DES JOUEURS'!$D$8="Finale")</xm:f>
            <x14:dxf>
              <font>
                <color theme="0" tint="-0.24994659260841701"/>
              </font>
              <fill>
                <patternFill>
                  <fgColor auto="1"/>
                  <bgColor theme="0" tint="-0.24994659260841701"/>
                </patternFill>
              </fill>
            </x14:dxf>
          </x14:cfRule>
          <x14:cfRule type="expression" priority="24" id="{47DA07BC-784C-420E-A0E4-46AF784DDADC}">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393EF4DA-E7CE-405E-95B5-82A85F0535B0}">
            <xm:f>'GESTION DES JOUEURS'!$T$8=1</xm:f>
            <x14:dxf>
              <font>
                <color theme="0" tint="-0.24994659260841701"/>
              </font>
              <fill>
                <patternFill>
                  <bgColor theme="0" tint="-0.24994659260841701"/>
                </patternFill>
              </fill>
            </x14:dxf>
          </x14:cfRule>
          <x14:cfRule type="expression" priority="3" id="{7D1BEC96-647F-461C-83A1-51F97E537DC1}">
            <xm:f>OR('GESTION DES JOUEURS'!$D$8="Poules",'GESTION DES JOUEURS'!$D$8="Finale",'GESTION DES JOUEURS'!$D$8="Tournoi")</xm:f>
            <x14:dxf>
              <font>
                <color theme="0" tint="-0.24994659260841701"/>
              </font>
              <fill>
                <patternFill>
                  <bgColor theme="0" tint="-0.24994659260841701"/>
                </patternFill>
              </fill>
            </x14:dxf>
          </x14:cfRule>
          <x14:cfRule type="expression" priority="2" id="{CDD8DC39-5864-455F-9343-3EBC13860C53}">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BD5F77BE-E449-459A-8220-C3FEFA31A7C7}">
            <xm:f>'GESTION DES JOUEURS'!$T$8=1</xm:f>
            <x14:dxf>
              <font>
                <color theme="0" tint="-0.24994659260841701"/>
              </font>
              <fill>
                <patternFill>
                  <bgColor theme="0" tint="-0.24994659260841701"/>
                </patternFill>
              </fill>
            </x14:dxf>
          </x14:cfRule>
          <x14:cfRule type="expression" priority="53" id="{20DF980E-44FD-4048-8C0C-64ABE2849F14}">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7DFB8-074C-48A3-A4DD-C90DFD5A60E7}">
  <sheetPr codeName="Feuil9">
    <tabColor rgb="FFF9C6A9"/>
  </sheetPr>
  <dimension ref="A1:CL70"/>
  <sheetViews>
    <sheetView zoomScale="115" zoomScaleNormal="115" workbookViewId="0">
      <selection activeCell="N18" sqref="N18"/>
    </sheetView>
  </sheetViews>
  <sheetFormatPr baseColWidth="10" defaultColWidth="10.85546875" defaultRowHeight="15"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4"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16384" width="10.85546875" style="244"/>
  </cols>
  <sheetData>
    <row r="1" spans="1:90" ht="5.0999999999999996" customHeight="1" thickBot="1" x14ac:dyDescent="0.3"/>
    <row r="2" spans="1:90" ht="45" customHeight="1" thickBot="1" x14ac:dyDescent="0.3">
      <c r="B2" s="780" t="str">
        <f>'GESTION DES JOUEURS'!M11</f>
        <v>Poule A</v>
      </c>
      <c r="C2" s="781"/>
      <c r="D2" s="781"/>
      <c r="E2" s="781"/>
      <c r="F2" s="781"/>
      <c r="G2" s="781"/>
      <c r="H2" s="781"/>
      <c r="I2" s="781"/>
      <c r="J2" s="781"/>
      <c r="K2" s="781"/>
      <c r="L2" s="781"/>
      <c r="M2" s="781"/>
      <c r="N2" s="781"/>
      <c r="O2" s="781"/>
      <c r="P2" s="781"/>
      <c r="Q2" s="781"/>
      <c r="R2" s="781"/>
      <c r="S2" s="781"/>
      <c r="T2" s="781"/>
      <c r="U2" s="781"/>
      <c r="V2" s="781"/>
      <c r="W2" s="781"/>
      <c r="X2" s="782"/>
      <c r="AA2" s="371" t="e" vm="1">
        <v>#VALUE!</v>
      </c>
    </row>
    <row r="3" spans="1:90" ht="5.0999999999999996" customHeight="1" thickBot="1" x14ac:dyDescent="0.3"/>
    <row r="4" spans="1:90" ht="19.5" thickBot="1" x14ac:dyDescent="0.35">
      <c r="B4" s="750" t="s">
        <v>5524</v>
      </c>
      <c r="C4" s="751"/>
      <c r="D4" s="751"/>
      <c r="E4" s="751"/>
      <c r="F4" s="751"/>
      <c r="G4" s="751"/>
      <c r="H4" s="751"/>
      <c r="I4" s="751"/>
      <c r="J4" s="751"/>
      <c r="K4" s="751"/>
      <c r="L4" s="751"/>
      <c r="M4" s="751"/>
      <c r="N4" s="751"/>
      <c r="O4" s="33" t="str">
        <f>IF(SUM(O6:O11)&gt;0,"M","")</f>
        <v/>
      </c>
      <c r="P4" s="750" t="s">
        <v>5447</v>
      </c>
      <c r="Q4" s="751"/>
      <c r="R4" s="751"/>
      <c r="S4" s="751"/>
      <c r="T4" s="751"/>
      <c r="U4" s="751"/>
      <c r="V4" s="751"/>
      <c r="W4" s="751"/>
      <c r="X4" s="796"/>
      <c r="Y4" s="246"/>
      <c r="Z4" s="246"/>
      <c r="AA4" s="809" t="s">
        <v>8128</v>
      </c>
      <c r="AN4" s="306" t="s">
        <v>8511</v>
      </c>
      <c r="AO4" s="305">
        <f>COUNT(A6:A11)-SUM(AO6:AO11)</f>
        <v>3</v>
      </c>
      <c r="AP4" s="248"/>
      <c r="AQ4" s="307"/>
      <c r="AR4" s="807" t="s">
        <v>8512</v>
      </c>
      <c r="AS4" s="308"/>
      <c r="AT4" s="308"/>
      <c r="AU4" s="308"/>
      <c r="AV4" s="308">
        <v>1</v>
      </c>
      <c r="AW4" s="308">
        <v>2</v>
      </c>
      <c r="AX4" s="309">
        <v>3</v>
      </c>
      <c r="AY4" s="309">
        <v>4</v>
      </c>
      <c r="AZ4" s="309">
        <v>5</v>
      </c>
      <c r="BA4" s="309">
        <v>6</v>
      </c>
    </row>
    <row r="5" spans="1:90" ht="15.75" thickBot="1" x14ac:dyDescent="0.3">
      <c r="A5" s="284"/>
      <c r="B5" s="34" t="s">
        <v>21</v>
      </c>
      <c r="C5" s="761" t="s">
        <v>5448</v>
      </c>
      <c r="D5" s="762"/>
      <c r="E5" s="761" t="s">
        <v>5449</v>
      </c>
      <c r="F5" s="762"/>
      <c r="G5" s="761" t="s">
        <v>5450</v>
      </c>
      <c r="H5" s="762"/>
      <c r="I5" s="367" t="s">
        <v>9868</v>
      </c>
      <c r="J5" s="35" t="s">
        <v>5525</v>
      </c>
      <c r="K5" s="36"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10"/>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806" t="str">
        <f>IF(BU5="X","Toutes les rencontres ont été jouées :","")</f>
        <v>Toutes les rencontres ont été jouées :</v>
      </c>
      <c r="BS5" s="806"/>
      <c r="BT5" s="806"/>
      <c r="BU5" s="285" t="str">
        <f>IF(MAX(C18:C32)=COUNTIF(A18:A32,"P"),"X","")</f>
        <v>X</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f t="shared" ref="A6:A11" si="0">IF(B6&lt;&gt;"",A5+1,"")</f>
        <v>1</v>
      </c>
      <c r="B6" s="37" t="str">
        <f>IFERROR(VLOOKUP("A1",'GESTION DES JOUEURS'!$AG$11:$AI$46,3,FALSE),"")</f>
        <v>154178K</v>
      </c>
      <c r="C6" s="764" t="str">
        <f>IFERROR(IF(B6="","",_xlfn.XLOOKUP(B6,'LICENCES 2025'!A:A,'LICENCES 2025'!G:G," ",0,1)),"")</f>
        <v>PONCE</v>
      </c>
      <c r="D6" s="765"/>
      <c r="E6" s="756" t="str">
        <f>IFERROR(IF(B6="","",_xlfn.XLOOKUP(B6,'LICENCES 2025'!A:A,'LICENCES 2025'!F:F,"",0,1)),"")</f>
        <v>FREDERIC</v>
      </c>
      <c r="F6" s="756"/>
      <c r="G6" s="811" t="str">
        <f>IFERROR(IF(B6="","",_xlfn.XLOOKUP(B6,'LICENCES 2025'!A:A,'LICENCES 2025'!E:E,"",0,1)),"")</f>
        <v>ACADEMIE DE BILLARD DE MAISONS ALFORT</v>
      </c>
      <c r="H6" s="812"/>
      <c r="I6" s="368">
        <f>_xlfn.XLOOKUP(B6,Tableau19[Licence],Tableau19[Clt],"",0,1)</f>
        <v>1</v>
      </c>
      <c r="J6" s="256">
        <f>_xlfn.XLOOKUP(B6,Tableau19[Licence],Tableau19[Moy Gén],"",0,1)</f>
        <v>0</v>
      </c>
      <c r="K6" s="22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R2</v>
      </c>
      <c r="L6" s="257">
        <f t="shared" ref="L6:L11" si="1">IF(A6="","",IF(AO6=1,0,COUNTIF($AQ$6:$AQ$11,AQ6)))</f>
        <v>3</v>
      </c>
      <c r="M6" s="385">
        <f t="shared" ref="M6:M11" si="2">_xlfn.SINGLE(_xlfn.XLOOKUP($AO$4,$AV$4:$BA$4,AV6:BA6,"",0,1))</f>
        <v>1</v>
      </c>
      <c r="N6" s="250" t="str">
        <f>IFERROR(IF(VLOOKUP(B6,Tableau19[],10,FALSE)=TRUE,"F",""),"")</f>
        <v/>
      </c>
      <c r="O6" s="251"/>
      <c r="P6" s="101">
        <f t="shared" ref="P6:P11" si="3">IFERROR(SUM(SUMIFS($N$18:$N$32,$G$18:$G$32,A6,$A$18:$A$32,"P"),SUMIFS($P$18:$P$32,$V$18:$V$32,A6,$A$18:$A$32,"P")),"")</f>
        <v>200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72</v>
      </c>
      <c r="R6" s="38"/>
      <c r="S6" s="39">
        <f t="shared" ref="S6:S11" si="4">IFERROR(IF(Q6=0,"",MAX(_xlfn.MAXIFS($M$18:$M$32,$G$18:$G$32,A6,$A$18:$A$32,"P",$N$18:$N$32,"&lt;&gt;"&amp;"Ab."),_xlfn.MAXIFS($Q$18:$Q$32,$V$18:$V$32,A6,$A$18:$A$32,"P",$P$18:$P$32,"&lt;&gt;"&amp;"Ab."))),"")</f>
        <v>14</v>
      </c>
      <c r="T6" s="102">
        <f t="shared" ref="T6:T11" si="5">IFERROR(P6/Q6,"")</f>
        <v>2.7777777777777777</v>
      </c>
      <c r="U6" s="102">
        <f t="shared" ref="U6:U11" si="6">IFERROR(IF(Q6=0,"",IF(MAX(_xlfn.MAXIFS($E$18:$E$32,$G$18:$G$32,A6,$A$18:$A$32,"P"),_xlfn.MAXIFS($W$18:$W$32,$V$18:$V$32,A6,$A$18:$A$32,"P"))=0,"/",MAX(_xlfn.MAXIFS($E$18:$E$32,$G$18:$G$32,A6,$A$18:$A$32,"P"),_xlfn.MAXIFS($W$18:$W$32,$V$18:$V$32,A6,$A$18:$A$32,"P")))),"")</f>
        <v>2.8571428571428572</v>
      </c>
      <c r="V6" s="112">
        <f t="shared" ref="V6:V11" si="7">IFERROR(IF(Q6=0,"",SUM(SUMIFS($D$18:$D$32,$G$18:$G$32,A6,$A$18:$A$32,"P"),SUMIFS($X$18:$X$32,$V$18:$V$32,A6,$A$18:$A$32,"P"))),"")</f>
        <v>4</v>
      </c>
      <c r="W6" s="37">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JOUEURS'!$Y$8="R",PouleATerminée="X"),_xlfn.XLOOKUP(($AO$4&amp;_xlfn.XLOOKUP(B6,$B$37:$B$42,$Q$37:$Q$42,"",0,1)&amp;_xlfn.XLOOKUP(B6,$B$37:$B$42,PA!$AE$37:$AE$42,"",0,1)),PTSRKPOULES[Colonne1],PTSRKPOULES[PR 3B],"",0,1),IF(AND('GESTION DES JOUEURS'!$D$8="Poules",'GESTION DES JOUEURS'!$Y$8="JDSR",PouleATerminée="X"),_xlfn.XLOOKUP($AO$4&amp;_xlfn.XLOOKUP(B6,$B$37:$B$42,$Q$37:$Q$42,"",0,1)&amp;_xlfn.XLOOKUP(B6,$B$37:$B$42,PA!$AE$37:$AE$42,"",0,1),PTSRKPOULES[Colonne1],PTSRKPOULES[PR JDS],"",0,1),""))))</f>
        <v>8</v>
      </c>
      <c r="X6" s="40">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2</v>
      </c>
      <c r="Y6" s="371" t="str">
        <f>IF(AND('GESTION DES JOUEURS'!$D$8="Open",B6&lt;&gt;""),AE6,"")</f>
        <v/>
      </c>
      <c r="AD6" s="554" t="str" cm="1">
        <f t="array" ref="AD6">_xlfn.XLOOKUP(B6,Tableau19[Licence],'GESTION DES JOUEURS'!$O$11:$O$46,"",0,1)</f>
        <v>R2</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ACADEMIE DE BILLARD DE MAISONS ALFORT</v>
      </c>
      <c r="AR6" s="807"/>
      <c r="AS6" s="310" t="str">
        <f t="shared" ref="AS6:AS11" si="10">IF(LEFT($B$15)="3",TEXT(J6,"0,000"),TEXT(J6,"0,00"))</f>
        <v>0,00</v>
      </c>
      <c r="AT6" s="308">
        <f t="shared" ref="AT6:AT11" si="11">IF(AO6=1,AT5,AT5+1)</f>
        <v>1</v>
      </c>
      <c r="AU6" s="308">
        <f t="shared" ref="AU6:AU11" si="12">IF(OR(A6="",AO6=1),"",AT6)</f>
        <v>1</v>
      </c>
      <c r="AV6" s="308">
        <f t="shared" ref="AV6:AV11" si="13">IF(AU6=1,1,"")</f>
        <v>1</v>
      </c>
      <c r="AW6" s="308">
        <f>AU6</f>
        <v>1</v>
      </c>
      <c r="AX6" s="309">
        <f t="shared" ref="AX6:AX11" si="14">_xlfn.XLOOKUP(AU6,$BC$69:$BE$69,$BC$70:$BE$70,"",0,1)</f>
        <v>1</v>
      </c>
      <c r="AY6" s="309">
        <f t="shared" ref="AY6:AY11" si="15">_xlfn.XLOOKUP(AU6,$BC$57:$BF$57,$BC$58:$BF$58,"",0,1)</f>
        <v>1</v>
      </c>
      <c r="AZ6" s="309">
        <f t="shared" ref="AZ6:AZ11" si="16">_xlfn.XLOOKUP(AU6,$BC$44:$BG$44,$BC$45:$BG$45,"",0,1)</f>
        <v>1</v>
      </c>
      <c r="BA6" s="309">
        <f t="shared" ref="BA6:BA11" si="17">_xlfn.XLOOKUP(AU6,$BC$30:$BH$30,$BC$31:$BH$31,"",0,1)</f>
        <v>1</v>
      </c>
      <c r="BD6" s="327">
        <v>1</v>
      </c>
      <c r="BE6" s="327"/>
      <c r="BF6" s="327"/>
      <c r="BG6" s="327"/>
      <c r="BH6" s="327"/>
      <c r="BI6" s="327"/>
      <c r="BJ6" s="327">
        <f t="shared" ref="BJ6:BJ11" si="18">COUNT(BD6:BI6)</f>
        <v>1</v>
      </c>
      <c r="BK6" s="244" t="str" cm="1">
        <f t="array" ref="BK6:BK11">_xlfn.SORTBY(AQ6:AQ11,AU6:AU11,1)</f>
        <v>ACADEMIE DE BILLARD DE MAISONS ALFORT</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291"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x14ac:dyDescent="0.25">
      <c r="A7" s="365">
        <f t="shared" si="0"/>
        <v>2</v>
      </c>
      <c r="B7" s="41" t="str">
        <f>IFERROR(VLOOKUP("A2",'GESTION DES JOUEURS'!$AG$11:$AI$46,3,FALSE),"")</f>
        <v>157535J</v>
      </c>
      <c r="C7" s="766" t="str">
        <f>IFERROR(IF(B7="","",_xlfn.XLOOKUP(B7,'LICENCES 2025'!A:A,'LICENCES 2025'!G:G," ",0,1)),"")</f>
        <v>PIBOURDIN</v>
      </c>
      <c r="D7" s="767"/>
      <c r="E7" s="728" t="str">
        <f>IFERROR(IF(B7="","",_xlfn.XLOOKUP(B7,'LICENCES 2025'!A:A,'LICENCES 2025'!F:F,"",0,1)),"")</f>
        <v>ERIC</v>
      </c>
      <c r="F7" s="728"/>
      <c r="G7" s="802" t="str">
        <f>IFERROR(IF(B7="","",_xlfn.XLOOKUP(B7,'LICENCES 2025'!A:A,'LICENCES 2025'!E:E,"",0,1)),"")</f>
        <v>ACADEMIE DE BILLARD DE MAISONS ALFORT</v>
      </c>
      <c r="H7" s="803"/>
      <c r="I7" s="356">
        <f>_xlfn.XLOOKUP(B7,Tableau19[Licence],Tableau19[Clt],"",0,1)</f>
        <v>8</v>
      </c>
      <c r="J7" s="258">
        <f>_xlfn.XLOOKUP(B7,Tableau19[Licence],Tableau19[Moy Gén],"",0,1)</f>
        <v>0</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R2 </v>
      </c>
      <c r="L7" s="259">
        <f t="shared" si="1"/>
        <v>3</v>
      </c>
      <c r="M7" s="386">
        <f t="shared" si="2"/>
        <v>2</v>
      </c>
      <c r="N7" s="252" t="str">
        <f>IFERROR(IF(VLOOKUP(B7,Tableau19[],10,FALSE)=TRUE,"F",""),"")</f>
        <v/>
      </c>
      <c r="O7" s="253"/>
      <c r="P7" s="103">
        <f t="shared" si="3"/>
        <v>176</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77</v>
      </c>
      <c r="R7" s="42"/>
      <c r="S7" s="43">
        <f t="shared" si="4"/>
        <v>23</v>
      </c>
      <c r="T7" s="104">
        <f t="shared" si="5"/>
        <v>2.2857142857142856</v>
      </c>
      <c r="U7" s="104">
        <f t="shared" si="6"/>
        <v>2.125</v>
      </c>
      <c r="V7" s="116">
        <f t="shared" si="7"/>
        <v>2</v>
      </c>
      <c r="W7" s="41">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JOUEURS'!$Y$8="R",PouleATerminée="X"),_xlfn.XLOOKUP(($AO$4&amp;_xlfn.XLOOKUP(B7,$B$37:$B$42,$Q$37:$Q$42,"",0,1)&amp;_xlfn.XLOOKUP(B7,$B$37:$B$42,PA!$AE$37:$AE$42,"",0,1)),PTSRKPOULES[Colonne1],PTSRKPOULES[PR 3B],"",0,1),IF(AND('GESTION DES JOUEURS'!$D$8="Poules",'GESTION DES JOUEURS'!$Y$8="JDSR",PouleATerminée="X"),_xlfn.XLOOKUP($AO$4&amp;_xlfn.XLOOKUP(B7,$B$37:$B$42,$Q$37:$Q$42,"",0,1)&amp;_xlfn.XLOOKUP(B7,$B$37:$B$42,PA!$AE$37:$AE$42,"",0,1),PTSRKPOULES[Colonne1],PTSRKPOULES[PR JDS],"",0,1),""))))</f>
        <v>5</v>
      </c>
      <c r="X7" s="44">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2</v>
      </c>
      <c r="Y7" s="371" t="str">
        <f>IF(AND('GESTION DES JOUEURS'!$D$8="Open",B7&lt;&gt;""),AE7,"")</f>
        <v/>
      </c>
      <c r="AA7" s="684" t="s">
        <v>8129</v>
      </c>
      <c r="AD7" s="554" t="str" cm="1">
        <f t="array" ref="AD7">_xlfn.XLOOKUP(B7,Tableau19[Licence],'GESTION DES JOUEURS'!$O$11:$O$46,"",0,1)</f>
        <v>R2</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ACADEMIE DE BILLARD DE MAISONS ALFORT</v>
      </c>
      <c r="AR7" s="807"/>
      <c r="AS7" s="310" t="str">
        <f t="shared" si="10"/>
        <v>0,00</v>
      </c>
      <c r="AT7" s="308">
        <f t="shared" si="11"/>
        <v>2</v>
      </c>
      <c r="AU7" s="308">
        <f t="shared" si="12"/>
        <v>2</v>
      </c>
      <c r="AV7" s="308" t="str">
        <f t="shared" si="13"/>
        <v/>
      </c>
      <c r="AW7" s="308">
        <f>AU7</f>
        <v>2</v>
      </c>
      <c r="AX7" s="309">
        <f t="shared" si="14"/>
        <v>2</v>
      </c>
      <c r="AY7" s="309">
        <f t="shared" si="15"/>
        <v>2</v>
      </c>
      <c r="AZ7" s="309">
        <f t="shared" si="16"/>
        <v>2</v>
      </c>
      <c r="BA7" s="309">
        <f t="shared" si="17"/>
        <v>2</v>
      </c>
      <c r="BD7" s="327">
        <f>IF(BK7=BK6,A7)</f>
        <v>2</v>
      </c>
      <c r="BE7" s="327">
        <v>2</v>
      </c>
      <c r="BF7" s="327"/>
      <c r="BG7" s="327"/>
      <c r="BH7" s="327"/>
      <c r="BI7" s="327"/>
      <c r="BJ7" s="327">
        <f t="shared" si="18"/>
        <v>2</v>
      </c>
      <c r="BK7" s="244" t="str">
        <v>ACADEMIE DE BILLARD DE MAISONS ALFORT</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295" t="str" cm="1">
        <f t="array" ref="CH7">_xlfn.XLOOKUP(BV7,$G$18:$G$32&amp;"-"&amp;$V$18:$V$32,$AS$18:$AS$32,_xlfn.XLOOKUP(BV30,$G$18:$G$32&amp;"-"&amp;$V$18:$V$32,$AT$18:$AT$32,"",0,1),0,1)</f>
        <v/>
      </c>
      <c r="CI7" s="818"/>
      <c r="CJ7" s="821"/>
      <c r="CK7" s="557">
        <f t="shared" ref="CK7:CK35" si="21">VALUE(RIGHT(BV7,1))</f>
        <v>5</v>
      </c>
      <c r="CL7" s="557" t="str">
        <f t="shared" si="19"/>
        <v/>
      </c>
    </row>
    <row r="8" spans="1:90" x14ac:dyDescent="0.25">
      <c r="A8" s="365">
        <f t="shared" si="0"/>
        <v>3</v>
      </c>
      <c r="B8" s="41" t="str">
        <f>IFERROR(VLOOKUP("A3",'GESTION DES JOUEURS'!$AG$11:$AI$46,3,FALSE),"")</f>
        <v>013335x</v>
      </c>
      <c r="C8" s="766" t="str">
        <f>IFERROR(IF(B8="","",_xlfn.XLOOKUP(B8,'LICENCES 2025'!A:A,'LICENCES 2025'!G:G," ",0,1)),"")</f>
        <v>HANSEL</v>
      </c>
      <c r="D8" s="767"/>
      <c r="E8" s="728" t="str">
        <f>IFERROR(IF(B8="","",_xlfn.XLOOKUP(B8,'LICENCES 2025'!A:A,'LICENCES 2025'!F:F,"",0,1)),"")</f>
        <v>GERARD</v>
      </c>
      <c r="F8" s="728"/>
      <c r="G8" s="802" t="str">
        <f>IFERROR(IF(B8="","",_xlfn.XLOOKUP(B8,'LICENCES 2025'!A:A,'LICENCES 2025'!E:E,"",0,1)),"")</f>
        <v>ACADEMIE DE BILLARD DE MAISONS ALFORT</v>
      </c>
      <c r="H8" s="803"/>
      <c r="I8" s="356">
        <f>_xlfn.XLOOKUP(B8,Tableau19[Licence],Tableau19[Clt],"",0,1)</f>
        <v>10</v>
      </c>
      <c r="J8" s="258">
        <f>_xlfn.XLOOKUP(B8,Tableau19[Licence],Tableau19[Moy Gén],"",0,1)</f>
        <v>0</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R2 </v>
      </c>
      <c r="L8" s="259">
        <f t="shared" si="1"/>
        <v>3</v>
      </c>
      <c r="M8" s="386">
        <f t="shared" si="2"/>
        <v>3</v>
      </c>
      <c r="N8" s="252" t="str">
        <f>IFERROR(IF(VLOOKUP(B8,Tableau19[],10,FALSE)=TRUE,"F",""),"")</f>
        <v/>
      </c>
      <c r="O8" s="253"/>
      <c r="P8" s="103">
        <f t="shared" si="3"/>
        <v>137</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75</v>
      </c>
      <c r="R8" s="42"/>
      <c r="S8" s="43">
        <f t="shared" si="4"/>
        <v>9</v>
      </c>
      <c r="T8" s="104">
        <f t="shared" si="5"/>
        <v>1.8266666666666667</v>
      </c>
      <c r="U8" s="104" t="str">
        <f t="shared" si="6"/>
        <v>/</v>
      </c>
      <c r="V8" s="116">
        <f t="shared" si="7"/>
        <v>0</v>
      </c>
      <c r="W8" s="41">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JOUEURS'!$Y$8="R",PouleATerminée="X"),_xlfn.XLOOKUP(($AO$4&amp;_xlfn.XLOOKUP(B8,$B$37:$B$42,$Q$37:$Q$42,"",0,1)&amp;_xlfn.XLOOKUP(B8,$B$37:$B$42,PA!$AE$37:$AE$42,"",0,1)),PTSRKPOULES[Colonne1],PTSRKPOULES[PR 3B],"",0,1),IF(AND('GESTION DES JOUEURS'!$D$8="Poules",'GESTION DES JOUEURS'!$Y$8="JDSR",PouleATerminée="X"),_xlfn.XLOOKUP($AO$4&amp;_xlfn.XLOOKUP(B8,$B$37:$B$42,$Q$37:$Q$42,"",0,1)&amp;_xlfn.XLOOKUP(B8,$B$37:$B$42,PA!$AE$37:$AE$42,"",0,1),PTSRKPOULES[Colonne1],PTSRKPOULES[PR JDS],"",0,1),""))))</f>
        <v>3</v>
      </c>
      <c r="X8" s="44">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2</v>
      </c>
      <c r="Y8" s="371" t="str">
        <f>IF(AND('GESTION DES JOUEURS'!$D$8="Open",B8&lt;&gt;""),AE8,"")</f>
        <v/>
      </c>
      <c r="AA8" s="685"/>
      <c r="AD8" s="554" t="str" cm="1">
        <f t="array" ref="AD8">_xlfn.XLOOKUP(B8,Tableau19[Licence],'GESTION DES JOUEURS'!$O$11:$O$46,"",0,1)</f>
        <v>R2</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ACADEMIE DE BILLARD DE MAISONS ALFORT</v>
      </c>
      <c r="AR8" s="807"/>
      <c r="AS8" s="310" t="str">
        <f t="shared" si="10"/>
        <v>0,00</v>
      </c>
      <c r="AT8" s="308">
        <f t="shared" si="11"/>
        <v>3</v>
      </c>
      <c r="AU8" s="308">
        <f t="shared" si="12"/>
        <v>3</v>
      </c>
      <c r="AV8" s="308" t="str">
        <f t="shared" si="13"/>
        <v/>
      </c>
      <c r="AW8" s="308" t="str">
        <f>IF(SUM($AW$6:AW7)=3,"",AU8)</f>
        <v/>
      </c>
      <c r="AX8" s="309">
        <f t="shared" si="14"/>
        <v>3</v>
      </c>
      <c r="AY8" s="309">
        <f t="shared" si="15"/>
        <v>3</v>
      </c>
      <c r="AZ8" s="309">
        <f t="shared" si="16"/>
        <v>5</v>
      </c>
      <c r="BA8" s="309">
        <f t="shared" si="17"/>
        <v>5</v>
      </c>
      <c r="BD8" s="327">
        <f>IF(BK8=BK6,A8)</f>
        <v>3</v>
      </c>
      <c r="BE8" s="327">
        <f>IF(BK8=BK7,A8)</f>
        <v>3</v>
      </c>
      <c r="BF8" s="327">
        <v>3</v>
      </c>
      <c r="BG8" s="327"/>
      <c r="BH8" s="327"/>
      <c r="BI8" s="327"/>
      <c r="BJ8" s="327">
        <f t="shared" si="18"/>
        <v>3</v>
      </c>
      <c r="BK8" s="244" t="str">
        <v>ACADEMIE DE BILLARD DE MAISONS ALFORT</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295" t="str" cm="1">
        <f t="array" ref="CH8">_xlfn.XLOOKUP(BV8,$G$18:$G$32&amp;"-"&amp;$V$18:$V$32,$AS$18:$AS$32,_xlfn.XLOOKUP(BV25,$G$18:$G$32&amp;"-"&amp;$V$18:$V$32,$AT$18:$AT$32,"",0,1),0,1)</f>
        <v/>
      </c>
      <c r="CI8" s="818"/>
      <c r="CJ8" s="821"/>
      <c r="CK8" s="557">
        <f t="shared" si="21"/>
        <v>4</v>
      </c>
      <c r="CL8" s="557" t="str">
        <f t="shared" si="19"/>
        <v/>
      </c>
    </row>
    <row r="9" spans="1:90" x14ac:dyDescent="0.25">
      <c r="A9" s="365" t="str">
        <f t="shared" si="0"/>
        <v/>
      </c>
      <c r="B9" s="41" t="str">
        <f>IFERROR(VLOOKUP("A4",'GESTION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JOUEURS'!$Y$8="R",PouleATerminée="X"),_xlfn.XLOOKUP(($AO$4&amp;_xlfn.XLOOKUP(B9,$B$37:$B$42,$Q$37:$Q$42,"",0,1)&amp;_xlfn.XLOOKUP(B9,$B$37:$B$42,PA!$AE$37:$AE$42,"",0,1)),PTSRKPOULES[Colonne1],PTSRKPOULES[PR 3B],"",0,1),IF(AND('GESTION DES JOUEURS'!$D$8="Poules",'GESTION DES JOUEURS'!$Y$8="JDSR",PouleATerminée="X"),_xlfn.XLOOKUP($AO$4&amp;_xlfn.XLOOKUP(B9,$B$37:$B$42,$Q$37:$Q$42,"",0,1)&amp;_xlfn.XLOOKUP(B9,$B$37:$B$42,PA!$AE$37:$AE$42,"",0,1),PTSRKPOULES[Colonne1],PTSRKPOULES[PR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70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b">
        <f>IF(BK9=BK6,A9)</f>
        <v>0</v>
      </c>
      <c r="BE9" s="327" t="b">
        <f>IF(BK9=BK7,A9)</f>
        <v>0</v>
      </c>
      <c r="BF9" s="327" t="b">
        <f>IF(BK9=BK8,A9)</f>
        <v>0</v>
      </c>
      <c r="BG9" s="327">
        <v>4</v>
      </c>
      <c r="BH9" s="327"/>
      <c r="BI9" s="327"/>
      <c r="BJ9" s="327">
        <f t="shared" si="18"/>
        <v>1</v>
      </c>
      <c r="BK9" s="244" t="str">
        <v/>
      </c>
      <c r="BV9" s="292" t="s">
        <v>5469</v>
      </c>
      <c r="BW9" s="223" cm="1">
        <f t="array" ref="BW9">_xlfn.XLOOKUP(A6&amp;A8,G18:G32&amp;V18:V32,N18:N32,_xlfn.XLOOKUP(A8&amp;A6,G18:G32&amp;V18:V32,P18:P32,"",0,1),0,1)</f>
        <v>100</v>
      </c>
      <c r="BX9" s="223" cm="1">
        <f t="array" ref="BX9">_xlfn.XLOOKUP(A6&amp;A8,G18:G32&amp;V18:V32,P18:P32,_xlfn.XLOOKUP(A8&amp;A6,G18:G32&amp;V18:V32,N18:N32,"",0,1),0,1)</f>
        <v>61</v>
      </c>
      <c r="BY9" s="223" t="str" cm="1">
        <f t="array" ref="BY9">_xlfn.XLOOKUP(A6&amp;A8,$G$18:$G$32&amp;$V$18:$V$32,$M$18:$M$32,"",0,1)</f>
        <v/>
      </c>
      <c r="BZ9" s="223" t="str" cm="1">
        <f t="array" ref="BZ9">_xlfn.XLOOKUP(A6&amp;A8,$G$18:$G$32&amp;$V$18:$V$32,$Q$18:$Q$32,"",0,1)</f>
        <v/>
      </c>
      <c r="CA9" s="223" cm="1">
        <f t="array" ref="CA9">_xlfn.XLOOKUP(A6&amp;A8,G18:G32&amp;V18:V32,O18:O32,_xlfn.XLOOKUP(A8&amp;A6,G18:G32&amp;V18:V32,O18:O32,"",0,1),0,1)</f>
        <v>35</v>
      </c>
      <c r="CB9" s="293" t="str" cm="1">
        <f t="array" ref="CB9">_xlfn.XLOOKUP(A6&amp;A8,G18:G32&amp;V18:V32,A18:A32,"",0,1)</f>
        <v/>
      </c>
      <c r="CC9" s="237">
        <f>IF(COUNTBLANK($AO$6:$AO$11)=2,SUM(BW9,BX20),IF(BW9="",BX20,BW9))</f>
        <v>100</v>
      </c>
      <c r="CD9" s="223">
        <f>IF(CC9="Ab.","",IF(BY9="",BZ20,BY9))</f>
        <v>13</v>
      </c>
      <c r="CE9" s="223">
        <f t="shared" si="20"/>
        <v>35</v>
      </c>
      <c r="CF9" s="294" t="str">
        <f>IF(CB9="",CB20,CB9)</f>
        <v>P</v>
      </c>
      <c r="CG9" s="295" cm="1">
        <f t="array" ref="CG9">_xlfn.XLOOKUP(BV9,$G$18:$G$32&amp;"-"&amp;$V$18:$V$32,$D$18:$D$32,_xlfn.XLOOKUP(BV20,$G$18:$G$32&amp;"-"&amp;$V$18:$V$32,$X$18:$X$32,"",0,1),0,1)</f>
        <v>2</v>
      </c>
      <c r="CH9" s="295" cm="1">
        <f t="array" ref="CH9">_xlfn.XLOOKUP(BV9,$G$18:$G$32&amp;"-"&amp;$V$18:$V$32,$AS$18:$AS$32,_xlfn.XLOOKUP(BV20,$G$18:$G$32&amp;"-"&amp;$V$18:$V$32,$AT$18:$AT$32,"",0,1),0,1)</f>
        <v>1</v>
      </c>
      <c r="CI9" s="818"/>
      <c r="CJ9" s="821"/>
      <c r="CK9" s="557">
        <f t="shared" si="21"/>
        <v>3</v>
      </c>
      <c r="CL9" s="557" t="b">
        <f t="shared" si="19"/>
        <v>0</v>
      </c>
    </row>
    <row r="10" spans="1:90" ht="15.75" thickBot="1" x14ac:dyDescent="0.3">
      <c r="A10" s="365" t="str">
        <f t="shared" si="0"/>
        <v/>
      </c>
      <c r="B10" s="41" t="str">
        <f>IFERROR(VLOOKUP("A5",'GESTION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JOUEURS'!$Y$8="R",PouleATerminée="X"),_xlfn.XLOOKUP(($AO$4&amp;_xlfn.XLOOKUP(B10,$B$37:$B$42,$Q$37:$Q$42,"",0,1)&amp;_xlfn.XLOOKUP(B10,$B$37:$B$42,PA!$AE$37:$AE$42,"",0,1)),PTSRKPOULES[Colonne1],PTSRKPOULES[PR 3B],"",0,1),IF(AND('GESTION DES JOUEURS'!$D$8="Poules",'GESTION DES JOUEURS'!$Y$8="JDSR",PouleATerminée="X"),_xlfn.XLOOKUP($AO$4&amp;_xlfn.XLOOKUP(B10,$B$37:$B$42,$Q$37:$Q$42,"",0,1)&amp;_xlfn.XLOOKUP(B10,$B$37:$B$42,PA!$AE$37:$AE$42,"",0,1),PTSRKPOULES[Colonne1],PTSRKPOULES[PR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70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b">
        <f>IF(BK10=BK6,A10)</f>
        <v>0</v>
      </c>
      <c r="BE10" s="327" t="b">
        <f>IF(BK10=BK7,A10)</f>
        <v>0</v>
      </c>
      <c r="BF10" s="327" t="b">
        <f>IF(BK10=BK8,A10)</f>
        <v>0</v>
      </c>
      <c r="BG10" s="327" t="str">
        <f>IF(BK10=BK9,A10)</f>
        <v/>
      </c>
      <c r="BH10" s="327">
        <v>5</v>
      </c>
      <c r="BI10" s="327"/>
      <c r="BJ10" s="327">
        <f t="shared" si="18"/>
        <v>1</v>
      </c>
      <c r="BK10" s="244" t="str">
        <v/>
      </c>
      <c r="BV10" s="296" t="s">
        <v>5470</v>
      </c>
      <c r="BW10" s="297" cm="1">
        <f t="array" ref="BW10">_xlfn.XLOOKUP(A6&amp;A7,G18:G32&amp;V18:V32,N18:N32,_xlfn.XLOOKUP(A7&amp;A6,G18:G32&amp;V18:V32,P18:P32,"",0,1),0,1)</f>
        <v>100</v>
      </c>
      <c r="BX10" s="297" cm="1">
        <f t="array" ref="BX10">_xlfn.XLOOKUP(A6&amp;A7,G18:G32&amp;V18:V32,P18:P32,_xlfn.XLOOKUP(A7&amp;A6,G18:G32&amp;V18:V32,N18:N32,"",0,1),0,1)</f>
        <v>91</v>
      </c>
      <c r="BY10" s="297" t="str" cm="1">
        <f t="array" ref="BY10">_xlfn.XLOOKUP(A6&amp;A7,$G$18:$G$32&amp;$V$18:$V$32,$M$18:$M$32,"",0,1)</f>
        <v/>
      </c>
      <c r="BZ10" s="297" t="str" cm="1">
        <f t="array" ref="BZ10">_xlfn.XLOOKUP(A6&amp;A7,$G$18:$G$32&amp;$V$18:$V$32,$Q$18:$Q$32,"",0,1)</f>
        <v/>
      </c>
      <c r="CA10" s="297" cm="1">
        <f t="array" ref="CA10">_xlfn.XLOOKUP(A6&amp;A7,G18:G32&amp;V18:V32,O18:O32,_xlfn.XLOOKUP(A7&amp;A6,G18:G32&amp;V18:V32,O18:O32,"",0,1),0,1)</f>
        <v>37</v>
      </c>
      <c r="CB10" s="298" t="str" cm="1">
        <f t="array" ref="CB10">_xlfn.XLOOKUP(A6&amp;A7,G18:G32&amp;V18:V32,A18:A32,"",0,1)</f>
        <v/>
      </c>
      <c r="CC10" s="299">
        <f>IF(COUNTBLANK($AO$6:$AO$11)=2,SUM(BW10,BX15),IF(BW10="",BX15,BW10))</f>
        <v>100</v>
      </c>
      <c r="CD10" s="297">
        <f>IF(CC10="Ab.","",IF(BY10="",BZ15,BY10))</f>
        <v>14</v>
      </c>
      <c r="CE10" s="297">
        <f t="shared" si="20"/>
        <v>37</v>
      </c>
      <c r="CF10" s="300" t="str">
        <f>IF(CB10="",CB15,CB10)</f>
        <v>P</v>
      </c>
      <c r="CG10" s="301" cm="1">
        <f t="array" ref="CG10">_xlfn.XLOOKUP(BV10,$G$18:$G$32&amp;"-"&amp;$V$18:$V$32,$D$18:$D$32,_xlfn.XLOOKUP(BV15,$G$18:$G$32&amp;"-"&amp;$V$18:$V$32,$X$18:$X$32,"",0,1),0,1)</f>
        <v>2</v>
      </c>
      <c r="CH10" s="301" cm="1">
        <f t="array" ref="CH10">_xlfn.XLOOKUP(BV10,$G$18:$G$32&amp;"-"&amp;$V$18:$V$32,$AS$18:$AS$32,_xlfn.XLOOKUP(BV15,$G$18:$G$32&amp;"-"&amp;$V$18:$V$32,$AT$18:$AT$32,"",0,1),0,1)</f>
        <v>1</v>
      </c>
      <c r="CI10" s="819"/>
      <c r="CJ10" s="822"/>
      <c r="CK10" s="557">
        <f t="shared" si="21"/>
        <v>2</v>
      </c>
      <c r="CL10" s="557" t="b">
        <f t="shared" si="19"/>
        <v>0</v>
      </c>
    </row>
    <row r="11" spans="1:90" ht="15.75" thickBot="1" x14ac:dyDescent="0.3">
      <c r="A11" s="365" t="str">
        <f t="shared" si="0"/>
        <v/>
      </c>
      <c r="B11" s="45" t="str">
        <f>IFERROR(VLOOKUP("A6",'GESTION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JOUEURS'!$Y$8="R",PouleATerminée="X"),_xlfn.XLOOKUP(($AO$4&amp;_xlfn.XLOOKUP(B11,$B$37:$B$42,$Q$37:$Q$42,"",0,1)&amp;_xlfn.XLOOKUP(B11,$B$37:$B$42,PA!$AE$37:$AE$42,"",0,1)),PTSRKPOULES[Colonne1],PTSRKPOULES[PR 3B],"",0,1),IF(AND('GESTION DES JOUEURS'!$D$8="Poules",'GESTION DES JOUEURS'!$Y$8="JDSR",PouleATerminée="X"),_xlfn.XLOOKUP($AO$4&amp;_xlfn.XLOOKUP(B11,$B$37:$B$42,$Q$37:$Q$42,"",0,1)&amp;_xlfn.XLOOKUP(B11,$B$37:$B$42,PA!$AE$37:$AE$42,"",0,1),PTSRKPOULES[Colonne1],PTSRKPOULES[PR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705"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b">
        <f>IF(BK11=BK6,A11)</f>
        <v>0</v>
      </c>
      <c r="BE11" s="328" t="b">
        <f>IF(BK11=BK7,A11)</f>
        <v>0</v>
      </c>
      <c r="BF11" s="328" t="b">
        <f>IF(BK11=BK8,A11)</f>
        <v>0</v>
      </c>
      <c r="BG11" s="328" t="str">
        <f>IF(BK11=BK9,A11)</f>
        <v/>
      </c>
      <c r="BH11" s="328" t="str">
        <f>IF(BK11=BK10,A11)</f>
        <v/>
      </c>
      <c r="BI11" s="328">
        <v>6</v>
      </c>
      <c r="BJ11" s="328">
        <f t="shared" si="18"/>
        <v>1</v>
      </c>
      <c r="BK11" s="244" t="str">
        <v/>
      </c>
      <c r="BV11" s="286" t="s">
        <v>5471</v>
      </c>
      <c r="BW11" s="287" t="str" cm="1">
        <f t="array" ref="BW11">_xlfn.SINGLE(_xlfn.XLOOKUP(A7&amp;A11,G18:G32&amp;V18:V32,N18:N32,_xlfn.XLOOKUP(A11&amp;A7,G18:G32&amp;V18:V32,P18:P32,"",0,1),0,1))</f>
        <v/>
      </c>
      <c r="BX11" s="287" t="str" cm="1">
        <f t="array" ref="BX11">_xlfn.XLOOKUP(A7&amp;A11,G18:G32&amp;V18:V32,P18:P32,_xlfn.XLOOKUP(A11&amp;A7,G18:G32&amp;V18:V32,N18:N32,"",0,1),0,1)</f>
        <v/>
      </c>
      <c r="BY11" s="287" t="str" cm="1">
        <f t="array" ref="BY11">_xlfn.XLOOKUP(A7&amp;A11,$G$18:$G$32&amp;$V$18:$V$32,$M$18:$M$32,"",0,1)</f>
        <v/>
      </c>
      <c r="BZ11" s="287" t="str" cm="1">
        <f t="array" ref="BZ11">_xlfn.XLOOKUP(A7&amp;A11,$G$18:$G$32&amp;$V$18:$V$32,$Q$18:$Q$32,"",0,1)</f>
        <v/>
      </c>
      <c r="CA11" s="287" t="str" cm="1">
        <f t="array" ref="CA11">_xlfn.XLOOKUP(A7&amp;A11,G18:G32&amp;V18:V32,O18:O32,_xlfn.XLOOKUP(A11&amp;A7,G18:G32&amp;V18:V32,O18:O32,"",0,1),0,1)</f>
        <v/>
      </c>
      <c r="CB11" s="288" t="str" cm="1">
        <f t="array" ref="CB11">_xlfn.XLOOKUP(A7&amp;A11,G18:G32&amp;V18:V32,A18:A32,"",0,1)</f>
        <v/>
      </c>
      <c r="CC11" s="289" t="str">
        <f>IF(COUNTBLANK($AO$6:$AO$11)=2,SUM(BW11,BX34),IF(BW11="",BX34,BW11))</f>
        <v/>
      </c>
      <c r="CD11" s="287" t="str">
        <f>IF(CC11="Ab.","",IF(BY11="",BZ34,BY11))</f>
        <v/>
      </c>
      <c r="CE11" s="287" t="str">
        <f t="shared" si="20"/>
        <v/>
      </c>
      <c r="CF11" s="290" t="str">
        <f>IF(CB11="",CB34,CB11)</f>
        <v/>
      </c>
      <c r="CG11" s="291" t="str" cm="1">
        <f t="array" ref="CG11">_xlfn.XLOOKUP(BV11,$G$18:$G$32&amp;"-"&amp;$V$18:$V$32,$D$18:$D$32,_xlfn.XLOOKUP(BV34,$G$18:$G$32&amp;"-"&amp;$V$18:$V$32,$X$18:$X$32,"",0,1),0,1)</f>
        <v/>
      </c>
      <c r="CH11" s="291"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705"/>
      <c r="BD12" s="217">
        <v>6</v>
      </c>
      <c r="BE12" s="236">
        <f t="shared" ref="BE12:BJ12" si="22">COUNT(BD6:BD11)</f>
        <v>3</v>
      </c>
      <c r="BF12" s="221">
        <f t="shared" si="22"/>
        <v>2</v>
      </c>
      <c r="BG12" s="221">
        <f t="shared" si="22"/>
        <v>1</v>
      </c>
      <c r="BH12" s="221">
        <f t="shared" si="22"/>
        <v>1</v>
      </c>
      <c r="BI12" s="221">
        <f t="shared" si="22"/>
        <v>1</v>
      </c>
      <c r="BJ12" s="222">
        <f t="shared" si="22"/>
        <v>1</v>
      </c>
      <c r="BV12" s="292" t="s">
        <v>5472</v>
      </c>
      <c r="BW12" s="223" t="str" cm="1">
        <f t="array" ref="BW12">_xlfn.SINGLE(_xlfn.XLOOKUP(A7&amp;A10,G18:G32&amp;V18:V32,N18:N32,_xlfn.XLOOKUP(A10&amp;A7,G18:G32&amp;V18:V32,P18:P32,"",0,1),0,1))</f>
        <v/>
      </c>
      <c r="BX12" s="223" t="str" cm="1">
        <f t="array" ref="BX12">_xlfn.XLOOKUP(A7&amp;A10,G18:G32&amp;V18:V32,P18:P32,_xlfn.XLOOKUP(A10&amp;A7,G18:G32&amp;V18:V32,N18:N32,"",0,1),0,1)</f>
        <v/>
      </c>
      <c r="BY12" s="223" t="str" cm="1">
        <f t="array" ref="BY12">_xlfn.XLOOKUP(A7&amp;A10,$G$18:$G$32&amp;$V$18:$V$32,$M$18:$M$32,"",0,1)</f>
        <v/>
      </c>
      <c r="BZ12" s="223" t="str" cm="1">
        <f t="array" ref="BZ12">_xlfn.XLOOKUP(A7&amp;A10,$G$18:$G$32&amp;$V$18:$V$32,$Q$18:$Q$32,"",0,1)</f>
        <v/>
      </c>
      <c r="CA12" s="223" t="str" cm="1">
        <f t="array" ref="CA12">_xlfn.XLOOKUP(A7&amp;A10,G18:G32&amp;V18:V32,O18:O32,_xlfn.XLOOKUP(A10&amp;A7,G18:G32&amp;V18:V32,O18:O32,"",0,1),0,1)</f>
        <v/>
      </c>
      <c r="CB12" s="293" t="str" cm="1">
        <f t="array" ref="CB12">_xlfn.XLOOKUP(A7&amp;A10,G18:G32&amp;V18:V32,A18:A32,"",0,1)</f>
        <v/>
      </c>
      <c r="CC12" s="237" t="str">
        <f>IF(COUNTBLANK($AO$6:$AO$11)=2,SUM(BW12,BX29),IF(BW12="",BX29,BW12))</f>
        <v/>
      </c>
      <c r="CD12" s="223" t="str">
        <f>IF(CC12="Ab.","",IF(BY12="",BZ29,BY12))</f>
        <v/>
      </c>
      <c r="CE12" s="223" t="str">
        <f t="shared" si="20"/>
        <v/>
      </c>
      <c r="CF12" s="294" t="str">
        <f>IF(CB12="",CB29,CB12)</f>
        <v/>
      </c>
      <c r="CG12" s="295" t="str" cm="1">
        <f t="array" ref="CG12">_xlfn.XLOOKUP(BV12,$G$18:$G$32&amp;"-"&amp;$V$18:$V$32,$D$18:$D$32,_xlfn.XLOOKUP(BV29,$G$18:$G$32&amp;"-"&amp;$V$18:$V$32,$X$18:$X$32,"",0,1),0,1)</f>
        <v/>
      </c>
      <c r="CH12" s="29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797" t="s">
        <v>5528</v>
      </c>
      <c r="C13" s="798"/>
      <c r="D13" s="798"/>
      <c r="E13" s="798"/>
      <c r="F13" s="799" t="str">
        <f>'GESTION DES JOUEURS'!$D$8</f>
        <v>Poules</v>
      </c>
      <c r="G13" s="799"/>
      <c r="H13" s="799"/>
      <c r="I13" s="799"/>
      <c r="J13" s="799"/>
      <c r="K13" s="107" t="str">
        <f>IF(F13="FINALE","","Poule")</f>
        <v>Poule</v>
      </c>
      <c r="L13" s="107" t="str">
        <f>IF(K13="Poule","A","")</f>
        <v>A</v>
      </c>
      <c r="M13" s="808" t="s">
        <v>5529</v>
      </c>
      <c r="N13" s="808"/>
      <c r="O13" s="808"/>
      <c r="P13" s="808"/>
      <c r="Q13" s="808"/>
      <c r="R13" s="108"/>
      <c r="S13" s="794" t="str">
        <f>'GESTION DES JOUEURS'!$G$6&amp;" "&amp;'GESTION DES JOUEURS'!$J$6</f>
        <v>LEMONIER THIERY</v>
      </c>
      <c r="T13" s="794"/>
      <c r="U13" s="794"/>
      <c r="V13" s="794"/>
      <c r="W13" s="794"/>
      <c r="X13" s="795"/>
      <c r="AA13" s="706" t="s">
        <v>8114</v>
      </c>
      <c r="BD13" s="218">
        <v>5</v>
      </c>
      <c r="BE13" s="237">
        <f>COUNT(BD6:BD10)</f>
        <v>3</v>
      </c>
      <c r="BF13" s="223">
        <f>COUNT(BE6:BE10)</f>
        <v>2</v>
      </c>
      <c r="BG13" s="223">
        <f>COUNT(BF6:BF10)</f>
        <v>1</v>
      </c>
      <c r="BH13" s="223">
        <f>COUNT(BG6:BG10)</f>
        <v>1</v>
      </c>
      <c r="BI13" s="223">
        <f>COUNT(BH6:BH10)</f>
        <v>1</v>
      </c>
      <c r="BJ13" s="224"/>
      <c r="BV13" s="292" t="s">
        <v>5473</v>
      </c>
      <c r="BW13" s="223" t="str" cm="1">
        <f t="array" ref="BW13">_xlfn.SINGLE(_xlfn.XLOOKUP(A7&amp;A9,G18:G32&amp;V18:V32,N18:N32,_xlfn.XLOOKUP(A9&amp;A7,G18:G32&amp;V18:V32,P18:P32,"",0,1),0,1))</f>
        <v/>
      </c>
      <c r="BX13" s="223" t="str" cm="1">
        <f t="array" ref="BX13">_xlfn.XLOOKUP(A7&amp;A9,G18:G32&amp;V18:V32,P18:P32,_xlfn.XLOOKUP(A9&amp;A7,G18:G32&amp;V18:V32,N18:N32,"",0,1),0,1)</f>
        <v/>
      </c>
      <c r="BY13" s="223" t="str" cm="1">
        <f t="array" ref="BY13">_xlfn.XLOOKUP(A7&amp;A9,$G$18:$G$32&amp;$V$18:$V$32,$M$18:$M$32,"",0,1)</f>
        <v/>
      </c>
      <c r="BZ13" s="223" t="str" cm="1">
        <f t="array" ref="BZ13">_xlfn.XLOOKUP(A7&amp;A9,$G$18:$G$32&amp;$V$18:$V$32,$Q$18:$Q$32,"",0,1)</f>
        <v/>
      </c>
      <c r="CA13" s="223" t="str" cm="1">
        <f t="array" ref="CA13">_xlfn.XLOOKUP(A7&amp;A9,G18:G32&amp;V18:V32,O18:O32,_xlfn.XLOOKUP(A9&amp;A7,G18:G32&amp;V18:V32,O18:O32,"",0,1),0,1)</f>
        <v/>
      </c>
      <c r="CB13" s="293" t="str" cm="1">
        <f t="array" ref="CB13">_xlfn.XLOOKUP(A7&amp;A9,G18:G32&amp;V18:V32,A18:A32,"",0,1)</f>
        <v/>
      </c>
      <c r="CC13" s="237" t="str">
        <f>IF(COUNTBLANK($AO$6:$AO$11)=2,SUM(BW13,BX24),IF(BW13="",BX24,BW13))</f>
        <v/>
      </c>
      <c r="CD13" s="223" t="str">
        <f>IF(CC13="Ab.","",IF(BY13="",BZ24,BY13))</f>
        <v/>
      </c>
      <c r="CE13" s="223" t="str">
        <f t="shared" si="20"/>
        <v/>
      </c>
      <c r="CF13" s="294" t="str">
        <f>IF(CB13="",CB24,CB13)</f>
        <v/>
      </c>
      <c r="CG13" s="295" t="str" cm="1">
        <f t="array" ref="CG13">_xlfn.XLOOKUP(BV13,$G$18:$G$32&amp;"-"&amp;$V$18:$V$32,$D$18:$D$32,_xlfn.XLOOKUP(BV24,$G$18:$G$32&amp;"-"&amp;$V$18:$V$32,$X$18:$X$32,"",0,1),0,1)</f>
        <v/>
      </c>
      <c r="CH13" s="29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799" t="str">
        <f>'GESTION DES JOUEURS'!$B$6</f>
        <v>9031 - ACADEMIE DE BILLARD DE MAISONS ALFORT</v>
      </c>
      <c r="N14" s="799"/>
      <c r="O14" s="799"/>
      <c r="P14" s="799"/>
      <c r="Q14" s="799"/>
      <c r="R14" s="478"/>
      <c r="S14" s="107" t="s">
        <v>5497</v>
      </c>
      <c r="T14" s="792">
        <f>'GESTION DES JOUEURS'!$K$2</f>
        <v>45633</v>
      </c>
      <c r="U14" s="792"/>
      <c r="V14" s="792"/>
      <c r="W14" s="792"/>
      <c r="X14" s="793"/>
      <c r="AA14" s="706"/>
      <c r="BD14" s="219">
        <v>4</v>
      </c>
      <c r="BE14" s="238">
        <f>COUNT(BD6:BD9)</f>
        <v>3</v>
      </c>
      <c r="BF14" s="225">
        <f>COUNT(BE6:BE9)</f>
        <v>2</v>
      </c>
      <c r="BG14" s="225">
        <f>COUNT(BF6:BF9)</f>
        <v>1</v>
      </c>
      <c r="BH14" s="225">
        <f>COUNT(BG6:BG9)</f>
        <v>1</v>
      </c>
      <c r="BI14" s="225"/>
      <c r="BJ14" s="226"/>
      <c r="BV14" s="292" t="s">
        <v>5474</v>
      </c>
      <c r="BW14" s="223" cm="1">
        <f t="array" ref="BW14">_xlfn.SINGLE(_xlfn.XLOOKUP(A7&amp;A8,G18:G32&amp;V18:V32,N18:N32,_xlfn.XLOOKUP(A8&amp;A7,G18:G32&amp;V18:V32,P18:P32,"",0,1),0,1))</f>
        <v>85</v>
      </c>
      <c r="BX14" s="223" cm="1">
        <f t="array" ref="BX14">_xlfn.XLOOKUP(A7&amp;A8,G18:G32&amp;V18:V32,P18:P32,_xlfn.XLOOKUP(A8&amp;A7,G18:G32&amp;V18:V32,N18:N32,"",0,1),0,1)</f>
        <v>76</v>
      </c>
      <c r="BY14" s="223" cm="1">
        <f t="array" ref="BY14">_xlfn.XLOOKUP(A7&amp;A8,$G$18:$G$32&amp;$V$18:$V$32,$M$18:$M$32,"",0,1)</f>
        <v>23</v>
      </c>
      <c r="BZ14" s="223" cm="1">
        <f t="array" ref="BZ14">_xlfn.XLOOKUP(A7&amp;A8,$G$18:$G$32&amp;$V$18:$V$32,$Q$18:$Q$32,"",0,1)</f>
        <v>9</v>
      </c>
      <c r="CA14" s="223" cm="1">
        <f t="array" ref="CA14">_xlfn.XLOOKUP(A7&amp;A8,G18:G32&amp;V18:V32,O18:O32,_xlfn.XLOOKUP(A8&amp;A7,G18:G32&amp;V18:V32,O18:O32,"",0,1),0,1)</f>
        <v>40</v>
      </c>
      <c r="CB14" s="293" t="str" cm="1">
        <f t="array" ref="CB14">_xlfn.XLOOKUP(A7&amp;A8,G18:G32&amp;V18:V32,A18:A32,"",0,1)</f>
        <v>P</v>
      </c>
      <c r="CC14" s="237">
        <f>IF(COUNTBLANK($AO$6:$AO$11)=2,SUM(BW14,BX19),IF(BW14="",BX19,BW14))</f>
        <v>85</v>
      </c>
      <c r="CD14" s="223">
        <f>IF(CC14="Ab.","",IF(BY14="",BZ19,BY14))</f>
        <v>23</v>
      </c>
      <c r="CE14" s="223">
        <f t="shared" si="20"/>
        <v>40</v>
      </c>
      <c r="CF14" s="294" t="str">
        <f>IF(CB14="",CB19,CB14)</f>
        <v>P</v>
      </c>
      <c r="CG14" s="295" cm="1">
        <f t="array" ref="CG14">_xlfn.XLOOKUP(BV14,$G$18:$G$32&amp;"-"&amp;$V$18:$V$32,$D$18:$D$32,_xlfn.XLOOKUP(BV19,$G$18:$G$32&amp;"-"&amp;$V$18:$V$32,$X$18:$X$32,"",0,1),0,1)</f>
        <v>2</v>
      </c>
      <c r="CH14" s="295" cm="1">
        <f t="array" ref="CH14">_xlfn.XLOOKUP(BV14,$G$18:$G$32&amp;"-"&amp;$V$18:$V$32,$AS$18:$AS$32,_xlfn.XLOOKUP(BV19,$G$18:$G$32&amp;"-"&amp;$V$18:$V$32,$AT$18:$AT$32,"",0,1),0,1)</f>
        <v>0</v>
      </c>
      <c r="CI14" s="818"/>
      <c r="CJ14" s="821"/>
      <c r="CK14" s="557">
        <f t="shared" si="21"/>
        <v>3</v>
      </c>
      <c r="CL14" s="557" t="b">
        <f t="shared" si="19"/>
        <v>0</v>
      </c>
    </row>
    <row r="15" spans="1:90" ht="27" thickBot="1" x14ac:dyDescent="0.45">
      <c r="B15" s="800" t="str">
        <f>'GESTION DES JOUEURS'!$D$4</f>
        <v>Libre R2</v>
      </c>
      <c r="C15" s="801"/>
      <c r="D15" s="789" t="s">
        <v>5455</v>
      </c>
      <c r="E15" s="790"/>
      <c r="F15" s="790"/>
      <c r="G15" s="790"/>
      <c r="H15" s="790"/>
      <c r="I15" s="790"/>
      <c r="J15" s="790"/>
      <c r="K15" s="790"/>
      <c r="L15" s="790"/>
      <c r="M15" s="790"/>
      <c r="N15" s="790"/>
      <c r="O15" s="790"/>
      <c r="P15" s="790"/>
      <c r="Q15" s="790"/>
      <c r="R15" s="790"/>
      <c r="S15" s="790"/>
      <c r="T15" s="790"/>
      <c r="U15" s="790"/>
      <c r="V15" s="790"/>
      <c r="W15" s="790"/>
      <c r="X15" s="791"/>
      <c r="AA15" s="707" t="s">
        <v>8115</v>
      </c>
      <c r="BD15" s="220">
        <v>3</v>
      </c>
      <c r="BE15" s="239">
        <f>COUNT(BD6:BD8)</f>
        <v>3</v>
      </c>
      <c r="BF15" s="227">
        <f>COUNT(BE6:BE8)</f>
        <v>2</v>
      </c>
      <c r="BG15" s="227">
        <f>COUNT(BF6:BF8)</f>
        <v>1</v>
      </c>
      <c r="BH15" s="227"/>
      <c r="BI15" s="227"/>
      <c r="BJ15" s="228"/>
      <c r="BV15" s="296" t="s">
        <v>5475</v>
      </c>
      <c r="BW15" s="297" cm="1">
        <f t="array" ref="BW15">_xlfn.SINGLE(_xlfn.XLOOKUP(A7&amp;A6,G18:G32&amp;V18:V32,N18:N32,_xlfn.XLOOKUP(A6&amp;A7,G18:G32&amp;V18:V32,P18:P32,"",0,1),0,1))</f>
        <v>91</v>
      </c>
      <c r="BX15" s="297" cm="1">
        <f t="array" ref="BX15">_xlfn.XLOOKUP(A7&amp;A6,G18:G32&amp;V18:V32,P18:P32,_xlfn.XLOOKUP(A6&amp;A7,G18:G32&amp;V18:V32,N18:N32,"",0,1),0,1)</f>
        <v>100</v>
      </c>
      <c r="BY15" s="297" cm="1">
        <f t="array" ref="BY15">_xlfn.XLOOKUP(A7&amp;A6,$G$18:$G$32&amp;$V$18:$V$32,$M$18:$M$32,"",0,1)</f>
        <v>11</v>
      </c>
      <c r="BZ15" s="297" cm="1">
        <f t="array" ref="BZ15">_xlfn.XLOOKUP(A7&amp;A6,$G$18:$G$32&amp;$V$18:$V$32,$Q$18:$Q$32,"",0,1)</f>
        <v>14</v>
      </c>
      <c r="CA15" s="297" cm="1">
        <f t="array" ref="CA15">_xlfn.XLOOKUP(A7&amp;A6,G18:G32&amp;V18:V32,O18:O32,_xlfn.XLOOKUP(A6&amp;A7,G18:G32&amp;V18:V32,O18:O32,"",0,1),0,1)</f>
        <v>37</v>
      </c>
      <c r="CB15" s="298" t="str" cm="1">
        <f t="array" ref="CB15">_xlfn.XLOOKUP(A7&amp;A6,G18:G32&amp;V18:V32,A18:A32,"",0,1)</f>
        <v>P</v>
      </c>
      <c r="CC15" s="299">
        <f>IF(COUNTBLANK($AO$6:$AO$11)=2,SUM(BW15,BX10),IF(BW15="",BX10,BW15))</f>
        <v>91</v>
      </c>
      <c r="CD15" s="297">
        <f>IF(CC15="Ab.","",IF(BY15="",BZ10,BY15))</f>
        <v>11</v>
      </c>
      <c r="CE15" s="297">
        <f t="shared" si="20"/>
        <v>37</v>
      </c>
      <c r="CF15" s="300" t="str">
        <f>IF(CB15="",CB10,CB15)</f>
        <v>P</v>
      </c>
      <c r="CG15" s="301" cm="1">
        <f t="array" ref="CG15">_xlfn.XLOOKUP(BV15,$G$18:$G$32&amp;"-"&amp;$V$18:$V$32,$D$18:$D$32,_xlfn.XLOOKUP(BV10,$G$18:$G$32&amp;"-"&amp;$V$18:$V$32,$X$18:$X$32,"",0,1),0,1)</f>
        <v>0</v>
      </c>
      <c r="CH15" s="301" cm="1">
        <f t="array" ref="CH15">_xlfn.XLOOKUP(BV15,$G$18:$G$32&amp;"-"&amp;$V$18:$V$32,$AS$18:$AS$32,_xlfn.XLOOKUP(BV10,$G$18:$G$32&amp;"-"&amp;$V$18:$V$32,$AT$18:$AT$32,"",0,1),0,1)</f>
        <v>1</v>
      </c>
      <c r="CI15" s="819"/>
      <c r="CJ15" s="822"/>
      <c r="CK15" s="557">
        <f t="shared" si="21"/>
        <v>1</v>
      </c>
      <c r="CL15" s="557" t="b">
        <f t="shared" si="19"/>
        <v>0</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7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291"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558"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68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29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P</v>
      </c>
      <c r="B18" s="52">
        <f>IF(AO4=5,"",1)</f>
        <v>1</v>
      </c>
      <c r="C18" s="94">
        <f t="shared" ref="C18:C32" si="24">IF(AR18=0,"",IF(B18="","",AR18))</f>
        <v>1</v>
      </c>
      <c r="D18" s="74">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2</v>
      </c>
      <c r="E18" s="109">
        <f>IFERROR(IF(AND(D18&gt;0,Y18=FALSE),N18/O18,IF(AND(D18&gt;0,Y18=TRUE),(N18/O18)*_xlfn.XLOOKUP('GESTION DES JOUEURS'!$X$8&amp;RIGHT('GESTION DES JOUEURS'!$Y$8,1),Tableau14[Colonne1],Tableau14[coef. 2,80/3,10],"",0,1),"")),"")</f>
        <v>2.125</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157535J</v>
      </c>
      <c r="G18" s="53">
        <f t="shared" ref="G18:G32" si="25">_xlfn.XLOOKUP(F18,$B$6:$B$11,$A$6:$A$11,"",0,1)</f>
        <v>2</v>
      </c>
      <c r="H18" s="776" t="str">
        <f>IFERROR(VLOOKUP(F18,$B$6:$G$11,2,FALSE),"")</f>
        <v>PIBOURDIN</v>
      </c>
      <c r="I18" s="777"/>
      <c r="J18" s="777"/>
      <c r="K18" s="776" t="str">
        <f>IFERROR(VLOOKUP(F18,$B$6:$G$11,4,FALSE),"")</f>
        <v>ERIC</v>
      </c>
      <c r="L18" s="778"/>
      <c r="M18" s="76">
        <v>23</v>
      </c>
      <c r="N18" s="82">
        <v>85</v>
      </c>
      <c r="O18" s="110">
        <v>40</v>
      </c>
      <c r="P18" s="81">
        <v>76</v>
      </c>
      <c r="Q18" s="77">
        <v>9</v>
      </c>
      <c r="R18" s="768" t="str">
        <f t="shared" ref="R18:R32" si="26">IFERROR(VLOOKUP(U18,$B$6:$G$11,2,0),"")</f>
        <v>HANSEL</v>
      </c>
      <c r="S18" s="769"/>
      <c r="T18" s="78" t="str">
        <f t="shared" ref="T18:T32" si="27">IFERROR(VLOOKUP(U18,$B$6:$G$11,4,0),"")</f>
        <v>GERARD</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013335x</v>
      </c>
      <c r="V18" s="54">
        <f t="shared" ref="V18:V32" si="28">_xlfn.XLOOKUP(U18,$B$6:$B$11,$A$6:$A$11,"",0,1)</f>
        <v>3</v>
      </c>
      <c r="W18" s="111" t="str">
        <f>IFERROR(IF(AND(X18&gt;0,Y18=FALSE),P18/O18,IF(AND(X18&gt;0,Y18=TRUE),(P18/O18)*_xlfn.XLOOKUP('GESTION DES JOUEURS'!$X$8&amp;RIGHT('GESTION DES JOUEURS'!$Y$8,1),Tableau14[Colonne1],Tableau14[coef. 2,80/3,10],"",0,1),"")),"")</f>
        <v/>
      </c>
      <c r="X18" s="55">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0</v>
      </c>
      <c r="Y18" s="677" t="b">
        <v>0</v>
      </c>
      <c r="AA18" s="686"/>
      <c r="AN18" s="244"/>
      <c r="AO18" s="248"/>
      <c r="AP18" s="325">
        <f>IF($O$4="m",_xlfn.XLOOKUP(F18,$B$6:$B$11,$O$6:$O$11,_xlfn.XLOOKUP(F18,$B$6:$B$11,$M$6:$M$11,0,0,1),0,1),_xlfn.XLOOKUP(F18,$B$6:$B$11,$M$6:$M$11,0,0,1))</f>
        <v>2</v>
      </c>
      <c r="AQ18" s="325">
        <f t="shared" ref="AQ18:AQ32" si="29">IF($O$4="m",_xlfn.XLOOKUP(U18,$B$6:$B$11,$O$6:$O$11,0,0,1),_xlfn.XLOOKUP(U18,$B$6:$B$11,$M$6:$M$11,0,0,1))</f>
        <v>3</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0</v>
      </c>
      <c r="AX18" s="315">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0</v>
      </c>
      <c r="AZ18" s="326">
        <v>2</v>
      </c>
      <c r="BB18" s="724"/>
      <c r="BC18" s="233">
        <v>2</v>
      </c>
      <c r="BD18" s="155">
        <v>3</v>
      </c>
      <c r="BE18" s="155" t="b">
        <v>0</v>
      </c>
      <c r="BF18" s="155" t="str">
        <v/>
      </c>
      <c r="BG18" s="155" t="str">
        <v/>
      </c>
      <c r="BH18" s="155">
        <v>0</v>
      </c>
      <c r="BI18" s="157"/>
      <c r="BJ18" s="157"/>
      <c r="BK18" s="155">
        <v>2</v>
      </c>
      <c r="BL18" s="155" t="str">
        <f t="shared" si="23"/>
        <v/>
      </c>
      <c r="BM18" s="161">
        <v>4</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29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154178K</v>
      </c>
      <c r="G19" s="57">
        <f t="shared" si="25"/>
        <v>1</v>
      </c>
      <c r="H19" s="729" t="str">
        <f>IFERROR(VLOOKUP(F19,$B$6:$G$11,2,FALSE),"")</f>
        <v>PONCE</v>
      </c>
      <c r="I19" s="726"/>
      <c r="J19" s="730"/>
      <c r="K19" s="726" t="str">
        <f>IFERROR(VLOOKUP(F19,$B$6:$H$11,4,FALSE),"")</f>
        <v>FREDERIC</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713" t="s">
        <v>8117</v>
      </c>
      <c r="AN19" s="244"/>
      <c r="AO19" s="248"/>
      <c r="AP19" s="325">
        <f t="shared" ref="AP19:AP32" si="30">IF($O$4="m",_xlfn.XLOOKUP(F19,$B$6:$B$11,$O$6:$O$11,0,0,1),_xlfn.XLOOKUP(F19,$B$6:$B$11,$M$6:$M$11,0,0,1))</f>
        <v>1</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v>3</v>
      </c>
      <c r="BD19" s="155" t="b">
        <v>0</v>
      </c>
      <c r="BE19" s="155" t="b">
        <v>0</v>
      </c>
      <c r="BF19" s="155" t="str">
        <v/>
      </c>
      <c r="BG19" s="155">
        <v>0</v>
      </c>
      <c r="BH19" s="155">
        <v>0</v>
      </c>
      <c r="BI19" s="157"/>
      <c r="BJ19" s="157"/>
      <c r="BK19" s="155">
        <v>3</v>
      </c>
      <c r="BL19" s="155" t="str">
        <f t="shared" si="23"/>
        <v/>
      </c>
      <c r="BM19" s="161">
        <v>5</v>
      </c>
      <c r="BV19" s="292" t="s">
        <v>5479</v>
      </c>
      <c r="BW19" s="223" cm="1">
        <f t="array" ref="BW19">_xlfn.SINGLE(_xlfn.XLOOKUP(A8&amp;A7,G18:G32&amp;V18:V32,N18:N32,_xlfn.XLOOKUP(A7&amp;A8,G18:G32&amp;V18:V32,P18:P32,"",0,1),0,1))</f>
        <v>76</v>
      </c>
      <c r="BX19" s="223" cm="1">
        <f t="array" ref="BX19">_xlfn.XLOOKUP(A8&amp;A7,G18:G32&amp;V18:V32,P18:P32,_xlfn.XLOOKUP(A7&amp;A8,G18:G32&amp;V18:V32,N18:N32,"",0,1),0,1)</f>
        <v>85</v>
      </c>
      <c r="BY19" s="223" t="str" cm="1">
        <f t="array" ref="BY19">_xlfn.XLOOKUP(A8&amp;A7,$G$18:$G$32&amp;$V$18:$V$32,$M$18:$M$32,"",0,1)</f>
        <v/>
      </c>
      <c r="BZ19" s="223" t="str" cm="1">
        <f t="array" ref="BZ19">_xlfn.XLOOKUP(A8&amp;A7,$G$18:$G$32&amp;$V$18:$V$32,$Q$18:$Q$32,"",0,1)</f>
        <v/>
      </c>
      <c r="CA19" s="223" cm="1">
        <f t="array" ref="CA19">_xlfn.XLOOKUP(A8&amp;A7,G18:G32&amp;V18:V32,O18:O32,_xlfn.XLOOKUP(A7&amp;A8,G18:G32&amp;V18:V32,O18:O32,"",0,1),0,1)</f>
        <v>40</v>
      </c>
      <c r="CB19" s="293" t="str" cm="1">
        <f t="array" ref="CB19">_xlfn.XLOOKUP(A8&amp;A7,G18:G32&amp;V18:V32,A18:A32,"",0,1)</f>
        <v/>
      </c>
      <c r="CC19" s="237">
        <f>IF(COUNTBLANK($AO$6:$AO$11)=2,SUM(BW19,BX14),IF(BW19="",BX14,BW19))</f>
        <v>76</v>
      </c>
      <c r="CD19" s="223">
        <f>IF(CC19="Ab.","",IF(BY19="",BZ14,BY19))</f>
        <v>9</v>
      </c>
      <c r="CE19" s="223">
        <f t="shared" si="20"/>
        <v>40</v>
      </c>
      <c r="CF19" s="294" t="str">
        <f>IF(CB19="",CB14,CB19)</f>
        <v>P</v>
      </c>
      <c r="CG19" s="295" cm="1">
        <f t="array" ref="CG19">_xlfn.XLOOKUP(BV19,$G$18:$G$32&amp;"-"&amp;$V$18:$V$32,$D$18:$D$32,_xlfn.XLOOKUP(BV14,$G$18:$G$32&amp;"-"&amp;$V$18:$V$32,$X$18:$X$32,"",0,1),0,1)</f>
        <v>0</v>
      </c>
      <c r="CH19" s="295" cm="1">
        <f t="array" ref="CH19">_xlfn.XLOOKUP(BV19,$G$18:$G$32&amp;"-"&amp;$V$18:$V$32,$AS$18:$AS$32,_xlfn.XLOOKUP(BV14,$G$18:$G$32&amp;"-"&amp;$V$18:$V$32,$AT$18:$AT$32,"",0,1),0,1)</f>
        <v>0</v>
      </c>
      <c r="CI19" s="818"/>
      <c r="CJ19" s="821"/>
      <c r="CK19" s="557">
        <f t="shared" si="21"/>
        <v>2</v>
      </c>
      <c r="CL19" s="557" t="b">
        <f t="shared" si="19"/>
        <v>0</v>
      </c>
    </row>
    <row r="20" spans="1:90" ht="14.45" customHeight="1" thickBot="1" x14ac:dyDescent="0.3">
      <c r="A20" s="245" t="str">
        <f>IF(AO4&lt;3,"",IF(OR(O20&gt;0,N20="ab.",P20="ab."),"P",""))</f>
        <v>P</v>
      </c>
      <c r="B20" s="56">
        <f>IF(AO4&lt;3,"",IF(AO4&lt;5,1,IF(AO4=5,2,3)))</f>
        <v>1</v>
      </c>
      <c r="C20" s="95">
        <f t="shared" si="24"/>
        <v>2</v>
      </c>
      <c r="D20" s="79">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0</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013335x</v>
      </c>
      <c r="G20" s="57">
        <f t="shared" si="25"/>
        <v>3</v>
      </c>
      <c r="H20" s="729" t="str">
        <f>IFERROR(VLOOKUP(F20,$B$6:$G$11,2,FALSE),"")</f>
        <v>HANSEL</v>
      </c>
      <c r="I20" s="726"/>
      <c r="J20" s="730"/>
      <c r="K20" s="726" t="str">
        <f t="shared" ref="K20:K32" si="33">IFERROR(VLOOKUP(F20,$B$6:$H$11,4,FALSE),"")</f>
        <v>GERARD</v>
      </c>
      <c r="L20" s="727"/>
      <c r="M20" s="81">
        <v>9</v>
      </c>
      <c r="N20" s="82">
        <v>61</v>
      </c>
      <c r="O20" s="114">
        <v>35</v>
      </c>
      <c r="P20" s="81">
        <v>100</v>
      </c>
      <c r="Q20" s="82">
        <v>13</v>
      </c>
      <c r="R20" s="731" t="str">
        <f t="shared" si="26"/>
        <v>PONCE</v>
      </c>
      <c r="S20" s="732"/>
      <c r="T20" s="83" t="str">
        <f t="shared" si="27"/>
        <v>FREDERIC</v>
      </c>
      <c r="U20" s="83" t="str">
        <f>IF(AO4&lt;3,"",IF(AND(AO4&lt;5,N19&gt;P19),F19,IF(AND(AO4&lt;5,P19&gt;N19),U19,IF(AND(AO4&lt;5,N19=P19,M19&gt;Q19),F19,IF(AND(AO4&lt;5,N19=P19,Q19&gt;M19),U19,IF(AND(AO4&lt;5,N19=P19,Q19=M19),F19,IF($O$4="M",_xlfn.XLOOKUP('DATA TDJ'!C39,$O$6:$O$11,$B$6:$B$11,_xlfn.XLOOKUP('DATA TDJ'!C39,$M$6:$M$11,$B$6:$B$11," ",0,1),0,1),_xlfn.XLOOKUP('DATA TDJ'!C39,$M$6:$M$11,$B$6:$B$11," ",0,1))))))))</f>
        <v>154178K</v>
      </c>
      <c r="V20" s="58">
        <f t="shared" si="28"/>
        <v>1</v>
      </c>
      <c r="W20" s="115">
        <f>IFERROR(IF(AND(X20&gt;0,Y20=FALSE),P20/O20,IF(AND(X20&gt;0,Y20=TRUE),(P20/O20)*_xlfn.XLOOKUP('GESTION DES JOUEURS'!$X$8&amp;RIGHT('GESTION DES JOUEURS'!$Y$8,1),Tableau14[Colonne1],Tableau14[coef. 2,80/3,10],"",0,1),"")),"")</f>
        <v>2.8571428571428572</v>
      </c>
      <c r="X20" s="59">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2</v>
      </c>
      <c r="Y20" s="678" t="b">
        <v>0</v>
      </c>
      <c r="AA20" s="713"/>
      <c r="AN20" s="244"/>
      <c r="AO20" s="248"/>
      <c r="AP20" s="325">
        <f t="shared" si="30"/>
        <v>3</v>
      </c>
      <c r="AQ20" s="325">
        <f t="shared" si="29"/>
        <v>1</v>
      </c>
      <c r="AR20" s="326">
        <f t="shared" si="31"/>
        <v>2</v>
      </c>
      <c r="AS20" s="317">
        <f t="shared" si="32"/>
        <v>0</v>
      </c>
      <c r="AT20" s="318">
        <f t="shared" si="32"/>
        <v>1</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0</v>
      </c>
      <c r="AX20" s="319">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1</v>
      </c>
      <c r="AZ20" s="326">
        <v>4</v>
      </c>
      <c r="BB20" s="724"/>
      <c r="BC20" s="233" t="b">
        <v>0</v>
      </c>
      <c r="BD20" s="155" t="b">
        <v>0</v>
      </c>
      <c r="BE20" s="155" t="b">
        <v>0</v>
      </c>
      <c r="BF20" s="155">
        <v>0</v>
      </c>
      <c r="BG20" s="155">
        <v>0</v>
      </c>
      <c r="BH20" s="155">
        <v>0</v>
      </c>
      <c r="BI20" s="157"/>
      <c r="BJ20" s="157"/>
      <c r="BK20" s="155">
        <v>4</v>
      </c>
      <c r="BL20" s="155">
        <f t="shared" si="23"/>
        <v>4</v>
      </c>
      <c r="BM20" s="161">
        <v>6</v>
      </c>
      <c r="BV20" s="296" t="s">
        <v>5480</v>
      </c>
      <c r="BW20" s="297" cm="1">
        <f t="array" ref="BW20">_xlfn.SINGLE(_xlfn.XLOOKUP(A8&amp;A6,G18:G32&amp;V18:V32,N18:N32,_xlfn.XLOOKUP(A6&amp;A8,G18:G32&amp;V18:V32,P18:P32,"",0,1),0,1))</f>
        <v>61</v>
      </c>
      <c r="BX20" s="297" cm="1">
        <f t="array" ref="BX20">_xlfn.XLOOKUP(A8&amp;A6,G18:G32&amp;V18:V32,P18:P32,_xlfn.XLOOKUP(A6&amp;A8,G18:G32&amp;V18:V32,N18:N32,"",0,1),0,1)</f>
        <v>100</v>
      </c>
      <c r="BY20" s="297" cm="1">
        <f t="array" ref="BY20">_xlfn.XLOOKUP(A8&amp;A6,$G$18:$G$32&amp;$V$18:$V$32,$M$18:$M$32,"",0,1)</f>
        <v>9</v>
      </c>
      <c r="BZ20" s="297" cm="1">
        <f t="array" ref="BZ20">_xlfn.XLOOKUP(A8&amp;A6,$G$18:$G$32&amp;$V$18:$V$32,$Q$18:$Q$32,"",0,1)</f>
        <v>13</v>
      </c>
      <c r="CA20" s="297" cm="1">
        <f t="array" ref="CA20">_xlfn.XLOOKUP(A8&amp;A6,G18:G32&amp;V18:V32,O18:O32,_xlfn.XLOOKUP(A6&amp;A8,G18:G32&amp;V18:V32,O18:O32,"",0,1),0,1)</f>
        <v>35</v>
      </c>
      <c r="CB20" s="298" t="str" cm="1">
        <f t="array" ref="CB20">_xlfn.XLOOKUP(A8&amp;A6,G18:G32&amp;V18:V32,A18:A32,"",0,1)</f>
        <v>P</v>
      </c>
      <c r="CC20" s="299">
        <f>IF(COUNTBLANK($AO$6:$AO$11)=2,SUM(BW20,BX9),IF(BW20="",BX9,BW20))</f>
        <v>61</v>
      </c>
      <c r="CD20" s="297">
        <f>IF(CC20="Ab.","",IF(BY20="",BZ9,BY20))</f>
        <v>9</v>
      </c>
      <c r="CE20" s="297">
        <f t="shared" si="20"/>
        <v>35</v>
      </c>
      <c r="CF20" s="300" t="str">
        <f>IF(CB20="",CB9,CB20)</f>
        <v>P</v>
      </c>
      <c r="CG20" s="301" cm="1">
        <f t="array" ref="CG20">_xlfn.XLOOKUP(BV20,$G$18:$G$32&amp;"-"&amp;$V$18:$V$32,$D$18:$D$32,_xlfn.XLOOKUP(BV9,$G$18:$G$32&amp;"-"&amp;$V$18:$V$32,$X$18:$X$32,"",0,1),0,1)</f>
        <v>0</v>
      </c>
      <c r="CH20" s="301" cm="1">
        <f t="array" ref="CH20">_xlfn.XLOOKUP(BV20,$G$18:$G$32&amp;"-"&amp;$V$18:$V$32,$AS$18:$AS$32,_xlfn.XLOOKUP(BV9,$G$18:$G$32&amp;"-"&amp;$V$18:$V$32,$AT$18:$AT$32,"",0,1),0,1)</f>
        <v>0</v>
      </c>
      <c r="CI20" s="819"/>
      <c r="CJ20" s="822"/>
      <c r="CK20" s="557">
        <f t="shared" si="21"/>
        <v>1</v>
      </c>
      <c r="CL20" s="557" t="b">
        <f t="shared" si="19"/>
        <v>0</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013335x</v>
      </c>
      <c r="G21" s="57">
        <f t="shared" si="25"/>
        <v>3</v>
      </c>
      <c r="H21" s="729" t="str">
        <f>IFERROR(VLOOKUP(F21,$B$6:$G$11,2,FALSE),"")</f>
        <v>HANSEL</v>
      </c>
      <c r="I21" s="726"/>
      <c r="J21" s="730"/>
      <c r="K21" s="726" t="str">
        <f t="shared" si="33"/>
        <v>GERARD</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xml:space="preserve">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714" t="s">
        <v>8118</v>
      </c>
      <c r="AN21" s="244"/>
      <c r="AO21" s="248"/>
      <c r="AP21" s="325">
        <f t="shared" si="30"/>
        <v>3</v>
      </c>
      <c r="AQ21" s="325">
        <f t="shared" si="29"/>
        <v>0</v>
      </c>
      <c r="AR21" s="326">
        <f t="shared" si="31"/>
        <v>2</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b">
        <v>0</v>
      </c>
      <c r="BD21" s="155" t="b">
        <v>0</v>
      </c>
      <c r="BE21" s="155">
        <v>0</v>
      </c>
      <c r="BF21" s="155">
        <v>0</v>
      </c>
      <c r="BG21" s="155">
        <v>0</v>
      </c>
      <c r="BH21" s="155">
        <v>0</v>
      </c>
      <c r="BI21" s="157"/>
      <c r="BJ21" s="157"/>
      <c r="BK21" s="155">
        <v>5</v>
      </c>
      <c r="BL21" s="155">
        <f t="shared" si="23"/>
        <v>5</v>
      </c>
      <c r="BM21" s="161" t="str">
        <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291"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P</v>
      </c>
      <c r="B22" s="56">
        <f>IF(AO4=3,1,IF(OR(AO4=5,AO4&lt;3),"",IF(AO4&lt;5,1,2)))</f>
        <v>1</v>
      </c>
      <c r="C22" s="95">
        <f t="shared" si="24"/>
        <v>3</v>
      </c>
      <c r="D22" s="79">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0</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157535J</v>
      </c>
      <c r="G22" s="57">
        <f t="shared" si="25"/>
        <v>2</v>
      </c>
      <c r="H22" s="729" t="str">
        <f>IFERROR(VLOOKUP(F22,$B$6:$G$11,2,FALSE),"")</f>
        <v>PIBOURDIN</v>
      </c>
      <c r="I22" s="726"/>
      <c r="J22" s="730"/>
      <c r="K22" s="726" t="str">
        <f t="shared" si="33"/>
        <v>ERIC</v>
      </c>
      <c r="L22" s="727"/>
      <c r="M22" s="81">
        <v>11</v>
      </c>
      <c r="N22" s="82">
        <v>91</v>
      </c>
      <c r="O22" s="114">
        <v>37</v>
      </c>
      <c r="P22" s="81">
        <v>100</v>
      </c>
      <c r="Q22" s="82">
        <v>14</v>
      </c>
      <c r="R22" s="731" t="str">
        <f t="shared" si="26"/>
        <v>PONCE</v>
      </c>
      <c r="S22" s="732"/>
      <c r="T22" s="83" t="str">
        <f t="shared" si="27"/>
        <v>FREDERIC</v>
      </c>
      <c r="U22" s="83" t="str">
        <f>IF(AO4&lt;3,"",IF(AO4=3,F19,IF(AO4&lt;5,U19,IF($O$4="M",_xlfn.XLOOKUP('DATA TDJ'!C41,$O$6:$O$11,$B$6:$B$11,_xlfn.XLOOKUP('DATA TDJ'!C41,$M$6:$M$11,$B$6:$B$11," ",0,1),0,1),_xlfn.XLOOKUP('DATA TDJ'!C41,$M$6:$M$11,$B$6:$B$11," ",0,1)))))</f>
        <v>154178K</v>
      </c>
      <c r="V22" s="58">
        <f t="shared" si="28"/>
        <v>1</v>
      </c>
      <c r="W22" s="115">
        <f>IFERROR(IF(AND(X22&gt;0,Y22=FALSE),P22/O22,IF(AND(X22&gt;0,Y22=TRUE),(P22/O22)*_xlfn.XLOOKUP('GESTION DES JOUEURS'!$X$8&amp;RIGHT('GESTION DES JOUEURS'!$Y$8,1),Tableau14[Colonne1],Tableau14[coef. 2,80/3,10],"",0,1),"")),"")</f>
        <v>2.7027027027027026</v>
      </c>
      <c r="X22" s="59">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2</v>
      </c>
      <c r="Y22" s="678" t="b">
        <v>0</v>
      </c>
      <c r="AA22" s="714"/>
      <c r="AN22" s="244"/>
      <c r="AO22" s="248"/>
      <c r="AP22" s="325">
        <f t="shared" si="30"/>
        <v>2</v>
      </c>
      <c r="AQ22" s="325">
        <f t="shared" si="29"/>
        <v>1</v>
      </c>
      <c r="AR22" s="326">
        <f t="shared" si="31"/>
        <v>3</v>
      </c>
      <c r="AS22" s="317">
        <f t="shared" si="32"/>
        <v>1</v>
      </c>
      <c r="AT22" s="318">
        <f t="shared" si="32"/>
        <v>1</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1</v>
      </c>
      <c r="AX22" s="319">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1</v>
      </c>
      <c r="AZ22" s="326">
        <v>6</v>
      </c>
      <c r="BB22" s="724"/>
      <c r="BC22" s="233" t="b">
        <v>0</v>
      </c>
      <c r="BD22" s="155">
        <v>0</v>
      </c>
      <c r="BE22" s="155">
        <v>0</v>
      </c>
      <c r="BF22" s="155">
        <v>0</v>
      </c>
      <c r="BG22" s="155">
        <v>0</v>
      </c>
      <c r="BH22" s="155">
        <v>0</v>
      </c>
      <c r="BI22" s="157"/>
      <c r="BJ22" s="157"/>
      <c r="BK22" s="156">
        <v>6</v>
      </c>
      <c r="BL22" s="155">
        <f t="shared" si="23"/>
        <v>6</v>
      </c>
      <c r="BM22" s="162" t="str">
        <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29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715" t="s">
        <v>8119</v>
      </c>
      <c r="AN23" s="244"/>
      <c r="AO23" s="248"/>
      <c r="AP23" s="325" t="str">
        <f t="shared" si="30"/>
        <v/>
      </c>
      <c r="AQ23" s="325" t="str">
        <f t="shared" si="29"/>
        <v/>
      </c>
      <c r="AR23" s="326">
        <f t="shared" si="31"/>
        <v>3</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295" t="str" cm="1">
        <f t="array" ref="CH23">_xlfn.XLOOKUP(BV23,$G$18:$G$32&amp;"-"&amp;$V$18:$V$32,$AS$18:$AS$32,_xlfn.XLOOKUP(BV18,$G$18:$G$32&amp;"-"&amp;$V$18:$V$32,$AT$18:$AT$32,"",0,1),0,1)</f>
        <v/>
      </c>
      <c r="CI23" s="818"/>
      <c r="CJ23" s="821"/>
      <c r="CK23" s="557">
        <f t="shared" si="21"/>
        <v>3</v>
      </c>
      <c r="CL23" s="557" t="b">
        <f t="shared" si="19"/>
        <v>0</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715"/>
      <c r="AN24" s="244"/>
      <c r="AO24" s="248"/>
      <c r="AP24" s="325" t="str">
        <f t="shared" si="30"/>
        <v/>
      </c>
      <c r="AQ24" s="325" t="str">
        <f t="shared" si="29"/>
        <v/>
      </c>
      <c r="AR24" s="326">
        <f t="shared" si="31"/>
        <v>3</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t="str" cm="1">
        <f t="array" ref="BW24">_xlfn.SINGLE(_xlfn.XLOOKUP(A9&amp;A7,G18:G32&amp;V18:V32,N18:N32,_xlfn.XLOOKUP(A7&amp;A9,G18:G32&amp;V18:V32,P18:P32,"",0,1),0,1))</f>
        <v/>
      </c>
      <c r="BX24" s="223" t="str" cm="1">
        <f t="array" ref="BX24">_xlfn.XLOOKUP(A9&amp;A7,G18:G32&amp;V18:V32,P18:P32,_xlfn.XLOOKUP(A7&amp;A9,G18:G32&amp;V18:V32,N18:N32,"",0,1),0,1)</f>
        <v/>
      </c>
      <c r="BY24" s="223" t="str" cm="1">
        <f t="array" ref="BY24">_xlfn.XLOOKUP(A9&amp;A7,$G$18:$G$32&amp;$V$18:$V$32,$M$18:$M$32,"",0,1)</f>
        <v/>
      </c>
      <c r="BZ24" s="223" t="str" cm="1">
        <f t="array" ref="BZ24">_xlfn.XLOOKUP(A9&amp;A7,$G$18:$G$32&amp;$V$18:$V$32,$Q$18:$Q$32,"",0,1)</f>
        <v/>
      </c>
      <c r="CA24" s="223" t="str" cm="1">
        <f t="array" ref="CA24">_xlfn.XLOOKUP(A9&amp;A7,G18:G32&amp;V18:V32,O18:O32,_xlfn.XLOOKUP(A7&amp;A9,G18:G32&amp;V18:V32,O18:O32,"",0,1),0,1)</f>
        <v/>
      </c>
      <c r="CB24" s="293" t="str" cm="1">
        <f t="array" ref="CB24">_xlfn.XLOOKUP(A9&amp;A7,G18:G32&amp;V18:V32,A18:A32,"",0,1)</f>
        <v/>
      </c>
      <c r="CC24" s="237" t="str">
        <f>IF(COUNTBLANK($AO$6:$AO$11)=2,SUM(BW24,BX13),IF(BW24="",BX13,BW24))</f>
        <v/>
      </c>
      <c r="CD24" s="223" t="str">
        <f>IF(CC24="Ab.","",IF(BY24="",BZ13,BY24))</f>
        <v/>
      </c>
      <c r="CE24" s="223" t="str">
        <f t="shared" si="20"/>
        <v/>
      </c>
      <c r="CF24" s="294" t="str">
        <f>IF(CB24="",CB13,CB24)</f>
        <v/>
      </c>
      <c r="CG24" s="295" t="str" cm="1">
        <f t="array" ref="CG24">_xlfn.XLOOKUP(BV24,$G$18:$G$32&amp;"-"&amp;$V$18:$V$32,$D$18:$D$32,_xlfn.XLOOKUP(BV13,$G$18:$G$32&amp;"-"&amp;$V$18:$V$32,$X$18:$X$32,"",0,1),0,1)</f>
        <v/>
      </c>
      <c r="CH24" s="295" t="str" cm="1">
        <f t="array" ref="CH24">_xlfn.XLOOKUP(BV24,$G$18:$G$32&amp;"-"&amp;$V$18:$V$32,$AS$18:$AS$32,_xlfn.XLOOKUP(BV13,$G$18:$G$32&amp;"-"&amp;$V$18:$V$32,$AT$18:$AT$32,"",0,1),0,1)</f>
        <v/>
      </c>
      <c r="CI24" s="818"/>
      <c r="CJ24" s="821"/>
      <c r="CK24" s="557">
        <f t="shared" si="21"/>
        <v>2</v>
      </c>
      <c r="CL24" s="557" t="b">
        <f t="shared" si="19"/>
        <v>0</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716" t="s">
        <v>8120</v>
      </c>
      <c r="AN25" s="244"/>
      <c r="AO25" s="248"/>
      <c r="AP25" s="325" t="str">
        <f t="shared" si="30"/>
        <v/>
      </c>
      <c r="AQ25" s="325" t="str">
        <f t="shared" si="29"/>
        <v/>
      </c>
      <c r="AR25" s="326">
        <f t="shared" si="31"/>
        <v>3</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1</v>
      </c>
      <c r="BI25" s="157">
        <f>IF(BI26=FALSE,BH25+1,BH25)</f>
        <v>2</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1" t="str" cm="1">
        <f t="array" ref="CH25">_xlfn.XLOOKUP(BV25,$G$18:$G$32&amp;"-"&amp;$V$18:$V$32,$AS$18:$AS$32,_xlfn.XLOOKUP(BV8,$G$18:$G$32&amp;"-"&amp;$V$18:$V$32,$AT$18:$AT$32,"",0,1),0,1)</f>
        <v/>
      </c>
      <c r="CI25" s="819"/>
      <c r="CJ25" s="822"/>
      <c r="CK25" s="557">
        <f t="shared" si="21"/>
        <v>1</v>
      </c>
      <c r="CL25" s="557" t="b">
        <f t="shared" si="19"/>
        <v>0</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716"/>
      <c r="AN26" s="244"/>
      <c r="AO26" s="248"/>
      <c r="AP26" s="325" t="str">
        <f t="shared" si="30"/>
        <v/>
      </c>
      <c r="AQ26" s="325" t="str">
        <f t="shared" si="29"/>
        <v/>
      </c>
      <c r="AR26" s="326">
        <f t="shared" si="31"/>
        <v>3</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f>IF(ISEVEN(BF12),BE7,IF(ISEVEN(BG12),BF8))</f>
        <v>2</v>
      </c>
      <c r="BE26" s="155" t="b">
        <f>IF(ISEVEN(BI12),BH10,IF(ISEVEN(BH12),BG9,IF(ISEVEN(BG12),BF8)))</f>
        <v>0</v>
      </c>
      <c r="BF26" s="157"/>
      <c r="BG26" s="155" t="b">
        <f>BC26</f>
        <v>0</v>
      </c>
      <c r="BH26" s="155">
        <f>IF(AND(BD26=3,BE26=3,BC27&lt;&gt;2),FALSE,BD26)</f>
        <v>2</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291"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717" t="s">
        <v>8121</v>
      </c>
      <c r="AN27" s="244"/>
      <c r="AO27" s="248"/>
      <c r="AP27" s="325" t="str">
        <f t="shared" si="30"/>
        <v/>
      </c>
      <c r="AQ27" s="325" t="str">
        <f t="shared" si="29"/>
        <v/>
      </c>
      <c r="AR27" s="326">
        <f t="shared" si="31"/>
        <v>3</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f>_xlfn.XLOOKUP(BD26,$BC$17:$BH$17,$BC$18:$BH$18,FALSE,0,1)</f>
        <v>3</v>
      </c>
      <c r="BE27" s="155" t="b">
        <f>_xlfn.XLOOKUP(BE26,$BC$17:$BH$17,$BC$18:$BH$18,FALSE,0,1)</f>
        <v>0</v>
      </c>
      <c r="BF27" s="157"/>
      <c r="BG27" s="155" t="b">
        <f>BC27</f>
        <v>0</v>
      </c>
      <c r="BH27" s="155">
        <f>IF(AND(BD26=3,BE26=3,BC27&lt;&gt;2),FALSE,BD27)</f>
        <v>3</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29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717"/>
      <c r="AN28" s="244"/>
      <c r="AO28" s="248"/>
      <c r="AP28" s="325" t="str">
        <f t="shared" si="30"/>
        <v/>
      </c>
      <c r="AQ28" s="325" t="str">
        <f t="shared" si="29"/>
        <v/>
      </c>
      <c r="AR28" s="326">
        <f t="shared" si="31"/>
        <v>3</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4</v>
      </c>
      <c r="BH28" s="157">
        <f>IF(BH27=FALSE,BI28+1,BI28)</f>
        <v>3</v>
      </c>
      <c r="BI28" s="157">
        <f>IF(BI27=FALSE,BI25+1,BI25)</f>
        <v>3</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295" t="str" cm="1">
        <f t="array" ref="CH28">_xlfn.XLOOKUP(BV28,$G$18:$G$32&amp;"-"&amp;$V$18:$V$32,$AS$18:$AS$32,_xlfn.XLOOKUP(BV17,$G$18:$G$32&amp;"-"&amp;$V$18:$V$32,$AT$18:$AT$32,"",0,1),0,1)</f>
        <v/>
      </c>
      <c r="CI28" s="818"/>
      <c r="CJ28" s="821"/>
      <c r="CK28" s="557">
        <f t="shared" si="21"/>
        <v>3</v>
      </c>
      <c r="CL28" s="557" t="b">
        <f t="shared" si="19"/>
        <v>0</v>
      </c>
    </row>
    <row r="29" spans="1:90"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720" t="s">
        <v>8124</v>
      </c>
      <c r="AN29" s="244"/>
      <c r="AO29" s="248"/>
      <c r="AP29" s="325" t="str">
        <f t="shared" si="30"/>
        <v/>
      </c>
      <c r="AQ29" s="325" t="str">
        <f t="shared" si="29"/>
        <v/>
      </c>
      <c r="AR29" s="326">
        <f t="shared" si="31"/>
        <v>3</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t="str" cm="1">
        <f t="array" ref="BW29">_xlfn.SINGLE(_xlfn.XLOOKUP(A10&amp;A7,G18:G32&amp;V18:V32,N18:N32,_xlfn.XLOOKUP(A7&amp;A10,G18:G32&amp;V18:V32,P18:P32,"",0,1),0,1))</f>
        <v/>
      </c>
      <c r="BX29" s="223" t="str" cm="1">
        <f t="array" ref="BX29">_xlfn.XLOOKUP(A10&amp;A7,G18:G32&amp;V18:V32,P18:P32,_xlfn.XLOOKUP(A7&amp;A10,G18:G32&amp;V18:V32,N18:N32,"",0,1),0,1)</f>
        <v/>
      </c>
      <c r="BY29" s="223" t="str" cm="1">
        <f t="array" ref="BY29">_xlfn.XLOOKUP(A10&amp;A7,$G$18:$G$32&amp;$V$18:$V$32,$M$18:$M$32,"",0,1)</f>
        <v/>
      </c>
      <c r="BZ29" s="223" t="str" cm="1">
        <f t="array" ref="BZ29">_xlfn.XLOOKUP(A10&amp;A7,$G$18:$G$32&amp;$V$18:$V$32,$Q$18:$Q$32,"",0,1)</f>
        <v/>
      </c>
      <c r="CA29" s="223" t="str" cm="1">
        <f t="array" ref="CA29">_xlfn.XLOOKUP(A10&amp;A7,G18:G32&amp;V18:V32,O18:O32,_xlfn.XLOOKUP(A7&amp;A10,G18:G32&amp;V18:V32,O18:O32,"",0,1),0,1)</f>
        <v/>
      </c>
      <c r="CB29" s="293" t="str" cm="1">
        <f t="array" ref="CB29">_xlfn.XLOOKUP(A10&amp;A7,G18:G32&amp;V18:V32,A18:A32,"",0,1)</f>
        <v/>
      </c>
      <c r="CC29" s="237" t="str">
        <f>IF(COUNTBLANK($AO$6:$AO$11)=2,SUM(BW29,BX12),IF(BW29="",BX12,BW29))</f>
        <v/>
      </c>
      <c r="CD29" s="223" t="str">
        <f>IF(CC29="Ab.","",IF(BY29="",BZ12,BY29))</f>
        <v/>
      </c>
      <c r="CE29" s="223" t="str">
        <f t="shared" si="20"/>
        <v/>
      </c>
      <c r="CF29" s="294" t="str">
        <f>IF(CB29="",CB12,CB29)</f>
        <v/>
      </c>
      <c r="CG29" s="295" t="str" cm="1">
        <f t="array" ref="CG29">_xlfn.XLOOKUP(BV29,$G$18:$G$32&amp;"-"&amp;$V$18:$V$32,$D$18:$D$32,_xlfn.XLOOKUP(BV12,$G$18:$G$32&amp;"-"&amp;$V$18:$V$32,$X$18:$X$32,"",0,1),0,1)</f>
        <v/>
      </c>
      <c r="CH29" s="295" t="str" cm="1">
        <f t="array" ref="CH29">_xlfn.XLOOKUP(BV29,$G$18:$G$32&amp;"-"&amp;$V$18:$V$32,$AS$18:$AS$32,_xlfn.XLOOKUP(BV12,$G$18:$G$32&amp;"-"&amp;$V$18:$V$32,$AT$18:$AT$32,"",0,1),0,1)</f>
        <v/>
      </c>
      <c r="CI29" s="818"/>
      <c r="CJ29" s="821"/>
      <c r="CK29" s="557">
        <f t="shared" si="21"/>
        <v>2</v>
      </c>
      <c r="CL29" s="557" t="b">
        <f t="shared" si="19"/>
        <v>0</v>
      </c>
    </row>
    <row r="30" spans="1:90" ht="15.75"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720"/>
      <c r="AN30" s="244"/>
      <c r="AO30" s="248"/>
      <c r="AP30" s="325" t="str">
        <f t="shared" si="30"/>
        <v/>
      </c>
      <c r="AQ30" s="325" t="str">
        <f t="shared" si="29"/>
        <v/>
      </c>
      <c r="AR30" s="326">
        <f t="shared" si="31"/>
        <v>3</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4</v>
      </c>
      <c r="BF30" s="167">
        <f>IF(SUM(BC17:BC22)=21,4,IF(BI27=FALSE,_xlfn.XLOOKUP(BI28,$BK$17:$BK$22,$BM$17:$BM$22,"",0,1),BI27))</f>
        <v>5</v>
      </c>
      <c r="BG30" s="167">
        <f>IF(SUM(BC17:BC22)=21,5,IF(BH27=FALSE,_xlfn.XLOOKUP(BH28,$BK$17:$BK$22,$BM$17:$BM$22,"",0,1),BH27))</f>
        <v>3</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1" t="str" cm="1">
        <f t="array" ref="CH30">_xlfn.XLOOKUP(BV30,$G$18:$G$32&amp;"-"&amp;$V$18:$V$32,$AS$18:$AS$32,_xlfn.XLOOKUP(BV7,$G$18:$G$32&amp;"-"&amp;$V$18:$V$32,$AT$18:$AT$32,"",0,1),0,1)</f>
        <v/>
      </c>
      <c r="CI30" s="819"/>
      <c r="CJ30" s="822"/>
      <c r="CK30" s="557">
        <f t="shared" si="21"/>
        <v>1</v>
      </c>
      <c r="CL30" s="557" t="b">
        <f t="shared" si="19"/>
        <v>0</v>
      </c>
    </row>
    <row r="31" spans="1:90" ht="15.75"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721" t="s">
        <v>8125</v>
      </c>
      <c r="AN31" s="244"/>
      <c r="AO31" s="248"/>
      <c r="AP31" s="325" t="str">
        <f t="shared" si="30"/>
        <v/>
      </c>
      <c r="AQ31" s="325" t="str">
        <f t="shared" si="29"/>
        <v/>
      </c>
      <c r="AR31" s="326">
        <f t="shared" si="31"/>
        <v>3</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291"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75"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722"/>
      <c r="AN32" s="244"/>
      <c r="AO32" s="248"/>
      <c r="AP32" s="325" t="str">
        <f t="shared" si="30"/>
        <v/>
      </c>
      <c r="AQ32" s="325" t="str">
        <f t="shared" si="29"/>
        <v/>
      </c>
      <c r="AR32" s="326">
        <f t="shared" si="31"/>
        <v>3</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29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4</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295" t="str" cm="1">
        <f t="array" ref="CH33">_xlfn.XLOOKUP(BV33,$G$18:$G$32&amp;"-"&amp;$V$18:$V$32,$AS$18:$AS$32,_xlfn.XLOOKUP(BV16,$G$18:$G$32&amp;"-"&amp;$V$18:$V$32,$AT$18:$AT$32,"",0,1),0,1)</f>
        <v/>
      </c>
      <c r="CI33" s="818"/>
      <c r="CJ33" s="821"/>
      <c r="CK33" s="557">
        <f t="shared" si="21"/>
        <v>3</v>
      </c>
      <c r="CL33" s="557" t="b">
        <f t="shared" si="19"/>
        <v>0</v>
      </c>
    </row>
    <row r="34" spans="2:90" ht="15" customHeight="1" thickBot="1" x14ac:dyDescent="0.3">
      <c r="AA34" s="718" t="s">
        <v>8130</v>
      </c>
      <c r="BB34" s="266"/>
      <c r="BC34" s="182">
        <v>2</v>
      </c>
      <c r="BD34" s="168">
        <v>3</v>
      </c>
      <c r="BE34" s="168" t="b">
        <v>0</v>
      </c>
      <c r="BF34" s="168" t="str">
        <v/>
      </c>
      <c r="BG34" s="168">
        <v>0</v>
      </c>
      <c r="BH34" s="170"/>
      <c r="BI34" s="170"/>
      <c r="BJ34" s="170"/>
      <c r="BK34" s="168">
        <v>2</v>
      </c>
      <c r="BL34" s="168" t="str">
        <f>IF(OR($BG$40=BK34,$BH$40=BK34,$BI$40=BK34,$BI$41=BK34,$BH$41=BK34),"",BK34)</f>
        <v/>
      </c>
      <c r="BM34" s="175">
        <v>5</v>
      </c>
      <c r="BV34" s="292" t="s">
        <v>5494</v>
      </c>
      <c r="BW34" s="223" t="str" cm="1">
        <f t="array" ref="BW34">_xlfn.SINGLE(_xlfn.XLOOKUP(A11&amp;A7,G18:G32&amp;V18:V32,N18:N32,_xlfn.XLOOKUP(A7&amp;A11,G18:G32&amp;V18:V32,P18:P32,"",0,1),0,1))</f>
        <v/>
      </c>
      <c r="BX34" s="223" t="str" cm="1">
        <f t="array" ref="BX34">_xlfn.XLOOKUP(A11&amp;A7,G18:G32&amp;V18:V32,P18:P32,_xlfn.XLOOKUP(A7&amp;A11,G18:G32&amp;V18:V32,N18:N32,"",0,1),0,1)</f>
        <v/>
      </c>
      <c r="BY34" s="223" t="str" cm="1">
        <f t="array" ref="BY34">_xlfn.XLOOKUP(A11&amp;A7,$G$18:$G$32&amp;$V$18:$V$32,$M$18:$M$32,"",0,1)</f>
        <v/>
      </c>
      <c r="BZ34" s="223" t="str" cm="1">
        <f t="array" ref="BZ34">_xlfn.XLOOKUP(A11&amp;A7,$G$18:$G$32&amp;$V$18:$V$32,$Q$18:$Q$32,"",0,1)</f>
        <v/>
      </c>
      <c r="CA34" s="223" t="str" cm="1">
        <f t="array" ref="CA34">_xlfn.XLOOKUP(A11&amp;A7,G18:G32&amp;V18:V32,O18:O32,_xlfn.XLOOKUP(A7&amp;A11,G18:G32&amp;V18:V32,O18:O32,"",0,1),0,1)</f>
        <v/>
      </c>
      <c r="CB34" s="293" t="str" cm="1">
        <f t="array" ref="CB34">_xlfn.XLOOKUP(A11&amp;A7,G18:G32&amp;V18:V32,A18:A32,"",0,1)</f>
        <v/>
      </c>
      <c r="CC34" s="237" t="str">
        <f>IF(COUNTBLANK($AO$6:$AO$11)=2,SUM(BW34,BX11),IF(BW34="",BX11,BW34))</f>
        <v/>
      </c>
      <c r="CD34" s="223" t="str">
        <f>IF(CC34="Ab.","",IF(BY34="",BZ11,BY34))</f>
        <v/>
      </c>
      <c r="CE34" s="223" t="str">
        <f t="shared" si="20"/>
        <v/>
      </c>
      <c r="CF34" s="294" t="str">
        <f>IF(CB34="",CB11,CB34)</f>
        <v/>
      </c>
      <c r="CG34" s="295" t="str" cm="1">
        <f t="array" ref="CG34">_xlfn.XLOOKUP(BV34,$G$18:$G$32&amp;"-"&amp;$V$18:$V$32,$D$18:$D$32,_xlfn.XLOOKUP(BV11,$G$18:$G$32&amp;"-"&amp;$V$18:$V$32,$X$18:$X$32,"",0,1),0,1)</f>
        <v/>
      </c>
      <c r="CH34" s="295" t="str" cm="1">
        <f t="array" ref="CH34">_xlfn.XLOOKUP(BV34,$G$18:$G$32&amp;"-"&amp;$V$18:$V$32,$AS$18:$AS$32,_xlfn.XLOOKUP(BV11,$G$18:$G$32&amp;"-"&amp;$V$18:$V$32,$AT$18:$AT$32,"",0,1),0,1)</f>
        <v/>
      </c>
      <c r="CI34" s="818"/>
      <c r="CJ34" s="821"/>
      <c r="CK34" s="557">
        <f t="shared" si="21"/>
        <v>2</v>
      </c>
      <c r="CL34" s="557" t="b">
        <f t="shared" si="19"/>
        <v>0</v>
      </c>
    </row>
    <row r="35" spans="2:90" ht="18.95" customHeight="1" thickBot="1" x14ac:dyDescent="0.35">
      <c r="B35" s="750" t="str">
        <f>"CLASSEMENT"&amp;" "&amp;K13&amp;" "&amp;L13</f>
        <v>CLASSEMENT Poule A</v>
      </c>
      <c r="C35" s="751"/>
      <c r="D35" s="751"/>
      <c r="E35" s="751"/>
      <c r="F35" s="751"/>
      <c r="G35" s="751"/>
      <c r="H35" s="751"/>
      <c r="I35" s="751"/>
      <c r="J35" s="751"/>
      <c r="K35" s="751"/>
      <c r="L35" s="751"/>
      <c r="M35" s="751"/>
      <c r="N35" s="751"/>
      <c r="O35" s="751"/>
      <c r="P35" s="751"/>
      <c r="Q35" s="751"/>
      <c r="R35" s="752"/>
      <c r="S35" s="753"/>
      <c r="U35" s="813" t="s">
        <v>8105</v>
      </c>
      <c r="V35" s="814"/>
      <c r="W35" s="815" t="s">
        <v>63</v>
      </c>
      <c r="X35" s="816"/>
      <c r="AA35" s="719"/>
      <c r="BB35" s="266"/>
      <c r="BC35" s="182">
        <v>3</v>
      </c>
      <c r="BD35" s="168" t="b">
        <v>0</v>
      </c>
      <c r="BE35" s="168" t="b">
        <v>0</v>
      </c>
      <c r="BF35" s="168">
        <v>0</v>
      </c>
      <c r="BG35" s="168">
        <v>0</v>
      </c>
      <c r="BH35" s="170"/>
      <c r="BI35" s="170"/>
      <c r="BJ35" s="170"/>
      <c r="BK35" s="168">
        <v>3</v>
      </c>
      <c r="BL35" s="168" t="str">
        <f>IF(OR($BG$40=BK35,$BH$40=BK35,$BI$40=BK35,$BI$41=BK35,$BH$41=BK35),"",BK35)</f>
        <v/>
      </c>
      <c r="BM35" s="175" t="str">
        <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1" t="str" cm="1">
        <f t="array" ref="CH35">_xlfn.XLOOKUP(BV35,$G$18:$G$32&amp;"-"&amp;$V$18:$V$32,$AS$18:$AS$32,_xlfn.XLOOKUP(BV6,$G$18:$G$32&amp;"-"&amp;$V$18:$V$32,$AT$18:$AT$32,"",0,1),0,1)</f>
        <v/>
      </c>
      <c r="CI35" s="819"/>
      <c r="CJ35" s="822"/>
      <c r="CK35" s="557">
        <f t="shared" si="21"/>
        <v>1</v>
      </c>
      <c r="CL35" s="557" t="b">
        <f t="shared" si="19"/>
        <v>0</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53"/>
      <c r="AE36" s="553" t="s">
        <v>14</v>
      </c>
      <c r="AN36" s="244"/>
      <c r="AO36" s="248"/>
      <c r="BB36" s="266"/>
      <c r="BC36" s="182" t="b">
        <v>0</v>
      </c>
      <c r="BD36" s="168" t="b">
        <v>0</v>
      </c>
      <c r="BE36" s="168">
        <v>0</v>
      </c>
      <c r="BF36" s="168">
        <v>0</v>
      </c>
      <c r="BG36" s="168">
        <v>0</v>
      </c>
      <c r="BH36" s="170"/>
      <c r="BI36" s="170"/>
      <c r="BJ36" s="170"/>
      <c r="BK36" s="168">
        <v>4</v>
      </c>
      <c r="BL36" s="168">
        <f>IF(OR($BG$40=BK36,$BH$40=BK36,$BI$40=BK36,$BI$41=BK36,$BH$41=BK36),"",BK36)</f>
        <v>4</v>
      </c>
      <c r="BM36" s="175" t="str">
        <v/>
      </c>
    </row>
    <row r="37" spans="2:90" ht="14.45" customHeight="1" x14ac:dyDescent="0.25">
      <c r="B37" s="37" t="str" cm="1">
        <f t="array" ref="B37:B39">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154178K</v>
      </c>
      <c r="C37" s="756" t="str">
        <f t="shared" ref="C37:C42" si="35">_xlfn.XLOOKUP(B37,$B$6:$B$11,$C$6:$C$11,"",0,1)</f>
        <v>PONCE</v>
      </c>
      <c r="D37" s="756"/>
      <c r="E37" s="756" t="str">
        <f t="shared" ref="E37:E42" si="36">_xlfn.XLOOKUP(B37,$B$6:$B$11,$E$6:$E$11,"",0,1)</f>
        <v>FREDERIC</v>
      </c>
      <c r="F37" s="756"/>
      <c r="G37" s="756" t="str">
        <f t="shared" ref="G37:G42" si="37">_xlfn.XLOOKUP(B37,$B$6:$B$11,$G$6:$G$11,"",0,1)</f>
        <v>ACADEMIE DE BILLARD DE MAISONS ALFORT</v>
      </c>
      <c r="H37" s="756"/>
      <c r="I37" s="756"/>
      <c r="J37" s="756"/>
      <c r="K37" s="756"/>
      <c r="L37" s="756"/>
      <c r="M37" s="38">
        <f t="shared" ref="M37:M42" si="38">IF(B37="","",_xlfn.XLOOKUP(B37,$B$6:$B$11,$V$6:$V$11,"",0,1))</f>
        <v>4</v>
      </c>
      <c r="N37" s="102">
        <f t="shared" ref="N37:N42" si="39">IF(B37="","",_xlfn.XLOOKUP(B37,$B$6:$B$11,$T$6:$T$11,"",0,1))</f>
        <v>2.7777777777777777</v>
      </c>
      <c r="O37" s="102">
        <f t="shared" ref="O37:O42" si="40">IF(B37="","",_xlfn.XLOOKUP(B37,$B$6:$B$11,$U$6:$U$11,"",0,1))</f>
        <v>2.8571428571428572</v>
      </c>
      <c r="P37" s="351">
        <f t="shared" ref="P37:P42" si="41">IF(B37="","",_xlfn.XLOOKUP(B37,$B$6:$B$11,$S$6:$S$11,"",0,1))</f>
        <v>14</v>
      </c>
      <c r="Q37" s="101">
        <f>IF(B37="","",1)</f>
        <v>1</v>
      </c>
      <c r="R37" s="37" cm="1">
        <f t="array" ref="R37:S37">IF('GESTION DES JOUEURS'!$D$8="Open",_xlfn.XLOOKUP(B37,$B$6:$B$11,$AF$6:$AG$11,"",0,1),_xlfn.XLOOKUP(B37,$B$6:$B$11,$W$6:$X$11,"",0,1))</f>
        <v>8</v>
      </c>
      <c r="S37" s="40">
        <v>2</v>
      </c>
      <c r="U37" s="741" t="str">
        <f>"TABLEAU "&amp;CHAR(10)&amp;B2</f>
        <v>TABLEAU 
Poule A</v>
      </c>
      <c r="V37" s="742"/>
      <c r="W37" s="742"/>
      <c r="X37" s="743"/>
      <c r="AA37" s="733" t="s">
        <v>9888</v>
      </c>
      <c r="AE37" s="443" t="str">
        <f>IF(Q37=1,"",M37)</f>
        <v/>
      </c>
      <c r="AN37" s="244"/>
      <c r="AO37" s="248"/>
      <c r="BB37" s="266"/>
      <c r="BC37" s="182" t="b">
        <v>0</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157535J</v>
      </c>
      <c r="C38" s="728" t="str">
        <f t="shared" si="35"/>
        <v>PIBOURDIN</v>
      </c>
      <c r="D38" s="728"/>
      <c r="E38" s="728" t="str">
        <f t="shared" si="36"/>
        <v>ERIC</v>
      </c>
      <c r="F38" s="728"/>
      <c r="G38" s="728" t="str">
        <f t="shared" si="37"/>
        <v>ACADEMIE DE BILLARD DE MAISONS ALFORT</v>
      </c>
      <c r="H38" s="728"/>
      <c r="I38" s="728"/>
      <c r="J38" s="728"/>
      <c r="K38" s="728"/>
      <c r="L38" s="728"/>
      <c r="M38" s="42">
        <f t="shared" si="38"/>
        <v>2</v>
      </c>
      <c r="N38" s="104">
        <f t="shared" si="39"/>
        <v>2.2857142857142856</v>
      </c>
      <c r="O38" s="104">
        <f t="shared" si="40"/>
        <v>2.125</v>
      </c>
      <c r="P38" s="352">
        <f t="shared" si="41"/>
        <v>23</v>
      </c>
      <c r="Q38" s="103">
        <f>IF(AO4&lt;2,"",2)</f>
        <v>2</v>
      </c>
      <c r="R38" s="357" cm="1">
        <f t="array" ref="R38:S38">IF('GESTION DES JOUEURS'!$D$8="Open",_xlfn.XLOOKUP(B38,$B$6:$B$11,$AF$6:$AG$11,"",0,1),_xlfn.XLOOKUP(B38,$B$6:$B$11,$W$6:$X$11,"",0,1))</f>
        <v>5</v>
      </c>
      <c r="S38" s="44">
        <v>2</v>
      </c>
      <c r="U38" s="744"/>
      <c r="V38" s="745"/>
      <c r="W38" s="745"/>
      <c r="X38" s="746"/>
      <c r="AA38" s="734"/>
      <c r="AE38" s="443">
        <f t="shared" ref="AE38:AE42" si="42">IF(Q38=1,"",M38)</f>
        <v>2</v>
      </c>
      <c r="AN38" s="244"/>
      <c r="AO38" s="248"/>
      <c r="BB38" s="266"/>
      <c r="BC38" s="170"/>
      <c r="BD38" s="170"/>
      <c r="BE38" s="170"/>
      <c r="BF38" s="170"/>
      <c r="BG38" s="170"/>
      <c r="BH38" s="170"/>
      <c r="BI38" s="170"/>
      <c r="BJ38" s="170"/>
      <c r="BK38" s="169"/>
      <c r="BL38" s="170"/>
      <c r="BM38" s="176"/>
    </row>
    <row r="39" spans="2:90" ht="14.45" customHeight="1" thickBot="1" x14ac:dyDescent="0.3">
      <c r="B39" s="41" t="str">
        <v>013335x</v>
      </c>
      <c r="C39" s="728" t="str">
        <f t="shared" si="35"/>
        <v>HANSEL</v>
      </c>
      <c r="D39" s="728"/>
      <c r="E39" s="728" t="str">
        <f t="shared" si="36"/>
        <v>GERARD</v>
      </c>
      <c r="F39" s="728"/>
      <c r="G39" s="728" t="str">
        <f t="shared" si="37"/>
        <v>ACADEMIE DE BILLARD DE MAISONS ALFORT</v>
      </c>
      <c r="H39" s="728"/>
      <c r="I39" s="728"/>
      <c r="J39" s="728"/>
      <c r="K39" s="728"/>
      <c r="L39" s="728"/>
      <c r="M39" s="42">
        <f t="shared" si="38"/>
        <v>0</v>
      </c>
      <c r="N39" s="104">
        <f t="shared" si="39"/>
        <v>1.8266666666666667</v>
      </c>
      <c r="O39" s="104" t="str">
        <f t="shared" si="40"/>
        <v>/</v>
      </c>
      <c r="P39" s="352">
        <f t="shared" si="41"/>
        <v>9</v>
      </c>
      <c r="Q39" s="103">
        <f>IF(AO4&lt;3,"",3)</f>
        <v>3</v>
      </c>
      <c r="R39" s="357" cm="1">
        <f t="array" ref="R39:S39">IF('GESTION DES JOUEURS'!$D$8="Open",_xlfn.XLOOKUP(B39,$B$6:$B$11,$AF$6:$AG$11,"",0,1),_xlfn.XLOOKUP(B39,$B$6:$B$11,$W$6:$X$11,"",0,1))</f>
        <v>3</v>
      </c>
      <c r="S39" s="44">
        <v>2</v>
      </c>
      <c r="U39" s="744"/>
      <c r="V39" s="745"/>
      <c r="W39" s="745"/>
      <c r="X39" s="746"/>
      <c r="AE39" s="443">
        <f t="shared" si="42"/>
        <v>0</v>
      </c>
      <c r="AN39" s="244"/>
      <c r="AO39" s="248"/>
      <c r="BB39" s="266"/>
      <c r="BC39" s="170"/>
      <c r="BD39" s="170"/>
      <c r="BE39" s="170"/>
      <c r="BF39" s="170"/>
      <c r="BG39" s="170">
        <f>IF(BG40=FALSE,BF39+1,BF39)</f>
        <v>0</v>
      </c>
      <c r="BH39" s="170">
        <f>IF(BH40=FALSE,BG39+1,BG39)</f>
        <v>0</v>
      </c>
      <c r="BI39" s="170">
        <f>IF(BI40=FALSE,BH39+1,BH39)</f>
        <v>1</v>
      </c>
      <c r="BJ39" s="170"/>
      <c r="BK39" s="170"/>
      <c r="BL39" s="170"/>
      <c r="BM39" s="177"/>
    </row>
    <row r="40" spans="2:90" ht="14.45" customHeight="1" x14ac:dyDescent="0.25">
      <c r="B40" s="41"/>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IF('GESTION DES JOUEURS'!$D$8="Open",_xlfn.XLOOKUP(B40,$B$6:$B$11,$AF$6:$AG$11,"",0,1),_xlfn.XLOOKUP(B40,$B$6:$B$11,$W$6:$X$11,"",0,1))</f>
        <v/>
      </c>
      <c r="S40" s="44"/>
      <c r="U40" s="744"/>
      <c r="V40" s="745"/>
      <c r="W40" s="745"/>
      <c r="X40" s="746"/>
      <c r="AA40" s="710" t="s">
        <v>5447</v>
      </c>
      <c r="AE40" s="443" t="str">
        <f t="shared" si="42"/>
        <v/>
      </c>
      <c r="AN40" s="244"/>
      <c r="AO40" s="248"/>
      <c r="BB40" s="266"/>
      <c r="BC40" s="182">
        <f>IF(ISODD(BE13),BD6,IF(AND(ISODD(BF13),ISODD(BJ7)),BE7,IF(AND(ISODD(BG13),ISODD(BJ8)),BF8,IF(AND(ISODD(BH13),ISODD(BJ9)),BG9,IF(ISODD(BI13),BH10)))))</f>
        <v>1</v>
      </c>
      <c r="BD40" s="168">
        <f>IF(ISEVEN(BE13),BD6,IF(ISEVEN(BF13),BE7))</f>
        <v>2</v>
      </c>
      <c r="BE40" s="168">
        <f>IF(ISEVEN(BH13),BG9,IF(ISEVEN(BG13),BF8,IF(ISEVEN(BF13),BE7)))</f>
        <v>2</v>
      </c>
      <c r="BF40" s="170"/>
      <c r="BG40" s="168">
        <f>BC40</f>
        <v>1</v>
      </c>
      <c r="BH40" s="168">
        <f>BD40</f>
        <v>2</v>
      </c>
      <c r="BI40" s="168" t="b">
        <f>IF(AND(BD40=2,BE40=2),FALSE,BE40)</f>
        <v>0</v>
      </c>
      <c r="BJ40" s="170"/>
      <c r="BK40" s="170"/>
      <c r="BL40" s="170"/>
      <c r="BM40" s="177"/>
    </row>
    <row r="41" spans="2:90" ht="14.45" customHeight="1" x14ac:dyDescent="0.25">
      <c r="B41" s="41"/>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IF('GESTION DES JOUEURS'!$D$8="Open",_xlfn.XLOOKUP(B41,$B$6:$B$11,$AF$6:$AG$11,"",0,1),_xlfn.XLOOKUP(B41,$B$6:$B$11,$W$6:$X$11,"",0,1))</f>
        <v/>
      </c>
      <c r="S41" s="44"/>
      <c r="U41" s="744"/>
      <c r="V41" s="745"/>
      <c r="W41" s="745"/>
      <c r="X41" s="746"/>
      <c r="AA41" s="711"/>
      <c r="AE41" s="443" t="str">
        <f t="shared" si="42"/>
        <v/>
      </c>
      <c r="AN41" s="244"/>
      <c r="AO41" s="248"/>
      <c r="BB41" s="266"/>
      <c r="BC41" s="170"/>
      <c r="BD41" s="168">
        <f>_xlfn.XLOOKUP(BD40,$BC$33:$BG$33,$BC$34:$BG$34,FALSE,0,1)</f>
        <v>3</v>
      </c>
      <c r="BE41" s="168">
        <f>_xlfn.XLOOKUP(BE40,$BC$33:$BG$33,$BC$34:$BG$34,FALSE,0,1)</f>
        <v>3</v>
      </c>
      <c r="BF41" s="170"/>
      <c r="BG41" s="170"/>
      <c r="BH41" s="168">
        <f>BD41</f>
        <v>3</v>
      </c>
      <c r="BI41" s="168" t="b">
        <f>IF(AND(BD40=2,BE40=2),FALSE,BE41)</f>
        <v>0</v>
      </c>
      <c r="BJ41" s="170"/>
      <c r="BK41" s="170"/>
      <c r="BL41" s="170"/>
      <c r="BM41" s="177"/>
    </row>
    <row r="42" spans="2:90" ht="15" customHeight="1" thickBot="1" x14ac:dyDescent="0.3">
      <c r="B42" s="45"/>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IF('GESTION DES JOUEURS'!$D$8="Open",_xlfn.XLOOKUP(B42,$B$6:$B$11,$AF$6:$AG$11,"",0,1),_xlfn.XLOOKUP(B42,$B$6:$B$11,$W$6:$X$11,"",0,1))</f>
        <v/>
      </c>
      <c r="S42" s="48"/>
      <c r="U42" s="747"/>
      <c r="V42" s="748"/>
      <c r="W42" s="748"/>
      <c r="X42" s="749"/>
      <c r="AA42" s="712"/>
      <c r="AE42" s="443" t="str">
        <f t="shared" si="42"/>
        <v/>
      </c>
      <c r="AN42" s="244"/>
      <c r="AO42" s="248"/>
      <c r="BB42" s="266"/>
      <c r="BC42" s="170"/>
      <c r="BD42" s="170"/>
      <c r="BE42" s="170"/>
      <c r="BF42" s="170"/>
      <c r="BG42" s="170"/>
      <c r="BH42" s="170">
        <f>IF(BH41=FALSE,BI42+1,BI42)</f>
        <v>2</v>
      </c>
      <c r="BI42" s="170">
        <f>IF(BI41=FALSE,BI39+1,BI39)</f>
        <v>2</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4</v>
      </c>
      <c r="BF44" s="171">
        <f>IF(SUM(BC33:BC37)=15,4,IF(BI41=FALSE,_xlfn.XLOOKUP(BI42,$BK$33:$BK$37,$BM$33:$BM$37,"",0,1),BI41))</f>
        <v>5</v>
      </c>
      <c r="BG44" s="171">
        <f>IF(SUM(BC33:BC37)=15,5,IF(BH41=FALSE,_xlfn.XLOOKUP(BH42,$BK$33:$BK$37,$BM$33:$BM$37,"",0,1),BH41))</f>
        <v>3</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7" spans="2:90"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idden="1" x14ac:dyDescent="0.25">
      <c r="BB48" s="724"/>
      <c r="BC48" s="186">
        <v>2</v>
      </c>
      <c r="BD48" s="185">
        <v>3</v>
      </c>
      <c r="BE48" s="185" t="b">
        <v>0</v>
      </c>
      <c r="BF48" s="185">
        <v>0</v>
      </c>
      <c r="BG48" s="191"/>
      <c r="BH48" s="191"/>
      <c r="BI48" s="191"/>
      <c r="BJ48" s="191"/>
      <c r="BK48" s="185">
        <v>2</v>
      </c>
      <c r="BL48" s="185" t="str">
        <f>IF(OR($BD$53=BK48,$BE$53=BK48,$BE$54=BK48,$BD$54=BK48),"",BK48)</f>
        <v/>
      </c>
      <c r="BM48" s="192">
        <v>4</v>
      </c>
    </row>
    <row r="49" spans="25:65" hidden="1" x14ac:dyDescent="0.25">
      <c r="BB49" s="724"/>
      <c r="BC49" s="186">
        <v>3</v>
      </c>
      <c r="BD49" s="185" t="b">
        <v>0</v>
      </c>
      <c r="BE49" s="185">
        <v>0</v>
      </c>
      <c r="BF49" s="185">
        <v>0</v>
      </c>
      <c r="BG49" s="191"/>
      <c r="BH49" s="191"/>
      <c r="BI49" s="191"/>
      <c r="BJ49" s="191"/>
      <c r="BK49" s="185">
        <v>3</v>
      </c>
      <c r="BL49" s="185" t="str">
        <f>IF(OR($BD$53=BK49,$BE$53=BK49,$BE$54=BK49,$BD$54=BK49),"",BK49)</f>
        <v/>
      </c>
      <c r="BM49" s="192" t="str">
        <v/>
      </c>
    </row>
    <row r="50" spans="25:65" hidden="1" x14ac:dyDescent="0.25">
      <c r="BB50" s="724"/>
      <c r="BC50" s="186" t="b">
        <v>0</v>
      </c>
      <c r="BD50" s="185">
        <v>0</v>
      </c>
      <c r="BE50" s="185">
        <v>0</v>
      </c>
      <c r="BF50" s="185">
        <v>0</v>
      </c>
      <c r="BG50" s="191"/>
      <c r="BH50" s="191"/>
      <c r="BI50" s="191"/>
      <c r="BJ50" s="191"/>
      <c r="BK50" s="185">
        <v>4</v>
      </c>
      <c r="BL50" s="185">
        <f>IF(OR($BD$53=BK50,$BE$53=BK50,$BE$54=BK50,$BD$54=BK50),"",BK50)</f>
        <v>4</v>
      </c>
      <c r="BM50" s="192" t="str">
        <v/>
      </c>
    </row>
    <row r="51" spans="25:65" hidden="1" x14ac:dyDescent="0.25">
      <c r="BB51" s="724"/>
      <c r="BC51" s="191"/>
      <c r="BD51" s="191"/>
      <c r="BE51" s="191"/>
      <c r="BF51" s="191"/>
      <c r="BG51" s="191"/>
      <c r="BH51" s="191"/>
      <c r="BI51" s="191"/>
      <c r="BJ51" s="191"/>
      <c r="BK51" s="191"/>
      <c r="BL51" s="191"/>
      <c r="BM51" s="193"/>
    </row>
    <row r="52" spans="25:65" hidden="1" x14ac:dyDescent="0.25">
      <c r="BB52" s="724"/>
      <c r="BC52" s="191"/>
      <c r="BD52" s="191">
        <f>IF(BD53=FALSE,BC52+1,BC52)</f>
        <v>1</v>
      </c>
      <c r="BE52" s="191">
        <f>IF(BE53=FALSE,BD52+1,BD52)</f>
        <v>1</v>
      </c>
      <c r="BF52" s="191"/>
      <c r="BG52" s="191"/>
      <c r="BH52" s="191"/>
      <c r="BI52" s="191"/>
      <c r="BJ52" s="191"/>
      <c r="BK52" s="191"/>
      <c r="BL52" s="191"/>
      <c r="BM52" s="193"/>
    </row>
    <row r="53" spans="25:65" hidden="1" x14ac:dyDescent="0.25">
      <c r="BB53" s="724"/>
      <c r="BC53" s="191"/>
      <c r="BD53" s="185" t="b">
        <f>IF(ISEVEN(BE14),BD6)</f>
        <v>0</v>
      </c>
      <c r="BE53" s="185">
        <f>IF(ISEVEN(BF14),BE7,IF(ISEVEN(BG14),BF8))</f>
        <v>2</v>
      </c>
      <c r="BF53" s="191"/>
      <c r="BG53" s="191"/>
      <c r="BH53" s="191"/>
      <c r="BI53" s="191"/>
      <c r="BJ53" s="191"/>
      <c r="BK53" s="191"/>
      <c r="BL53" s="191"/>
      <c r="BM53" s="193"/>
    </row>
    <row r="54" spans="25:65" hidden="1" x14ac:dyDescent="0.25">
      <c r="BB54" s="724"/>
      <c r="BC54" s="191"/>
      <c r="BD54" s="185" t="b">
        <f>_xlfn.XLOOKUP(BD53,$BC$47:$BF$47,$BC$48:$BF$48,FALSE,0,1)</f>
        <v>0</v>
      </c>
      <c r="BE54" s="185">
        <f>_xlfn.XLOOKUP(BE53,$BC$47:$BF$47,$BC$48:$BF$48,FALSE,0,1)</f>
        <v>3</v>
      </c>
      <c r="BF54" s="191"/>
      <c r="BG54" s="191"/>
      <c r="BH54" s="191"/>
      <c r="BI54" s="191"/>
      <c r="BJ54" s="191"/>
      <c r="BK54" s="191"/>
      <c r="BL54" s="191"/>
      <c r="BM54" s="193"/>
    </row>
    <row r="55" spans="25:65" hidden="1" x14ac:dyDescent="0.25">
      <c r="BB55" s="724"/>
      <c r="BC55" s="191"/>
      <c r="BD55" s="191">
        <f>IF(BD54=FALSE,BE55+1,BE55)</f>
        <v>2</v>
      </c>
      <c r="BE55" s="191">
        <f>IF(BE54=FALSE,BE52+1,BE52)</f>
        <v>1</v>
      </c>
      <c r="BF55" s="191"/>
      <c r="BG55" s="191"/>
      <c r="BH55" s="191"/>
      <c r="BI55" s="191"/>
      <c r="BJ55" s="191"/>
      <c r="BK55" s="191"/>
      <c r="BL55" s="191"/>
      <c r="BM55" s="193"/>
    </row>
    <row r="56" spans="25:65" hidden="1" x14ac:dyDescent="0.25">
      <c r="BB56" s="724"/>
      <c r="BC56" s="191"/>
      <c r="BD56" s="191"/>
      <c r="BE56" s="191"/>
      <c r="BF56" s="191"/>
      <c r="BG56" s="191"/>
      <c r="BH56" s="191"/>
      <c r="BI56" s="191"/>
      <c r="BJ56" s="191"/>
      <c r="BK56" s="191"/>
      <c r="BL56" s="191"/>
      <c r="BM56" s="193"/>
    </row>
    <row r="57" spans="25:6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idden="1" x14ac:dyDescent="0.25">
      <c r="Y59" s="247"/>
      <c r="Z59" s="247"/>
    </row>
    <row r="60" spans="25:6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t="str" cm="1">
        <f t="array" ref="BM60:BM62">_xlfn._xlws.SORT(BL60:BL62)</f>
        <v/>
      </c>
    </row>
    <row r="61" spans="25:65" hidden="1" x14ac:dyDescent="0.25">
      <c r="Y61" s="247"/>
      <c r="Z61" s="247"/>
      <c r="BB61" s="724"/>
      <c r="BC61" s="204">
        <v>2</v>
      </c>
      <c r="BD61" s="205">
        <v>3</v>
      </c>
      <c r="BE61" s="205">
        <v>0</v>
      </c>
      <c r="BF61" s="206"/>
      <c r="BG61" s="206"/>
      <c r="BH61" s="206"/>
      <c r="BI61" s="206"/>
      <c r="BJ61" s="206"/>
      <c r="BK61" s="205">
        <v>2</v>
      </c>
      <c r="BL61" s="205" t="str">
        <f>IF(OR($BD$65=BK61,$BE$65=BK61,$BE$66=BK61),"",BK61)</f>
        <v/>
      </c>
      <c r="BM61" s="207" t="str">
        <v/>
      </c>
    </row>
    <row r="62" spans="25:65" hidden="1" x14ac:dyDescent="0.25">
      <c r="Y62" s="247"/>
      <c r="Z62" s="247"/>
      <c r="BB62" s="724"/>
      <c r="BC62" s="204">
        <v>3</v>
      </c>
      <c r="BD62" s="205">
        <v>0</v>
      </c>
      <c r="BE62" s="205">
        <v>0</v>
      </c>
      <c r="BF62" s="206"/>
      <c r="BG62" s="206"/>
      <c r="BH62" s="206"/>
      <c r="BI62" s="206"/>
      <c r="BJ62" s="206"/>
      <c r="BK62" s="205">
        <v>3</v>
      </c>
      <c r="BL62" s="205" t="str">
        <f>IF(OR($BD$65=BK62,$BE$65=BK62,$BE$66=BK62),"",BK62)</f>
        <v/>
      </c>
      <c r="BM62" s="207" t="str">
        <v/>
      </c>
    </row>
    <row r="63" spans="25:65" hidden="1" x14ac:dyDescent="0.25">
      <c r="Y63" s="247"/>
      <c r="Z63" s="247"/>
      <c r="BB63" s="724"/>
      <c r="BC63" s="208"/>
      <c r="BD63" s="206"/>
      <c r="BE63" s="206"/>
      <c r="BF63" s="206"/>
      <c r="BG63" s="206"/>
      <c r="BH63" s="206"/>
      <c r="BI63" s="206"/>
      <c r="BJ63" s="206"/>
      <c r="BK63" s="206"/>
      <c r="BL63" s="206"/>
      <c r="BM63" s="209"/>
    </row>
    <row r="64" spans="25:65" hidden="1" x14ac:dyDescent="0.25">
      <c r="BB64" s="724"/>
      <c r="BC64" s="208"/>
      <c r="BD64" s="206">
        <f>IF(BD65=FALSE,BC64+1,BC64)</f>
        <v>0</v>
      </c>
      <c r="BE64" s="206">
        <f>IF(BE65=FALSE,BD64+1,BD64)</f>
        <v>0</v>
      </c>
      <c r="BF64" s="206"/>
      <c r="BG64" s="206"/>
      <c r="BH64" s="206"/>
      <c r="BI64" s="206"/>
      <c r="BJ64" s="206"/>
      <c r="BK64" s="206"/>
      <c r="BL64" s="206"/>
      <c r="BM64" s="209"/>
    </row>
    <row r="65" spans="54:65" hidden="1" x14ac:dyDescent="0.25">
      <c r="BB65" s="724"/>
      <c r="BC65" s="208"/>
      <c r="BD65" s="210">
        <f>IF(ISODD(BE15),BD6,IF(AND(ISODD(BF15),ISODD(BJ7)),BE7,IF(ISODD(BG15),BF8)))</f>
        <v>1</v>
      </c>
      <c r="BE65" s="205">
        <f>IF(ISEVEN(BE15),BD6,IF(ISEVEN(BF15),BE7))</f>
        <v>2</v>
      </c>
      <c r="BF65" s="206"/>
      <c r="BG65" s="206"/>
      <c r="BH65" s="206"/>
      <c r="BI65" s="206"/>
      <c r="BJ65" s="206"/>
      <c r="BK65" s="206"/>
      <c r="BL65" s="206"/>
      <c r="BM65" s="209"/>
    </row>
    <row r="66" spans="54:65" hidden="1" x14ac:dyDescent="0.25">
      <c r="BB66" s="724"/>
      <c r="BC66" s="208"/>
      <c r="BD66" s="206"/>
      <c r="BE66" s="205">
        <f>_xlfn.XLOOKUP(BE65,$BC$60:$BE$60,$BC$61:$BE$61,FALSE,0,1)</f>
        <v>3</v>
      </c>
      <c r="BF66" s="206"/>
      <c r="BG66" s="206"/>
      <c r="BH66" s="206"/>
      <c r="BI66" s="206"/>
      <c r="BJ66" s="206"/>
      <c r="BK66" s="206"/>
      <c r="BL66" s="206"/>
      <c r="BM66" s="209"/>
    </row>
    <row r="67" spans="54:65" hidden="1" x14ac:dyDescent="0.25">
      <c r="BB67" s="724"/>
      <c r="BC67" s="208"/>
      <c r="BD67" s="206"/>
      <c r="BE67" s="206">
        <f>IF(BE66=FALSE,BE64+1,BE64)</f>
        <v>0</v>
      </c>
      <c r="BF67" s="206"/>
      <c r="BG67" s="206"/>
      <c r="BH67" s="206"/>
      <c r="BI67" s="206"/>
      <c r="BJ67" s="206"/>
      <c r="BK67" s="206"/>
      <c r="BL67" s="206"/>
      <c r="BM67" s="209"/>
    </row>
    <row r="68" spans="54:65" hidden="1" x14ac:dyDescent="0.25">
      <c r="BB68" s="724"/>
      <c r="BC68" s="208"/>
      <c r="BD68" s="206"/>
      <c r="BE68" s="206"/>
      <c r="BF68" s="206"/>
      <c r="BG68" s="206"/>
      <c r="BH68" s="206"/>
      <c r="BI68" s="206"/>
      <c r="BJ68" s="206"/>
      <c r="BK68" s="206"/>
      <c r="BL68" s="206"/>
      <c r="BM68" s="209"/>
    </row>
    <row r="69" spans="54:6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91YsuaNF30i/QuT6HcDkzYGuiiIJmOHrclTVLGkKnnqugP7Mdxiw+/lKAWxRmQGnd19D4166DQ+6oA3gpnjJfQ==" saltValue="/ewF2oZ/9bmPRwTKcALczg=="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AA34:AA35"/>
    <mergeCell ref="AS16:AT16"/>
    <mergeCell ref="AU16:AV16"/>
    <mergeCell ref="AW16:AX16"/>
    <mergeCell ref="AA29:AA30"/>
    <mergeCell ref="AA31:AA32"/>
    <mergeCell ref="BB17:BB31"/>
    <mergeCell ref="C41:D41"/>
    <mergeCell ref="C42:D42"/>
    <mergeCell ref="M13:Q13"/>
    <mergeCell ref="AA4:AA5"/>
    <mergeCell ref="AA7:AA8"/>
    <mergeCell ref="AA9:AA10"/>
    <mergeCell ref="AA11:AA12"/>
    <mergeCell ref="AA13:AA14"/>
    <mergeCell ref="AA15:AA16"/>
    <mergeCell ref="AA17:AA18"/>
    <mergeCell ref="AA19:AA20"/>
    <mergeCell ref="AA21:AA22"/>
    <mergeCell ref="AA23:AA24"/>
    <mergeCell ref="AA25:AA26"/>
    <mergeCell ref="AA27:AA28"/>
    <mergeCell ref="E11:F11"/>
    <mergeCell ref="G6:H6"/>
    <mergeCell ref="G7:H7"/>
    <mergeCell ref="G8:H8"/>
    <mergeCell ref="G9:H9"/>
    <mergeCell ref="U35:V35"/>
    <mergeCell ref="W35:X35"/>
    <mergeCell ref="B4:N4"/>
    <mergeCell ref="F13:J13"/>
    <mergeCell ref="G14:H14"/>
    <mergeCell ref="J14:K14"/>
    <mergeCell ref="BR5:BT5"/>
    <mergeCell ref="AR4:AR11"/>
    <mergeCell ref="G5:H5"/>
    <mergeCell ref="E5:F5"/>
    <mergeCell ref="E6:F6"/>
    <mergeCell ref="E7:F7"/>
    <mergeCell ref="E8:F8"/>
    <mergeCell ref="E9:F9"/>
    <mergeCell ref="E10:F10"/>
    <mergeCell ref="H18:J18"/>
    <mergeCell ref="H19:J19"/>
    <mergeCell ref="K18:L18"/>
    <mergeCell ref="K19:L19"/>
    <mergeCell ref="K32:L32"/>
    <mergeCell ref="H20:J20"/>
    <mergeCell ref="H21:J21"/>
    <mergeCell ref="H22:J22"/>
    <mergeCell ref="B2:X2"/>
    <mergeCell ref="H17:J17"/>
    <mergeCell ref="K17:L17"/>
    <mergeCell ref="D16:N16"/>
    <mergeCell ref="D15:X15"/>
    <mergeCell ref="T14:X14"/>
    <mergeCell ref="S13:X13"/>
    <mergeCell ref="P4:X4"/>
    <mergeCell ref="B13:E13"/>
    <mergeCell ref="B14:D14"/>
    <mergeCell ref="M14:Q14"/>
    <mergeCell ref="C10:D10"/>
    <mergeCell ref="C8:D8"/>
    <mergeCell ref="B15:C15"/>
    <mergeCell ref="G10:H10"/>
    <mergeCell ref="G11:H11"/>
    <mergeCell ref="BB60:BB70"/>
    <mergeCell ref="C5:D5"/>
    <mergeCell ref="E36:F36"/>
    <mergeCell ref="G36:L36"/>
    <mergeCell ref="C6:D6"/>
    <mergeCell ref="E37:F37"/>
    <mergeCell ref="G37:L37"/>
    <mergeCell ref="C7:D7"/>
    <mergeCell ref="E38:F38"/>
    <mergeCell ref="G38:L38"/>
    <mergeCell ref="C9:D9"/>
    <mergeCell ref="R18:S18"/>
    <mergeCell ref="R19:S19"/>
    <mergeCell ref="R20:S20"/>
    <mergeCell ref="R21:S21"/>
    <mergeCell ref="R22:S22"/>
    <mergeCell ref="E41:F41"/>
    <mergeCell ref="B33:W33"/>
    <mergeCell ref="B16:B17"/>
    <mergeCell ref="C16:C17"/>
    <mergeCell ref="P16:X16"/>
    <mergeCell ref="H23:J23"/>
    <mergeCell ref="H24:J24"/>
    <mergeCell ref="H25:J25"/>
    <mergeCell ref="C11:D11"/>
    <mergeCell ref="E42:F42"/>
    <mergeCell ref="G42:L42"/>
    <mergeCell ref="H31:J31"/>
    <mergeCell ref="H32:J32"/>
    <mergeCell ref="K20:L20"/>
    <mergeCell ref="U37:X42"/>
    <mergeCell ref="B35:S35"/>
    <mergeCell ref="C36:D36"/>
    <mergeCell ref="C37:D37"/>
    <mergeCell ref="C38:D38"/>
    <mergeCell ref="C39:D39"/>
    <mergeCell ref="C40:D40"/>
    <mergeCell ref="R27:S27"/>
    <mergeCell ref="R28:S28"/>
    <mergeCell ref="R29:S29"/>
    <mergeCell ref="R30:S30"/>
    <mergeCell ref="R31:S31"/>
    <mergeCell ref="R32:S32"/>
    <mergeCell ref="R17:S17"/>
    <mergeCell ref="H26:J26"/>
    <mergeCell ref="H27:J27"/>
    <mergeCell ref="H28:J28"/>
    <mergeCell ref="H29:J29"/>
    <mergeCell ref="BB47:BB58"/>
    <mergeCell ref="K21:L21"/>
    <mergeCell ref="K22:L22"/>
    <mergeCell ref="K23:L23"/>
    <mergeCell ref="K24:L24"/>
    <mergeCell ref="K25:L25"/>
    <mergeCell ref="E39:F39"/>
    <mergeCell ref="G39:L39"/>
    <mergeCell ref="E40:F40"/>
    <mergeCell ref="G40:L40"/>
    <mergeCell ref="K26:L26"/>
    <mergeCell ref="K27:L27"/>
    <mergeCell ref="K28:L28"/>
    <mergeCell ref="K29:L29"/>
    <mergeCell ref="K30:L30"/>
    <mergeCell ref="K31:L31"/>
    <mergeCell ref="G41:L41"/>
    <mergeCell ref="H30:J30"/>
    <mergeCell ref="R23:S23"/>
    <mergeCell ref="R24:S24"/>
    <mergeCell ref="R25:S25"/>
    <mergeCell ref="R26:S26"/>
    <mergeCell ref="AA37:AA38"/>
    <mergeCell ref="AA40:AA42"/>
  </mergeCells>
  <conditionalFormatting sqref="B18:Y32">
    <cfRule type="expression" dxfId="2202" priority="3">
      <formula>$B18=""</formula>
    </cfRule>
  </conditionalFormatting>
  <conditionalFormatting sqref="B19:Y32">
    <cfRule type="expression" dxfId="2201" priority="2">
      <formula>$B18=MAX($B$18:$B$32)</formula>
    </cfRule>
  </conditionalFormatting>
  <conditionalFormatting sqref="E18:E32 W18:W32">
    <cfRule type="expression" dxfId="2200" priority="4">
      <formula>LEFT($B$15)="3"</formula>
    </cfRule>
  </conditionalFormatting>
  <conditionalFormatting sqref="L13">
    <cfRule type="expression" dxfId="2199" priority="37">
      <formula>$F$13&lt;&gt;"FINALE"</formula>
    </cfRule>
  </conditionalFormatting>
  <conditionalFormatting sqref="T6:U11 N37:O42">
    <cfRule type="expression" dxfId="2198" priority="38">
      <formula>LEFT($B$15)="3"</formula>
    </cfRule>
  </conditionalFormatting>
  <dataValidations count="3">
    <dataValidation type="list" allowBlank="1" showInputMessage="1" showErrorMessage="1" sqref="O7:O11" xr:uid="{4728AAB1-93D9-490E-8857-DBB799CF3AA3}">
      <formula1>"F,1,2,3,4,5,6"</formula1>
    </dataValidation>
    <dataValidation type="list" allowBlank="1" showInputMessage="1" showErrorMessage="1" sqref="W35:X35" xr:uid="{80ADA203-6EDE-40FB-A263-336738D3A116}">
      <formula1>"OUI,NON"</formula1>
    </dataValidation>
    <dataValidation type="list" allowBlank="1" showInputMessage="1" showErrorMessage="1" sqref="O6" xr:uid="{3E4F2F0E-7C82-4C6D-B0C3-52CFDB2D0B41}">
      <formula1>"1,2,3,4,5,6"</formula1>
    </dataValidation>
  </dataValidations>
  <hyperlinks>
    <hyperlink ref="AA4:AA5" location="'GESTION DES JOUEURS'!D4" display="GESTION DES JOUEURS" xr:uid="{D1172381-0EED-4B53-9697-E711D86517B9}"/>
    <hyperlink ref="U37:X42" location="'T PA'!A1" display="'T PA'!A1" xr:uid="{8140A5CF-FCC7-4E9C-AE4B-356C5EB814B0}"/>
    <hyperlink ref="AA9:AA10" location="PA!N18" display="PA!N18" xr:uid="{62A50E99-ABBC-47E0-AEBF-B37BC3712FED}"/>
    <hyperlink ref="AA11:AA12" location="PB!N18" display="Poule B" xr:uid="{E52023B7-D78B-41B9-ACA7-0A0DB6C8CB8A}"/>
    <hyperlink ref="AA13:AA14" location="PC!N18" display="Poule C" xr:uid="{7128E4A3-F7BD-465E-8D92-58B7CEB3EBAA}"/>
    <hyperlink ref="AA15:AA16" location="PD!N18" display="Poule D" xr:uid="{3D92E92F-BFC8-4DAB-A1B6-6AA36CF90678}"/>
    <hyperlink ref="AA17:AA18" location="PE!N18" display="Poule E" xr:uid="{85E2ABE9-F13C-436D-8533-0CA086CF424B}"/>
    <hyperlink ref="AA19:AA20" location="PF!N18" display="Poule F" xr:uid="{7350657C-03C6-4C10-B31F-18DFA946755A}"/>
    <hyperlink ref="AA21:AA22" location="PG!N18" display="Poule G" xr:uid="{AB1B86D7-64FD-4177-845A-3478A5850188}"/>
    <hyperlink ref="AA23:AA24" location="PH!N18" display="Poule H" xr:uid="{E767F185-2844-480D-8EBF-704698B6F045}"/>
    <hyperlink ref="AA25:AA26" location="PI!N18" display="Poule I" xr:uid="{D399D38B-986D-4FA8-A797-DBC0C70F89E8}"/>
    <hyperlink ref="AA27:AA28" location="PJ!N18" display="Poule J" xr:uid="{E5F62992-76F6-452C-80D0-2D6D14773A8F}"/>
    <hyperlink ref="AA29:AA30" location="PK!N18" display="Poule K" xr:uid="{1549BBF9-7D20-424D-9160-F5F37A17700A}"/>
    <hyperlink ref="AA31:AA32" location="PL!N18" display="Poule L" xr:uid="{EA654666-2406-485A-B023-C5EE7841C776}"/>
    <hyperlink ref="AA34:AA35" location="'Phase finale'!A1" display="Phase Finale" xr:uid="{61BAF91E-7BB7-4A94-BA69-DD5824C86024}"/>
    <hyperlink ref="AA37:AA38" location="Consolante!A1" display="Consolante" xr:uid="{698E0578-A654-4B4E-99C5-324E9B9D426B}"/>
    <hyperlink ref="AA40:AA42" location="RESULTATS!A1" display="RESULTATS" xr:uid="{4903DFAC-B31C-4B16-971B-7A320E6D71EF}"/>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4" id="{E561372A-DE0C-46CE-A5B0-96D1C2A22756}">
            <xm:f>'GESTION DES JOUEURS'!$D$8="Open"</xm:f>
            <x14:dxf>
              <numFmt numFmtId="14" formatCode="0.00%"/>
            </x14:dxf>
          </x14:cfRule>
          <xm:sqref>W6:X11 R37:S42</xm:sqref>
        </x14:conditionalFormatting>
        <x14:conditionalFormatting xmlns:xm="http://schemas.microsoft.com/office/excel/2006/main">
          <x14:cfRule type="expression" priority="1" id="{D55F2EC7-8875-4E38-9A48-619423ABA3D0}">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31" id="{00000000-000E-0000-0100-00000C000000}">
            <xm:f>'GESTION DES JOUEURS'!$T$8&lt;2</xm:f>
            <x14:dxf>
              <font>
                <color theme="0" tint="-0.24994659260841701"/>
              </font>
              <fill>
                <patternFill>
                  <bgColor theme="0" tint="-0.24994659260841701"/>
                </patternFill>
              </fill>
            </x14:dxf>
          </x14:cfRule>
          <x14:cfRule type="expression" priority="32" id="{00000000-000E-0000-0100-00000D000000}">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30" id="{00000000-000E-0000-0100-00000B000000}">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29" id="{00000000-000E-0000-0100-00000A000000}">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28" id="{00000000-000E-0000-0100-000009000000}">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27" id="{00000000-000E-0000-0100-000008000000}">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26" id="{00000000-000E-0000-0100-000007000000}">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25" id="{00000000-000E-0000-0100-000006000000}">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24" id="{00000000-000E-0000-0100-000005000000}">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23" id="{00000000-000E-0000-0100-000004000000}">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7" id="{00000000-000E-0000-0100-000003000000}">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6" id="{00000000-000E-0000-0100-000002000000}">
            <xm:f>'GESTION DES JOUEURS'!$T$8=1</xm:f>
            <x14:dxf>
              <font>
                <color theme="0" tint="-0.24994659260841701"/>
              </font>
              <fill>
                <patternFill>
                  <bgColor theme="0" tint="-0.24994659260841701"/>
                </patternFill>
              </fill>
            </x14:dxf>
          </x14:cfRule>
          <x14:cfRule type="expression" priority="18" id="{00000000-000E-0000-0100-000004000000}">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00000000-000E-0000-0100-000002000000}">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AB5CBEB-D3D7-45DC-B3C6-E6A3ADB44592}">
          <x14:formula1>
            <xm:f>IF(AND(_xlfn.XLOOKUP($F18,$B$6:$B$11,$AD$6:$AD$11,"",0,1)&lt;&gt;"N1",_xlfn.XLOOKUP($U18,$B$6:$B$11,$AD$6:$AD$11,"",0,1)&lt;&gt;"N1",$B$15="Cadre N1/N2"),Distances!$B$88:$KP$88,Distances!$B$85:$KQ$85)</xm:f>
          </x14:formula1>
          <xm:sqref>N18:N32 P18:P32</xm:sqref>
        </x14:dataValidation>
        <x14:dataValidation type="list" allowBlank="1" showInputMessage="1" showErrorMessage="1" xr:uid="{2877B312-2298-4A10-BC37-15672BB464D8}">
          <x14:formula1>
            <xm:f>IF(AND(_xlfn.XLOOKUP($F18,$B$6:$B$11,$AD$6:$AD$11,"",0,1)&lt;&gt;"N1",_xlfn.XLOOKUP($U18,$B$6:$B$11,$AD$6:$AD$11,"",0,1)&lt;&gt;"N1",$B$15="Cadre N1/N2"),Distances!$B$89:$KP$89,Distances!$B$86:$KQ$86)</xm:f>
          </x14:formula1>
          <xm:sqref>O18:O32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10E4-7925-4192-B2D0-EB21F1FD5BA4}">
  <sheetPr>
    <tabColor rgb="FFFBC131"/>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8.7109375" style="244" bestFit="1"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1024" t="str">
        <f>'GESTION DES JOUEURS'!M29</f>
        <v>Poule J</v>
      </c>
      <c r="C2" s="1025"/>
      <c r="D2" s="1025"/>
      <c r="E2" s="1025"/>
      <c r="F2" s="1025"/>
      <c r="G2" s="1025"/>
      <c r="H2" s="1025"/>
      <c r="I2" s="1025"/>
      <c r="J2" s="1025"/>
      <c r="K2" s="1025"/>
      <c r="L2" s="1025"/>
      <c r="M2" s="1025"/>
      <c r="N2" s="1025"/>
      <c r="O2" s="1025"/>
      <c r="P2" s="1025"/>
      <c r="Q2" s="1025"/>
      <c r="R2" s="1025"/>
      <c r="S2" s="1025"/>
      <c r="T2" s="1025"/>
      <c r="U2" s="1025"/>
      <c r="V2" s="1025"/>
      <c r="W2" s="1025"/>
      <c r="X2" s="1026"/>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IFERROR(VLOOKUP("J1",'GESTION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JOUEURS'!$Y$8="R",PouleATerminée="X"),_xlfn.XLOOKUP(($AO$4&amp;_xlfn.XLOOKUP(B6,$B$37:$B$42,$Q$37:$Q$42,"",0,1)&amp;_xlfn.XLOOKUP(B6,$B$37:$B$42,PJ!$AE$37:$AE$42,"",0,1)),PTSRKPOULES[Colonne1],PTSRKPOULES[PR 3B],"",0,1),IF(AND('GESTION DES JOUEURS'!$D$8="Poules",'GESTION DES JOUEURS'!$Y$8="JDSR",PouleATerminée="X"),_xlfn.XLOOKUP($AO$4&amp;_xlfn.XLOOKUP(B6,$B$37:$B$42,$Q$37:$Q$42,"",0,1)&amp;_xlfn.XLOOKUP(B6,$B$37:$B$42,PJ!$AE$37:$AE$42,"",0,1),PTSRKPOULES[Colonne1],PTSRKPOULES[PR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IFERROR(VLOOKUP("J2",'GESTION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JOUEURS'!$Y$8="R",PouleATerminée="X"),_xlfn.XLOOKUP(($AO$4&amp;_xlfn.XLOOKUP(B7,$B$37:$B$42,$Q$37:$Q$42,"",0,1)&amp;_xlfn.XLOOKUP(B7,$B$37:$B$42,PJ!$AE$37:$AE$42,"",0,1)),PTSRKPOULES[Colonne1],PTSRKPOULES[PR 3B],"",0,1),IF(AND('GESTION DES JOUEURS'!$D$8="Poules",'GESTION DES JOUEURS'!$Y$8="JDSR",PouleATerminée="X"),_xlfn.XLOOKUP($AO$4&amp;_xlfn.XLOOKUP(B7,$B$37:$B$42,$Q$37:$Q$42,"",0,1)&amp;_xlfn.XLOOKUP(B7,$B$37:$B$42,PJ!$AE$37:$AE$42,"",0,1),PTSRKPOULES[Colonne1],PTSRKPOULES[PR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IFERROR(VLOOKUP("J3",'GESTION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JOUEURS'!$Y$8="R",PouleATerminée="X"),_xlfn.XLOOKUP(($AO$4&amp;_xlfn.XLOOKUP(B8,$B$37:$B$42,$Q$37:$Q$42,"",0,1)&amp;_xlfn.XLOOKUP(B8,$B$37:$B$42,PJ!$AE$37:$AE$42,"",0,1)),PTSRKPOULES[Colonne1],PTSRKPOULES[PR 3B],"",0,1),IF(AND('GESTION DES JOUEURS'!$D$8="Poules",'GESTION DES JOUEURS'!$Y$8="JDSR",PouleATerminée="X"),_xlfn.XLOOKUP($AO$4&amp;_xlfn.XLOOKUP(B8,$B$37:$B$42,$Q$37:$Q$42,"",0,1)&amp;_xlfn.XLOOKUP(B8,$B$37:$B$42,PJ!$AE$37:$AE$42,"",0,1),PTSRKPOULES[Colonne1],PTSRKPOULES[PR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IFERROR(VLOOKUP("J4",'GESTION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JOUEURS'!$Y$8="R",PouleATerminée="X"),_xlfn.XLOOKUP(($AO$4&amp;_xlfn.XLOOKUP(B9,$B$37:$B$42,$Q$37:$Q$42,"",0,1)&amp;_xlfn.XLOOKUP(B9,$B$37:$B$42,PJ!$AE$37:$AE$42,"",0,1)),PTSRKPOULES[Colonne1],PTSRKPOULES[PR 3B],"",0,1),IF(AND('GESTION DES JOUEURS'!$D$8="Poules",'GESTION DES JOUEURS'!$Y$8="JDSR",PouleATerminée="X"),_xlfn.XLOOKUP($AO$4&amp;_xlfn.XLOOKUP(B9,$B$37:$B$42,$Q$37:$Q$42,"",0,1)&amp;_xlfn.XLOOKUP(B9,$B$37:$B$42,PJ!$AE$37:$AE$42,"",0,1),PTSRKPOULES[Colonne1],PTSRKPOULES[PR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IFERROR(VLOOKUP("J5",'GESTION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JOUEURS'!$Y$8="R",PouleATerminée="X"),_xlfn.XLOOKUP(($AO$4&amp;_xlfn.XLOOKUP(B10,$B$37:$B$42,$Q$37:$Q$42,"",0,1)&amp;_xlfn.XLOOKUP(B10,$B$37:$B$42,PJ!$AE$37:$AE$42,"",0,1)),PTSRKPOULES[Colonne1],PTSRKPOULES[PR 3B],"",0,1),IF(AND('GESTION DES JOUEURS'!$D$8="Poules",'GESTION DES JOUEURS'!$Y$8="JDSR",PouleATerminée="X"),_xlfn.XLOOKUP($AO$4&amp;_xlfn.XLOOKUP(B10,$B$37:$B$42,$Q$37:$Q$42,"",0,1)&amp;_xlfn.XLOOKUP(B10,$B$37:$B$42,PJ!$AE$37:$AE$42,"",0,1),PTSRKPOULES[Colonne1],PTSRKPOULES[PR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IFERROR(VLOOKUP("J6",'GESTION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JOUEURS'!$Y$8="R",PouleATerminée="X"),_xlfn.XLOOKUP(($AO$4&amp;_xlfn.XLOOKUP(B11,$B$37:$B$42,$Q$37:$Q$42,"",0,1)&amp;_xlfn.XLOOKUP(B11,$B$37:$B$42,PJ!$AE$37:$AE$42,"",0,1)),PTSRKPOULES[Colonne1],PTSRKPOULES[PR 3B],"",0,1),IF(AND('GESTION DES JOUEURS'!$D$8="Poules",'GESTION DES JOUEURS'!$Y$8="JDSR",PouleATerminée="X"),_xlfn.XLOOKUP($AO$4&amp;_xlfn.XLOOKUP(B11,$B$37:$B$42,$Q$37:$Q$42,"",0,1)&amp;_xlfn.XLOOKUP(B11,$B$37:$B$42,PJ!$AE$37:$AE$42,"",0,1),PTSRKPOULES[Colonne1],PTSRKPOULES[PR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IF(K13="Poule","J","")</f>
        <v>J</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J</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1027" t="str">
        <f>"TABLEAU "&amp;CHAR(10)&amp;B2</f>
        <v>TABLEAU 
Poule J</v>
      </c>
      <c r="V37" s="1028"/>
      <c r="W37" s="1028"/>
      <c r="X37" s="1029"/>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1030"/>
      <c r="V38" s="1031"/>
      <c r="W38" s="1031"/>
      <c r="X38" s="1032"/>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1030"/>
      <c r="V39" s="1031"/>
      <c r="W39" s="1031"/>
      <c r="X39" s="1032"/>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1030"/>
      <c r="V40" s="1031"/>
      <c r="W40" s="1031"/>
      <c r="X40" s="1032"/>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1030"/>
      <c r="V41" s="1031"/>
      <c r="W41" s="1031"/>
      <c r="X41" s="1032"/>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1033"/>
      <c r="V42" s="1034"/>
      <c r="W42" s="1034"/>
      <c r="X42" s="1035"/>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rGXEldIaWZSQyfpzG10Wyy26XGY96bAe4rm0h+8XF1jQPxSGVCopnB34cwwF/hHL+z5moBZLdbbP/FJnF9sImA==" saltValue="hzFDpsxqzqp9JoXadMtoNA=="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401" priority="3">
      <formula>$B18=""</formula>
    </cfRule>
  </conditionalFormatting>
  <conditionalFormatting sqref="B19:Y32">
    <cfRule type="expression" dxfId="400" priority="2">
      <formula>$B18=MAX($B$18:$B$32)</formula>
    </cfRule>
  </conditionalFormatting>
  <conditionalFormatting sqref="E18:E32 W18:W32">
    <cfRule type="expression" dxfId="399" priority="4">
      <formula>LEFT($B$15)="3"</formula>
    </cfRule>
  </conditionalFormatting>
  <conditionalFormatting sqref="L13">
    <cfRule type="expression" dxfId="398" priority="56">
      <formula>$F$13&lt;&gt;"FINALE"</formula>
    </cfRule>
  </conditionalFormatting>
  <conditionalFormatting sqref="T6:U11 N37:O42">
    <cfRule type="expression" dxfId="396" priority="57">
      <formula>LEFT($B$15)="3"</formula>
    </cfRule>
  </conditionalFormatting>
  <dataValidations count="3">
    <dataValidation type="list" allowBlank="1" showInputMessage="1" showErrorMessage="1" sqref="O6" xr:uid="{534F6FA2-BFD4-45DA-95D6-EA2D50D55EB5}">
      <formula1>"1,2,3,4,5,6"</formula1>
    </dataValidation>
    <dataValidation type="list" allowBlank="1" showInputMessage="1" showErrorMessage="1" sqref="W35:X35" xr:uid="{629FB8FD-5386-4017-A206-BF1CCC1C00C5}">
      <formula1>"OUI,NON"</formula1>
    </dataValidation>
    <dataValidation type="list" allowBlank="1" showInputMessage="1" showErrorMessage="1" sqref="O7:O11" xr:uid="{279A643B-59AA-43E5-93D2-7BB4555765A4}">
      <formula1>"F,1,2,3,4,5,6"</formula1>
    </dataValidation>
  </dataValidations>
  <hyperlinks>
    <hyperlink ref="AA4:AA5" location="'GESTION DES JOUEURS'!D4" display="GESTION DES JOUEURS" xr:uid="{29E0E202-ADA8-423D-849C-79846E9C7026}"/>
    <hyperlink ref="U37:X42" location="'T PJ'!A1" display="'T PJ'!A1" xr:uid="{863D0A5B-A6E2-4C84-8A19-AEC945AF8411}"/>
    <hyperlink ref="AA9:AA10" location="PA!N18" display="PA!N18" xr:uid="{6E809568-5763-4EA6-A332-5CCCCC72F7C2}"/>
    <hyperlink ref="AA11:AA12" location="PB!N18" display="Poule B" xr:uid="{E862EB87-C3EF-4684-AA31-E661C185D45A}"/>
    <hyperlink ref="AA13:AA14" location="PC!N18" display="Poule C" xr:uid="{D57D658E-928B-41FB-90FA-D0B181D89AFA}"/>
    <hyperlink ref="AA15:AA16" location="PD!N18" display="Poule D" xr:uid="{A0E5AA46-8541-4F8D-86A5-C8FED57787B8}"/>
    <hyperlink ref="AA17:AA18" location="PE!N18" display="Poule E" xr:uid="{107D2F76-014D-4E78-91E6-6E2CD0AB56A0}"/>
    <hyperlink ref="AA19:AA20" location="PF!N18" display="Poule F" xr:uid="{F0C8C79C-42FB-4EC4-B960-9E66C05FD997}"/>
    <hyperlink ref="AA21:AA22" location="PG!N18" display="Poule G" xr:uid="{D91D0375-96C8-4B3A-A86B-C1E27B235B61}"/>
    <hyperlink ref="AA23:AA24" location="PH!N18" display="Poule H" xr:uid="{0AD703DC-1B73-47F5-B108-CEA1D97C8362}"/>
    <hyperlink ref="AA25:AA26" location="PI!N18" display="Poule I" xr:uid="{EC37FE38-ECD2-4483-B1FB-375552309348}"/>
    <hyperlink ref="AA27:AA28" location="PJ!N18" display="Poule J" xr:uid="{617E5FD7-656D-4F2D-9281-7480AEE6D5D4}"/>
    <hyperlink ref="AA29:AA30" location="PK!N18" display="Poule K" xr:uid="{EFE50531-C38E-4B45-B11C-0F9EA1422784}"/>
    <hyperlink ref="AA31:AA32" location="PL!N18" display="Poule L" xr:uid="{782974A1-1053-4E0D-B162-A6C3131B0F2E}"/>
    <hyperlink ref="AA37:AA38" location="Consolante!A1" display="Consolante" xr:uid="{B536F674-129E-45A2-BA9F-2BAB3230C9B8}"/>
    <hyperlink ref="AA40:AA42" location="RESULTATS!A1" display="RESULTATS" xr:uid="{BD81AC70-27B3-4329-BC82-10341E7152D1}"/>
    <hyperlink ref="AA34:AA35" location="'Phase finale'!A1" display="Phase Finale" xr:uid="{BEE8653F-8EB9-4D4F-81CB-55EF949BEA43}"/>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755801F8-D98F-4EA9-96FA-F335A73A2714}">
            <xm:f>'GESTION DES JOUEURS'!$D$8="Open"</xm:f>
            <x14:dxf>
              <numFmt numFmtId="14" formatCode="0.00%"/>
            </x14:dxf>
          </x14:cfRule>
          <xm:sqref>R37:S42</xm:sqref>
        </x14:conditionalFormatting>
        <x14:conditionalFormatting xmlns:xm="http://schemas.microsoft.com/office/excel/2006/main">
          <x14:cfRule type="expression" priority="8" id="{86F140E6-0FCD-49C3-AF87-1CD3D38A7650}">
            <xm:f>'GESTION DES JOUEURS'!$D$8="Open"</xm:f>
            <x14:dxf>
              <numFmt numFmtId="14" formatCode="0.00%"/>
            </x14:dxf>
          </x14:cfRule>
          <xm:sqref>W6:X11</xm:sqref>
        </x14:conditionalFormatting>
        <x14:conditionalFormatting xmlns:xm="http://schemas.microsoft.com/office/excel/2006/main">
          <x14:cfRule type="expression" priority="1" id="{C2C1982F-AEE7-4326-A4D6-103EE1C2BA6B}">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242709CC-A115-40E4-9F7E-4E962485BCD5}">
            <xm:f>'GESTION DES JOUEURS'!$T$8&lt;2</xm:f>
            <x14:dxf>
              <font>
                <color theme="0" tint="-0.24994659260841701"/>
              </font>
              <fill>
                <patternFill>
                  <bgColor theme="0" tint="-0.24994659260841701"/>
                </patternFill>
              </fill>
            </x14:dxf>
          </x14:cfRule>
          <x14:cfRule type="expression" priority="42" id="{3F9446FD-4254-402E-BB24-0E0140721257}">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111D4446-A6D4-4957-9935-A8735CF2EDE4}">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547FF5B9-7B44-4101-89B3-07C605C79B2C}">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3D379726-0717-4333-966C-6DC1B9990489}">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8DC1FDE9-0AA9-480E-BA34-09AE73D5C432}">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2B03FD52-9E30-46BF-966D-A28FB492A072}">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FB91EF55-13DA-49DD-BA28-139B2619D0BB}">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C16497CC-F176-4193-BEC8-CCFDF49C00DC}">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26B652A0-19E2-4F50-9586-A67952ABECC7}">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88905B2E-7D96-4D6B-BE3B-0060C2683DEC}">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77EE3C3F-FF92-4FED-9EE0-FBAC02011F6D}">
            <xm:f>'GESTION DES JOUEURS'!$T$8=1</xm:f>
            <x14:dxf>
              <font>
                <color theme="0" tint="-0.24994659260841701"/>
              </font>
              <fill>
                <patternFill>
                  <bgColor theme="0" tint="-0.24994659260841701"/>
                </patternFill>
              </fill>
            </x14:dxf>
          </x14:cfRule>
          <x14:cfRule type="expression" priority="19" id="{E146ED8A-F0A7-48B3-AFB5-17BEBB4ED195}">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24347667-E5E3-4EF0-BE5E-F365819A1ECA}">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DEF886E-92CF-4310-A6F8-C60CF722DE9A}">
          <x14:formula1>
            <xm:f>IF(AND(_xlfn.XLOOKUP($F18,$B$6:$B$11,$AD$6:$AD$11,"",0,1)&lt;&gt;"N1",_xlfn.XLOOKUP($U18,$B$6:$B$11,$AD$6:$AD$11,"",0,1)&lt;&gt;"N1",$B$15="Cadre N1/N2"),Distances!$B$89:$KP$89,Distances!$B$86:$KQ$86)</xm:f>
          </x14:formula1>
          <xm:sqref>O18:O32</xm:sqref>
        </x14:dataValidation>
        <x14:dataValidation type="list" allowBlank="1" showInputMessage="1" showErrorMessage="1" xr:uid="{23188796-D767-49F3-8694-04A33DD69945}">
          <x14:formula1>
            <xm:f>IF(AND(_xlfn.XLOOKUP($F18,$B$6:$B$11,$AD$6:$AD$11,"",0,1)&lt;&gt;"N1",_xlfn.XLOOKUP($U18,$B$6:$B$11,$AD$6:$AD$11,"",0,1)&lt;&gt;"N1",$B$15="Cadre N1/N2"),Distances!$B$88:$KP$88,Distances!$B$85:$KQ$85)</xm:f>
          </x14:formula1>
          <xm:sqref>N18:N32 P18:P32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2497-8BED-44EE-A6FF-E194AEF2D5FB}">
  <sheetPr>
    <tabColor rgb="FFFBC131"/>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IF(PJ!F13="FINALE","District 93-94"&amp;" - "&amp;IF(MONTH(AT5)&gt;8,YEAR(AT5)&amp;"/"&amp;YEAR(AT5)+1,YEAR(AT5)-1&amp;"/"&amp;YEAR(AT5))&amp;CHAR(10)&amp;PJ!F13&amp;CHAR(10)&amp;PJ!B15&amp;AT2,"District 93-94"&amp;" - "&amp;IF(MONTH(AT5)&gt;8,YEAR(AT5)&amp;"/"&amp;YEAR(AT5)+1,YEAR(AT5)-1&amp;"/"&amp;YEAR(AT5))&amp;CHAR(10)&amp;'GESTION DES JOUEURS'!C2&amp;CHAR(10)&amp;PJ!K13&amp;" "&amp;PJ!L13)</f>
        <v>District 93-94 - 2024/2025
Journée 3 -  Libre R2
Poule J</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IF(PJ!M14="","",PJ!M14)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IF(LEFT(PJ!$B$15)="C","   -   "&amp;_xlfn.XLOOKUP(PJ!B15,Distances!D2:D77,Distances!K2:K77,"",0,1),"")</f>
        <v/>
      </c>
      <c r="AV2" s="450" t="s">
        <v>8130</v>
      </c>
    </row>
    <row r="3" spans="1:48" ht="21.95" customHeight="1" thickBot="1" x14ac:dyDescent="0.3">
      <c r="A3" s="32"/>
      <c r="B3" s="868" t="str">
        <f>IF('GESTION DES JOUEURS'!$F$6="","","Directeur de jeu : "&amp;PJ!S13)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"&amp;_xlfn.XLOOKUP(PJ!B15,Distances!D2:D77,Distances!A2:A77,"",0,1)&amp;AT2</f>
        <v>Mode de jeu : Libre</v>
      </c>
      <c r="C5" s="877"/>
      <c r="D5" s="877"/>
      <c r="E5" s="877"/>
      <c r="F5" s="877"/>
      <c r="G5" s="876" t="str">
        <f>"Catégorie : "&amp;_xlfn.XLOOKUP(PJ!B15,Distances!D2:D77,Distances!B2:B77,"",0,1)</f>
        <v>Catégorie : R2</v>
      </c>
      <c r="H5" s="877"/>
      <c r="I5" s="877"/>
      <c r="J5" s="877"/>
      <c r="K5" s="877"/>
      <c r="L5" s="877"/>
      <c r="M5" s="877"/>
      <c r="N5" s="878"/>
      <c r="O5" s="870" t="str">
        <f>IF(G5="Catégorie : N1/N2","Distance réduite : 150 pts"&amp;CHAR(10)&amp;"si N2 Vs N2 120pts",PJ!B14&amp;" "&amp;PJ!E14&amp;" "&amp;PJ!F14)</f>
        <v>Distance : 100 Pts</v>
      </c>
      <c r="P5" s="871"/>
      <c r="Q5" s="871"/>
      <c r="R5" s="871"/>
      <c r="S5" s="871"/>
      <c r="T5" s="871"/>
      <c r="U5" s="872"/>
      <c r="V5" s="870" t="str">
        <f>IFERROR(IF(G5="Catégorie : N1/N2","Reprises : 15"&amp;CHAR(10)&amp;"si N2 Vs N2 Reprises : 20 ",PJ!G14&amp;" "&amp;PJ!J14),"")</f>
        <v>Reprises : 40</v>
      </c>
      <c r="W5" s="871"/>
      <c r="X5" s="871"/>
      <c r="Y5" s="871"/>
      <c r="Z5" s="871"/>
      <c r="AA5" s="871"/>
      <c r="AB5" s="871"/>
      <c r="AC5" s="872"/>
      <c r="AD5" s="873" t="str">
        <f>_xlfn.XLOOKUP(PJ!B15,Distances!D2:D77,Distances!J2:J77,"",0,1)&amp;" "&amp;_xlfn.XLOOKUP(PJ!B15,Distances!D2:D77,Distances!I2:I77,"",0,1)&amp;"0 m"</f>
        <v>PC 2,80 m</v>
      </c>
      <c r="AE5" s="874"/>
      <c r="AF5" s="874"/>
      <c r="AG5" s="874"/>
      <c r="AH5" s="874"/>
      <c r="AI5" s="875"/>
      <c r="AJ5" s="850">
        <f>IF(PJ!T14=0,"DATE",PJ!T14)</f>
        <v>45633</v>
      </c>
      <c r="AK5" s="851"/>
      <c r="AL5" s="851"/>
      <c r="AM5" s="851"/>
      <c r="AN5" s="851"/>
      <c r="AO5" s="851"/>
      <c r="AP5" s="851"/>
      <c r="AQ5" s="852"/>
      <c r="AS5" s="841" t="s">
        <v>8129</v>
      </c>
      <c r="AT5" s="32">
        <f ca="1">IF(PJ!T14&gt;1,AJ5,TODAY())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IF(PJ!$AO$4&lt;2,"","JOUEURS")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IF(PJ!$AO$4&lt;2,"","RESULTATS")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IF(PJ!AO4=2,_xlfn.XLOOKUP(1,PJ!M6:M11,PJ!C6:D11&amp;" "&amp;LEFT(PJ!E6)&amp;".","",0,1),IF(COUNT(PJ!A6:A11)&gt;2,CONCATENATE(PJ!C6," ",LEFT(PJ!E6),"."),""))</f>
        <v/>
      </c>
      <c r="D10" s="32"/>
      <c r="E10" s="885" t="str">
        <f>IF(PJ!W35="NON",AG1,IF(PJ!AO4&gt;0,_xlfn.XLOOKUP('T PJ'!C13,'LOGOS CLUBS'!$B$2:$B$65,'LOGOS CLUBS'!$C$2:$C$65,C13,0,1),""))</f>
        <v/>
      </c>
      <c r="F10" s="885"/>
      <c r="G10" s="885"/>
      <c r="H10" s="885"/>
      <c r="I10" s="32"/>
      <c r="J10" s="882" t="str">
        <f>IF(AND(PJ!$AO$4=2,PJ!$A18="P"),PJ!N18,IF(AND(COUNT(PJ!$A$6:$A$11)&gt;2,PJ!$CF10="P"),PJ!$CC10,""))</f>
        <v/>
      </c>
      <c r="K10" s="882"/>
      <c r="L10" s="882" t="str">
        <f>IF(AND(PJ!$AO$4=2,PJ!$A18="P"),PJ!O18,IF(AND(COUNT(PJ!$A$6:$A$11)&gt;2,PJ!$CF10="P"),PJ!$CE10,""))</f>
        <v/>
      </c>
      <c r="M10" s="882"/>
      <c r="N10" s="142"/>
      <c r="O10" s="882" t="str">
        <f>IF(PJ!$AO$4=2,"",IF(AND(COUNT(PJ!$A$6:$A$11)&gt;2,PJ!$CF9="P"),PJ!$CC9,""))</f>
        <v/>
      </c>
      <c r="P10" s="882"/>
      <c r="Q10" s="882" t="str">
        <f>IF(PJ!$AO$4=2,"",IF(AND(COUNT(PJ!$A$6:$A$11)&gt;2,PJ!$CF9="P"),PJ!$CE9,""))</f>
        <v/>
      </c>
      <c r="R10" s="882"/>
      <c r="S10" s="142"/>
      <c r="T10" s="882" t="str">
        <f>IF(PJ!$AO$4=2,"",IF(AND(COUNT(PJ!$A$6:$A$11)&gt;2,PJ!$CF8="P"),PJ!$CC8,""))</f>
        <v/>
      </c>
      <c r="U10" s="882"/>
      <c r="V10" s="882" t="str">
        <f>IF(PJ!$AO$4=2,"",IF(AND(COUNT(PJ!$A$6:$A$11)&gt;2,PJ!$CF8="P"),PJ!$CE8,""))</f>
        <v/>
      </c>
      <c r="W10" s="882"/>
      <c r="X10" s="142"/>
      <c r="Y10" s="882" t="str">
        <f>IF(PJ!$AO$4=2,"",IF(AND(COUNT(PJ!$A$6:$A$11)&gt;2,PJ!$CF7="P"),PJ!$CC7,""))</f>
        <v/>
      </c>
      <c r="Z10" s="882"/>
      <c r="AA10" s="882" t="str">
        <f>IF(PJ!$AO$4=2,"",IF(AND(COUNT(PJ!$A$6:$A$11)&gt;2,PJ!$CF7="P"),PJ!$CE7,""))</f>
        <v/>
      </c>
      <c r="AB10" s="882"/>
      <c r="AC10" s="142"/>
      <c r="AD10" s="882" t="str">
        <f>IF(PJ!$AO$4=2,"",IF(AND(COUNT(PJ!$A$6:$A$11)&gt;2,PJ!$CF6="P"),PJ!$CC6,""))</f>
        <v/>
      </c>
      <c r="AE10" s="882"/>
      <c r="AF10" s="882" t="str">
        <f>IF(PJ!$AO$4=2,"",IF(AND(COUNT(PJ!$A$6:$A$11)&gt;2,PJ!$CF6="P"),PJ!$CE6,""))</f>
        <v/>
      </c>
      <c r="AG10" s="882"/>
      <c r="AH10" s="32"/>
      <c r="AI10" s="32"/>
      <c r="AJ10" s="32"/>
      <c r="AK10" s="882" t="str" cm="1">
        <f t="array" ref="AK10">IF(PJ!$AO$4&lt;2,"",IF(_xlfn.XLOOKUP('T PJ'!C12,"Licence n° "&amp;PJ!$B$6:$B$11,PJ!$AO$6:$AO$11,"",0,1)=1,"",_xlfn.XLOOKUP('T PJ'!C12,"Licence n° "&amp;PJ!$B$6:$B$11,PJ!$V$6:$V$11,"",0,1)))</f>
        <v/>
      </c>
      <c r="AL10" s="882"/>
      <c r="AM10" s="879" t="str" cm="1">
        <f t="array" ref="AM10">IF(PJ!$AO$4&lt;2,"",IF(_xlfn.XLOOKUP('T PJ'!C12,"Licence n° "&amp;PJ!$B$6:$B$11,PJ!$AO$6:$AO$11,"",0,1)=1,"",_xlfn.XLOOKUP('T PJ'!C12,"Licence n° "&amp;PJ!$B$6:$B$11,PJ!$T$6:$T$11,"",0,1)))</f>
        <v/>
      </c>
      <c r="AN10" s="879"/>
      <c r="AO10" s="32"/>
      <c r="AP10" s="561" t="str" cm="1">
        <f t="array" ref="AP10">_xlfn.XLOOKUP(C12,"Licence n° "&amp;PJ!$B$6:$B$11,PJ!$W$6:$W$11,"",0,1)</f>
        <v/>
      </c>
      <c r="AQ10" s="32"/>
      <c r="AS10" s="843" t="str">
        <f>IF('GESTION DES JOUEURS'!$D$8="Finale","Poule Finale","Poule A")</f>
        <v>Poule A</v>
      </c>
      <c r="AT10" s="32"/>
      <c r="AV10" s="838"/>
    </row>
    <row r="11" spans="1:48" ht="12.6" customHeight="1" thickBot="1" x14ac:dyDescent="0.3">
      <c r="A11" s="32"/>
      <c r="B11" s="32"/>
      <c r="C11" s="143" t="str" cm="1">
        <f t="array" ref="C11">IF(PJ!$AO$4=2,_xlfn.XLOOKUP(1,PJ!$M$6:$M$11,PJ!$K$6:$K$11&amp;" "&amp;PJ!$AS$6:$AS$11,"",0,1),IF(COUNT(PJ!$A$6:$A$11)&gt;2,PJ!$K6&amp;" - "&amp;PJ!$AS6," "))</f>
        <v xml:space="preserve"> </v>
      </c>
      <c r="D11" s="32"/>
      <c r="E11" s="885"/>
      <c r="F11" s="885"/>
      <c r="G11" s="885"/>
      <c r="H11" s="885"/>
      <c r="I11" s="32"/>
      <c r="J11" s="144" t="str">
        <f>IF(K11="","","Pts")</f>
        <v/>
      </c>
      <c r="K11" s="880" t="str">
        <f>IF(PJ!$AO$4=2,PJ!D18,IF(AND(COUNT(PJ!$A$6:$A$11)&gt;2,PJ!$CF10="P"),PJ!$CG10,""))</f>
        <v/>
      </c>
      <c r="L11" s="880"/>
      <c r="M11" s="144" t="str">
        <f>IF(K11="","","Rep.")</f>
        <v/>
      </c>
      <c r="N11" s="144"/>
      <c r="O11" s="144" t="str">
        <f>IF(P11="","","Pts")</f>
        <v/>
      </c>
      <c r="P11" s="880" t="str">
        <f>IF(PJ!$AO$4=2,"",IF(AND(COUNT(PJ!$A$6:$A$11)&gt;2,PJ!$CF9="P"),PJ!$CG9,""))</f>
        <v/>
      </c>
      <c r="Q11" s="880"/>
      <c r="R11" s="144" t="str">
        <f>IF(P11="","","Rep.")</f>
        <v/>
      </c>
      <c r="S11" s="144"/>
      <c r="T11" s="144" t="str">
        <f>IF(U11="","","Pts")</f>
        <v/>
      </c>
      <c r="U11" s="880" t="str">
        <f>IF(PJ!$AO$4=2,"",IF(AND(COUNT(PJ!$A$6:$A$11)&gt;2,PJ!$CF8="P"),PJ!$CG8,""))</f>
        <v/>
      </c>
      <c r="V11" s="880"/>
      <c r="W11" s="144" t="str">
        <f>IF(U11="","","Rep.")</f>
        <v/>
      </c>
      <c r="X11" s="144"/>
      <c r="Y11" s="144" t="str">
        <f>IF(Z11="","","Pts")</f>
        <v/>
      </c>
      <c r="Z11" s="880" t="str">
        <f>IF(PJ!$AO$4=2,"",IF(AND(COUNT(PJ!$A$6:$A$11)&gt;2,PJ!$CF7="P"),PJ!$CG7,""))</f>
        <v/>
      </c>
      <c r="AA11" s="880"/>
      <c r="AB11" s="144" t="str">
        <f>IF(Z11="","","Rep.")</f>
        <v/>
      </c>
      <c r="AC11" s="144"/>
      <c r="AD11" s="144" t="str">
        <f>IF(AE11="","","Pts")</f>
        <v/>
      </c>
      <c r="AE11" s="880" t="str">
        <f>IF(PJ!$AO$4=2,"",IF(AND(COUNT(PJ!$A$6:$A$11)&gt;2,PJ!$CF6="P"),PJ!$CG6,""))</f>
        <v/>
      </c>
      <c r="AF11" s="880"/>
      <c r="AG11" s="144" t="str">
        <f>IF(AE11="","","Rep.")</f>
        <v/>
      </c>
      <c r="AH11" s="32"/>
      <c r="AI11" s="32"/>
      <c r="AJ11" s="32"/>
      <c r="AK11" s="145" t="str">
        <f>IF(AL11="","","PM")</f>
        <v/>
      </c>
      <c r="AL11" s="881" t="str" cm="1">
        <f t="array" ref="AL11">IF(SUM(PJ!$Q$6:$Q$11)=0,"",IF(PJ!$AO$4&gt;1,IF(_xlfn.XLOOKUP('T PJ'!C12,"Licence n° "&amp;PJ!$B$6:$B$11,PJ!$AO$6:$AO$11,"",0,1)=1,"Forfait",_xlfn.XLOOKUP('T PJ'!C12,"Licence n° "&amp;PJ!$B$37:$B$42,PJ!$Q$37:$Q$42,"",0,1)),""))</f>
        <v/>
      </c>
      <c r="AM11" s="881"/>
      <c r="AN11" s="145" t="str">
        <f>IF(AL11="","","MGP")</f>
        <v/>
      </c>
      <c r="AO11" s="32"/>
      <c r="AP11" s="146" t="str">
        <f>IF(OR(PJ!$AO$4&lt;2,LEFT(PJ!$F$13)="F"),"","Pts Rk")</f>
        <v/>
      </c>
      <c r="AQ11" s="32"/>
      <c r="AS11" s="844"/>
      <c r="AT11" s="32"/>
      <c r="AV11" s="839"/>
    </row>
    <row r="12" spans="1:48" ht="12.6" customHeight="1" x14ac:dyDescent="0.25">
      <c r="A12" s="32"/>
      <c r="B12" s="32"/>
      <c r="C12" s="147" t="str">
        <f>IF(PJ!AO4=2,"Licence n° "&amp;_xlfn.XLOOKUP(1,PJ!M6:M11,PJ!B6:B11,"",0,1),IF(COUNT(PJ!A6:A11)&gt;2,"Licence n° "&amp;PJ!B6,"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IF(OR(PJ!$AO$4&lt;2,LEFT(PJ!$F$13)="F"),"","Bonus")</f>
        <v/>
      </c>
      <c r="AQ12" s="32"/>
      <c r="AS12" s="845" t="s">
        <v>8113</v>
      </c>
      <c r="AT12" s="32"/>
    </row>
    <row r="13" spans="1:48" ht="50.1" customHeight="1" x14ac:dyDescent="0.25">
      <c r="A13" s="32"/>
      <c r="B13" s="32"/>
      <c r="C13" s="149" t="str">
        <f>IF(PJ!AO4=2,_xlfn.XLOOKUP(1,PJ!M6:M11,PJ!G6:G11,"",0,1),IF(COUNT(PJ!A6:A11)&gt;2,PJ!G6," "))</f>
        <v xml:space="preserve"> </v>
      </c>
      <c r="D13" s="32"/>
      <c r="E13" s="885"/>
      <c r="F13" s="885"/>
      <c r="G13" s="885"/>
      <c r="H13" s="885"/>
      <c r="I13" s="32"/>
      <c r="J13" s="883" t="str">
        <f>IF(K11="","",IF(K11&gt;0,J10/L10,"/"))</f>
        <v/>
      </c>
      <c r="K13" s="883"/>
      <c r="L13" s="884" t="str">
        <f>IF(AND(PJ!$AO$4=2,PJ!$A18="P"),PJ!M18,IF(AND(COUNT(PJ!$A$6:$A$11)&gt;2,PJ!$CF10="P"),PJ!$CD10,""))</f>
        <v/>
      </c>
      <c r="M13" s="884"/>
      <c r="N13" s="32"/>
      <c r="O13" s="883" t="str">
        <f>IF(P11="","",IF(P11&gt;0,O10/Q10,"/"))</f>
        <v/>
      </c>
      <c r="P13" s="883"/>
      <c r="Q13" s="884" t="str">
        <f>IF(PJ!$AO$4=2,"",IF(AND(COUNT(PJ!$A$6:$A$11)&gt;2,PJ!$CF9="P"),PJ!$CD9,""))</f>
        <v/>
      </c>
      <c r="R13" s="884"/>
      <c r="S13" s="32"/>
      <c r="T13" s="883" t="str">
        <f>IF(U11="","",IF(U11&gt;0,T10/V10,"/"))</f>
        <v/>
      </c>
      <c r="U13" s="883"/>
      <c r="V13" s="884" t="str">
        <f>IF(PJ!$AO$4=2,"",IF(AND(COUNT(PJ!$A$6:$A$11)&gt;2,PJ!$CF8="P"),PJ!$CD8,""))</f>
        <v/>
      </c>
      <c r="W13" s="884"/>
      <c r="X13" s="32"/>
      <c r="Y13" s="883" t="str">
        <f>IF(Z11="","",IF(Z11&gt;0,Y10/AA10,"/"))</f>
        <v/>
      </c>
      <c r="Z13" s="883"/>
      <c r="AA13" s="884" t="str">
        <f>IF(PJ!$AO$4=2,"",IF(AND(COUNT(PJ!$A$6:$A$11)&gt;2,PJ!$CF7="P"),PJ!$CD7,""))</f>
        <v/>
      </c>
      <c r="AB13" s="884"/>
      <c r="AC13" s="32"/>
      <c r="AD13" s="883" t="str">
        <f>IF(AE11="","",IF(AE11&gt;0,AD10/AF10,"/"))</f>
        <v/>
      </c>
      <c r="AE13" s="883"/>
      <c r="AF13" s="884" t="str">
        <f>IF(PJ!$AO$4=2,"",IF(AND(COUNT(PJ!$A$6:$A$11)&gt;2,PJ!$CF6="P"),PJ!$CD6,""))</f>
        <v/>
      </c>
      <c r="AG13" s="884"/>
      <c r="AH13" s="32"/>
      <c r="AI13" s="32"/>
      <c r="AJ13" s="32"/>
      <c r="AK13" s="883" t="str" cm="1">
        <f t="array" ref="AK13">IF(PJ!$AO$4&lt;2,"",IF(_xlfn.XLOOKUP('T PJ'!C12,"Licence n° "&amp;PJ!$B$6:$B$11,PJ!$AO$6:$AO$11,"",0,1)=1,"",_xlfn.XLOOKUP('T PJ'!C12,"Licence n° "&amp;PJ!$B$6:$B$11,PJ!$U$6:$U$11,"",0,1)))</f>
        <v/>
      </c>
      <c r="AL13" s="883"/>
      <c r="AM13" s="884" t="str" cm="1">
        <f t="array" ref="AM13">IF(PJ!$AO$4&lt;2,"",IF(_xlfn.XLOOKUP('T PJ'!C12,"Licence n° "&amp;PJ!$B$6:$B$11,PJ!$AO$6:$AO$11,"",0,1)=1,"",_xlfn.XLOOKUP('T PJ'!C12,"Licence n° "&amp;PJ!$B$6:$B$11,PJ!$S$6:$S$11,"",0,1)))</f>
        <v/>
      </c>
      <c r="AN13" s="884"/>
      <c r="AO13" s="32"/>
      <c r="AP13" s="562" t="str" cm="1">
        <f t="array" ref="AP13">_xlfn.XLOOKUP(C12,"Licence n° "&amp;PJ!$B$6:$B$11,PJ!$X$6:$X$11,"",0,1)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IF(PJ!AO4=2,_xlfn.XLOOKUP(2,PJ!M6:M11,PJ!C6:D11&amp;" "&amp;LEFT(PJ!E6:E11)&amp;".","",0,1),IF(COUNT(PJ!A6:A11)&gt;2,CONCATENATE(PJ!C7," ",LEFT(PJ!E7),"."),""))</f>
        <v/>
      </c>
      <c r="D15" s="32"/>
      <c r="E15" s="882" t="str">
        <f>IF(AND(PJ!$AO$4=2,PJ!$A18="P"),PJ!P18,IF(AND(COUNT(PJ!$A$6:$A$11)&gt;2,PJ!$CF15="P"),PJ!$CC15,""))</f>
        <v/>
      </c>
      <c r="F15" s="882"/>
      <c r="G15" s="882" t="str">
        <f>IF(AND(PJ!$AO$4=2,PJ!$A18="P"),PJ!O18,IF(AND(COUNT(PJ!$A$6:$A$11)&gt;2,PJ!$CF15="P"),PJ!$CE15,""))</f>
        <v/>
      </c>
      <c r="H15" s="882"/>
      <c r="I15" s="32"/>
      <c r="J15" s="885" t="str">
        <f>IF(PJ!W35="NON",AG1,IF(PJ!AO4=2,"MATCH 1",IF(PJ!AO4&gt;2,_xlfn.XLOOKUP(C18,'LOGOS CLUBS'!$B$2:$B$65,'LOGOS CLUBS'!$C$2:$C$65,C18,0,1),"")))</f>
        <v/>
      </c>
      <c r="K15" s="885"/>
      <c r="L15" s="885"/>
      <c r="M15" s="885"/>
      <c r="N15" s="32"/>
      <c r="O15" s="882" t="str">
        <f>IF(PJ!$AO$4=2,"",IF(AND(COUNT(PJ!$A$6:$A$11)&gt;2,PJ!$CF14="P"),PJ!$CC14,""))</f>
        <v/>
      </c>
      <c r="P15" s="882"/>
      <c r="Q15" s="882" t="str">
        <f>IF(PJ!$AO$4=2,"",IF(AND(COUNT(PJ!$A$6:$A$11)&gt;2,PJ!$CF14="P"),PJ!$CE14,""))</f>
        <v/>
      </c>
      <c r="R15" s="882"/>
      <c r="S15" s="142"/>
      <c r="T15" s="882" t="str">
        <f>IF(PJ!$AO$4=2,"",IF(AND(COUNT(PJ!$A$6:$A$11)&gt;2,PJ!$CF13="P"),PJ!$CC13,""))</f>
        <v/>
      </c>
      <c r="U15" s="882"/>
      <c r="V15" s="882" t="str">
        <f>IF(PJ!$AO$4=2,"",IF(AND(COUNT(PJ!$A$6:$A$11)&gt;2,PJ!$CF13="P"),PJ!$CE13,""))</f>
        <v/>
      </c>
      <c r="W15" s="882"/>
      <c r="X15" s="142"/>
      <c r="Y15" s="882" t="str">
        <f>IF(PJ!$AO$4=2,"",IF(AND(COUNT(PJ!$A$6:$A$11)&gt;2,PJ!$CF12="P"),PJ!$CC12,""))</f>
        <v/>
      </c>
      <c r="Z15" s="882"/>
      <c r="AA15" s="882" t="str">
        <f>IF(PJ!$AO$4=2,"",IF(AND(COUNT(PJ!$A$6:$A$11)&gt;2,PJ!$CF12="P"),PJ!$CE12,""))</f>
        <v/>
      </c>
      <c r="AB15" s="882"/>
      <c r="AC15" s="142"/>
      <c r="AD15" s="882" t="str">
        <f>IF(PJ!$AO$4=2,"",IF(AND(COUNT(PJ!$A$6:$A$11)&gt;2,PJ!$CF11="P"),PJ!$CC11,""))</f>
        <v/>
      </c>
      <c r="AE15" s="882"/>
      <c r="AF15" s="882" t="str">
        <f>IF(PJ!$AO$4=2,"",IF(AND(COUNT(PJ!$A$6:$A$11)&gt;2,PJ!$CF11="P"),PJ!$CE11,""))</f>
        <v/>
      </c>
      <c r="AG15" s="882"/>
      <c r="AH15" s="32"/>
      <c r="AI15" s="32"/>
      <c r="AJ15" s="32"/>
      <c r="AK15" s="882" t="str" cm="1">
        <f t="array" ref="AK15">IF(PJ!$AO$4&lt;2,"",IF(_xlfn.XLOOKUP('T PJ'!C17,"Licence n° "&amp;PJ!$B$6:$B$11,PJ!$AO$6:$AO$11,"",0,1)=1,"",_xlfn.XLOOKUP('T PJ'!C17,"Licence n° "&amp;PJ!$B$6:$B$11,PJ!$V$6:$V$11,"",0,1)))</f>
        <v/>
      </c>
      <c r="AL15" s="882"/>
      <c r="AM15" s="879" t="str" cm="1">
        <f t="array" ref="AM15">IF(PJ!$AO$4&lt;2,"",IF(_xlfn.XLOOKUP('T PJ'!C17,"Licence n° "&amp;PJ!$B$6:$B$11,PJ!$AO$6:$AO$11,"",0,1)=1,"",_xlfn.XLOOKUP('T PJ'!C17,"Licence n° "&amp;PJ!$B$6:$B$11,PJ!$T$6:$T$11,"",0,1)))</f>
        <v/>
      </c>
      <c r="AN15" s="879"/>
      <c r="AO15" s="32"/>
      <c r="AP15" s="561" t="str" cm="1">
        <f t="array" ref="AP15">_xlfn.XLOOKUP(C17,"Licence n° "&amp;PJ!$B$6:$B$11,PJ!$W$6:$W$11,"",0,1)</f>
        <v/>
      </c>
      <c r="AQ15" s="32"/>
      <c r="AS15" s="840" t="s">
        <v>8114</v>
      </c>
      <c r="AT15" s="32"/>
    </row>
    <row r="16" spans="1:48" ht="12.6" customHeight="1" x14ac:dyDescent="0.25">
      <c r="A16" s="32"/>
      <c r="B16" s="32"/>
      <c r="C16" s="143" t="str" cm="1">
        <f t="array" ref="C16">IF(PJ!$AO$4=2,_xlfn.XLOOKUP(2,PJ!$M$6:$M$11,PJ!$K$6:$K$11&amp;" "&amp;PJ!$AS$6:$AS$11,"",0,1),IF(COUNT(PJ!$A$6:$A$11)&gt;2,PJ!$K7&amp;" - "&amp;PJ!$AS7," "))</f>
        <v xml:space="preserve"> </v>
      </c>
      <c r="D16" s="32"/>
      <c r="E16" s="144" t="str">
        <f>IF(F16="","","Pts")</f>
        <v/>
      </c>
      <c r="F16" s="880" t="str">
        <f>IF(PJ!$AO$4=2,PJ!X18,IF(AND(COUNT(PJ!$A$6:$A$11)&gt;2,PJ!$CF15="P"),PJ!$CG15,""))</f>
        <v/>
      </c>
      <c r="G16" s="880"/>
      <c r="H16" s="144" t="str">
        <f>IF(F16="","","Rep.")</f>
        <v/>
      </c>
      <c r="I16" s="32"/>
      <c r="J16" s="885"/>
      <c r="K16" s="885"/>
      <c r="L16" s="885"/>
      <c r="M16" s="885"/>
      <c r="N16" s="32"/>
      <c r="O16" s="144" t="str">
        <f>IF(P16="","","Pts")</f>
        <v/>
      </c>
      <c r="P16" s="880" t="str">
        <f>IF(PJ!$AO$4=2,"",IF(AND(COUNT(PJ!$A$6:$A$11)&gt;2,PJ!$CF14="P"),PJ!$CG14,""))</f>
        <v/>
      </c>
      <c r="Q16" s="880"/>
      <c r="R16" s="144" t="str">
        <f>IF(P16="","","Rep.")</f>
        <v/>
      </c>
      <c r="S16" s="50"/>
      <c r="T16" s="144" t="str">
        <f>IF(U16="","","Pts")</f>
        <v/>
      </c>
      <c r="U16" s="880" t="str">
        <f>IF(PJ!$AO$4=2,"",IF(AND(COUNT(PJ!$A$6:$A$11)&gt;2,PJ!$CF13="P"),PJ!$CG13,""))</f>
        <v/>
      </c>
      <c r="V16" s="880"/>
      <c r="W16" s="144" t="str">
        <f>IF(U16="","","Rep.")</f>
        <v/>
      </c>
      <c r="X16" s="144"/>
      <c r="Y16" s="144" t="str">
        <f>IF(Z16="","","Pts")</f>
        <v/>
      </c>
      <c r="Z16" s="880" t="str">
        <f>IF(PJ!$AO$4=2,"",IF(AND(COUNT(PJ!$A$6:$A$11)&gt;2,PJ!$CF12="P"),PJ!$CG12,""))</f>
        <v/>
      </c>
      <c r="AA16" s="880"/>
      <c r="AB16" s="144" t="str">
        <f>IF(Z16="","","Rep.")</f>
        <v/>
      </c>
      <c r="AC16" s="144"/>
      <c r="AD16" s="144" t="str">
        <f>IF(AE16="","","Pts")</f>
        <v/>
      </c>
      <c r="AE16" s="880" t="str">
        <f>IF(PJ!$AO$4=2,"",IF(AND(COUNT(PJ!$A$6:$A$11)&gt;2,PJ!$CF11="P"),PJ!$CG11,""))</f>
        <v/>
      </c>
      <c r="AF16" s="880"/>
      <c r="AG16" s="144" t="str">
        <f>IF(AE16="","","Rep.")</f>
        <v/>
      </c>
      <c r="AH16" s="32"/>
      <c r="AI16" s="32"/>
      <c r="AJ16" s="32"/>
      <c r="AK16" s="145" t="str">
        <f>IF(AL16="","","PM")</f>
        <v/>
      </c>
      <c r="AL16" s="881" t="str" cm="1">
        <f t="array" ref="AL16">IF(SUM(PJ!$Q$6:$Q$11)=0,"",IF(PJ!$AO$4&gt;1,IF(_xlfn.XLOOKUP('T PJ'!C17,"Licence n° "&amp;PJ!$B$6:$B$11,PJ!$AO$6:$AO$11,"",0,1)=1,"Forfait",_xlfn.XLOOKUP('T PJ'!C17,"Licence n° "&amp;PJ!$B$37:$B$42,PJ!$Q$37:$Q$42,"",0,1)),""))</f>
        <v/>
      </c>
      <c r="AM16" s="881"/>
      <c r="AN16" s="145" t="str">
        <f>IF(AL16="","","MGP")</f>
        <v/>
      </c>
      <c r="AO16" s="32"/>
      <c r="AP16" s="151" t="str">
        <f>IF(OR(PJ!$AO$4&lt;2,LEFT(PJ!$F$13)="F"),"","Pts Rk")</f>
        <v/>
      </c>
      <c r="AQ16" s="32"/>
      <c r="AS16" s="840"/>
      <c r="AT16" s="32"/>
    </row>
    <row r="17" spans="1:52" ht="12.6" customHeight="1" x14ac:dyDescent="0.25">
      <c r="A17" s="32"/>
      <c r="B17" s="32"/>
      <c r="C17" s="147" t="str">
        <f>IF(PJ!AO4=2,"Licence n° "&amp;_xlfn.XLOOKUP(2,PJ!M6:M11,PJ!B6:B11,"",0,1),IF(COUNT(PJ!A6:A11)&gt;2,"Licence n° "&amp;PJ!B7,"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IF(OR(PJ!$AO$4&lt;2,LEFT(PJ!$F$13)="F"),"","Bonus")</f>
        <v/>
      </c>
      <c r="AQ17" s="32"/>
      <c r="AS17" s="846" t="s">
        <v>8115</v>
      </c>
      <c r="AT17" s="32"/>
      <c r="AZ17" s="241"/>
    </row>
    <row r="18" spans="1:52" ht="50.1" customHeight="1" x14ac:dyDescent="0.25">
      <c r="A18" s="32"/>
      <c r="B18" s="32"/>
      <c r="C18" s="149" t="str">
        <f>IF(PJ!AO4=2,_xlfn.XLOOKUP(2,PJ!M6:M11,PJ!G6:G11,"",0,1),IF(COUNT(PJ!A6:A11)&gt;2,PJ!G7," "))</f>
        <v xml:space="preserve"> </v>
      </c>
      <c r="D18" s="32"/>
      <c r="E18" s="883" t="str">
        <f>IF(F16="","",IF(F16&gt;0,E15/G15,"/"))</f>
        <v/>
      </c>
      <c r="F18" s="883"/>
      <c r="G18" s="884" t="str">
        <f>IF(AND(PJ!$AO$4=2,PJ!$A18="P"),PJ!Q18,IF(AND(COUNT(PJ!$A$6:$A$11)&gt;2,PJ!$CF15="P"),PJ!$CD15,""))</f>
        <v/>
      </c>
      <c r="H18" s="884"/>
      <c r="I18" s="32"/>
      <c r="J18" s="885"/>
      <c r="K18" s="885"/>
      <c r="L18" s="885"/>
      <c r="M18" s="885"/>
      <c r="N18" s="32"/>
      <c r="O18" s="883" t="str">
        <f>IF(P16="","",IF(P16&gt;0,O15/Q15,"/"))</f>
        <v/>
      </c>
      <c r="P18" s="883"/>
      <c r="Q18" s="884" t="str">
        <f>IF(PJ!$AO$4=2,"",IF(AND(COUNT(PJ!$A$6:$A$11)&gt;2,PJ!$CF14="P"),PJ!$CD14,""))</f>
        <v/>
      </c>
      <c r="R18" s="884"/>
      <c r="S18" s="32"/>
      <c r="T18" s="883" t="str">
        <f>IF(U16="","",IF(U16&gt;0,T15/V15,"/"))</f>
        <v/>
      </c>
      <c r="U18" s="883"/>
      <c r="V18" s="884" t="str">
        <f>IF(PJ!$AO$4=2,"",IF(AND(COUNT(PJ!$A$6:$A$11)&gt;2,PJ!$CF13="P"),PJ!$CD13,""))</f>
        <v/>
      </c>
      <c r="W18" s="884"/>
      <c r="X18" s="32"/>
      <c r="Y18" s="883" t="str">
        <f>IF(Z16="","",IF(Z16&gt;0,Y15/AA15,"/"))</f>
        <v/>
      </c>
      <c r="Z18" s="883"/>
      <c r="AA18" s="884" t="str">
        <f>IF(PJ!$AO$4=2,"",IF(AND(COUNT(PJ!$A$6:$A$11)&gt;2,PJ!$CF12="P"),PJ!$CD12,""))</f>
        <v/>
      </c>
      <c r="AB18" s="884"/>
      <c r="AC18" s="32"/>
      <c r="AD18" s="883" t="str">
        <f>IF(AE16="","",IF(AE16&gt;0,AD15/AF15,"/"))</f>
        <v/>
      </c>
      <c r="AE18" s="883"/>
      <c r="AF18" s="884" t="str">
        <f>IF(PJ!$AO$4=2,"",IF(AND(COUNT(PJ!$A$6:$A$11)&gt;2,PJ!$CF11="P"),PJ!$CD11,""))</f>
        <v/>
      </c>
      <c r="AG18" s="884"/>
      <c r="AH18" s="32"/>
      <c r="AI18" s="32"/>
      <c r="AJ18" s="32"/>
      <c r="AK18" s="883" t="str" cm="1">
        <f t="array" ref="AK18">IF(PJ!$AO$4&lt;2,"",IF(_xlfn.XLOOKUP('T PJ'!C17,"Licence n° "&amp;PJ!$B$6:$B$11,PJ!$AO$6:$AO$11,"",0,1)=1,"",_xlfn.XLOOKUP('T PJ'!C17,"Licence n° "&amp;PJ!$B$6:$B$11,PJ!$U$6:$U$11,"",0,1)))</f>
        <v/>
      </c>
      <c r="AL18" s="883"/>
      <c r="AM18" s="884" t="str" cm="1">
        <f t="array" ref="AM18">IF(PJ!$AO$4&lt;2,"",IF(_xlfn.XLOOKUP('T PJ'!C17,"Licence n° "&amp;PJ!$B$6:$B$11,PJ!$AO$6:$AO$11,"",0,1)=1,"",_xlfn.XLOOKUP('T PJ'!C17,"Licence n° "&amp;PJ!$B$6:$B$11,PJ!$S$6:$S$11,"",0,1)))</f>
        <v/>
      </c>
      <c r="AN18" s="884"/>
      <c r="AO18" s="32"/>
      <c r="AP18" s="562" t="str" cm="1">
        <f t="array" ref="AP18">_xlfn.XLOOKUP(C17,"Licence n° "&amp;PJ!$B$6:$B$11,PJ!$X$6:$X$11,"",0,1)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IF(PJ!AO4=2,C10,IF(COUNT(PJ!A6:A11)&gt;2,CONCATENATE(PJ!C8," ",LEFT(PJ!E8),"."),""))</f>
        <v/>
      </c>
      <c r="D20" s="32"/>
      <c r="E20" s="882" t="str">
        <f>IF(PJ!$AO$4=2,"",IF(AND(COUNT(PJ!$A$6:$A$11)&gt;2,PJ!$CF20="P"),PJ!$CC20,""))</f>
        <v/>
      </c>
      <c r="F20" s="882"/>
      <c r="G20" s="882" t="str">
        <f>IF(PJ!$AO$4=2,"",IF(AND(COUNT(PJ!$A$6:$A$11)&gt;2,PJ!$CF20="P"),PJ!$CE20,""))</f>
        <v/>
      </c>
      <c r="H20" s="882"/>
      <c r="I20" s="142"/>
      <c r="J20" s="882" t="str">
        <f>IF(PJ!$AO$4=2,"",IF(AND(COUNT(PJ!$A$6:$A$11)&gt;2,PJ!$CF19="P"),PJ!$CC19,""))</f>
        <v/>
      </c>
      <c r="K20" s="882"/>
      <c r="L20" s="882" t="str">
        <f>IF(PJ!$AO$4=2,"",IF(AND(COUNT(PJ!$A$6:$A$11)&gt;2,PJ!$CF19="P"),PJ!$CE19,""))</f>
        <v/>
      </c>
      <c r="M20" s="882"/>
      <c r="N20" s="32"/>
      <c r="O20" s="885" t="str">
        <f>IF(PJ!W35="NON",AG1,IF(PJ!AO4=2,"MATCH 2",IF(PJ!AO4&gt;2,_xlfn.XLOOKUP(C23,'LOGOS CLUBS'!$B$2:$B$65,'LOGOS CLUBS'!$C$2:$C$65,C23,0,1),"")))</f>
        <v/>
      </c>
      <c r="P20" s="885"/>
      <c r="Q20" s="885"/>
      <c r="R20" s="885"/>
      <c r="S20" s="32"/>
      <c r="T20" s="882" t="str">
        <f>IF(AND(PJ!$AO$4=2,PJ!$A19="P"),PJ!P19,IF(AND(COUNT(PJ!$A$6:$A$11)&gt;2,PJ!$CF18="P"),PJ!$CC18,""))</f>
        <v/>
      </c>
      <c r="U20" s="882"/>
      <c r="V20" s="882" t="str">
        <f>IF(AND(PJ!$AO$4=2,PJ!$A19="P"),PJ!O19,IF(AND(COUNT(PJ!$A$6:$A$11)&gt;2,PJ!$CF18="P"),PJ!$CE18,""))</f>
        <v/>
      </c>
      <c r="W20" s="882"/>
      <c r="X20" s="142"/>
      <c r="Y20" s="882" t="str">
        <f>IF(PJ!$AO$4=2,"",IF(AND(COUNT(PJ!$A$6:$A$11)&gt;2,PJ!$CF17="P"),PJ!$CC17,""))</f>
        <v/>
      </c>
      <c r="Z20" s="882"/>
      <c r="AA20" s="882" t="str">
        <f>IF(PJ!$AO$4=2,"",IF(AND(COUNT(PJ!$A$6:$A$11)&gt;2,PJ!$CF17="P"),PJ!$CE17,""))</f>
        <v/>
      </c>
      <c r="AB20" s="882"/>
      <c r="AC20" s="142"/>
      <c r="AD20" s="882" t="str">
        <f>IF(PJ!$AO$4=2,"",IF(AND(COUNT(PJ!$A$6:$A$11)&gt;2,PJ!$CF16="P"),PJ!$CC16,""))</f>
        <v/>
      </c>
      <c r="AE20" s="882"/>
      <c r="AF20" s="882" t="str">
        <f>IF(PJ!$AO$4=2,"",IF(AND(COUNT(PJ!$A$6:$A$11)&gt;2,PJ!$CF16="P"),PJ!$CE16,""))</f>
        <v/>
      </c>
      <c r="AG20" s="882"/>
      <c r="AH20" s="32"/>
      <c r="AI20" s="32"/>
      <c r="AJ20" s="32"/>
      <c r="AK20" s="882" t="str" cm="1">
        <f t="array" ref="AK20">IF(PJ!$AO$4&lt;3,"",IF(_xlfn.XLOOKUP('T PJ'!C22,"Licence n° "&amp;PJ!$B$6:$B$11,PJ!$AO$6:$AO$11,"",0,1)=1,"",_xlfn.XLOOKUP('T PJ'!C22,"Licence n° "&amp;PJ!$B$6:$B$11,PJ!$V$6:$V$11,"",0,1)))</f>
        <v/>
      </c>
      <c r="AL20" s="882"/>
      <c r="AM20" s="879" t="str" cm="1">
        <f t="array" ref="AM20">IF(PJ!$AO$4&lt;3,"",IF(_xlfn.XLOOKUP('T PJ'!C22,"Licence n° "&amp;PJ!$B$6:$B$11,PJ!$AO$6:$AO$11,"",0,1)=1,"",_xlfn.XLOOKUP('T PJ'!C22,"Licence n° "&amp;PJ!$B$6:$B$11,PJ!$T$6:$T$11,"",0,1)))</f>
        <v/>
      </c>
      <c r="AN20" s="879"/>
      <c r="AO20" s="32"/>
      <c r="AP20" s="561" t="str" cm="1">
        <f t="array" ref="AP20">IF(PJ!$AO$4&lt;3,"",_xlfn.XLOOKUP(C22,"Licence n° "&amp;PJ!$B$6:$B$11,PJ!$W$6:$W$11,"",0,1))</f>
        <v/>
      </c>
      <c r="AQ20" s="32"/>
      <c r="AS20" s="847" t="s">
        <v>8116</v>
      </c>
      <c r="AT20" s="32"/>
      <c r="AZ20" s="241"/>
    </row>
    <row r="21" spans="1:52" ht="12.6" customHeight="1" x14ac:dyDescent="0.25">
      <c r="A21" s="32"/>
      <c r="B21" s="32"/>
      <c r="C21" s="143" t="str" cm="1">
        <f t="array" ref="C21">IF(PJ!$AO$4=2,_xlfn.XLOOKUP(1,PJ!$M$6:$M$11,PJ!$K$6:$K$11&amp;" "&amp;PJ!$AS$6:$AS$11,"",0,1),IF(COUNT(PJ!$A$6:$A$11)&gt;2,PJ!$K8&amp;" - "&amp;PJ!$AS8," "))</f>
        <v xml:space="preserve"> </v>
      </c>
      <c r="D21" s="32"/>
      <c r="E21" s="144" t="str">
        <f>IF(F21="","","Pts")</f>
        <v/>
      </c>
      <c r="F21" s="880" t="str">
        <f>IF(PJ!$AO$4=2,"",IF(AND(COUNT(PJ!$A$6:$A$11)&gt;2,PJ!$CF20="P"),PJ!$CG20,""))</f>
        <v/>
      </c>
      <c r="G21" s="880"/>
      <c r="H21" s="144" t="str">
        <f>IF(F21="","","Rep.")</f>
        <v/>
      </c>
      <c r="I21" s="144"/>
      <c r="J21" s="144" t="str">
        <f>IF(K21="","","Pts")</f>
        <v/>
      </c>
      <c r="K21" s="880" t="str">
        <f>IF(PJ!$AO$4=2,"",IF(AND(COUNT(PJ!$A$6:$A$11)&gt;2,PJ!$CF19="P"),PJ!$CG19,""))</f>
        <v/>
      </c>
      <c r="L21" s="880"/>
      <c r="M21" s="144" t="str">
        <f>IF(K21="","","Rep.")</f>
        <v/>
      </c>
      <c r="N21" s="32"/>
      <c r="O21" s="885"/>
      <c r="P21" s="885"/>
      <c r="Q21" s="885"/>
      <c r="R21" s="885"/>
      <c r="S21" s="32"/>
      <c r="T21" s="144" t="str">
        <f>IF(U21="","","Pts")</f>
        <v/>
      </c>
      <c r="U21" s="880" t="str">
        <f>IF(PJ!$AO$4=2,PJ!X19,IF(AND(COUNT(PJ!$A$6:$A$11)&gt;2,PJ!$CF18="P"),PJ!$CG18,""))</f>
        <v/>
      </c>
      <c r="V21" s="880"/>
      <c r="W21" s="144" t="str">
        <f>IF(U21="","","Rep.")</f>
        <v/>
      </c>
      <c r="X21" s="144"/>
      <c r="Y21" s="144" t="str">
        <f>IF(Z21="","","Pts")</f>
        <v/>
      </c>
      <c r="Z21" s="880" t="str">
        <f>IF(PJ!$AO$4=2,"",IF(AND(COUNT(PJ!$A$6:$A$11)&gt;2,PJ!$CF17="P"),PJ!$CG17,""))</f>
        <v/>
      </c>
      <c r="AA21" s="880"/>
      <c r="AB21" s="144" t="str">
        <f>IF(Z21="","","Rep.")</f>
        <v/>
      </c>
      <c r="AC21" s="144"/>
      <c r="AD21" s="144" t="str">
        <f>IF(AE21="","","Pts")</f>
        <v/>
      </c>
      <c r="AE21" s="880" t="str">
        <f>IF(PJ!$AO$4=2,"",IF(AND(COUNT(PJ!$A$6:$A$11)&gt;2,PJ!$CF16="P"),PJ!$CG16,""))</f>
        <v/>
      </c>
      <c r="AF21" s="880"/>
      <c r="AG21" s="144" t="str">
        <f>IF(AE21="","","Rep.")</f>
        <v/>
      </c>
      <c r="AH21" s="32"/>
      <c r="AI21" s="32"/>
      <c r="AJ21" s="32"/>
      <c r="AK21" s="145" t="str">
        <f>IF(AL21="","","PM")</f>
        <v/>
      </c>
      <c r="AL21" s="881" t="str" cm="1">
        <f t="array" ref="AL21">IF(SUM(PJ!$Q$6:$Q$11)=0,"",IF(PJ!$AO$4&gt;2,IF(_xlfn.XLOOKUP('T PJ'!C22,"Licence n° "&amp;PJ!$B$6:$B$11,PJ!$AO$6:$AO$11,"",0,1)=1,"Forfait",_xlfn.XLOOKUP('T PJ'!C22,"Licence n° "&amp;PJ!$B$37:$B$42,PJ!$Q$37:$Q$42,"",0,1)),""))</f>
        <v/>
      </c>
      <c r="AM21" s="881"/>
      <c r="AN21" s="145" t="str">
        <f>IF(AL21="","","MGP")</f>
        <v/>
      </c>
      <c r="AO21" s="32"/>
      <c r="AP21" s="151" t="str">
        <f>IF(OR(PJ!$AO$4&lt;3,LEFT(PJ!$F$13)="F"),"","Pts Rk")</f>
        <v/>
      </c>
      <c r="AQ21" s="32"/>
      <c r="AS21" s="847"/>
      <c r="AT21" s="32"/>
    </row>
    <row r="22" spans="1:52" ht="12.6" customHeight="1" x14ac:dyDescent="0.25">
      <c r="A22" s="32"/>
      <c r="B22" s="32"/>
      <c r="C22" s="147" t="str">
        <f>IF(PJ!AO4=2,C12,IF(COUNT(PJ!A6:A11)&gt;2,"Licence n° "&amp;PJ!B8,"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IF(OR(PJ!$AO$4&lt;3,LEFT(PJ!$F$13)="F"),"","Bonus")</f>
        <v/>
      </c>
      <c r="AQ22" s="32"/>
      <c r="AS22" s="848" t="s">
        <v>8117</v>
      </c>
      <c r="AT22" s="32"/>
    </row>
    <row r="23" spans="1:52" ht="50.1" customHeight="1" x14ac:dyDescent="0.25">
      <c r="A23" s="32"/>
      <c r="B23" s="32"/>
      <c r="C23" s="149" t="str">
        <f>IF(PJ!AO4=2,C13,IF(COUNT(PJ!A6:A11)&gt;2,PJ!G8," "))</f>
        <v xml:space="preserve"> </v>
      </c>
      <c r="D23" s="32"/>
      <c r="E23" s="883" t="str">
        <f>IF(F21="","",IF(F21&gt;0,E20/G20,"/"))</f>
        <v/>
      </c>
      <c r="F23" s="883"/>
      <c r="G23" s="884" t="str">
        <f>IF(PJ!$AO$4=2,"",IF(AND(COUNT(PJ!$A$6:$A$11)&gt;2,PJ!$CF20="P"),PJ!$CD20,""))</f>
        <v/>
      </c>
      <c r="H23" s="884"/>
      <c r="I23" s="32"/>
      <c r="J23" s="883" t="str">
        <f>IF(K21="","",IF(K21&gt;0,J20/L20,"/"))</f>
        <v/>
      </c>
      <c r="K23" s="883"/>
      <c r="L23" s="884" t="str">
        <f>IF(PJ!$AO$4=2,"",IF(AND(COUNT(PJ!$A$6:$A$11)&gt;2,PJ!$CF19="P"),PJ!$CD19,""))</f>
        <v/>
      </c>
      <c r="M23" s="884"/>
      <c r="N23" s="32"/>
      <c r="O23" s="885"/>
      <c r="P23" s="885"/>
      <c r="Q23" s="885"/>
      <c r="R23" s="885"/>
      <c r="S23" s="32"/>
      <c r="T23" s="883" t="str">
        <f>IF(U21="","",IF(U21&gt;0,T20/V20,"/"))</f>
        <v/>
      </c>
      <c r="U23" s="883"/>
      <c r="V23" s="884" t="str">
        <f>IF(AND(PJ!$AO$4=2,PJ!$A19="P"),PJ!Q19,IF(AND(COUNT(PJ!$A$6:$A$11)&gt;2,PJ!$CF18="P"),PJ!$CD18,""))</f>
        <v/>
      </c>
      <c r="W23" s="884"/>
      <c r="X23" s="32"/>
      <c r="Y23" s="883" t="str">
        <f>IF(Z21="","",IF(Z21&gt;0,Y20/AA20,"/"))</f>
        <v/>
      </c>
      <c r="Z23" s="883"/>
      <c r="AA23" s="884" t="str">
        <f>IF(PJ!$AO$4=2,"",IF(AND(COUNT(PJ!$A$6:$A$11)&gt;2,PJ!$CF17="P"),PJ!$CD17,""))</f>
        <v/>
      </c>
      <c r="AB23" s="884"/>
      <c r="AC23" s="32"/>
      <c r="AD23" s="883" t="str">
        <f>IF(AE21="","",IF(AE21&gt;0,AD20/AF20,"/"))</f>
        <v/>
      </c>
      <c r="AE23" s="883"/>
      <c r="AF23" s="884" t="str">
        <f>IF(PJ!$AO$4=2,"",IF(AND(COUNT(PJ!$A$6:$A$11)&gt;2,PJ!$CF16="P"),PJ!$CD16,""))</f>
        <v/>
      </c>
      <c r="AG23" s="884"/>
      <c r="AH23" s="32"/>
      <c r="AI23" s="32"/>
      <c r="AJ23" s="32"/>
      <c r="AK23" s="883" t="str" cm="1">
        <f t="array" ref="AK23">IF(PJ!$AO$4&lt;3,"",IF(_xlfn.XLOOKUP('T PJ'!C22,"Licence n° "&amp;PJ!$B$6:$B$11,PJ!$AO$6:$AO$11,"",0,1)=1,"",_xlfn.XLOOKUP('T PJ'!C22,"Licence n° "&amp;PJ!$B$6:$B$11,PJ!$U$6:$U$11,"",0,1)))</f>
        <v/>
      </c>
      <c r="AL23" s="883"/>
      <c r="AM23" s="884" t="str" cm="1">
        <f t="array" ref="AM23">IF(PJ!$AO$4&lt;3,"",IF(_xlfn.XLOOKUP('T PJ'!C22,"Licence n° "&amp;PJ!$B$6:$B$11,PJ!$AO$6:$AO$11,"",0,1)=1,"",_xlfn.XLOOKUP('T PJ'!C22,"Licence n° "&amp;PJ!$B$6:$B$11,PJ!$S$6:$S$11,"",0,1)))</f>
        <v/>
      </c>
      <c r="AN23" s="884"/>
      <c r="AO23" s="32"/>
      <c r="AP23" s="562" t="str" cm="1">
        <f t="array" ref="AP23">IF(PJ!$AO$4&lt;3,"",_xlfn.XLOOKUP(C22,"Licence n° "&amp;PJ!$B$6:$B$11,PJ!$X$6:$X$11,"",0,1))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IF(PJ!AO4=2,C15,IF(COUNT(PJ!A6:A11)&gt;3,CONCATENATE(PJ!C9," ",LEFT(PJ!E9),"."),""))</f>
        <v/>
      </c>
      <c r="D25" s="32"/>
      <c r="E25" s="882" t="str">
        <f>IF(PJ!$AO$4=2,"",IF(AND(COUNT(PJ!$A$6:$A$11)&gt;2,PJ!$CF25="P"),PJ!$CC25,""))</f>
        <v/>
      </c>
      <c r="F25" s="882"/>
      <c r="G25" s="882" t="str">
        <f>IF(PJ!$AO$4=2,"",IF(AND(COUNT(PJ!$A$6:$A$11)&gt;2,PJ!$CF25="P"),PJ!$CE25,""))</f>
        <v/>
      </c>
      <c r="H25" s="882"/>
      <c r="I25" s="142"/>
      <c r="J25" s="882" t="str">
        <f>IF(PJ!$AO$4=2,"",IF(AND(COUNT(PJ!$A$6:$A$11)&gt;2,PJ!$CF24="P"),PJ!$CC24,""))</f>
        <v/>
      </c>
      <c r="K25" s="882"/>
      <c r="L25" s="882" t="str">
        <f>IF(PJ!$AO$4=2,"",IF(AND(COUNT(PJ!$A$6:$A$11)&gt;2,PJ!$CF24="P"),PJ!$CE24,""))</f>
        <v/>
      </c>
      <c r="M25" s="882"/>
      <c r="N25" s="142"/>
      <c r="O25" s="882" t="str">
        <f>IF(AND(PJ!$AO$4=2,PJ!$A19="P"),PJ!N19,IF(AND(COUNT(PJ!$A$6:$A$11)&gt;2,PJ!$CF23="P"),PJ!$CC23,""))</f>
        <v/>
      </c>
      <c r="P25" s="882"/>
      <c r="Q25" s="882" t="str">
        <f>IF(AND(PJ!$AO$4=2,PJ!$A19="P"),PJ!O19,IF(AND(COUNT(PJ!$A$6:$A$11)&gt;2,PJ!$CF23="P"),PJ!$CE23,""))</f>
        <v/>
      </c>
      <c r="R25" s="882"/>
      <c r="S25" s="32"/>
      <c r="T25" s="886" t="str">
        <f>IF(PJ!W35="NON",AG1,IF(OR(PJ!AO4=2,COUNT(PJ!A6:A11)&gt;3),_xlfn.XLOOKUP('T PJ'!C28,'LOGOS CLUBS'!$B$2:$B$65,'LOGOS CLUBS'!$C$2:$C$65,C28,0,1),""))</f>
        <v/>
      </c>
      <c r="U25" s="886"/>
      <c r="V25" s="886"/>
      <c r="W25" s="886"/>
      <c r="X25" s="32"/>
      <c r="Y25" s="882" t="str">
        <f>IF(PJ!$AO$4=2,"",IF(AND(COUNT(PJ!$A$6:$A$11)&gt;2,PJ!$CF22="P"),PJ!$CC22,""))</f>
        <v/>
      </c>
      <c r="Z25" s="882"/>
      <c r="AA25" s="882" t="str">
        <f>IF(PJ!$AO$4=2,"",IF(AND(COUNT(PJ!$A$6:$A$11)&gt;2,PJ!$CF22="P"),PJ!$CE22,""))</f>
        <v/>
      </c>
      <c r="AB25" s="882"/>
      <c r="AC25" s="142"/>
      <c r="AD25" s="882" t="str">
        <f>IF(PJ!$AO$4=2,"",IF(AND(COUNT(PJ!$A$6:$A$11)&gt;2,PJ!$CF21="P"),PJ!$CC21,""))</f>
        <v/>
      </c>
      <c r="AE25" s="882"/>
      <c r="AF25" s="882" t="str">
        <f>IF(PJ!$AO$4=2,"",IF(AND(COUNT(PJ!$A$6:$A$11)&gt;2,PJ!$CF21="P"),PJ!$CE21,""))</f>
        <v/>
      </c>
      <c r="AG25" s="882"/>
      <c r="AH25" s="32"/>
      <c r="AI25" s="32"/>
      <c r="AJ25" s="32"/>
      <c r="AK25" s="882" t="str" cm="1">
        <f t="array" ref="AK25">IF(PJ!$AO$4&lt;3,"",IF(_xlfn.XLOOKUP('T PJ'!C27,"Licence n° "&amp;PJ!$B$6:$B$11,PJ!$AO$6:$AO$11,"",0,1)=1,"",_xlfn.XLOOKUP('T PJ'!C27,"Licence n° "&amp;PJ!$B$6:$B$11,PJ!$V$6:$V$11,"",0,1)))</f>
        <v/>
      </c>
      <c r="AL25" s="882"/>
      <c r="AM25" s="879" t="str" cm="1">
        <f t="array" ref="AM25">IF(PJ!$AO$4&lt;3,"",IF(_xlfn.XLOOKUP('T PJ'!C27,"Licence n° "&amp;PJ!$B$6:$B$11,PJ!$AO$6:$AO$11,"",0,1)=1,"",_xlfn.XLOOKUP('T PJ'!C27,"Licence n° "&amp;PJ!$B$6:$B$11,PJ!$T$6:$T$11,"",0,1)))</f>
        <v/>
      </c>
      <c r="AN25" s="879"/>
      <c r="AO25" s="32"/>
      <c r="AP25" s="561" t="str" cm="1">
        <f t="array" ref="AP25">IF(OR(PJ!AO4&lt;3,COUNT(PJ!$A$6:$A$11&lt;3)),"",_xlfn.XLOOKUP(C27,"Licence n° "&amp;PJ!$B$6:$B$11,PJ!$W$6:$W$11,"",0,1))</f>
        <v/>
      </c>
      <c r="AQ25" s="32"/>
      <c r="AS25" s="849" t="s">
        <v>8118</v>
      </c>
      <c r="AT25" s="32"/>
    </row>
    <row r="26" spans="1:52" ht="12.6" customHeight="1" x14ac:dyDescent="0.25">
      <c r="A26" s="32"/>
      <c r="B26" s="32"/>
      <c r="C26" s="143" t="str" cm="1">
        <f t="array" ref="C26">IF(PJ!$AO$4=2,_xlfn.XLOOKUP(2,PJ!$M$6:$M$11,PJ!$K$6:$K$11&amp;" "&amp;PJ!$AS$6:$AS$11,"",0,1),IF(COUNT(PJ!$A$6:$A$11)&gt;3,PJ!$K9&amp;" - "&amp;PJ!$AS9," "))</f>
        <v xml:space="preserve"> </v>
      </c>
      <c r="D26" s="32"/>
      <c r="E26" s="144" t="str">
        <f>IF(F26="","","Pts")</f>
        <v/>
      </c>
      <c r="F26" s="880" t="str">
        <f>IF(PJ!$AO$4=2,"",IF(AND(COUNT(PJ!$A$6:$A$11)&gt;2,PJ!$CF25="P"),PJ!$CG25,""))</f>
        <v/>
      </c>
      <c r="G26" s="880"/>
      <c r="H26" s="144" t="str">
        <f>IF(F26="","","Rep.")</f>
        <v/>
      </c>
      <c r="I26" s="144"/>
      <c r="J26" s="144" t="str">
        <f>IF(K26="","","Pts")</f>
        <v/>
      </c>
      <c r="K26" s="880" t="str">
        <f>IF(PJ!$AO$4=2,"",IF(AND(COUNT(PJ!$A$6:$A$11)&gt;2,PJ!$CF24="P"),PJ!$CG24,""))</f>
        <v/>
      </c>
      <c r="L26" s="880"/>
      <c r="M26" s="144" t="str">
        <f>IF(K26="","","Rep.")</f>
        <v/>
      </c>
      <c r="N26" s="144"/>
      <c r="O26" s="144" t="str">
        <f>IF(P26="","","Pts")</f>
        <v/>
      </c>
      <c r="P26" s="880" t="str">
        <f>IF(PJ!$AO$4=2,PJ!D19,IF(AND(COUNT(PJ!$A$6:$A$11)&gt;2,PJ!$CF23="P"),PJ!$CG23,""))</f>
        <v/>
      </c>
      <c r="Q26" s="880"/>
      <c r="R26" s="144" t="str">
        <f>IF(P26="","","Rep.")</f>
        <v/>
      </c>
      <c r="S26" s="32"/>
      <c r="T26" s="886"/>
      <c r="U26" s="886"/>
      <c r="V26" s="886"/>
      <c r="W26" s="886"/>
      <c r="X26" s="32"/>
      <c r="Y26" s="144" t="str">
        <f>IF(Z26="","","Pts")</f>
        <v/>
      </c>
      <c r="Z26" s="880" t="str">
        <f>IF(PJ!$AO$4=2,"",IF(AND(COUNT(PJ!$A$6:$A$11)&gt;2,PJ!$CF22="P"),PJ!$CG22,""))</f>
        <v/>
      </c>
      <c r="AA26" s="880"/>
      <c r="AB26" s="144" t="str">
        <f>IF(Z26="","","Rep.")</f>
        <v/>
      </c>
      <c r="AC26" s="144"/>
      <c r="AD26" s="144" t="str">
        <f>IF(AE26="","","Pts")</f>
        <v/>
      </c>
      <c r="AE26" s="880" t="str">
        <f>IF(PJ!$AO$4=2,"",IF(AND(COUNT(PJ!$A$6:$A$11)&gt;2,PJ!$CF21="P"),PJ!$CG21,""))</f>
        <v/>
      </c>
      <c r="AF26" s="880"/>
      <c r="AG26" s="144" t="str">
        <f>IF(AE26="","","Rep.")</f>
        <v/>
      </c>
      <c r="AH26" s="32"/>
      <c r="AI26" s="32"/>
      <c r="AJ26" s="32"/>
      <c r="AK26" s="145" t="str">
        <f>IF(AL26="","","PM")</f>
        <v/>
      </c>
      <c r="AL26" s="881" t="str" cm="1">
        <f t="array" ref="AL26">IF(SUM(PJ!$Q$6:$Q$11)=0,"",IF(PJ!$AO$4&gt;2,IF(_xlfn.XLOOKUP('T PJ'!C27,"Licence n° "&amp;PJ!$B$6:$B$11,PJ!$AO$6:$AO$11,"",0,1)=1,"Forfait",_xlfn.XLOOKUP('T PJ'!C27,"Licence n° "&amp;PJ!$B$37:$B$42,PJ!$Q$37:$Q$42,"",0,1)),""))</f>
        <v/>
      </c>
      <c r="AM26" s="881"/>
      <c r="AN26" s="145" t="str">
        <f>IF(AL26="","","MGP")</f>
        <v/>
      </c>
      <c r="AO26" s="32"/>
      <c r="AP26" s="151" t="str">
        <f>IF(AND(COUNT(PJ!$A$6:$A$11)&gt;3,PJ!$AO$4&gt;2,LEFT(PJ!$F$13)="P"),"Pts Rk","")</f>
        <v/>
      </c>
      <c r="AQ26" s="32"/>
      <c r="AS26" s="849"/>
      <c r="AT26" s="32"/>
    </row>
    <row r="27" spans="1:52" ht="12.6" customHeight="1" x14ac:dyDescent="0.25">
      <c r="A27" s="32"/>
      <c r="B27" s="32"/>
      <c r="C27" s="147" t="str">
        <f>IF(PJ!AO4=2,C17,IF(COUNT(PJ!A6:A11)&gt;3,"Licence n° "&amp;PJ!B9,"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IF(AND(COUNT(PJ!$A$6:$A$11)&gt;3,PJ!$AO$4&gt;2,LEFT(PJ!$F$13)="P"),"Bonus","")</f>
        <v/>
      </c>
      <c r="AQ27" s="32"/>
      <c r="AS27" s="829" t="s">
        <v>8119</v>
      </c>
      <c r="AT27" s="32"/>
    </row>
    <row r="28" spans="1:52" ht="50.1" customHeight="1" x14ac:dyDescent="0.25">
      <c r="A28" s="32"/>
      <c r="B28" s="32"/>
      <c r="C28" s="149" t="str">
        <f>IF(PJ!AO4=2,C18,IF(COUNT(PJ!A6:A11)&gt;3,PJ!G9," "))</f>
        <v xml:space="preserve"> </v>
      </c>
      <c r="D28" s="32"/>
      <c r="E28" s="883" t="str">
        <f>IF(F26="","",IF(F26&gt;0,E25/G25,"/"))</f>
        <v/>
      </c>
      <c r="F28" s="883"/>
      <c r="G28" s="884" t="str">
        <f>IF(PJ!$AO$4=2,"",IF(AND(COUNT(PJ!$A$6:$A$11)&gt;2,PJ!$CF25="P"),PJ!$CD25,""))</f>
        <v/>
      </c>
      <c r="H28" s="884"/>
      <c r="I28" s="32"/>
      <c r="J28" s="883" t="str">
        <f>IF(K26="","",IF(K26&gt;0,J25/L25,"/"))</f>
        <v/>
      </c>
      <c r="K28" s="883"/>
      <c r="L28" s="884" t="str">
        <f>IF(PJ!$AO$4=2,"",IF(AND(COUNT(PJ!$A$6:$A$11)&gt;2,PJ!$CF24="P"),PJ!$CD24,""))</f>
        <v/>
      </c>
      <c r="M28" s="884"/>
      <c r="N28" s="32"/>
      <c r="O28" s="883" t="str">
        <f>IF(P26="","",IF(P26&gt;0,O25/Q25,"/"))</f>
        <v/>
      </c>
      <c r="P28" s="883"/>
      <c r="Q28" s="884" t="str">
        <f>IF(AND(PJ!$AO$4=2,PJ!$A19="P"),PJ!M19,IF(AND(COUNT(PJ!$A$6:$A$11)&gt;2,PJ!$CF23="P"),PJ!$CD23,""))</f>
        <v/>
      </c>
      <c r="R28" s="884"/>
      <c r="S28" s="32"/>
      <c r="T28" s="886"/>
      <c r="U28" s="886"/>
      <c r="V28" s="886"/>
      <c r="W28" s="886"/>
      <c r="X28" s="32"/>
      <c r="Y28" s="883" t="str">
        <f>IF(Z26="","",IF(Z26&gt;0,Y25/AA25,"/"))</f>
        <v/>
      </c>
      <c r="Z28" s="883"/>
      <c r="AA28" s="884" t="str">
        <f>IF(PJ!$AO$4=2,"",IF(AND(COUNT(PJ!$A$6:$A$11)&gt;2,PJ!$CF22="P"),PJ!$CD22,""))</f>
        <v/>
      </c>
      <c r="AB28" s="884"/>
      <c r="AC28" s="32"/>
      <c r="AD28" s="883" t="str">
        <f>IF(AE26="","",IF(AE26&gt;0,AD25/AF25,"/"))</f>
        <v/>
      </c>
      <c r="AE28" s="883"/>
      <c r="AF28" s="884" t="str">
        <f>IF(PJ!$AO$4=2,"",IF(AND(COUNT(PJ!$A$6:$A$11)&gt;2,PJ!$CF21="P"),PJ!$CD21,""))</f>
        <v/>
      </c>
      <c r="AG28" s="884"/>
      <c r="AH28" s="32"/>
      <c r="AI28" s="32"/>
      <c r="AJ28" s="32"/>
      <c r="AK28" s="883" t="str" cm="1">
        <f t="array" ref="AK28">IF(PJ!$AO$4&lt;3,"",IF(_xlfn.XLOOKUP('T PJ'!C27,"Licence n° "&amp;PJ!$B$6:$B$11,PJ!$AO$6:$AO$11,"",0,1)=1,"",_xlfn.XLOOKUP('T PJ'!C27,"Licence n° "&amp;PJ!$B$6:$B$11,PJ!$U$6:$U$11,"",0,1)))</f>
        <v/>
      </c>
      <c r="AL28" s="883"/>
      <c r="AM28" s="884" t="str" cm="1">
        <f t="array" ref="AM28">IF(PJ!$AO$4&lt;3,"",IF(_xlfn.XLOOKUP('T PJ'!C27,"Licence n° "&amp;PJ!$B$6:$B$11,PJ!$AO$6:$AO$11,"",0,1)=1,"",_xlfn.XLOOKUP('T PJ'!C27,"Licence n° "&amp;PJ!$B$6:$B$11,PJ!$S$6:$S$11,"",0,1)))</f>
        <v/>
      </c>
      <c r="AN28" s="884"/>
      <c r="AO28" s="32"/>
      <c r="AP28" s="562" t="str" cm="1">
        <f t="array" ref="AP28">IF(OR(PJ!AO4&lt;3,COUNT(PJ!$A$6:$A$11)&lt;4),"",_xlfn.XLOOKUP(C27,"Licence n° "&amp;PJ!$B$6:$B$11,PJ!$X$6:$X$11,"",0,1))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IF(PJ!AO4=2,"",IF(COUNT(PJ!A6:A11)&gt;4,CONCATENATE(PJ!C10," ",LEFT(PJ!E10),"."),""))</f>
        <v/>
      </c>
      <c r="D30" s="32"/>
      <c r="E30" s="882" t="str">
        <f>IF(PJ!$AO$4=2,"",IF(AND(COUNT(PJ!$A$6:$A$11)&gt;2,PJ!$CF30="P"),PJ!$CC30,""))</f>
        <v/>
      </c>
      <c r="F30" s="882"/>
      <c r="G30" s="882" t="str">
        <f>IF(PJ!$AO$4=2,"",IF(AND(COUNT(PJ!$A$6:$A$11)&gt;2,PJ!$CF30="P"),PJ!$CE30,""))</f>
        <v/>
      </c>
      <c r="H30" s="882"/>
      <c r="I30" s="142"/>
      <c r="J30" s="882" t="str">
        <f>IF(PJ!$AO$4=2,"",IF(AND(COUNT(PJ!$A$6:$A$11)&gt;2,PJ!$CF29="P"),PJ!$CC29,""))</f>
        <v/>
      </c>
      <c r="K30" s="882"/>
      <c r="L30" s="882" t="str">
        <f>IF(PJ!$AO$4=2,"",IF(AND(COUNT(PJ!$A$6:$A$11)&gt;2,PJ!$CF29="P"),PJ!$CE29,""))</f>
        <v/>
      </c>
      <c r="M30" s="882"/>
      <c r="N30" s="142"/>
      <c r="O30" s="882" t="str">
        <f>IF(PJ!$AO$4=2,"",IF(AND(COUNT(PJ!$A$6:$A$11)&gt;2,PJ!$CF28="P"),PJ!$CC28,""))</f>
        <v/>
      </c>
      <c r="P30" s="882"/>
      <c r="Q30" s="882" t="str">
        <f>IF(PJ!$AO$4=2,"",IF(AND(COUNT(PJ!$A$6:$A$11)&gt;2,PJ!$CF28="P"),PJ!$CE28,""))</f>
        <v/>
      </c>
      <c r="R30" s="882"/>
      <c r="S30" s="142"/>
      <c r="T30" s="882" t="str">
        <f>IF(PJ!$AO$4=2,"",IF(AND(COUNT(PJ!$A$6:$A$11)&gt;2,PJ!$CF27="P"),PJ!$CC27,""))</f>
        <v/>
      </c>
      <c r="U30" s="882"/>
      <c r="V30" s="882" t="str">
        <f>IF(PJ!$AO$4=2,"",IF(AND(COUNT(PJ!$A$6:$A$11)&gt;2,PJ!$CF27="P"),PJ!$CE27,""))</f>
        <v/>
      </c>
      <c r="W30" s="882"/>
      <c r="X30" s="32"/>
      <c r="Y30" s="887" t="str">
        <f>IF(PJ!W35="NON",AG1,IF(PJ!AO4=2,"",IF(COUNT(PJ!A6:A11)&gt;4,_xlfn.XLOOKUP('T PJ'!C33,'LOGOS CLUBS'!$B$2:$B$65,'LOGOS CLUBS'!$C$2:$C$65,C33,0,1),"")))</f>
        <v/>
      </c>
      <c r="Z30" s="887"/>
      <c r="AA30" s="887"/>
      <c r="AB30" s="887"/>
      <c r="AC30" s="32"/>
      <c r="AD30" s="882" t="str">
        <f>IF(PJ!$AO$4=2,"",IF(AND(COUNT(PJ!$A$6:$A$11)&gt;2,PJ!$CF26="P"),PJ!$CC26,""))</f>
        <v/>
      </c>
      <c r="AE30" s="882"/>
      <c r="AF30" s="882" t="str">
        <f>IF(PJ!$AO$4=2,"",IF(AND(COUNT(PJ!$A$6:$A$11)&gt;2,PJ!$CF26="P"),PJ!$CE26,""))</f>
        <v/>
      </c>
      <c r="AG30" s="882"/>
      <c r="AH30" s="32"/>
      <c r="AI30" s="32"/>
      <c r="AJ30" s="32"/>
      <c r="AK30" s="882" t="str" cm="1">
        <f t="array" ref="AK30">IF(PJ!$AO$4&lt;3,"",IF(_xlfn.XLOOKUP('T PJ'!C32,"Licence n° "&amp;PJ!$B$6:$B$11,PJ!$AO$6:$AO$11,"",0,1)=1,"",_xlfn.XLOOKUP('T PJ'!C32,"Licence n° "&amp;PJ!$B$6:$B$11,PJ!$V$6:$V$11,"",0,1)))</f>
        <v/>
      </c>
      <c r="AL30" s="882"/>
      <c r="AM30" s="879" t="str" cm="1">
        <f t="array" ref="AM30">IF(PJ!$AO$4&lt;3,"",IF(_xlfn.XLOOKUP('T PJ'!C32,"Licence n° "&amp;PJ!$B$6:$B$11,PJ!$AO$6:$AO$11,"",0,1)=1,"",_xlfn.XLOOKUP('T PJ'!C32,"Licence n° "&amp;PJ!$B$6:$B$11,PJ!$T$6:$T$11,"",0,1)))</f>
        <v/>
      </c>
      <c r="AN30" s="879"/>
      <c r="AO30" s="32"/>
      <c r="AP30" s="561" t="str" cm="1">
        <f t="array" ref="AP30">_xlfn.XLOOKUP(C32,"Licence n° "&amp;PJ!$B$6:$B$11,PJ!$W$6:$W$11,"",0,1)</f>
        <v/>
      </c>
      <c r="AQ30" s="32"/>
      <c r="AS30" s="830" t="s">
        <v>8120</v>
      </c>
      <c r="AT30" s="32"/>
    </row>
    <row r="31" spans="1:52" ht="12.6" customHeight="1" x14ac:dyDescent="0.25">
      <c r="A31" s="32"/>
      <c r="B31" s="32"/>
      <c r="C31" s="143" t="str">
        <f>IF(PJ!$AO$4=2,"",IF(COUNT(PJ!$A$6:$A$11)&gt;4,PJ!$K10&amp;" - "&amp;PJ!$AS10," "))</f>
        <v xml:space="preserve"> </v>
      </c>
      <c r="D31" s="32"/>
      <c r="E31" s="144" t="str">
        <f>IF(F31="","","Pts")</f>
        <v/>
      </c>
      <c r="F31" s="880" t="str">
        <f>IF(PJ!$AO$4=2,"",IF(AND(COUNT(PJ!$A$6:$A$11)&gt;2,PJ!$CF30="P"),PJ!$CG30,""))</f>
        <v/>
      </c>
      <c r="G31" s="880"/>
      <c r="H31" s="144" t="str">
        <f>IF(F31="","","Rep.")</f>
        <v/>
      </c>
      <c r="I31" s="144"/>
      <c r="J31" s="144" t="str">
        <f>IF(K31="","","Pts")</f>
        <v/>
      </c>
      <c r="K31" s="880" t="str">
        <f>IF(PJ!$AO$4=2,"",IF(AND(COUNT(PJ!$A$6:$A$11)&gt;2,PJ!$CF29="P"),PJ!$CG29,""))</f>
        <v/>
      </c>
      <c r="L31" s="880"/>
      <c r="M31" s="144" t="str">
        <f>IF(K31="","","Rep.")</f>
        <v/>
      </c>
      <c r="N31" s="144"/>
      <c r="O31" s="144" t="str">
        <f>IF(P31="","","Pts")</f>
        <v/>
      </c>
      <c r="P31" s="880" t="str">
        <f>IF(PJ!$AO$4=2,"",IF(AND(COUNT(PJ!$A$6:$A$11)&gt;2,PJ!$CF28="P"),PJ!$CG28,""))</f>
        <v/>
      </c>
      <c r="Q31" s="880"/>
      <c r="R31" s="144" t="str">
        <f>IF(P31="","","Rep.")</f>
        <v/>
      </c>
      <c r="S31" s="144"/>
      <c r="T31" s="144" t="str">
        <f>IF(U31="","","Pts")</f>
        <v/>
      </c>
      <c r="U31" s="880" t="str">
        <f>IF(PJ!$AO$4=2,"",IF(AND(COUNT(PJ!$A$6:$A$11)&gt;2,PJ!$CF27="P"),PJ!$CG27,""))</f>
        <v/>
      </c>
      <c r="V31" s="880"/>
      <c r="W31" s="144" t="str">
        <f>IF(U31="","","Rep.")</f>
        <v/>
      </c>
      <c r="X31" s="32"/>
      <c r="Y31" s="887"/>
      <c r="Z31" s="887"/>
      <c r="AA31" s="887"/>
      <c r="AB31" s="887"/>
      <c r="AC31" s="32"/>
      <c r="AD31" s="144" t="str">
        <f>IF(AE31="","","Pts")</f>
        <v/>
      </c>
      <c r="AE31" s="880" t="str">
        <f>IF(PJ!$AO$4=2,"",IF(AND(COUNT(PJ!$A$6:$A$11)&gt;2,PJ!$CF26="P"),PJ!$CG26,""))</f>
        <v/>
      </c>
      <c r="AF31" s="880"/>
      <c r="AG31" s="144" t="str">
        <f>IF(AE31="","","Rep.")</f>
        <v/>
      </c>
      <c r="AH31" s="32"/>
      <c r="AI31" s="32"/>
      <c r="AJ31" s="32"/>
      <c r="AK31" s="145" t="str">
        <f>IF(AL31="","","PM")</f>
        <v/>
      </c>
      <c r="AL31" s="881" t="str" cm="1">
        <f t="array" ref="AL31">IF(SUM(PJ!$Q$6:$Q$11)=0,"",IF(PJ!$AO$4&gt;2,IF(_xlfn.XLOOKUP('T PJ'!C32,"Licence n° "&amp;PJ!$B$6:$B$11,PJ!$AO$6:$AO$11,"",0,1)=1,"Forfait",_xlfn.XLOOKUP('T PJ'!C32,"Licence n° "&amp;PJ!$B$37:$B$42,PJ!$Q$37:$Q$42,"",0,1)),""))</f>
        <v/>
      </c>
      <c r="AM31" s="881"/>
      <c r="AN31" s="145" t="str">
        <f>IF(AL31="","","MGP")</f>
        <v/>
      </c>
      <c r="AO31" s="32"/>
      <c r="AP31" s="151" t="str">
        <f>IF(AND(COUNT(PJ!$A$6:$A$11)&gt;4,PJ!$AO$4&gt;2,LEFT(PJ!$F$13)="P"),"Pts Rk","")</f>
        <v/>
      </c>
      <c r="AQ31" s="32"/>
      <c r="AS31" s="830"/>
      <c r="AT31" s="32"/>
    </row>
    <row r="32" spans="1:52" ht="12.6" customHeight="1" x14ac:dyDescent="0.25">
      <c r="A32" s="32"/>
      <c r="B32" s="32"/>
      <c r="C32" s="147" t="str">
        <f>IF(PJ!AO4=2,"",IF(COUNT(PJ!A6:A11)&gt;4,"Licence n° "&amp;PJ!B10,"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IF(AND(COUNT(PJ!$A$6:$A$11)&gt;4,PJ!$AO$4&gt;2,LEFT(PJ!$F$13)="P"),"Bonus","")</f>
        <v/>
      </c>
      <c r="AQ32" s="32"/>
      <c r="AS32" s="831" t="s">
        <v>8121</v>
      </c>
      <c r="AT32" s="32"/>
    </row>
    <row r="33" spans="1:46" ht="50.1" customHeight="1" x14ac:dyDescent="0.25">
      <c r="A33" s="32"/>
      <c r="B33" s="32"/>
      <c r="C33" s="149" t="str">
        <f>IF(PJ!AO4=2,"",IF(COUNT(PJ!A6:A11)&gt;4,PJ!G10," "))</f>
        <v xml:space="preserve"> </v>
      </c>
      <c r="D33" s="32"/>
      <c r="E33" s="883" t="str">
        <f>IF(F31="","",IF(F31&gt;0,E30/G30,"/"))</f>
        <v/>
      </c>
      <c r="F33" s="883"/>
      <c r="G33" s="884" t="str">
        <f>IF(PJ!$AO$4=2,"",IF(AND(COUNT(PJ!$A$6:$A$11)&gt;2,PJ!$CF30="P"),PJ!$CD30,""))</f>
        <v/>
      </c>
      <c r="H33" s="884"/>
      <c r="I33" s="32"/>
      <c r="J33" s="883" t="str">
        <f>IF(K31="","",IF(K31&gt;0,J30/L30,"/"))</f>
        <v/>
      </c>
      <c r="K33" s="883"/>
      <c r="L33" s="884" t="str">
        <f>IF(PJ!$AO$4=2,"",IF(AND(COUNT(PJ!$A$6:$A$11)&gt;2,PJ!$CF29="P"),PJ!$CD29,""))</f>
        <v/>
      </c>
      <c r="M33" s="884"/>
      <c r="N33" s="32"/>
      <c r="O33" s="883" t="str">
        <f>IF(P31="","",IF(P31&gt;0,O30/Q30,"/"))</f>
        <v/>
      </c>
      <c r="P33" s="883"/>
      <c r="Q33" s="884" t="str">
        <f>IF(PJ!$AO$4=2,"",IF(AND(COUNT(PJ!$A$6:$A$11)&gt;2,PJ!$CF28="P"),PJ!$CD28,""))</f>
        <v/>
      </c>
      <c r="R33" s="884"/>
      <c r="S33" s="32"/>
      <c r="T33" s="883" t="str">
        <f>IF(U31="","",IF(U31&gt;0,T30/V30,"/"))</f>
        <v/>
      </c>
      <c r="U33" s="883"/>
      <c r="V33" s="884" t="str">
        <f>IF(PJ!$AO$4=2,"",IF(AND(COUNT(PJ!$A$6:$A$11)&gt;2,PJ!$CF27="P"),PJ!$CD27,""))</f>
        <v/>
      </c>
      <c r="W33" s="884"/>
      <c r="X33" s="32"/>
      <c r="Y33" s="887"/>
      <c r="Z33" s="887"/>
      <c r="AA33" s="887"/>
      <c r="AB33" s="887"/>
      <c r="AC33" s="32"/>
      <c r="AD33" s="883" t="str">
        <f>IF(AE31="","",IF(AE31&gt;0,AD30/AF30,"/"))</f>
        <v/>
      </c>
      <c r="AE33" s="883"/>
      <c r="AF33" s="884" t="str">
        <f>IF(PJ!$AO$4=2,"",IF(AND(COUNT(PJ!$A$6:$A$11)&gt;2,PJ!$CF26="P"),PJ!$CD26,""))</f>
        <v/>
      </c>
      <c r="AG33" s="884"/>
      <c r="AH33" s="32"/>
      <c r="AI33" s="32"/>
      <c r="AJ33" s="32"/>
      <c r="AK33" s="883" t="str" cm="1">
        <f t="array" ref="AK33">IF(PJ!$AO$4&lt;3,"",IF(_xlfn.XLOOKUP('T PJ'!C32,"Licence n° "&amp;PJ!$B$6:$B$11,PJ!$AO$6:$AO$11,"",0,1)=1,"",_xlfn.XLOOKUP('T PJ'!C32,"Licence n° "&amp;PJ!$B$6:$B$11,PJ!$U$6:$U$11,"",0,1)))</f>
        <v/>
      </c>
      <c r="AL33" s="883"/>
      <c r="AM33" s="884" t="str" cm="1">
        <f t="array" ref="AM33">IF(PJ!$AO$4&lt;3,"",IF(_xlfn.XLOOKUP('T PJ'!C32,"Licence n° "&amp;PJ!$B$6:$B$11,PJ!$AO$6:$AO$11,"",0,1)=1,"",_xlfn.XLOOKUP('T PJ'!C32,"Licence n° "&amp;PJ!$B$6:$B$11,PJ!$S$6:$S$11,"",0,1)))</f>
        <v/>
      </c>
      <c r="AN33" s="884"/>
      <c r="AO33" s="32"/>
      <c r="AP33" s="562" t="str" cm="1">
        <f t="array" ref="AP33">_xlfn.XLOOKUP(C32,"Licence n° "&amp;PJ!$B$6:$B$11,PJ!$X$6:$X$11,"",0,1)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IF(PJ!AO4=2,"",IF(COUNT(PJ!A6:A11)&gt;5,CONCATENATE(PJ!C11," ",LEFT(PJ!E11),"."),""))</f>
        <v/>
      </c>
      <c r="D35" s="32"/>
      <c r="E35" s="882" t="str">
        <f>IF(PJ!$AO$4=2,"",IF(AND(COUNT(PJ!$A$6:$A$11)&gt;2,PJ!$CF35="P"),PJ!$CC35,""))</f>
        <v/>
      </c>
      <c r="F35" s="882"/>
      <c r="G35" s="882" t="str">
        <f>IF(PJ!$AO$4=2,"",IF(AND(COUNT(PJ!$A$6:$A$11)&gt;2,PJ!$CF35="P"),PJ!$CE35,""))</f>
        <v/>
      </c>
      <c r="H35" s="882"/>
      <c r="I35" s="142"/>
      <c r="J35" s="882" t="str">
        <f>IF(PJ!$AO$4=2,"",IF(AND(COUNT(PJ!$A$6:$A$11)&gt;2,PJ!$CF34="P"),PJ!$CC34,""))</f>
        <v/>
      </c>
      <c r="K35" s="882"/>
      <c r="L35" s="882" t="str">
        <f>IF(PJ!$AO$4=2,"",IF(AND(COUNT(PJ!$A$6:$A$11)&gt;2,PJ!$CF34="P"),PJ!$CE34,""))</f>
        <v/>
      </c>
      <c r="M35" s="882"/>
      <c r="N35" s="142"/>
      <c r="O35" s="882" t="str">
        <f>IF(PJ!$AO$4=2,"",IF(AND(COUNT(PJ!$A$6:$A$11)&gt;2,PJ!$CF33="P"),PJ!$CC33,""))</f>
        <v/>
      </c>
      <c r="P35" s="882"/>
      <c r="Q35" s="882" t="str">
        <f>IF(PJ!$AO$4=2,"",IF(AND(COUNT(PJ!$A$6:$A$11)&gt;2,PJ!$CF33="P"),PJ!$CE33,""))</f>
        <v/>
      </c>
      <c r="R35" s="882"/>
      <c r="S35" s="142"/>
      <c r="T35" s="882" t="str">
        <f>IF(PJ!$AO$4=2,"",IF(AND(COUNT(PJ!$A$6:$A$11)&gt;2,PJ!$CF32="P"),PJ!$CC32,""))</f>
        <v/>
      </c>
      <c r="U35" s="882"/>
      <c r="V35" s="882" t="str">
        <f>IF(PJ!$AO$4=2,"",IF(AND(COUNT(PJ!$A$6:$A$11)&gt;2,PJ!$CF32="P"),PJ!$CE32,""))</f>
        <v/>
      </c>
      <c r="W35" s="882"/>
      <c r="X35" s="142"/>
      <c r="Y35" s="882" t="str">
        <f>IF(PJ!$AO$4=2,"",IF(AND(COUNT(PJ!$A$6:$A$11)&gt;2,PJ!$CF31="P"),PJ!$CC31,""))</f>
        <v/>
      </c>
      <c r="Z35" s="882"/>
      <c r="AA35" s="882" t="str">
        <f>IF(PJ!$AO$4=2,"",IF(AND(COUNT(PJ!$A$6:$A$11)&gt;2,PJ!$CF31="P"),PJ!$CE31,""))</f>
        <v/>
      </c>
      <c r="AB35" s="882"/>
      <c r="AC35" s="32"/>
      <c r="AD35" s="885" t="str">
        <f>IF(PJ!W35="NON",AG1,IF(PJ!AO4=2,"",IF(COUNT(PJ!A6:A11)&gt;5,_xlfn.XLOOKUP('T PJ'!C38,'LOGOS CLUBS'!$B$2:$B$65,'LOGOS CLUBS'!$C$2:$C$65,C38,0,1),"")))</f>
        <v/>
      </c>
      <c r="AE35" s="885"/>
      <c r="AF35" s="885"/>
      <c r="AG35" s="885"/>
      <c r="AH35" s="32"/>
      <c r="AI35" s="32"/>
      <c r="AJ35" s="32"/>
      <c r="AK35" s="882" t="str" cm="1">
        <f t="array" ref="AK35">IF(PJ!$AO$4&lt;3,"",IF(_xlfn.XLOOKUP('T PJ'!C37,"Licence n° "&amp;PJ!$B$6:$B$11,PJ!$AO$6:$AO$11,"",0,1)=1,"",_xlfn.XLOOKUP('T PJ'!C37,"Licence n° "&amp;PJ!$B$6:$B$11,PJ!$V$6:$V$11,"",0,1)))</f>
        <v/>
      </c>
      <c r="AL35" s="882"/>
      <c r="AM35" s="879" t="str" cm="1">
        <f t="array" ref="AM35">IF(PJ!$AO$4&lt;3,"",IF(_xlfn.XLOOKUP('T PJ'!C37,"Licence n° "&amp;PJ!$B$6:$B$11,PJ!$AO$6:$AO$11,"",0,1)=1,"",_xlfn.XLOOKUP('T PJ'!C37,"Licence n° "&amp;PJ!$B$6:$B$11,PJ!$T$6:$T$11,"",0,1)))</f>
        <v/>
      </c>
      <c r="AN35" s="879"/>
      <c r="AO35" s="32"/>
      <c r="AP35" s="561" t="str" cm="1">
        <f t="array" ref="AP35">_xlfn.XLOOKUP(C37,"Licence n° "&amp;PJ!$B$6:$B$11,PJ!$W$6:$W$11,"",0,1)</f>
        <v/>
      </c>
      <c r="AQ35" s="32"/>
      <c r="AS35" s="832" t="s">
        <v>8124</v>
      </c>
      <c r="AT35" s="32"/>
    </row>
    <row r="36" spans="1:46" ht="12.6" customHeight="1" x14ac:dyDescent="0.25">
      <c r="A36" s="32"/>
      <c r="B36" s="32"/>
      <c r="C36" s="143" t="str">
        <f>IF(PJ!$AO$4=2,"",IF(COUNT(PJ!$A$6:$A$11)&gt;5,PJ!$K11&amp;" - "&amp;PJ!$AS11," "))</f>
        <v xml:space="preserve"> </v>
      </c>
      <c r="D36" s="32"/>
      <c r="E36" s="144" t="str">
        <f>IF(F36="","","Pts")</f>
        <v/>
      </c>
      <c r="F36" s="880" t="str">
        <f>IF(PJ!$AO$4=2,"",IF(AND(COUNT(PJ!$A$6:$A$11)&gt;2,PJ!$CF35="P"),PJ!$CG35,""))</f>
        <v/>
      </c>
      <c r="G36" s="880"/>
      <c r="H36" s="144" t="str">
        <f>IF(F36="","","Rep.")</f>
        <v/>
      </c>
      <c r="I36" s="144"/>
      <c r="J36" s="144" t="str">
        <f>IF(K36="","","Pts")</f>
        <v/>
      </c>
      <c r="K36" s="880" t="str">
        <f>IF(PJ!$AO$4=2,"",IF(AND(COUNT(PJ!$A$6:$A$11)&gt;2,PJ!$CF34="P"),PJ!$CG34,""))</f>
        <v/>
      </c>
      <c r="L36" s="880"/>
      <c r="M36" s="144" t="str">
        <f>IF(K36="","","Rep.")</f>
        <v/>
      </c>
      <c r="N36" s="144"/>
      <c r="O36" s="144" t="str">
        <f>IF(P36="","","Pts")</f>
        <v/>
      </c>
      <c r="P36" s="880" t="str">
        <f>IF(PJ!$AO$4=2,"",IF(AND(COUNT(PJ!$A$6:$A$11)&gt;2,PJ!$CF33="P"),PJ!$CG33,""))</f>
        <v/>
      </c>
      <c r="Q36" s="880"/>
      <c r="R36" s="144" t="str">
        <f>IF(P36="","","Rep.")</f>
        <v/>
      </c>
      <c r="S36" s="144"/>
      <c r="T36" s="144" t="str">
        <f>IF(U36="","","Pts")</f>
        <v/>
      </c>
      <c r="U36" s="880" t="str">
        <f>IF(PJ!$AO$4=2,"",IF(AND(COUNT(PJ!$A$6:$A$11)&gt;2,PJ!$CF32="P"),PJ!$CG32,""))</f>
        <v/>
      </c>
      <c r="V36" s="880"/>
      <c r="W36" s="144" t="str">
        <f>IF(U36="","","Rep.")</f>
        <v/>
      </c>
      <c r="X36" s="144"/>
      <c r="Y36" s="144" t="str">
        <f>IF(Z36="","","Pts")</f>
        <v/>
      </c>
      <c r="Z36" s="880" t="str">
        <f>IF(PJ!$AO$4=2,"",IF(AND(COUNT(PJ!$A$6:$A$11)&gt;2,PJ!$CF31="P"),PJ!$CG31,""))</f>
        <v/>
      </c>
      <c r="AA36" s="880"/>
      <c r="AB36" s="144" t="str">
        <f>IF(Z36="","","Rep.")</f>
        <v/>
      </c>
      <c r="AC36" s="32"/>
      <c r="AD36" s="885"/>
      <c r="AE36" s="885"/>
      <c r="AF36" s="885"/>
      <c r="AG36" s="885"/>
      <c r="AH36" s="32"/>
      <c r="AI36" s="32"/>
      <c r="AJ36" s="32"/>
      <c r="AK36" s="145" t="str">
        <f>IF(AL36="","","PM")</f>
        <v/>
      </c>
      <c r="AL36" s="881" t="str" cm="1">
        <f t="array" ref="AL36">IF(SUM(PJ!$Q$6:$Q$11)=0,"",IF(PJ!$AO$4&gt;2,IF(_xlfn.XLOOKUP('T PJ'!C37,"Licence n° "&amp;PJ!$B$6:$B$11,PJ!$AO$6:$AO$11,"",0,1)=1,"Forfait",_xlfn.XLOOKUP('T PJ'!C37,"Licence n° "&amp;PJ!$B$37:$B$42,PJ!$Q$37:$Q$42,"",0,1)),""))</f>
        <v/>
      </c>
      <c r="AM36" s="881"/>
      <c r="AN36" s="145" t="str">
        <f>IF(AL36="","","MGP")</f>
        <v/>
      </c>
      <c r="AO36" s="32"/>
      <c r="AP36" s="151" t="str">
        <f>IF(AND(COUNT(PJ!$A$6:$A$11)&gt;5,PJ!$AO$4&gt;2,LEFT(PJ!$F$13)="P"),"Pts Rk","")</f>
        <v/>
      </c>
      <c r="AQ36" s="32"/>
      <c r="AS36" s="832"/>
      <c r="AT36" s="32"/>
    </row>
    <row r="37" spans="1:46" ht="12.6" customHeight="1" x14ac:dyDescent="0.25">
      <c r="A37" s="32"/>
      <c r="B37" s="32"/>
      <c r="C37" s="147" t="str">
        <f>IF(PJ!AO4=2,"",IF(COUNT(PJ!A6:A11)&gt;5,"Licence n° "&amp;PJ!B11,"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IF(AND(COUNT(PJ!$A$6:$A$11)&gt;5,PJ!$AO$4&gt;2,LEFT(PJ!$F$13)="P"),"Bonus","")</f>
        <v/>
      </c>
      <c r="AQ37" s="32"/>
      <c r="AS37" s="833" t="s">
        <v>8125</v>
      </c>
      <c r="AT37" s="32"/>
    </row>
    <row r="38" spans="1:46" ht="50.1" customHeight="1" thickBot="1" x14ac:dyDescent="0.3">
      <c r="A38" s="32"/>
      <c r="B38" s="32"/>
      <c r="C38" s="149" t="str">
        <f>IF(PJ!AO4=2,"",IF(COUNT(PJ!A6:A11)&gt;5,PJ!G11," "))</f>
        <v xml:space="preserve"> </v>
      </c>
      <c r="D38" s="32"/>
      <c r="E38" s="883" t="str">
        <f>IF(F36="","",IF(F36&gt;0,E35/G35,"/"))</f>
        <v/>
      </c>
      <c r="F38" s="883"/>
      <c r="G38" s="884" t="str">
        <f>IF(PJ!$AO$4=2,"",IF(AND(COUNT(PJ!$A$6:$A$11)&gt;2,PJ!$CF35="P"),PJ!$CD35,""))</f>
        <v/>
      </c>
      <c r="H38" s="884"/>
      <c r="I38" s="32"/>
      <c r="J38" s="883" t="str">
        <f>IF(K36="","",IF(K36&gt;0,J35/L35,"/"))</f>
        <v/>
      </c>
      <c r="K38" s="883"/>
      <c r="L38" s="884" t="str">
        <f>IF(PJ!$AO$4=2,"",IF(AND(COUNT(PJ!$A$6:$A$11)&gt;2,PJ!$CF34="P"),PJ!$CD34,""))</f>
        <v/>
      </c>
      <c r="M38" s="884"/>
      <c r="N38" s="32"/>
      <c r="O38" s="883" t="str">
        <f>IF(P36="","",IF(P36&gt;0,O35/Q35,"/"))</f>
        <v/>
      </c>
      <c r="P38" s="883"/>
      <c r="Q38" s="884" t="str">
        <f>IF(PJ!$AO$4=2,"",IF(AND(COUNT(PJ!$A$6:$A$11)&gt;2,PJ!$CF33="P"),PJ!$CD33,""))</f>
        <v/>
      </c>
      <c r="R38" s="884"/>
      <c r="S38" s="32"/>
      <c r="T38" s="883" t="str">
        <f>IF(U36="","",IF(U36&gt;0,T35/V35,"/"))</f>
        <v/>
      </c>
      <c r="U38" s="883"/>
      <c r="V38" s="884" t="str">
        <f>IF(PJ!$AO$4=2,"",IF(AND(COUNT(PJ!$A$6:$A$11)&gt;2,PJ!$CF32="P"),PJ!$CD32,""))</f>
        <v/>
      </c>
      <c r="W38" s="884"/>
      <c r="X38" s="32"/>
      <c r="Y38" s="883" t="str">
        <f>IF(Z36="","",IF(Z36&gt;0,Y35/AA35,"/"))</f>
        <v/>
      </c>
      <c r="Z38" s="883"/>
      <c r="AA38" s="884" t="str">
        <f>IF(PJ!$AO$4=2,"",IF(AND(COUNT(PJ!$A$6:$A$11)&gt;2,PJ!$CF31="P"),PJ!$CD31,""))</f>
        <v/>
      </c>
      <c r="AB38" s="884"/>
      <c r="AC38" s="32"/>
      <c r="AD38" s="885"/>
      <c r="AE38" s="885"/>
      <c r="AF38" s="885"/>
      <c r="AG38" s="885"/>
      <c r="AH38" s="32"/>
      <c r="AI38" s="32"/>
      <c r="AJ38" s="32"/>
      <c r="AK38" s="883" t="str" cm="1">
        <f t="array" ref="AK38">IF(PJ!$AO$4&lt;3,"",IF(_xlfn.XLOOKUP('T PJ'!C37,"Licence n° "&amp;PJ!$B$6:$B$11,PJ!$AO$6:$AO$11,"",0,1)=1,"",_xlfn.XLOOKUP('T PJ'!C37,"Licence n° "&amp;PJ!$B$6:$B$11,PJ!$U$6:$U$11,"",0,1)))</f>
        <v/>
      </c>
      <c r="AL38" s="883"/>
      <c r="AM38" s="884" t="str" cm="1">
        <f t="array" ref="AM38">IF(PJ!$AO$4&lt;3,"",IF(_xlfn.XLOOKUP('T PJ'!C37,"Licence n° "&amp;PJ!$B$6:$B$11,PJ!$AO$6:$AO$11,"",0,1)=1,"",_xlfn.XLOOKUP('T PJ'!C37,"Licence n° "&amp;PJ!$B$6:$B$11,PJ!$S$6:$S$11,"",0,1)))</f>
        <v/>
      </c>
      <c r="AN38" s="884"/>
      <c r="AO38" s="32"/>
      <c r="AP38" s="562" t="str" cm="1">
        <f t="array" ref="AP38">_xlfn.XLOOKUP(C37,"Licence n° "&amp;PJ!$B$6:$B$11,PJ!$X$6:$X$11,"",0,1)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9+z28dpW+dcEylMxJmJLkMPVwX3NXUH0KCGxBVQeMtKlgmqcLAlxRxSGFtNgYgmFzX/jvu1LYVLBi5drZ2yOVQ==" saltValue="QlQX6ujBNcZFru9nAE9imQ=="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372" priority="130">
      <formula>F16=0</formula>
    </cfRule>
    <cfRule type="expression" dxfId="371" priority="129">
      <formula>F16=1</formula>
    </cfRule>
    <cfRule type="expression" dxfId="370" priority="128">
      <formula>F16=2</formula>
    </cfRule>
  </conditionalFormatting>
  <conditionalFormatting sqref="F21">
    <cfRule type="expression" dxfId="369" priority="113">
      <formula>F21=2</formula>
    </cfRule>
    <cfRule type="expression" dxfId="368" priority="114">
      <formula>F21=1</formula>
    </cfRule>
    <cfRule type="expression" dxfId="367" priority="115">
      <formula>F21=0</formula>
    </cfRule>
  </conditionalFormatting>
  <conditionalFormatting sqref="F26">
    <cfRule type="expression" dxfId="366" priority="98">
      <formula>F26=2</formula>
    </cfRule>
    <cfRule type="expression" dxfId="365" priority="99">
      <formula>F26=1</formula>
    </cfRule>
    <cfRule type="expression" dxfId="364" priority="100">
      <formula>F26=0</formula>
    </cfRule>
  </conditionalFormatting>
  <conditionalFormatting sqref="F31">
    <cfRule type="expression" dxfId="363" priority="83">
      <formula>F31=2</formula>
    </cfRule>
    <cfRule type="expression" dxfId="362" priority="84">
      <formula>F31=1</formula>
    </cfRule>
    <cfRule type="expression" dxfId="361" priority="85">
      <formula>F31=0</formula>
    </cfRule>
  </conditionalFormatting>
  <conditionalFormatting sqref="F36">
    <cfRule type="expression" dxfId="360" priority="70">
      <formula>F36=0</formula>
    </cfRule>
    <cfRule type="expression" dxfId="359" priority="69">
      <formula>F36=1</formula>
    </cfRule>
    <cfRule type="expression" dxfId="358" priority="68">
      <formula>F36=2</formula>
    </cfRule>
  </conditionalFormatting>
  <conditionalFormatting sqref="J15:M18">
    <cfRule type="expression" dxfId="349" priority="147">
      <formula>$J$15="MATCH 1"</formula>
    </cfRule>
  </conditionalFormatting>
  <conditionalFormatting sqref="K21">
    <cfRule type="expression" dxfId="348" priority="110">
      <formula>K21=2</formula>
    </cfRule>
    <cfRule type="expression" dxfId="347" priority="111">
      <formula>K21=1</formula>
    </cfRule>
    <cfRule type="expression" dxfId="346" priority="112">
      <formula>K21=0</formula>
    </cfRule>
  </conditionalFormatting>
  <conditionalFormatting sqref="K26">
    <cfRule type="expression" dxfId="345" priority="97">
      <formula>K26=0</formula>
    </cfRule>
    <cfRule type="expression" dxfId="344" priority="96">
      <formula>K26=1</formula>
    </cfRule>
    <cfRule type="expression" dxfId="343" priority="95">
      <formula>K26=2</formula>
    </cfRule>
  </conditionalFormatting>
  <conditionalFormatting sqref="K31">
    <cfRule type="expression" dxfId="342" priority="82">
      <formula>K31=0</formula>
    </cfRule>
    <cfRule type="expression" dxfId="341" priority="80">
      <formula>K31=2</formula>
    </cfRule>
    <cfRule type="expression" dxfId="340" priority="81">
      <formula>K31=1</formula>
    </cfRule>
  </conditionalFormatting>
  <conditionalFormatting sqref="K36">
    <cfRule type="expression" dxfId="339" priority="65">
      <formula>K36=2</formula>
    </cfRule>
    <cfRule type="expression" dxfId="338" priority="66">
      <formula>K36=1</formula>
    </cfRule>
    <cfRule type="expression" dxfId="337" priority="67">
      <formula>K36=0</formula>
    </cfRule>
  </conditionalFormatting>
  <conditionalFormatting sqref="K11:L12">
    <cfRule type="expression" dxfId="336" priority="143">
      <formula>K11=2</formula>
    </cfRule>
    <cfRule type="expression" dxfId="335" priority="144">
      <formula>K11=1</formula>
    </cfRule>
    <cfRule type="expression" dxfId="334" priority="145">
      <formula>K11=0</formula>
    </cfRule>
  </conditionalFormatting>
  <conditionalFormatting sqref="O20:R23">
    <cfRule type="expression" dxfId="327" priority="146">
      <formula>$O$20="MATCH 2"</formula>
    </cfRule>
  </conditionalFormatting>
  <conditionalFormatting sqref="P11">
    <cfRule type="expression" dxfId="326" priority="140">
      <formula>P11=2</formula>
    </cfRule>
    <cfRule type="expression" dxfId="325" priority="141">
      <formula>P11=1</formula>
    </cfRule>
    <cfRule type="expression" dxfId="324" priority="142">
      <formula>P11=0</formula>
    </cfRule>
  </conditionalFormatting>
  <conditionalFormatting sqref="P16">
    <cfRule type="expression" dxfId="323" priority="125">
      <formula>P16=2</formula>
    </cfRule>
    <cfRule type="expression" dxfId="322" priority="127">
      <formula>P16=0</formula>
    </cfRule>
    <cfRule type="expression" dxfId="321" priority="126">
      <formula>P16=1</formula>
    </cfRule>
  </conditionalFormatting>
  <conditionalFormatting sqref="P26">
    <cfRule type="expression" dxfId="320" priority="93">
      <formula>P26=1</formula>
    </cfRule>
    <cfRule type="expression" dxfId="319" priority="92">
      <formula>P26=2</formula>
    </cfRule>
    <cfRule type="expression" dxfId="318" priority="94">
      <formula>P26=0</formula>
    </cfRule>
  </conditionalFormatting>
  <conditionalFormatting sqref="P31">
    <cfRule type="expression" dxfId="317" priority="77">
      <formula>P31=2</formula>
    </cfRule>
    <cfRule type="expression" dxfId="316" priority="78">
      <formula>P31=1</formula>
    </cfRule>
    <cfRule type="expression" dxfId="315" priority="79">
      <formula>P31=0</formula>
    </cfRule>
  </conditionalFormatting>
  <conditionalFormatting sqref="P36">
    <cfRule type="expression" dxfId="314" priority="64">
      <formula>P36=0</formula>
    </cfRule>
    <cfRule type="expression" dxfId="313" priority="63">
      <formula>P36=1</formula>
    </cfRule>
    <cfRule type="expression" dxfId="312" priority="62">
      <formula>P36=2</formula>
    </cfRule>
  </conditionalFormatting>
  <conditionalFormatting sqref="U11">
    <cfRule type="expression" dxfId="311" priority="138">
      <formula>U11=1</formula>
    </cfRule>
    <cfRule type="expression" dxfId="310" priority="139">
      <formula>U11=0</formula>
    </cfRule>
    <cfRule type="expression" dxfId="309" priority="137">
      <formula>U11=2</formula>
    </cfRule>
  </conditionalFormatting>
  <conditionalFormatting sqref="U16">
    <cfRule type="expression" dxfId="308" priority="123">
      <formula>U16=1</formula>
    </cfRule>
    <cfRule type="expression" dxfId="307" priority="122">
      <formula>U16=2</formula>
    </cfRule>
    <cfRule type="expression" dxfId="306" priority="124">
      <formula>U16=0</formula>
    </cfRule>
  </conditionalFormatting>
  <conditionalFormatting sqref="U21">
    <cfRule type="expression" dxfId="305" priority="108">
      <formula>U21=1</formula>
    </cfRule>
    <cfRule type="expression" dxfId="304" priority="109">
      <formula>U21=0</formula>
    </cfRule>
    <cfRule type="expression" dxfId="303" priority="107">
      <formula>U21=2</formula>
    </cfRule>
  </conditionalFormatting>
  <conditionalFormatting sqref="U31">
    <cfRule type="expression" dxfId="302" priority="76">
      <formula>U31=0</formula>
    </cfRule>
    <cfRule type="expression" dxfId="301" priority="75">
      <formula>U31=1</formula>
    </cfRule>
    <cfRule type="expression" dxfId="300" priority="74">
      <formula>U31=2</formula>
    </cfRule>
  </conditionalFormatting>
  <conditionalFormatting sqref="U36">
    <cfRule type="expression" dxfId="299" priority="61">
      <formula>U36=0</formula>
    </cfRule>
    <cfRule type="expression" dxfId="298" priority="60">
      <formula>U36=1</formula>
    </cfRule>
    <cfRule type="expression" dxfId="297" priority="59">
      <formula>U36=2</formula>
    </cfRule>
  </conditionalFormatting>
  <conditionalFormatting sqref="Z11">
    <cfRule type="expression" dxfId="296" priority="134">
      <formula>Z11=2</formula>
    </cfRule>
    <cfRule type="expression" dxfId="295" priority="136">
      <formula>Z11=0</formula>
    </cfRule>
    <cfRule type="expression" dxfId="294" priority="135">
      <formula>Z11=1</formula>
    </cfRule>
  </conditionalFormatting>
  <conditionalFormatting sqref="Z16">
    <cfRule type="expression" dxfId="293" priority="119">
      <formula>Z16=2</formula>
    </cfRule>
    <cfRule type="expression" dxfId="292" priority="120">
      <formula>Z16=1</formula>
    </cfRule>
    <cfRule type="expression" dxfId="291" priority="121">
      <formula>Z16=0</formula>
    </cfRule>
  </conditionalFormatting>
  <conditionalFormatting sqref="Z21">
    <cfRule type="expression" dxfId="290" priority="104">
      <formula>Z21=2</formula>
    </cfRule>
    <cfRule type="expression" dxfId="289" priority="105">
      <formula>Z21=1</formula>
    </cfRule>
    <cfRule type="expression" dxfId="288" priority="106">
      <formula>Z21=0</formula>
    </cfRule>
  </conditionalFormatting>
  <conditionalFormatting sqref="Z26">
    <cfRule type="expression" dxfId="287" priority="89">
      <formula>Z26=2</formula>
    </cfRule>
    <cfRule type="expression" dxfId="286" priority="90">
      <formula>Z26=1</formula>
    </cfRule>
    <cfRule type="expression" dxfId="285" priority="91">
      <formula>Z26=0</formula>
    </cfRule>
  </conditionalFormatting>
  <conditionalFormatting sqref="Z36">
    <cfRule type="expression" dxfId="284" priority="57">
      <formula>Z36=1</formula>
    </cfRule>
    <cfRule type="expression" dxfId="283" priority="56">
      <formula>Z36=2</formula>
    </cfRule>
    <cfRule type="expression" dxfId="282" priority="58">
      <formula>Z36=0</formula>
    </cfRule>
  </conditionalFormatting>
  <conditionalFormatting sqref="AE11">
    <cfRule type="expression" dxfId="277" priority="133">
      <formula>AE11=0</formula>
    </cfRule>
    <cfRule type="expression" dxfId="276" priority="132">
      <formula>AE11=1</formula>
    </cfRule>
    <cfRule type="expression" dxfId="275" priority="131">
      <formula>AE11=2</formula>
    </cfRule>
  </conditionalFormatting>
  <conditionalFormatting sqref="AE16">
    <cfRule type="expression" dxfId="274" priority="118">
      <formula>AE16=0</formula>
    </cfRule>
    <cfRule type="expression" dxfId="273" priority="117">
      <formula>AE16=1</formula>
    </cfRule>
    <cfRule type="expression" dxfId="272" priority="116">
      <formula>AE16=2</formula>
    </cfRule>
  </conditionalFormatting>
  <conditionalFormatting sqref="AE21">
    <cfRule type="expression" dxfId="271" priority="101">
      <formula>AE21=2</formula>
    </cfRule>
    <cfRule type="expression" dxfId="270" priority="103">
      <formula>AE21=0</formula>
    </cfRule>
    <cfRule type="expression" dxfId="269" priority="102">
      <formula>AE21=1</formula>
    </cfRule>
  </conditionalFormatting>
  <conditionalFormatting sqref="AE26">
    <cfRule type="expression" dxfId="268" priority="87">
      <formula>AE26=1</formula>
    </cfRule>
    <cfRule type="expression" dxfId="267" priority="86">
      <formula>AE26=2</formula>
    </cfRule>
    <cfRule type="expression" dxfId="266" priority="88">
      <formula>AE26=0</formula>
    </cfRule>
  </conditionalFormatting>
  <conditionalFormatting sqref="AE31">
    <cfRule type="expression" dxfId="265" priority="72">
      <formula>AE31=1</formula>
    </cfRule>
    <cfRule type="expression" dxfId="264" priority="73">
      <formula>AE31=0</formula>
    </cfRule>
    <cfRule type="expression" dxfId="263" priority="71">
      <formula>AE31=2</formula>
    </cfRule>
  </conditionalFormatting>
  <hyperlinks>
    <hyperlink ref="AS2" location="'GESTION DES JOUEURS'!D4" display="GESTION DES JOUEURS" xr:uid="{5F420213-6E07-4BC2-B3C9-34806F09EF4D}"/>
    <hyperlink ref="AS10:AS11" location="PA!N18" display="PA!N18" xr:uid="{5B69E413-28D2-4C81-87DB-A16CCC88DD38}"/>
    <hyperlink ref="AS12:AS13" location="PB!N18" display="Poule B" xr:uid="{40ED13CE-045B-4740-A7F3-F7E8AF250F58}"/>
    <hyperlink ref="AS15:AS16" location="PC!N18" display="Poule C" xr:uid="{BE7E41D6-4C78-4191-B580-CDDFF2042A36}"/>
    <hyperlink ref="AS17:AS18" location="PD!N18" display="Poule D" xr:uid="{45197B35-CD16-49EF-A3C8-B71A9B8794DB}"/>
    <hyperlink ref="AS20:AS21" location="PE!N18" display="Poule E" xr:uid="{F7B70B6E-BE73-4111-97AD-D2D0362B2F5A}"/>
    <hyperlink ref="AS22:AS23" location="PF!N18" display="Poule F" xr:uid="{BF2560EE-B9D6-4AC2-B8B4-07ABE64C656B}"/>
    <hyperlink ref="AS25:AS26" location="PG!N18" display="Poule G" xr:uid="{9122BC1F-B3B0-4631-97CB-A1B2084D592E}"/>
    <hyperlink ref="AS27:AS28" location="PH!N18" display="Poule H" xr:uid="{E640AA5E-AED2-4E6D-844D-B51185331314}"/>
    <hyperlink ref="AS30:AS31" location="PI!N18" display="Poule I" xr:uid="{B429C7DD-1836-4835-8B4C-9406D9E4FA80}"/>
    <hyperlink ref="AS32:AS33" location="PJ!N18" display="Poule J" xr:uid="{BDD9A7EC-3CF7-40DC-B315-7C50B6A67B5D}"/>
    <hyperlink ref="AS35:AS36" location="PK!N18" display="Poule K" xr:uid="{FCD6AC96-1F1E-4E3E-801B-FF3F41EE85FD}"/>
    <hyperlink ref="AS37:AS38" location="PL!N18" display="Poule L" xr:uid="{FC963A44-B837-4323-BA88-671957B9D6A5}"/>
    <hyperlink ref="AV2" location="'Phase finale'!A1" display="Phase Finale" xr:uid="{12224900-2659-425B-8E9D-6A62E4080697}"/>
    <hyperlink ref="AV9:AV11" location="RESULTATS!A1" display="RESULTATS" xr:uid="{5D61AF0F-6707-4F75-A5DB-DCDABF751C6B}"/>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3585" id="{4ABB8C09-4D34-428F-B634-646B6574C24D}">
            <xm:f>AND(COUNT(PJ!$A$6:$A$11)=3,PJ!$AO$4&gt;2)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3616" id="{E7D5D8F7-64AC-436B-A10F-D19611C746F2}">
            <xm:f>AND(COUNT(PJ!$A$6:$A$11)=4,PJ!$AO$4&gt;2)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CBCCF9B0-61C7-4271-A316-69F0BF4D45B6}">
            <xm:f>PJ!$AO$4=2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3658" id="{FDC9863A-1741-4D14-9F0C-DD6211E47E57}">
            <xm:f>AND(COUNT(PJ!$A$6:$A$11)=4,PJ!$AO$4&gt;2)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3C4D4220-0214-4D6F-91A3-35FAAF62F219}">
            <xm:f>PJ!$AO$4=2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3678" id="{D620A964-7BF2-442F-9AC2-E900E4BCF521}">
            <xm:f>AND(COUNT(PJ!$A$6:$A$11)=5,PJ!$AO$4&gt;2)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3683" id="{29178661-D18E-4CBD-936E-B73623A287FF}">
            <xm:f>AND(COUNT(PJ!$A$6:$A$11)&gt;=5,PJ!$AO$4&gt;2)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3738" id="{ECBACC8D-FA59-45FA-9B07-43F757FA09C1}">
            <xm:f>AND(COUNT(PJ!$A$6:$A$11)&gt;=5,PJ!$AO$4&gt;2)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3813" id="{B254F87B-D18E-456B-B02C-AF053E442335}">
            <xm:f>AND(COUNT(PJ!$A$6:$A$11)=3,PJ!$AO$4&gt;2)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3841" id="{AAF4B9A2-9131-42F7-824E-05566D20A7FE}">
            <xm:f>PJ!$AO$4=2</xm:f>
            <x14:dxf>
              <border>
                <top/>
                <vertical/>
                <horizontal/>
              </border>
            </x14:dxf>
          </x14:cfRule>
          <x14:cfRule type="expression" priority="13840" id="{581917AD-4462-44E7-A575-AEED4F105DF3}">
            <xm:f>AND(COUNT(PJ!$A$6:$A$11)=4,PJ!$AO$4&gt;2)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3876" id="{E0DAF27F-B72B-41DE-B274-C09448B87C88}">
            <xm:f>AND(COUNT(PJ!$A$6:$A$11)&gt;=5,PJ!$AO$4&gt;2)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3951" id="{EDC59D6F-F427-446F-96CD-F53D5821A6E4}">
            <xm:f>AND(COUNT(PJ!$A$6:$A$11)=3,PJ!$AO$4&gt;2)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3978" id="{C08A7807-8175-4042-8850-32A5C044A483}">
            <xm:f>AND(COUNT(PJ!$A$6:$A$11)=4,PJ!$AO$4&gt;2)</xm:f>
            <x14:dxf>
              <border>
                <bottom/>
                <vertical/>
                <horizontal/>
              </border>
            </x14:dxf>
          </x14:cfRule>
          <x14:cfRule type="expression" priority="13979" id="{86450EBA-B49A-482A-A086-525218419A3C}">
            <xm:f>PJ!$AO$4=2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4014" id="{F02CADC3-F81F-4AAD-A03F-1E9F0F188316}">
            <xm:f>AND(COUNT(PJ!$A$6:$A$11)=4,PJ!$AO$4&gt;2)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4044" id="{9AF13C53-D0B3-4CC8-9821-7241F919E263}">
            <xm:f>PJ!$AO$4=2</xm:f>
            <x14:dxf>
              <border>
                <bottom/>
                <vertical/>
                <horizontal/>
              </border>
            </x14:dxf>
          </x14:cfRule>
          <x14:cfRule type="expression" priority="14045" id="{27E4B2F1-D6B1-4897-BC30-9907D4BB969F}">
            <xm:f>AND(COUNT(PJ!$A$6:$A$11)=4,PJ!$AO$4&gt;2)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4046" id="{AE7CB09A-F243-41C2-880D-28B6A175B782}">
            <xm:f>AND(COUNT(PJ!$A$6:$A$11)=4,PJ!$AO$4&gt;2)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4076" id="{2E053AD9-28D4-464C-93F0-0D733E0998AE}">
            <xm:f>AND(COUNT(PJ!$A$6:$A$11)=3,PJ!$AO$4&gt;2)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4088" id="{9713FBF8-821D-41A9-ABAA-BC681B9A05AB}">
            <xm:f>AND(COUNT(PJ!$A$6:$A$11)&gt;=5,PJ!$AO$4&gt;2)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4113" id="{EB99CD92-5449-427A-88D6-6ED861CEC46C}">
            <xm:f>AND(COUNT(PJ!$A$6:$A$11)=6,PJ!$AO$4&gt;2)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4146" id="{895374F0-05E0-4A13-A9CD-8932D4A46112}">
            <xm:f>AND(COUNT(PJ!$A$6:$A$11)=6,PJ!$AO$4&gt;2)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4171" id="{C8A6A56A-93E5-462F-82E0-9373587BB3EC}">
            <xm:f>AND(COUNT(PJ!$A$6:$A$11)=6,PJ!$AO$4&gt;2)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4204" id="{9FEF302B-B192-40CC-B536-67C5E8B8C391}">
            <xm:f>AND(COUNT(PJ!$A$6:$A$11)=6,PJ!$AO$4&gt;2)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4223" id="{8AE40F05-0CF9-4694-8976-2C7A2ED70FD8}">
            <xm:f>AND(LEFT(PJ!$F$13)="F",$AL$11=1,PJ!$BU$5="X")</xm:f>
            <x14:dxf>
              <font>
                <color rgb="FF8E0000"/>
              </font>
              <fill>
                <patternFill>
                  <bgColor rgb="FFFBE93B"/>
                </patternFill>
              </fill>
            </x14:dxf>
          </x14:cfRule>
          <x14:cfRule type="expression" priority="14222" id="{D779C649-EDF3-4112-8AB2-A22BF6A0238B}">
            <xm:f>AND(LEFT(PJ!$F$13)="F",$AL$11=2,PJ!$BU$5="X")</xm:f>
            <x14:dxf>
              <font>
                <color rgb="FF8E0000"/>
              </font>
              <fill>
                <patternFill>
                  <bgColor theme="2"/>
                </patternFill>
              </fill>
            </x14:dxf>
          </x14:cfRule>
          <x14:cfRule type="expression" priority="14221" id="{18C380DC-B3AE-43E8-B6C4-E8BB88E56090}">
            <xm:f>AND(LEFT(PJ!$F$13)="F",$AL$11=3,PJ!$BU$5="X")</xm:f>
            <x14:dxf>
              <font>
                <color rgb="FF8E0000"/>
              </font>
              <fill>
                <patternFill>
                  <bgColor rgb="FFFECF82"/>
                </patternFill>
              </fill>
            </x14:dxf>
          </x14:cfRule>
          <xm:sqref>AL11</xm:sqref>
        </x14:conditionalFormatting>
        <x14:conditionalFormatting xmlns:xm="http://schemas.microsoft.com/office/excel/2006/main">
          <x14:cfRule type="expression" priority="14225" id="{5A649CCE-1C80-4242-BD29-EA6A460E39C5}">
            <xm:f>AND(LEFT(PJ!$F$13)="F",$AL$16=2,PJ!$BU$5="X")</xm:f>
            <x14:dxf>
              <font>
                <color rgb="FF8E0000"/>
              </font>
              <fill>
                <patternFill>
                  <bgColor theme="2"/>
                </patternFill>
              </fill>
            </x14:dxf>
          </x14:cfRule>
          <x14:cfRule type="expression" priority="14226" id="{E41275B6-C07A-4DB6-A0CD-D1BBB281F3FC}">
            <xm:f>AND(LEFT(PJ!$F$13)="F",$AL$16=1,PJ!$BU$5="X")</xm:f>
            <x14:dxf>
              <font>
                <color rgb="FF8E0000"/>
              </font>
              <fill>
                <patternFill>
                  <bgColor rgb="FFFBE93B"/>
                </patternFill>
              </fill>
            </x14:dxf>
          </x14:cfRule>
          <x14:cfRule type="expression" priority="14224" id="{05097325-26FB-47A5-89D9-681D17733C07}">
            <xm:f>AND(LEFT(PJ!$F$13)="F",$AL$16=3,PJ!$BU$5="X")</xm:f>
            <x14:dxf>
              <font>
                <color rgb="FF8E0000"/>
              </font>
              <fill>
                <patternFill>
                  <bgColor rgb="FFFECF82"/>
                </patternFill>
              </fill>
            </x14:dxf>
          </x14:cfRule>
          <xm:sqref>AL16</xm:sqref>
        </x14:conditionalFormatting>
        <x14:conditionalFormatting xmlns:xm="http://schemas.microsoft.com/office/excel/2006/main">
          <x14:cfRule type="expression" priority="14227" id="{FE49067F-5751-4464-B089-A86B2BD891E4}">
            <xm:f>AND(LEFT(PJ!$F$13)="F",$AL$21=3,PJ!$BU$5="X")</xm:f>
            <x14:dxf>
              <font>
                <color rgb="FF8E0000"/>
              </font>
              <fill>
                <patternFill>
                  <bgColor rgb="FFFECF82"/>
                </patternFill>
              </fill>
            </x14:dxf>
          </x14:cfRule>
          <x14:cfRule type="expression" priority="14228" id="{24789F45-D148-4D9B-AA21-57A1665B12D5}">
            <xm:f>AND(LEFT(PJ!$F$13)="F",$AL$21=2,PJ!$BU$5="X")</xm:f>
            <x14:dxf>
              <font>
                <color rgb="FF8E0000"/>
              </font>
              <fill>
                <patternFill>
                  <bgColor theme="2"/>
                </patternFill>
              </fill>
            </x14:dxf>
          </x14:cfRule>
          <x14:cfRule type="expression" priority="14229" id="{FA643BC6-11F7-4D10-9E70-27F31A27E571}">
            <xm:f>AND(LEFT(PJ!$F$13)="F",$AL$21=1,PJ!$BU$5="X")</xm:f>
            <x14:dxf>
              <font>
                <color rgb="FF8E0000"/>
              </font>
              <fill>
                <patternFill>
                  <bgColor rgb="FFFBE93B"/>
                </patternFill>
              </fill>
            </x14:dxf>
          </x14:cfRule>
          <xm:sqref>AL21</xm:sqref>
        </x14:conditionalFormatting>
        <x14:conditionalFormatting xmlns:xm="http://schemas.microsoft.com/office/excel/2006/main">
          <x14:cfRule type="expression" priority="14232" id="{3497AA8F-AF82-4F18-A85F-281ED75DA79E}">
            <xm:f>AND(LEFT(PJ!$F$13)="F",$AL$26=1,PJ!$BU$5="X")</xm:f>
            <x14:dxf>
              <font>
                <color rgb="FF8E0000"/>
              </font>
              <fill>
                <patternFill>
                  <bgColor rgb="FFFBE93B"/>
                </patternFill>
              </fill>
            </x14:dxf>
          </x14:cfRule>
          <x14:cfRule type="expression" priority="14231" id="{152260DF-9E11-4355-B0A1-ECB644CAF9E7}">
            <xm:f>AND(LEFT(PJ!$F$13)="F",$AL$26=2,PJ!$BU$5="X")</xm:f>
            <x14:dxf>
              <font>
                <color rgb="FF8E0000"/>
              </font>
              <fill>
                <patternFill>
                  <bgColor theme="2"/>
                </patternFill>
              </fill>
            </x14:dxf>
          </x14:cfRule>
          <x14:cfRule type="expression" priority="14230" id="{E04912D1-8D57-406C-BD54-CC43DB229BDB}">
            <xm:f>AND(LEFT(PJ!$F$13)="F",$AL$26=3,PJ!$BU$5="X")</xm:f>
            <x14:dxf>
              <font>
                <color rgb="FF8E0000"/>
              </font>
              <fill>
                <patternFill>
                  <bgColor rgb="FFFECF82"/>
                </patternFill>
              </fill>
            </x14:dxf>
          </x14:cfRule>
          <xm:sqref>AL26</xm:sqref>
        </x14:conditionalFormatting>
        <x14:conditionalFormatting xmlns:xm="http://schemas.microsoft.com/office/excel/2006/main">
          <x14:cfRule type="expression" priority="14234" id="{630C12FA-8814-4EDF-8C65-B2ECE37D8381}">
            <xm:f>AND(LEFT(PJ!$F$13)="F",$AL$31=2,PJ!$BU$5="X")</xm:f>
            <x14:dxf>
              <font>
                <color rgb="FF8E0000"/>
              </font>
              <fill>
                <patternFill>
                  <bgColor theme="2"/>
                </patternFill>
              </fill>
            </x14:dxf>
          </x14:cfRule>
          <x14:cfRule type="expression" priority="14233" id="{B1569A08-17AC-4878-8221-B11C1D313DCA}">
            <xm:f>AND(LEFT(PJ!$F$13)="F",$AL$31=3,PJ!$BU$5="X")</xm:f>
            <x14:dxf>
              <font>
                <color rgb="FF8E0000"/>
              </font>
              <fill>
                <patternFill>
                  <bgColor rgb="FFFECF82"/>
                </patternFill>
              </fill>
            </x14:dxf>
          </x14:cfRule>
          <x14:cfRule type="expression" priority="14235" id="{E93CC3C6-2E95-4878-B584-3FEDDABE178B}">
            <xm:f>AND(LEFT(PJ!$F$13)="F",$AL$31=1,PJ!$BU$5="X")</xm:f>
            <x14:dxf>
              <font>
                <color rgb="FF8E0000"/>
              </font>
              <fill>
                <patternFill>
                  <bgColor rgb="FFFBE93B"/>
                </patternFill>
              </fill>
            </x14:dxf>
          </x14:cfRule>
          <xm:sqref>AL31</xm:sqref>
        </x14:conditionalFormatting>
        <x14:conditionalFormatting xmlns:xm="http://schemas.microsoft.com/office/excel/2006/main">
          <x14:cfRule type="expression" priority="14236" id="{762B2D25-46C0-4259-B495-83A0B84B0B66}">
            <xm:f>AND(LEFT(PJ!$F$13)="F",$AL$36=3,PJ!$BU$5="X")</xm:f>
            <x14:dxf>
              <font>
                <color rgb="FF8E0000"/>
              </font>
              <fill>
                <patternFill>
                  <bgColor rgb="FFFECF82"/>
                </patternFill>
              </fill>
            </x14:dxf>
          </x14:cfRule>
          <x14:cfRule type="expression" priority="14237" id="{838A5536-020B-4B13-9CCE-DFC26FDFEB56}">
            <xm:f>AND(LEFT(PJ!$F$13)="F",$AL$36=2,PJ!$BU$5="X")</xm:f>
            <x14:dxf>
              <font>
                <color rgb="FF8E0000"/>
              </font>
              <fill>
                <patternFill>
                  <bgColor theme="2"/>
                </patternFill>
              </fill>
            </x14:dxf>
          </x14:cfRule>
          <x14:cfRule type="expression" priority="14238" id="{937DC406-8CEC-4135-959F-159F7564A455}">
            <xm:f>AND(LEFT(PJ!$F$13)="F",$AL$36=1,PJ!$BU$5="X")</xm:f>
            <x14:dxf>
              <font>
                <color rgb="FF8E0000"/>
              </font>
              <fill>
                <patternFill>
                  <bgColor rgb="FFFBE93B"/>
                </patternFill>
              </fill>
            </x14:dxf>
          </x14:cfRule>
          <xm:sqref>AL36</xm:sqref>
        </x14:conditionalFormatting>
        <x14:conditionalFormatting xmlns:xm="http://schemas.microsoft.com/office/excel/2006/main">
          <x14:cfRule type="expression" priority="148" id="{38A058CF-F846-42CF-85FE-01EC00CC904E}">
            <xm:f>LEFT(PJ!$B$15)="3"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2028" id="{1BC963F8-5A50-4DC2-9E2B-547540EA2C7F}">
            <xm:f>AND(LEFT(PA!$F$13)="P",PA!$AO$4&gt;1)</xm:f>
            <x14:dxf>
              <border>
                <bottom/>
                <vertical/>
                <horizontal/>
              </border>
            </x14:dxf>
          </x14:cfRule>
          <xm:sqref>AP10 AP12 AP15 AP17</xm:sqref>
        </x14:conditionalFormatting>
        <x14:conditionalFormatting xmlns:xm="http://schemas.microsoft.com/office/excel/2006/main">
          <x14:cfRule type="expression" priority="4" id="{0A882429-4A4F-4F9F-895E-4202FB9C8476}">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2032" id="{3437E50C-1BDA-4DC9-8058-F34C673BC210}">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2034" id="{84C08667-BC1B-42CA-B32E-4BC45D2F6DB2}">
            <xm:f>AND(LEFT(PA!$F$13)="P",PA!$AO$4&gt;1)</xm:f>
            <x14:dxf>
              <border>
                <top/>
                <vertical/>
                <horizontal/>
              </border>
            </x14:dxf>
          </x14:cfRule>
          <xm:sqref>AP11 AP13 AP16 AP18</xm:sqref>
        </x14:conditionalFormatting>
        <x14:conditionalFormatting xmlns:xm="http://schemas.microsoft.com/office/excel/2006/main">
          <x14:cfRule type="expression" priority="12058" id="{0B5A08ED-5022-4390-A04A-FBCCE0DD760C}">
            <xm:f>AND(LEFT(PA!$F$13)="P",PA!$AO$4&gt;1)</xm:f>
            <x14:dxf>
              <fill>
                <patternFill>
                  <bgColor theme="1"/>
                </patternFill>
              </fill>
            </x14:dxf>
          </x14:cfRule>
          <xm:sqref>AP14 AP19</xm:sqref>
        </x14:conditionalFormatting>
        <x14:conditionalFormatting xmlns:xm="http://schemas.microsoft.com/office/excel/2006/main">
          <x14:cfRule type="expression" priority="12038" id="{FF8002BA-446D-4341-BD91-04D601AB82E1}">
            <xm:f>AND(LEFT(PA!$F$13)="P",PA!$AO$4&gt;2)</xm:f>
            <x14:dxf>
              <border>
                <bottom/>
                <vertical/>
                <horizontal/>
              </border>
            </x14:dxf>
          </x14:cfRule>
          <xm:sqref>AP20 AP22</xm:sqref>
        </x14:conditionalFormatting>
        <x14:conditionalFormatting xmlns:xm="http://schemas.microsoft.com/office/excel/2006/main">
          <x14:cfRule type="expression" priority="12040" id="{BD4499A5-A2A0-49EE-81AE-531993161321}">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2041" id="{00DEC913-C06D-4D30-BF64-AC118B318FD9}">
            <xm:f>AND(LEFT(PA!$F$13)="P",PA!$AO$4&gt;2)</xm:f>
            <x14:dxf>
              <border>
                <top/>
                <vertical/>
                <horizontal/>
              </border>
            </x14:dxf>
          </x14:cfRule>
          <xm:sqref>AP21 AP23</xm:sqref>
        </x14:conditionalFormatting>
        <x14:conditionalFormatting xmlns:xm="http://schemas.microsoft.com/office/excel/2006/main">
          <x14:cfRule type="expression" priority="12060" id="{0C925281-9FD2-4C56-BCD3-CCFEFEBF1DFB}">
            <xm:f>AND(LEFT(PA!$F$13)="P",PA!$AO$4&gt;2)</xm:f>
            <x14:dxf>
              <fill>
                <patternFill>
                  <bgColor theme="1"/>
                </patternFill>
              </fill>
            </x14:dxf>
          </x14:cfRule>
          <xm:sqref>AP24</xm:sqref>
        </x14:conditionalFormatting>
        <x14:conditionalFormatting xmlns:xm="http://schemas.microsoft.com/office/excel/2006/main">
          <x14:cfRule type="expression" priority="12043" id="{166A5784-A297-4D5A-B646-93A26EC9D995}">
            <xm:f>AND(LEFT(PA!$F$13)="P",PA!$AO$4&gt;2,COUNT(PA!$A$6:$A$11)&gt;3)</xm:f>
            <x14:dxf>
              <border>
                <bottom/>
                <vertical/>
                <horizontal/>
              </border>
            </x14:dxf>
          </x14:cfRule>
          <xm:sqref>AP25 AP27</xm:sqref>
        </x14:conditionalFormatting>
        <x14:conditionalFormatting xmlns:xm="http://schemas.microsoft.com/office/excel/2006/main">
          <x14:cfRule type="expression" priority="12045" id="{986EA452-8141-47BB-891A-A3B04F08BEDC}">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2046" id="{123F7333-BC6A-4AAF-AADC-DBC6DDEAC7DB}">
            <xm:f>AND(LEFT(PA!$F$13)="P",PA!$AO$4&gt;2,COUNT(PA!$A$6:$A$11)&gt;3)</xm:f>
            <x14:dxf>
              <border>
                <top/>
                <vertical/>
                <horizontal/>
              </border>
            </x14:dxf>
          </x14:cfRule>
          <xm:sqref>AP26 AP28</xm:sqref>
        </x14:conditionalFormatting>
        <x14:conditionalFormatting xmlns:xm="http://schemas.microsoft.com/office/excel/2006/main">
          <x14:cfRule type="expression" priority="12061" id="{5E51A672-EE69-4275-AC15-21838E784DE1}">
            <xm:f>AND(LEFT(PA!$F$13)="P",PA!$AO$4&gt;2,COUNT(PA!$A$6:$A$11)&gt;3)</xm:f>
            <x14:dxf>
              <fill>
                <patternFill>
                  <bgColor theme="1"/>
                </patternFill>
              </fill>
            </x14:dxf>
          </x14:cfRule>
          <xm:sqref>AP29</xm:sqref>
        </x14:conditionalFormatting>
        <x14:conditionalFormatting xmlns:xm="http://schemas.microsoft.com/office/excel/2006/main">
          <x14:cfRule type="expression" priority="12048" id="{BBA62634-DE9B-4737-A571-371DFDC01D12}">
            <xm:f>AND(LEFT(PA!$F$13)="P",PA!$AO$4&gt;2,COUNT(PA!$A$6:$A$11)&gt;4)</xm:f>
            <x14:dxf>
              <border>
                <bottom/>
                <vertical/>
                <horizontal/>
              </border>
            </x14:dxf>
          </x14:cfRule>
          <xm:sqref>AP30 AP32</xm:sqref>
        </x14:conditionalFormatting>
        <x14:conditionalFormatting xmlns:xm="http://schemas.microsoft.com/office/excel/2006/main">
          <x14:cfRule type="expression" priority="12050" id="{D16F88A1-B414-44E6-A011-A44BC2706F4D}">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2051" id="{C95BBC1E-7CEA-4CAE-A24E-B8F8E49117B3}">
            <xm:f>AND(LEFT(PA!$F$13)="P",PA!$AO$4&gt;2,COUNT(PA!$A$6:$A$11)&gt;4)</xm:f>
            <x14:dxf>
              <border>
                <top/>
                <vertical/>
                <horizontal/>
              </border>
            </x14:dxf>
          </x14:cfRule>
          <xm:sqref>AP31 AP33</xm:sqref>
        </x14:conditionalFormatting>
        <x14:conditionalFormatting xmlns:xm="http://schemas.microsoft.com/office/excel/2006/main">
          <x14:cfRule type="expression" priority="12062" id="{373D2F26-85EA-4C22-823A-784D1CBFE594}">
            <xm:f>AND(LEFT(PA!$F$13)="P",PA!$AO$4&gt;2,COUNT(PA!$A$6:$A$11)&gt;4)</xm:f>
            <x14:dxf>
              <fill>
                <patternFill>
                  <bgColor theme="1"/>
                </patternFill>
              </fill>
            </x14:dxf>
          </x14:cfRule>
          <xm:sqref>AP34</xm:sqref>
        </x14:conditionalFormatting>
        <x14:conditionalFormatting xmlns:xm="http://schemas.microsoft.com/office/excel/2006/main">
          <x14:cfRule type="expression" priority="12053" id="{9F0F05DA-5372-4089-99D7-43F6D5ABAD01}">
            <xm:f>AND(LEFT(PA!$F$13)="P",PA!$AO$4&gt;2,COUNT(PA!$A$6:$A$11)&gt;5)</xm:f>
            <x14:dxf>
              <border>
                <bottom/>
                <vertical/>
                <horizontal/>
              </border>
            </x14:dxf>
          </x14:cfRule>
          <xm:sqref>AP35 AP37</xm:sqref>
        </x14:conditionalFormatting>
        <x14:conditionalFormatting xmlns:xm="http://schemas.microsoft.com/office/excel/2006/main">
          <x14:cfRule type="expression" priority="12055" id="{273DF161-9E41-46E7-A551-D21A679255BD}">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2056" id="{44103F8D-B826-4272-841A-1950DFD24E50}">
            <xm:f>AND(LEFT(PA!$F$13)="P",PA!$AO$4&gt;2,COUNT(PA!$A$6:$A$11)&gt;5)</xm:f>
            <x14:dxf>
              <border>
                <top/>
                <vertical/>
                <horizontal/>
              </border>
            </x14:dxf>
          </x14:cfRule>
          <xm:sqref>AP36 AP38</xm:sqref>
        </x14:conditionalFormatting>
        <x14:conditionalFormatting xmlns:xm="http://schemas.microsoft.com/office/excel/2006/main">
          <x14:cfRule type="expression" priority="14239" id="{C252135C-8045-4690-B71F-4EAFD54E1164}">
            <xm:f>AND(LEFT(PJ!$F$13)="P",PJ!$AO$4&gt;1)</xm:f>
            <x14:dxf>
              <fill>
                <patternFill>
                  <bgColor theme="1"/>
                </patternFill>
              </fill>
            </x14:dxf>
          </x14:cfRule>
          <xm:sqref>AP9:AQ9 AQ10:AQ19</xm:sqref>
        </x14:conditionalFormatting>
        <x14:conditionalFormatting xmlns:xm="http://schemas.microsoft.com/office/excel/2006/main">
          <x14:cfRule type="expression" priority="14241" id="{BBF51361-340B-4A31-98E1-43D959097F0F}">
            <xm:f>AND(LEFT(PJ!$F$13)="P",PJ!$AO$4&gt;2)</xm:f>
            <x14:dxf>
              <fill>
                <patternFill>
                  <bgColor theme="1"/>
                </patternFill>
              </fill>
            </x14:dxf>
          </x14:cfRule>
          <xm:sqref>AQ20:AQ24</xm:sqref>
        </x14:conditionalFormatting>
        <x14:conditionalFormatting xmlns:xm="http://schemas.microsoft.com/office/excel/2006/main">
          <x14:cfRule type="expression" priority="14242" id="{BDDF2B18-C6DF-43AF-9A14-9AE4A2E42977}">
            <xm:f>AND(LEFT(PJ!$F$13)="P",PJ!$AO$4&gt;2,COUNT(PJ!$A$6:$A$11)&gt;3)</xm:f>
            <x14:dxf>
              <fill>
                <patternFill>
                  <bgColor theme="1"/>
                </patternFill>
              </fill>
            </x14:dxf>
          </x14:cfRule>
          <xm:sqref>AQ25:AQ29</xm:sqref>
        </x14:conditionalFormatting>
        <x14:conditionalFormatting xmlns:xm="http://schemas.microsoft.com/office/excel/2006/main">
          <x14:cfRule type="expression" priority="14243" id="{C843793F-8C18-4A27-9D93-AE5ACB9B3753}">
            <xm:f>AND(LEFT(PJ!$F$13)="P",PJ!$AO$4&gt;2,COUNT(PJ!$A$6:$A$11)&gt;4)</xm:f>
            <x14:dxf>
              <fill>
                <patternFill>
                  <bgColor theme="1"/>
                </patternFill>
              </fill>
            </x14:dxf>
          </x14:cfRule>
          <xm:sqref>AQ30:AQ34</xm:sqref>
        </x14:conditionalFormatting>
        <x14:conditionalFormatting xmlns:xm="http://schemas.microsoft.com/office/excel/2006/main">
          <x14:cfRule type="expression" priority="14244" id="{4C0E1883-7F74-47F2-960C-D86718A3345D}">
            <xm:f>AND(LEFT(PJ!$F$13)="P",PJ!$AO$4&gt;2,COUNT(PJ!$A$6:$A$11)&gt;5)</xm:f>
            <x14:dxf>
              <fill>
                <patternFill>
                  <bgColor theme="1"/>
                </patternFill>
              </fill>
            </x14:dxf>
          </x14:cfRule>
          <xm:sqref>AQ35:AQ38 AP39:AQ39</xm:sqref>
        </x14:conditionalFormatting>
        <x14:conditionalFormatting xmlns:xm="http://schemas.microsoft.com/office/excel/2006/main">
          <x14:cfRule type="expression" priority="39" id="{0E91064B-FE0D-48B3-870A-158582A88E8C}">
            <xm:f>'GESTION DES JOUEURS'!$T$8&lt;2</xm:f>
            <x14:dxf>
              <font>
                <color theme="0" tint="-0.24994659260841701"/>
              </font>
              <fill>
                <patternFill>
                  <bgColor theme="0" tint="-0.24994659260841701"/>
                </patternFill>
              </fill>
            </x14:dxf>
          </x14:cfRule>
          <x14:cfRule type="expression" priority="40" id="{CED7122B-F857-4F3F-A442-3A0F5D5E99AC}">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5049E8E3-6BE3-4CE2-A229-7DA15E841A7E}">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A795BC57-412E-451E-AE4A-108DF2FC3E54}">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0942088B-6616-47C5-A60C-B9DC2A7F2E0E}">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1E697E97-7B66-4020-B199-D4150D981314}">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7CC5E915-019D-48D2-AB2D-46742D2DE377}">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6E9D5F01-7A9C-475C-9E80-E1F258E44AE5}">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A1F36BBE-C479-43F7-A8C6-CEBB710EC7B1}">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86B6A6AB-C487-48DA-BC54-87A71FD0740C}">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3C46598C-ADAE-4466-94C8-FD2286B818A7}">
            <xm:f>'GESTION DES JOUEURS'!$D$8="Finale"</xm:f>
            <x14:dxf>
              <font>
                <color theme="0" tint="-0.24994659260841701"/>
              </font>
              <fill>
                <patternFill>
                  <bgColor theme="0" tint="-0.24994659260841701"/>
                </patternFill>
              </fill>
            </x14:dxf>
          </x14:cfRule>
          <x14:cfRule type="expression" priority="25" id="{C4E59935-B6C8-4CF1-9061-C47ED17D0200}">
            <xm:f>OR('GESTION DES JOUEURS'!$D$8="poules",'GESTION DES JOUEURS'!$D$8="Finale")</xm:f>
            <x14:dxf>
              <font>
                <color theme="0" tint="-0.24994659260841701"/>
              </font>
              <fill>
                <patternFill>
                  <fgColor auto="1"/>
                  <bgColor theme="0" tint="-0.24994659260841701"/>
                </patternFill>
              </fill>
            </x14:dxf>
          </x14:cfRule>
          <x14:cfRule type="expression" priority="24" id="{783D6A68-9639-4927-87D2-C2F8FBEA18C3}">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1BF32970-E32B-462F-B227-21592D4EBE2B}">
            <xm:f>'GESTION DES JOUEURS'!$T$8=1</xm:f>
            <x14:dxf>
              <font>
                <color theme="0" tint="-0.24994659260841701"/>
              </font>
              <fill>
                <patternFill>
                  <bgColor theme="0" tint="-0.24994659260841701"/>
                </patternFill>
              </fill>
            </x14:dxf>
          </x14:cfRule>
          <x14:cfRule type="expression" priority="3" id="{E624679E-86D7-43FA-88D2-39155710765E}">
            <xm:f>OR('GESTION DES JOUEURS'!$D$8="Poules",'GESTION DES JOUEURS'!$D$8="Finale",'GESTION DES JOUEURS'!$D$8="Tournoi")</xm:f>
            <x14:dxf>
              <font>
                <color theme="0" tint="-0.24994659260841701"/>
              </font>
              <fill>
                <patternFill>
                  <bgColor theme="0" tint="-0.24994659260841701"/>
                </patternFill>
              </fill>
            </x14:dxf>
          </x14:cfRule>
          <x14:cfRule type="expression" priority="2" id="{5792DF30-5470-4BDB-AF7F-BD8AD5895246}">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CFD27169-71EE-489D-8C46-8871DAD957BA}">
            <xm:f>'GESTION DES JOUEURS'!$T$8=1</xm:f>
            <x14:dxf>
              <font>
                <color theme="0" tint="-0.24994659260841701"/>
              </font>
              <fill>
                <patternFill>
                  <bgColor theme="0" tint="-0.24994659260841701"/>
                </patternFill>
              </fill>
            </x14:dxf>
          </x14:cfRule>
          <x14:cfRule type="expression" priority="53" id="{05581464-D7FA-4E68-9AF8-95115FDAF1E3}">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08AB-BB63-4B19-B703-693D4EE71C6D}">
  <sheetPr>
    <tabColor rgb="FF7395D3"/>
  </sheetPr>
  <dimension ref="A1:CL70"/>
  <sheetViews>
    <sheetView zoomScale="115" zoomScaleNormal="115" workbookViewId="0">
      <selection activeCell="AA39" sqref="AA39:AA4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8.7109375" style="244" bestFit="1"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1036" t="str">
        <f>'GESTION DES JOUEURS'!M31</f>
        <v>Poule K</v>
      </c>
      <c r="C2" s="1037"/>
      <c r="D2" s="1037"/>
      <c r="E2" s="1037"/>
      <c r="F2" s="1037"/>
      <c r="G2" s="1037"/>
      <c r="H2" s="1037"/>
      <c r="I2" s="1037"/>
      <c r="J2" s="1037"/>
      <c r="K2" s="1037"/>
      <c r="L2" s="1037"/>
      <c r="M2" s="1037"/>
      <c r="N2" s="1037"/>
      <c r="O2" s="1037"/>
      <c r="P2" s="1037"/>
      <c r="Q2" s="1037"/>
      <c r="R2" s="1037"/>
      <c r="S2" s="1037"/>
      <c r="T2" s="1037"/>
      <c r="U2" s="1037"/>
      <c r="V2" s="1037"/>
      <c r="W2" s="1037"/>
      <c r="X2" s="1038"/>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IFERROR(VLOOKUP("K1",'GESTION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JOUEURS'!$Y$8="R",PouleATerminée="X"),_xlfn.XLOOKUP(($AO$4&amp;_xlfn.XLOOKUP(B6,$B$37:$B$42,$Q$37:$Q$42,"",0,1)&amp;_xlfn.XLOOKUP(B6,$B$37:$B$42,PK!$AE$37:$AE$42,"",0,1)),PTSRKPOULES[Colonne1],PTSRKPOULES[PR 3B],"",0,1),IF(AND('GESTION DES JOUEURS'!$D$8="Poules",'GESTION DES JOUEURS'!$Y$8="JDSR",PouleATerminée="X"),_xlfn.XLOOKUP($AO$4&amp;_xlfn.XLOOKUP(B6,$B$37:$B$42,$Q$37:$Q$42,"",0,1)&amp;_xlfn.XLOOKUP(B6,$B$37:$B$42,PK!$AE$37:$AE$42,"",0,1),PTSRKPOULES[Colonne1],PTSRKPOULES[PR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IFERROR(VLOOKUP("K2",'GESTION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JOUEURS'!$Y$8="R",PouleATerminée="X"),_xlfn.XLOOKUP(($AO$4&amp;_xlfn.XLOOKUP(B7,$B$37:$B$42,$Q$37:$Q$42,"",0,1)&amp;_xlfn.XLOOKUP(B7,$B$37:$B$42,PK!$AE$37:$AE$42,"",0,1)),PTSRKPOULES[Colonne1],PTSRKPOULES[PR 3B],"",0,1),IF(AND('GESTION DES JOUEURS'!$D$8="Poules",'GESTION DES JOUEURS'!$Y$8="JDSR",PouleATerminée="X"),_xlfn.XLOOKUP($AO$4&amp;_xlfn.XLOOKUP(B7,$B$37:$B$42,$Q$37:$Q$42,"",0,1)&amp;_xlfn.XLOOKUP(B7,$B$37:$B$42,PK!$AE$37:$AE$42,"",0,1),PTSRKPOULES[Colonne1],PTSRKPOULES[PR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IFERROR(VLOOKUP("K3",'GESTION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JOUEURS'!$Y$8="R",PouleATerminée="X"),_xlfn.XLOOKUP(($AO$4&amp;_xlfn.XLOOKUP(B8,$B$37:$B$42,$Q$37:$Q$42,"",0,1)&amp;_xlfn.XLOOKUP(B8,$B$37:$B$42,PK!$AE$37:$AE$42,"",0,1)),PTSRKPOULES[Colonne1],PTSRKPOULES[PR 3B],"",0,1),IF(AND('GESTION DES JOUEURS'!$D$8="Poules",'GESTION DES JOUEURS'!$Y$8="JDSR",PouleATerminée="X"),_xlfn.XLOOKUP($AO$4&amp;_xlfn.XLOOKUP(B8,$B$37:$B$42,$Q$37:$Q$42,"",0,1)&amp;_xlfn.XLOOKUP(B8,$B$37:$B$42,PK!$AE$37:$AE$42,"",0,1),PTSRKPOULES[Colonne1],PTSRKPOULES[PR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IFERROR(VLOOKUP("K4",'GESTION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JOUEURS'!$Y$8="R",PouleATerminée="X"),_xlfn.XLOOKUP(($AO$4&amp;_xlfn.XLOOKUP(B9,$B$37:$B$42,$Q$37:$Q$42,"",0,1)&amp;_xlfn.XLOOKUP(B9,$B$37:$B$42,PK!$AE$37:$AE$42,"",0,1)),PTSRKPOULES[Colonne1],PTSRKPOULES[PR 3B],"",0,1),IF(AND('GESTION DES JOUEURS'!$D$8="Poules",'GESTION DES JOUEURS'!$Y$8="JDSR",PouleATerminée="X"),_xlfn.XLOOKUP($AO$4&amp;_xlfn.XLOOKUP(B9,$B$37:$B$42,$Q$37:$Q$42,"",0,1)&amp;_xlfn.XLOOKUP(B9,$B$37:$B$42,PK!$AE$37:$AE$42,"",0,1),PTSRKPOULES[Colonne1],PTSRKPOULES[PR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IFERROR(VLOOKUP("K5",'GESTION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JOUEURS'!$Y$8="R",PouleATerminée="X"),_xlfn.XLOOKUP(($AO$4&amp;_xlfn.XLOOKUP(B10,$B$37:$B$42,$Q$37:$Q$42,"",0,1)&amp;_xlfn.XLOOKUP(B10,$B$37:$B$42,PK!$AE$37:$AE$42,"",0,1)),PTSRKPOULES[Colonne1],PTSRKPOULES[PR 3B],"",0,1),IF(AND('GESTION DES JOUEURS'!$D$8="Poules",'GESTION DES JOUEURS'!$Y$8="JDSR",PouleATerminée="X"),_xlfn.XLOOKUP($AO$4&amp;_xlfn.XLOOKUP(B10,$B$37:$B$42,$Q$37:$Q$42,"",0,1)&amp;_xlfn.XLOOKUP(B10,$B$37:$B$42,PK!$AE$37:$AE$42,"",0,1),PTSRKPOULES[Colonne1],PTSRKPOULES[PR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IFERROR(VLOOKUP("K6",'GESTION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JOUEURS'!$Y$8="R",PouleATerminée="X"),_xlfn.XLOOKUP(($AO$4&amp;_xlfn.XLOOKUP(B11,$B$37:$B$42,$Q$37:$Q$42,"",0,1)&amp;_xlfn.XLOOKUP(B11,$B$37:$B$42,PK!$AE$37:$AE$42,"",0,1)),PTSRKPOULES[Colonne1],PTSRKPOULES[PR 3B],"",0,1),IF(AND('GESTION DES JOUEURS'!$D$8="Poules",'GESTION DES JOUEURS'!$Y$8="JDSR",PouleATerminée="X"),_xlfn.XLOOKUP($AO$4&amp;_xlfn.XLOOKUP(B11,$B$37:$B$42,$Q$37:$Q$42,"",0,1)&amp;_xlfn.XLOOKUP(B11,$B$37:$B$42,PK!$AE$37:$AE$42,"",0,1),PTSRKPOULES[Colonne1],PTSRKPOULES[PR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IF(K13="Poule","K","")</f>
        <v>K</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K</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1039" t="str">
        <f>"TABLEAU "&amp;CHAR(10)&amp;B2</f>
        <v>TABLEAU 
Poule K</v>
      </c>
      <c r="V37" s="1040"/>
      <c r="W37" s="1040"/>
      <c r="X37" s="1041"/>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1042"/>
      <c r="V38" s="1043"/>
      <c r="W38" s="1043"/>
      <c r="X38" s="1044"/>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1042"/>
      <c r="V39" s="1043"/>
      <c r="W39" s="1043"/>
      <c r="X39" s="1044"/>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1042"/>
      <c r="V40" s="1043"/>
      <c r="W40" s="1043"/>
      <c r="X40" s="1044"/>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1042"/>
      <c r="V41" s="1043"/>
      <c r="W41" s="1043"/>
      <c r="X41" s="1044"/>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1045"/>
      <c r="V42" s="1046"/>
      <c r="W42" s="1046"/>
      <c r="X42" s="1047"/>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iqtQKy0f+ZHE73PtMJAdAWxsqORMa7YtaccysHcR5h8qu+ylN3faVX9dZasswAF8F5/UDlTTyiiqRR8cLnsrhw==" saltValue="k8scsUF7/4brG3F2Jtvgcg=="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200" priority="3">
      <formula>$B18=""</formula>
    </cfRule>
  </conditionalFormatting>
  <conditionalFormatting sqref="B19:Y32">
    <cfRule type="expression" dxfId="199" priority="2">
      <formula>$B18=MAX($B$18:$B$32)</formula>
    </cfRule>
  </conditionalFormatting>
  <conditionalFormatting sqref="E18:E32 W18:W32">
    <cfRule type="expression" dxfId="198" priority="4">
      <formula>LEFT($B$15)="3"</formula>
    </cfRule>
  </conditionalFormatting>
  <conditionalFormatting sqref="L13">
    <cfRule type="expression" dxfId="197" priority="56">
      <formula>$F$13&lt;&gt;"FINALE"</formula>
    </cfRule>
  </conditionalFormatting>
  <conditionalFormatting sqref="T6:U11 N37:O42">
    <cfRule type="expression" dxfId="195" priority="57">
      <formula>LEFT($B$15)="3"</formula>
    </cfRule>
  </conditionalFormatting>
  <dataValidations count="3">
    <dataValidation type="list" allowBlank="1" showInputMessage="1" showErrorMessage="1" sqref="O7:O11" xr:uid="{1115EEB3-CE96-4C00-AC24-7432FC79F29F}">
      <formula1>"F,1,2,3,4,5,6"</formula1>
    </dataValidation>
    <dataValidation type="list" allowBlank="1" showInputMessage="1" showErrorMessage="1" sqref="W35:X35" xr:uid="{35827FFA-8D50-4A73-90D8-A4436D62950E}">
      <formula1>"OUI,NON"</formula1>
    </dataValidation>
    <dataValidation type="list" allowBlank="1" showInputMessage="1" showErrorMessage="1" sqref="O6" xr:uid="{965205C5-5947-4B86-9B21-C362E8A9C0A3}">
      <formula1>"1,2,3,4,5,6"</formula1>
    </dataValidation>
  </dataValidations>
  <hyperlinks>
    <hyperlink ref="AA4:AA5" location="'GESTION DES JOUEURS'!D4" display="GESTION DES JOUEURS" xr:uid="{1B5E9D09-8D59-4849-9AC4-5CE763B80610}"/>
    <hyperlink ref="U37:X42" location="'T PK'!A1" display="'T PK'!A1" xr:uid="{0AB27DAC-BB75-4EE2-8E97-14454A009AB6}"/>
    <hyperlink ref="AA9:AA10" location="PA!N18" display="PA!N18" xr:uid="{A0BC81BB-B087-49ED-A788-5B47B8EF26E6}"/>
    <hyperlink ref="AA11:AA12" location="PB!N18" display="Poule B" xr:uid="{35289B7A-CBDD-4B75-9140-CED0AD8E994A}"/>
    <hyperlink ref="AA13:AA14" location="PC!N18" display="Poule C" xr:uid="{6CBB6338-92C9-40AD-8976-E423AAE1966D}"/>
    <hyperlink ref="AA15:AA16" location="PD!N18" display="Poule D" xr:uid="{45DFB4FC-5FD1-49B8-AB9D-85827160070A}"/>
    <hyperlink ref="AA17:AA18" location="PE!N18" display="Poule E" xr:uid="{7F237B0D-E24E-45CE-8DBB-1008F1654187}"/>
    <hyperlink ref="AA19:AA20" location="PF!N18" display="Poule F" xr:uid="{F7906E06-3691-4B7F-96C0-A470DA5B0DD2}"/>
    <hyperlink ref="AA21:AA22" location="PG!N18" display="Poule G" xr:uid="{E0269D08-0B20-4336-89F3-89D3C63CFC7D}"/>
    <hyperlink ref="AA23:AA24" location="PH!N18" display="Poule H" xr:uid="{94843FB4-EEA9-4EAC-A0FA-717E393A198C}"/>
    <hyperlink ref="AA25:AA26" location="PI!N18" display="Poule I" xr:uid="{A0AD9365-C280-4D7A-907D-EB3ECB576D9D}"/>
    <hyperlink ref="AA27:AA28" location="PJ!N18" display="Poule J" xr:uid="{6E672431-0ED4-4347-9A86-B4D40252827D}"/>
    <hyperlink ref="AA29:AA30" location="PK!N18" display="Poule K" xr:uid="{5BEE24AA-555D-438C-8C12-F5B39317C5B5}"/>
    <hyperlink ref="AA31:AA32" location="PL!N18" display="Poule L" xr:uid="{AAB9B238-4A13-4005-9CCF-CC014984B14B}"/>
    <hyperlink ref="AA37:AA38" location="Consolante!A1" display="Consolante" xr:uid="{2077E764-59B3-492B-8428-D2B8A572A511}"/>
    <hyperlink ref="AA40:AA42" location="RESULTATS!A1" display="RESULTATS" xr:uid="{D6A35BE6-785A-4260-A585-3ED47FDEB793}"/>
    <hyperlink ref="AA34:AA35" location="'Phase finale'!A1" display="Phase Finale" xr:uid="{65B0CEF0-CDE3-4D11-9492-162BCACD5A8F}"/>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77A4B28C-DEFF-4541-8FD0-BCBCF2A224DF}">
            <xm:f>'GESTION DES JOUEURS'!$D$8="Open"</xm:f>
            <x14:dxf>
              <numFmt numFmtId="14" formatCode="0.00%"/>
            </x14:dxf>
          </x14:cfRule>
          <xm:sqref>R37:S42</xm:sqref>
        </x14:conditionalFormatting>
        <x14:conditionalFormatting xmlns:xm="http://schemas.microsoft.com/office/excel/2006/main">
          <x14:cfRule type="expression" priority="8" id="{BCD92468-BED4-47EC-96C3-50C60B564788}">
            <xm:f>'GESTION DES JOUEURS'!$D$8="Open"</xm:f>
            <x14:dxf>
              <numFmt numFmtId="14" formatCode="0.00%"/>
            </x14:dxf>
          </x14:cfRule>
          <xm:sqref>W6:X11</xm:sqref>
        </x14:conditionalFormatting>
        <x14:conditionalFormatting xmlns:xm="http://schemas.microsoft.com/office/excel/2006/main">
          <x14:cfRule type="expression" priority="1" id="{2670FE4A-2EE6-4BAA-8F2D-8932FEA225B3}">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167D1D3C-42F4-487F-96FD-F3A8AAAE0DF5}">
            <xm:f>'GESTION DES JOUEURS'!$T$8&lt;2</xm:f>
            <x14:dxf>
              <font>
                <color theme="0" tint="-0.24994659260841701"/>
              </font>
              <fill>
                <patternFill>
                  <bgColor theme="0" tint="-0.24994659260841701"/>
                </patternFill>
              </fill>
            </x14:dxf>
          </x14:cfRule>
          <x14:cfRule type="expression" priority="42" id="{583DC0A6-33AE-4DCC-8D45-BA59978E6944}">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196EBFC2-0BE9-4297-B7FE-3EEF6E479E79}">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FFD924C8-C108-43E4-A6C0-BD5B63E116A8}">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CFC0FBD6-A7FC-4CAE-ABE9-1663DA81B08D}">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9240B14A-A672-4B1D-811E-6BC2A2FAD7A2}">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ED4AAE20-4EB3-4DB8-81AF-47525E33AAEC}">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227AFD34-1993-4DE0-93D6-3C75C51E931D}">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277DEB29-E9F0-4AE8-B8DC-29637B904F5F}">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52E0E5E5-4500-46E4-9A8D-0432B71391FE}">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C752C488-BFC5-4903-AB73-DB9164422D81}">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5338DFF3-47BF-4926-AAA3-8809597A0569}">
            <xm:f>'GESTION DES JOUEURS'!$T$8=1</xm:f>
            <x14:dxf>
              <font>
                <color theme="0" tint="-0.24994659260841701"/>
              </font>
              <fill>
                <patternFill>
                  <bgColor theme="0" tint="-0.24994659260841701"/>
                </patternFill>
              </fill>
            </x14:dxf>
          </x14:cfRule>
          <x14:cfRule type="expression" priority="19" id="{E9F0807A-77FC-424B-8785-23E7450EFDBB}">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92093730-3FD5-4E53-B2A8-11FFF9DDE14B}">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C24F6BF-95D6-4CC9-8B01-03B2AE160857}">
          <x14:formula1>
            <xm:f>IF(AND(_xlfn.XLOOKUP($F18,$B$6:$B$11,$AD$6:$AD$11,"",0,1)&lt;&gt;"N1",_xlfn.XLOOKUP($U18,$B$6:$B$11,$AD$6:$AD$11,"",0,1)&lt;&gt;"N1",$B$15="Cadre N1/N2"),Distances!$B$89:$KP$89,Distances!$B$86:$KQ$86)</xm:f>
          </x14:formula1>
          <xm:sqref>O18:O32</xm:sqref>
        </x14:dataValidation>
        <x14:dataValidation type="list" allowBlank="1" showInputMessage="1" showErrorMessage="1" xr:uid="{69F9BBB5-5769-42A5-933E-B20668D95FA4}">
          <x14:formula1>
            <xm:f>IF(AND(_xlfn.XLOOKUP($F18,$B$6:$B$11,$AD$6:$AD$11,"",0,1)&lt;&gt;"N1",_xlfn.XLOOKUP($U18,$B$6:$B$11,$AD$6:$AD$11,"",0,1)&lt;&gt;"N1",$B$15="Cadre N1/N2"),Distances!$B$88:$KP$88,Distances!$B$85:$KQ$85)</xm:f>
          </x14:formula1>
          <xm:sqref>N18:N32 P18:P32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E465-B793-4501-A111-1EF58D6F62F8}">
  <sheetPr>
    <tabColor rgb="FF7395D3"/>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IF(PK!F13="FINALE","District 93-94"&amp;" - "&amp;IF(MONTH(AT5)&gt;8,YEAR(AT5)&amp;"/"&amp;YEAR(AT5)+1,YEAR(AT5)-1&amp;"/"&amp;YEAR(AT5))&amp;CHAR(10)&amp;PK!F13&amp;CHAR(10)&amp;PK!B15&amp;AT2,"District 93-94"&amp;" - "&amp;IF(MONTH(AT5)&gt;8,YEAR(AT5)&amp;"/"&amp;YEAR(AT5)+1,YEAR(AT5)-1&amp;"/"&amp;YEAR(AT5))&amp;CHAR(10)&amp;'GESTION DES JOUEURS'!C2&amp;CHAR(10)&amp;PK!K13&amp;" "&amp;PK!L13)</f>
        <v>District 93-94 - 2024/2025
Journée 3 -  Libre R2
Poule K</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IF(PK!M14="","",PK!M14)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IF(LEFT(PK!$B$15)="C","   -   "&amp;_xlfn.XLOOKUP(PK!B15,Distances!D2:D77,Distances!K2:K77,"",0,1),"")</f>
        <v/>
      </c>
      <c r="AV2" s="450" t="s">
        <v>8130</v>
      </c>
    </row>
    <row r="3" spans="1:48" ht="21.95" customHeight="1" thickBot="1" x14ac:dyDescent="0.3">
      <c r="A3" s="32"/>
      <c r="B3" s="868" t="str">
        <f>IF('GESTION DES JOUEURS'!$F$6="","","Directeur de jeu : "&amp;PK!S13)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"&amp;_xlfn.XLOOKUP(PK!B15,Distances!D2:D77,Distances!A2:A77,"",0,1)&amp;AT2</f>
        <v>Mode de jeu : Libre</v>
      </c>
      <c r="C5" s="877"/>
      <c r="D5" s="877"/>
      <c r="E5" s="877"/>
      <c r="F5" s="877"/>
      <c r="G5" s="876" t="str">
        <f>"Catégorie : "&amp;_xlfn.XLOOKUP(PK!B15,Distances!D2:D77,Distances!B2:B77,"",0,1)</f>
        <v>Catégorie : R2</v>
      </c>
      <c r="H5" s="877"/>
      <c r="I5" s="877"/>
      <c r="J5" s="877"/>
      <c r="K5" s="877"/>
      <c r="L5" s="877"/>
      <c r="M5" s="877"/>
      <c r="N5" s="878"/>
      <c r="O5" s="870" t="str">
        <f>IF(G5="Catégorie : N1/N2","Distance réduite : 150 pts"&amp;CHAR(10)&amp;"si N2 Vs N2 120pts",PK!B14&amp;" "&amp;PK!E14&amp;" "&amp;PK!F14)</f>
        <v>Distance : 100 Pts</v>
      </c>
      <c r="P5" s="871"/>
      <c r="Q5" s="871"/>
      <c r="R5" s="871"/>
      <c r="S5" s="871"/>
      <c r="T5" s="871"/>
      <c r="U5" s="872"/>
      <c r="V5" s="870" t="str">
        <f>IFERROR(IF(G5="Catégorie : N1/N2","Reprises : 15"&amp;CHAR(10)&amp;"si N2 Vs N2 Reprises : 20 ",PK!G14&amp;" "&amp;PK!J14),"")</f>
        <v>Reprises : 40</v>
      </c>
      <c r="W5" s="871"/>
      <c r="X5" s="871"/>
      <c r="Y5" s="871"/>
      <c r="Z5" s="871"/>
      <c r="AA5" s="871"/>
      <c r="AB5" s="871"/>
      <c r="AC5" s="872"/>
      <c r="AD5" s="873" t="str">
        <f>_xlfn.XLOOKUP(PK!B15,Distances!D2:D77,Distances!J2:J77,"",0,1)&amp;" "&amp;_xlfn.XLOOKUP(PK!B15,Distances!D2:D77,Distances!I2:I77,"",0,1)&amp;"0 m"</f>
        <v>PC 2,80 m</v>
      </c>
      <c r="AE5" s="874"/>
      <c r="AF5" s="874"/>
      <c r="AG5" s="874"/>
      <c r="AH5" s="874"/>
      <c r="AI5" s="875"/>
      <c r="AJ5" s="850">
        <f>IF(PK!T14=0,"DATE",PK!T14)</f>
        <v>45633</v>
      </c>
      <c r="AK5" s="851"/>
      <c r="AL5" s="851"/>
      <c r="AM5" s="851"/>
      <c r="AN5" s="851"/>
      <c r="AO5" s="851"/>
      <c r="AP5" s="851"/>
      <c r="AQ5" s="852"/>
      <c r="AS5" s="841" t="s">
        <v>8129</v>
      </c>
      <c r="AT5" s="32">
        <f ca="1">IF(PK!T14&gt;1,AJ5,TODAY())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IF(PK!$AO$4&lt;2,"","JOUEURS")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IF(PK!$AO$4&lt;2,"","RESULTATS")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IF(PK!AO4=2,_xlfn.XLOOKUP(1,PK!M6:M11,PK!C6:D11&amp;" "&amp;LEFT(PK!E6)&amp;".","",0,1),IF(COUNT(PK!A6:A11)&gt;2,CONCATENATE(PK!C6," ",LEFT(PK!E6),"."),""))</f>
        <v/>
      </c>
      <c r="D10" s="32"/>
      <c r="E10" s="885" t="str">
        <f>IF(PK!W35="NON",AG1,IF(PK!AO4&gt;0,_xlfn.XLOOKUP('T PK'!C13,'LOGOS CLUBS'!$B$2:$B$65,'LOGOS CLUBS'!$C$2:$C$65,C13,0,1),""))</f>
        <v/>
      </c>
      <c r="F10" s="885"/>
      <c r="G10" s="885"/>
      <c r="H10" s="885"/>
      <c r="I10" s="32"/>
      <c r="J10" s="882" t="str">
        <f>IF(AND(PK!$AO$4=2,PK!$A18="P"),PK!N18,IF(AND(COUNT(PK!$A$6:$A$11)&gt;2,PK!$CF10="P"),PK!$CC10,""))</f>
        <v/>
      </c>
      <c r="K10" s="882"/>
      <c r="L10" s="882" t="str">
        <f>IF(AND(PK!$AO$4=2,PK!$A18="P"),PK!O18,IF(AND(COUNT(PK!$A$6:$A$11)&gt;2,PK!$CF10="P"),PK!$CE10,""))</f>
        <v/>
      </c>
      <c r="M10" s="882"/>
      <c r="N10" s="142"/>
      <c r="O10" s="882" t="str">
        <f>IF(PK!$AO$4=2,"",IF(AND(COUNT(PK!$A$6:$A$11)&gt;2,PK!$CF9="P"),PK!$CC9,""))</f>
        <v/>
      </c>
      <c r="P10" s="882"/>
      <c r="Q10" s="882" t="str">
        <f>IF(PK!$AO$4=2,"",IF(AND(COUNT(PK!$A$6:$A$11)&gt;2,PK!$CF9="P"),PK!$CE9,""))</f>
        <v/>
      </c>
      <c r="R10" s="882"/>
      <c r="S10" s="142"/>
      <c r="T10" s="882" t="str">
        <f>IF(PK!$AO$4=2,"",IF(AND(COUNT(PK!$A$6:$A$11)&gt;2,PK!$CF8="P"),PK!$CC8,""))</f>
        <v/>
      </c>
      <c r="U10" s="882"/>
      <c r="V10" s="882" t="str">
        <f>IF(PK!$AO$4=2,"",IF(AND(COUNT(PK!$A$6:$A$11)&gt;2,PK!$CF8="P"),PK!$CE8,""))</f>
        <v/>
      </c>
      <c r="W10" s="882"/>
      <c r="X10" s="142"/>
      <c r="Y10" s="882" t="str">
        <f>IF(PK!$AO$4=2,"",IF(AND(COUNT(PK!$A$6:$A$11)&gt;2,PK!$CF7="P"),PK!$CC7,""))</f>
        <v/>
      </c>
      <c r="Z10" s="882"/>
      <c r="AA10" s="882" t="str">
        <f>IF(PK!$AO$4=2,"",IF(AND(COUNT(PK!$A$6:$A$11)&gt;2,PK!$CF7="P"),PK!$CE7,""))</f>
        <v/>
      </c>
      <c r="AB10" s="882"/>
      <c r="AC10" s="142"/>
      <c r="AD10" s="882" t="str">
        <f>IF(PK!$AO$4=2,"",IF(AND(COUNT(PK!$A$6:$A$11)&gt;2,PK!$CF6="P"),PK!$CC6,""))</f>
        <v/>
      </c>
      <c r="AE10" s="882"/>
      <c r="AF10" s="882" t="str">
        <f>IF(PK!$AO$4=2,"",IF(AND(COUNT(PK!$A$6:$A$11)&gt;2,PK!$CF6="P"),PK!$CE6,""))</f>
        <v/>
      </c>
      <c r="AG10" s="882"/>
      <c r="AH10" s="32"/>
      <c r="AI10" s="32"/>
      <c r="AJ10" s="32"/>
      <c r="AK10" s="882" t="str" cm="1">
        <f t="array" ref="AK10">IF(PK!$AO$4&lt;2,"",IF(_xlfn.XLOOKUP('T PK'!C12,"Licence n° "&amp;PK!$B$6:$B$11,PK!$AO$6:$AO$11,"",0,1)=1,"",_xlfn.XLOOKUP('T PK'!C12,"Licence n° "&amp;PK!$B$6:$B$11,PK!$V$6:$V$11,"",0,1)))</f>
        <v/>
      </c>
      <c r="AL10" s="882"/>
      <c r="AM10" s="879" t="str" cm="1">
        <f t="array" ref="AM10">IF(PK!$AO$4&lt;2,"",IF(_xlfn.XLOOKUP('T PK'!C12,"Licence n° "&amp;PK!$B$6:$B$11,PK!$AO$6:$AO$11,"",0,1)=1,"",_xlfn.XLOOKUP('T PK'!C12,"Licence n° "&amp;PK!$B$6:$B$11,PK!$T$6:$T$11,"",0,1)))</f>
        <v/>
      </c>
      <c r="AN10" s="879"/>
      <c r="AO10" s="32"/>
      <c r="AP10" s="561" t="str" cm="1">
        <f t="array" ref="AP10">_xlfn.XLOOKUP(C12,"Licence n° "&amp;PK!$B$6:$B$11,PK!$W$6:$W$11,"",0,1)</f>
        <v/>
      </c>
      <c r="AQ10" s="32"/>
      <c r="AS10" s="843" t="str">
        <f>IF('GESTION DES JOUEURS'!$D$8="Finale","Poule Finale","Poule A")</f>
        <v>Poule A</v>
      </c>
      <c r="AT10" s="32"/>
      <c r="AV10" s="838"/>
    </row>
    <row r="11" spans="1:48" ht="12.6" customHeight="1" thickBot="1" x14ac:dyDescent="0.3">
      <c r="A11" s="32"/>
      <c r="B11" s="32"/>
      <c r="C11" s="143" t="str" cm="1">
        <f t="array" ref="C11">IF(PK!$AO$4=2,_xlfn.XLOOKUP(1,PK!$M$6:$M$11,PK!$K$6:$K$11&amp;" "&amp;PK!$AS$6:$AS$11,"",0,1),IF(COUNT(PK!$A$6:$A$11)&gt;2,PK!$K6&amp;" - "&amp;PK!$AS6," "))</f>
        <v xml:space="preserve"> </v>
      </c>
      <c r="D11" s="32"/>
      <c r="E11" s="885"/>
      <c r="F11" s="885"/>
      <c r="G11" s="885"/>
      <c r="H11" s="885"/>
      <c r="I11" s="32"/>
      <c r="J11" s="144" t="str">
        <f>IF(K11="","","Pts")</f>
        <v/>
      </c>
      <c r="K11" s="880" t="str">
        <f>IF(PK!$AO$4=2,PK!D18,IF(AND(COUNT(PK!$A$6:$A$11)&gt;2,PK!$CF10="P"),PK!$CG10,""))</f>
        <v/>
      </c>
      <c r="L11" s="880"/>
      <c r="M11" s="144" t="str">
        <f>IF(K11="","","Rep.")</f>
        <v/>
      </c>
      <c r="N11" s="144"/>
      <c r="O11" s="144" t="str">
        <f>IF(P11="","","Pts")</f>
        <v/>
      </c>
      <c r="P11" s="880" t="str">
        <f>IF(PK!$AO$4=2,"",IF(AND(COUNT(PK!$A$6:$A$11)&gt;2,PK!$CF9="P"),PK!$CG9,""))</f>
        <v/>
      </c>
      <c r="Q11" s="880"/>
      <c r="R11" s="144" t="str">
        <f>IF(P11="","","Rep.")</f>
        <v/>
      </c>
      <c r="S11" s="144"/>
      <c r="T11" s="144" t="str">
        <f>IF(U11="","","Pts")</f>
        <v/>
      </c>
      <c r="U11" s="880" t="str">
        <f>IF(PK!$AO$4=2,"",IF(AND(COUNT(PK!$A$6:$A$11)&gt;2,PK!$CF8="P"),PK!$CG8,""))</f>
        <v/>
      </c>
      <c r="V11" s="880"/>
      <c r="W11" s="144" t="str">
        <f>IF(U11="","","Rep.")</f>
        <v/>
      </c>
      <c r="X11" s="144"/>
      <c r="Y11" s="144" t="str">
        <f>IF(Z11="","","Pts")</f>
        <v/>
      </c>
      <c r="Z11" s="880" t="str">
        <f>IF(PK!$AO$4=2,"",IF(AND(COUNT(PK!$A$6:$A$11)&gt;2,PK!$CF7="P"),PK!$CG7,""))</f>
        <v/>
      </c>
      <c r="AA11" s="880"/>
      <c r="AB11" s="144" t="str">
        <f>IF(Z11="","","Rep.")</f>
        <v/>
      </c>
      <c r="AC11" s="144"/>
      <c r="AD11" s="144" t="str">
        <f>IF(AE11="","","Pts")</f>
        <v/>
      </c>
      <c r="AE11" s="880" t="str">
        <f>IF(PK!$AO$4=2,"",IF(AND(COUNT(PK!$A$6:$A$11)&gt;2,PK!$CF6="P"),PK!$CG6,""))</f>
        <v/>
      </c>
      <c r="AF11" s="880"/>
      <c r="AG11" s="144" t="str">
        <f>IF(AE11="","","Rep.")</f>
        <v/>
      </c>
      <c r="AH11" s="32"/>
      <c r="AI11" s="32"/>
      <c r="AJ11" s="32"/>
      <c r="AK11" s="145" t="str">
        <f>IF(AL11="","","PM")</f>
        <v/>
      </c>
      <c r="AL11" s="881" t="str" cm="1">
        <f t="array" ref="AL11">IF(SUM(PK!$Q$6:$Q$11)=0,"",IF(PK!$AO$4&gt;1,IF(_xlfn.XLOOKUP('T PK'!C12,"Licence n° "&amp;PK!$B$6:$B$11,PK!$AO$6:$AO$11,"",0,1)=1,"Forfait",_xlfn.XLOOKUP('T PK'!C12,"Licence n° "&amp;PK!$B$37:$B$42,PK!$Q$37:$Q$42,"",0,1)),""))</f>
        <v/>
      </c>
      <c r="AM11" s="881"/>
      <c r="AN11" s="145" t="str">
        <f>IF(AL11="","","MGP")</f>
        <v/>
      </c>
      <c r="AO11" s="32"/>
      <c r="AP11" s="146" t="str">
        <f>IF(OR(PK!$AO$4&lt;2,LEFT(PK!$F$13)="F"),"","Pts Rk")</f>
        <v/>
      </c>
      <c r="AQ11" s="32"/>
      <c r="AS11" s="844"/>
      <c r="AT11" s="32"/>
      <c r="AV11" s="839"/>
    </row>
    <row r="12" spans="1:48" ht="12.6" customHeight="1" x14ac:dyDescent="0.25">
      <c r="A12" s="32"/>
      <c r="B12" s="32"/>
      <c r="C12" s="147" t="str">
        <f>IF(PK!AO4=2,"Licence n° "&amp;_xlfn.XLOOKUP(1,PK!M6:M11,PK!B6:B11,"",0,1),IF(COUNT(PK!A6:A11)&gt;2,"Licence n° "&amp;PK!B6,"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IF(OR(PK!$AO$4&lt;2,LEFT(PK!$F$13)="F"),"","Bonus")</f>
        <v/>
      </c>
      <c r="AQ12" s="32"/>
      <c r="AS12" s="845" t="s">
        <v>8113</v>
      </c>
      <c r="AT12" s="32"/>
    </row>
    <row r="13" spans="1:48" ht="50.1" customHeight="1" x14ac:dyDescent="0.25">
      <c r="A13" s="32"/>
      <c r="B13" s="32"/>
      <c r="C13" s="149" t="str">
        <f>IF(PK!AO4=2,_xlfn.XLOOKUP(1,PK!M6:M11,PK!G6:G11,"",0,1),IF(COUNT(PK!A6:A11)&gt;2,PK!G6," "))</f>
        <v xml:space="preserve"> </v>
      </c>
      <c r="D13" s="32"/>
      <c r="E13" s="885"/>
      <c r="F13" s="885"/>
      <c r="G13" s="885"/>
      <c r="H13" s="885"/>
      <c r="I13" s="32"/>
      <c r="J13" s="883" t="str">
        <f>IF(K11="","",IF(K11&gt;0,J10/L10,"/"))</f>
        <v/>
      </c>
      <c r="K13" s="883"/>
      <c r="L13" s="884" t="str">
        <f>IF(AND(PK!$AO$4=2,PK!$A18="P"),PK!M18,IF(AND(COUNT(PK!$A$6:$A$11)&gt;2,PK!$CF10="P"),PK!$CD10,""))</f>
        <v/>
      </c>
      <c r="M13" s="884"/>
      <c r="N13" s="32"/>
      <c r="O13" s="883" t="str">
        <f>IF(P11="","",IF(P11&gt;0,O10/Q10,"/"))</f>
        <v/>
      </c>
      <c r="P13" s="883"/>
      <c r="Q13" s="884" t="str">
        <f>IF(PK!$AO$4=2,"",IF(AND(COUNT(PK!$A$6:$A$11)&gt;2,PK!$CF9="P"),PK!$CD9,""))</f>
        <v/>
      </c>
      <c r="R13" s="884"/>
      <c r="S13" s="32"/>
      <c r="T13" s="883" t="str">
        <f>IF(U11="","",IF(U11&gt;0,T10/V10,"/"))</f>
        <v/>
      </c>
      <c r="U13" s="883"/>
      <c r="V13" s="884" t="str">
        <f>IF(PK!$AO$4=2,"",IF(AND(COUNT(PK!$A$6:$A$11)&gt;2,PK!$CF8="P"),PK!$CD8,""))</f>
        <v/>
      </c>
      <c r="W13" s="884"/>
      <c r="X13" s="32"/>
      <c r="Y13" s="883" t="str">
        <f>IF(Z11="","",IF(Z11&gt;0,Y10/AA10,"/"))</f>
        <v/>
      </c>
      <c r="Z13" s="883"/>
      <c r="AA13" s="884" t="str">
        <f>IF(PK!$AO$4=2,"",IF(AND(COUNT(PK!$A$6:$A$11)&gt;2,PK!$CF7="P"),PK!$CD7,""))</f>
        <v/>
      </c>
      <c r="AB13" s="884"/>
      <c r="AC13" s="32"/>
      <c r="AD13" s="883" t="str">
        <f>IF(AE11="","",IF(AE11&gt;0,AD10/AF10,"/"))</f>
        <v/>
      </c>
      <c r="AE13" s="883"/>
      <c r="AF13" s="884" t="str">
        <f>IF(PK!$AO$4=2,"",IF(AND(COUNT(PK!$A$6:$A$11)&gt;2,PK!$CF6="P"),PK!$CD6,""))</f>
        <v/>
      </c>
      <c r="AG13" s="884"/>
      <c r="AH13" s="32"/>
      <c r="AI13" s="32"/>
      <c r="AJ13" s="32"/>
      <c r="AK13" s="883" t="str" cm="1">
        <f t="array" ref="AK13">IF(PK!$AO$4&lt;2,"",IF(_xlfn.XLOOKUP('T PK'!C12,"Licence n° "&amp;PK!$B$6:$B$11,PK!$AO$6:$AO$11,"",0,1)=1,"",_xlfn.XLOOKUP('T PK'!C12,"Licence n° "&amp;PK!$B$6:$B$11,PK!$U$6:$U$11,"",0,1)))</f>
        <v/>
      </c>
      <c r="AL13" s="883"/>
      <c r="AM13" s="884" t="str" cm="1">
        <f t="array" ref="AM13">IF(PK!$AO$4&lt;2,"",IF(_xlfn.XLOOKUP('T PK'!C12,"Licence n° "&amp;PK!$B$6:$B$11,PK!$AO$6:$AO$11,"",0,1)=1,"",_xlfn.XLOOKUP('T PK'!C12,"Licence n° "&amp;PK!$B$6:$B$11,PK!$S$6:$S$11,"",0,1)))</f>
        <v/>
      </c>
      <c r="AN13" s="884"/>
      <c r="AO13" s="32"/>
      <c r="AP13" s="562" t="str" cm="1">
        <f t="array" ref="AP13">_xlfn.XLOOKUP(C12,"Licence n° "&amp;PK!$B$6:$B$11,PK!$X$6:$X$11,"",0,1)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IF(PK!AO4=2,_xlfn.XLOOKUP(2,PK!M6:M11,PK!C6:D11&amp;" "&amp;LEFT(PK!E6:E11)&amp;".","",0,1),IF(COUNT(PK!A6:A11)&gt;2,CONCATENATE(PK!C7," ",LEFT(PK!E7),"."),""))</f>
        <v/>
      </c>
      <c r="D15" s="32"/>
      <c r="E15" s="882" t="str">
        <f>IF(AND(PK!$AO$4=2,PK!$A18="P"),PK!P18,IF(AND(COUNT(PK!$A$6:$A$11)&gt;2,PK!$CF15="P"),PK!$CC15,""))</f>
        <v/>
      </c>
      <c r="F15" s="882"/>
      <c r="G15" s="882" t="str">
        <f>IF(AND(PK!$AO$4=2,PK!$A18="P"),PK!O18,IF(AND(COUNT(PK!$A$6:$A$11)&gt;2,PK!$CF15="P"),PK!$CE15,""))</f>
        <v/>
      </c>
      <c r="H15" s="882"/>
      <c r="I15" s="32"/>
      <c r="J15" s="885" t="str">
        <f>IF(PK!W35="NON",AG1,IF(PK!AO4=2,"MATCH 1",IF(PK!AO4&gt;2,_xlfn.XLOOKUP(C18,'LOGOS CLUBS'!$B$2:$B$65,'LOGOS CLUBS'!$C$2:$C$65,C18,0,1),"")))</f>
        <v/>
      </c>
      <c r="K15" s="885"/>
      <c r="L15" s="885"/>
      <c r="M15" s="885"/>
      <c r="N15" s="32"/>
      <c r="O15" s="882" t="str">
        <f>IF(PK!$AO$4=2,"",IF(AND(COUNT(PK!$A$6:$A$11)&gt;2,PK!$CF14="P"),PK!$CC14,""))</f>
        <v/>
      </c>
      <c r="P15" s="882"/>
      <c r="Q15" s="882" t="str">
        <f>IF(PK!$AO$4=2,"",IF(AND(COUNT(PK!$A$6:$A$11)&gt;2,PK!$CF14="P"),PK!$CE14,""))</f>
        <v/>
      </c>
      <c r="R15" s="882"/>
      <c r="S15" s="142"/>
      <c r="T15" s="882" t="str">
        <f>IF(PK!$AO$4=2,"",IF(AND(COUNT(PK!$A$6:$A$11)&gt;2,PK!$CF13="P"),PK!$CC13,""))</f>
        <v/>
      </c>
      <c r="U15" s="882"/>
      <c r="V15" s="882" t="str">
        <f>IF(PK!$AO$4=2,"",IF(AND(COUNT(PK!$A$6:$A$11)&gt;2,PK!$CF13="P"),PK!$CE13,""))</f>
        <v/>
      </c>
      <c r="W15" s="882"/>
      <c r="X15" s="142"/>
      <c r="Y15" s="882" t="str">
        <f>IF(PK!$AO$4=2,"",IF(AND(COUNT(PK!$A$6:$A$11)&gt;2,PK!$CF12="P"),PK!$CC12,""))</f>
        <v/>
      </c>
      <c r="Z15" s="882"/>
      <c r="AA15" s="882" t="str">
        <f>IF(PK!$AO$4=2,"",IF(AND(COUNT(PK!$A$6:$A$11)&gt;2,PK!$CF12="P"),PK!$CE12,""))</f>
        <v/>
      </c>
      <c r="AB15" s="882"/>
      <c r="AC15" s="142"/>
      <c r="AD15" s="882" t="str">
        <f>IF(PK!$AO$4=2,"",IF(AND(COUNT(PK!$A$6:$A$11)&gt;2,PK!$CF11="P"),PK!$CC11,""))</f>
        <v/>
      </c>
      <c r="AE15" s="882"/>
      <c r="AF15" s="882" t="str">
        <f>IF(PK!$AO$4=2,"",IF(AND(COUNT(PK!$A$6:$A$11)&gt;2,PK!$CF11="P"),PK!$CE11,""))</f>
        <v/>
      </c>
      <c r="AG15" s="882"/>
      <c r="AH15" s="32"/>
      <c r="AI15" s="32"/>
      <c r="AJ15" s="32"/>
      <c r="AK15" s="882" t="str" cm="1">
        <f t="array" ref="AK15">IF(PK!$AO$4&lt;2,"",IF(_xlfn.XLOOKUP('T PK'!C17,"Licence n° "&amp;PK!$B$6:$B$11,PK!$AO$6:$AO$11,"",0,1)=1,"",_xlfn.XLOOKUP('T PK'!C17,"Licence n° "&amp;PK!$B$6:$B$11,PK!$V$6:$V$11,"",0,1)))</f>
        <v/>
      </c>
      <c r="AL15" s="882"/>
      <c r="AM15" s="879" t="str" cm="1">
        <f t="array" ref="AM15">IF(PK!$AO$4&lt;2,"",IF(_xlfn.XLOOKUP('T PK'!C17,"Licence n° "&amp;PK!$B$6:$B$11,PK!$AO$6:$AO$11,"",0,1)=1,"",_xlfn.XLOOKUP('T PK'!C17,"Licence n° "&amp;PK!$B$6:$B$11,PK!$T$6:$T$11,"",0,1)))</f>
        <v/>
      </c>
      <c r="AN15" s="879"/>
      <c r="AO15" s="32"/>
      <c r="AP15" s="561" t="str" cm="1">
        <f t="array" ref="AP15">_xlfn.XLOOKUP(C17,"Licence n° "&amp;PK!$B$6:$B$11,PK!$W$6:$W$11,"",0,1)</f>
        <v/>
      </c>
      <c r="AQ15" s="32"/>
      <c r="AS15" s="840" t="s">
        <v>8114</v>
      </c>
      <c r="AT15" s="32"/>
    </row>
    <row r="16" spans="1:48" ht="12.6" customHeight="1" x14ac:dyDescent="0.25">
      <c r="A16" s="32"/>
      <c r="B16" s="32"/>
      <c r="C16" s="143" t="str" cm="1">
        <f t="array" ref="C16">IF(PK!$AO$4=2,_xlfn.XLOOKUP(2,PK!$M$6:$M$11,PK!$K$6:$K$11&amp;" "&amp;PK!$AS$6:$AS$11,"",0,1),IF(COUNT(PK!$A$6:$A$11)&gt;2,PK!$K7&amp;" - "&amp;PK!$AS7," "))</f>
        <v xml:space="preserve"> </v>
      </c>
      <c r="D16" s="32"/>
      <c r="E16" s="144" t="str">
        <f>IF(F16="","","Pts")</f>
        <v/>
      </c>
      <c r="F16" s="880" t="str">
        <f>IF(PK!$AO$4=2,PK!X18,IF(AND(COUNT(PK!$A$6:$A$11)&gt;2,PK!$CF15="P"),PK!$CG15,""))</f>
        <v/>
      </c>
      <c r="G16" s="880"/>
      <c r="H16" s="144" t="str">
        <f>IF(F16="","","Rep.")</f>
        <v/>
      </c>
      <c r="I16" s="32"/>
      <c r="J16" s="885"/>
      <c r="K16" s="885"/>
      <c r="L16" s="885"/>
      <c r="M16" s="885"/>
      <c r="N16" s="32"/>
      <c r="O16" s="144" t="str">
        <f>IF(P16="","","Pts")</f>
        <v/>
      </c>
      <c r="P16" s="880" t="str">
        <f>IF(PK!$AO$4=2,"",IF(AND(COUNT(PK!$A$6:$A$11)&gt;2,PK!$CF14="P"),PK!$CG14,""))</f>
        <v/>
      </c>
      <c r="Q16" s="880"/>
      <c r="R16" s="144" t="str">
        <f>IF(P16="","","Rep.")</f>
        <v/>
      </c>
      <c r="S16" s="50"/>
      <c r="T16" s="144" t="str">
        <f>IF(U16="","","Pts")</f>
        <v/>
      </c>
      <c r="U16" s="880" t="str">
        <f>IF(PK!$AO$4=2,"",IF(AND(COUNT(PK!$A$6:$A$11)&gt;2,PK!$CF13="P"),PK!$CG13,""))</f>
        <v/>
      </c>
      <c r="V16" s="880"/>
      <c r="W16" s="144" t="str">
        <f>IF(U16="","","Rep.")</f>
        <v/>
      </c>
      <c r="X16" s="144"/>
      <c r="Y16" s="144" t="str">
        <f>IF(Z16="","","Pts")</f>
        <v/>
      </c>
      <c r="Z16" s="880" t="str">
        <f>IF(PK!$AO$4=2,"",IF(AND(COUNT(PK!$A$6:$A$11)&gt;2,PK!$CF12="P"),PK!$CG12,""))</f>
        <v/>
      </c>
      <c r="AA16" s="880"/>
      <c r="AB16" s="144" t="str">
        <f>IF(Z16="","","Rep.")</f>
        <v/>
      </c>
      <c r="AC16" s="144"/>
      <c r="AD16" s="144" t="str">
        <f>IF(AE16="","","Pts")</f>
        <v/>
      </c>
      <c r="AE16" s="880" t="str">
        <f>IF(PK!$AO$4=2,"",IF(AND(COUNT(PK!$A$6:$A$11)&gt;2,PK!$CF11="P"),PK!$CG11,""))</f>
        <v/>
      </c>
      <c r="AF16" s="880"/>
      <c r="AG16" s="144" t="str">
        <f>IF(AE16="","","Rep.")</f>
        <v/>
      </c>
      <c r="AH16" s="32"/>
      <c r="AI16" s="32"/>
      <c r="AJ16" s="32"/>
      <c r="AK16" s="145" t="str">
        <f>IF(AL16="","","PM")</f>
        <v/>
      </c>
      <c r="AL16" s="881" t="str" cm="1">
        <f t="array" ref="AL16">IF(SUM(PK!$Q$6:$Q$11)=0,"",IF(PK!$AO$4&gt;1,IF(_xlfn.XLOOKUP('T PK'!C17,"Licence n° "&amp;PK!$B$6:$B$11,PK!$AO$6:$AO$11,"",0,1)=1,"Forfait",_xlfn.XLOOKUP('T PK'!C17,"Licence n° "&amp;PK!$B$37:$B$42,PK!$Q$37:$Q$42,"",0,1)),""))</f>
        <v/>
      </c>
      <c r="AM16" s="881"/>
      <c r="AN16" s="145" t="str">
        <f>IF(AL16="","","MGP")</f>
        <v/>
      </c>
      <c r="AO16" s="32"/>
      <c r="AP16" s="151" t="str">
        <f>IF(OR(PK!$AO$4&lt;2,LEFT(PK!$F$13)="F"),"","Pts Rk")</f>
        <v/>
      </c>
      <c r="AQ16" s="32"/>
      <c r="AS16" s="840"/>
      <c r="AT16" s="32"/>
    </row>
    <row r="17" spans="1:52" ht="12.6" customHeight="1" x14ac:dyDescent="0.25">
      <c r="A17" s="32"/>
      <c r="B17" s="32"/>
      <c r="C17" s="147" t="str">
        <f>IF(PK!AO4=2,"Licence n° "&amp;_xlfn.XLOOKUP(2,PK!M6:M11,PK!B6:B11,"",0,1),IF(COUNT(PK!A6:A11)&gt;2,"Licence n° "&amp;PK!B7,"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IF(OR(PK!$AO$4&lt;2,LEFT(PK!$F$13)="F"),"","Bonus")</f>
        <v/>
      </c>
      <c r="AQ17" s="32"/>
      <c r="AS17" s="846" t="s">
        <v>8115</v>
      </c>
      <c r="AT17" s="32"/>
      <c r="AZ17" s="241"/>
    </row>
    <row r="18" spans="1:52" ht="50.1" customHeight="1" x14ac:dyDescent="0.25">
      <c r="A18" s="32"/>
      <c r="B18" s="32"/>
      <c r="C18" s="149" t="str">
        <f>IF(PK!AO4=2,_xlfn.XLOOKUP(2,PK!M6:M11,PK!G6:G11,"",0,1),IF(COUNT(PK!A6:A11)&gt;2,PK!G7," "))</f>
        <v xml:space="preserve"> </v>
      </c>
      <c r="D18" s="32"/>
      <c r="E18" s="883" t="str">
        <f>IF(F16="","",IF(F16&gt;0,E15/G15,"/"))</f>
        <v/>
      </c>
      <c r="F18" s="883"/>
      <c r="G18" s="884" t="str">
        <f>IF(AND(PK!$AO$4=2,PK!$A18="P"),PK!Q18,IF(AND(COUNT(PK!$A$6:$A$11)&gt;2,PK!$CF15="P"),PK!$CD15,""))</f>
        <v/>
      </c>
      <c r="H18" s="884"/>
      <c r="I18" s="32"/>
      <c r="J18" s="885"/>
      <c r="K18" s="885"/>
      <c r="L18" s="885"/>
      <c r="M18" s="885"/>
      <c r="N18" s="32"/>
      <c r="O18" s="883" t="str">
        <f>IF(P16="","",IF(P16&gt;0,O15/Q15,"/"))</f>
        <v/>
      </c>
      <c r="P18" s="883"/>
      <c r="Q18" s="884" t="str">
        <f>IF(PK!$AO$4=2,"",IF(AND(COUNT(PK!$A$6:$A$11)&gt;2,PK!$CF14="P"),PK!$CD14,""))</f>
        <v/>
      </c>
      <c r="R18" s="884"/>
      <c r="S18" s="32"/>
      <c r="T18" s="883" t="str">
        <f>IF(U16="","",IF(U16&gt;0,T15/V15,"/"))</f>
        <v/>
      </c>
      <c r="U18" s="883"/>
      <c r="V18" s="884" t="str">
        <f>IF(PK!$AO$4=2,"",IF(AND(COUNT(PK!$A$6:$A$11)&gt;2,PK!$CF13="P"),PK!$CD13,""))</f>
        <v/>
      </c>
      <c r="W18" s="884"/>
      <c r="X18" s="32"/>
      <c r="Y18" s="883" t="str">
        <f>IF(Z16="","",IF(Z16&gt;0,Y15/AA15,"/"))</f>
        <v/>
      </c>
      <c r="Z18" s="883"/>
      <c r="AA18" s="884" t="str">
        <f>IF(PK!$AO$4=2,"",IF(AND(COUNT(PK!$A$6:$A$11)&gt;2,PK!$CF12="P"),PK!$CD12,""))</f>
        <v/>
      </c>
      <c r="AB18" s="884"/>
      <c r="AC18" s="32"/>
      <c r="AD18" s="883" t="str">
        <f>IF(AE16="","",IF(AE16&gt;0,AD15/AF15,"/"))</f>
        <v/>
      </c>
      <c r="AE18" s="883"/>
      <c r="AF18" s="884" t="str">
        <f>IF(PK!$AO$4=2,"",IF(AND(COUNT(PK!$A$6:$A$11)&gt;2,PK!$CF11="P"),PK!$CD11,""))</f>
        <v/>
      </c>
      <c r="AG18" s="884"/>
      <c r="AH18" s="32"/>
      <c r="AI18" s="32"/>
      <c r="AJ18" s="32"/>
      <c r="AK18" s="883" t="str" cm="1">
        <f t="array" ref="AK18">IF(PK!$AO$4&lt;2,"",IF(_xlfn.XLOOKUP('T PK'!C17,"Licence n° "&amp;PK!$B$6:$B$11,PK!$AO$6:$AO$11,"",0,1)=1,"",_xlfn.XLOOKUP('T PK'!C17,"Licence n° "&amp;PK!$B$6:$B$11,PK!$U$6:$U$11,"",0,1)))</f>
        <v/>
      </c>
      <c r="AL18" s="883"/>
      <c r="AM18" s="884" t="str" cm="1">
        <f t="array" ref="AM18">IF(PK!$AO$4&lt;2,"",IF(_xlfn.XLOOKUP('T PK'!C17,"Licence n° "&amp;PK!$B$6:$B$11,PK!$AO$6:$AO$11,"",0,1)=1,"",_xlfn.XLOOKUP('T PK'!C17,"Licence n° "&amp;PK!$B$6:$B$11,PK!$S$6:$S$11,"",0,1)))</f>
        <v/>
      </c>
      <c r="AN18" s="884"/>
      <c r="AO18" s="32"/>
      <c r="AP18" s="562" t="str" cm="1">
        <f t="array" ref="AP18">_xlfn.XLOOKUP(C17,"Licence n° "&amp;PK!$B$6:$B$11,PK!$X$6:$X$11,"",0,1)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IF(PK!AO4=2,C10,IF(COUNT(PK!A6:A11)&gt;2,CONCATENATE(PK!C8," ",LEFT(PK!E8),"."),""))</f>
        <v/>
      </c>
      <c r="D20" s="32"/>
      <c r="E20" s="882" t="str">
        <f>IF(PK!$AO$4=2,"",IF(AND(COUNT(PK!$A$6:$A$11)&gt;2,PK!$CF20="P"),PK!$CC20,""))</f>
        <v/>
      </c>
      <c r="F20" s="882"/>
      <c r="G20" s="882" t="str">
        <f>IF(PK!$AO$4=2,"",IF(AND(COUNT(PK!$A$6:$A$11)&gt;2,PK!$CF20="P"),PK!$CE20,""))</f>
        <v/>
      </c>
      <c r="H20" s="882"/>
      <c r="I20" s="142"/>
      <c r="J20" s="882" t="str">
        <f>IF(PK!$AO$4=2,"",IF(AND(COUNT(PK!$A$6:$A$11)&gt;2,PK!$CF19="P"),PK!$CC19,""))</f>
        <v/>
      </c>
      <c r="K20" s="882"/>
      <c r="L20" s="882" t="str">
        <f>IF(PK!$AO$4=2,"",IF(AND(COUNT(PK!$A$6:$A$11)&gt;2,PK!$CF19="P"),PK!$CE19,""))</f>
        <v/>
      </c>
      <c r="M20" s="882"/>
      <c r="N20" s="32"/>
      <c r="O20" s="885" t="str">
        <f>IF(PK!W35="NON",AG1,IF(PK!AO4=2,"MATCH 2",IF(PK!AO4&gt;2,_xlfn.XLOOKUP(C23,'LOGOS CLUBS'!$B$2:$B$65,'LOGOS CLUBS'!$C$2:$C$65,C23,0,1),"")))</f>
        <v/>
      </c>
      <c r="P20" s="885"/>
      <c r="Q20" s="885"/>
      <c r="R20" s="885"/>
      <c r="S20" s="32"/>
      <c r="T20" s="882" t="str">
        <f>IF(AND(PK!$AO$4=2,PK!$A19="P"),PK!P19,IF(AND(COUNT(PK!$A$6:$A$11)&gt;2,PK!$CF18="P"),PK!$CC18,""))</f>
        <v/>
      </c>
      <c r="U20" s="882"/>
      <c r="V20" s="882" t="str">
        <f>IF(AND(PK!$AO$4=2,PK!$A19="P"),PK!O19,IF(AND(COUNT(PK!$A$6:$A$11)&gt;2,PK!$CF18="P"),PK!$CE18,""))</f>
        <v/>
      </c>
      <c r="W20" s="882"/>
      <c r="X20" s="142"/>
      <c r="Y20" s="882" t="str">
        <f>IF(PK!$AO$4=2,"",IF(AND(COUNT(PK!$A$6:$A$11)&gt;2,PK!$CF17="P"),PK!$CC17,""))</f>
        <v/>
      </c>
      <c r="Z20" s="882"/>
      <c r="AA20" s="882" t="str">
        <f>IF(PK!$AO$4=2,"",IF(AND(COUNT(PK!$A$6:$A$11)&gt;2,PK!$CF17="P"),PK!$CE17,""))</f>
        <v/>
      </c>
      <c r="AB20" s="882"/>
      <c r="AC20" s="142"/>
      <c r="AD20" s="882" t="str">
        <f>IF(PK!$AO$4=2,"",IF(AND(COUNT(PK!$A$6:$A$11)&gt;2,PK!$CF16="P"),PK!$CC16,""))</f>
        <v/>
      </c>
      <c r="AE20" s="882"/>
      <c r="AF20" s="882" t="str">
        <f>IF(PK!$AO$4=2,"",IF(AND(COUNT(PK!$A$6:$A$11)&gt;2,PK!$CF16="P"),PK!$CE16,""))</f>
        <v/>
      </c>
      <c r="AG20" s="882"/>
      <c r="AH20" s="32"/>
      <c r="AI20" s="32"/>
      <c r="AJ20" s="32"/>
      <c r="AK20" s="882" t="str" cm="1">
        <f t="array" ref="AK20">IF(PK!$AO$4&lt;3,"",IF(_xlfn.XLOOKUP('T PK'!C22,"Licence n° "&amp;PK!$B$6:$B$11,PK!$AO$6:$AO$11,"",0,1)=1,"",_xlfn.XLOOKUP('T PK'!C22,"Licence n° "&amp;PK!$B$6:$B$11,PK!$V$6:$V$11,"",0,1)))</f>
        <v/>
      </c>
      <c r="AL20" s="882"/>
      <c r="AM20" s="879" t="str" cm="1">
        <f t="array" ref="AM20">IF(PK!$AO$4&lt;3,"",IF(_xlfn.XLOOKUP('T PK'!C22,"Licence n° "&amp;PK!$B$6:$B$11,PK!$AO$6:$AO$11,"",0,1)=1,"",_xlfn.XLOOKUP('T PK'!C22,"Licence n° "&amp;PK!$B$6:$B$11,PK!$T$6:$T$11,"",0,1)))</f>
        <v/>
      </c>
      <c r="AN20" s="879"/>
      <c r="AO20" s="32"/>
      <c r="AP20" s="561" t="str" cm="1">
        <f t="array" ref="AP20">IF(PK!$AO$4&lt;3,"",_xlfn.XLOOKUP(C22,"Licence n° "&amp;PK!$B$6:$B$11,PK!$W$6:$W$11,"",0,1))</f>
        <v/>
      </c>
      <c r="AQ20" s="32"/>
      <c r="AS20" s="847" t="s">
        <v>8116</v>
      </c>
      <c r="AT20" s="32"/>
      <c r="AZ20" s="241"/>
    </row>
    <row r="21" spans="1:52" ht="12.6" customHeight="1" x14ac:dyDescent="0.25">
      <c r="A21" s="32"/>
      <c r="B21" s="32"/>
      <c r="C21" s="143" t="str" cm="1">
        <f t="array" ref="C21">IF(PK!$AO$4=2,_xlfn.XLOOKUP(1,PK!$M$6:$M$11,PK!$K$6:$K$11&amp;" "&amp;PK!$AS$6:$AS$11,"",0,1),IF(COUNT(PK!$A$6:$A$11)&gt;2,PK!$K8&amp;" - "&amp;PK!$AS8," "))</f>
        <v xml:space="preserve"> </v>
      </c>
      <c r="D21" s="32"/>
      <c r="E21" s="144" t="str">
        <f>IF(F21="","","Pts")</f>
        <v/>
      </c>
      <c r="F21" s="880" t="str">
        <f>IF(PK!$AO$4=2,"",IF(AND(COUNT(PK!$A$6:$A$11)&gt;2,PK!$CF20="P"),PK!$CG20,""))</f>
        <v/>
      </c>
      <c r="G21" s="880"/>
      <c r="H21" s="144" t="str">
        <f>IF(F21="","","Rep.")</f>
        <v/>
      </c>
      <c r="I21" s="144"/>
      <c r="J21" s="144" t="str">
        <f>IF(K21="","","Pts")</f>
        <v/>
      </c>
      <c r="K21" s="880" t="str">
        <f>IF(PK!$AO$4=2,"",IF(AND(COUNT(PK!$A$6:$A$11)&gt;2,PK!$CF19="P"),PK!$CG19,""))</f>
        <v/>
      </c>
      <c r="L21" s="880"/>
      <c r="M21" s="144" t="str">
        <f>IF(K21="","","Rep.")</f>
        <v/>
      </c>
      <c r="N21" s="32"/>
      <c r="O21" s="885"/>
      <c r="P21" s="885"/>
      <c r="Q21" s="885"/>
      <c r="R21" s="885"/>
      <c r="S21" s="32"/>
      <c r="T21" s="144" t="str">
        <f>IF(U21="","","Pts")</f>
        <v/>
      </c>
      <c r="U21" s="880" t="str">
        <f>IF(PK!$AO$4=2,PK!X19,IF(AND(COUNT(PK!$A$6:$A$11)&gt;2,PK!$CF18="P"),PK!$CG18,""))</f>
        <v/>
      </c>
      <c r="V21" s="880"/>
      <c r="W21" s="144" t="str">
        <f>IF(U21="","","Rep.")</f>
        <v/>
      </c>
      <c r="X21" s="144"/>
      <c r="Y21" s="144" t="str">
        <f>IF(Z21="","","Pts")</f>
        <v/>
      </c>
      <c r="Z21" s="880" t="str">
        <f>IF(PK!$AO$4=2,"",IF(AND(COUNT(PK!$A$6:$A$11)&gt;2,PK!$CF17="P"),PK!$CG17,""))</f>
        <v/>
      </c>
      <c r="AA21" s="880"/>
      <c r="AB21" s="144" t="str">
        <f>IF(Z21="","","Rep.")</f>
        <v/>
      </c>
      <c r="AC21" s="144"/>
      <c r="AD21" s="144" t="str">
        <f>IF(AE21="","","Pts")</f>
        <v/>
      </c>
      <c r="AE21" s="880" t="str">
        <f>IF(PK!$AO$4=2,"",IF(AND(COUNT(PK!$A$6:$A$11)&gt;2,PK!$CF16="P"),PK!$CG16,""))</f>
        <v/>
      </c>
      <c r="AF21" s="880"/>
      <c r="AG21" s="144" t="str">
        <f>IF(AE21="","","Rep.")</f>
        <v/>
      </c>
      <c r="AH21" s="32"/>
      <c r="AI21" s="32"/>
      <c r="AJ21" s="32"/>
      <c r="AK21" s="145" t="str">
        <f>IF(AL21="","","PM")</f>
        <v/>
      </c>
      <c r="AL21" s="881" t="str" cm="1">
        <f t="array" ref="AL21">IF(SUM(PK!$Q$6:$Q$11)=0,"",IF(PK!$AO$4&gt;2,IF(_xlfn.XLOOKUP('T PK'!C22,"Licence n° "&amp;PK!$B$6:$B$11,PK!$AO$6:$AO$11,"",0,1)=1,"Forfait",_xlfn.XLOOKUP('T PK'!C22,"Licence n° "&amp;PK!$B$37:$B$42,PK!$Q$37:$Q$42,"",0,1)),""))</f>
        <v/>
      </c>
      <c r="AM21" s="881"/>
      <c r="AN21" s="145" t="str">
        <f>IF(AL21="","","MGP")</f>
        <v/>
      </c>
      <c r="AO21" s="32"/>
      <c r="AP21" s="151" t="str">
        <f>IF(OR(PK!$AO$4&lt;3,LEFT(PK!$F$13)="F"),"","Pts Rk")</f>
        <v/>
      </c>
      <c r="AQ21" s="32"/>
      <c r="AS21" s="847"/>
      <c r="AT21" s="32"/>
    </row>
    <row r="22" spans="1:52" ht="12.6" customHeight="1" x14ac:dyDescent="0.25">
      <c r="A22" s="32"/>
      <c r="B22" s="32"/>
      <c r="C22" s="147" t="str">
        <f>IF(PK!AO4=2,C12,IF(COUNT(PK!A6:A11)&gt;2,"Licence n° "&amp;PK!B8,"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IF(OR(PK!$AO$4&lt;3,LEFT(PK!$F$13)="F"),"","Bonus")</f>
        <v/>
      </c>
      <c r="AQ22" s="32"/>
      <c r="AS22" s="848" t="s">
        <v>8117</v>
      </c>
      <c r="AT22" s="32"/>
    </row>
    <row r="23" spans="1:52" ht="50.1" customHeight="1" x14ac:dyDescent="0.25">
      <c r="A23" s="32"/>
      <c r="B23" s="32"/>
      <c r="C23" s="149" t="str">
        <f>IF(PK!AO4=2,C13,IF(COUNT(PK!A6:A11)&gt;2,PK!G8," "))</f>
        <v xml:space="preserve"> </v>
      </c>
      <c r="D23" s="32"/>
      <c r="E23" s="883" t="str">
        <f>IF(F21="","",IF(F21&gt;0,E20/G20,"/"))</f>
        <v/>
      </c>
      <c r="F23" s="883"/>
      <c r="G23" s="884" t="str">
        <f>IF(PK!$AO$4=2,"",IF(AND(COUNT(PK!$A$6:$A$11)&gt;2,PK!$CF20="P"),PK!$CD20,""))</f>
        <v/>
      </c>
      <c r="H23" s="884"/>
      <c r="I23" s="32"/>
      <c r="J23" s="883" t="str">
        <f>IF(K21="","",IF(K21&gt;0,J20/L20,"/"))</f>
        <v/>
      </c>
      <c r="K23" s="883"/>
      <c r="L23" s="884" t="str">
        <f>IF(PK!$AO$4=2,"",IF(AND(COUNT(PK!$A$6:$A$11)&gt;2,PK!$CF19="P"),PK!$CD19,""))</f>
        <v/>
      </c>
      <c r="M23" s="884"/>
      <c r="N23" s="32"/>
      <c r="O23" s="885"/>
      <c r="P23" s="885"/>
      <c r="Q23" s="885"/>
      <c r="R23" s="885"/>
      <c r="S23" s="32"/>
      <c r="T23" s="883" t="str">
        <f>IF(U21="","",IF(U21&gt;0,T20/V20,"/"))</f>
        <v/>
      </c>
      <c r="U23" s="883"/>
      <c r="V23" s="884" t="str">
        <f>IF(AND(PK!$AO$4=2,PK!$A19="P"),PK!Q19,IF(AND(COUNT(PK!$A$6:$A$11)&gt;2,PK!$CF18="P"),PK!$CD18,""))</f>
        <v/>
      </c>
      <c r="W23" s="884"/>
      <c r="X23" s="32"/>
      <c r="Y23" s="883" t="str">
        <f>IF(Z21="","",IF(Z21&gt;0,Y20/AA20,"/"))</f>
        <v/>
      </c>
      <c r="Z23" s="883"/>
      <c r="AA23" s="884" t="str">
        <f>IF(PK!$AO$4=2,"",IF(AND(COUNT(PK!$A$6:$A$11)&gt;2,PK!$CF17="P"),PK!$CD17,""))</f>
        <v/>
      </c>
      <c r="AB23" s="884"/>
      <c r="AC23" s="32"/>
      <c r="AD23" s="883" t="str">
        <f>IF(AE21="","",IF(AE21&gt;0,AD20/AF20,"/"))</f>
        <v/>
      </c>
      <c r="AE23" s="883"/>
      <c r="AF23" s="884" t="str">
        <f>IF(PK!$AO$4=2,"",IF(AND(COUNT(PK!$A$6:$A$11)&gt;2,PK!$CF16="P"),PK!$CD16,""))</f>
        <v/>
      </c>
      <c r="AG23" s="884"/>
      <c r="AH23" s="32"/>
      <c r="AI23" s="32"/>
      <c r="AJ23" s="32"/>
      <c r="AK23" s="883" t="str" cm="1">
        <f t="array" ref="AK23">IF(PK!$AO$4&lt;3,"",IF(_xlfn.XLOOKUP('T PK'!C22,"Licence n° "&amp;PK!$B$6:$B$11,PK!$AO$6:$AO$11,"",0,1)=1,"",_xlfn.XLOOKUP('T PK'!C22,"Licence n° "&amp;PK!$B$6:$B$11,PK!$U$6:$U$11,"",0,1)))</f>
        <v/>
      </c>
      <c r="AL23" s="883"/>
      <c r="AM23" s="884" t="str" cm="1">
        <f t="array" ref="AM23">IF(PK!$AO$4&lt;3,"",IF(_xlfn.XLOOKUP('T PK'!C22,"Licence n° "&amp;PK!$B$6:$B$11,PK!$AO$6:$AO$11,"",0,1)=1,"",_xlfn.XLOOKUP('T PK'!C22,"Licence n° "&amp;PK!$B$6:$B$11,PK!$S$6:$S$11,"",0,1)))</f>
        <v/>
      </c>
      <c r="AN23" s="884"/>
      <c r="AO23" s="32"/>
      <c r="AP23" s="562" t="str" cm="1">
        <f t="array" ref="AP23">IF(PK!$AO$4&lt;3,"",_xlfn.XLOOKUP(C22,"Licence n° "&amp;PK!$B$6:$B$11,PK!$X$6:$X$11,"",0,1))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IF(PK!AO4=2,C15,IF(COUNT(PK!A6:A11)&gt;3,CONCATENATE(PK!C9," ",LEFT(PK!E9),"."),""))</f>
        <v/>
      </c>
      <c r="D25" s="32"/>
      <c r="E25" s="882" t="str">
        <f>IF(PK!$AO$4=2,"",IF(AND(COUNT(PK!$A$6:$A$11)&gt;2,PK!$CF25="P"),PK!$CC25,""))</f>
        <v/>
      </c>
      <c r="F25" s="882"/>
      <c r="G25" s="882" t="str">
        <f>IF(PK!$AO$4=2,"",IF(AND(COUNT(PK!$A$6:$A$11)&gt;2,PK!$CF25="P"),PK!$CE25,""))</f>
        <v/>
      </c>
      <c r="H25" s="882"/>
      <c r="I25" s="142"/>
      <c r="J25" s="882" t="str">
        <f>IF(PK!$AO$4=2,"",IF(AND(COUNT(PK!$A$6:$A$11)&gt;2,PK!$CF24="P"),PK!$CC24,""))</f>
        <v/>
      </c>
      <c r="K25" s="882"/>
      <c r="L25" s="882" t="str">
        <f>IF(PK!$AO$4=2,"",IF(AND(COUNT(PK!$A$6:$A$11)&gt;2,PK!$CF24="P"),PK!$CE24,""))</f>
        <v/>
      </c>
      <c r="M25" s="882"/>
      <c r="N25" s="142"/>
      <c r="O25" s="882" t="str">
        <f>IF(AND(PK!$AO$4=2,PK!$A19="P"),PK!N19,IF(AND(COUNT(PK!$A$6:$A$11)&gt;2,PK!$CF23="P"),PK!$CC23,""))</f>
        <v/>
      </c>
      <c r="P25" s="882"/>
      <c r="Q25" s="882" t="str">
        <f>IF(AND(PK!$AO$4=2,PK!$A19="P"),PK!O19,IF(AND(COUNT(PK!$A$6:$A$11)&gt;2,PK!$CF23="P"),PK!$CE23,""))</f>
        <v/>
      </c>
      <c r="R25" s="882"/>
      <c r="S25" s="32"/>
      <c r="T25" s="886" t="str">
        <f>IF(PK!W35="NON",AG1,IF(OR(PK!AO4=2,COUNT(PK!A6:A11)&gt;3),_xlfn.XLOOKUP('T PK'!C28,'LOGOS CLUBS'!$B$2:$B$65,'LOGOS CLUBS'!$C$2:$C$65,C28,0,1),""))</f>
        <v/>
      </c>
      <c r="U25" s="886"/>
      <c r="V25" s="886"/>
      <c r="W25" s="886"/>
      <c r="X25" s="32"/>
      <c r="Y25" s="882" t="str">
        <f>IF(PK!$AO$4=2,"",IF(AND(COUNT(PK!$A$6:$A$11)&gt;2,PK!$CF22="P"),PK!$CC22,""))</f>
        <v/>
      </c>
      <c r="Z25" s="882"/>
      <c r="AA25" s="882" t="str">
        <f>IF(PK!$AO$4=2,"",IF(AND(COUNT(PK!$A$6:$A$11)&gt;2,PK!$CF22="P"),PK!$CE22,""))</f>
        <v/>
      </c>
      <c r="AB25" s="882"/>
      <c r="AC25" s="142"/>
      <c r="AD25" s="882" t="str">
        <f>IF(PK!$AO$4=2,"",IF(AND(COUNT(PK!$A$6:$A$11)&gt;2,PK!$CF21="P"),PK!$CC21,""))</f>
        <v/>
      </c>
      <c r="AE25" s="882"/>
      <c r="AF25" s="882" t="str">
        <f>IF(PK!$AO$4=2,"",IF(AND(COUNT(PK!$A$6:$A$11)&gt;2,PK!$CF21="P"),PK!$CE21,""))</f>
        <v/>
      </c>
      <c r="AG25" s="882"/>
      <c r="AH25" s="32"/>
      <c r="AI25" s="32"/>
      <c r="AJ25" s="32"/>
      <c r="AK25" s="882" t="str" cm="1">
        <f t="array" ref="AK25">IF(PK!$AO$4&lt;3,"",IF(_xlfn.XLOOKUP('T PK'!C27,"Licence n° "&amp;PK!$B$6:$B$11,PK!$AO$6:$AO$11,"",0,1)=1,"",_xlfn.XLOOKUP('T PK'!C27,"Licence n° "&amp;PK!$B$6:$B$11,PK!$V$6:$V$11,"",0,1)))</f>
        <v/>
      </c>
      <c r="AL25" s="882"/>
      <c r="AM25" s="879" t="str" cm="1">
        <f t="array" ref="AM25">IF(PK!$AO$4&lt;3,"",IF(_xlfn.XLOOKUP('T PK'!C27,"Licence n° "&amp;PK!$B$6:$B$11,PK!$AO$6:$AO$11,"",0,1)=1,"",_xlfn.XLOOKUP('T PK'!C27,"Licence n° "&amp;PK!$B$6:$B$11,PK!$T$6:$T$11,"",0,1)))</f>
        <v/>
      </c>
      <c r="AN25" s="879"/>
      <c r="AO25" s="32"/>
      <c r="AP25" s="561" t="str" cm="1">
        <f t="array" ref="AP25">IF(OR(PK!AO4&lt;3,COUNT(PK!$A$6:$A$11&lt;3)),"",_xlfn.XLOOKUP(C27,"Licence n° "&amp;PK!$B$6:$B$11,PK!$W$6:$W$11,"",0,1))</f>
        <v/>
      </c>
      <c r="AQ25" s="32"/>
      <c r="AS25" s="849" t="s">
        <v>8118</v>
      </c>
      <c r="AT25" s="32"/>
    </row>
    <row r="26" spans="1:52" ht="12.6" customHeight="1" x14ac:dyDescent="0.25">
      <c r="A26" s="32"/>
      <c r="B26" s="32"/>
      <c r="C26" s="143" t="str" cm="1">
        <f t="array" ref="C26">IF(PK!$AO$4=2,_xlfn.XLOOKUP(2,PK!$M$6:$M$11,PK!$K$6:$K$11&amp;" "&amp;PK!$AS$6:$AS$11,"",0,1),IF(COUNT(PK!$A$6:$A$11)&gt;3,PK!$K9&amp;" - "&amp;PK!$AS9," "))</f>
        <v xml:space="preserve"> </v>
      </c>
      <c r="D26" s="32"/>
      <c r="E26" s="144" t="str">
        <f>IF(F26="","","Pts")</f>
        <v/>
      </c>
      <c r="F26" s="880" t="str">
        <f>IF(PK!$AO$4=2,"",IF(AND(COUNT(PK!$A$6:$A$11)&gt;2,PK!$CF25="P"),PK!$CG25,""))</f>
        <v/>
      </c>
      <c r="G26" s="880"/>
      <c r="H26" s="144" t="str">
        <f>IF(F26="","","Rep.")</f>
        <v/>
      </c>
      <c r="I26" s="144"/>
      <c r="J26" s="144" t="str">
        <f>IF(K26="","","Pts")</f>
        <v/>
      </c>
      <c r="K26" s="880" t="str">
        <f>IF(PK!$AO$4=2,"",IF(AND(COUNT(PK!$A$6:$A$11)&gt;2,PK!$CF24="P"),PK!$CG24,""))</f>
        <v/>
      </c>
      <c r="L26" s="880"/>
      <c r="M26" s="144" t="str">
        <f>IF(K26="","","Rep.")</f>
        <v/>
      </c>
      <c r="N26" s="144"/>
      <c r="O26" s="144" t="str">
        <f>IF(P26="","","Pts")</f>
        <v/>
      </c>
      <c r="P26" s="880" t="str">
        <f>IF(PK!$AO$4=2,PK!D19,IF(AND(COUNT(PK!$A$6:$A$11)&gt;2,PK!$CF23="P"),PK!$CG23,""))</f>
        <v/>
      </c>
      <c r="Q26" s="880"/>
      <c r="R26" s="144" t="str">
        <f>IF(P26="","","Rep.")</f>
        <v/>
      </c>
      <c r="S26" s="32"/>
      <c r="T26" s="886"/>
      <c r="U26" s="886"/>
      <c r="V26" s="886"/>
      <c r="W26" s="886"/>
      <c r="X26" s="32"/>
      <c r="Y26" s="144" t="str">
        <f>IF(Z26="","","Pts")</f>
        <v/>
      </c>
      <c r="Z26" s="880" t="str">
        <f>IF(PK!$AO$4=2,"",IF(AND(COUNT(PK!$A$6:$A$11)&gt;2,PK!$CF22="P"),PK!$CG22,""))</f>
        <v/>
      </c>
      <c r="AA26" s="880"/>
      <c r="AB26" s="144" t="str">
        <f>IF(Z26="","","Rep.")</f>
        <v/>
      </c>
      <c r="AC26" s="144"/>
      <c r="AD26" s="144" t="str">
        <f>IF(AE26="","","Pts")</f>
        <v/>
      </c>
      <c r="AE26" s="880" t="str">
        <f>IF(PK!$AO$4=2,"",IF(AND(COUNT(PK!$A$6:$A$11)&gt;2,PK!$CF21="P"),PK!$CG21,""))</f>
        <v/>
      </c>
      <c r="AF26" s="880"/>
      <c r="AG26" s="144" t="str">
        <f>IF(AE26="","","Rep.")</f>
        <v/>
      </c>
      <c r="AH26" s="32"/>
      <c r="AI26" s="32"/>
      <c r="AJ26" s="32"/>
      <c r="AK26" s="145" t="str">
        <f>IF(AL26="","","PM")</f>
        <v/>
      </c>
      <c r="AL26" s="881" t="str" cm="1">
        <f t="array" ref="AL26">IF(SUM(PK!$Q$6:$Q$11)=0,"",IF(PK!$AO$4&gt;2,IF(_xlfn.XLOOKUP('T PK'!C27,"Licence n° "&amp;PK!$B$6:$B$11,PK!$AO$6:$AO$11,"",0,1)=1,"Forfait",_xlfn.XLOOKUP('T PK'!C27,"Licence n° "&amp;PK!$B$37:$B$42,PK!$Q$37:$Q$42,"",0,1)),""))</f>
        <v/>
      </c>
      <c r="AM26" s="881"/>
      <c r="AN26" s="145" t="str">
        <f>IF(AL26="","","MGP")</f>
        <v/>
      </c>
      <c r="AO26" s="32"/>
      <c r="AP26" s="151" t="str">
        <f>IF(AND(COUNT(PK!$A$6:$A$11)&gt;3,PK!$AO$4&gt;2,LEFT(PK!$F$13)="P"),"Pts Rk","")</f>
        <v/>
      </c>
      <c r="AQ26" s="32"/>
      <c r="AS26" s="849"/>
      <c r="AT26" s="32"/>
    </row>
    <row r="27" spans="1:52" ht="12.6" customHeight="1" x14ac:dyDescent="0.25">
      <c r="A27" s="32"/>
      <c r="B27" s="32"/>
      <c r="C27" s="147" t="str">
        <f>IF(PK!AO4=2,C17,IF(COUNT(PK!A6:A11)&gt;3,"Licence n° "&amp;PK!B9,"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IF(AND(COUNT(PK!$A$6:$A$11)&gt;3,PK!$AO$4&gt;2,LEFT(PK!$F$13)="P"),"Bonus","")</f>
        <v/>
      </c>
      <c r="AQ27" s="32"/>
      <c r="AS27" s="829" t="s">
        <v>8119</v>
      </c>
      <c r="AT27" s="32"/>
    </row>
    <row r="28" spans="1:52" ht="50.1" customHeight="1" x14ac:dyDescent="0.25">
      <c r="A28" s="32"/>
      <c r="B28" s="32"/>
      <c r="C28" s="149" t="str">
        <f>IF(PK!AO4=2,C18,IF(COUNT(PK!A6:A11)&gt;3,PK!G9," "))</f>
        <v xml:space="preserve"> </v>
      </c>
      <c r="D28" s="32"/>
      <c r="E28" s="883" t="str">
        <f>IF(F26="","",IF(F26&gt;0,E25/G25,"/"))</f>
        <v/>
      </c>
      <c r="F28" s="883"/>
      <c r="G28" s="884" t="str">
        <f>IF(PK!$AO$4=2,"",IF(AND(COUNT(PK!$A$6:$A$11)&gt;2,PK!$CF25="P"),PK!$CD25,""))</f>
        <v/>
      </c>
      <c r="H28" s="884"/>
      <c r="I28" s="32"/>
      <c r="J28" s="883" t="str">
        <f>IF(K26="","",IF(K26&gt;0,J25/L25,"/"))</f>
        <v/>
      </c>
      <c r="K28" s="883"/>
      <c r="L28" s="884" t="str">
        <f>IF(PK!$AO$4=2,"",IF(AND(COUNT(PK!$A$6:$A$11)&gt;2,PK!$CF24="P"),PK!$CD24,""))</f>
        <v/>
      </c>
      <c r="M28" s="884"/>
      <c r="N28" s="32"/>
      <c r="O28" s="883" t="str">
        <f>IF(P26="","",IF(P26&gt;0,O25/Q25,"/"))</f>
        <v/>
      </c>
      <c r="P28" s="883"/>
      <c r="Q28" s="884" t="str">
        <f>IF(AND(PK!$AO$4=2,PK!$A19="P"),PK!M19,IF(AND(COUNT(PK!$A$6:$A$11)&gt;2,PK!$CF23="P"),PK!$CD23,""))</f>
        <v/>
      </c>
      <c r="R28" s="884"/>
      <c r="S28" s="32"/>
      <c r="T28" s="886"/>
      <c r="U28" s="886"/>
      <c r="V28" s="886"/>
      <c r="W28" s="886"/>
      <c r="X28" s="32"/>
      <c r="Y28" s="883" t="str">
        <f>IF(Z26="","",IF(Z26&gt;0,Y25/AA25,"/"))</f>
        <v/>
      </c>
      <c r="Z28" s="883"/>
      <c r="AA28" s="884" t="str">
        <f>IF(PK!$AO$4=2,"",IF(AND(COUNT(PK!$A$6:$A$11)&gt;2,PK!$CF22="P"),PK!$CD22,""))</f>
        <v/>
      </c>
      <c r="AB28" s="884"/>
      <c r="AC28" s="32"/>
      <c r="AD28" s="883" t="str">
        <f>IF(AE26="","",IF(AE26&gt;0,AD25/AF25,"/"))</f>
        <v/>
      </c>
      <c r="AE28" s="883"/>
      <c r="AF28" s="884" t="str">
        <f>IF(PK!$AO$4=2,"",IF(AND(COUNT(PK!$A$6:$A$11)&gt;2,PK!$CF21="P"),PK!$CD21,""))</f>
        <v/>
      </c>
      <c r="AG28" s="884"/>
      <c r="AH28" s="32"/>
      <c r="AI28" s="32"/>
      <c r="AJ28" s="32"/>
      <c r="AK28" s="883" t="str" cm="1">
        <f t="array" ref="AK28">IF(PK!$AO$4&lt;3,"",IF(_xlfn.XLOOKUP('T PK'!C27,"Licence n° "&amp;PK!$B$6:$B$11,PK!$AO$6:$AO$11,"",0,1)=1,"",_xlfn.XLOOKUP('T PK'!C27,"Licence n° "&amp;PK!$B$6:$B$11,PK!$U$6:$U$11,"",0,1)))</f>
        <v/>
      </c>
      <c r="AL28" s="883"/>
      <c r="AM28" s="884" t="str" cm="1">
        <f t="array" ref="AM28">IF(PK!$AO$4&lt;3,"",IF(_xlfn.XLOOKUP('T PK'!C27,"Licence n° "&amp;PK!$B$6:$B$11,PK!$AO$6:$AO$11,"",0,1)=1,"",_xlfn.XLOOKUP('T PK'!C27,"Licence n° "&amp;PK!$B$6:$B$11,PK!$S$6:$S$11,"",0,1)))</f>
        <v/>
      </c>
      <c r="AN28" s="884"/>
      <c r="AO28" s="32"/>
      <c r="AP28" s="562" t="str" cm="1">
        <f t="array" ref="AP28">IF(OR(PK!AO4&lt;3,COUNT(PK!$A$6:$A$11)&lt;4),"",_xlfn.XLOOKUP(C27,"Licence n° "&amp;PK!$B$6:$B$11,PK!$X$6:$X$11,"",0,1))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IF(PK!AO4=2,"",IF(COUNT(PK!A6:A11)&gt;4,CONCATENATE(PK!C10," ",LEFT(PK!E10),"."),""))</f>
        <v/>
      </c>
      <c r="D30" s="32"/>
      <c r="E30" s="882" t="str">
        <f>IF(PK!$AO$4=2,"",IF(AND(COUNT(PK!$A$6:$A$11)&gt;2,PK!$CF30="P"),PK!$CC30,""))</f>
        <v/>
      </c>
      <c r="F30" s="882"/>
      <c r="G30" s="882" t="str">
        <f>IF(PK!$AO$4=2,"",IF(AND(COUNT(PK!$A$6:$A$11)&gt;2,PK!$CF30="P"),PK!$CE30,""))</f>
        <v/>
      </c>
      <c r="H30" s="882"/>
      <c r="I30" s="142"/>
      <c r="J30" s="882" t="str">
        <f>IF(PK!$AO$4=2,"",IF(AND(COUNT(PK!$A$6:$A$11)&gt;2,PK!$CF29="P"),PK!$CC29,""))</f>
        <v/>
      </c>
      <c r="K30" s="882"/>
      <c r="L30" s="882" t="str">
        <f>IF(PK!$AO$4=2,"",IF(AND(COUNT(PK!$A$6:$A$11)&gt;2,PK!$CF29="P"),PK!$CE29,""))</f>
        <v/>
      </c>
      <c r="M30" s="882"/>
      <c r="N30" s="142"/>
      <c r="O30" s="882" t="str">
        <f>IF(PK!$AO$4=2,"",IF(AND(COUNT(PK!$A$6:$A$11)&gt;2,PK!$CF28="P"),PK!$CC28,""))</f>
        <v/>
      </c>
      <c r="P30" s="882"/>
      <c r="Q30" s="882" t="str">
        <f>IF(PK!$AO$4=2,"",IF(AND(COUNT(PK!$A$6:$A$11)&gt;2,PK!$CF28="P"),PK!$CE28,""))</f>
        <v/>
      </c>
      <c r="R30" s="882"/>
      <c r="S30" s="142"/>
      <c r="T30" s="882" t="str">
        <f>IF(PK!$AO$4=2,"",IF(AND(COUNT(PK!$A$6:$A$11)&gt;2,PK!$CF27="P"),PK!$CC27,""))</f>
        <v/>
      </c>
      <c r="U30" s="882"/>
      <c r="V30" s="882" t="str">
        <f>IF(PK!$AO$4=2,"",IF(AND(COUNT(PK!$A$6:$A$11)&gt;2,PK!$CF27="P"),PK!$CE27,""))</f>
        <v/>
      </c>
      <c r="W30" s="882"/>
      <c r="X30" s="32"/>
      <c r="Y30" s="887" t="str">
        <f>IF(PK!W35="NON",AG1,IF(PK!AO4=2,"",IF(COUNT(PK!A6:A11)&gt;4,_xlfn.XLOOKUP('T PK'!C33,'LOGOS CLUBS'!$B$2:$B$65,'LOGOS CLUBS'!$C$2:$C$65,C33,0,1),"")))</f>
        <v/>
      </c>
      <c r="Z30" s="887"/>
      <c r="AA30" s="887"/>
      <c r="AB30" s="887"/>
      <c r="AC30" s="32"/>
      <c r="AD30" s="882" t="str">
        <f>IF(PK!$AO$4=2,"",IF(AND(COUNT(PK!$A$6:$A$11)&gt;2,PK!$CF26="P"),PK!$CC26,""))</f>
        <v/>
      </c>
      <c r="AE30" s="882"/>
      <c r="AF30" s="882" t="str">
        <f>IF(PK!$AO$4=2,"",IF(AND(COUNT(PK!$A$6:$A$11)&gt;2,PK!$CF26="P"),PK!$CE26,""))</f>
        <v/>
      </c>
      <c r="AG30" s="882"/>
      <c r="AH30" s="32"/>
      <c r="AI30" s="32"/>
      <c r="AJ30" s="32"/>
      <c r="AK30" s="882" t="str" cm="1">
        <f t="array" ref="AK30">IF(PK!$AO$4&lt;3,"",IF(_xlfn.XLOOKUP('T PK'!C32,"Licence n° "&amp;PK!$B$6:$B$11,PK!$AO$6:$AO$11,"",0,1)=1,"",_xlfn.XLOOKUP('T PK'!C32,"Licence n° "&amp;PK!$B$6:$B$11,PK!$V$6:$V$11,"",0,1)))</f>
        <v/>
      </c>
      <c r="AL30" s="882"/>
      <c r="AM30" s="879" t="str" cm="1">
        <f t="array" ref="AM30">IF(PK!$AO$4&lt;3,"",IF(_xlfn.XLOOKUP('T PK'!C32,"Licence n° "&amp;PK!$B$6:$B$11,PK!$AO$6:$AO$11,"",0,1)=1,"",_xlfn.XLOOKUP('T PK'!C32,"Licence n° "&amp;PK!$B$6:$B$11,PK!$T$6:$T$11,"",0,1)))</f>
        <v/>
      </c>
      <c r="AN30" s="879"/>
      <c r="AO30" s="32"/>
      <c r="AP30" s="561" t="str" cm="1">
        <f t="array" ref="AP30">_xlfn.XLOOKUP(C32,"Licence n° "&amp;PK!$B$6:$B$11,PK!$W$6:$W$11,"",0,1)</f>
        <v/>
      </c>
      <c r="AQ30" s="32"/>
      <c r="AS30" s="830" t="s">
        <v>8120</v>
      </c>
      <c r="AT30" s="32"/>
    </row>
    <row r="31" spans="1:52" ht="12.6" customHeight="1" x14ac:dyDescent="0.25">
      <c r="A31" s="32"/>
      <c r="B31" s="32"/>
      <c r="C31" s="143" t="str">
        <f>IF(PK!$AO$4=2,"",IF(COUNT(PK!$A$6:$A$11)&gt;4,PK!$K10&amp;" - "&amp;PK!$AS10," "))</f>
        <v xml:space="preserve"> </v>
      </c>
      <c r="D31" s="32"/>
      <c r="E31" s="144" t="str">
        <f>IF(F31="","","Pts")</f>
        <v/>
      </c>
      <c r="F31" s="880" t="str">
        <f>IF(PK!$AO$4=2,"",IF(AND(COUNT(PK!$A$6:$A$11)&gt;2,PK!$CF30="P"),PK!$CG30,""))</f>
        <v/>
      </c>
      <c r="G31" s="880"/>
      <c r="H31" s="144" t="str">
        <f>IF(F31="","","Rep.")</f>
        <v/>
      </c>
      <c r="I31" s="144"/>
      <c r="J31" s="144" t="str">
        <f>IF(K31="","","Pts")</f>
        <v/>
      </c>
      <c r="K31" s="880" t="str">
        <f>IF(PK!$AO$4=2,"",IF(AND(COUNT(PK!$A$6:$A$11)&gt;2,PK!$CF29="P"),PK!$CG29,""))</f>
        <v/>
      </c>
      <c r="L31" s="880"/>
      <c r="M31" s="144" t="str">
        <f>IF(K31="","","Rep.")</f>
        <v/>
      </c>
      <c r="N31" s="144"/>
      <c r="O31" s="144" t="str">
        <f>IF(P31="","","Pts")</f>
        <v/>
      </c>
      <c r="P31" s="880" t="str">
        <f>IF(PK!$AO$4=2,"",IF(AND(COUNT(PK!$A$6:$A$11)&gt;2,PK!$CF28="P"),PK!$CG28,""))</f>
        <v/>
      </c>
      <c r="Q31" s="880"/>
      <c r="R31" s="144" t="str">
        <f>IF(P31="","","Rep.")</f>
        <v/>
      </c>
      <c r="S31" s="144"/>
      <c r="T31" s="144" t="str">
        <f>IF(U31="","","Pts")</f>
        <v/>
      </c>
      <c r="U31" s="880" t="str">
        <f>IF(PK!$AO$4=2,"",IF(AND(COUNT(PK!$A$6:$A$11)&gt;2,PK!$CF27="P"),PK!$CG27,""))</f>
        <v/>
      </c>
      <c r="V31" s="880"/>
      <c r="W31" s="144" t="str">
        <f>IF(U31="","","Rep.")</f>
        <v/>
      </c>
      <c r="X31" s="32"/>
      <c r="Y31" s="887"/>
      <c r="Z31" s="887"/>
      <c r="AA31" s="887"/>
      <c r="AB31" s="887"/>
      <c r="AC31" s="32"/>
      <c r="AD31" s="144" t="str">
        <f>IF(AE31="","","Pts")</f>
        <v/>
      </c>
      <c r="AE31" s="880" t="str">
        <f>IF(PK!$AO$4=2,"",IF(AND(COUNT(PK!$A$6:$A$11)&gt;2,PK!$CF26="P"),PK!$CG26,""))</f>
        <v/>
      </c>
      <c r="AF31" s="880"/>
      <c r="AG31" s="144" t="str">
        <f>IF(AE31="","","Rep.")</f>
        <v/>
      </c>
      <c r="AH31" s="32"/>
      <c r="AI31" s="32"/>
      <c r="AJ31" s="32"/>
      <c r="AK31" s="145" t="str">
        <f>IF(AL31="","","PM")</f>
        <v/>
      </c>
      <c r="AL31" s="881" t="str" cm="1">
        <f t="array" ref="AL31">IF(SUM(PK!$Q$6:$Q$11)=0,"",IF(PK!$AO$4&gt;2,IF(_xlfn.XLOOKUP('T PK'!C32,"Licence n° "&amp;PK!$B$6:$B$11,PK!$AO$6:$AO$11,"",0,1)=1,"Forfait",_xlfn.XLOOKUP('T PK'!C32,"Licence n° "&amp;PK!$B$37:$B$42,PK!$Q$37:$Q$42,"",0,1)),""))</f>
        <v/>
      </c>
      <c r="AM31" s="881"/>
      <c r="AN31" s="145" t="str">
        <f>IF(AL31="","","MGP")</f>
        <v/>
      </c>
      <c r="AO31" s="32"/>
      <c r="AP31" s="151" t="str">
        <f>IF(AND(COUNT(PK!$A$6:$A$11)&gt;4,PK!$AO$4&gt;2,LEFT(PK!$F$13)="P"),"Pts Rk","")</f>
        <v/>
      </c>
      <c r="AQ31" s="32"/>
      <c r="AS31" s="830"/>
      <c r="AT31" s="32"/>
    </row>
    <row r="32" spans="1:52" ht="12.6" customHeight="1" x14ac:dyDescent="0.25">
      <c r="A32" s="32"/>
      <c r="B32" s="32"/>
      <c r="C32" s="147" t="str">
        <f>IF(PK!AO4=2,"",IF(COUNT(PK!A6:A11)&gt;4,"Licence n° "&amp;PK!B10,"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IF(AND(COUNT(PK!$A$6:$A$11)&gt;4,PK!$AO$4&gt;2,LEFT(PK!$F$13)="P"),"Bonus","")</f>
        <v/>
      </c>
      <c r="AQ32" s="32"/>
      <c r="AS32" s="831" t="s">
        <v>8121</v>
      </c>
      <c r="AT32" s="32"/>
    </row>
    <row r="33" spans="1:46" ht="50.1" customHeight="1" x14ac:dyDescent="0.25">
      <c r="A33" s="32"/>
      <c r="B33" s="32"/>
      <c r="C33" s="149" t="str">
        <f>IF(PK!AO4=2,"",IF(COUNT(PK!A6:A11)&gt;4,PK!G10," "))</f>
        <v xml:space="preserve"> </v>
      </c>
      <c r="D33" s="32"/>
      <c r="E33" s="883" t="str">
        <f>IF(F31="","",IF(F31&gt;0,E30/G30,"/"))</f>
        <v/>
      </c>
      <c r="F33" s="883"/>
      <c r="G33" s="884" t="str">
        <f>IF(PK!$AO$4=2,"",IF(AND(COUNT(PK!$A$6:$A$11)&gt;2,PK!$CF30="P"),PK!$CD30,""))</f>
        <v/>
      </c>
      <c r="H33" s="884"/>
      <c r="I33" s="32"/>
      <c r="J33" s="883" t="str">
        <f>IF(K31="","",IF(K31&gt;0,J30/L30,"/"))</f>
        <v/>
      </c>
      <c r="K33" s="883"/>
      <c r="L33" s="884" t="str">
        <f>IF(PK!$AO$4=2,"",IF(AND(COUNT(PK!$A$6:$A$11)&gt;2,PK!$CF29="P"),PK!$CD29,""))</f>
        <v/>
      </c>
      <c r="M33" s="884"/>
      <c r="N33" s="32"/>
      <c r="O33" s="883" t="str">
        <f>IF(P31="","",IF(P31&gt;0,O30/Q30,"/"))</f>
        <v/>
      </c>
      <c r="P33" s="883"/>
      <c r="Q33" s="884" t="str">
        <f>IF(PK!$AO$4=2,"",IF(AND(COUNT(PK!$A$6:$A$11)&gt;2,PK!$CF28="P"),PK!$CD28,""))</f>
        <v/>
      </c>
      <c r="R33" s="884"/>
      <c r="S33" s="32"/>
      <c r="T33" s="883" t="str">
        <f>IF(U31="","",IF(U31&gt;0,T30/V30,"/"))</f>
        <v/>
      </c>
      <c r="U33" s="883"/>
      <c r="V33" s="884" t="str">
        <f>IF(PK!$AO$4=2,"",IF(AND(COUNT(PK!$A$6:$A$11)&gt;2,PK!$CF27="P"),PK!$CD27,""))</f>
        <v/>
      </c>
      <c r="W33" s="884"/>
      <c r="X33" s="32"/>
      <c r="Y33" s="887"/>
      <c r="Z33" s="887"/>
      <c r="AA33" s="887"/>
      <c r="AB33" s="887"/>
      <c r="AC33" s="32"/>
      <c r="AD33" s="883" t="str">
        <f>IF(AE31="","",IF(AE31&gt;0,AD30/AF30,"/"))</f>
        <v/>
      </c>
      <c r="AE33" s="883"/>
      <c r="AF33" s="884" t="str">
        <f>IF(PK!$AO$4=2,"",IF(AND(COUNT(PK!$A$6:$A$11)&gt;2,PK!$CF26="P"),PK!$CD26,""))</f>
        <v/>
      </c>
      <c r="AG33" s="884"/>
      <c r="AH33" s="32"/>
      <c r="AI33" s="32"/>
      <c r="AJ33" s="32"/>
      <c r="AK33" s="883" t="str" cm="1">
        <f t="array" ref="AK33">IF(PK!$AO$4&lt;3,"",IF(_xlfn.XLOOKUP('T PK'!C32,"Licence n° "&amp;PK!$B$6:$B$11,PK!$AO$6:$AO$11,"",0,1)=1,"",_xlfn.XLOOKUP('T PK'!C32,"Licence n° "&amp;PK!$B$6:$B$11,PK!$U$6:$U$11,"",0,1)))</f>
        <v/>
      </c>
      <c r="AL33" s="883"/>
      <c r="AM33" s="884" t="str" cm="1">
        <f t="array" ref="AM33">IF(PK!$AO$4&lt;3,"",IF(_xlfn.XLOOKUP('T PK'!C32,"Licence n° "&amp;PK!$B$6:$B$11,PK!$AO$6:$AO$11,"",0,1)=1,"",_xlfn.XLOOKUP('T PK'!C32,"Licence n° "&amp;PK!$B$6:$B$11,PK!$S$6:$S$11,"",0,1)))</f>
        <v/>
      </c>
      <c r="AN33" s="884"/>
      <c r="AO33" s="32"/>
      <c r="AP33" s="562" t="str" cm="1">
        <f t="array" ref="AP33">_xlfn.XLOOKUP(C32,"Licence n° "&amp;PK!$B$6:$B$11,PK!$X$6:$X$11,"",0,1)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IF(PK!AO4=2,"",IF(COUNT(PK!A6:A11)&gt;5,CONCATENATE(PK!C11," ",LEFT(PK!E11),"."),""))</f>
        <v/>
      </c>
      <c r="D35" s="32"/>
      <c r="E35" s="882" t="str">
        <f>IF(PK!$AO$4=2,"",IF(AND(COUNT(PK!$A$6:$A$11)&gt;2,PK!$CF35="P"),PK!$CC35,""))</f>
        <v/>
      </c>
      <c r="F35" s="882"/>
      <c r="G35" s="882" t="str">
        <f>IF(PK!$AO$4=2,"",IF(AND(COUNT(PK!$A$6:$A$11)&gt;2,PK!$CF35="P"),PK!$CE35,""))</f>
        <v/>
      </c>
      <c r="H35" s="882"/>
      <c r="I35" s="142"/>
      <c r="J35" s="882" t="str">
        <f>IF(PK!$AO$4=2,"",IF(AND(COUNT(PK!$A$6:$A$11)&gt;2,PK!$CF34="P"),PK!$CC34,""))</f>
        <v/>
      </c>
      <c r="K35" s="882"/>
      <c r="L35" s="882" t="str">
        <f>IF(PK!$AO$4=2,"",IF(AND(COUNT(PK!$A$6:$A$11)&gt;2,PK!$CF34="P"),PK!$CE34,""))</f>
        <v/>
      </c>
      <c r="M35" s="882"/>
      <c r="N35" s="142"/>
      <c r="O35" s="882" t="str">
        <f>IF(PK!$AO$4=2,"",IF(AND(COUNT(PK!$A$6:$A$11)&gt;2,PK!$CF33="P"),PK!$CC33,""))</f>
        <v/>
      </c>
      <c r="P35" s="882"/>
      <c r="Q35" s="882" t="str">
        <f>IF(PK!$AO$4=2,"",IF(AND(COUNT(PK!$A$6:$A$11)&gt;2,PK!$CF33="P"),PK!$CE33,""))</f>
        <v/>
      </c>
      <c r="R35" s="882"/>
      <c r="S35" s="142"/>
      <c r="T35" s="882" t="str">
        <f>IF(PK!$AO$4=2,"",IF(AND(COUNT(PK!$A$6:$A$11)&gt;2,PK!$CF32="P"),PK!$CC32,""))</f>
        <v/>
      </c>
      <c r="U35" s="882"/>
      <c r="V35" s="882" t="str">
        <f>IF(PK!$AO$4=2,"",IF(AND(COUNT(PK!$A$6:$A$11)&gt;2,PK!$CF32="P"),PK!$CE32,""))</f>
        <v/>
      </c>
      <c r="W35" s="882"/>
      <c r="X35" s="142"/>
      <c r="Y35" s="882" t="str">
        <f>IF(PK!$AO$4=2,"",IF(AND(COUNT(PK!$A$6:$A$11)&gt;2,PK!$CF31="P"),PK!$CC31,""))</f>
        <v/>
      </c>
      <c r="Z35" s="882"/>
      <c r="AA35" s="882" t="str">
        <f>IF(PK!$AO$4=2,"",IF(AND(COUNT(PK!$A$6:$A$11)&gt;2,PK!$CF31="P"),PK!$CE31,""))</f>
        <v/>
      </c>
      <c r="AB35" s="882"/>
      <c r="AC35" s="32"/>
      <c r="AD35" s="885" t="str">
        <f>IF(PK!W35="NON",AG1,IF(PK!AO4=2,"",IF(COUNT(PK!A6:A11)&gt;5,_xlfn.XLOOKUP('T PK'!C38,'LOGOS CLUBS'!$B$2:$B$65,'LOGOS CLUBS'!$C$2:$C$65,C38,0,1),"")))</f>
        <v/>
      </c>
      <c r="AE35" s="885"/>
      <c r="AF35" s="885"/>
      <c r="AG35" s="885"/>
      <c r="AH35" s="32"/>
      <c r="AI35" s="32"/>
      <c r="AJ35" s="32"/>
      <c r="AK35" s="882" t="str" cm="1">
        <f t="array" ref="AK35">IF(PK!$AO$4&lt;3,"",IF(_xlfn.XLOOKUP('T PK'!C37,"Licence n° "&amp;PK!$B$6:$B$11,PK!$AO$6:$AO$11,"",0,1)=1,"",_xlfn.XLOOKUP('T PK'!C37,"Licence n° "&amp;PK!$B$6:$B$11,PK!$V$6:$V$11,"",0,1)))</f>
        <v/>
      </c>
      <c r="AL35" s="882"/>
      <c r="AM35" s="879" t="str" cm="1">
        <f t="array" ref="AM35">IF(PK!$AO$4&lt;3,"",IF(_xlfn.XLOOKUP('T PK'!C37,"Licence n° "&amp;PK!$B$6:$B$11,PK!$AO$6:$AO$11,"",0,1)=1,"",_xlfn.XLOOKUP('T PK'!C37,"Licence n° "&amp;PK!$B$6:$B$11,PK!$T$6:$T$11,"",0,1)))</f>
        <v/>
      </c>
      <c r="AN35" s="879"/>
      <c r="AO35" s="32"/>
      <c r="AP35" s="561" t="str" cm="1">
        <f t="array" ref="AP35">_xlfn.XLOOKUP(C37,"Licence n° "&amp;PK!$B$6:$B$11,PK!$W$6:$W$11,"",0,1)</f>
        <v/>
      </c>
      <c r="AQ35" s="32"/>
      <c r="AS35" s="832" t="s">
        <v>8124</v>
      </c>
      <c r="AT35" s="32"/>
    </row>
    <row r="36" spans="1:46" ht="12.6" customHeight="1" x14ac:dyDescent="0.25">
      <c r="A36" s="32"/>
      <c r="B36" s="32"/>
      <c r="C36" s="143" t="str">
        <f>IF(PK!$AO$4=2,"",IF(COUNT(PK!$A$6:$A$11)&gt;5,PK!$K11&amp;" - "&amp;PK!$AS11," "))</f>
        <v xml:space="preserve"> </v>
      </c>
      <c r="D36" s="32"/>
      <c r="E36" s="144" t="str">
        <f>IF(F36="","","Pts")</f>
        <v/>
      </c>
      <c r="F36" s="880" t="str">
        <f>IF(PK!$AO$4=2,"",IF(AND(COUNT(PK!$A$6:$A$11)&gt;2,PK!$CF35="P"),PK!$CG35,""))</f>
        <v/>
      </c>
      <c r="G36" s="880"/>
      <c r="H36" s="144" t="str">
        <f>IF(F36="","","Rep.")</f>
        <v/>
      </c>
      <c r="I36" s="144"/>
      <c r="J36" s="144" t="str">
        <f>IF(K36="","","Pts")</f>
        <v/>
      </c>
      <c r="K36" s="880" t="str">
        <f>IF(PK!$AO$4=2,"",IF(AND(COUNT(PK!$A$6:$A$11)&gt;2,PK!$CF34="P"),PK!$CG34,""))</f>
        <v/>
      </c>
      <c r="L36" s="880"/>
      <c r="M36" s="144" t="str">
        <f>IF(K36="","","Rep.")</f>
        <v/>
      </c>
      <c r="N36" s="144"/>
      <c r="O36" s="144" t="str">
        <f>IF(P36="","","Pts")</f>
        <v/>
      </c>
      <c r="P36" s="880" t="str">
        <f>IF(PK!$AO$4=2,"",IF(AND(COUNT(PK!$A$6:$A$11)&gt;2,PK!$CF33="P"),PK!$CG33,""))</f>
        <v/>
      </c>
      <c r="Q36" s="880"/>
      <c r="R36" s="144" t="str">
        <f>IF(P36="","","Rep.")</f>
        <v/>
      </c>
      <c r="S36" s="144"/>
      <c r="T36" s="144" t="str">
        <f>IF(U36="","","Pts")</f>
        <v/>
      </c>
      <c r="U36" s="880" t="str">
        <f>IF(PK!$AO$4=2,"",IF(AND(COUNT(PK!$A$6:$A$11)&gt;2,PK!$CF32="P"),PK!$CG32,""))</f>
        <v/>
      </c>
      <c r="V36" s="880"/>
      <c r="W36" s="144" t="str">
        <f>IF(U36="","","Rep.")</f>
        <v/>
      </c>
      <c r="X36" s="144"/>
      <c r="Y36" s="144" t="str">
        <f>IF(Z36="","","Pts")</f>
        <v/>
      </c>
      <c r="Z36" s="880" t="str">
        <f>IF(PK!$AO$4=2,"",IF(AND(COUNT(PK!$A$6:$A$11)&gt;2,PK!$CF31="P"),PK!$CG31,""))</f>
        <v/>
      </c>
      <c r="AA36" s="880"/>
      <c r="AB36" s="144" t="str">
        <f>IF(Z36="","","Rep.")</f>
        <v/>
      </c>
      <c r="AC36" s="32"/>
      <c r="AD36" s="885"/>
      <c r="AE36" s="885"/>
      <c r="AF36" s="885"/>
      <c r="AG36" s="885"/>
      <c r="AH36" s="32"/>
      <c r="AI36" s="32"/>
      <c r="AJ36" s="32"/>
      <c r="AK36" s="145" t="str">
        <f>IF(AL36="","","PM")</f>
        <v/>
      </c>
      <c r="AL36" s="881" t="str" cm="1">
        <f t="array" ref="AL36">IF(SUM(PK!$Q$6:$Q$11)=0,"",IF(PK!$AO$4&gt;2,IF(_xlfn.XLOOKUP('T PK'!C37,"Licence n° "&amp;PK!$B$6:$B$11,PK!$AO$6:$AO$11,"",0,1)=1,"Forfait",_xlfn.XLOOKUP('T PK'!C37,"Licence n° "&amp;PK!$B$37:$B$42,PK!$Q$37:$Q$42,"",0,1)),""))</f>
        <v/>
      </c>
      <c r="AM36" s="881"/>
      <c r="AN36" s="145" t="str">
        <f>IF(AL36="","","MGP")</f>
        <v/>
      </c>
      <c r="AO36" s="32"/>
      <c r="AP36" s="151" t="str">
        <f>IF(AND(COUNT(PK!$A$6:$A$11)&gt;5,PK!$AO$4&gt;2,LEFT(PK!$F$13)="P"),"Pts Rk","")</f>
        <v/>
      </c>
      <c r="AQ36" s="32"/>
      <c r="AS36" s="832"/>
      <c r="AT36" s="32"/>
    </row>
    <row r="37" spans="1:46" ht="12.6" customHeight="1" x14ac:dyDescent="0.25">
      <c r="A37" s="32"/>
      <c r="B37" s="32"/>
      <c r="C37" s="147" t="str">
        <f>IF(PK!AO4=2,"",IF(COUNT(PK!A6:A11)&gt;5,"Licence n° "&amp;PK!B11,"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IF(AND(COUNT(PK!$A$6:$A$11)&gt;5,PK!$AO$4&gt;2,LEFT(PK!$F$13)="P"),"Bonus","")</f>
        <v/>
      </c>
      <c r="AQ37" s="32"/>
      <c r="AS37" s="833" t="s">
        <v>8125</v>
      </c>
      <c r="AT37" s="32"/>
    </row>
    <row r="38" spans="1:46" ht="50.1" customHeight="1" thickBot="1" x14ac:dyDescent="0.3">
      <c r="A38" s="32"/>
      <c r="B38" s="32"/>
      <c r="C38" s="149" t="str">
        <f>IF(PK!AO4=2,"",IF(COUNT(PK!A6:A11)&gt;5,PK!G11," "))</f>
        <v xml:space="preserve"> </v>
      </c>
      <c r="D38" s="32"/>
      <c r="E38" s="883" t="str">
        <f>IF(F36="","",IF(F36&gt;0,E35/G35,"/"))</f>
        <v/>
      </c>
      <c r="F38" s="883"/>
      <c r="G38" s="884" t="str">
        <f>IF(PK!$AO$4=2,"",IF(AND(COUNT(PK!$A$6:$A$11)&gt;2,PK!$CF35="P"),PK!$CD35,""))</f>
        <v/>
      </c>
      <c r="H38" s="884"/>
      <c r="I38" s="32"/>
      <c r="J38" s="883" t="str">
        <f>IF(K36="","",IF(K36&gt;0,J35/L35,"/"))</f>
        <v/>
      </c>
      <c r="K38" s="883"/>
      <c r="L38" s="884" t="str">
        <f>IF(PK!$AO$4=2,"",IF(AND(COUNT(PK!$A$6:$A$11)&gt;2,PK!$CF34="P"),PK!$CD34,""))</f>
        <v/>
      </c>
      <c r="M38" s="884"/>
      <c r="N38" s="32"/>
      <c r="O38" s="883" t="str">
        <f>IF(P36="","",IF(P36&gt;0,O35/Q35,"/"))</f>
        <v/>
      </c>
      <c r="P38" s="883"/>
      <c r="Q38" s="884" t="str">
        <f>IF(PK!$AO$4=2,"",IF(AND(COUNT(PK!$A$6:$A$11)&gt;2,PK!$CF33="P"),PK!$CD33,""))</f>
        <v/>
      </c>
      <c r="R38" s="884"/>
      <c r="S38" s="32"/>
      <c r="T38" s="883" t="str">
        <f>IF(U36="","",IF(U36&gt;0,T35/V35,"/"))</f>
        <v/>
      </c>
      <c r="U38" s="883"/>
      <c r="V38" s="884" t="str">
        <f>IF(PK!$AO$4=2,"",IF(AND(COUNT(PK!$A$6:$A$11)&gt;2,PK!$CF32="P"),PK!$CD32,""))</f>
        <v/>
      </c>
      <c r="W38" s="884"/>
      <c r="X38" s="32"/>
      <c r="Y38" s="883" t="str">
        <f>IF(Z36="","",IF(Z36&gt;0,Y35/AA35,"/"))</f>
        <v/>
      </c>
      <c r="Z38" s="883"/>
      <c r="AA38" s="884" t="str">
        <f>IF(PK!$AO$4=2,"",IF(AND(COUNT(PK!$A$6:$A$11)&gt;2,PK!$CF31="P"),PK!$CD31,""))</f>
        <v/>
      </c>
      <c r="AB38" s="884"/>
      <c r="AC38" s="32"/>
      <c r="AD38" s="885"/>
      <c r="AE38" s="885"/>
      <c r="AF38" s="885"/>
      <c r="AG38" s="885"/>
      <c r="AH38" s="32"/>
      <c r="AI38" s="32"/>
      <c r="AJ38" s="32"/>
      <c r="AK38" s="883" t="str" cm="1">
        <f t="array" ref="AK38">IF(PK!$AO$4&lt;3,"",IF(_xlfn.XLOOKUP('T PK'!C37,"Licence n° "&amp;PK!$B$6:$B$11,PK!$AO$6:$AO$11,"",0,1)=1,"",_xlfn.XLOOKUP('T PK'!C37,"Licence n° "&amp;PK!$B$6:$B$11,PK!$U$6:$U$11,"",0,1)))</f>
        <v/>
      </c>
      <c r="AL38" s="883"/>
      <c r="AM38" s="884" t="str" cm="1">
        <f t="array" ref="AM38">IF(PK!$AO$4&lt;3,"",IF(_xlfn.XLOOKUP('T PK'!C37,"Licence n° "&amp;PK!$B$6:$B$11,PK!$AO$6:$AO$11,"",0,1)=1,"",_xlfn.XLOOKUP('T PK'!C37,"Licence n° "&amp;PK!$B$6:$B$11,PK!$S$6:$S$11,"",0,1)))</f>
        <v/>
      </c>
      <c r="AN38" s="884"/>
      <c r="AO38" s="32"/>
      <c r="AP38" s="562" t="str" cm="1">
        <f t="array" ref="AP38">_xlfn.XLOOKUP(C37,"Licence n° "&amp;PK!$B$6:$B$11,PK!$X$6:$X$11,"",0,1)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Au8XeEjilX/THP5RqIdf+9wF2ftCSXqga/JsYkcZEyEoZaABGtuU2SjLal2qrs6GwUc+LqXGBKE/jmg3Gz28bA==" saltValue="DxwNtVPvaQ12Du8Pb70nPA=="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71" priority="130">
      <formula>F16=0</formula>
    </cfRule>
    <cfRule type="expression" dxfId="170" priority="129">
      <formula>F16=1</formula>
    </cfRule>
    <cfRule type="expression" dxfId="169" priority="128">
      <formula>F16=2</formula>
    </cfRule>
  </conditionalFormatting>
  <conditionalFormatting sqref="F21">
    <cfRule type="expression" dxfId="168" priority="113">
      <formula>F21=2</formula>
    </cfRule>
    <cfRule type="expression" dxfId="167" priority="114">
      <formula>F21=1</formula>
    </cfRule>
    <cfRule type="expression" dxfId="166" priority="115">
      <formula>F21=0</formula>
    </cfRule>
  </conditionalFormatting>
  <conditionalFormatting sqref="F26">
    <cfRule type="expression" dxfId="165" priority="98">
      <formula>F26=2</formula>
    </cfRule>
    <cfRule type="expression" dxfId="164" priority="99">
      <formula>F26=1</formula>
    </cfRule>
    <cfRule type="expression" dxfId="163" priority="100">
      <formula>F26=0</formula>
    </cfRule>
  </conditionalFormatting>
  <conditionalFormatting sqref="F31">
    <cfRule type="expression" dxfId="162" priority="83">
      <formula>F31=2</formula>
    </cfRule>
    <cfRule type="expression" dxfId="161" priority="84">
      <formula>F31=1</formula>
    </cfRule>
    <cfRule type="expression" dxfId="160" priority="85">
      <formula>F31=0</formula>
    </cfRule>
  </conditionalFormatting>
  <conditionalFormatting sqref="F36">
    <cfRule type="expression" dxfId="159" priority="70">
      <formula>F36=0</formula>
    </cfRule>
    <cfRule type="expression" dxfId="158" priority="69">
      <formula>F36=1</formula>
    </cfRule>
    <cfRule type="expression" dxfId="157" priority="68">
      <formula>F36=2</formula>
    </cfRule>
  </conditionalFormatting>
  <conditionalFormatting sqref="J15:M18">
    <cfRule type="expression" dxfId="148" priority="147">
      <formula>$J$15="MATCH 1"</formula>
    </cfRule>
  </conditionalFormatting>
  <conditionalFormatting sqref="K21">
    <cfRule type="expression" dxfId="147" priority="110">
      <formula>K21=2</formula>
    </cfRule>
    <cfRule type="expression" dxfId="146" priority="111">
      <formula>K21=1</formula>
    </cfRule>
    <cfRule type="expression" dxfId="145" priority="112">
      <formula>K21=0</formula>
    </cfRule>
  </conditionalFormatting>
  <conditionalFormatting sqref="K26">
    <cfRule type="expression" dxfId="144" priority="97">
      <formula>K26=0</formula>
    </cfRule>
    <cfRule type="expression" dxfId="143" priority="96">
      <formula>K26=1</formula>
    </cfRule>
    <cfRule type="expression" dxfId="142" priority="95">
      <formula>K26=2</formula>
    </cfRule>
  </conditionalFormatting>
  <conditionalFormatting sqref="K31">
    <cfRule type="expression" dxfId="141" priority="82">
      <formula>K31=0</formula>
    </cfRule>
    <cfRule type="expression" dxfId="140" priority="80">
      <formula>K31=2</formula>
    </cfRule>
    <cfRule type="expression" dxfId="139" priority="81">
      <formula>K31=1</formula>
    </cfRule>
  </conditionalFormatting>
  <conditionalFormatting sqref="K36">
    <cfRule type="expression" dxfId="138" priority="65">
      <formula>K36=2</formula>
    </cfRule>
    <cfRule type="expression" dxfId="137" priority="66">
      <formula>K36=1</formula>
    </cfRule>
    <cfRule type="expression" dxfId="136" priority="67">
      <formula>K36=0</formula>
    </cfRule>
  </conditionalFormatting>
  <conditionalFormatting sqref="K11:L12">
    <cfRule type="expression" dxfId="135" priority="143">
      <formula>K11=2</formula>
    </cfRule>
    <cfRule type="expression" dxfId="134" priority="144">
      <formula>K11=1</formula>
    </cfRule>
    <cfRule type="expression" dxfId="133" priority="145">
      <formula>K11=0</formula>
    </cfRule>
  </conditionalFormatting>
  <conditionalFormatting sqref="O20:R23">
    <cfRule type="expression" dxfId="126" priority="146">
      <formula>$O$20="MATCH 2"</formula>
    </cfRule>
  </conditionalFormatting>
  <conditionalFormatting sqref="P11">
    <cfRule type="expression" dxfId="125" priority="140">
      <formula>P11=2</formula>
    </cfRule>
    <cfRule type="expression" dxfId="124" priority="141">
      <formula>P11=1</formula>
    </cfRule>
    <cfRule type="expression" dxfId="123" priority="142">
      <formula>P11=0</formula>
    </cfRule>
  </conditionalFormatting>
  <conditionalFormatting sqref="P16">
    <cfRule type="expression" dxfId="122" priority="125">
      <formula>P16=2</formula>
    </cfRule>
    <cfRule type="expression" dxfId="121" priority="127">
      <formula>P16=0</formula>
    </cfRule>
    <cfRule type="expression" dxfId="120" priority="126">
      <formula>P16=1</formula>
    </cfRule>
  </conditionalFormatting>
  <conditionalFormatting sqref="P26">
    <cfRule type="expression" dxfId="119" priority="93">
      <formula>P26=1</formula>
    </cfRule>
    <cfRule type="expression" dxfId="118" priority="92">
      <formula>P26=2</formula>
    </cfRule>
    <cfRule type="expression" dxfId="117" priority="94">
      <formula>P26=0</formula>
    </cfRule>
  </conditionalFormatting>
  <conditionalFormatting sqref="P31">
    <cfRule type="expression" dxfId="116" priority="77">
      <formula>P31=2</formula>
    </cfRule>
    <cfRule type="expression" dxfId="115" priority="78">
      <formula>P31=1</formula>
    </cfRule>
    <cfRule type="expression" dxfId="114" priority="79">
      <formula>P31=0</formula>
    </cfRule>
  </conditionalFormatting>
  <conditionalFormatting sqref="P36">
    <cfRule type="expression" dxfId="113" priority="64">
      <formula>P36=0</formula>
    </cfRule>
    <cfRule type="expression" dxfId="112" priority="63">
      <formula>P36=1</formula>
    </cfRule>
    <cfRule type="expression" dxfId="111" priority="62">
      <formula>P36=2</formula>
    </cfRule>
  </conditionalFormatting>
  <conditionalFormatting sqref="U11">
    <cfRule type="expression" dxfId="110" priority="138">
      <formula>U11=1</formula>
    </cfRule>
    <cfRule type="expression" dxfId="109" priority="139">
      <formula>U11=0</formula>
    </cfRule>
    <cfRule type="expression" dxfId="108" priority="137">
      <formula>U11=2</formula>
    </cfRule>
  </conditionalFormatting>
  <conditionalFormatting sqref="U16">
    <cfRule type="expression" dxfId="107" priority="123">
      <formula>U16=1</formula>
    </cfRule>
    <cfRule type="expression" dxfId="106" priority="122">
      <formula>U16=2</formula>
    </cfRule>
    <cfRule type="expression" dxfId="105" priority="124">
      <formula>U16=0</formula>
    </cfRule>
  </conditionalFormatting>
  <conditionalFormatting sqref="U21">
    <cfRule type="expression" dxfId="104" priority="108">
      <formula>U21=1</formula>
    </cfRule>
    <cfRule type="expression" dxfId="103" priority="109">
      <formula>U21=0</formula>
    </cfRule>
    <cfRule type="expression" dxfId="102" priority="107">
      <formula>U21=2</formula>
    </cfRule>
  </conditionalFormatting>
  <conditionalFormatting sqref="U31">
    <cfRule type="expression" dxfId="101" priority="76">
      <formula>U31=0</formula>
    </cfRule>
    <cfRule type="expression" dxfId="100" priority="75">
      <formula>U31=1</formula>
    </cfRule>
    <cfRule type="expression" dxfId="99" priority="74">
      <formula>U31=2</formula>
    </cfRule>
  </conditionalFormatting>
  <conditionalFormatting sqref="U36">
    <cfRule type="expression" dxfId="98" priority="61">
      <formula>U36=0</formula>
    </cfRule>
    <cfRule type="expression" dxfId="97" priority="60">
      <formula>U36=1</formula>
    </cfRule>
    <cfRule type="expression" dxfId="96" priority="59">
      <formula>U36=2</formula>
    </cfRule>
  </conditionalFormatting>
  <conditionalFormatting sqref="Z11">
    <cfRule type="expression" dxfId="95" priority="134">
      <formula>Z11=2</formula>
    </cfRule>
    <cfRule type="expression" dxfId="94" priority="136">
      <formula>Z11=0</formula>
    </cfRule>
    <cfRule type="expression" dxfId="93" priority="135">
      <formula>Z11=1</formula>
    </cfRule>
  </conditionalFormatting>
  <conditionalFormatting sqref="Z16">
    <cfRule type="expression" dxfId="92" priority="119">
      <formula>Z16=2</formula>
    </cfRule>
    <cfRule type="expression" dxfId="91" priority="120">
      <formula>Z16=1</formula>
    </cfRule>
    <cfRule type="expression" dxfId="90" priority="121">
      <formula>Z16=0</formula>
    </cfRule>
  </conditionalFormatting>
  <conditionalFormatting sqref="Z21">
    <cfRule type="expression" dxfId="89" priority="104">
      <formula>Z21=2</formula>
    </cfRule>
    <cfRule type="expression" dxfId="88" priority="105">
      <formula>Z21=1</formula>
    </cfRule>
    <cfRule type="expression" dxfId="87" priority="106">
      <formula>Z21=0</formula>
    </cfRule>
  </conditionalFormatting>
  <conditionalFormatting sqref="Z26">
    <cfRule type="expression" dxfId="86" priority="89">
      <formula>Z26=2</formula>
    </cfRule>
    <cfRule type="expression" dxfId="85" priority="90">
      <formula>Z26=1</formula>
    </cfRule>
    <cfRule type="expression" dxfId="84" priority="91">
      <formula>Z26=0</formula>
    </cfRule>
  </conditionalFormatting>
  <conditionalFormatting sqref="Z36">
    <cfRule type="expression" dxfId="83" priority="57">
      <formula>Z36=1</formula>
    </cfRule>
    <cfRule type="expression" dxfId="82" priority="56">
      <formula>Z36=2</formula>
    </cfRule>
    <cfRule type="expression" dxfId="81" priority="58">
      <formula>Z36=0</formula>
    </cfRule>
  </conditionalFormatting>
  <conditionalFormatting sqref="AE11">
    <cfRule type="expression" dxfId="76" priority="133">
      <formula>AE11=0</formula>
    </cfRule>
    <cfRule type="expression" dxfId="75" priority="132">
      <formula>AE11=1</formula>
    </cfRule>
    <cfRule type="expression" dxfId="74" priority="131">
      <formula>AE11=2</formula>
    </cfRule>
  </conditionalFormatting>
  <conditionalFormatting sqref="AE16">
    <cfRule type="expression" dxfId="73" priority="118">
      <formula>AE16=0</formula>
    </cfRule>
    <cfRule type="expression" dxfId="72" priority="117">
      <formula>AE16=1</formula>
    </cfRule>
    <cfRule type="expression" dxfId="71" priority="116">
      <formula>AE16=2</formula>
    </cfRule>
  </conditionalFormatting>
  <conditionalFormatting sqref="AE21">
    <cfRule type="expression" dxfId="70" priority="101">
      <formula>AE21=2</formula>
    </cfRule>
    <cfRule type="expression" dxfId="69" priority="103">
      <formula>AE21=0</formula>
    </cfRule>
    <cfRule type="expression" dxfId="68" priority="102">
      <formula>AE21=1</formula>
    </cfRule>
  </conditionalFormatting>
  <conditionalFormatting sqref="AE26">
    <cfRule type="expression" dxfId="67" priority="87">
      <formula>AE26=1</formula>
    </cfRule>
    <cfRule type="expression" dxfId="66" priority="86">
      <formula>AE26=2</formula>
    </cfRule>
    <cfRule type="expression" dxfId="65" priority="88">
      <formula>AE26=0</formula>
    </cfRule>
  </conditionalFormatting>
  <conditionalFormatting sqref="AE31">
    <cfRule type="expression" dxfId="64" priority="72">
      <formula>AE31=1</formula>
    </cfRule>
    <cfRule type="expression" dxfId="63" priority="73">
      <formula>AE31=0</formula>
    </cfRule>
    <cfRule type="expression" dxfId="62" priority="71">
      <formula>AE31=2</formula>
    </cfRule>
  </conditionalFormatting>
  <hyperlinks>
    <hyperlink ref="AS2" location="'GESTION DES JOUEURS'!D4" display="GESTION DES JOUEURS" xr:uid="{962BF9D0-9B24-43A5-B371-7B6A3A3BCFA5}"/>
    <hyperlink ref="AS10:AS11" location="PA!N18" display="PA!N18" xr:uid="{9146CD69-2144-426E-BCC2-91E67064ADF7}"/>
    <hyperlink ref="AS12:AS13" location="PB!N18" display="Poule B" xr:uid="{9A35EFFD-E2A7-4B82-9E2C-97107FB2BAEF}"/>
    <hyperlink ref="AS15:AS16" location="PC!N18" display="Poule C" xr:uid="{5E8E0270-889F-4432-91CF-F6857CC67892}"/>
    <hyperlink ref="AS17:AS18" location="PD!N18" display="Poule D" xr:uid="{15620219-A933-4FE8-B7B9-91DF9EA710FD}"/>
    <hyperlink ref="AS20:AS21" location="PE!N18" display="Poule E" xr:uid="{6AC2F2A2-B89F-4DD6-8CAC-88EF7073ADDF}"/>
    <hyperlink ref="AS22:AS23" location="PF!N18" display="Poule F" xr:uid="{7D17D54E-0AC2-482A-BA75-AE9E34BD6A45}"/>
    <hyperlink ref="AS25:AS26" location="PG!N18" display="Poule G" xr:uid="{AB58C38F-0D0A-44BE-841F-DABCD61CE9E3}"/>
    <hyperlink ref="AS27:AS28" location="PH!N18" display="Poule H" xr:uid="{999D5146-D0E3-4F5F-860E-2E33AFCBC0ED}"/>
    <hyperlink ref="AS30:AS31" location="PI!N18" display="Poule I" xr:uid="{B4C52D91-458A-4596-80FE-2EBFB6C22C78}"/>
    <hyperlink ref="AS32:AS33" location="PJ!N18" display="Poule J" xr:uid="{47605341-9B23-4CE3-9207-8E9B06F181B0}"/>
    <hyperlink ref="AS35:AS36" location="PK!N18" display="Poule K" xr:uid="{659AFDC8-D91B-433A-A6C2-A20C44FF6A48}"/>
    <hyperlink ref="AS37:AS38" location="PL!N18" display="Poule L" xr:uid="{9F9E0BCF-0C7F-45D3-A9CC-9E4EA83036C2}"/>
    <hyperlink ref="AV2" location="'Phase finale'!A1" display="Phase Finale" xr:uid="{20E37E7C-51BE-43A6-9FD5-320CD99D0215}"/>
    <hyperlink ref="AV9:AV11" location="RESULTATS!A1" display="RESULTATS" xr:uid="{F419E8A3-C1BE-4016-883C-FD9ECC468822}"/>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881" id="{AC29A923-D5B3-4867-8E63-18B04DBD1E3E}">
            <xm:f>AND(COUNT(PK!$A$6:$A$11)=3,PK!$AO$4&gt;2)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2912" id="{DA24150E-F62A-4A00-882A-CD130A0D9960}">
            <xm:f>AND(COUNT(PK!$A$6:$A$11)=4,PK!$AO$4&gt;2)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99922451-8FF6-47EA-8DAA-8234D1BD0BD2}">
            <xm:f>PK!$AO$4=2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2954" id="{AB3F4DA7-B178-48CA-B74E-581693652595}">
            <xm:f>AND(COUNT(PK!$A$6:$A$11)=4,PK!$AO$4&gt;2)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CCC7CC82-25D0-472D-838E-B4B6A39E8927}">
            <xm:f>PK!$AO$4=2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2974" id="{1D270E6B-AF33-4EAB-91DA-08CA02D472A1}">
            <xm:f>AND(COUNT(PK!$A$6:$A$11)=5,PK!$AO$4&gt;2)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2979" id="{E7B4702E-BB32-4F7E-B0F2-D01D64C3879C}">
            <xm:f>AND(COUNT(PK!$A$6:$A$11)&gt;=5,PK!$AO$4&gt;2)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3034" id="{7548E94F-759F-4FAF-BA98-2941ECF579CB}">
            <xm:f>AND(COUNT(PK!$A$6:$A$11)&gt;=5,PK!$AO$4&gt;2)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3109" id="{88B4AC9B-47F1-487A-815B-D9DB08C5FCB3}">
            <xm:f>AND(COUNT(PK!$A$6:$A$11)=3,PK!$AO$4&gt;2)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3137" id="{7FE1C4D7-1B1C-42A4-819E-8AD1E02E6A1F}">
            <xm:f>PK!$AO$4=2</xm:f>
            <x14:dxf>
              <border>
                <top/>
                <vertical/>
                <horizontal/>
              </border>
            </x14:dxf>
          </x14:cfRule>
          <x14:cfRule type="expression" priority="13136" id="{86C49F74-1DA1-4545-9DE0-D1001E1C9F38}">
            <xm:f>AND(COUNT(PK!$A$6:$A$11)=4,PK!$AO$4&gt;2)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3172" id="{721F0575-3FAA-43AB-8538-DFD93003D328}">
            <xm:f>AND(COUNT(PK!$A$6:$A$11)&gt;=5,PK!$AO$4&gt;2)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3247" id="{87571B23-F630-4787-991F-BD9A7A8CCCF4}">
            <xm:f>AND(COUNT(PK!$A$6:$A$11)=3,PK!$AO$4&gt;2)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3274" id="{D6275E09-6603-4D41-96E1-978CA1BFD999}">
            <xm:f>AND(COUNT(PK!$A$6:$A$11)=4,PK!$AO$4&gt;2)</xm:f>
            <x14:dxf>
              <border>
                <bottom/>
                <vertical/>
                <horizontal/>
              </border>
            </x14:dxf>
          </x14:cfRule>
          <x14:cfRule type="expression" priority="13275" id="{1CDC78BF-815C-467F-BEFF-BA60B7B67627}">
            <xm:f>PK!$AO$4=2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3310" id="{B5C65030-306C-4727-A9B4-06567C9AC403}">
            <xm:f>AND(COUNT(PK!$A$6:$A$11)=4,PK!$AO$4&gt;2)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3340" id="{B7C0EAE4-46C5-42D1-A7D4-098C02B2F300}">
            <xm:f>PK!$AO$4=2</xm:f>
            <x14:dxf>
              <border>
                <bottom/>
                <vertical/>
                <horizontal/>
              </border>
            </x14:dxf>
          </x14:cfRule>
          <x14:cfRule type="expression" priority="13341" id="{62F35052-3460-44A1-9BB0-869FC950E924}">
            <xm:f>AND(COUNT(PK!$A$6:$A$11)=4,PK!$AO$4&gt;2)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3342" id="{8ABE2ABB-C0D6-4E0E-A723-2966DC4D54D8}">
            <xm:f>AND(COUNT(PK!$A$6:$A$11)=4,PK!$AO$4&gt;2)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3372" id="{A25D41DA-3C3A-4B2F-B47A-8109A99F04C1}">
            <xm:f>AND(COUNT(PK!$A$6:$A$11)=3,PK!$AO$4&gt;2)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3384" id="{A45369BA-49D8-4A89-9ED4-2E5CE1F1169C}">
            <xm:f>AND(COUNT(PK!$A$6:$A$11)&gt;=5,PK!$AO$4&gt;2)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3409" id="{F04B8052-1170-4898-B26A-EACE379B0860}">
            <xm:f>AND(COUNT(PK!$A$6:$A$11)=6,PK!$AO$4&gt;2)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3442" id="{BA3400DF-0FBF-4782-8A2E-DE7A6C447BDF}">
            <xm:f>AND(COUNT(PK!$A$6:$A$11)=6,PK!$AO$4&gt;2)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3467" id="{FEA87640-1D1F-46B8-A1AE-ADD2CCB3A491}">
            <xm:f>AND(COUNT(PK!$A$6:$A$11)=6,PK!$AO$4&gt;2)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3500" id="{E854CB22-4EC3-47DF-8E5C-2EA4D1FC888C}">
            <xm:f>AND(COUNT(PK!$A$6:$A$11)=6,PK!$AO$4&gt;2)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3519" id="{95859FD3-1C9F-4E30-A9B5-9E48E42915CC}">
            <xm:f>AND(LEFT(PK!$F$13)="F",$AL$11=1,PK!$BU$5="X")</xm:f>
            <x14:dxf>
              <font>
                <color rgb="FF8E0000"/>
              </font>
              <fill>
                <patternFill>
                  <bgColor rgb="FFFBE93B"/>
                </patternFill>
              </fill>
            </x14:dxf>
          </x14:cfRule>
          <x14:cfRule type="expression" priority="13518" id="{825AAD5B-2D91-463F-8875-DAAFACCA598C}">
            <xm:f>AND(LEFT(PK!$F$13)="F",$AL$11=2,PK!$BU$5="X")</xm:f>
            <x14:dxf>
              <font>
                <color rgb="FF8E0000"/>
              </font>
              <fill>
                <patternFill>
                  <bgColor theme="2"/>
                </patternFill>
              </fill>
            </x14:dxf>
          </x14:cfRule>
          <x14:cfRule type="expression" priority="13517" id="{57F4E3A1-BB0C-44D9-87D3-CE159376153E}">
            <xm:f>AND(LEFT(PK!$F$13)="F",$AL$11=3,PK!$BU$5="X")</xm:f>
            <x14:dxf>
              <font>
                <color rgb="FF8E0000"/>
              </font>
              <fill>
                <patternFill>
                  <bgColor rgb="FFFECF82"/>
                </patternFill>
              </fill>
            </x14:dxf>
          </x14:cfRule>
          <xm:sqref>AL11</xm:sqref>
        </x14:conditionalFormatting>
        <x14:conditionalFormatting xmlns:xm="http://schemas.microsoft.com/office/excel/2006/main">
          <x14:cfRule type="expression" priority="13521" id="{3A9AFC6D-6903-44BC-89AE-638715CB33F1}">
            <xm:f>AND(LEFT(PK!$F$13)="F",$AL$16=2,PK!$BU$5="X")</xm:f>
            <x14:dxf>
              <font>
                <color rgb="FF8E0000"/>
              </font>
              <fill>
                <patternFill>
                  <bgColor theme="2"/>
                </patternFill>
              </fill>
            </x14:dxf>
          </x14:cfRule>
          <x14:cfRule type="expression" priority="13522" id="{696BAF22-FC71-4F8E-8AFB-1DF7447D8581}">
            <xm:f>AND(LEFT(PK!$F$13)="F",$AL$16=1,PK!$BU$5="X")</xm:f>
            <x14:dxf>
              <font>
                <color rgb="FF8E0000"/>
              </font>
              <fill>
                <patternFill>
                  <bgColor rgb="FFFBE93B"/>
                </patternFill>
              </fill>
            </x14:dxf>
          </x14:cfRule>
          <x14:cfRule type="expression" priority="13520" id="{8E1A9860-22E5-41FB-8CE6-5B7E0EBB5937}">
            <xm:f>AND(LEFT(PK!$F$13)="F",$AL$16=3,PK!$BU$5="X")</xm:f>
            <x14:dxf>
              <font>
                <color rgb="FF8E0000"/>
              </font>
              <fill>
                <patternFill>
                  <bgColor rgb="FFFECF82"/>
                </patternFill>
              </fill>
            </x14:dxf>
          </x14:cfRule>
          <xm:sqref>AL16</xm:sqref>
        </x14:conditionalFormatting>
        <x14:conditionalFormatting xmlns:xm="http://schemas.microsoft.com/office/excel/2006/main">
          <x14:cfRule type="expression" priority="13523" id="{51DFDD13-3EEB-4BC7-827D-48F01439286C}">
            <xm:f>AND(LEFT(PK!$F$13)="F",$AL$21=3,PK!$BU$5="X")</xm:f>
            <x14:dxf>
              <font>
                <color rgb="FF8E0000"/>
              </font>
              <fill>
                <patternFill>
                  <bgColor rgb="FFFECF82"/>
                </patternFill>
              </fill>
            </x14:dxf>
          </x14:cfRule>
          <x14:cfRule type="expression" priority="13524" id="{6100EC68-8B28-4A46-9D3A-0C2D1C76DE8C}">
            <xm:f>AND(LEFT(PK!$F$13)="F",$AL$21=2,PK!$BU$5="X")</xm:f>
            <x14:dxf>
              <font>
                <color rgb="FF8E0000"/>
              </font>
              <fill>
                <patternFill>
                  <bgColor theme="2"/>
                </patternFill>
              </fill>
            </x14:dxf>
          </x14:cfRule>
          <x14:cfRule type="expression" priority="13525" id="{129D72F6-8549-4A3B-AADA-F74A6778F6AC}">
            <xm:f>AND(LEFT(PK!$F$13)="F",$AL$21=1,PK!$BU$5="X")</xm:f>
            <x14:dxf>
              <font>
                <color rgb="FF8E0000"/>
              </font>
              <fill>
                <patternFill>
                  <bgColor rgb="FFFBE93B"/>
                </patternFill>
              </fill>
            </x14:dxf>
          </x14:cfRule>
          <xm:sqref>AL21</xm:sqref>
        </x14:conditionalFormatting>
        <x14:conditionalFormatting xmlns:xm="http://schemas.microsoft.com/office/excel/2006/main">
          <x14:cfRule type="expression" priority="13528" id="{D43697DF-8A16-4624-B38A-C9A1298DAE86}">
            <xm:f>AND(LEFT(PK!$F$13)="F",$AL$26=1,PK!$BU$5="X")</xm:f>
            <x14:dxf>
              <font>
                <color rgb="FF8E0000"/>
              </font>
              <fill>
                <patternFill>
                  <bgColor rgb="FFFBE93B"/>
                </patternFill>
              </fill>
            </x14:dxf>
          </x14:cfRule>
          <x14:cfRule type="expression" priority="13527" id="{E04845C2-63B1-45EC-A3E0-5E8A6AD01542}">
            <xm:f>AND(LEFT(PK!$F$13)="F",$AL$26=2,PK!$BU$5="X")</xm:f>
            <x14:dxf>
              <font>
                <color rgb="FF8E0000"/>
              </font>
              <fill>
                <patternFill>
                  <bgColor theme="2"/>
                </patternFill>
              </fill>
            </x14:dxf>
          </x14:cfRule>
          <x14:cfRule type="expression" priority="13526" id="{076C66DD-E5A3-4DDF-BEB5-443F7DDC8100}">
            <xm:f>AND(LEFT(PK!$F$13)="F",$AL$26=3,PK!$BU$5="X")</xm:f>
            <x14:dxf>
              <font>
                <color rgb="FF8E0000"/>
              </font>
              <fill>
                <patternFill>
                  <bgColor rgb="FFFECF82"/>
                </patternFill>
              </fill>
            </x14:dxf>
          </x14:cfRule>
          <xm:sqref>AL26</xm:sqref>
        </x14:conditionalFormatting>
        <x14:conditionalFormatting xmlns:xm="http://schemas.microsoft.com/office/excel/2006/main">
          <x14:cfRule type="expression" priority="13530" id="{160B4AC3-B21E-4BF6-B094-0274F6F4491D}">
            <xm:f>AND(LEFT(PK!$F$13)="F",$AL$31=2,PK!$BU$5="X")</xm:f>
            <x14:dxf>
              <font>
                <color rgb="FF8E0000"/>
              </font>
              <fill>
                <patternFill>
                  <bgColor theme="2"/>
                </patternFill>
              </fill>
            </x14:dxf>
          </x14:cfRule>
          <x14:cfRule type="expression" priority="13529" id="{29264BEE-116F-41EA-B66D-54705FAE31F1}">
            <xm:f>AND(LEFT(PK!$F$13)="F",$AL$31=3,PK!$BU$5="X")</xm:f>
            <x14:dxf>
              <font>
                <color rgb="FF8E0000"/>
              </font>
              <fill>
                <patternFill>
                  <bgColor rgb="FFFECF82"/>
                </patternFill>
              </fill>
            </x14:dxf>
          </x14:cfRule>
          <x14:cfRule type="expression" priority="13531" id="{8DCA9546-3271-485E-BF1C-B4F93963BC12}">
            <xm:f>AND(LEFT(PK!$F$13)="F",$AL$31=1,PK!$BU$5="X")</xm:f>
            <x14:dxf>
              <font>
                <color rgb="FF8E0000"/>
              </font>
              <fill>
                <patternFill>
                  <bgColor rgb="FFFBE93B"/>
                </patternFill>
              </fill>
            </x14:dxf>
          </x14:cfRule>
          <xm:sqref>AL31</xm:sqref>
        </x14:conditionalFormatting>
        <x14:conditionalFormatting xmlns:xm="http://schemas.microsoft.com/office/excel/2006/main">
          <x14:cfRule type="expression" priority="13532" id="{1C4186B2-6C19-427F-BE35-555B8DD39820}">
            <xm:f>AND(LEFT(PK!$F$13)="F",$AL$36=3,PK!$BU$5="X")</xm:f>
            <x14:dxf>
              <font>
                <color rgb="FF8E0000"/>
              </font>
              <fill>
                <patternFill>
                  <bgColor rgb="FFFECF82"/>
                </patternFill>
              </fill>
            </x14:dxf>
          </x14:cfRule>
          <x14:cfRule type="expression" priority="13533" id="{CC7459AC-1AAF-4107-9215-881596223DFB}">
            <xm:f>AND(LEFT(PK!$F$13)="F",$AL$36=2,PK!$BU$5="X")</xm:f>
            <x14:dxf>
              <font>
                <color rgb="FF8E0000"/>
              </font>
              <fill>
                <patternFill>
                  <bgColor theme="2"/>
                </patternFill>
              </fill>
            </x14:dxf>
          </x14:cfRule>
          <x14:cfRule type="expression" priority="13534" id="{74F413E9-9DC5-480F-AEB6-879D4E8C1079}">
            <xm:f>AND(LEFT(PK!$F$13)="F",$AL$36=1,PK!$BU$5="X")</xm:f>
            <x14:dxf>
              <font>
                <color rgb="FF8E0000"/>
              </font>
              <fill>
                <patternFill>
                  <bgColor rgb="FFFBE93B"/>
                </patternFill>
              </fill>
            </x14:dxf>
          </x14:cfRule>
          <xm:sqref>AL36</xm:sqref>
        </x14:conditionalFormatting>
        <x14:conditionalFormatting xmlns:xm="http://schemas.microsoft.com/office/excel/2006/main">
          <x14:cfRule type="expression" priority="148" id="{73F37D1A-F298-432E-891E-21ABB42E9230}">
            <xm:f>LEFT(PK!$B$15)="3"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2063" id="{F87FCFD2-2816-4025-8111-09FDF4BE9497}">
            <xm:f>AND(LEFT(PA!$F$13)="P",PA!$AO$4&gt;1)</xm:f>
            <x14:dxf>
              <border>
                <bottom/>
                <vertical/>
                <horizontal/>
              </border>
            </x14:dxf>
          </x14:cfRule>
          <xm:sqref>AP10 AP12 AP15 AP17</xm:sqref>
        </x14:conditionalFormatting>
        <x14:conditionalFormatting xmlns:xm="http://schemas.microsoft.com/office/excel/2006/main">
          <x14:cfRule type="expression" priority="4" id="{751EED40-10BC-40A5-9EA0-78C023ED4FB4}">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2067" id="{49572ED1-0864-4254-98FB-C6FA61632791}">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2069" id="{5D1EA343-CEA5-445E-B91B-61C6EC04B545}">
            <xm:f>AND(LEFT(PA!$F$13)="P",PA!$AO$4&gt;1)</xm:f>
            <x14:dxf>
              <border>
                <top/>
                <vertical/>
                <horizontal/>
              </border>
            </x14:dxf>
          </x14:cfRule>
          <xm:sqref>AP11 AP13 AP16 AP18</xm:sqref>
        </x14:conditionalFormatting>
        <x14:conditionalFormatting xmlns:xm="http://schemas.microsoft.com/office/excel/2006/main">
          <x14:cfRule type="expression" priority="12093" id="{E9BF3632-9300-41C9-9148-57707D45302C}">
            <xm:f>AND(LEFT(PA!$F$13)="P",PA!$AO$4&gt;1)</xm:f>
            <x14:dxf>
              <fill>
                <patternFill>
                  <bgColor theme="1"/>
                </patternFill>
              </fill>
            </x14:dxf>
          </x14:cfRule>
          <xm:sqref>AP14 AP19</xm:sqref>
        </x14:conditionalFormatting>
        <x14:conditionalFormatting xmlns:xm="http://schemas.microsoft.com/office/excel/2006/main">
          <x14:cfRule type="expression" priority="12073" id="{2BF88752-7CC7-4AF9-B408-DEDA1DC3C0AC}">
            <xm:f>AND(LEFT(PA!$F$13)="P",PA!$AO$4&gt;2)</xm:f>
            <x14:dxf>
              <border>
                <bottom/>
                <vertical/>
                <horizontal/>
              </border>
            </x14:dxf>
          </x14:cfRule>
          <xm:sqref>AP20 AP22</xm:sqref>
        </x14:conditionalFormatting>
        <x14:conditionalFormatting xmlns:xm="http://schemas.microsoft.com/office/excel/2006/main">
          <x14:cfRule type="expression" priority="12075" id="{44123869-8A85-426F-9164-BE0DE91BB2DF}">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2076" id="{78FE1914-DB72-4AA4-A71A-78B1E2E9FDFF}">
            <xm:f>AND(LEFT(PA!$F$13)="P",PA!$AO$4&gt;2)</xm:f>
            <x14:dxf>
              <border>
                <top/>
                <vertical/>
                <horizontal/>
              </border>
            </x14:dxf>
          </x14:cfRule>
          <xm:sqref>AP21 AP23</xm:sqref>
        </x14:conditionalFormatting>
        <x14:conditionalFormatting xmlns:xm="http://schemas.microsoft.com/office/excel/2006/main">
          <x14:cfRule type="expression" priority="12095" id="{A7E60FE3-875A-43DE-85B9-7FDA140ED151}">
            <xm:f>AND(LEFT(PA!$F$13)="P",PA!$AO$4&gt;2)</xm:f>
            <x14:dxf>
              <fill>
                <patternFill>
                  <bgColor theme="1"/>
                </patternFill>
              </fill>
            </x14:dxf>
          </x14:cfRule>
          <xm:sqref>AP24</xm:sqref>
        </x14:conditionalFormatting>
        <x14:conditionalFormatting xmlns:xm="http://schemas.microsoft.com/office/excel/2006/main">
          <x14:cfRule type="expression" priority="12078" id="{A3AA9095-A936-44B4-8A7B-6150BCE7F90D}">
            <xm:f>AND(LEFT(PA!$F$13)="P",PA!$AO$4&gt;2,COUNT(PA!$A$6:$A$11)&gt;3)</xm:f>
            <x14:dxf>
              <border>
                <bottom/>
                <vertical/>
                <horizontal/>
              </border>
            </x14:dxf>
          </x14:cfRule>
          <xm:sqref>AP25 AP27</xm:sqref>
        </x14:conditionalFormatting>
        <x14:conditionalFormatting xmlns:xm="http://schemas.microsoft.com/office/excel/2006/main">
          <x14:cfRule type="expression" priority="12080" id="{FC17D5AE-7DA3-4FC1-B36F-75ECCBD3666C}">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2081" id="{968D537B-DB56-498F-A370-100ABC066A5E}">
            <xm:f>AND(LEFT(PA!$F$13)="P",PA!$AO$4&gt;2,COUNT(PA!$A$6:$A$11)&gt;3)</xm:f>
            <x14:dxf>
              <border>
                <top/>
                <vertical/>
                <horizontal/>
              </border>
            </x14:dxf>
          </x14:cfRule>
          <xm:sqref>AP26 AP28</xm:sqref>
        </x14:conditionalFormatting>
        <x14:conditionalFormatting xmlns:xm="http://schemas.microsoft.com/office/excel/2006/main">
          <x14:cfRule type="expression" priority="12096" id="{FBF2388B-75B9-4D78-9625-C1A86A6FC002}">
            <xm:f>AND(LEFT(PA!$F$13)="P",PA!$AO$4&gt;2,COUNT(PA!$A$6:$A$11)&gt;3)</xm:f>
            <x14:dxf>
              <fill>
                <patternFill>
                  <bgColor theme="1"/>
                </patternFill>
              </fill>
            </x14:dxf>
          </x14:cfRule>
          <xm:sqref>AP29</xm:sqref>
        </x14:conditionalFormatting>
        <x14:conditionalFormatting xmlns:xm="http://schemas.microsoft.com/office/excel/2006/main">
          <x14:cfRule type="expression" priority="12083" id="{E853D03D-D0DB-46E4-9F5D-2462FD043A84}">
            <xm:f>AND(LEFT(PA!$F$13)="P",PA!$AO$4&gt;2,COUNT(PA!$A$6:$A$11)&gt;4)</xm:f>
            <x14:dxf>
              <border>
                <bottom/>
                <vertical/>
                <horizontal/>
              </border>
            </x14:dxf>
          </x14:cfRule>
          <xm:sqref>AP30 AP32</xm:sqref>
        </x14:conditionalFormatting>
        <x14:conditionalFormatting xmlns:xm="http://schemas.microsoft.com/office/excel/2006/main">
          <x14:cfRule type="expression" priority="12085" id="{42D9FF0D-414C-43C7-B1E5-3EA241C3A363}">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2086" id="{20B1CD78-2B2B-4864-8EE6-31805B3131E0}">
            <xm:f>AND(LEFT(PA!$F$13)="P",PA!$AO$4&gt;2,COUNT(PA!$A$6:$A$11)&gt;4)</xm:f>
            <x14:dxf>
              <border>
                <top/>
                <vertical/>
                <horizontal/>
              </border>
            </x14:dxf>
          </x14:cfRule>
          <xm:sqref>AP31 AP33</xm:sqref>
        </x14:conditionalFormatting>
        <x14:conditionalFormatting xmlns:xm="http://schemas.microsoft.com/office/excel/2006/main">
          <x14:cfRule type="expression" priority="12097" id="{16D9DA02-31FD-4FA8-800B-FFC18DDB07CC}">
            <xm:f>AND(LEFT(PA!$F$13)="P",PA!$AO$4&gt;2,COUNT(PA!$A$6:$A$11)&gt;4)</xm:f>
            <x14:dxf>
              <fill>
                <patternFill>
                  <bgColor theme="1"/>
                </patternFill>
              </fill>
            </x14:dxf>
          </x14:cfRule>
          <xm:sqref>AP34</xm:sqref>
        </x14:conditionalFormatting>
        <x14:conditionalFormatting xmlns:xm="http://schemas.microsoft.com/office/excel/2006/main">
          <x14:cfRule type="expression" priority="12088" id="{DDE3A740-0B08-477A-B371-64513057C59A}">
            <xm:f>AND(LEFT(PA!$F$13)="P",PA!$AO$4&gt;2,COUNT(PA!$A$6:$A$11)&gt;5)</xm:f>
            <x14:dxf>
              <border>
                <bottom/>
                <vertical/>
                <horizontal/>
              </border>
            </x14:dxf>
          </x14:cfRule>
          <xm:sqref>AP35 AP37</xm:sqref>
        </x14:conditionalFormatting>
        <x14:conditionalFormatting xmlns:xm="http://schemas.microsoft.com/office/excel/2006/main">
          <x14:cfRule type="expression" priority="12090" id="{0FD35714-E66C-443E-ABFF-F1C2F78A883D}">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2091" id="{8D258D35-08A7-40F3-BF17-10F1314F6EDF}">
            <xm:f>AND(LEFT(PA!$F$13)="P",PA!$AO$4&gt;2,COUNT(PA!$A$6:$A$11)&gt;5)</xm:f>
            <x14:dxf>
              <border>
                <top/>
                <vertical/>
                <horizontal/>
              </border>
            </x14:dxf>
          </x14:cfRule>
          <xm:sqref>AP36 AP38</xm:sqref>
        </x14:conditionalFormatting>
        <x14:conditionalFormatting xmlns:xm="http://schemas.microsoft.com/office/excel/2006/main">
          <x14:cfRule type="expression" priority="13535" id="{ABDC571B-16C6-4E0C-B5A6-08650ABEF03B}">
            <xm:f>AND(LEFT(PK!$F$13)="P",PK!$AO$4&gt;1)</xm:f>
            <x14:dxf>
              <fill>
                <patternFill>
                  <bgColor theme="1"/>
                </patternFill>
              </fill>
            </x14:dxf>
          </x14:cfRule>
          <xm:sqref>AP9:AQ9 AQ10:AQ19</xm:sqref>
        </x14:conditionalFormatting>
        <x14:conditionalFormatting xmlns:xm="http://schemas.microsoft.com/office/excel/2006/main">
          <x14:cfRule type="expression" priority="13537" id="{0DE62CEE-0113-44D2-9A7B-3C0BE37E50C9}">
            <xm:f>AND(LEFT(PK!$F$13)="P",PK!$AO$4&gt;2)</xm:f>
            <x14:dxf>
              <fill>
                <patternFill>
                  <bgColor theme="1"/>
                </patternFill>
              </fill>
            </x14:dxf>
          </x14:cfRule>
          <xm:sqref>AQ20:AQ24</xm:sqref>
        </x14:conditionalFormatting>
        <x14:conditionalFormatting xmlns:xm="http://schemas.microsoft.com/office/excel/2006/main">
          <x14:cfRule type="expression" priority="13538" id="{3B179AA1-8BD1-4B5E-9432-BFD0DB4D43B9}">
            <xm:f>AND(LEFT(PK!$F$13)="P",PK!$AO$4&gt;2,COUNT(PK!$A$6:$A$11)&gt;3)</xm:f>
            <x14:dxf>
              <fill>
                <patternFill>
                  <bgColor theme="1"/>
                </patternFill>
              </fill>
            </x14:dxf>
          </x14:cfRule>
          <xm:sqref>AQ25:AQ29</xm:sqref>
        </x14:conditionalFormatting>
        <x14:conditionalFormatting xmlns:xm="http://schemas.microsoft.com/office/excel/2006/main">
          <x14:cfRule type="expression" priority="13539" id="{A20419ED-573D-452E-B186-946A3B922663}">
            <xm:f>AND(LEFT(PK!$F$13)="P",PK!$AO$4&gt;2,COUNT(PK!$A$6:$A$11)&gt;4)</xm:f>
            <x14:dxf>
              <fill>
                <patternFill>
                  <bgColor theme="1"/>
                </patternFill>
              </fill>
            </x14:dxf>
          </x14:cfRule>
          <xm:sqref>AQ30:AQ34</xm:sqref>
        </x14:conditionalFormatting>
        <x14:conditionalFormatting xmlns:xm="http://schemas.microsoft.com/office/excel/2006/main">
          <x14:cfRule type="expression" priority="13540" id="{24C687BA-AEAC-4A6F-BAE3-AF6210D69873}">
            <xm:f>AND(LEFT(PK!$F$13)="P",PK!$AO$4&gt;2,COUNT(PK!$A$6:$A$11)&gt;5)</xm:f>
            <x14:dxf>
              <fill>
                <patternFill>
                  <bgColor theme="1"/>
                </patternFill>
              </fill>
            </x14:dxf>
          </x14:cfRule>
          <xm:sqref>AQ35:AQ38 AP39:AQ39</xm:sqref>
        </x14:conditionalFormatting>
        <x14:conditionalFormatting xmlns:xm="http://schemas.microsoft.com/office/excel/2006/main">
          <x14:cfRule type="expression" priority="39" id="{B09795E9-EBAD-41A2-81C0-8E501EA42B10}">
            <xm:f>'GESTION DES JOUEURS'!$T$8&lt;2</xm:f>
            <x14:dxf>
              <font>
                <color theme="0" tint="-0.24994659260841701"/>
              </font>
              <fill>
                <patternFill>
                  <bgColor theme="0" tint="-0.24994659260841701"/>
                </patternFill>
              </fill>
            </x14:dxf>
          </x14:cfRule>
          <x14:cfRule type="expression" priority="40" id="{BEC9DB8A-F1CB-463C-B86C-3180D2D3C6A7}">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54AB36C2-CC06-4D7B-B93E-D3D53CE89EC9}">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43CE95E4-958B-432D-823A-D4876431C336}">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339D3695-29CA-4897-9211-3F4C0E5F137E}">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2A8CA6C5-1043-49CE-A45F-ADAB57D3CFBA}">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F9F3C1EE-E095-4490-8CF4-43E8FDC584D0}">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442416BE-4DB6-4099-A5EC-19AE0F3760D0}">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15673170-CAFE-477F-8B90-1C94B9B587EC}">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218C3EF0-15F3-473B-9F03-FACF02DC22F7}">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563A0B13-CC7C-418F-815B-F446E37FA535}">
            <xm:f>'GESTION DES JOUEURS'!$D$8="Finale"</xm:f>
            <x14:dxf>
              <font>
                <color theme="0" tint="-0.24994659260841701"/>
              </font>
              <fill>
                <patternFill>
                  <bgColor theme="0" tint="-0.24994659260841701"/>
                </patternFill>
              </fill>
            </x14:dxf>
          </x14:cfRule>
          <x14:cfRule type="expression" priority="25" id="{4C04A27A-45E2-41DC-B26C-420A358DDF14}">
            <xm:f>OR('GESTION DES JOUEURS'!$D$8="poules",'GESTION DES JOUEURS'!$D$8="Finale")</xm:f>
            <x14:dxf>
              <font>
                <color theme="0" tint="-0.24994659260841701"/>
              </font>
              <fill>
                <patternFill>
                  <fgColor auto="1"/>
                  <bgColor theme="0" tint="-0.24994659260841701"/>
                </patternFill>
              </fill>
            </x14:dxf>
          </x14:cfRule>
          <x14:cfRule type="expression" priority="24" id="{E9EA4DAF-18A1-40D2-8248-3DE5C8B0C9C4}">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EC1ED77F-D665-4316-9487-E2B4BA0D4D2F}">
            <xm:f>'GESTION DES JOUEURS'!$T$8=1</xm:f>
            <x14:dxf>
              <font>
                <color theme="0" tint="-0.24994659260841701"/>
              </font>
              <fill>
                <patternFill>
                  <bgColor theme="0" tint="-0.24994659260841701"/>
                </patternFill>
              </fill>
            </x14:dxf>
          </x14:cfRule>
          <x14:cfRule type="expression" priority="3" id="{D3F1342F-34F9-4104-B119-AE8731D520B1}">
            <xm:f>OR('GESTION DES JOUEURS'!$D$8="Poules",'GESTION DES JOUEURS'!$D$8="Finale",'GESTION DES JOUEURS'!$D$8="Tournoi")</xm:f>
            <x14:dxf>
              <font>
                <color theme="0" tint="-0.24994659260841701"/>
              </font>
              <fill>
                <patternFill>
                  <bgColor theme="0" tint="-0.24994659260841701"/>
                </patternFill>
              </fill>
            </x14:dxf>
          </x14:cfRule>
          <x14:cfRule type="expression" priority="2" id="{C6F92F03-2384-4381-8A8A-5F9596F495E8}">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99F6B0CA-CA9F-40D2-BFFB-C4CD294CF728}">
            <xm:f>'GESTION DES JOUEURS'!$T$8=1</xm:f>
            <x14:dxf>
              <font>
                <color theme="0" tint="-0.24994659260841701"/>
              </font>
              <fill>
                <patternFill>
                  <bgColor theme="0" tint="-0.24994659260841701"/>
                </patternFill>
              </fill>
            </x14:dxf>
          </x14:cfRule>
          <x14:cfRule type="expression" priority="53" id="{E018BFBB-E2BB-4C3C-9294-2895D4F5F755}">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A9DC0-FB41-4C0E-9092-1562CADBEB1E}">
  <sheetPr>
    <tabColor rgb="FF91C36F"/>
  </sheetPr>
  <dimension ref="A1:CL70"/>
  <sheetViews>
    <sheetView topLeftCell="O1" zoomScale="115" zoomScaleNormal="115" workbookViewId="0">
      <selection activeCell="AA2" sqref="AA2"/>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8.7109375" style="244" bestFit="1"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1048" t="str">
        <f>'GESTION DES JOUEURS'!M33</f>
        <v>Poule L</v>
      </c>
      <c r="C2" s="1049"/>
      <c r="D2" s="1049"/>
      <c r="E2" s="1049"/>
      <c r="F2" s="1049"/>
      <c r="G2" s="1049"/>
      <c r="H2" s="1049"/>
      <c r="I2" s="1049"/>
      <c r="J2" s="1049"/>
      <c r="K2" s="1049"/>
      <c r="L2" s="1049"/>
      <c r="M2" s="1049"/>
      <c r="N2" s="1049"/>
      <c r="O2" s="1049"/>
      <c r="P2" s="1049"/>
      <c r="Q2" s="1049"/>
      <c r="R2" s="1049"/>
      <c r="S2" s="1049"/>
      <c r="T2" s="1049"/>
      <c r="U2" s="1049"/>
      <c r="V2" s="1049"/>
      <c r="W2" s="1049"/>
      <c r="X2" s="1050"/>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0</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
      </c>
      <c r="BS5" s="900"/>
      <c r="BT5" s="900"/>
      <c r="BU5" s="285" t="str">
        <f>IF(MAX(C18:C32)=COUNTIF(A18:A32,"P"),"X","")</f>
        <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t="str">
        <f t="shared" ref="A6:A11" si="0">IF(B6&lt;&gt;"",A5+1,"")</f>
        <v/>
      </c>
      <c r="B6" s="357" t="str">
        <f>IFERROR(VLOOKUP("L1",'GESTION DES JOUEURS'!$AG$11:$AI$46,3,FALSE),"")</f>
        <v/>
      </c>
      <c r="C6" s="938" t="str">
        <f>IFERROR(IF(B6="","",_xlfn.XLOOKUP(B6,'LICENCES 2025'!A:A,'LICENCES 2025'!G:G," ",0,1)),"")</f>
        <v/>
      </c>
      <c r="D6" s="939"/>
      <c r="E6" s="940" t="str">
        <f>IFERROR(IF(B6="","",_xlfn.XLOOKUP(B6,'LICENCES 2025'!A:A,'LICENCES 2025'!F:F,"",0,1)),"")</f>
        <v/>
      </c>
      <c r="F6" s="940"/>
      <c r="G6" s="941" t="str">
        <f>IFERROR(IF(B6="","",_xlfn.XLOOKUP(B6,'LICENCES 2025'!A:A,'LICENCES 2025'!E:E,"",0,1)),"")</f>
        <v/>
      </c>
      <c r="H6" s="942"/>
      <c r="I6" s="358" t="str">
        <f>_xlfn.XLOOKUP(B6,Tableau19[Licence],Tableau19[Clt],"",0,1)</f>
        <v/>
      </c>
      <c r="J6" s="256" t="str">
        <f>_xlfn.XLOOKUP(B6,Tableau19[Licence],Tableau19[Moy Gén],"",0,1)</f>
        <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
      </c>
      <c r="L6" s="257" t="str">
        <f t="shared" ref="L6:L11" si="1">IF(A6="","",IF(AO6=1,0,COUNTIF($AQ$6:$AQ$11,AQ6)))</f>
        <v/>
      </c>
      <c r="M6" s="385" t="str">
        <f t="shared" ref="M6:M11" si="2">_xlfn.SINGLE(_xlfn.XLOOKUP($AO$4,$AV$4:$BA$4,AV6:BA6,"",0,1))</f>
        <v/>
      </c>
      <c r="N6" s="250" t="str">
        <f>IFERROR(IF(VLOOKUP(B6,Tableau19[],10,FALSE)=TRUE,"F",""),"")</f>
        <v/>
      </c>
      <c r="O6" s="251"/>
      <c r="P6" s="101">
        <f t="shared" ref="P6:P11" si="3">IFERROR(SUM(SUMIFS($N$18:$N$32,$G$18:$G$32,A6,$A$18:$A$32,"P"),SUMIFS($P$18:$P$32,$V$18:$V$32,A6,$A$18:$A$32,"P")),"")</f>
        <v>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0</v>
      </c>
      <c r="R6" s="38"/>
      <c r="S6" s="39" t="str">
        <f t="shared" ref="S6:S11" si="4">IFERROR(IF(Q6=0,"",MAX(_xlfn.MAXIFS($M$18:$M$32,$G$18:$G$32,A6,$A$18:$A$32,"P",$N$18:$N$32,"&lt;&gt;"&amp;"Ab."),_xlfn.MAXIFS($Q$18:$Q$32,$V$18:$V$32,A6,$A$18:$A$32,"P",$P$18:$P$32,"&lt;&gt;"&amp;"Ab."))),"")</f>
        <v/>
      </c>
      <c r="T6" s="102" t="str">
        <f t="shared" ref="T6:T11" si="5">IFERROR(P6/Q6,"")</f>
        <v/>
      </c>
      <c r="U6" s="102" t="str">
        <f t="shared" ref="U6:U11" si="6">IFERROR(IF(Q6=0,"",IF(MAX(_xlfn.MAXIFS($E$18:$E$32,$G$18:$G$32,A6,$A$18:$A$32,"P"),_xlfn.MAXIFS($W$18:$W$32,$V$18:$V$32,A6,$A$18:$A$32,"P"))=0,"/",MAX(_xlfn.MAXIFS($E$18:$E$32,$G$18:$G$32,A6,$A$18:$A$32,"P"),_xlfn.MAXIFS($W$18:$W$32,$V$18:$V$32,A6,$A$18:$A$32,"P")))),"")</f>
        <v/>
      </c>
      <c r="V6" s="112" t="str">
        <f t="shared" ref="V6:V11" si="7">IFERROR(IF(Q6=0,"",SUM(SUMIFS($D$18:$D$32,$G$18:$G$32,A6,$A$18:$A$32,"P"),SUMIFS($X$18:$X$32,$V$18:$V$32,A6,$A$18:$A$32,"P"))),"")</f>
        <v/>
      </c>
      <c r="W6" s="37" t="str">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JOUEURS'!$Y$8="R",PouleATerminée="X"),_xlfn.XLOOKUP(($AO$4&amp;_xlfn.XLOOKUP(B6,$B$37:$B$42,$Q$37:$Q$42,"",0,1)&amp;_xlfn.XLOOKUP(B6,$B$37:$B$42,PL!$AE$37:$AE$42,"",0,1)),PTSRKPOULES[Colonne1],PTSRKPOULES[PR 3B],"",0,1),IF(AND('GESTION DES JOUEURS'!$D$8="Poules",'GESTION DES JOUEURS'!$Y$8="JDSR",PouleATerminée="X"),_xlfn.XLOOKUP($AO$4&amp;_xlfn.XLOOKUP(B6,$B$37:$B$42,$Q$37:$Q$42,"",0,1)&amp;_xlfn.XLOOKUP(B6,$B$37:$B$42,PL!$AE$37:$AE$42,"",0,1),PTSRKPOULES[Colonne1],PTSRKPOULES[PR JDS],"",0,1),""))))</f>
        <v/>
      </c>
      <c r="X6" s="40" t="str">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
      </c>
      <c r="AR6" s="807"/>
      <c r="AS6" s="310" t="str">
        <f t="shared" ref="AS6:AS11" si="10">IF(LEFT($B$15)="3",TEXT(J6,"0,000"),TEXT(J6,"0,00"))</f>
        <v/>
      </c>
      <c r="AT6" s="308">
        <f t="shared" ref="AT6:AT11" si="11">IF(AO6=1,AT5,AT5+1)</f>
        <v>1</v>
      </c>
      <c r="AU6" s="308" t="str">
        <f t="shared" ref="AU6:AU11" si="12">IF(OR(A6="",AO6=1),"",AT6)</f>
        <v/>
      </c>
      <c r="AV6" s="308" t="str">
        <f t="shared" ref="AV6:AV11" si="13">IF(AU6=1,1,"")</f>
        <v/>
      </c>
      <c r="AW6" s="308" t="str">
        <f>AU6</f>
        <v/>
      </c>
      <c r="AX6" s="309" t="str">
        <f t="shared" ref="AX6:AX11" si="14">_xlfn.XLOOKUP(AU6,$BC$69:$BE$69,$BC$70:$BE$70,"",0,1)</f>
        <v/>
      </c>
      <c r="AY6" s="309" t="str">
        <f t="shared" ref="AY6:AY11" si="15">_xlfn.XLOOKUP(AU6,$BC$57:$BF$57,$BC$58:$BF$58,"",0,1)</f>
        <v/>
      </c>
      <c r="AZ6" s="309" t="str">
        <f t="shared" ref="AZ6:AZ11" si="16">_xlfn.XLOOKUP(AU6,$BC$44:$BG$44,$BC$45:$BG$45,"",0,1)</f>
        <v/>
      </c>
      <c r="BA6" s="309" t="str">
        <f t="shared" ref="BA6:BA11" si="17">_xlfn.XLOOKUP(AU6,$BC$30:$BH$30,$BC$31:$BH$31,"",0,1)</f>
        <v/>
      </c>
      <c r="BD6" s="327">
        <v>1</v>
      </c>
      <c r="BE6" s="327"/>
      <c r="BF6" s="327"/>
      <c r="BG6" s="327"/>
      <c r="BH6" s="327"/>
      <c r="BI6" s="327"/>
      <c r="BJ6" s="327">
        <f t="shared" ref="BJ6:BJ11" si="18">COUNT(BD6:BI6)</f>
        <v>1</v>
      </c>
      <c r="BK6" s="244" t="str" cm="1">
        <f t="array" ref="BK6:BK11">_xlfn.SORTBY(AQ6:AQ11,AU6:AU11,1)</f>
        <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t="str">
        <f t="shared" si="0"/>
        <v/>
      </c>
      <c r="B7" s="41" t="str">
        <f>IFERROR(VLOOKUP("L2",'GESTION DES JOUEURS'!$AG$11:$AI$46,3,FALSE),"")</f>
        <v/>
      </c>
      <c r="C7" s="766" t="str">
        <f>IFERROR(IF(B7="","",_xlfn.XLOOKUP(B7,'LICENCES 2025'!A:A,'LICENCES 2025'!G:G," ",0,1)),"")</f>
        <v/>
      </c>
      <c r="D7" s="767"/>
      <c r="E7" s="728" t="str">
        <f>IFERROR(IF(B7="","",_xlfn.XLOOKUP(B7,'LICENCES 2025'!A:A,'LICENCES 2025'!F:F,"",0,1)),"")</f>
        <v/>
      </c>
      <c r="F7" s="728"/>
      <c r="G7" s="802" t="str">
        <f>IFERROR(IF(B7="","",_xlfn.XLOOKUP(B7,'LICENCES 2025'!A:A,'LICENCES 2025'!E:E,"",0,1)),"")</f>
        <v/>
      </c>
      <c r="H7" s="803"/>
      <c r="I7" s="356" t="str">
        <f>_xlfn.XLOOKUP(B7,Tableau19[Licence],Tableau19[Clt],"",0,1)</f>
        <v/>
      </c>
      <c r="J7" s="258" t="str">
        <f>_xlfn.XLOOKUP(B7,Tableau19[Licence],Tableau19[Moy Gén],"",0,1)</f>
        <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
      </c>
      <c r="L7" s="259" t="str">
        <f t="shared" si="1"/>
        <v/>
      </c>
      <c r="M7" s="386" t="str">
        <f t="shared" si="2"/>
        <v/>
      </c>
      <c r="N7" s="252" t="str">
        <f>IFERROR(IF(VLOOKUP(B7,Tableau19[],10,FALSE)=TRUE,"F",""),"")</f>
        <v/>
      </c>
      <c r="O7" s="253"/>
      <c r="P7" s="103">
        <f t="shared" si="3"/>
        <v>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0</v>
      </c>
      <c r="R7" s="42"/>
      <c r="S7" s="43" t="str">
        <f t="shared" si="4"/>
        <v/>
      </c>
      <c r="T7" s="104" t="str">
        <f t="shared" si="5"/>
        <v/>
      </c>
      <c r="U7" s="104" t="str">
        <f t="shared" si="6"/>
        <v/>
      </c>
      <c r="V7" s="116" t="str">
        <f t="shared" si="7"/>
        <v/>
      </c>
      <c r="W7" s="41" t="str">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JOUEURS'!$Y$8="R",PouleATerminée="X"),_xlfn.XLOOKUP(($AO$4&amp;_xlfn.XLOOKUP(B7,$B$37:$B$42,$Q$37:$Q$42,"",0,1)&amp;_xlfn.XLOOKUP(B7,$B$37:$B$42,PL!$AE$37:$AE$42,"",0,1)),PTSRKPOULES[Colonne1],PTSRKPOULES[PR 3B],"",0,1),IF(AND('GESTION DES JOUEURS'!$D$8="Poules",'GESTION DES JOUEURS'!$Y$8="JDSR",PouleATerminée="X"),_xlfn.XLOOKUP($AO$4&amp;_xlfn.XLOOKUP(B7,$B$37:$B$42,$Q$37:$Q$42,"",0,1)&amp;_xlfn.XLOOKUP(B7,$B$37:$B$42,PL!$AE$37:$AE$42,"",0,1),PTSRKPOULES[Colonne1],PTSRKPOULES[PR JDS],"",0,1),""))))</f>
        <v/>
      </c>
      <c r="X7" s="44" t="str">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
      </c>
      <c r="Y7" s="371" t="str">
        <f>IF(AND('GESTION DES JOUEURS'!$D$8="Open",B7&lt;&gt;""),AE7,"")</f>
        <v/>
      </c>
      <c r="AA7" s="901" t="s">
        <v>8129</v>
      </c>
      <c r="AD7" s="554" t="str" cm="1">
        <f t="array" ref="AD7">_xlfn.XLOOKUP(B7,Tableau19[Licence],'GESTION DES JOUEURS'!$O$11:$O$46,"",0,1)</f>
        <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
      </c>
      <c r="AR7" s="807"/>
      <c r="AS7" s="310" t="str">
        <f t="shared" si="10"/>
        <v/>
      </c>
      <c r="AT7" s="308">
        <f t="shared" si="11"/>
        <v>2</v>
      </c>
      <c r="AU7" s="308" t="str">
        <f t="shared" si="12"/>
        <v/>
      </c>
      <c r="AV7" s="308" t="str">
        <f t="shared" si="13"/>
        <v/>
      </c>
      <c r="AW7" s="308" t="str">
        <f>AU7</f>
        <v/>
      </c>
      <c r="AX7" s="309" t="str">
        <f t="shared" si="14"/>
        <v/>
      </c>
      <c r="AY7" s="309" t="str">
        <f t="shared" si="15"/>
        <v/>
      </c>
      <c r="AZ7" s="309" t="str">
        <f t="shared" si="16"/>
        <v/>
      </c>
      <c r="BA7" s="309" t="str">
        <f t="shared" si="17"/>
        <v/>
      </c>
      <c r="BD7" s="327" t="str">
        <f>IF(BK7=BK6,A7)</f>
        <v/>
      </c>
      <c r="BE7" s="327">
        <v>2</v>
      </c>
      <c r="BF7" s="327"/>
      <c r="BG7" s="327"/>
      <c r="BH7" s="327"/>
      <c r="BI7" s="327"/>
      <c r="BJ7" s="327">
        <f t="shared" si="18"/>
        <v>1</v>
      </c>
      <c r="BK7" s="244" t="str">
        <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IFERROR(VLOOKUP("L3",'GESTION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JOUEURS'!$Y$8="R",PouleATerminée="X"),_xlfn.XLOOKUP(($AO$4&amp;_xlfn.XLOOKUP(B8,$B$37:$B$42,$Q$37:$Q$42,"",0,1)&amp;_xlfn.XLOOKUP(B8,$B$37:$B$42,PL!$AE$37:$AE$42,"",0,1)),PTSRKPOULES[Colonne1],PTSRKPOULES[PR 3B],"",0,1),IF(AND('GESTION DES JOUEURS'!$D$8="Poules",'GESTION DES JOUEURS'!$Y$8="JDSR",PouleATerminée="X"),_xlfn.XLOOKUP($AO$4&amp;_xlfn.XLOOKUP(B8,$B$37:$B$42,$Q$37:$Q$42,"",0,1)&amp;_xlfn.XLOOKUP(B8,$B$37:$B$42,PL!$AE$37:$AE$42,"",0,1),PTSRKPOULES[Colonne1],PTSRKPOULES[PR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str">
        <f>IF(BK8=BK6,A8)</f>
        <v/>
      </c>
      <c r="BE8" s="327" t="str">
        <f>IF(BK8=BK7,A8)</f>
        <v/>
      </c>
      <c r="BF8" s="327">
        <v>3</v>
      </c>
      <c r="BG8" s="327"/>
      <c r="BH8" s="327"/>
      <c r="BI8" s="327"/>
      <c r="BJ8" s="327">
        <f t="shared" si="18"/>
        <v>1</v>
      </c>
      <c r="BK8" s="244" t="str">
        <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IFERROR(VLOOKUP("L4",'GESTION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JOUEURS'!$Y$8="R",PouleATerminée="X"),_xlfn.XLOOKUP(($AO$4&amp;_xlfn.XLOOKUP(B9,$B$37:$B$42,$Q$37:$Q$42,"",0,1)&amp;_xlfn.XLOOKUP(B9,$B$37:$B$42,PL!$AE$37:$AE$42,"",0,1)),PTSRKPOULES[Colonne1],PTSRKPOULES[PR 3B],"",0,1),IF(AND('GESTION DES JOUEURS'!$D$8="Poules",'GESTION DES JOUEURS'!$Y$8="JDSR",PouleATerminée="X"),_xlfn.XLOOKUP($AO$4&amp;_xlfn.XLOOKUP(B9,$B$37:$B$42,$Q$37:$Q$42,"",0,1)&amp;_xlfn.XLOOKUP(B9,$B$37:$B$42,PL!$AE$37:$AE$42,"",0,1),PTSRKPOULES[Colonne1],PTSRKPOULES[PR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str">
        <f>IF(BK9=BK6,A9)</f>
        <v/>
      </c>
      <c r="BE9" s="327" t="str">
        <f>IF(BK9=BK7,A9)</f>
        <v/>
      </c>
      <c r="BF9" s="327" t="str">
        <f>IF(BK9=BK8,A9)</f>
        <v/>
      </c>
      <c r="BG9" s="327">
        <v>4</v>
      </c>
      <c r="BH9" s="327"/>
      <c r="BI9" s="327"/>
      <c r="BJ9" s="327">
        <f t="shared" si="18"/>
        <v>1</v>
      </c>
      <c r="BK9" s="244" t="str">
        <v/>
      </c>
      <c r="BV9" s="292" t="s">
        <v>5469</v>
      </c>
      <c r="BW9" s="223" cm="1">
        <f t="array" ref="BW9">_xlfn.XLOOKUP(A6&amp;A8,G18:G32&amp;V18:V32,N18:N32,_xlfn.XLOOKUP(A8&amp;A6,G18:G32&amp;V18:V32,P18:P32,"",0,1),0,1)</f>
        <v>0</v>
      </c>
      <c r="BX9" s="223" cm="1">
        <f t="array" ref="BX9">_xlfn.XLOOKUP(A6&amp;A8,G18:G32&amp;V18:V32,P18:P32,_xlfn.XLOOKUP(A8&amp;A6,G18:G32&amp;V18:V32,N18:N32,"",0,1),0,1)</f>
        <v>0</v>
      </c>
      <c r="BY9" s="223" cm="1">
        <f t="array" ref="BY9">_xlfn.XLOOKUP(A6&amp;A8,$G$18:$G$32&amp;$V$18:$V$32,$M$18:$M$32,"",0,1)</f>
        <v>0</v>
      </c>
      <c r="BZ9" s="223" cm="1">
        <f t="array" ref="BZ9">_xlfn.XLOOKUP(A6&amp;A8,$G$18:$G$32&amp;$V$18:$V$32,$Q$18:$Q$32,"",0,1)</f>
        <v>0</v>
      </c>
      <c r="CA9" s="223" cm="1">
        <f t="array" ref="CA9">_xlfn.XLOOKUP(A6&amp;A8,G18:G32&amp;V18:V32,O18:O32,_xlfn.XLOOKUP(A8&amp;A6,G18:G32&amp;V18:V32,O18:O32,"",0,1),0,1)</f>
        <v>0</v>
      </c>
      <c r="CB9" s="293" t="str" cm="1">
        <f t="array" ref="CB9">_xlfn.XLOOKUP(A6&amp;A8,G18:G32&amp;V18:V32,A18:A32,"",0,1)</f>
        <v/>
      </c>
      <c r="CC9" s="237">
        <f>IF(COUNTBLANK($AO$6:$AO$11)=2,SUM(BW9,BX20),IF(BW9="",BX20,BW9))</f>
        <v>0</v>
      </c>
      <c r="CD9" s="223">
        <f>IF(CC9="Ab.","",IF(BY9="",BZ20,BY9))</f>
        <v>0</v>
      </c>
      <c r="CE9" s="223">
        <f t="shared" si="20"/>
        <v>0</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IFERROR(VLOOKUP("L5",'GESTION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JOUEURS'!$Y$8="R",PouleATerminée="X"),_xlfn.XLOOKUP(($AO$4&amp;_xlfn.XLOOKUP(B10,$B$37:$B$42,$Q$37:$Q$42,"",0,1)&amp;_xlfn.XLOOKUP(B10,$B$37:$B$42,PL!$AE$37:$AE$42,"",0,1)),PTSRKPOULES[Colonne1],PTSRKPOULES[PR 3B],"",0,1),IF(AND('GESTION DES JOUEURS'!$D$8="Poules",'GESTION DES JOUEURS'!$Y$8="JDSR",PouleATerminée="X"),_xlfn.XLOOKUP($AO$4&amp;_xlfn.XLOOKUP(B10,$B$37:$B$42,$Q$37:$Q$42,"",0,1)&amp;_xlfn.XLOOKUP(B10,$B$37:$B$42,PL!$AE$37:$AE$42,"",0,1),PTSRKPOULES[Colonne1],PTSRKPOULES[PR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str">
        <f>IF(BK10=BK6,A10)</f>
        <v/>
      </c>
      <c r="BE10" s="327" t="str">
        <f>IF(BK10=BK7,A10)</f>
        <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0</v>
      </c>
      <c r="BX10" s="297" cm="1">
        <f t="array" ref="BX10">_xlfn.XLOOKUP(A6&amp;A7,G18:G32&amp;V18:V32,P18:P32,_xlfn.XLOOKUP(A7&amp;A6,G18:G32&amp;V18:V32,N18:N32,"",0,1),0,1)</f>
        <v>0</v>
      </c>
      <c r="BY10" s="297" cm="1">
        <f t="array" ref="BY10">_xlfn.XLOOKUP(A6&amp;A7,$G$18:$G$32&amp;$V$18:$V$32,$M$18:$M$32,"",0,1)</f>
        <v>0</v>
      </c>
      <c r="BZ10" s="297" cm="1">
        <f t="array" ref="BZ10">_xlfn.XLOOKUP(A6&amp;A7,$G$18:$G$32&amp;$V$18:$V$32,$Q$18:$Q$32,"",0,1)</f>
        <v>0</v>
      </c>
      <c r="CA10" s="297" cm="1">
        <f t="array" ref="CA10">_xlfn.XLOOKUP(A6&amp;A7,G18:G32&amp;V18:V32,O18:O32,_xlfn.XLOOKUP(A7&amp;A6,G18:G32&amp;V18:V32,O18:O32,"",0,1),0,1)</f>
        <v>0</v>
      </c>
      <c r="CB10" s="298" t="str" cm="1">
        <f t="array" ref="CB10">_xlfn.XLOOKUP(A6&amp;A7,G18:G32&amp;V18:V32,A18:A32,"",0,1)</f>
        <v/>
      </c>
      <c r="CC10" s="299">
        <f>IF(COUNTBLANK($AO$6:$AO$11)=2,SUM(BW10,BX15),IF(BW10="",BX15,BW10))</f>
        <v>0</v>
      </c>
      <c r="CD10" s="297">
        <f>IF(CC10="Ab.","",IF(BY10="",BZ15,BY10))</f>
        <v>0</v>
      </c>
      <c r="CE10" s="297">
        <f t="shared" si="20"/>
        <v>0</v>
      </c>
      <c r="CF10" s="300" t="str">
        <f>IF(CB10="",CB15,CB10)</f>
        <v/>
      </c>
      <c r="CG10" s="301" t="str" cm="1">
        <f t="array" ref="CG10">_xlfn.XLOOKUP(BV10,$G$18:$G$32&amp;"-"&amp;$V$18:$V$32,$D$18:$D$32,_xlfn.XLOOKUP(BV15,$G$18:$G$32&amp;"-"&amp;$V$18:$V$32,$X$18:$X$32,"",0,1),0,1)</f>
        <v/>
      </c>
      <c r="CH10" s="302" t="str" cm="1">
        <f t="array" ref="CH10">_xlfn.XLOOKUP(BV10,$G$18:$G$32&amp;"-"&amp;$V$18:$V$32,$AS$18:$AS$32,_xlfn.XLOOKUP(BV15,$G$18:$G$32&amp;"-"&amp;$V$18:$V$32,$AT$18:$AT$32,"",0,1),0,1)</f>
        <v/>
      </c>
      <c r="CI10" s="819"/>
      <c r="CJ10" s="822"/>
      <c r="CK10" s="557">
        <f t="shared" si="21"/>
        <v>2</v>
      </c>
      <c r="CL10" s="557" t="str">
        <f t="shared" si="19"/>
        <v/>
      </c>
    </row>
    <row r="11" spans="1:90" ht="15" customHeight="1" thickBot="1" x14ac:dyDescent="0.3">
      <c r="A11" s="365" t="str">
        <f t="shared" si="0"/>
        <v/>
      </c>
      <c r="B11" s="45" t="str">
        <f>IFERROR(VLOOKUP("L6",'GESTION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JOUEURS'!$Y$8="R",PouleATerminée="X"),_xlfn.XLOOKUP(($AO$4&amp;_xlfn.XLOOKUP(B11,$B$37:$B$42,$Q$37:$Q$42,"",0,1)&amp;_xlfn.XLOOKUP(B11,$B$37:$B$42,PL!$AE$37:$AE$42,"",0,1)),PTSRKPOULES[Colonne1],PTSRKPOULES[PR 3B],"",0,1),IF(AND('GESTION DES JOUEURS'!$D$8="Poules",'GESTION DES JOUEURS'!$Y$8="JDSR",PouleATerminée="X"),_xlfn.XLOOKUP($AO$4&amp;_xlfn.XLOOKUP(B11,$B$37:$B$42,$Q$37:$Q$42,"",0,1)&amp;_xlfn.XLOOKUP(B11,$B$37:$B$42,PL!$AE$37:$AE$42,"",0,1),PTSRKPOULES[Colonne1],PTSRKPOULES[PR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str">
        <f>IF(BK11=BK6,A11)</f>
        <v/>
      </c>
      <c r="BE11" s="328" t="str">
        <f>IF(BK11=BK7,A11)</f>
        <v/>
      </c>
      <c r="BF11" s="328" t="str">
        <f>IF(BK11=BK8,A11)</f>
        <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IF(K13="Poule","L","")</f>
        <v>L</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0</v>
      </c>
      <c r="BX14" s="223" cm="1">
        <f t="array" ref="BX14">_xlfn.XLOOKUP(A7&amp;A8,G18:G32&amp;V18:V32,P18:P32,_xlfn.XLOOKUP(A8&amp;A7,G18:G32&amp;V18:V32,N18:N32,"",0,1),0,1)</f>
        <v>0</v>
      </c>
      <c r="BY14" s="223" cm="1">
        <f t="array" ref="BY14">_xlfn.XLOOKUP(A7&amp;A8,$G$18:$G$32&amp;$V$18:$V$32,$M$18:$M$32,"",0,1)</f>
        <v>0</v>
      </c>
      <c r="BZ14" s="223" cm="1">
        <f t="array" ref="BZ14">_xlfn.XLOOKUP(A7&amp;A8,$G$18:$G$32&amp;$V$18:$V$32,$Q$18:$Q$32,"",0,1)</f>
        <v>0</v>
      </c>
      <c r="CA14" s="223" cm="1">
        <f t="array" ref="CA14">_xlfn.XLOOKUP(A7&amp;A8,G18:G32&amp;V18:V32,O18:O32,_xlfn.XLOOKUP(A8&amp;A7,G18:G32&amp;V18:V32,O18:O32,"",0,1),0,1)</f>
        <v>0</v>
      </c>
      <c r="CB14" s="293" t="str" cm="1">
        <f t="array" ref="CB14">_xlfn.XLOOKUP(A7&amp;A8,G18:G32&amp;V18:V32,A18:A32,"",0,1)</f>
        <v/>
      </c>
      <c r="CC14" s="237">
        <f>IF(COUNTBLANK($AO$6:$AO$11)=2,SUM(BW14,BX19),IF(BW14="",BX19,BW14))</f>
        <v>0</v>
      </c>
      <c r="CD14" s="223">
        <f>IF(CC14="Ab.","",IF(BY14="",BZ19,BY14))</f>
        <v>0</v>
      </c>
      <c r="CE14" s="223">
        <f t="shared" si="20"/>
        <v>0</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0</v>
      </c>
      <c r="BX15" s="297" cm="1">
        <f t="array" ref="BX15">_xlfn.XLOOKUP(A7&amp;A6,G18:G32&amp;V18:V32,P18:P32,_xlfn.XLOOKUP(A6&amp;A7,G18:G32&amp;V18:V32,N18:N32,"",0,1),0,1)</f>
        <v>0</v>
      </c>
      <c r="BY15" s="297" cm="1">
        <f t="array" ref="BY15">_xlfn.XLOOKUP(A7&amp;A6,$G$18:$G$32&amp;$V$18:$V$32,$M$18:$M$32,"",0,1)</f>
        <v>0</v>
      </c>
      <c r="BZ15" s="297" cm="1">
        <f t="array" ref="BZ15">_xlfn.XLOOKUP(A7&amp;A6,$G$18:$G$32&amp;$V$18:$V$32,$Q$18:$Q$32,"",0,1)</f>
        <v>0</v>
      </c>
      <c r="CA15" s="297" cm="1">
        <f t="array" ref="CA15">_xlfn.XLOOKUP(A7&amp;A6,G18:G32&amp;V18:V32,O18:O32,_xlfn.XLOOKUP(A6&amp;A7,G18:G32&amp;V18:V32,O18:O32,"",0,1),0,1)</f>
        <v>0</v>
      </c>
      <c r="CB15" s="298" t="str" cm="1">
        <f t="array" ref="CB15">_xlfn.XLOOKUP(A7&amp;A6,G18:G32&amp;V18:V32,A18:A32,"",0,1)</f>
        <v/>
      </c>
      <c r="CC15" s="299">
        <f>IF(COUNTBLANK($AO$6:$AO$11)=2,SUM(BW15,BX10),IF(BW15="",BX10,BW15))</f>
        <v>0</v>
      </c>
      <c r="CD15" s="297">
        <f>IF(CC15="Ab.","",IF(BY15="",BZ10,BY15))</f>
        <v>0</v>
      </c>
      <c r="CE15" s="297">
        <f t="shared" si="20"/>
        <v>0</v>
      </c>
      <c r="CF15" s="300" t="str">
        <f>IF(CB15="",CB10,CB15)</f>
        <v/>
      </c>
      <c r="CG15" s="301" t="str" cm="1">
        <f t="array" ref="CG15">_xlfn.XLOOKUP(BV15,$G$18:$G$32&amp;"-"&amp;$V$18:$V$32,$D$18:$D$32,_xlfn.XLOOKUP(BV10,$G$18:$G$32&amp;"-"&amp;$V$18:$V$32,$X$18:$X$32,"",0,1),0,1)</f>
        <v/>
      </c>
      <c r="CH15" s="302" t="str" cm="1">
        <f t="array" ref="CH15">_xlfn.XLOOKUP(BV15,$G$18:$G$32&amp;"-"&amp;$V$18:$V$32,$AS$18:$AS$32,_xlfn.XLOOKUP(BV10,$G$18:$G$32&amp;"-"&amp;$V$18:$V$32,$AT$18:$AT$32,"",0,1),0,1)</f>
        <v/>
      </c>
      <c r="CI15" s="819"/>
      <c r="CJ15" s="822"/>
      <c r="CK15" s="557">
        <f t="shared" si="21"/>
        <v>1</v>
      </c>
      <c r="CL15" s="557" t="str">
        <f t="shared" si="19"/>
        <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
      </c>
      <c r="B18" s="52">
        <f>IF(AO4=5,"",1)</f>
        <v>1</v>
      </c>
      <c r="C18" s="94">
        <f t="shared" ref="C18:C32" si="24">IF(AR18=0,"",IF(B18="","",AR18))</f>
        <v>1</v>
      </c>
      <c r="D18" s="74" t="str">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
      </c>
      <c r="E18" s="109" t="str">
        <f>IFERROR(IF(AND(D18&gt;0,Y18=FALSE),N18/O18,IF(AND(D18&gt;0,Y18=TRUE),(N18/O18)*_xlfn.XLOOKUP('GESTION DES JOUEURS'!$X$8&amp;RIGHT('GESTION DES JOUEURS'!$Y$8,1),Tableau14[Colonne1],Tableau14[coef. 2,80/3,10],"",0,1),"")),"")</f>
        <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 xml:space="preserve"> </v>
      </c>
      <c r="G18" s="53" t="str">
        <f t="shared" ref="G18:G32" si="25">_xlfn.XLOOKUP(F18,$B$6:$B$11,$A$6:$A$11,"",0,1)</f>
        <v/>
      </c>
      <c r="H18" s="776" t="str">
        <f>IFERROR(VLOOKUP(F18,$B$6:$G$11,2,FALSE),"")</f>
        <v/>
      </c>
      <c r="I18" s="777"/>
      <c r="J18" s="777"/>
      <c r="K18" s="776" t="str">
        <f>IFERROR(VLOOKUP(F18,$B$6:$G$11,4,FALSE),"")</f>
        <v/>
      </c>
      <c r="L18" s="778"/>
      <c r="M18" s="76"/>
      <c r="N18" s="82"/>
      <c r="O18" s="110"/>
      <c r="P18" s="81"/>
      <c r="Q18" s="77"/>
      <c r="R18" s="768" t="str">
        <f t="shared" ref="R18:R32" si="26">IFERROR(VLOOKUP(U18,$B$6:$G$11,2,0),"")</f>
        <v/>
      </c>
      <c r="S18" s="769"/>
      <c r="T18" s="78" t="str">
        <f t="shared" ref="T18:T32" si="27">IFERROR(VLOOKUP(U18,$B$6:$G$11,4,0),"")</f>
        <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 xml:space="preserve"> </v>
      </c>
      <c r="V18" s="54" t="str">
        <f t="shared" ref="V18:V32" si="28">_xlfn.XLOOKUP(U18,$B$6:$B$11,$A$6:$A$11,"",0,1)</f>
        <v/>
      </c>
      <c r="W18" s="111" t="str">
        <f>IFERROR(IF(AND(X18&gt;0,Y18=FALSE),P18/O18,IF(AND(X18&gt;0,Y18=TRUE),(P18/O18)*_xlfn.XLOOKUP('GESTION DES JOUEURS'!$X$8&amp;RIGHT('GESTION DES JOUEURS'!$Y$8,1),Tableau14[Colonne1],Tableau14[coef. 2,80/3,10],"",0,1),"")),"")</f>
        <v/>
      </c>
      <c r="X18" s="55" t="str">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
      </c>
      <c r="Y18" s="677" t="b">
        <v>0</v>
      </c>
      <c r="AA18" s="906"/>
      <c r="AN18" s="244"/>
      <c r="AO18" s="248"/>
      <c r="AP18" s="325">
        <f>IF($O$4="m",_xlfn.XLOOKUP(F18,$B$6:$B$11,$O$6:$O$11,_xlfn.XLOOKUP(F18,$B$6:$B$11,$M$6:$M$11,0,0,1),0,1),_xlfn.XLOOKUP(F18,$B$6:$B$11,$M$6:$M$11,0,0,1))</f>
        <v>0</v>
      </c>
      <c r="AQ18" s="325">
        <f t="shared" ref="AQ18:AQ32" si="29">IF($O$4="m",_xlfn.XLOOKUP(U18,$B$6:$B$11,$O$6:$O$11,0,0,1),_xlfn.XLOOKUP(U18,$B$6:$B$11,$M$6:$M$11,0,0,1))</f>
        <v>0</v>
      </c>
      <c r="AR18" s="326">
        <f>IF(B18="",AH17,AH17+1)</f>
        <v>1</v>
      </c>
      <c r="AS18" s="313">
        <f>SUM(AU18,AW18)</f>
        <v>0</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t="str">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
      </c>
      <c r="AX18" s="315" t="str">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
      </c>
      <c r="AZ18" s="326">
        <v>2</v>
      </c>
      <c r="BB18" s="724"/>
      <c r="BC18" s="233" t="str">
        <v/>
      </c>
      <c r="BD18" s="155" t="str">
        <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 xml:space="preserve"> </v>
      </c>
      <c r="G19" s="57" t="str">
        <f t="shared" si="25"/>
        <v/>
      </c>
      <c r="H19" s="729" t="str">
        <f>IFERROR(VLOOKUP(F19,$B$6:$G$11,2,FALSE),"")</f>
        <v/>
      </c>
      <c r="I19" s="726"/>
      <c r="J19" s="730"/>
      <c r="K19" s="726" t="str">
        <f>IFERROR(VLOOKUP(F19,$B$6:$H$11,4,FALSE),"")</f>
        <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0</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str">
        <v/>
      </c>
      <c r="BD19" s="155" t="str">
        <v/>
      </c>
      <c r="BE19" s="155" t="str">
        <v/>
      </c>
      <c r="BF19" s="155" t="str">
        <v/>
      </c>
      <c r="BG19" s="155">
        <v>0</v>
      </c>
      <c r="BH19" s="155">
        <v>0</v>
      </c>
      <c r="BI19" s="157"/>
      <c r="BJ19" s="157"/>
      <c r="BK19" s="155">
        <v>3</v>
      </c>
      <c r="BL19" s="155">
        <f t="shared" si="23"/>
        <v>3</v>
      </c>
      <c r="BM19" s="161">
        <v>3</v>
      </c>
      <c r="BV19" s="292" t="s">
        <v>5479</v>
      </c>
      <c r="BW19" s="223" cm="1">
        <f t="array" ref="BW19">_xlfn.SINGLE(_xlfn.XLOOKUP(A8&amp;A7,G18:G32&amp;V18:V32,N18:N32,_xlfn.XLOOKUP(A7&amp;A8,G18:G32&amp;V18:V32,P18:P32,"",0,1),0,1))</f>
        <v>0</v>
      </c>
      <c r="BX19" s="223" cm="1">
        <f t="array" ref="BX19">_xlfn.XLOOKUP(A8&amp;A7,G18:G32&amp;V18:V32,P18:P32,_xlfn.XLOOKUP(A7&amp;A8,G18:G32&amp;V18:V32,N18:N32,"",0,1),0,1)</f>
        <v>0</v>
      </c>
      <c r="BY19" s="223" cm="1">
        <f t="array" ref="BY19">_xlfn.XLOOKUP(A8&amp;A7,$G$18:$G$32&amp;$V$18:$V$32,$M$18:$M$32,"",0,1)</f>
        <v>0</v>
      </c>
      <c r="BZ19" s="223" cm="1">
        <f t="array" ref="BZ19">_xlfn.XLOOKUP(A8&amp;A7,$G$18:$G$32&amp;$V$18:$V$32,$Q$18:$Q$32,"",0,1)</f>
        <v>0</v>
      </c>
      <c r="CA19" s="223" cm="1">
        <f t="array" ref="CA19">_xlfn.XLOOKUP(A8&amp;A7,G18:G32&amp;V18:V32,O18:O32,_xlfn.XLOOKUP(A7&amp;A8,G18:G32&amp;V18:V32,O18:O32,"",0,1),0,1)</f>
        <v>0</v>
      </c>
      <c r="CB19" s="293" t="str" cm="1">
        <f t="array" ref="CB19">_xlfn.XLOOKUP(A8&amp;A7,G18:G32&amp;V18:V32,A18:A32,"",0,1)</f>
        <v/>
      </c>
      <c r="CC19" s="237">
        <f>IF(COUNTBLANK($AO$6:$AO$11)=2,SUM(BW19,BX14),IF(BW19="",BX14,BW19))</f>
        <v>0</v>
      </c>
      <c r="CD19" s="223">
        <f>IF(CC19="Ab.","",IF(BY19="",BZ14,BY19))</f>
        <v>0</v>
      </c>
      <c r="CE19" s="223">
        <f t="shared" si="20"/>
        <v>0</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str">
        <f t="shared" si="19"/>
        <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1</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str">
        <v/>
      </c>
      <c r="BD20" s="155" t="str">
        <v/>
      </c>
      <c r="BE20" s="155" t="str">
        <v/>
      </c>
      <c r="BF20" s="155">
        <v>0</v>
      </c>
      <c r="BG20" s="155">
        <v>0</v>
      </c>
      <c r="BH20" s="155">
        <v>0</v>
      </c>
      <c r="BI20" s="157"/>
      <c r="BJ20" s="157"/>
      <c r="BK20" s="155">
        <v>4</v>
      </c>
      <c r="BL20" s="155">
        <f t="shared" si="23"/>
        <v>4</v>
      </c>
      <c r="BM20" s="161">
        <v>4</v>
      </c>
      <c r="BV20" s="296" t="s">
        <v>5480</v>
      </c>
      <c r="BW20" s="297" cm="1">
        <f t="array" ref="BW20">_xlfn.SINGLE(_xlfn.XLOOKUP(A8&amp;A6,G18:G32&amp;V18:V32,N18:N32,_xlfn.XLOOKUP(A6&amp;A8,G18:G32&amp;V18:V32,P18:P32,"",0,1),0,1))</f>
        <v>0</v>
      </c>
      <c r="BX20" s="297" cm="1">
        <f t="array" ref="BX20">_xlfn.XLOOKUP(A8&amp;A6,G18:G32&amp;V18:V32,P18:P32,_xlfn.XLOOKUP(A6&amp;A8,G18:G32&amp;V18:V32,N18:N32,"",0,1),0,1)</f>
        <v>0</v>
      </c>
      <c r="BY20" s="297" cm="1">
        <f t="array" ref="BY20">_xlfn.XLOOKUP(A8&amp;A6,$G$18:$G$32&amp;$V$18:$V$32,$M$18:$M$32,"",0,1)</f>
        <v>0</v>
      </c>
      <c r="BZ20" s="297" cm="1">
        <f t="array" ref="BZ20">_xlfn.XLOOKUP(A8&amp;A6,$G$18:$G$32&amp;$V$18:$V$32,$Q$18:$Q$32,"",0,1)</f>
        <v>0</v>
      </c>
      <c r="CA20" s="297" cm="1">
        <f t="array" ref="CA20">_xlfn.XLOOKUP(A8&amp;A6,G18:G32&amp;V18:V32,O18:O32,_xlfn.XLOOKUP(A6&amp;A8,G18:G32&amp;V18:V32,O18:O32,"",0,1),0,1)</f>
        <v>0</v>
      </c>
      <c r="CB20" s="298" t="str" cm="1">
        <f t="array" ref="CB20">_xlfn.XLOOKUP(A8&amp;A6,G18:G32&amp;V18:V32,A18:A32,"",0,1)</f>
        <v/>
      </c>
      <c r="CC20" s="299">
        <f>IF(COUNTBLANK($AO$6:$AO$11)=2,SUM(BW20,BX9),IF(BW20="",BX9,BW20))</f>
        <v>0</v>
      </c>
      <c r="CD20" s="297">
        <f>IF(CC20="Ab.","",IF(BY20="",BZ9,BY20))</f>
        <v>0</v>
      </c>
      <c r="CE20" s="297">
        <f t="shared" si="20"/>
        <v>0</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str">
        <f t="shared" si="19"/>
        <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1</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str">
        <v/>
      </c>
      <c r="BD21" s="155" t="str">
        <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1</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str">
        <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1</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1</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str">
        <f t="shared" si="19"/>
        <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1</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str">
        <f t="shared" si="19"/>
        <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1</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1</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1</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1</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str">
        <f t="shared" si="19"/>
        <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1</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str">
        <f t="shared" si="19"/>
        <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1</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1</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str">
        <v/>
      </c>
      <c r="BD34" s="168" t="str">
        <v/>
      </c>
      <c r="BE34" s="168" t="str">
        <v/>
      </c>
      <c r="BF34" s="168" t="str">
        <v/>
      </c>
      <c r="BG34" s="168">
        <v>0</v>
      </c>
      <c r="BH34" s="170"/>
      <c r="BI34" s="170"/>
      <c r="BJ34" s="170"/>
      <c r="BK34" s="168">
        <v>2</v>
      </c>
      <c r="BL34" s="168">
        <f>IF(OR($BG$40=BK34,$BH$40=BK34,$BI$40=BK34,$BI$41=BK34,$BH$41=BK34),"",BK34)</f>
        <v>2</v>
      </c>
      <c r="BM34" s="175">
        <v>3</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str">
        <f t="shared" si="19"/>
        <v/>
      </c>
    </row>
    <row r="35" spans="2:90" ht="18.95" customHeight="1" thickBot="1" x14ac:dyDescent="0.35">
      <c r="B35" s="750" t="str">
        <f>"CLASSEMENT"&amp;" "&amp;K13&amp;" "&amp;L13</f>
        <v>CLASSEMENT Poule L</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str">
        <v/>
      </c>
      <c r="BD35" s="168" t="str">
        <v/>
      </c>
      <c r="BE35" s="168" t="str">
        <v/>
      </c>
      <c r="BF35" s="168">
        <v>0</v>
      </c>
      <c r="BG35" s="168">
        <v>0</v>
      </c>
      <c r="BH35" s="170"/>
      <c r="BI35" s="170"/>
      <c r="BJ35" s="170"/>
      <c r="BK35" s="168">
        <v>3</v>
      </c>
      <c r="BL35" s="168">
        <f>IF(OR($BG$40=BK35,$BH$40=BK35,$BI$40=BK35,$BI$41=BK35,$BH$41=BK35),"",BK35)</f>
        <v>3</v>
      </c>
      <c r="BM35" s="175">
        <v>4</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str">
        <f t="shared" si="19"/>
        <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str">
        <v/>
      </c>
      <c r="BD36" s="168" t="str">
        <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42">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
      </c>
      <c r="C37" s="756" t="str">
        <f t="shared" ref="C37:C42" si="35">_xlfn.XLOOKUP(B37,$B$6:$B$11,$C$6:$C$11,"",0,1)</f>
        <v/>
      </c>
      <c r="D37" s="756"/>
      <c r="E37" s="756" t="str">
        <f t="shared" ref="E37:E42" si="36">_xlfn.XLOOKUP(B37,$B$6:$B$11,$E$6:$E$11,"",0,1)</f>
        <v/>
      </c>
      <c r="F37" s="756"/>
      <c r="G37" s="756" t="str">
        <f t="shared" ref="G37:G42" si="37">_xlfn.XLOOKUP(B37,$B$6:$B$11,$G$6:$G$11,"",0,1)</f>
        <v/>
      </c>
      <c r="H37" s="756"/>
      <c r="I37" s="756"/>
      <c r="J37" s="756"/>
      <c r="K37" s="756"/>
      <c r="L37" s="756"/>
      <c r="M37" s="38" t="str">
        <f t="shared" ref="M37:M42" si="38">IF(B37="","",_xlfn.XLOOKUP(B37,$B$6:$B$11,$V$6:$V$11,"",0,1))</f>
        <v/>
      </c>
      <c r="N37" s="102" t="str">
        <f t="shared" ref="N37:N42" si="39">IF(B37="","",_xlfn.XLOOKUP(B37,$B$6:$B$11,$T$6:$T$11,"",0,1))</f>
        <v/>
      </c>
      <c r="O37" s="102" t="str">
        <f t="shared" ref="O37:O42" si="40">IF(B37="","",_xlfn.XLOOKUP(B37,$B$6:$B$11,$U$6:$U$11,"",0,1))</f>
        <v/>
      </c>
      <c r="P37" s="351" t="str">
        <f t="shared" ref="P37:P42" si="41">IF(B37="","",_xlfn.XLOOKUP(B37,$B$6:$B$11,$S$6:$S$11,"",0,1))</f>
        <v/>
      </c>
      <c r="Q37" s="101" t="str">
        <f>IF(B37="","",1)</f>
        <v/>
      </c>
      <c r="R37" s="37" t="str" cm="1">
        <f t="array" ref="R37:S37">IF('GESTION DES JOUEURS'!$D$8="Open",_xlfn.XLOOKUP(B37,$B$6:$B$11,$AF$6:$AG$11,"",0,1),_xlfn.XLOOKUP(B37,$B$6:$B$11,$W$6:$X$11,"",0,1))</f>
        <v/>
      </c>
      <c r="S37" s="40" t="str">
        <v/>
      </c>
      <c r="T37" s="241"/>
      <c r="U37" s="1051" t="str">
        <f>"TABLEAU "&amp;CHAR(10)&amp;B2</f>
        <v>TABLEAU 
Poule L</v>
      </c>
      <c r="V37" s="1052"/>
      <c r="W37" s="1052"/>
      <c r="X37" s="1053"/>
      <c r="AA37" s="924" t="s">
        <v>9888</v>
      </c>
      <c r="AE37" s="443" t="str">
        <f>IF(Q37=1,"",M37)</f>
        <v/>
      </c>
      <c r="AN37" s="244"/>
      <c r="AO37" s="248"/>
      <c r="BB37" s="266"/>
      <c r="BC37" s="182" t="str">
        <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
      </c>
      <c r="C38" s="728" t="str">
        <f t="shared" si="35"/>
        <v/>
      </c>
      <c r="D38" s="728"/>
      <c r="E38" s="728" t="str">
        <f t="shared" si="36"/>
        <v/>
      </c>
      <c r="F38" s="728"/>
      <c r="G38" s="728" t="str">
        <f t="shared" si="37"/>
        <v/>
      </c>
      <c r="H38" s="728"/>
      <c r="I38" s="728"/>
      <c r="J38" s="728"/>
      <c r="K38" s="728"/>
      <c r="L38" s="728"/>
      <c r="M38" s="42" t="str">
        <f t="shared" si="38"/>
        <v/>
      </c>
      <c r="N38" s="104" t="str">
        <f t="shared" si="39"/>
        <v/>
      </c>
      <c r="O38" s="104" t="str">
        <f t="shared" si="40"/>
        <v/>
      </c>
      <c r="P38" s="352" t="str">
        <f t="shared" si="41"/>
        <v/>
      </c>
      <c r="Q38" s="103" t="str">
        <f>IF(AO4&lt;2,"",2)</f>
        <v/>
      </c>
      <c r="R38" s="357" t="str" cm="1">
        <f t="array" ref="R38:S38">IF('GESTION DES JOUEURS'!$D$8="Open",_xlfn.XLOOKUP(B38,$B$6:$B$11,$AF$6:$AG$11,"",0,1),_xlfn.XLOOKUP(B38,$B$6:$B$11,$W$6:$X$11,"",0,1))</f>
        <v/>
      </c>
      <c r="S38" s="44" t="str">
        <v/>
      </c>
      <c r="T38" s="241"/>
      <c r="U38" s="1054"/>
      <c r="V38" s="1055"/>
      <c r="W38" s="1055"/>
      <c r="X38" s="1056"/>
      <c r="AA38" s="925"/>
      <c r="AE38" s="443" t="str">
        <f t="shared" ref="AE38:AE42" si="42">IF(Q38=1,"",M38)</f>
        <v/>
      </c>
      <c r="AN38" s="244"/>
      <c r="AO38" s="248"/>
      <c r="BB38" s="266"/>
      <c r="BC38" s="170"/>
      <c r="BD38" s="170"/>
      <c r="BE38" s="170"/>
      <c r="BF38" s="170"/>
      <c r="BG38" s="170"/>
      <c r="BH38" s="170"/>
      <c r="BI38" s="170"/>
      <c r="BJ38" s="170"/>
      <c r="BK38" s="169"/>
      <c r="BL38" s="170"/>
      <c r="BM38" s="176"/>
    </row>
    <row r="39" spans="2:90" ht="14.45" customHeight="1" thickBot="1" x14ac:dyDescent="0.3">
      <c r="B39" s="41" t="str">
        <v/>
      </c>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S39">IF('GESTION DES JOUEURS'!$D$8="Open",_xlfn.XLOOKUP(B39,$B$6:$B$11,$AF$6:$AG$11,"",0,1),_xlfn.XLOOKUP(B39,$B$6:$B$11,$W$6:$X$11,"",0,1))</f>
        <v/>
      </c>
      <c r="S39" s="44" t="str">
        <v/>
      </c>
      <c r="T39" s="241"/>
      <c r="U39" s="1054"/>
      <c r="V39" s="1055"/>
      <c r="W39" s="1055"/>
      <c r="X39" s="1056"/>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t="str">
        <v/>
      </c>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S40">IF('GESTION DES JOUEURS'!$D$8="Open",_xlfn.XLOOKUP(B40,$B$6:$B$11,$AF$6:$AG$11,"",0,1),_xlfn.XLOOKUP(B40,$B$6:$B$11,$W$6:$X$11,"",0,1))</f>
        <v/>
      </c>
      <c r="S40" s="44" t="str">
        <v/>
      </c>
      <c r="T40" s="241"/>
      <c r="U40" s="1054"/>
      <c r="V40" s="1055"/>
      <c r="W40" s="1055"/>
      <c r="X40" s="1056"/>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t="str">
        <v/>
      </c>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S41">IF('GESTION DES JOUEURS'!$D$8="Open",_xlfn.XLOOKUP(B41,$B$6:$B$11,$AF$6:$AG$11,"",0,1),_xlfn.XLOOKUP(B41,$B$6:$B$11,$W$6:$X$11,"",0,1))</f>
        <v/>
      </c>
      <c r="S41" s="44" t="str">
        <v/>
      </c>
      <c r="T41" s="241"/>
      <c r="U41" s="1054"/>
      <c r="V41" s="1055"/>
      <c r="W41" s="1055"/>
      <c r="X41" s="1056"/>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t="str">
        <v/>
      </c>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S42">IF('GESTION DES JOUEURS'!$D$8="Open",_xlfn.XLOOKUP(B42,$B$6:$B$11,$AF$6:$AG$11,"",0,1),_xlfn.XLOOKUP(B42,$B$6:$B$11,$W$6:$X$11,"",0,1))</f>
        <v/>
      </c>
      <c r="S42" s="48" t="str">
        <v/>
      </c>
      <c r="T42" s="241"/>
      <c r="U42" s="1057"/>
      <c r="V42" s="1058"/>
      <c r="W42" s="1058"/>
      <c r="X42" s="1059"/>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str">
        <v/>
      </c>
      <c r="BD48" s="185" t="str">
        <v/>
      </c>
      <c r="BE48" s="185" t="str">
        <v/>
      </c>
      <c r="BF48" s="185">
        <v>0</v>
      </c>
      <c r="BG48" s="191"/>
      <c r="BH48" s="191"/>
      <c r="BI48" s="191"/>
      <c r="BJ48" s="191"/>
      <c r="BK48" s="185">
        <v>2</v>
      </c>
      <c r="BL48" s="185">
        <f>IF(OR($BD$53=BK48,$BE$53=BK48,$BE$54=BK48,$BD$54=BK48),"",BK48)</f>
        <v>2</v>
      </c>
      <c r="BM48" s="192">
        <v>2</v>
      </c>
    </row>
    <row r="49" spans="25:65" ht="15" hidden="1" x14ac:dyDescent="0.25">
      <c r="BB49" s="724"/>
      <c r="BC49" s="186" t="str">
        <v/>
      </c>
      <c r="BD49" s="185" t="str">
        <v/>
      </c>
      <c r="BE49" s="185">
        <v>0</v>
      </c>
      <c r="BF49" s="185">
        <v>0</v>
      </c>
      <c r="BG49" s="191"/>
      <c r="BH49" s="191"/>
      <c r="BI49" s="191"/>
      <c r="BJ49" s="191"/>
      <c r="BK49" s="185">
        <v>3</v>
      </c>
      <c r="BL49" s="185">
        <f>IF(OR($BD$53=BK49,$BE$53=BK49,$BE$54=BK49,$BD$54=BK49),"",BK49)</f>
        <v>3</v>
      </c>
      <c r="BM49" s="192">
        <v>3</v>
      </c>
    </row>
    <row r="50" spans="25:65" ht="15" hidden="1" x14ac:dyDescent="0.25">
      <c r="BB50" s="724"/>
      <c r="BC50" s="186" t="str">
        <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str">
        <v/>
      </c>
      <c r="BD61" s="205" t="str">
        <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str">
        <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3osUv07ao8Qw19Ohks31ROlYSTLUIvY4Fh+TaPkpnLBGgTeXAUkIhCSPWIZpIR2mRhVPmooQtCZH37qHsx4/pA==" saltValue="vjCY1QwO9ZJX5xlXTN4FUA=="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2743" priority="3">
      <formula>$B18=""</formula>
    </cfRule>
  </conditionalFormatting>
  <conditionalFormatting sqref="B19:Y32">
    <cfRule type="expression" dxfId="2742" priority="2">
      <formula>$B18=MAX($B$18:$B$32)</formula>
    </cfRule>
  </conditionalFormatting>
  <conditionalFormatting sqref="E18:E32 W18:W32">
    <cfRule type="expression" dxfId="2741" priority="4">
      <formula>LEFT($B$15)="3"</formula>
    </cfRule>
  </conditionalFormatting>
  <conditionalFormatting sqref="L13">
    <cfRule type="expression" dxfId="2740" priority="56">
      <formula>$F$13&lt;&gt;"FINALE"</formula>
    </cfRule>
  </conditionalFormatting>
  <conditionalFormatting sqref="T6:U11 N37:O42">
    <cfRule type="expression" dxfId="2739" priority="57">
      <formula>LEFT($B$15)="3"</formula>
    </cfRule>
  </conditionalFormatting>
  <dataValidations count="3">
    <dataValidation type="list" allowBlank="1" showInputMessage="1" showErrorMessage="1" sqref="O6" xr:uid="{F005A891-8AC1-46D8-95FC-C998EB39D367}">
      <formula1>"1,2,3,4,5,6"</formula1>
    </dataValidation>
    <dataValidation type="list" allowBlank="1" showInputMessage="1" showErrorMessage="1" sqref="W35:X35" xr:uid="{3275D68B-7DFB-48AF-BF67-276FE2D2B48F}">
      <formula1>"OUI,NON"</formula1>
    </dataValidation>
    <dataValidation type="list" allowBlank="1" showInputMessage="1" showErrorMessage="1" sqref="O7:O11" xr:uid="{AAE13990-DBFF-411F-B99A-5C8479AE17FA}">
      <formula1>"F,1,2,3,4,5,6"</formula1>
    </dataValidation>
  </dataValidations>
  <hyperlinks>
    <hyperlink ref="AA4:AA5" location="'GESTION DES JOUEURS'!D4" display="GESTION DES JOUEURS" xr:uid="{59DB25FA-1115-4F2A-871E-9AEECC777130}"/>
    <hyperlink ref="U37:X42" location="'T PL'!A1" display="'T PL'!A1" xr:uid="{D003A46C-B304-48AA-AF51-6734F7F73C49}"/>
    <hyperlink ref="AA9:AA10" location="PA!N18" display="PA!N18" xr:uid="{C9AF9231-39D1-4DBB-BFCD-D505F8559303}"/>
    <hyperlink ref="AA11:AA12" location="PB!N18" display="Poule B" xr:uid="{905AF196-CAC9-4C42-BE36-38872F246866}"/>
    <hyperlink ref="AA13:AA14" location="PC!N18" display="Poule C" xr:uid="{0C3FCFBA-04D1-4D8C-BDF6-66691DD1BE37}"/>
    <hyperlink ref="AA15:AA16" location="PD!N18" display="Poule D" xr:uid="{0C2F24B8-FD5A-4DBF-87E3-CE9556337059}"/>
    <hyperlink ref="AA17:AA18" location="PE!N18" display="Poule E" xr:uid="{72AFD76D-AAEC-42D4-8C39-2A1127FF2CB0}"/>
    <hyperlink ref="AA19:AA20" location="PF!N18" display="Poule F" xr:uid="{5212C9D0-A516-4BEF-B69B-0CF315756D40}"/>
    <hyperlink ref="AA21:AA22" location="PG!N18" display="Poule G" xr:uid="{EA4E97F8-2767-465E-953D-3E04C7FF7633}"/>
    <hyperlink ref="AA23:AA24" location="PH!N18" display="Poule H" xr:uid="{8A6D6C40-FD6E-40C8-BF3E-85DAF236949C}"/>
    <hyperlink ref="AA25:AA26" location="PI!N18" display="Poule I" xr:uid="{C667B476-358E-408F-BE56-A2B21F157217}"/>
    <hyperlink ref="AA27:AA28" location="PJ!N18" display="Poule J" xr:uid="{A781286F-660C-4D8E-BBCA-E09C2E10AFD9}"/>
    <hyperlink ref="AA29:AA30" location="PK!N18" display="Poule K" xr:uid="{F3BA4D90-CB0C-4034-A41C-D2E92E4F0A42}"/>
    <hyperlink ref="AA31:AA32" location="PL!N18" display="Poule L" xr:uid="{15BE66AB-6903-4700-BAEE-46F0E60CB7CF}"/>
    <hyperlink ref="AA37:AA38" location="Consolante!A1" display="Consolante" xr:uid="{2A521E56-065F-449C-AB6E-F5C1C94C172D}"/>
    <hyperlink ref="AA40:AA42" location="RESULTATS!A1" display="RESULTATS" xr:uid="{A9574D92-C1C8-4B7C-A866-6BF85EF717DC}"/>
    <hyperlink ref="AA34:AA35" location="'Phase finale'!A1" display="Phase Finale" xr:uid="{01661481-805D-41AD-B66B-A716FF97E08F}"/>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2242A67C-8C2B-456F-87D3-C9C3FFEE00D1}">
            <xm:f>'GESTION DES JOUEURS'!$D$8="Open"</xm:f>
            <x14:dxf>
              <numFmt numFmtId="14" formatCode="0.00%"/>
            </x14:dxf>
          </x14:cfRule>
          <xm:sqref>R37:S42</xm:sqref>
        </x14:conditionalFormatting>
        <x14:conditionalFormatting xmlns:xm="http://schemas.microsoft.com/office/excel/2006/main">
          <x14:cfRule type="expression" priority="8" id="{1324D255-9FAD-4DEE-8A5F-5EC930E344F5}">
            <xm:f>'GESTION DES JOUEURS'!$D$8="Open"</xm:f>
            <x14:dxf>
              <numFmt numFmtId="14" formatCode="0.00%"/>
            </x14:dxf>
          </x14:cfRule>
          <xm:sqref>W6:X11</xm:sqref>
        </x14:conditionalFormatting>
        <x14:conditionalFormatting xmlns:xm="http://schemas.microsoft.com/office/excel/2006/main">
          <x14:cfRule type="expression" priority="1" id="{AE7BD3DA-B3D7-4E06-AC81-62A6BA1473C5}">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6F054456-0029-4C47-B3FA-ED7DE7456D85}">
            <xm:f>'GESTION DES JOUEURS'!$T$8&lt;2</xm:f>
            <x14:dxf>
              <font>
                <color theme="0" tint="-0.24994659260841701"/>
              </font>
              <fill>
                <patternFill>
                  <bgColor theme="0" tint="-0.24994659260841701"/>
                </patternFill>
              </fill>
            </x14:dxf>
          </x14:cfRule>
          <x14:cfRule type="expression" priority="42" id="{84F1D632-85DA-45A6-9592-7E0FC3566E0C}">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D18271C3-B1AE-4E2A-8E01-9F23ACEF9DA8}">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D03B74D9-25F6-4B34-A290-CCA0BD7F0187}">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C1755B18-42DC-465C-AEE1-A7F188E42436}">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83A9A027-9A32-4A54-A534-0BCDDD83EC2A}">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A66E4C04-ABA2-4EEF-8348-34AAB324BA48}">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FA0E972C-CF05-44F2-97A6-541F231F4792}">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208A6F46-0478-4502-9A22-0AE2D29EB9E6}">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3B1FC7D2-055F-4A4C-9AAD-7F06774EFB15}">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CA36853B-BCFC-44CE-9A10-309F48E85D07}">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F025B385-03D8-4F71-905D-98CD07448E6C}">
            <xm:f>'GESTION DES JOUEURS'!$T$8=1</xm:f>
            <x14:dxf>
              <font>
                <color theme="0" tint="-0.24994659260841701"/>
              </font>
              <fill>
                <patternFill>
                  <bgColor theme="0" tint="-0.24994659260841701"/>
                </patternFill>
              </fill>
            </x14:dxf>
          </x14:cfRule>
          <x14:cfRule type="expression" priority="19" id="{A46C89CC-A7FD-4AEB-90A2-EE3CBA73252A}">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D7374513-07C1-4B97-B34B-69D77DE49930}">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08F5371-EE17-4768-8E1C-B53AC76ACFB4}">
          <x14:formula1>
            <xm:f>IF(AND(_xlfn.XLOOKUP($F18,$B$6:$B$11,$AD$6:$AD$11,"",0,1)&lt;&gt;"N1",_xlfn.XLOOKUP($U18,$B$6:$B$11,$AD$6:$AD$11,"",0,1)&lt;&gt;"N1",$B$15="Cadre N1/N2"),Distances!$B$89:$KP$89,Distances!$B$86:$KQ$86)</xm:f>
          </x14:formula1>
          <xm:sqref>O18:O32</xm:sqref>
        </x14:dataValidation>
        <x14:dataValidation type="list" allowBlank="1" showInputMessage="1" showErrorMessage="1" xr:uid="{41222BBA-495E-440B-A7DF-9BE1AED76EE5}">
          <x14:formula1>
            <xm:f>IF(AND(_xlfn.XLOOKUP($F18,$B$6:$B$11,$AD$6:$AD$11,"",0,1)&lt;&gt;"N1",_xlfn.XLOOKUP($U18,$B$6:$B$11,$AD$6:$AD$11,"",0,1)&lt;&gt;"N1",$B$15="Cadre N1/N2"),Distances!$B$88:$KP$88,Distances!$B$85:$KQ$85)</xm:f>
          </x14:formula1>
          <xm:sqref>N18:N32 P18:P32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3DB23-231A-45C8-B808-EB62EFB991C9}">
  <sheetPr>
    <tabColor rgb="FF91C36F"/>
    <pageSetUpPr fitToPage="1"/>
  </sheetPr>
  <dimension ref="A1:AZ40"/>
  <sheetViews>
    <sheetView zoomScale="53" zoomScaleNormal="84" workbookViewId="0">
      <selection activeCell="AS2" sqref="AS2"/>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IF(PL!F13="FINALE","District 93-94"&amp;" - "&amp;IF(MONTH(AT5)&gt;8,YEAR(AT5)&amp;"/"&amp;YEAR(AT5)+1,YEAR(AT5)-1&amp;"/"&amp;YEAR(AT5))&amp;CHAR(10)&amp;PL!F13&amp;CHAR(10)&amp;PL!B15&amp;AT2,"District 93-94"&amp;" - "&amp;IF(MONTH(AT5)&gt;8,YEAR(AT5)&amp;"/"&amp;YEAR(AT5)+1,YEAR(AT5)-1&amp;"/"&amp;YEAR(AT5))&amp;CHAR(10)&amp;'GESTION DES JOUEURS'!C2&amp;CHAR(10)&amp;PL!K13&amp;" "&amp;PL!L13)</f>
        <v>District 93-94 - 2024/2025
Journée 3 -  Libre R2
Poule L</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IF(PL!M14="","",PL!M14)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IF(LEFT(PL!$B$15)="C","   -   "&amp;_xlfn.XLOOKUP(PL!B15,Distances!D2:D77,Distances!K2:K77,"",0,1),"")</f>
        <v/>
      </c>
      <c r="AV2" s="450" t="s">
        <v>8130</v>
      </c>
    </row>
    <row r="3" spans="1:48" ht="21.95" customHeight="1" thickBot="1" x14ac:dyDescent="0.3">
      <c r="A3" s="32"/>
      <c r="B3" s="868" t="str">
        <f>IF('GESTION DES JOUEURS'!$F$6="","","Directeur de jeu : "&amp;PL!S13)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"&amp;_xlfn.XLOOKUP(PL!B15,Distances!D2:D77,Distances!A2:A77,"",0,1)&amp;AT2</f>
        <v>Mode de jeu : Libre</v>
      </c>
      <c r="C5" s="877"/>
      <c r="D5" s="877"/>
      <c r="E5" s="877"/>
      <c r="F5" s="877"/>
      <c r="G5" s="876" t="str">
        <f>"Catégorie : "&amp;_xlfn.XLOOKUP(PL!B15,Distances!D2:D77,Distances!B2:B77,"",0,1)</f>
        <v>Catégorie : R2</v>
      </c>
      <c r="H5" s="877"/>
      <c r="I5" s="877"/>
      <c r="J5" s="877"/>
      <c r="K5" s="877"/>
      <c r="L5" s="877"/>
      <c r="M5" s="877"/>
      <c r="N5" s="878"/>
      <c r="O5" s="870" t="str">
        <f>IF(G5="Catégorie : N1/N2","Distance réduite : 150 pts"&amp;CHAR(10)&amp;"si N2 Vs N2 120pts",PL!B14&amp;" "&amp;PL!E14&amp;" "&amp;PL!F14)</f>
        <v>Distance : 100 Pts</v>
      </c>
      <c r="P5" s="871"/>
      <c r="Q5" s="871"/>
      <c r="R5" s="871"/>
      <c r="S5" s="871"/>
      <c r="T5" s="871"/>
      <c r="U5" s="872"/>
      <c r="V5" s="870" t="str">
        <f>IFERROR(IF(G5="Catégorie : N1/N2","Reprises : 15"&amp;CHAR(10)&amp;"si N2 Vs N2 Reprises : 20 ",PL!G14&amp;" "&amp;PL!J14),"")</f>
        <v>Reprises : 40</v>
      </c>
      <c r="W5" s="871"/>
      <c r="X5" s="871"/>
      <c r="Y5" s="871"/>
      <c r="Z5" s="871"/>
      <c r="AA5" s="871"/>
      <c r="AB5" s="871"/>
      <c r="AC5" s="872"/>
      <c r="AD5" s="873" t="str">
        <f>_xlfn.XLOOKUP(PL!B15,Distances!D2:D77,Distances!J2:J77,"",0,1)&amp;" "&amp;_xlfn.XLOOKUP(PL!B15,Distances!D2:D77,Distances!I2:I77,"",0,1)&amp;"0 m"</f>
        <v>PC 2,80 m</v>
      </c>
      <c r="AE5" s="874"/>
      <c r="AF5" s="874"/>
      <c r="AG5" s="874"/>
      <c r="AH5" s="874"/>
      <c r="AI5" s="875"/>
      <c r="AJ5" s="850">
        <f>IF(PL!T14=0,"DATE",PL!T14)</f>
        <v>45633</v>
      </c>
      <c r="AK5" s="851"/>
      <c r="AL5" s="851"/>
      <c r="AM5" s="851"/>
      <c r="AN5" s="851"/>
      <c r="AO5" s="851"/>
      <c r="AP5" s="851"/>
      <c r="AQ5" s="852"/>
      <c r="AS5" s="841" t="s">
        <v>8129</v>
      </c>
      <c r="AT5" s="32">
        <f ca="1">IF(PL!T14&gt;1,AJ5,TODAY())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IF(PL!$AO$4&lt;2,"","JOUEURS")</f>
        <v/>
      </c>
      <c r="D8" s="139"/>
      <c r="E8" s="853" t="str">
        <f>IF(C10="","",C10)</f>
        <v/>
      </c>
      <c r="F8" s="853"/>
      <c r="G8" s="853"/>
      <c r="H8" s="853"/>
      <c r="I8" s="139"/>
      <c r="J8" s="853" t="str">
        <f>IF(C15="","",C15)</f>
        <v/>
      </c>
      <c r="K8" s="853"/>
      <c r="L8" s="853"/>
      <c r="M8" s="853"/>
      <c r="N8" s="139"/>
      <c r="O8" s="853" t="str">
        <f>IF(C20="","",C20)</f>
        <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IF(PL!$AO$4&lt;2,"","RESULTATS")</f>
        <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IF(PL!AO4=2,_xlfn.XLOOKUP(1,PL!M6:M11,PL!C6:D11&amp;" "&amp;LEFT(PL!E6)&amp;".","",0,1),IF(COUNT(PL!A6:A11)&gt;2,CONCATENATE(PL!C6," ",LEFT(PL!E6),"."),""))</f>
        <v/>
      </c>
      <c r="D10" s="32"/>
      <c r="E10" s="885" t="str">
        <f>IF(PL!W35="NON",AG1,IF(PL!AO4&gt;0,_xlfn.XLOOKUP('T PL'!C13,'LOGOS CLUBS'!$B$2:$B$65,'LOGOS CLUBS'!$C$2:$C$65,C13,0,1),""))</f>
        <v/>
      </c>
      <c r="F10" s="885"/>
      <c r="G10" s="885"/>
      <c r="H10" s="885"/>
      <c r="I10" s="32"/>
      <c r="J10" s="882" t="str">
        <f>IF(AND(PL!$AO$4=2,PL!$A18="P"),PL!N18,IF(AND(COUNT(PL!$A$6:$A$11)&gt;2,PL!$CF10="P"),PL!$CC10,""))</f>
        <v/>
      </c>
      <c r="K10" s="882"/>
      <c r="L10" s="882" t="str">
        <f>IF(AND(PL!$AO$4=2,PL!$A18="P"),PL!O18,IF(AND(COUNT(PL!$A$6:$A$11)&gt;2,PL!$CF10="P"),PL!$CE10,""))</f>
        <v/>
      </c>
      <c r="M10" s="882"/>
      <c r="N10" s="142"/>
      <c r="O10" s="882" t="str">
        <f>IF(PL!$AO$4=2,"",IF(AND(COUNT(PL!$A$6:$A$11)&gt;2,PL!$CF9="P"),PL!$CC9,""))</f>
        <v/>
      </c>
      <c r="P10" s="882"/>
      <c r="Q10" s="882" t="str">
        <f>IF(PL!$AO$4=2,"",IF(AND(COUNT(PL!$A$6:$A$11)&gt;2,PL!$CF9="P"),PL!$CE9,""))</f>
        <v/>
      </c>
      <c r="R10" s="882"/>
      <c r="S10" s="142"/>
      <c r="T10" s="882" t="str">
        <f>IF(PL!$AO$4=2,"",IF(AND(COUNT(PL!$A$6:$A$11)&gt;2,PL!$CF8="P"),PL!$CC8,""))</f>
        <v/>
      </c>
      <c r="U10" s="882"/>
      <c r="V10" s="882" t="str">
        <f>IF(PL!$AO$4=2,"",IF(AND(COUNT(PL!$A$6:$A$11)&gt;2,PL!$CF8="P"),PL!$CE8,""))</f>
        <v/>
      </c>
      <c r="W10" s="882"/>
      <c r="X10" s="142"/>
      <c r="Y10" s="882" t="str">
        <f>IF(PL!$AO$4=2,"",IF(AND(COUNT(PL!$A$6:$A$11)&gt;2,PL!$CF7="P"),PL!$CC7,""))</f>
        <v/>
      </c>
      <c r="Z10" s="882"/>
      <c r="AA10" s="882" t="str">
        <f>IF(PL!$AO$4=2,"",IF(AND(COUNT(PL!$A$6:$A$11)&gt;2,PL!$CF7="P"),PL!$CE7,""))</f>
        <v/>
      </c>
      <c r="AB10" s="882"/>
      <c r="AC10" s="142"/>
      <c r="AD10" s="882" t="str">
        <f>IF(PL!$AO$4=2,"",IF(AND(COUNT(PL!$A$6:$A$11)&gt;2,PL!$CF6="P"),PL!$CC6,""))</f>
        <v/>
      </c>
      <c r="AE10" s="882"/>
      <c r="AF10" s="882" t="str">
        <f>IF(PL!$AO$4=2,"",IF(AND(COUNT(PL!$A$6:$A$11)&gt;2,PL!$CF6="P"),PL!$CE6,""))</f>
        <v/>
      </c>
      <c r="AG10" s="882"/>
      <c r="AH10" s="32"/>
      <c r="AI10" s="32"/>
      <c r="AJ10" s="32"/>
      <c r="AK10" s="882" t="str" cm="1">
        <f t="array" ref="AK10">IF(PL!$AO$4&lt;2,"",IF(_xlfn.XLOOKUP('T PL'!C12,"Licence n° "&amp;PL!$B$6:$B$11,PL!$AO$6:$AO$11,"",0,1)=1,"",_xlfn.XLOOKUP('T PL'!C12,"Licence n° "&amp;PL!$B$6:$B$11,PL!$V$6:$V$11,"",0,1)))</f>
        <v/>
      </c>
      <c r="AL10" s="882"/>
      <c r="AM10" s="879" t="str" cm="1">
        <f t="array" ref="AM10">IF(PL!$AO$4&lt;2,"",IF(_xlfn.XLOOKUP('T PL'!C12,"Licence n° "&amp;PL!$B$6:$B$11,PL!$AO$6:$AO$11,"",0,1)=1,"",_xlfn.XLOOKUP('T PL'!C12,"Licence n° "&amp;PL!$B$6:$B$11,PL!$T$6:$T$11,"",0,1)))</f>
        <v/>
      </c>
      <c r="AN10" s="879"/>
      <c r="AO10" s="32"/>
      <c r="AP10" s="561" t="str" cm="1">
        <f t="array" ref="AP10">_xlfn.XLOOKUP(C12,"Licence n° "&amp;PL!$B$6:$B$11,PL!$W$6:$W$11,"",0,1)</f>
        <v/>
      </c>
      <c r="AQ10" s="32"/>
      <c r="AS10" s="843" t="str">
        <f>IF('GESTION DES JOUEURS'!$D$8="Finale","Poule Finale","Poule A")</f>
        <v>Poule A</v>
      </c>
      <c r="AT10" s="32"/>
      <c r="AV10" s="838"/>
    </row>
    <row r="11" spans="1:48" ht="12.6" customHeight="1" thickBot="1" x14ac:dyDescent="0.3">
      <c r="A11" s="32"/>
      <c r="B11" s="32"/>
      <c r="C11" s="143" t="str" cm="1">
        <f t="array" ref="C11">IF(PL!$AO$4=2,_xlfn.XLOOKUP(1,PL!$M$6:$M$11,PL!$K$6:$K$11&amp;" "&amp;PL!$AS$6:$AS$11,"",0,1),IF(COUNT(PL!$A$6:$A$11)&gt;2,PL!$K6&amp;" - "&amp;PL!$AS6," "))</f>
        <v xml:space="preserve"> </v>
      </c>
      <c r="D11" s="32"/>
      <c r="E11" s="885"/>
      <c r="F11" s="885"/>
      <c r="G11" s="885"/>
      <c r="H11" s="885"/>
      <c r="I11" s="32"/>
      <c r="J11" s="144" t="str">
        <f>IF(K11="","","Pts")</f>
        <v/>
      </c>
      <c r="K11" s="880" t="str">
        <f>IF(PL!$AO$4=2,PL!D18,IF(AND(COUNT(PL!$A$6:$A$11)&gt;2,PL!$CF10="P"),PL!$CG10,""))</f>
        <v/>
      </c>
      <c r="L11" s="880"/>
      <c r="M11" s="144" t="str">
        <f>IF(K11="","","Rep.")</f>
        <v/>
      </c>
      <c r="N11" s="144"/>
      <c r="O11" s="144" t="str">
        <f>IF(P11="","","Pts")</f>
        <v/>
      </c>
      <c r="P11" s="880" t="str">
        <f>IF(PL!$AO$4=2,"",IF(AND(COUNT(PL!$A$6:$A$11)&gt;2,PL!$CF9="P"),PL!$CG9,""))</f>
        <v/>
      </c>
      <c r="Q11" s="880"/>
      <c r="R11" s="144" t="str">
        <f>IF(P11="","","Rep.")</f>
        <v/>
      </c>
      <c r="S11" s="144"/>
      <c r="T11" s="144" t="str">
        <f>IF(U11="","","Pts")</f>
        <v/>
      </c>
      <c r="U11" s="880" t="str">
        <f>IF(PL!$AO$4=2,"",IF(AND(COUNT(PL!$A$6:$A$11)&gt;2,PL!$CF8="P"),PL!$CG8,""))</f>
        <v/>
      </c>
      <c r="V11" s="880"/>
      <c r="W11" s="144" t="str">
        <f>IF(U11="","","Rep.")</f>
        <v/>
      </c>
      <c r="X11" s="144"/>
      <c r="Y11" s="144" t="str">
        <f>IF(Z11="","","Pts")</f>
        <v/>
      </c>
      <c r="Z11" s="880" t="str">
        <f>IF(PL!$AO$4=2,"",IF(AND(COUNT(PL!$A$6:$A$11)&gt;2,PL!$CF7="P"),PL!$CG7,""))</f>
        <v/>
      </c>
      <c r="AA11" s="880"/>
      <c r="AB11" s="144" t="str">
        <f>IF(Z11="","","Rep.")</f>
        <v/>
      </c>
      <c r="AC11" s="144"/>
      <c r="AD11" s="144" t="str">
        <f>IF(AE11="","","Pts")</f>
        <v/>
      </c>
      <c r="AE11" s="880" t="str">
        <f>IF(PL!$AO$4=2,"",IF(AND(COUNT(PL!$A$6:$A$11)&gt;2,PL!$CF6="P"),PL!$CG6,""))</f>
        <v/>
      </c>
      <c r="AF11" s="880"/>
      <c r="AG11" s="144" t="str">
        <f>IF(AE11="","","Rep.")</f>
        <v/>
      </c>
      <c r="AH11" s="32"/>
      <c r="AI11" s="32"/>
      <c r="AJ11" s="32"/>
      <c r="AK11" s="145" t="str">
        <f>IF(AL11="","","PM")</f>
        <v/>
      </c>
      <c r="AL11" s="881" t="str" cm="1">
        <f t="array" ref="AL11">IF(SUM(PL!$Q$6:$Q$11)=0,"",IF(PL!$AO$4&gt;1,IF(_xlfn.XLOOKUP('T PL'!C12,"Licence n° "&amp;PL!$B$6:$B$11,PL!$AO$6:$AO$11,"",0,1)=1,"Forfait",_xlfn.XLOOKUP('T PL'!C12,"Licence n° "&amp;PL!$B$37:$B$42,PL!$Q$37:$Q$42,"",0,1)),""))</f>
        <v/>
      </c>
      <c r="AM11" s="881"/>
      <c r="AN11" s="145" t="str">
        <f>IF(AL11="","","MGP")</f>
        <v/>
      </c>
      <c r="AO11" s="32"/>
      <c r="AP11" s="146" t="str">
        <f>IF(OR(PL!$AO$4&lt;2,LEFT(PL!$F$13)="F"),"","Pts Rk")</f>
        <v/>
      </c>
      <c r="AQ11" s="32"/>
      <c r="AS11" s="844"/>
      <c r="AT11" s="32"/>
      <c r="AV11" s="839"/>
    </row>
    <row r="12" spans="1:48" ht="12.6" customHeight="1" x14ac:dyDescent="0.25">
      <c r="A12" s="32"/>
      <c r="B12" s="32"/>
      <c r="C12" s="147" t="str">
        <f>IF(PL!AO4=2,"Licence n° "&amp;_xlfn.XLOOKUP(1,PL!M6:M11,PL!B6:B11,"",0,1),IF(COUNT(PL!A6:A11)&gt;2,"Licence n° "&amp;PL!B6," "))</f>
        <v xml:space="preserve"> </v>
      </c>
      <c r="D12" s="32"/>
      <c r="E12" s="885"/>
      <c r="F12" s="885"/>
      <c r="G12" s="885"/>
      <c r="H12" s="885"/>
      <c r="I12" s="32"/>
      <c r="J12" s="144" t="str">
        <f>IF(K11="","","Moy.")</f>
        <v/>
      </c>
      <c r="K12" s="880"/>
      <c r="L12" s="880"/>
      <c r="M12" s="144" t="str">
        <f>IF(K11="","","MS")</f>
        <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
      </c>
      <c r="AL12" s="881"/>
      <c r="AM12" s="881"/>
      <c r="AN12" s="145" t="str">
        <f>IF(AL11="","","MS")</f>
        <v/>
      </c>
      <c r="AO12" s="32"/>
      <c r="AP12" s="148" t="str">
        <f>IF(OR(PL!$AO$4&lt;2,LEFT(PL!$F$13)="F"),"","Bonus")</f>
        <v/>
      </c>
      <c r="AQ12" s="32"/>
      <c r="AS12" s="845" t="s">
        <v>8113</v>
      </c>
      <c r="AT12" s="32"/>
    </row>
    <row r="13" spans="1:48" ht="50.1" customHeight="1" x14ac:dyDescent="0.25">
      <c r="A13" s="32"/>
      <c r="B13" s="32"/>
      <c r="C13" s="149" t="str">
        <f>IF(PL!AO4=2,_xlfn.XLOOKUP(1,PL!M6:M11,PL!G6:G11,"",0,1),IF(COUNT(PL!A6:A11)&gt;2,PL!G6," "))</f>
        <v xml:space="preserve"> </v>
      </c>
      <c r="D13" s="32"/>
      <c r="E13" s="885"/>
      <c r="F13" s="885"/>
      <c r="G13" s="885"/>
      <c r="H13" s="885"/>
      <c r="I13" s="32"/>
      <c r="J13" s="883" t="str">
        <f>IF(K11="","",IF(K11&gt;0,J10/L10,"/"))</f>
        <v/>
      </c>
      <c r="K13" s="883"/>
      <c r="L13" s="884" t="str">
        <f>IF(AND(PL!$AO$4=2,PL!$A18="P"),PL!M18,IF(AND(COUNT(PL!$A$6:$A$11)&gt;2,PL!$CF10="P"),PL!$CD10,""))</f>
        <v/>
      </c>
      <c r="M13" s="884"/>
      <c r="N13" s="32"/>
      <c r="O13" s="883" t="str">
        <f>IF(P11="","",IF(P11&gt;0,O10/Q10,"/"))</f>
        <v/>
      </c>
      <c r="P13" s="883"/>
      <c r="Q13" s="884" t="str">
        <f>IF(PL!$AO$4=2,"",IF(AND(COUNT(PL!$A$6:$A$11)&gt;2,PL!$CF9="P"),PL!$CD9,""))</f>
        <v/>
      </c>
      <c r="R13" s="884"/>
      <c r="S13" s="32"/>
      <c r="T13" s="883" t="str">
        <f>IF(U11="","",IF(U11&gt;0,T10/V10,"/"))</f>
        <v/>
      </c>
      <c r="U13" s="883"/>
      <c r="V13" s="884" t="str">
        <f>IF(PL!$AO$4=2,"",IF(AND(COUNT(PL!$A$6:$A$11)&gt;2,PL!$CF8="P"),PL!$CD8,""))</f>
        <v/>
      </c>
      <c r="W13" s="884"/>
      <c r="X13" s="32"/>
      <c r="Y13" s="883" t="str">
        <f>IF(Z11="","",IF(Z11&gt;0,Y10/AA10,"/"))</f>
        <v/>
      </c>
      <c r="Z13" s="883"/>
      <c r="AA13" s="884" t="str">
        <f>IF(PL!$AO$4=2,"",IF(AND(COUNT(PL!$A$6:$A$11)&gt;2,PL!$CF7="P"),PL!$CD7,""))</f>
        <v/>
      </c>
      <c r="AB13" s="884"/>
      <c r="AC13" s="32"/>
      <c r="AD13" s="883" t="str">
        <f>IF(AE11="","",IF(AE11&gt;0,AD10/AF10,"/"))</f>
        <v/>
      </c>
      <c r="AE13" s="883"/>
      <c r="AF13" s="884" t="str">
        <f>IF(PL!$AO$4=2,"",IF(AND(COUNT(PL!$A$6:$A$11)&gt;2,PL!$CF6="P"),PL!$CD6,""))</f>
        <v/>
      </c>
      <c r="AG13" s="884"/>
      <c r="AH13" s="32"/>
      <c r="AI13" s="32"/>
      <c r="AJ13" s="32"/>
      <c r="AK13" s="883" t="str" cm="1">
        <f t="array" ref="AK13">IF(PL!$AO$4&lt;2,"",IF(_xlfn.XLOOKUP('T PL'!C12,"Licence n° "&amp;PL!$B$6:$B$11,PL!$AO$6:$AO$11,"",0,1)=1,"",_xlfn.XLOOKUP('T PL'!C12,"Licence n° "&amp;PL!$B$6:$B$11,PL!$U$6:$U$11,"",0,1)))</f>
        <v/>
      </c>
      <c r="AL13" s="883"/>
      <c r="AM13" s="884" t="str" cm="1">
        <f t="array" ref="AM13">IF(PL!$AO$4&lt;2,"",IF(_xlfn.XLOOKUP('T PL'!C12,"Licence n° "&amp;PL!$B$6:$B$11,PL!$AO$6:$AO$11,"",0,1)=1,"",_xlfn.XLOOKUP('T PL'!C12,"Licence n° "&amp;PL!$B$6:$B$11,PL!$S$6:$S$11,"",0,1)))</f>
        <v/>
      </c>
      <c r="AN13" s="884"/>
      <c r="AO13" s="32"/>
      <c r="AP13" s="562" t="str" cm="1">
        <f t="array" ref="AP13">_xlfn.XLOOKUP(C12,"Licence n° "&amp;PL!$B$6:$B$11,PL!$X$6:$X$11,"",0,1)</f>
        <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IF(PL!AO4=2,_xlfn.XLOOKUP(2,PL!M6:M11,PL!C6:D11&amp;" "&amp;LEFT(PL!E6:E11)&amp;".","",0,1),IF(COUNT(PL!A6:A11)&gt;2,CONCATENATE(PL!C7," ",LEFT(PL!E7),"."),""))</f>
        <v/>
      </c>
      <c r="D15" s="32"/>
      <c r="E15" s="882" t="str">
        <f>IF(AND(PL!$AO$4=2,PL!$A18="P"),PL!P18,IF(AND(COUNT(PL!$A$6:$A$11)&gt;2,PL!$CF15="P"),PL!$CC15,""))</f>
        <v/>
      </c>
      <c r="F15" s="882"/>
      <c r="G15" s="882" t="str">
        <f>IF(AND(PL!$AO$4=2,PL!$A18="P"),PL!O18,IF(AND(COUNT(PL!$A$6:$A$11)&gt;2,PL!$CF15="P"),PL!$CE15,""))</f>
        <v/>
      </c>
      <c r="H15" s="882"/>
      <c r="I15" s="32"/>
      <c r="J15" s="885" t="str">
        <f>IF(PL!W35="NON",AG1,IF(PL!AO4=2,"MATCH 1",IF(PL!AO4&gt;2,_xlfn.XLOOKUP(C18,'LOGOS CLUBS'!$B$2:$B$65,'LOGOS CLUBS'!$C$2:$C$65,C18,0,1),"")))</f>
        <v/>
      </c>
      <c r="K15" s="885"/>
      <c r="L15" s="885"/>
      <c r="M15" s="885"/>
      <c r="N15" s="32"/>
      <c r="O15" s="882" t="str">
        <f>IF(PL!$AO$4=2,"",IF(AND(COUNT(PL!$A$6:$A$11)&gt;2,PL!$CF14="P"),PL!$CC14,""))</f>
        <v/>
      </c>
      <c r="P15" s="882"/>
      <c r="Q15" s="882" t="str">
        <f>IF(PL!$AO$4=2,"",IF(AND(COUNT(PL!$A$6:$A$11)&gt;2,PL!$CF14="P"),PL!$CE14,""))</f>
        <v/>
      </c>
      <c r="R15" s="882"/>
      <c r="S15" s="142"/>
      <c r="T15" s="882" t="str">
        <f>IF(PL!$AO$4=2,"",IF(AND(COUNT(PL!$A$6:$A$11)&gt;2,PL!$CF13="P"),PL!$CC13,""))</f>
        <v/>
      </c>
      <c r="U15" s="882"/>
      <c r="V15" s="882" t="str">
        <f>IF(PL!$AO$4=2,"",IF(AND(COUNT(PL!$A$6:$A$11)&gt;2,PL!$CF13="P"),PL!$CE13,""))</f>
        <v/>
      </c>
      <c r="W15" s="882"/>
      <c r="X15" s="142"/>
      <c r="Y15" s="882" t="str">
        <f>IF(PL!$AO$4=2,"",IF(AND(COUNT(PL!$A$6:$A$11)&gt;2,PL!$CF12="P"),PL!$CC12,""))</f>
        <v/>
      </c>
      <c r="Z15" s="882"/>
      <c r="AA15" s="882" t="str">
        <f>IF(PL!$AO$4=2,"",IF(AND(COUNT(PL!$A$6:$A$11)&gt;2,PL!$CF12="P"),PL!$CE12,""))</f>
        <v/>
      </c>
      <c r="AB15" s="882"/>
      <c r="AC15" s="142"/>
      <c r="AD15" s="882" t="str">
        <f>IF(PL!$AO$4=2,"",IF(AND(COUNT(PL!$A$6:$A$11)&gt;2,PL!$CF11="P"),PL!$CC11,""))</f>
        <v/>
      </c>
      <c r="AE15" s="882"/>
      <c r="AF15" s="882" t="str">
        <f>IF(PL!$AO$4=2,"",IF(AND(COUNT(PL!$A$6:$A$11)&gt;2,PL!$CF11="P"),PL!$CE11,""))</f>
        <v/>
      </c>
      <c r="AG15" s="882"/>
      <c r="AH15" s="32"/>
      <c r="AI15" s="32"/>
      <c r="AJ15" s="32"/>
      <c r="AK15" s="882" t="str" cm="1">
        <f t="array" ref="AK15">IF(PL!$AO$4&lt;2,"",IF(_xlfn.XLOOKUP('T PL'!C17,"Licence n° "&amp;PL!$B$6:$B$11,PL!$AO$6:$AO$11,"",0,1)=1,"",_xlfn.XLOOKUP('T PL'!C17,"Licence n° "&amp;PL!$B$6:$B$11,PL!$V$6:$V$11,"",0,1)))</f>
        <v/>
      </c>
      <c r="AL15" s="882"/>
      <c r="AM15" s="879" t="str" cm="1">
        <f t="array" ref="AM15">IF(PL!$AO$4&lt;2,"",IF(_xlfn.XLOOKUP('T PL'!C17,"Licence n° "&amp;PL!$B$6:$B$11,PL!$AO$6:$AO$11,"",0,1)=1,"",_xlfn.XLOOKUP('T PL'!C17,"Licence n° "&amp;PL!$B$6:$B$11,PL!$T$6:$T$11,"",0,1)))</f>
        <v/>
      </c>
      <c r="AN15" s="879"/>
      <c r="AO15" s="32"/>
      <c r="AP15" s="561" t="str" cm="1">
        <f t="array" ref="AP15">_xlfn.XLOOKUP(C17,"Licence n° "&amp;PL!$B$6:$B$11,PL!$W$6:$W$11,"",0,1)</f>
        <v/>
      </c>
      <c r="AQ15" s="32"/>
      <c r="AS15" s="840" t="s">
        <v>8114</v>
      </c>
      <c r="AT15" s="32"/>
    </row>
    <row r="16" spans="1:48" ht="12.6" customHeight="1" x14ac:dyDescent="0.25">
      <c r="A16" s="32"/>
      <c r="B16" s="32"/>
      <c r="C16" s="143" t="str" cm="1">
        <f t="array" ref="C16">IF(PL!$AO$4=2,_xlfn.XLOOKUP(2,PL!$M$6:$M$11,PL!$K$6:$K$11&amp;" "&amp;PL!$AS$6:$AS$11,"",0,1),IF(COUNT(PL!$A$6:$A$11)&gt;2,PL!$K7&amp;" - "&amp;PL!$AS7," "))</f>
        <v xml:space="preserve"> </v>
      </c>
      <c r="D16" s="32"/>
      <c r="E16" s="144" t="str">
        <f>IF(F16="","","Pts")</f>
        <v/>
      </c>
      <c r="F16" s="880" t="str">
        <f>IF(PL!$AO$4=2,PL!X18,IF(AND(COUNT(PL!$A$6:$A$11)&gt;2,PL!$CF15="P"),PL!$CG15,""))</f>
        <v/>
      </c>
      <c r="G16" s="880"/>
      <c r="H16" s="144" t="str">
        <f>IF(F16="","","Rep.")</f>
        <v/>
      </c>
      <c r="I16" s="32"/>
      <c r="J16" s="885"/>
      <c r="K16" s="885"/>
      <c r="L16" s="885"/>
      <c r="M16" s="885"/>
      <c r="N16" s="32"/>
      <c r="O16" s="144" t="str">
        <f>IF(P16="","","Pts")</f>
        <v/>
      </c>
      <c r="P16" s="880" t="str">
        <f>IF(PL!$AO$4=2,"",IF(AND(COUNT(PL!$A$6:$A$11)&gt;2,PL!$CF14="P"),PL!$CG14,""))</f>
        <v/>
      </c>
      <c r="Q16" s="880"/>
      <c r="R16" s="144" t="str">
        <f>IF(P16="","","Rep.")</f>
        <v/>
      </c>
      <c r="S16" s="50"/>
      <c r="T16" s="144" t="str">
        <f>IF(U16="","","Pts")</f>
        <v/>
      </c>
      <c r="U16" s="880" t="str">
        <f>IF(PL!$AO$4=2,"",IF(AND(COUNT(PL!$A$6:$A$11)&gt;2,PL!$CF13="P"),PL!$CG13,""))</f>
        <v/>
      </c>
      <c r="V16" s="880"/>
      <c r="W16" s="144" t="str">
        <f>IF(U16="","","Rep.")</f>
        <v/>
      </c>
      <c r="X16" s="144"/>
      <c r="Y16" s="144" t="str">
        <f>IF(Z16="","","Pts")</f>
        <v/>
      </c>
      <c r="Z16" s="880" t="str">
        <f>IF(PL!$AO$4=2,"",IF(AND(COUNT(PL!$A$6:$A$11)&gt;2,PL!$CF12="P"),PL!$CG12,""))</f>
        <v/>
      </c>
      <c r="AA16" s="880"/>
      <c r="AB16" s="144" t="str">
        <f>IF(Z16="","","Rep.")</f>
        <v/>
      </c>
      <c r="AC16" s="144"/>
      <c r="AD16" s="144" t="str">
        <f>IF(AE16="","","Pts")</f>
        <v/>
      </c>
      <c r="AE16" s="880" t="str">
        <f>IF(PL!$AO$4=2,"",IF(AND(COUNT(PL!$A$6:$A$11)&gt;2,PL!$CF11="P"),PL!$CG11,""))</f>
        <v/>
      </c>
      <c r="AF16" s="880"/>
      <c r="AG16" s="144" t="str">
        <f>IF(AE16="","","Rep.")</f>
        <v/>
      </c>
      <c r="AH16" s="32"/>
      <c r="AI16" s="32"/>
      <c r="AJ16" s="32"/>
      <c r="AK16" s="145" t="str">
        <f>IF(AL16="","","PM")</f>
        <v/>
      </c>
      <c r="AL16" s="881" t="str" cm="1">
        <f t="array" ref="AL16">IF(SUM(PL!$Q$6:$Q$11)=0,"",IF(PL!$AO$4&gt;1,IF(_xlfn.XLOOKUP('T PL'!C17,"Licence n° "&amp;PL!$B$6:$B$11,PL!$AO$6:$AO$11,"",0,1)=1,"Forfait",_xlfn.XLOOKUP('T PL'!C17,"Licence n° "&amp;PL!$B$37:$B$42,PL!$Q$37:$Q$42,"",0,1)),""))</f>
        <v/>
      </c>
      <c r="AM16" s="881"/>
      <c r="AN16" s="145" t="str">
        <f>IF(AL16="","","MGP")</f>
        <v/>
      </c>
      <c r="AO16" s="32"/>
      <c r="AP16" s="151" t="str">
        <f>IF(OR(PL!$AO$4&lt;2,LEFT(PL!$F$13)="F"),"","Pts Rk")</f>
        <v/>
      </c>
      <c r="AQ16" s="32"/>
      <c r="AS16" s="840"/>
      <c r="AT16" s="32"/>
    </row>
    <row r="17" spans="1:52" ht="12.6" customHeight="1" x14ac:dyDescent="0.25">
      <c r="A17" s="32"/>
      <c r="B17" s="32"/>
      <c r="C17" s="147" t="str">
        <f>IF(PL!AO4=2,"Licence n° "&amp;_xlfn.XLOOKUP(2,PL!M6:M11,PL!B6:B11,"",0,1),IF(COUNT(PL!A6:A11)&gt;2,"Licence n° "&amp;PL!B7," "))</f>
        <v xml:space="preserve"> </v>
      </c>
      <c r="D17" s="32"/>
      <c r="E17" s="144" t="str">
        <f>IF(F16="","","Moy.")</f>
        <v/>
      </c>
      <c r="F17" s="880"/>
      <c r="G17" s="880"/>
      <c r="H17" s="144" t="str">
        <f>IF(F16="","","MS")</f>
        <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
      </c>
      <c r="AL17" s="881"/>
      <c r="AM17" s="881"/>
      <c r="AN17" s="145" t="str">
        <f>IF(AL16="","","MS")</f>
        <v/>
      </c>
      <c r="AO17" s="32"/>
      <c r="AP17" s="148" t="str">
        <f>IF(OR(PL!$AO$4&lt;2,LEFT(PL!$F$13)="F"),"","Bonus")</f>
        <v/>
      </c>
      <c r="AQ17" s="32"/>
      <c r="AS17" s="846" t="s">
        <v>8115</v>
      </c>
      <c r="AT17" s="32"/>
      <c r="AZ17" s="241"/>
    </row>
    <row r="18" spans="1:52" ht="50.1" customHeight="1" x14ac:dyDescent="0.25">
      <c r="A18" s="32"/>
      <c r="B18" s="32"/>
      <c r="C18" s="149" t="str">
        <f>IF(PL!AO4=2,_xlfn.XLOOKUP(2,PL!M6:M11,PL!G6:G11,"",0,1),IF(COUNT(PL!A6:A11)&gt;2,PL!G7," "))</f>
        <v xml:space="preserve"> </v>
      </c>
      <c r="D18" s="32"/>
      <c r="E18" s="883" t="str">
        <f>IF(F16="","",IF(F16&gt;0,E15/G15,"/"))</f>
        <v/>
      </c>
      <c r="F18" s="883"/>
      <c r="G18" s="884" t="str">
        <f>IF(AND(PL!$AO$4=2,PL!$A18="P"),PL!Q18,IF(AND(COUNT(PL!$A$6:$A$11)&gt;2,PL!$CF15="P"),PL!$CD15,""))</f>
        <v/>
      </c>
      <c r="H18" s="884"/>
      <c r="I18" s="32"/>
      <c r="J18" s="885"/>
      <c r="K18" s="885"/>
      <c r="L18" s="885"/>
      <c r="M18" s="885"/>
      <c r="N18" s="32"/>
      <c r="O18" s="883" t="str">
        <f>IF(P16="","",IF(P16&gt;0,O15/Q15,"/"))</f>
        <v/>
      </c>
      <c r="P18" s="883"/>
      <c r="Q18" s="884" t="str">
        <f>IF(PL!$AO$4=2,"",IF(AND(COUNT(PL!$A$6:$A$11)&gt;2,PL!$CF14="P"),PL!$CD14,""))</f>
        <v/>
      </c>
      <c r="R18" s="884"/>
      <c r="S18" s="32"/>
      <c r="T18" s="883" t="str">
        <f>IF(U16="","",IF(U16&gt;0,T15/V15,"/"))</f>
        <v/>
      </c>
      <c r="U18" s="883"/>
      <c r="V18" s="884" t="str">
        <f>IF(PL!$AO$4=2,"",IF(AND(COUNT(PL!$A$6:$A$11)&gt;2,PL!$CF13="P"),PL!$CD13,""))</f>
        <v/>
      </c>
      <c r="W18" s="884"/>
      <c r="X18" s="32"/>
      <c r="Y18" s="883" t="str">
        <f>IF(Z16="","",IF(Z16&gt;0,Y15/AA15,"/"))</f>
        <v/>
      </c>
      <c r="Z18" s="883"/>
      <c r="AA18" s="884" t="str">
        <f>IF(PL!$AO$4=2,"",IF(AND(COUNT(PL!$A$6:$A$11)&gt;2,PL!$CF12="P"),PL!$CD12,""))</f>
        <v/>
      </c>
      <c r="AB18" s="884"/>
      <c r="AC18" s="32"/>
      <c r="AD18" s="883" t="str">
        <f>IF(AE16="","",IF(AE16&gt;0,AD15/AF15,"/"))</f>
        <v/>
      </c>
      <c r="AE18" s="883"/>
      <c r="AF18" s="884" t="str">
        <f>IF(PL!$AO$4=2,"",IF(AND(COUNT(PL!$A$6:$A$11)&gt;2,PL!$CF11="P"),PL!$CD11,""))</f>
        <v/>
      </c>
      <c r="AG18" s="884"/>
      <c r="AH18" s="32"/>
      <c r="AI18" s="32"/>
      <c r="AJ18" s="32"/>
      <c r="AK18" s="883" t="str" cm="1">
        <f t="array" ref="AK18">IF(PL!$AO$4&lt;2,"",IF(_xlfn.XLOOKUP('T PL'!C17,"Licence n° "&amp;PL!$B$6:$B$11,PL!$AO$6:$AO$11,"",0,1)=1,"",_xlfn.XLOOKUP('T PL'!C17,"Licence n° "&amp;PL!$B$6:$B$11,PL!$U$6:$U$11,"",0,1)))</f>
        <v/>
      </c>
      <c r="AL18" s="883"/>
      <c r="AM18" s="884" t="str" cm="1">
        <f t="array" ref="AM18">IF(PL!$AO$4&lt;2,"",IF(_xlfn.XLOOKUP('T PL'!C17,"Licence n° "&amp;PL!$B$6:$B$11,PL!$AO$6:$AO$11,"",0,1)=1,"",_xlfn.XLOOKUP('T PL'!C17,"Licence n° "&amp;PL!$B$6:$B$11,PL!$S$6:$S$11,"",0,1)))</f>
        <v/>
      </c>
      <c r="AN18" s="884"/>
      <c r="AO18" s="32"/>
      <c r="AP18" s="562" t="str" cm="1">
        <f t="array" ref="AP18">_xlfn.XLOOKUP(C17,"Licence n° "&amp;PL!$B$6:$B$11,PL!$X$6:$X$11,"",0,1)</f>
        <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IF(PL!AO4=2,C10,IF(COUNT(PL!A6:A11)&gt;2,CONCATENATE(PL!C8," ",LEFT(PL!E8),"."),""))</f>
        <v/>
      </c>
      <c r="D20" s="32"/>
      <c r="E20" s="882" t="str">
        <f>IF(PL!$AO$4=2,"",IF(AND(COUNT(PL!$A$6:$A$11)&gt;2,PL!$CF20="P"),PL!$CC20,""))</f>
        <v/>
      </c>
      <c r="F20" s="882"/>
      <c r="G20" s="882" t="str">
        <f>IF(PL!$AO$4=2,"",IF(AND(COUNT(PL!$A$6:$A$11)&gt;2,PL!$CF20="P"),PL!$CE20,""))</f>
        <v/>
      </c>
      <c r="H20" s="882"/>
      <c r="I20" s="142"/>
      <c r="J20" s="882" t="str">
        <f>IF(PL!$AO$4=2,"",IF(AND(COUNT(PL!$A$6:$A$11)&gt;2,PL!$CF19="P"),PL!$CC19,""))</f>
        <v/>
      </c>
      <c r="K20" s="882"/>
      <c r="L20" s="882" t="str">
        <f>IF(PL!$AO$4=2,"",IF(AND(COUNT(PL!$A$6:$A$11)&gt;2,PL!$CF19="P"),PL!$CE19,""))</f>
        <v/>
      </c>
      <c r="M20" s="882"/>
      <c r="N20" s="32"/>
      <c r="O20" s="885" t="str">
        <f>IF(PL!W35="NON",AG1,IF(PL!AO4=2,"MATCH 2",IF(PL!AO4&gt;2,_xlfn.XLOOKUP(C23,'LOGOS CLUBS'!$B$2:$B$65,'LOGOS CLUBS'!$C$2:$C$65,C23,0,1),"")))</f>
        <v/>
      </c>
      <c r="P20" s="885"/>
      <c r="Q20" s="885"/>
      <c r="R20" s="885"/>
      <c r="S20" s="32"/>
      <c r="T20" s="882" t="str">
        <f>IF(AND(PL!$AO$4=2,PL!$A19="P"),PL!P19,IF(AND(COUNT(PL!$A$6:$A$11)&gt;2,PL!$CF18="P"),PL!$CC18,""))</f>
        <v/>
      </c>
      <c r="U20" s="882"/>
      <c r="V20" s="882" t="str">
        <f>IF(AND(PL!$AO$4=2,PL!$A19="P"),PL!O19,IF(AND(COUNT(PL!$A$6:$A$11)&gt;2,PL!$CF18="P"),PL!$CE18,""))</f>
        <v/>
      </c>
      <c r="W20" s="882"/>
      <c r="X20" s="142"/>
      <c r="Y20" s="882" t="str">
        <f>IF(PL!$AO$4=2,"",IF(AND(COUNT(PL!$A$6:$A$11)&gt;2,PL!$CF17="P"),PL!$CC17,""))</f>
        <v/>
      </c>
      <c r="Z20" s="882"/>
      <c r="AA20" s="882" t="str">
        <f>IF(PL!$AO$4=2,"",IF(AND(COUNT(PL!$A$6:$A$11)&gt;2,PL!$CF17="P"),PL!$CE17,""))</f>
        <v/>
      </c>
      <c r="AB20" s="882"/>
      <c r="AC20" s="142"/>
      <c r="AD20" s="882" t="str">
        <f>IF(PL!$AO$4=2,"",IF(AND(COUNT(PL!$A$6:$A$11)&gt;2,PL!$CF16="P"),PL!$CC16,""))</f>
        <v/>
      </c>
      <c r="AE20" s="882"/>
      <c r="AF20" s="882" t="str">
        <f>IF(PL!$AO$4=2,"",IF(AND(COUNT(PL!$A$6:$A$11)&gt;2,PL!$CF16="P"),PL!$CE16,""))</f>
        <v/>
      </c>
      <c r="AG20" s="882"/>
      <c r="AH20" s="32"/>
      <c r="AI20" s="32"/>
      <c r="AJ20" s="32"/>
      <c r="AK20" s="882" t="str" cm="1">
        <f t="array" ref="AK20">IF(PL!$AO$4&lt;3,"",IF(_xlfn.XLOOKUP('T PL'!C22,"Licence n° "&amp;PL!$B$6:$B$11,PL!$AO$6:$AO$11,"",0,1)=1,"",_xlfn.XLOOKUP('T PL'!C22,"Licence n° "&amp;PL!$B$6:$B$11,PL!$V$6:$V$11,"",0,1)))</f>
        <v/>
      </c>
      <c r="AL20" s="882"/>
      <c r="AM20" s="879" t="str" cm="1">
        <f t="array" ref="AM20">IF(PL!$AO$4&lt;3,"",IF(_xlfn.XLOOKUP('T PL'!C22,"Licence n° "&amp;PL!$B$6:$B$11,PL!$AO$6:$AO$11,"",0,1)=1,"",_xlfn.XLOOKUP('T PL'!C22,"Licence n° "&amp;PL!$B$6:$B$11,PL!$T$6:$T$11,"",0,1)))</f>
        <v/>
      </c>
      <c r="AN20" s="879"/>
      <c r="AO20" s="32"/>
      <c r="AP20" s="561" t="str" cm="1">
        <f t="array" ref="AP20">IF(PL!$AO$4&lt;3,"",_xlfn.XLOOKUP(C22,"Licence n° "&amp;PL!$B$6:$B$11,PL!$W$6:$W$11,"",0,1))</f>
        <v/>
      </c>
      <c r="AQ20" s="32"/>
      <c r="AS20" s="847" t="s">
        <v>8116</v>
      </c>
      <c r="AT20" s="32"/>
      <c r="AZ20" s="241"/>
    </row>
    <row r="21" spans="1:52" ht="12.6" customHeight="1" x14ac:dyDescent="0.25">
      <c r="A21" s="32"/>
      <c r="B21" s="32"/>
      <c r="C21" s="143" t="str" cm="1">
        <f t="array" ref="C21">IF(PL!$AO$4=2,_xlfn.XLOOKUP(1,PL!$M$6:$M$11,PL!$K$6:$K$11&amp;" "&amp;PL!$AS$6:$AS$11,"",0,1),IF(COUNT(PL!$A$6:$A$11)&gt;2,PL!$K8&amp;" - "&amp;PL!$AS8," "))</f>
        <v xml:space="preserve"> </v>
      </c>
      <c r="D21" s="32"/>
      <c r="E21" s="144" t="str">
        <f>IF(F21="","","Pts")</f>
        <v/>
      </c>
      <c r="F21" s="880" t="str">
        <f>IF(PL!$AO$4=2,"",IF(AND(COUNT(PL!$A$6:$A$11)&gt;2,PL!$CF20="P"),PL!$CG20,""))</f>
        <v/>
      </c>
      <c r="G21" s="880"/>
      <c r="H21" s="144" t="str">
        <f>IF(F21="","","Rep.")</f>
        <v/>
      </c>
      <c r="I21" s="144"/>
      <c r="J21" s="144" t="str">
        <f>IF(K21="","","Pts")</f>
        <v/>
      </c>
      <c r="K21" s="880" t="str">
        <f>IF(PL!$AO$4=2,"",IF(AND(COUNT(PL!$A$6:$A$11)&gt;2,PL!$CF19="P"),PL!$CG19,""))</f>
        <v/>
      </c>
      <c r="L21" s="880"/>
      <c r="M21" s="144" t="str">
        <f>IF(K21="","","Rep.")</f>
        <v/>
      </c>
      <c r="N21" s="32"/>
      <c r="O21" s="885"/>
      <c r="P21" s="885"/>
      <c r="Q21" s="885"/>
      <c r="R21" s="885"/>
      <c r="S21" s="32"/>
      <c r="T21" s="144" t="str">
        <f>IF(U21="","","Pts")</f>
        <v/>
      </c>
      <c r="U21" s="880" t="str">
        <f>IF(PL!$AO$4=2,PL!X19,IF(AND(COUNT(PL!$A$6:$A$11)&gt;2,PL!$CF18="P"),PL!$CG18,""))</f>
        <v/>
      </c>
      <c r="V21" s="880"/>
      <c r="W21" s="144" t="str">
        <f>IF(U21="","","Rep.")</f>
        <v/>
      </c>
      <c r="X21" s="144"/>
      <c r="Y21" s="144" t="str">
        <f>IF(Z21="","","Pts")</f>
        <v/>
      </c>
      <c r="Z21" s="880" t="str">
        <f>IF(PL!$AO$4=2,"",IF(AND(COUNT(PL!$A$6:$A$11)&gt;2,PL!$CF17="P"),PL!$CG17,""))</f>
        <v/>
      </c>
      <c r="AA21" s="880"/>
      <c r="AB21" s="144" t="str">
        <f>IF(Z21="","","Rep.")</f>
        <v/>
      </c>
      <c r="AC21" s="144"/>
      <c r="AD21" s="144" t="str">
        <f>IF(AE21="","","Pts")</f>
        <v/>
      </c>
      <c r="AE21" s="880" t="str">
        <f>IF(PL!$AO$4=2,"",IF(AND(COUNT(PL!$A$6:$A$11)&gt;2,PL!$CF16="P"),PL!$CG16,""))</f>
        <v/>
      </c>
      <c r="AF21" s="880"/>
      <c r="AG21" s="144" t="str">
        <f>IF(AE21="","","Rep.")</f>
        <v/>
      </c>
      <c r="AH21" s="32"/>
      <c r="AI21" s="32"/>
      <c r="AJ21" s="32"/>
      <c r="AK21" s="145" t="str">
        <f>IF(AL21="","","PM")</f>
        <v/>
      </c>
      <c r="AL21" s="881" t="str" cm="1">
        <f t="array" ref="AL21">IF(SUM(PL!$Q$6:$Q$11)=0,"",IF(PL!$AO$4&gt;2,IF(_xlfn.XLOOKUP('T PL'!C22,"Licence n° "&amp;PL!$B$6:$B$11,PL!$AO$6:$AO$11,"",0,1)=1,"Forfait",_xlfn.XLOOKUP('T PL'!C22,"Licence n° "&amp;PL!$B$37:$B$42,PL!$Q$37:$Q$42,"",0,1)),""))</f>
        <v/>
      </c>
      <c r="AM21" s="881"/>
      <c r="AN21" s="145" t="str">
        <f>IF(AL21="","","MGP")</f>
        <v/>
      </c>
      <c r="AO21" s="32"/>
      <c r="AP21" s="151" t="str">
        <f>IF(OR(PL!$AO$4&lt;3,LEFT(PL!$F$13)="F"),"","Pts Rk")</f>
        <v/>
      </c>
      <c r="AQ21" s="32"/>
      <c r="AS21" s="847"/>
      <c r="AT21" s="32"/>
    </row>
    <row r="22" spans="1:52" ht="12.6" customHeight="1" x14ac:dyDescent="0.25">
      <c r="A22" s="32"/>
      <c r="B22" s="32"/>
      <c r="C22" s="147" t="str">
        <f>IF(PL!AO4=2,C12,IF(COUNT(PL!A6:A11)&gt;2,"Licence n° "&amp;PL!B8," "))</f>
        <v xml:space="preserve"> </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IF(OR(PL!$AO$4&lt;3,LEFT(PL!$F$13)="F"),"","Bonus")</f>
        <v/>
      </c>
      <c r="AQ22" s="32"/>
      <c r="AS22" s="848" t="s">
        <v>8117</v>
      </c>
      <c r="AT22" s="32"/>
    </row>
    <row r="23" spans="1:52" ht="50.1" customHeight="1" x14ac:dyDescent="0.25">
      <c r="A23" s="32"/>
      <c r="B23" s="32"/>
      <c r="C23" s="149" t="str">
        <f>IF(PL!AO4=2,C13,IF(COUNT(PL!A6:A11)&gt;2,PL!G8," "))</f>
        <v xml:space="preserve"> </v>
      </c>
      <c r="D23" s="32"/>
      <c r="E23" s="883" t="str">
        <f>IF(F21="","",IF(F21&gt;0,E20/G20,"/"))</f>
        <v/>
      </c>
      <c r="F23" s="883"/>
      <c r="G23" s="884" t="str">
        <f>IF(PL!$AO$4=2,"",IF(AND(COUNT(PL!$A$6:$A$11)&gt;2,PL!$CF20="P"),PL!$CD20,""))</f>
        <v/>
      </c>
      <c r="H23" s="884"/>
      <c r="I23" s="32"/>
      <c r="J23" s="883" t="str">
        <f>IF(K21="","",IF(K21&gt;0,J20/L20,"/"))</f>
        <v/>
      </c>
      <c r="K23" s="883"/>
      <c r="L23" s="884" t="str">
        <f>IF(PL!$AO$4=2,"",IF(AND(COUNT(PL!$A$6:$A$11)&gt;2,PL!$CF19="P"),PL!$CD19,""))</f>
        <v/>
      </c>
      <c r="M23" s="884"/>
      <c r="N23" s="32"/>
      <c r="O23" s="885"/>
      <c r="P23" s="885"/>
      <c r="Q23" s="885"/>
      <c r="R23" s="885"/>
      <c r="S23" s="32"/>
      <c r="T23" s="883" t="str">
        <f>IF(U21="","",IF(U21&gt;0,T20/V20,"/"))</f>
        <v/>
      </c>
      <c r="U23" s="883"/>
      <c r="V23" s="884" t="str">
        <f>IF(AND(PL!$AO$4=2,PL!$A19="P"),PL!Q19,IF(AND(COUNT(PL!$A$6:$A$11)&gt;2,PL!$CF18="P"),PL!$CD18,""))</f>
        <v/>
      </c>
      <c r="W23" s="884"/>
      <c r="X23" s="32"/>
      <c r="Y23" s="883" t="str">
        <f>IF(Z21="","",IF(Z21&gt;0,Y20/AA20,"/"))</f>
        <v/>
      </c>
      <c r="Z23" s="883"/>
      <c r="AA23" s="884" t="str">
        <f>IF(PL!$AO$4=2,"",IF(AND(COUNT(PL!$A$6:$A$11)&gt;2,PL!$CF17="P"),PL!$CD17,""))</f>
        <v/>
      </c>
      <c r="AB23" s="884"/>
      <c r="AC23" s="32"/>
      <c r="AD23" s="883" t="str">
        <f>IF(AE21="","",IF(AE21&gt;0,AD20/AF20,"/"))</f>
        <v/>
      </c>
      <c r="AE23" s="883"/>
      <c r="AF23" s="884" t="str">
        <f>IF(PL!$AO$4=2,"",IF(AND(COUNT(PL!$A$6:$A$11)&gt;2,PL!$CF16="P"),PL!$CD16,""))</f>
        <v/>
      </c>
      <c r="AG23" s="884"/>
      <c r="AH23" s="32"/>
      <c r="AI23" s="32"/>
      <c r="AJ23" s="32"/>
      <c r="AK23" s="883" t="str" cm="1">
        <f t="array" ref="AK23">IF(PL!$AO$4&lt;3,"",IF(_xlfn.XLOOKUP('T PL'!C22,"Licence n° "&amp;PL!$B$6:$B$11,PL!$AO$6:$AO$11,"",0,1)=1,"",_xlfn.XLOOKUP('T PL'!C22,"Licence n° "&amp;PL!$B$6:$B$11,PL!$U$6:$U$11,"",0,1)))</f>
        <v/>
      </c>
      <c r="AL23" s="883"/>
      <c r="AM23" s="884" t="str" cm="1">
        <f t="array" ref="AM23">IF(PL!$AO$4&lt;3,"",IF(_xlfn.XLOOKUP('T PL'!C22,"Licence n° "&amp;PL!$B$6:$B$11,PL!$AO$6:$AO$11,"",0,1)=1,"",_xlfn.XLOOKUP('T PL'!C22,"Licence n° "&amp;PL!$B$6:$B$11,PL!$S$6:$S$11,"",0,1)))</f>
        <v/>
      </c>
      <c r="AN23" s="884"/>
      <c r="AO23" s="32"/>
      <c r="AP23" s="562" t="str" cm="1">
        <f t="array" ref="AP23">IF(PL!$AO$4&lt;3,"",_xlfn.XLOOKUP(C22,"Licence n° "&amp;PL!$B$6:$B$11,PL!$X$6:$X$11,"",0,1))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IF(PL!AO4=2,C15,IF(COUNT(PL!A6:A11)&gt;3,CONCATENATE(PL!C9," ",LEFT(PL!E9),"."),""))</f>
        <v/>
      </c>
      <c r="D25" s="32"/>
      <c r="E25" s="882" t="str">
        <f>IF(PL!$AO$4=2,"",IF(AND(COUNT(PL!$A$6:$A$11)&gt;2,PL!$CF25="P"),PL!$CC25,""))</f>
        <v/>
      </c>
      <c r="F25" s="882"/>
      <c r="G25" s="882" t="str">
        <f>IF(PL!$AO$4=2,"",IF(AND(COUNT(PL!$A$6:$A$11)&gt;2,PL!$CF25="P"),PL!$CE25,""))</f>
        <v/>
      </c>
      <c r="H25" s="882"/>
      <c r="I25" s="142"/>
      <c r="J25" s="882" t="str">
        <f>IF(PL!$AO$4=2,"",IF(AND(COUNT(PL!$A$6:$A$11)&gt;2,PL!$CF24="P"),PL!$CC24,""))</f>
        <v/>
      </c>
      <c r="K25" s="882"/>
      <c r="L25" s="882" t="str">
        <f>IF(PL!$AO$4=2,"",IF(AND(COUNT(PL!$A$6:$A$11)&gt;2,PL!$CF24="P"),PL!$CE24,""))</f>
        <v/>
      </c>
      <c r="M25" s="882"/>
      <c r="N25" s="142"/>
      <c r="O25" s="882" t="str">
        <f>IF(AND(PL!$AO$4=2,PL!$A19="P"),PL!N19,IF(AND(COUNT(PL!$A$6:$A$11)&gt;2,PL!$CF23="P"),PL!$CC23,""))</f>
        <v/>
      </c>
      <c r="P25" s="882"/>
      <c r="Q25" s="882" t="str">
        <f>IF(AND(PL!$AO$4=2,PL!$A19="P"),PL!O19,IF(AND(COUNT(PL!$A$6:$A$11)&gt;2,PL!$CF23="P"),PL!$CE23,""))</f>
        <v/>
      </c>
      <c r="R25" s="882"/>
      <c r="S25" s="32"/>
      <c r="T25" s="886" t="str">
        <f>IF(PL!W35="NON",AG1,IF(OR(PL!AO4=2,COUNT(PL!A6:A11)&gt;3),_xlfn.XLOOKUP('T PL'!C28,'LOGOS CLUBS'!$B$2:$B$65,'LOGOS CLUBS'!$C$2:$C$65,C28,0,1),""))</f>
        <v/>
      </c>
      <c r="U25" s="886"/>
      <c r="V25" s="886"/>
      <c r="W25" s="886"/>
      <c r="X25" s="32"/>
      <c r="Y25" s="882" t="str">
        <f>IF(PL!$AO$4=2,"",IF(AND(COUNT(PL!$A$6:$A$11)&gt;2,PL!$CF22="P"),PL!$CC22,""))</f>
        <v/>
      </c>
      <c r="Z25" s="882"/>
      <c r="AA25" s="882" t="str">
        <f>IF(PL!$AO$4=2,"",IF(AND(COUNT(PL!$A$6:$A$11)&gt;2,PL!$CF22="P"),PL!$CE22,""))</f>
        <v/>
      </c>
      <c r="AB25" s="882"/>
      <c r="AC25" s="142"/>
      <c r="AD25" s="882" t="str">
        <f>IF(PL!$AO$4=2,"",IF(AND(COUNT(PL!$A$6:$A$11)&gt;2,PL!$CF21="P"),PL!$CC21,""))</f>
        <v/>
      </c>
      <c r="AE25" s="882"/>
      <c r="AF25" s="882" t="str">
        <f>IF(PL!$AO$4=2,"",IF(AND(COUNT(PL!$A$6:$A$11)&gt;2,PL!$CF21="P"),PL!$CE21,""))</f>
        <v/>
      </c>
      <c r="AG25" s="882"/>
      <c r="AH25" s="32"/>
      <c r="AI25" s="32"/>
      <c r="AJ25" s="32"/>
      <c r="AK25" s="882" t="str" cm="1">
        <f t="array" ref="AK25">IF(PL!$AO$4&lt;3,"",IF(_xlfn.XLOOKUP('T PL'!C27,"Licence n° "&amp;PL!$B$6:$B$11,PL!$AO$6:$AO$11,"",0,1)=1,"",_xlfn.XLOOKUP('T PL'!C27,"Licence n° "&amp;PL!$B$6:$B$11,PL!$V$6:$V$11,"",0,1)))</f>
        <v/>
      </c>
      <c r="AL25" s="882"/>
      <c r="AM25" s="879" t="str" cm="1">
        <f t="array" ref="AM25">IF(PL!$AO$4&lt;3,"",IF(_xlfn.XLOOKUP('T PL'!C27,"Licence n° "&amp;PL!$B$6:$B$11,PL!$AO$6:$AO$11,"",0,1)=1,"",_xlfn.XLOOKUP('T PL'!C27,"Licence n° "&amp;PL!$B$6:$B$11,PL!$T$6:$T$11,"",0,1)))</f>
        <v/>
      </c>
      <c r="AN25" s="879"/>
      <c r="AO25" s="32"/>
      <c r="AP25" s="561" t="str" cm="1">
        <f t="array" ref="AP25">IF(OR(PL!AO4&lt;3,COUNT(PL!$A$6:$A$11&lt;3)),"",_xlfn.XLOOKUP(C27,"Licence n° "&amp;PL!$B$6:$B$11,PL!$W$6:$W$11,"",0,1))</f>
        <v/>
      </c>
      <c r="AQ25" s="32"/>
      <c r="AS25" s="849" t="s">
        <v>8118</v>
      </c>
      <c r="AT25" s="32"/>
    </row>
    <row r="26" spans="1:52" ht="12.6" customHeight="1" x14ac:dyDescent="0.25">
      <c r="A26" s="32"/>
      <c r="B26" s="32"/>
      <c r="C26" s="143" t="str" cm="1">
        <f t="array" ref="C26">IF(PL!$AO$4=2,_xlfn.XLOOKUP(2,PL!$M$6:$M$11,PL!$K$6:$K$11&amp;" "&amp;PL!$AS$6:$AS$11,"",0,1),IF(COUNT(PL!$A$6:$A$11)&gt;3,PL!$K9&amp;" - "&amp;PL!$AS9," "))</f>
        <v xml:space="preserve"> </v>
      </c>
      <c r="D26" s="32"/>
      <c r="E26" s="144" t="str">
        <f>IF(F26="","","Pts")</f>
        <v/>
      </c>
      <c r="F26" s="880" t="str">
        <f>IF(PL!$AO$4=2,"",IF(AND(COUNT(PL!$A$6:$A$11)&gt;2,PL!$CF25="P"),PL!$CG25,""))</f>
        <v/>
      </c>
      <c r="G26" s="880"/>
      <c r="H26" s="144" t="str">
        <f>IF(F26="","","Rep.")</f>
        <v/>
      </c>
      <c r="I26" s="144"/>
      <c r="J26" s="144" t="str">
        <f>IF(K26="","","Pts")</f>
        <v/>
      </c>
      <c r="K26" s="880" t="str">
        <f>IF(PL!$AO$4=2,"",IF(AND(COUNT(PL!$A$6:$A$11)&gt;2,PL!$CF24="P"),PL!$CG24,""))</f>
        <v/>
      </c>
      <c r="L26" s="880"/>
      <c r="M26" s="144" t="str">
        <f>IF(K26="","","Rep.")</f>
        <v/>
      </c>
      <c r="N26" s="144"/>
      <c r="O26" s="144" t="str">
        <f>IF(P26="","","Pts")</f>
        <v/>
      </c>
      <c r="P26" s="880" t="str">
        <f>IF(PL!$AO$4=2,PL!D19,IF(AND(COUNT(PL!$A$6:$A$11)&gt;2,PL!$CF23="P"),PL!$CG23,""))</f>
        <v/>
      </c>
      <c r="Q26" s="880"/>
      <c r="R26" s="144" t="str">
        <f>IF(P26="","","Rep.")</f>
        <v/>
      </c>
      <c r="S26" s="32"/>
      <c r="T26" s="886"/>
      <c r="U26" s="886"/>
      <c r="V26" s="886"/>
      <c r="W26" s="886"/>
      <c r="X26" s="32"/>
      <c r="Y26" s="144" t="str">
        <f>IF(Z26="","","Pts")</f>
        <v/>
      </c>
      <c r="Z26" s="880" t="str">
        <f>IF(PL!$AO$4=2,"",IF(AND(COUNT(PL!$A$6:$A$11)&gt;2,PL!$CF22="P"),PL!$CG22,""))</f>
        <v/>
      </c>
      <c r="AA26" s="880"/>
      <c r="AB26" s="144" t="str">
        <f>IF(Z26="","","Rep.")</f>
        <v/>
      </c>
      <c r="AC26" s="144"/>
      <c r="AD26" s="144" t="str">
        <f>IF(AE26="","","Pts")</f>
        <v/>
      </c>
      <c r="AE26" s="880" t="str">
        <f>IF(PL!$AO$4=2,"",IF(AND(COUNT(PL!$A$6:$A$11)&gt;2,PL!$CF21="P"),PL!$CG21,""))</f>
        <v/>
      </c>
      <c r="AF26" s="880"/>
      <c r="AG26" s="144" t="str">
        <f>IF(AE26="","","Rep.")</f>
        <v/>
      </c>
      <c r="AH26" s="32"/>
      <c r="AI26" s="32"/>
      <c r="AJ26" s="32"/>
      <c r="AK26" s="145" t="str">
        <f>IF(AL26="","","PM")</f>
        <v/>
      </c>
      <c r="AL26" s="881" t="str" cm="1">
        <f t="array" ref="AL26">IF(SUM(PL!$Q$6:$Q$11)=0,"",IF(PL!$AO$4&gt;2,IF(_xlfn.XLOOKUP('T PL'!C27,"Licence n° "&amp;PL!$B$6:$B$11,PL!$AO$6:$AO$11,"",0,1)=1,"Forfait",_xlfn.XLOOKUP('T PL'!C27,"Licence n° "&amp;PL!$B$37:$B$42,PL!$Q$37:$Q$42,"",0,1)),""))</f>
        <v/>
      </c>
      <c r="AM26" s="881"/>
      <c r="AN26" s="145" t="str">
        <f>IF(AL26="","","MGP")</f>
        <v/>
      </c>
      <c r="AO26" s="32"/>
      <c r="AP26" s="151" t="str">
        <f>IF(AND(COUNT(PL!$A$6:$A$11)&gt;3,PL!$AO$4&gt;2,LEFT(PL!$F$13)="P"),"Pts Rk","")</f>
        <v/>
      </c>
      <c r="AQ26" s="32"/>
      <c r="AS26" s="849"/>
      <c r="AT26" s="32"/>
    </row>
    <row r="27" spans="1:52" ht="12.6" customHeight="1" x14ac:dyDescent="0.25">
      <c r="A27" s="32"/>
      <c r="B27" s="32"/>
      <c r="C27" s="147" t="str">
        <f>IF(PL!AO4=2,C17,IF(COUNT(PL!A6:A11)&gt;3,"Licence n° "&amp;PL!B9,"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IF(AND(COUNT(PL!$A$6:$A$11)&gt;3,PL!$AO$4&gt;2,LEFT(PL!$F$13)="P"),"Bonus","")</f>
        <v/>
      </c>
      <c r="AQ27" s="32"/>
      <c r="AS27" s="829" t="s">
        <v>8119</v>
      </c>
      <c r="AT27" s="32"/>
    </row>
    <row r="28" spans="1:52" ht="50.1" customHeight="1" x14ac:dyDescent="0.25">
      <c r="A28" s="32"/>
      <c r="B28" s="32"/>
      <c r="C28" s="149" t="str">
        <f>IF(PL!AO4=2,C18,IF(COUNT(PL!A6:A11)&gt;3,PL!G9," "))</f>
        <v xml:space="preserve"> </v>
      </c>
      <c r="D28" s="32"/>
      <c r="E28" s="883" t="str">
        <f>IF(F26="","",IF(F26&gt;0,E25/G25,"/"))</f>
        <v/>
      </c>
      <c r="F28" s="883"/>
      <c r="G28" s="884" t="str">
        <f>IF(PL!$AO$4=2,"",IF(AND(COUNT(PL!$A$6:$A$11)&gt;2,PL!$CF25="P"),PL!$CD25,""))</f>
        <v/>
      </c>
      <c r="H28" s="884"/>
      <c r="I28" s="32"/>
      <c r="J28" s="883" t="str">
        <f>IF(K26="","",IF(K26&gt;0,J25/L25,"/"))</f>
        <v/>
      </c>
      <c r="K28" s="883"/>
      <c r="L28" s="884" t="str">
        <f>IF(PL!$AO$4=2,"",IF(AND(COUNT(PL!$A$6:$A$11)&gt;2,PL!$CF24="P"),PL!$CD24,""))</f>
        <v/>
      </c>
      <c r="M28" s="884"/>
      <c r="N28" s="32"/>
      <c r="O28" s="883" t="str">
        <f>IF(P26="","",IF(P26&gt;0,O25/Q25,"/"))</f>
        <v/>
      </c>
      <c r="P28" s="883"/>
      <c r="Q28" s="884" t="str">
        <f>IF(AND(PL!$AO$4=2,PL!$A19="P"),PL!M19,IF(AND(COUNT(PL!$A$6:$A$11)&gt;2,PL!$CF23="P"),PL!$CD23,""))</f>
        <v/>
      </c>
      <c r="R28" s="884"/>
      <c r="S28" s="32"/>
      <c r="T28" s="886"/>
      <c r="U28" s="886"/>
      <c r="V28" s="886"/>
      <c r="W28" s="886"/>
      <c r="X28" s="32"/>
      <c r="Y28" s="883" t="str">
        <f>IF(Z26="","",IF(Z26&gt;0,Y25/AA25,"/"))</f>
        <v/>
      </c>
      <c r="Z28" s="883"/>
      <c r="AA28" s="884" t="str">
        <f>IF(PL!$AO$4=2,"",IF(AND(COUNT(PL!$A$6:$A$11)&gt;2,PL!$CF22="P"),PL!$CD22,""))</f>
        <v/>
      </c>
      <c r="AB28" s="884"/>
      <c r="AC28" s="32"/>
      <c r="AD28" s="883" t="str">
        <f>IF(AE26="","",IF(AE26&gt;0,AD25/AF25,"/"))</f>
        <v/>
      </c>
      <c r="AE28" s="883"/>
      <c r="AF28" s="884" t="str">
        <f>IF(PL!$AO$4=2,"",IF(AND(COUNT(PL!$A$6:$A$11)&gt;2,PL!$CF21="P"),PL!$CD21,""))</f>
        <v/>
      </c>
      <c r="AG28" s="884"/>
      <c r="AH28" s="32"/>
      <c r="AI28" s="32"/>
      <c r="AJ28" s="32"/>
      <c r="AK28" s="883" t="str" cm="1">
        <f t="array" ref="AK28">IF(PL!$AO$4&lt;3,"",IF(_xlfn.XLOOKUP('T PL'!C27,"Licence n° "&amp;PL!$B$6:$B$11,PL!$AO$6:$AO$11,"",0,1)=1,"",_xlfn.XLOOKUP('T PL'!C27,"Licence n° "&amp;PL!$B$6:$B$11,PL!$U$6:$U$11,"",0,1)))</f>
        <v/>
      </c>
      <c r="AL28" s="883"/>
      <c r="AM28" s="884" t="str" cm="1">
        <f t="array" ref="AM28">IF(PL!$AO$4&lt;3,"",IF(_xlfn.XLOOKUP('T PL'!C27,"Licence n° "&amp;PL!$B$6:$B$11,PL!$AO$6:$AO$11,"",0,1)=1,"",_xlfn.XLOOKUP('T PL'!C27,"Licence n° "&amp;PL!$B$6:$B$11,PL!$S$6:$S$11,"",0,1)))</f>
        <v/>
      </c>
      <c r="AN28" s="884"/>
      <c r="AO28" s="32"/>
      <c r="AP28" s="562" t="str" cm="1">
        <f t="array" ref="AP28">IF(OR(PL!AO4&lt;3,COUNT(PL!$A$6:$A$11)&lt;4),"",_xlfn.XLOOKUP(C27,"Licence n° "&amp;PL!$B$6:$B$11,PL!$X$6:$X$11,"",0,1))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IF(PL!AO4=2,"",IF(COUNT(PL!A6:A11)&gt;4,CONCATENATE(PL!C10," ",LEFT(PL!E10),"."),""))</f>
        <v/>
      </c>
      <c r="D30" s="32"/>
      <c r="E30" s="882" t="str">
        <f>IF(PL!$AO$4=2,"",IF(AND(COUNT(PL!$A$6:$A$11)&gt;2,PL!$CF30="P"),PL!$CC30,""))</f>
        <v/>
      </c>
      <c r="F30" s="882"/>
      <c r="G30" s="882" t="str">
        <f>IF(PL!$AO$4=2,"",IF(AND(COUNT(PL!$A$6:$A$11)&gt;2,PL!$CF30="P"),PL!$CE30,""))</f>
        <v/>
      </c>
      <c r="H30" s="882"/>
      <c r="I30" s="142"/>
      <c r="J30" s="882" t="str">
        <f>IF(PL!$AO$4=2,"",IF(AND(COUNT(PL!$A$6:$A$11)&gt;2,PL!$CF29="P"),PL!$CC29,""))</f>
        <v/>
      </c>
      <c r="K30" s="882"/>
      <c r="L30" s="882" t="str">
        <f>IF(PL!$AO$4=2,"",IF(AND(COUNT(PL!$A$6:$A$11)&gt;2,PL!$CF29="P"),PL!$CE29,""))</f>
        <v/>
      </c>
      <c r="M30" s="882"/>
      <c r="N30" s="142"/>
      <c r="O30" s="882" t="str">
        <f>IF(PL!$AO$4=2,"",IF(AND(COUNT(PL!$A$6:$A$11)&gt;2,PL!$CF28="P"),PL!$CC28,""))</f>
        <v/>
      </c>
      <c r="P30" s="882"/>
      <c r="Q30" s="882" t="str">
        <f>IF(PL!$AO$4=2,"",IF(AND(COUNT(PL!$A$6:$A$11)&gt;2,PL!$CF28="P"),PL!$CE28,""))</f>
        <v/>
      </c>
      <c r="R30" s="882"/>
      <c r="S30" s="142"/>
      <c r="T30" s="882" t="str">
        <f>IF(PL!$AO$4=2,"",IF(AND(COUNT(PL!$A$6:$A$11)&gt;2,PL!$CF27="P"),PL!$CC27,""))</f>
        <v/>
      </c>
      <c r="U30" s="882"/>
      <c r="V30" s="882" t="str">
        <f>IF(PL!$AO$4=2,"",IF(AND(COUNT(PL!$A$6:$A$11)&gt;2,PL!$CF27="P"),PL!$CE27,""))</f>
        <v/>
      </c>
      <c r="W30" s="882"/>
      <c r="X30" s="32"/>
      <c r="Y30" s="887" t="str">
        <f>IF(PL!W35="NON",AG1,IF(PL!AO4=2,"",IF(COUNT(PL!A6:A11)&gt;4,_xlfn.XLOOKUP('T PL'!C33,'LOGOS CLUBS'!$B$2:$B$65,'LOGOS CLUBS'!$C$2:$C$65,C33,0,1),"")))</f>
        <v/>
      </c>
      <c r="Z30" s="887"/>
      <c r="AA30" s="887"/>
      <c r="AB30" s="887"/>
      <c r="AC30" s="32"/>
      <c r="AD30" s="882" t="str">
        <f>IF(PL!$AO$4=2,"",IF(AND(COUNT(PL!$A$6:$A$11)&gt;2,PL!$CF26="P"),PL!$CC26,""))</f>
        <v/>
      </c>
      <c r="AE30" s="882"/>
      <c r="AF30" s="882" t="str">
        <f>IF(PL!$AO$4=2,"",IF(AND(COUNT(PL!$A$6:$A$11)&gt;2,PL!$CF26="P"),PL!$CE26,""))</f>
        <v/>
      </c>
      <c r="AG30" s="882"/>
      <c r="AH30" s="32"/>
      <c r="AI30" s="32"/>
      <c r="AJ30" s="32"/>
      <c r="AK30" s="882" t="str" cm="1">
        <f t="array" ref="AK30">IF(PL!$AO$4&lt;3,"",IF(_xlfn.XLOOKUP('T PL'!C32,"Licence n° "&amp;PL!$B$6:$B$11,PL!$AO$6:$AO$11,"",0,1)=1,"",_xlfn.XLOOKUP('T PL'!C32,"Licence n° "&amp;PL!$B$6:$B$11,PL!$V$6:$V$11,"",0,1)))</f>
        <v/>
      </c>
      <c r="AL30" s="882"/>
      <c r="AM30" s="879" t="str" cm="1">
        <f t="array" ref="AM30">IF(PL!$AO$4&lt;3,"",IF(_xlfn.XLOOKUP('T PL'!C32,"Licence n° "&amp;PL!$B$6:$B$11,PL!$AO$6:$AO$11,"",0,1)=1,"",_xlfn.XLOOKUP('T PL'!C32,"Licence n° "&amp;PL!$B$6:$B$11,PL!$T$6:$T$11,"",0,1)))</f>
        <v/>
      </c>
      <c r="AN30" s="879"/>
      <c r="AO30" s="32"/>
      <c r="AP30" s="561" t="str" cm="1">
        <f t="array" ref="AP30">_xlfn.XLOOKUP(C32,"Licence n° "&amp;PL!$B$6:$B$11,PL!$W$6:$W$11,"",0,1)</f>
        <v/>
      </c>
      <c r="AQ30" s="32"/>
      <c r="AS30" s="830" t="s">
        <v>8120</v>
      </c>
      <c r="AT30" s="32"/>
    </row>
    <row r="31" spans="1:52" ht="12.6" customHeight="1" x14ac:dyDescent="0.25">
      <c r="A31" s="32"/>
      <c r="B31" s="32"/>
      <c r="C31" s="143" t="str">
        <f>IF(PL!$AO$4=2,"",IF(COUNT(PL!$A$6:$A$11)&gt;4,PL!$K10&amp;" - "&amp;PL!$AS10," "))</f>
        <v xml:space="preserve"> </v>
      </c>
      <c r="D31" s="32"/>
      <c r="E31" s="144" t="str">
        <f>IF(F31="","","Pts")</f>
        <v/>
      </c>
      <c r="F31" s="880" t="str">
        <f>IF(PL!$AO$4=2,"",IF(AND(COUNT(PL!$A$6:$A$11)&gt;2,PL!$CF30="P"),PL!$CG30,""))</f>
        <v/>
      </c>
      <c r="G31" s="880"/>
      <c r="H31" s="144" t="str">
        <f>IF(F31="","","Rep.")</f>
        <v/>
      </c>
      <c r="I31" s="144"/>
      <c r="J31" s="144" t="str">
        <f>IF(K31="","","Pts")</f>
        <v/>
      </c>
      <c r="K31" s="880" t="str">
        <f>IF(PL!$AO$4=2,"",IF(AND(COUNT(PL!$A$6:$A$11)&gt;2,PL!$CF29="P"),PL!$CG29,""))</f>
        <v/>
      </c>
      <c r="L31" s="880"/>
      <c r="M31" s="144" t="str">
        <f>IF(K31="","","Rep.")</f>
        <v/>
      </c>
      <c r="N31" s="144"/>
      <c r="O31" s="144" t="str">
        <f>IF(P31="","","Pts")</f>
        <v/>
      </c>
      <c r="P31" s="880" t="str">
        <f>IF(PL!$AO$4=2,"",IF(AND(COUNT(PL!$A$6:$A$11)&gt;2,PL!$CF28="P"),PL!$CG28,""))</f>
        <v/>
      </c>
      <c r="Q31" s="880"/>
      <c r="R31" s="144" t="str">
        <f>IF(P31="","","Rep.")</f>
        <v/>
      </c>
      <c r="S31" s="144"/>
      <c r="T31" s="144" t="str">
        <f>IF(U31="","","Pts")</f>
        <v/>
      </c>
      <c r="U31" s="880" t="str">
        <f>IF(PL!$AO$4=2,"",IF(AND(COUNT(PL!$A$6:$A$11)&gt;2,PL!$CF27="P"),PL!$CG27,""))</f>
        <v/>
      </c>
      <c r="V31" s="880"/>
      <c r="W31" s="144" t="str">
        <f>IF(U31="","","Rep.")</f>
        <v/>
      </c>
      <c r="X31" s="32"/>
      <c r="Y31" s="887"/>
      <c r="Z31" s="887"/>
      <c r="AA31" s="887"/>
      <c r="AB31" s="887"/>
      <c r="AC31" s="32"/>
      <c r="AD31" s="144" t="str">
        <f>IF(AE31="","","Pts")</f>
        <v/>
      </c>
      <c r="AE31" s="880" t="str">
        <f>IF(PL!$AO$4=2,"",IF(AND(COUNT(PL!$A$6:$A$11)&gt;2,PL!$CF26="P"),PL!$CG26,""))</f>
        <v/>
      </c>
      <c r="AF31" s="880"/>
      <c r="AG31" s="144" t="str">
        <f>IF(AE31="","","Rep.")</f>
        <v/>
      </c>
      <c r="AH31" s="32"/>
      <c r="AI31" s="32"/>
      <c r="AJ31" s="32"/>
      <c r="AK31" s="145" t="str">
        <f>IF(AL31="","","PM")</f>
        <v/>
      </c>
      <c r="AL31" s="881" t="str" cm="1">
        <f t="array" ref="AL31">IF(SUM(PL!$Q$6:$Q$11)=0,"",IF(PL!$AO$4&gt;2,IF(_xlfn.XLOOKUP('T PL'!C32,"Licence n° "&amp;PL!$B$6:$B$11,PL!$AO$6:$AO$11,"",0,1)=1,"Forfait",_xlfn.XLOOKUP('T PL'!C32,"Licence n° "&amp;PL!$B$37:$B$42,PL!$Q$37:$Q$42,"",0,1)),""))</f>
        <v/>
      </c>
      <c r="AM31" s="881"/>
      <c r="AN31" s="145" t="str">
        <f>IF(AL31="","","MGP")</f>
        <v/>
      </c>
      <c r="AO31" s="32"/>
      <c r="AP31" s="151" t="str">
        <f>IF(AND(COUNT(PL!$A$6:$A$11)&gt;4,PL!$AO$4&gt;2,LEFT(PL!$F$13)="P"),"Pts Rk","")</f>
        <v/>
      </c>
      <c r="AQ31" s="32"/>
      <c r="AS31" s="830"/>
      <c r="AT31" s="32"/>
    </row>
    <row r="32" spans="1:52" ht="12.6" customHeight="1" x14ac:dyDescent="0.25">
      <c r="A32" s="32"/>
      <c r="B32" s="32"/>
      <c r="C32" s="147" t="str">
        <f>IF(PL!AO4=2,"",IF(COUNT(PL!A6:A11)&gt;4,"Licence n° "&amp;PL!B10,"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IF(AND(COUNT(PL!$A$6:$A$11)&gt;4,PL!$AO$4&gt;2,LEFT(PL!$F$13)="P"),"Bonus","")</f>
        <v/>
      </c>
      <c r="AQ32" s="32"/>
      <c r="AS32" s="831" t="s">
        <v>8121</v>
      </c>
      <c r="AT32" s="32"/>
    </row>
    <row r="33" spans="1:46" ht="50.1" customHeight="1" x14ac:dyDescent="0.25">
      <c r="A33" s="32"/>
      <c r="B33" s="32"/>
      <c r="C33" s="149" t="str">
        <f>IF(PL!AO4=2,"",IF(COUNT(PL!A6:A11)&gt;4,PL!G10," "))</f>
        <v xml:space="preserve"> </v>
      </c>
      <c r="D33" s="32"/>
      <c r="E33" s="883" t="str">
        <f>IF(F31="","",IF(F31&gt;0,E30/G30,"/"))</f>
        <v/>
      </c>
      <c r="F33" s="883"/>
      <c r="G33" s="884" t="str">
        <f>IF(PL!$AO$4=2,"",IF(AND(COUNT(PL!$A$6:$A$11)&gt;2,PL!$CF30="P"),PL!$CD30,""))</f>
        <v/>
      </c>
      <c r="H33" s="884"/>
      <c r="I33" s="32"/>
      <c r="J33" s="883" t="str">
        <f>IF(K31="","",IF(K31&gt;0,J30/L30,"/"))</f>
        <v/>
      </c>
      <c r="K33" s="883"/>
      <c r="L33" s="884" t="str">
        <f>IF(PL!$AO$4=2,"",IF(AND(COUNT(PL!$A$6:$A$11)&gt;2,PL!$CF29="P"),PL!$CD29,""))</f>
        <v/>
      </c>
      <c r="M33" s="884"/>
      <c r="N33" s="32"/>
      <c r="O33" s="883" t="str">
        <f>IF(P31="","",IF(P31&gt;0,O30/Q30,"/"))</f>
        <v/>
      </c>
      <c r="P33" s="883"/>
      <c r="Q33" s="884" t="str">
        <f>IF(PL!$AO$4=2,"",IF(AND(COUNT(PL!$A$6:$A$11)&gt;2,PL!$CF28="P"),PL!$CD28,""))</f>
        <v/>
      </c>
      <c r="R33" s="884"/>
      <c r="S33" s="32"/>
      <c r="T33" s="883" t="str">
        <f>IF(U31="","",IF(U31&gt;0,T30/V30,"/"))</f>
        <v/>
      </c>
      <c r="U33" s="883"/>
      <c r="V33" s="884" t="str">
        <f>IF(PL!$AO$4=2,"",IF(AND(COUNT(PL!$A$6:$A$11)&gt;2,PL!$CF27="P"),PL!$CD27,""))</f>
        <v/>
      </c>
      <c r="W33" s="884"/>
      <c r="X33" s="32"/>
      <c r="Y33" s="887"/>
      <c r="Z33" s="887"/>
      <c r="AA33" s="887"/>
      <c r="AB33" s="887"/>
      <c r="AC33" s="32"/>
      <c r="AD33" s="883" t="str">
        <f>IF(AE31="","",IF(AE31&gt;0,AD30/AF30,"/"))</f>
        <v/>
      </c>
      <c r="AE33" s="883"/>
      <c r="AF33" s="884" t="str">
        <f>IF(PL!$AO$4=2,"",IF(AND(COUNT(PL!$A$6:$A$11)&gt;2,PL!$CF26="P"),PL!$CD26,""))</f>
        <v/>
      </c>
      <c r="AG33" s="884"/>
      <c r="AH33" s="32"/>
      <c r="AI33" s="32"/>
      <c r="AJ33" s="32"/>
      <c r="AK33" s="883" t="str" cm="1">
        <f t="array" ref="AK33">IF(PL!$AO$4&lt;3,"",IF(_xlfn.XLOOKUP('T PL'!C32,"Licence n° "&amp;PL!$B$6:$B$11,PL!$AO$6:$AO$11,"",0,1)=1,"",_xlfn.XLOOKUP('T PL'!C32,"Licence n° "&amp;PL!$B$6:$B$11,PL!$U$6:$U$11,"",0,1)))</f>
        <v/>
      </c>
      <c r="AL33" s="883"/>
      <c r="AM33" s="884" t="str" cm="1">
        <f t="array" ref="AM33">IF(PL!$AO$4&lt;3,"",IF(_xlfn.XLOOKUP('T PL'!C32,"Licence n° "&amp;PL!$B$6:$B$11,PL!$AO$6:$AO$11,"",0,1)=1,"",_xlfn.XLOOKUP('T PL'!C32,"Licence n° "&amp;PL!$B$6:$B$11,PL!$S$6:$S$11,"",0,1)))</f>
        <v/>
      </c>
      <c r="AN33" s="884"/>
      <c r="AO33" s="32"/>
      <c r="AP33" s="562" t="str" cm="1">
        <f t="array" ref="AP33">_xlfn.XLOOKUP(C32,"Licence n° "&amp;PL!$B$6:$B$11,PL!$X$6:$X$11,"",0,1)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IF(PL!AO4=2,"",IF(COUNT(PL!A6:A11)&gt;5,CONCATENATE(PL!C11," ",LEFT(PL!E11),"."),""))</f>
        <v/>
      </c>
      <c r="D35" s="32"/>
      <c r="E35" s="882" t="str">
        <f>IF(PL!$AO$4=2,"",IF(AND(COUNT(PL!$A$6:$A$11)&gt;2,PL!$CF35="P"),PL!$CC35,""))</f>
        <v/>
      </c>
      <c r="F35" s="882"/>
      <c r="G35" s="882" t="str">
        <f>IF(PL!$AO$4=2,"",IF(AND(COUNT(PL!$A$6:$A$11)&gt;2,PL!$CF35="P"),PL!$CE35,""))</f>
        <v/>
      </c>
      <c r="H35" s="882"/>
      <c r="I35" s="142"/>
      <c r="J35" s="882" t="str">
        <f>IF(PL!$AO$4=2,"",IF(AND(COUNT(PL!$A$6:$A$11)&gt;2,PL!$CF34="P"),PL!$CC34,""))</f>
        <v/>
      </c>
      <c r="K35" s="882"/>
      <c r="L35" s="882" t="str">
        <f>IF(PL!$AO$4=2,"",IF(AND(COUNT(PL!$A$6:$A$11)&gt;2,PL!$CF34="P"),PL!$CE34,""))</f>
        <v/>
      </c>
      <c r="M35" s="882"/>
      <c r="N35" s="142"/>
      <c r="O35" s="882" t="str">
        <f>IF(PL!$AO$4=2,"",IF(AND(COUNT(PL!$A$6:$A$11)&gt;2,PL!$CF33="P"),PL!$CC33,""))</f>
        <v/>
      </c>
      <c r="P35" s="882"/>
      <c r="Q35" s="882" t="str">
        <f>IF(PL!$AO$4=2,"",IF(AND(COUNT(PL!$A$6:$A$11)&gt;2,PL!$CF33="P"),PL!$CE33,""))</f>
        <v/>
      </c>
      <c r="R35" s="882"/>
      <c r="S35" s="142"/>
      <c r="T35" s="882" t="str">
        <f>IF(PL!$AO$4=2,"",IF(AND(COUNT(PL!$A$6:$A$11)&gt;2,PL!$CF32="P"),PL!$CC32,""))</f>
        <v/>
      </c>
      <c r="U35" s="882"/>
      <c r="V35" s="882" t="str">
        <f>IF(PL!$AO$4=2,"",IF(AND(COUNT(PL!$A$6:$A$11)&gt;2,PL!$CF32="P"),PL!$CE32,""))</f>
        <v/>
      </c>
      <c r="W35" s="882"/>
      <c r="X35" s="142"/>
      <c r="Y35" s="882" t="str">
        <f>IF(PL!$AO$4=2,"",IF(AND(COUNT(PL!$A$6:$A$11)&gt;2,PL!$CF31="P"),PL!$CC31,""))</f>
        <v/>
      </c>
      <c r="Z35" s="882"/>
      <c r="AA35" s="882" t="str">
        <f>IF(PL!$AO$4=2,"",IF(AND(COUNT(PL!$A$6:$A$11)&gt;2,PL!$CF31="P"),PL!$CE31,""))</f>
        <v/>
      </c>
      <c r="AB35" s="882"/>
      <c r="AC35" s="32"/>
      <c r="AD35" s="885" t="str">
        <f>IF(PL!W35="NON",AG1,IF(PL!AO4=2,"",IF(COUNT(PL!A6:A11)&gt;5,_xlfn.XLOOKUP('T PL'!C38,'LOGOS CLUBS'!$B$2:$B$65,'LOGOS CLUBS'!$C$2:$C$65,C38,0,1),"")))</f>
        <v/>
      </c>
      <c r="AE35" s="885"/>
      <c r="AF35" s="885"/>
      <c r="AG35" s="885"/>
      <c r="AH35" s="32"/>
      <c r="AI35" s="32"/>
      <c r="AJ35" s="32"/>
      <c r="AK35" s="882" t="str" cm="1">
        <f t="array" ref="AK35">IF(PL!$AO$4&lt;3,"",IF(_xlfn.XLOOKUP('T PL'!C37,"Licence n° "&amp;PL!$B$6:$B$11,PL!$AO$6:$AO$11,"",0,1)=1,"",_xlfn.XLOOKUP('T PL'!C37,"Licence n° "&amp;PL!$B$6:$B$11,PL!$V$6:$V$11,"",0,1)))</f>
        <v/>
      </c>
      <c r="AL35" s="882"/>
      <c r="AM35" s="879" t="str" cm="1">
        <f t="array" ref="AM35">IF(PL!$AO$4&lt;3,"",IF(_xlfn.XLOOKUP('T PL'!C37,"Licence n° "&amp;PL!$B$6:$B$11,PL!$AO$6:$AO$11,"",0,1)=1,"",_xlfn.XLOOKUP('T PL'!C37,"Licence n° "&amp;PL!$B$6:$B$11,PL!$T$6:$T$11,"",0,1)))</f>
        <v/>
      </c>
      <c r="AN35" s="879"/>
      <c r="AO35" s="32"/>
      <c r="AP35" s="561" t="str" cm="1">
        <f t="array" ref="AP35">_xlfn.XLOOKUP(C37,"Licence n° "&amp;PL!$B$6:$B$11,PL!$W$6:$W$11,"",0,1)</f>
        <v/>
      </c>
      <c r="AQ35" s="32"/>
      <c r="AS35" s="832" t="s">
        <v>8124</v>
      </c>
      <c r="AT35" s="32"/>
    </row>
    <row r="36" spans="1:46" ht="12.6" customHeight="1" x14ac:dyDescent="0.25">
      <c r="A36" s="32"/>
      <c r="B36" s="32"/>
      <c r="C36" s="143" t="str">
        <f>IF(PL!$AO$4=2,"",IF(COUNT(PL!$A$6:$A$11)&gt;5,PL!$K11&amp;" - "&amp;PL!$AS11," "))</f>
        <v xml:space="preserve"> </v>
      </c>
      <c r="D36" s="32"/>
      <c r="E36" s="144" t="str">
        <f>IF(F36="","","Pts")</f>
        <v/>
      </c>
      <c r="F36" s="880" t="str">
        <f>IF(PL!$AO$4=2,"",IF(AND(COUNT(PL!$A$6:$A$11)&gt;2,PL!$CF35="P"),PL!$CG35,""))</f>
        <v/>
      </c>
      <c r="G36" s="880"/>
      <c r="H36" s="144" t="str">
        <f>IF(F36="","","Rep.")</f>
        <v/>
      </c>
      <c r="I36" s="144"/>
      <c r="J36" s="144" t="str">
        <f>IF(K36="","","Pts")</f>
        <v/>
      </c>
      <c r="K36" s="880" t="str">
        <f>IF(PL!$AO$4=2,"",IF(AND(COUNT(PL!$A$6:$A$11)&gt;2,PL!$CF34="P"),PL!$CG34,""))</f>
        <v/>
      </c>
      <c r="L36" s="880"/>
      <c r="M36" s="144" t="str">
        <f>IF(K36="","","Rep.")</f>
        <v/>
      </c>
      <c r="N36" s="144"/>
      <c r="O36" s="144" t="str">
        <f>IF(P36="","","Pts")</f>
        <v/>
      </c>
      <c r="P36" s="880" t="str">
        <f>IF(PL!$AO$4=2,"",IF(AND(COUNT(PL!$A$6:$A$11)&gt;2,PL!$CF33="P"),PL!$CG33,""))</f>
        <v/>
      </c>
      <c r="Q36" s="880"/>
      <c r="R36" s="144" t="str">
        <f>IF(P36="","","Rep.")</f>
        <v/>
      </c>
      <c r="S36" s="144"/>
      <c r="T36" s="144" t="str">
        <f>IF(U36="","","Pts")</f>
        <v/>
      </c>
      <c r="U36" s="880" t="str">
        <f>IF(PL!$AO$4=2,"",IF(AND(COUNT(PL!$A$6:$A$11)&gt;2,PL!$CF32="P"),PL!$CG32,""))</f>
        <v/>
      </c>
      <c r="V36" s="880"/>
      <c r="W36" s="144" t="str">
        <f>IF(U36="","","Rep.")</f>
        <v/>
      </c>
      <c r="X36" s="144"/>
      <c r="Y36" s="144" t="str">
        <f>IF(Z36="","","Pts")</f>
        <v/>
      </c>
      <c r="Z36" s="880" t="str">
        <f>IF(PL!$AO$4=2,"",IF(AND(COUNT(PL!$A$6:$A$11)&gt;2,PL!$CF31="P"),PL!$CG31,""))</f>
        <v/>
      </c>
      <c r="AA36" s="880"/>
      <c r="AB36" s="144" t="str">
        <f>IF(Z36="","","Rep.")</f>
        <v/>
      </c>
      <c r="AC36" s="32"/>
      <c r="AD36" s="885"/>
      <c r="AE36" s="885"/>
      <c r="AF36" s="885"/>
      <c r="AG36" s="885"/>
      <c r="AH36" s="32"/>
      <c r="AI36" s="32"/>
      <c r="AJ36" s="32"/>
      <c r="AK36" s="145" t="str">
        <f>IF(AL36="","","PM")</f>
        <v/>
      </c>
      <c r="AL36" s="881" t="str" cm="1">
        <f t="array" ref="AL36">IF(SUM(PL!$Q$6:$Q$11)=0,"",IF(PL!$AO$4&gt;2,IF(_xlfn.XLOOKUP('T PL'!C37,"Licence n° "&amp;PL!$B$6:$B$11,PL!$AO$6:$AO$11,"",0,1)=1,"Forfait",_xlfn.XLOOKUP('T PL'!C37,"Licence n° "&amp;PL!$B$37:$B$42,PL!$Q$37:$Q$42,"",0,1)),""))</f>
        <v/>
      </c>
      <c r="AM36" s="881"/>
      <c r="AN36" s="145" t="str">
        <f>IF(AL36="","","MGP")</f>
        <v/>
      </c>
      <c r="AO36" s="32"/>
      <c r="AP36" s="151" t="str">
        <f>IF(AND(COUNT(PL!$A$6:$A$11)&gt;5,PL!$AO$4&gt;2,LEFT(PL!$F$13)="P"),"Pts Rk","")</f>
        <v/>
      </c>
      <c r="AQ36" s="32"/>
      <c r="AS36" s="832"/>
      <c r="AT36" s="32"/>
    </row>
    <row r="37" spans="1:46" ht="12.6" customHeight="1" x14ac:dyDescent="0.25">
      <c r="A37" s="32"/>
      <c r="B37" s="32"/>
      <c r="C37" s="147" t="str">
        <f>IF(PL!AO4=2,"",IF(COUNT(PL!A6:A11)&gt;5,"Licence n° "&amp;PL!B11,"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IF(AND(COUNT(PL!$A$6:$A$11)&gt;5,PL!$AO$4&gt;2,LEFT(PL!$F$13)="P"),"Bonus","")</f>
        <v/>
      </c>
      <c r="AQ37" s="32"/>
      <c r="AS37" s="833" t="s">
        <v>8125</v>
      </c>
      <c r="AT37" s="32"/>
    </row>
    <row r="38" spans="1:46" ht="50.1" customHeight="1" thickBot="1" x14ac:dyDescent="0.3">
      <c r="A38" s="32"/>
      <c r="B38" s="32"/>
      <c r="C38" s="149" t="str">
        <f>IF(PL!AO4=2,"",IF(COUNT(PL!A6:A11)&gt;5,PL!G11," "))</f>
        <v xml:space="preserve"> </v>
      </c>
      <c r="D38" s="32"/>
      <c r="E38" s="883" t="str">
        <f>IF(F36="","",IF(F36&gt;0,E35/G35,"/"))</f>
        <v/>
      </c>
      <c r="F38" s="883"/>
      <c r="G38" s="884" t="str">
        <f>IF(PL!$AO$4=2,"",IF(AND(COUNT(PL!$A$6:$A$11)&gt;2,PL!$CF35="P"),PL!$CD35,""))</f>
        <v/>
      </c>
      <c r="H38" s="884"/>
      <c r="I38" s="32"/>
      <c r="J38" s="883" t="str">
        <f>IF(K36="","",IF(K36&gt;0,J35/L35,"/"))</f>
        <v/>
      </c>
      <c r="K38" s="883"/>
      <c r="L38" s="884" t="str">
        <f>IF(PL!$AO$4=2,"",IF(AND(COUNT(PL!$A$6:$A$11)&gt;2,PL!$CF34="P"),PL!$CD34,""))</f>
        <v/>
      </c>
      <c r="M38" s="884"/>
      <c r="N38" s="32"/>
      <c r="O38" s="883" t="str">
        <f>IF(P36="","",IF(P36&gt;0,O35/Q35,"/"))</f>
        <v/>
      </c>
      <c r="P38" s="883"/>
      <c r="Q38" s="884" t="str">
        <f>IF(PL!$AO$4=2,"",IF(AND(COUNT(PL!$A$6:$A$11)&gt;2,PL!$CF33="P"),PL!$CD33,""))</f>
        <v/>
      </c>
      <c r="R38" s="884"/>
      <c r="S38" s="32"/>
      <c r="T38" s="883" t="str">
        <f>IF(U36="","",IF(U36&gt;0,T35/V35,"/"))</f>
        <v/>
      </c>
      <c r="U38" s="883"/>
      <c r="V38" s="884" t="str">
        <f>IF(PL!$AO$4=2,"",IF(AND(COUNT(PL!$A$6:$A$11)&gt;2,PL!$CF32="P"),PL!$CD32,""))</f>
        <v/>
      </c>
      <c r="W38" s="884"/>
      <c r="X38" s="32"/>
      <c r="Y38" s="883" t="str">
        <f>IF(Z36="","",IF(Z36&gt;0,Y35/AA35,"/"))</f>
        <v/>
      </c>
      <c r="Z38" s="883"/>
      <c r="AA38" s="884" t="str">
        <f>IF(PL!$AO$4=2,"",IF(AND(COUNT(PL!$A$6:$A$11)&gt;2,PL!$CF31="P"),PL!$CD31,""))</f>
        <v/>
      </c>
      <c r="AB38" s="884"/>
      <c r="AC38" s="32"/>
      <c r="AD38" s="885"/>
      <c r="AE38" s="885"/>
      <c r="AF38" s="885"/>
      <c r="AG38" s="885"/>
      <c r="AH38" s="32"/>
      <c r="AI38" s="32"/>
      <c r="AJ38" s="32"/>
      <c r="AK38" s="883" t="str" cm="1">
        <f t="array" ref="AK38">IF(PL!$AO$4&lt;3,"",IF(_xlfn.XLOOKUP('T PL'!C37,"Licence n° "&amp;PL!$B$6:$B$11,PL!$AO$6:$AO$11,"",0,1)=1,"",_xlfn.XLOOKUP('T PL'!C37,"Licence n° "&amp;PL!$B$6:$B$11,PL!$U$6:$U$11,"",0,1)))</f>
        <v/>
      </c>
      <c r="AL38" s="883"/>
      <c r="AM38" s="884" t="str" cm="1">
        <f t="array" ref="AM38">IF(PL!$AO$4&lt;3,"",IF(_xlfn.XLOOKUP('T PL'!C37,"Licence n° "&amp;PL!$B$6:$B$11,PL!$AO$6:$AO$11,"",0,1)=1,"",_xlfn.XLOOKUP('T PL'!C37,"Licence n° "&amp;PL!$B$6:$B$11,PL!$S$6:$S$11,"",0,1)))</f>
        <v/>
      </c>
      <c r="AN38" s="884"/>
      <c r="AO38" s="32"/>
      <c r="AP38" s="562" t="str" cm="1">
        <f t="array" ref="AP38">_xlfn.XLOOKUP(C37,"Licence n° "&amp;PL!$B$6:$B$11,PL!$X$6:$X$11,"",0,1)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wJ1ynfqqTWgl8ounw5VbmyoGGol5kBDVNPMBug44tqAgWpgsheAK12N0AbT+fWkjZ+jbx1m36xuJ+UahQFaoDQ==" saltValue="NdUiK61xN1ULvSBqyxGsyg=="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2721" priority="130">
      <formula>F16=0</formula>
    </cfRule>
    <cfRule type="expression" dxfId="2720" priority="129">
      <formula>F16=1</formula>
    </cfRule>
    <cfRule type="expression" dxfId="2719" priority="128">
      <formula>F16=2</formula>
    </cfRule>
  </conditionalFormatting>
  <conditionalFormatting sqref="F21">
    <cfRule type="expression" dxfId="2718" priority="113">
      <formula>F21=2</formula>
    </cfRule>
    <cfRule type="expression" dxfId="2717" priority="114">
      <formula>F21=1</formula>
    </cfRule>
    <cfRule type="expression" dxfId="2716" priority="115">
      <formula>F21=0</formula>
    </cfRule>
  </conditionalFormatting>
  <conditionalFormatting sqref="F26">
    <cfRule type="expression" dxfId="2715" priority="98">
      <formula>F26=2</formula>
    </cfRule>
    <cfRule type="expression" dxfId="2714" priority="99">
      <formula>F26=1</formula>
    </cfRule>
    <cfRule type="expression" dxfId="2713" priority="100">
      <formula>F26=0</formula>
    </cfRule>
  </conditionalFormatting>
  <conditionalFormatting sqref="F31">
    <cfRule type="expression" dxfId="2712" priority="83">
      <formula>F31=2</formula>
    </cfRule>
    <cfRule type="expression" dxfId="2711" priority="84">
      <formula>F31=1</formula>
    </cfRule>
    <cfRule type="expression" dxfId="2710" priority="85">
      <formula>F31=0</formula>
    </cfRule>
  </conditionalFormatting>
  <conditionalFormatting sqref="F36">
    <cfRule type="expression" dxfId="2709" priority="70">
      <formula>F36=0</formula>
    </cfRule>
    <cfRule type="expression" dxfId="2708" priority="69">
      <formula>F36=1</formula>
    </cfRule>
    <cfRule type="expression" dxfId="2707" priority="68">
      <formula>F36=2</formula>
    </cfRule>
  </conditionalFormatting>
  <conditionalFormatting sqref="J15:M18">
    <cfRule type="expression" dxfId="2706" priority="147">
      <formula>$J$15="MATCH 1"</formula>
    </cfRule>
  </conditionalFormatting>
  <conditionalFormatting sqref="K21">
    <cfRule type="expression" dxfId="2705" priority="110">
      <formula>K21=2</formula>
    </cfRule>
    <cfRule type="expression" dxfId="2704" priority="111">
      <formula>K21=1</formula>
    </cfRule>
    <cfRule type="expression" dxfId="2703" priority="112">
      <formula>K21=0</formula>
    </cfRule>
  </conditionalFormatting>
  <conditionalFormatting sqref="K26">
    <cfRule type="expression" dxfId="2702" priority="97">
      <formula>K26=0</formula>
    </cfRule>
    <cfRule type="expression" dxfId="2701" priority="96">
      <formula>K26=1</formula>
    </cfRule>
    <cfRule type="expression" dxfId="2700" priority="95">
      <formula>K26=2</formula>
    </cfRule>
  </conditionalFormatting>
  <conditionalFormatting sqref="K31">
    <cfRule type="expression" dxfId="2699" priority="82">
      <formula>K31=0</formula>
    </cfRule>
    <cfRule type="expression" dxfId="2698" priority="80">
      <formula>K31=2</formula>
    </cfRule>
    <cfRule type="expression" dxfId="2697" priority="81">
      <formula>K31=1</formula>
    </cfRule>
  </conditionalFormatting>
  <conditionalFormatting sqref="K36">
    <cfRule type="expression" dxfId="2696" priority="65">
      <formula>K36=2</formula>
    </cfRule>
    <cfRule type="expression" dxfId="2695" priority="66">
      <formula>K36=1</formula>
    </cfRule>
    <cfRule type="expression" dxfId="2694" priority="67">
      <formula>K36=0</formula>
    </cfRule>
  </conditionalFormatting>
  <conditionalFormatting sqref="K11:L12">
    <cfRule type="expression" dxfId="2693" priority="143">
      <formula>K11=2</formula>
    </cfRule>
    <cfRule type="expression" dxfId="2692" priority="144">
      <formula>K11=1</formula>
    </cfRule>
    <cfRule type="expression" dxfId="2691" priority="145">
      <formula>K11=0</formula>
    </cfRule>
  </conditionalFormatting>
  <conditionalFormatting sqref="O20:R23">
    <cfRule type="expression" dxfId="2690" priority="146">
      <formula>$O$20="MATCH 2"</formula>
    </cfRule>
  </conditionalFormatting>
  <conditionalFormatting sqref="P11">
    <cfRule type="expression" dxfId="2689" priority="140">
      <formula>P11=2</formula>
    </cfRule>
    <cfRule type="expression" dxfId="2688" priority="141">
      <formula>P11=1</formula>
    </cfRule>
    <cfRule type="expression" dxfId="2687" priority="142">
      <formula>P11=0</formula>
    </cfRule>
  </conditionalFormatting>
  <conditionalFormatting sqref="P16">
    <cfRule type="expression" dxfId="2686" priority="125">
      <formula>P16=2</formula>
    </cfRule>
    <cfRule type="expression" dxfId="2685" priority="127">
      <formula>P16=0</formula>
    </cfRule>
    <cfRule type="expression" dxfId="2684" priority="126">
      <formula>P16=1</formula>
    </cfRule>
  </conditionalFormatting>
  <conditionalFormatting sqref="P26">
    <cfRule type="expression" dxfId="2683" priority="93">
      <formula>P26=1</formula>
    </cfRule>
    <cfRule type="expression" dxfId="2682" priority="92">
      <formula>P26=2</formula>
    </cfRule>
    <cfRule type="expression" dxfId="2681" priority="94">
      <formula>P26=0</formula>
    </cfRule>
  </conditionalFormatting>
  <conditionalFormatting sqref="P31">
    <cfRule type="expression" dxfId="2680" priority="77">
      <formula>P31=2</formula>
    </cfRule>
    <cfRule type="expression" dxfId="2679" priority="78">
      <formula>P31=1</formula>
    </cfRule>
    <cfRule type="expression" dxfId="2678" priority="79">
      <formula>P31=0</formula>
    </cfRule>
  </conditionalFormatting>
  <conditionalFormatting sqref="P36">
    <cfRule type="expression" dxfId="2677" priority="64">
      <formula>P36=0</formula>
    </cfRule>
    <cfRule type="expression" dxfId="2676" priority="63">
      <formula>P36=1</formula>
    </cfRule>
    <cfRule type="expression" dxfId="2675" priority="62">
      <formula>P36=2</formula>
    </cfRule>
  </conditionalFormatting>
  <conditionalFormatting sqref="U11">
    <cfRule type="expression" dxfId="2674" priority="138">
      <formula>U11=1</formula>
    </cfRule>
    <cfRule type="expression" dxfId="2673" priority="139">
      <formula>U11=0</formula>
    </cfRule>
    <cfRule type="expression" dxfId="2672" priority="137">
      <formula>U11=2</formula>
    </cfRule>
  </conditionalFormatting>
  <conditionalFormatting sqref="U16">
    <cfRule type="expression" dxfId="2671" priority="123">
      <formula>U16=1</formula>
    </cfRule>
    <cfRule type="expression" dxfId="2670" priority="122">
      <formula>U16=2</formula>
    </cfRule>
    <cfRule type="expression" dxfId="2669" priority="124">
      <formula>U16=0</formula>
    </cfRule>
  </conditionalFormatting>
  <conditionalFormatting sqref="U21">
    <cfRule type="expression" dxfId="2668" priority="108">
      <formula>U21=1</formula>
    </cfRule>
    <cfRule type="expression" dxfId="2667" priority="109">
      <formula>U21=0</formula>
    </cfRule>
    <cfRule type="expression" dxfId="2666" priority="107">
      <formula>U21=2</formula>
    </cfRule>
  </conditionalFormatting>
  <conditionalFormatting sqref="U31">
    <cfRule type="expression" dxfId="2665" priority="76">
      <formula>U31=0</formula>
    </cfRule>
    <cfRule type="expression" dxfId="2664" priority="75">
      <formula>U31=1</formula>
    </cfRule>
    <cfRule type="expression" dxfId="2663" priority="74">
      <formula>U31=2</formula>
    </cfRule>
  </conditionalFormatting>
  <conditionalFormatting sqref="U36">
    <cfRule type="expression" dxfId="2662" priority="61">
      <formula>U36=0</formula>
    </cfRule>
    <cfRule type="expression" dxfId="2661" priority="60">
      <formula>U36=1</formula>
    </cfRule>
    <cfRule type="expression" dxfId="2660" priority="59">
      <formula>U36=2</formula>
    </cfRule>
  </conditionalFormatting>
  <conditionalFormatting sqref="Z11">
    <cfRule type="expression" dxfId="2659" priority="134">
      <formula>Z11=2</formula>
    </cfRule>
    <cfRule type="expression" dxfId="2658" priority="136">
      <formula>Z11=0</formula>
    </cfRule>
    <cfRule type="expression" dxfId="2657" priority="135">
      <formula>Z11=1</formula>
    </cfRule>
  </conditionalFormatting>
  <conditionalFormatting sqref="Z16">
    <cfRule type="expression" dxfId="2656" priority="119">
      <formula>Z16=2</formula>
    </cfRule>
    <cfRule type="expression" dxfId="2655" priority="120">
      <formula>Z16=1</formula>
    </cfRule>
    <cfRule type="expression" dxfId="2654" priority="121">
      <formula>Z16=0</formula>
    </cfRule>
  </conditionalFormatting>
  <conditionalFormatting sqref="Z21">
    <cfRule type="expression" dxfId="2653" priority="104">
      <formula>Z21=2</formula>
    </cfRule>
    <cfRule type="expression" dxfId="2652" priority="105">
      <formula>Z21=1</formula>
    </cfRule>
    <cfRule type="expression" dxfId="2651" priority="106">
      <formula>Z21=0</formula>
    </cfRule>
  </conditionalFormatting>
  <conditionalFormatting sqref="Z26">
    <cfRule type="expression" dxfId="2650" priority="89">
      <formula>Z26=2</formula>
    </cfRule>
    <cfRule type="expression" dxfId="2649" priority="90">
      <formula>Z26=1</formula>
    </cfRule>
    <cfRule type="expression" dxfId="2648" priority="91">
      <formula>Z26=0</formula>
    </cfRule>
  </conditionalFormatting>
  <conditionalFormatting sqref="Z36">
    <cfRule type="expression" dxfId="2647" priority="57">
      <formula>Z36=1</formula>
    </cfRule>
    <cfRule type="expression" dxfId="2646" priority="56">
      <formula>Z36=2</formula>
    </cfRule>
    <cfRule type="expression" dxfId="2645" priority="58">
      <formula>Z36=0</formula>
    </cfRule>
  </conditionalFormatting>
  <conditionalFormatting sqref="AE11">
    <cfRule type="expression" dxfId="2644" priority="133">
      <formula>AE11=0</formula>
    </cfRule>
    <cfRule type="expression" dxfId="2643" priority="132">
      <formula>AE11=1</formula>
    </cfRule>
    <cfRule type="expression" dxfId="2642" priority="131">
      <formula>AE11=2</formula>
    </cfRule>
  </conditionalFormatting>
  <conditionalFormatting sqref="AE16">
    <cfRule type="expression" dxfId="2641" priority="118">
      <formula>AE16=0</formula>
    </cfRule>
    <cfRule type="expression" dxfId="2640" priority="117">
      <formula>AE16=1</formula>
    </cfRule>
    <cfRule type="expression" dxfId="2639" priority="116">
      <formula>AE16=2</formula>
    </cfRule>
  </conditionalFormatting>
  <conditionalFormatting sqref="AE21">
    <cfRule type="expression" dxfId="2638" priority="101">
      <formula>AE21=2</formula>
    </cfRule>
    <cfRule type="expression" dxfId="2637" priority="103">
      <formula>AE21=0</formula>
    </cfRule>
    <cfRule type="expression" dxfId="2636" priority="102">
      <formula>AE21=1</formula>
    </cfRule>
  </conditionalFormatting>
  <conditionalFormatting sqref="AE26">
    <cfRule type="expression" dxfId="2635" priority="87">
      <formula>AE26=1</formula>
    </cfRule>
    <cfRule type="expression" dxfId="2634" priority="86">
      <formula>AE26=2</formula>
    </cfRule>
    <cfRule type="expression" dxfId="2633" priority="88">
      <formula>AE26=0</formula>
    </cfRule>
  </conditionalFormatting>
  <conditionalFormatting sqref="AE31">
    <cfRule type="expression" dxfId="2632" priority="72">
      <formula>AE31=1</formula>
    </cfRule>
    <cfRule type="expression" dxfId="2631" priority="73">
      <formula>AE31=0</formula>
    </cfRule>
    <cfRule type="expression" dxfId="2630" priority="71">
      <formula>AE31=2</formula>
    </cfRule>
  </conditionalFormatting>
  <hyperlinks>
    <hyperlink ref="AS2" location="'GESTION DES JOUEURS'!D4" display="GESTION DES JOUEURS" xr:uid="{868E624D-2CB7-47C5-A9C0-44A0CCF0F230}"/>
    <hyperlink ref="AS10:AS11" location="PA!N18" display="PA!N18" xr:uid="{79A8570F-4D8B-4B4F-9228-A15643DF4186}"/>
    <hyperlink ref="AS12:AS13" location="PB!N18" display="Poule B" xr:uid="{E0067903-3C61-4A46-BF9D-4E68D041F8FF}"/>
    <hyperlink ref="AS15:AS16" location="PC!N18" display="Poule C" xr:uid="{55B43BB6-72A5-4086-87D1-9C6ECE3578DF}"/>
    <hyperlink ref="AS17:AS18" location="PD!N18" display="Poule D" xr:uid="{5CC8B1ED-2393-42CD-BE1E-3A20FC86C69B}"/>
    <hyperlink ref="AS20:AS21" location="PE!N18" display="Poule E" xr:uid="{946511B2-6C92-4784-B43E-D08ED6225CD5}"/>
    <hyperlink ref="AS22:AS23" location="PF!N18" display="Poule F" xr:uid="{7A0CFAED-12EC-426D-BC41-C98BBE047CBE}"/>
    <hyperlink ref="AS25:AS26" location="PG!N18" display="Poule G" xr:uid="{765B7164-1133-453D-BD6C-6A7534BCBE07}"/>
    <hyperlink ref="AS27:AS28" location="PH!N18" display="Poule H" xr:uid="{828C1625-1CD4-431A-8F03-F36BC3A55311}"/>
    <hyperlink ref="AS30:AS31" location="PI!N18" display="Poule I" xr:uid="{4B44A1C1-5EE2-4F4C-959C-65740DCB7E4C}"/>
    <hyperlink ref="AS32:AS33" location="PJ!N18" display="Poule J" xr:uid="{746376BE-2C24-462E-AE15-E7824725BAD1}"/>
    <hyperlink ref="AS35:AS36" location="PK!N18" display="Poule K" xr:uid="{CE05FCB5-9F5A-47A3-90CC-8707356E1C84}"/>
    <hyperlink ref="AS37:AS38" location="PL!N18" display="Poule L" xr:uid="{72AB6A72-FF11-4C79-90B6-DDAF2CA80016}"/>
    <hyperlink ref="AV2" location="'Phase finale'!A1" display="Phase Finale" xr:uid="{E45097CE-FAE2-4795-A161-C543B32FA9F6}"/>
    <hyperlink ref="AV9:AV11" location="RESULTATS!A1" display="RESULTATS" xr:uid="{FB8492DF-B4F2-4DB2-BBE7-426D00A50121}"/>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177" id="{37AC9769-F30B-435C-9C06-F28F2E891523}">
            <xm:f>AND(COUNT(PL!$A$6:$A$11)=3,PL!$AO$4&gt;2)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2208" id="{7220F685-79D7-4CBB-8862-EC2AFFB0DAA6}">
            <xm:f>AND(COUNT(PL!$A$6:$A$11)=4,PL!$AO$4&gt;2)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831AC9EC-7A88-4DF7-AF8F-2A78238593BA}">
            <xm:f>PL!$AO$4=2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2250" id="{8EC5494B-1800-4C2C-89C7-C71B7C5E432A}">
            <xm:f>AND(COUNT(PL!$A$6:$A$11)=4,PL!$AO$4&gt;2)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A9074AAF-B02E-4DEA-A709-9C79EC20B520}">
            <xm:f>PL!$AO$4=2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2270" id="{8DD39577-6310-4F0B-A7ED-C3172D9AECDC}">
            <xm:f>AND(COUNT(PL!$A$6:$A$11)=5,PL!$AO$4&gt;2)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2275" id="{1C4E5E9A-C5D2-4390-9179-A9FC65555FE2}">
            <xm:f>AND(COUNT(PL!$A$6:$A$11)&gt;=5,PL!$AO$4&gt;2)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2330" id="{C33C7B19-8A11-4667-933C-F8A97F9FD374}">
            <xm:f>AND(COUNT(PL!$A$6:$A$11)&gt;=5,PL!$AO$4&gt;2)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2405" id="{CEF641A4-85F5-48EA-AC01-663E3B282DA0}">
            <xm:f>AND(COUNT(PL!$A$6:$A$11)=3,PL!$AO$4&gt;2)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2433" id="{00FA654F-E379-4269-AD8E-8CA94F068824}">
            <xm:f>PL!$AO$4=2</xm:f>
            <x14:dxf>
              <border>
                <top/>
                <vertical/>
                <horizontal/>
              </border>
            </x14:dxf>
          </x14:cfRule>
          <x14:cfRule type="expression" priority="12432" id="{17536573-B728-44B9-A920-CE42CF6A494D}">
            <xm:f>AND(COUNT(PL!$A$6:$A$11)=4,PL!$AO$4&gt;2)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2468" id="{64FDB5C1-0FA2-419A-AA97-A6E0AB0C7988}">
            <xm:f>AND(COUNT(PL!$A$6:$A$11)&gt;=5,PL!$AO$4&gt;2)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2543" id="{44AF373B-3784-4B2E-BCD0-F7AFC57ECAD6}">
            <xm:f>AND(COUNT(PL!$A$6:$A$11)=3,PL!$AO$4&gt;2)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2570" id="{B114A142-6240-485F-B92F-D6B38CDB46F4}">
            <xm:f>AND(COUNT(PL!$A$6:$A$11)=4,PL!$AO$4&gt;2)</xm:f>
            <x14:dxf>
              <border>
                <bottom/>
                <vertical/>
                <horizontal/>
              </border>
            </x14:dxf>
          </x14:cfRule>
          <x14:cfRule type="expression" priority="12571" id="{F4FA444F-9D4B-4FA1-89AD-6F243D207044}">
            <xm:f>PL!$AO$4=2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2606" id="{2AD873D3-243A-431A-B800-2AB587421BA6}">
            <xm:f>AND(COUNT(PL!$A$6:$A$11)=4,PL!$AO$4&gt;2)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2636" id="{638F29B3-42B0-42CA-B7D4-BCD9B0207188}">
            <xm:f>PL!$AO$4=2</xm:f>
            <x14:dxf>
              <border>
                <bottom/>
                <vertical/>
                <horizontal/>
              </border>
            </x14:dxf>
          </x14:cfRule>
          <x14:cfRule type="expression" priority="12637" id="{4AB228E9-A241-4663-8E8D-BFA86814C463}">
            <xm:f>AND(COUNT(PL!$A$6:$A$11)=4,PL!$AO$4&gt;2)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2638" id="{80273290-B034-4C41-B3DD-67249DC6DD9C}">
            <xm:f>AND(COUNT(PL!$A$6:$A$11)=4,PL!$AO$4&gt;2)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2668" id="{A6DA7A46-35B5-4CF6-9D9C-B6DCBAC05F4E}">
            <xm:f>AND(COUNT(PL!$A$6:$A$11)=3,PL!$AO$4&gt;2)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2680" id="{6CED3C2D-1DA9-45C9-BFA9-1F46C8C9FC8A}">
            <xm:f>AND(COUNT(PL!$A$6:$A$11)&gt;=5,PL!$AO$4&gt;2)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2705" id="{5859903B-CA28-43C4-87F7-F56590388743}">
            <xm:f>AND(COUNT(PL!$A$6:$A$11)=6,PL!$AO$4&gt;2)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2738" id="{A1914281-FE85-4261-845D-3154B1C1C7AA}">
            <xm:f>AND(COUNT(PL!$A$6:$A$11)=6,PL!$AO$4&gt;2)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2763" id="{E8C9F293-57E9-410D-8B8D-8EB2FCB6657C}">
            <xm:f>AND(COUNT(PL!$A$6:$A$11)=6,PL!$AO$4&gt;2)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2796" id="{F88ABAE0-1237-4BEB-889D-3271A4E0397C}">
            <xm:f>AND(COUNT(PL!$A$6:$A$11)=6,PL!$AO$4&gt;2)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2815" id="{52E0BEDC-8273-48C6-A682-33793C102237}">
            <xm:f>AND(LEFT(PL!$F$13)="F",$AL$11=1,PL!$BU$5="X")</xm:f>
            <x14:dxf>
              <font>
                <color rgb="FF8E0000"/>
              </font>
              <fill>
                <patternFill>
                  <bgColor rgb="FFFBE93B"/>
                </patternFill>
              </fill>
            </x14:dxf>
          </x14:cfRule>
          <x14:cfRule type="expression" priority="12814" id="{5FCF680A-9BEA-44F1-9E46-2D3EFC77962F}">
            <xm:f>AND(LEFT(PL!$F$13)="F",$AL$11=2,PL!$BU$5="X")</xm:f>
            <x14:dxf>
              <font>
                <color rgb="FF8E0000"/>
              </font>
              <fill>
                <patternFill>
                  <bgColor theme="2"/>
                </patternFill>
              </fill>
            </x14:dxf>
          </x14:cfRule>
          <x14:cfRule type="expression" priority="12813" id="{598D9834-38B9-431C-9B76-7ED77A613F00}">
            <xm:f>AND(LEFT(PL!$F$13)="F",$AL$11=3,PL!$BU$5="X")</xm:f>
            <x14:dxf>
              <font>
                <color rgb="FF8E0000"/>
              </font>
              <fill>
                <patternFill>
                  <bgColor rgb="FFFECF82"/>
                </patternFill>
              </fill>
            </x14:dxf>
          </x14:cfRule>
          <xm:sqref>AL11</xm:sqref>
        </x14:conditionalFormatting>
        <x14:conditionalFormatting xmlns:xm="http://schemas.microsoft.com/office/excel/2006/main">
          <x14:cfRule type="expression" priority="12817" id="{58A28811-87AC-460E-914A-5BFC2A4816AF}">
            <xm:f>AND(LEFT(PL!$F$13)="F",$AL$16=2,PL!$BU$5="X")</xm:f>
            <x14:dxf>
              <font>
                <color rgb="FF8E0000"/>
              </font>
              <fill>
                <patternFill>
                  <bgColor theme="2"/>
                </patternFill>
              </fill>
            </x14:dxf>
          </x14:cfRule>
          <x14:cfRule type="expression" priority="12818" id="{E92B6F4D-A59C-4812-ADA8-7EDC6322435C}">
            <xm:f>AND(LEFT(PL!$F$13)="F",$AL$16=1,PL!$BU$5="X")</xm:f>
            <x14:dxf>
              <font>
                <color rgb="FF8E0000"/>
              </font>
              <fill>
                <patternFill>
                  <bgColor rgb="FFFBE93B"/>
                </patternFill>
              </fill>
            </x14:dxf>
          </x14:cfRule>
          <x14:cfRule type="expression" priority="12816" id="{5E13DDC8-818F-41E0-8CEB-257CAEAA4A7A}">
            <xm:f>AND(LEFT(PL!$F$13)="F",$AL$16=3,PL!$BU$5="X")</xm:f>
            <x14:dxf>
              <font>
                <color rgb="FF8E0000"/>
              </font>
              <fill>
                <patternFill>
                  <bgColor rgb="FFFECF82"/>
                </patternFill>
              </fill>
            </x14:dxf>
          </x14:cfRule>
          <xm:sqref>AL16</xm:sqref>
        </x14:conditionalFormatting>
        <x14:conditionalFormatting xmlns:xm="http://schemas.microsoft.com/office/excel/2006/main">
          <x14:cfRule type="expression" priority="12819" id="{A282C1F7-EBE5-46CF-8AE4-AD42481799BD}">
            <xm:f>AND(LEFT(PL!$F$13)="F",$AL$21=3,PL!$BU$5="X")</xm:f>
            <x14:dxf>
              <font>
                <color rgb="FF8E0000"/>
              </font>
              <fill>
                <patternFill>
                  <bgColor rgb="FFFECF82"/>
                </patternFill>
              </fill>
            </x14:dxf>
          </x14:cfRule>
          <x14:cfRule type="expression" priority="12820" id="{3440D459-69F3-40EE-A2E3-D11B75F6A0BD}">
            <xm:f>AND(LEFT(PL!$F$13)="F",$AL$21=2,PL!$BU$5="X")</xm:f>
            <x14:dxf>
              <font>
                <color rgb="FF8E0000"/>
              </font>
              <fill>
                <patternFill>
                  <bgColor theme="2"/>
                </patternFill>
              </fill>
            </x14:dxf>
          </x14:cfRule>
          <x14:cfRule type="expression" priority="12821" id="{3530C31A-C1BB-46A4-A09F-7D3B9850BA24}">
            <xm:f>AND(LEFT(PL!$F$13)="F",$AL$21=1,PL!$BU$5="X")</xm:f>
            <x14:dxf>
              <font>
                <color rgb="FF8E0000"/>
              </font>
              <fill>
                <patternFill>
                  <bgColor rgb="FFFBE93B"/>
                </patternFill>
              </fill>
            </x14:dxf>
          </x14:cfRule>
          <xm:sqref>AL21</xm:sqref>
        </x14:conditionalFormatting>
        <x14:conditionalFormatting xmlns:xm="http://schemas.microsoft.com/office/excel/2006/main">
          <x14:cfRule type="expression" priority="12824" id="{5C9BC63D-C711-4D6B-B4E1-DDC9BFFEE8C9}">
            <xm:f>AND(LEFT(PL!$F$13)="F",$AL$26=1,PL!$BU$5="X")</xm:f>
            <x14:dxf>
              <font>
                <color rgb="FF8E0000"/>
              </font>
              <fill>
                <patternFill>
                  <bgColor rgb="FFFBE93B"/>
                </patternFill>
              </fill>
            </x14:dxf>
          </x14:cfRule>
          <x14:cfRule type="expression" priority="12823" id="{0C51CB83-D612-4D90-B8B6-65EB599D165F}">
            <xm:f>AND(LEFT(PL!$F$13)="F",$AL$26=2,PL!$BU$5="X")</xm:f>
            <x14:dxf>
              <font>
                <color rgb="FF8E0000"/>
              </font>
              <fill>
                <patternFill>
                  <bgColor theme="2"/>
                </patternFill>
              </fill>
            </x14:dxf>
          </x14:cfRule>
          <x14:cfRule type="expression" priority="12822" id="{58FBD17E-2DA8-4453-B690-55B8C6E11F24}">
            <xm:f>AND(LEFT(PL!$F$13)="F",$AL$26=3,PL!$BU$5="X")</xm:f>
            <x14:dxf>
              <font>
                <color rgb="FF8E0000"/>
              </font>
              <fill>
                <patternFill>
                  <bgColor rgb="FFFECF82"/>
                </patternFill>
              </fill>
            </x14:dxf>
          </x14:cfRule>
          <xm:sqref>AL26</xm:sqref>
        </x14:conditionalFormatting>
        <x14:conditionalFormatting xmlns:xm="http://schemas.microsoft.com/office/excel/2006/main">
          <x14:cfRule type="expression" priority="12826" id="{8CD786AE-356D-4E9D-8DD1-835F69D02FC0}">
            <xm:f>AND(LEFT(PL!$F$13)="F",$AL$31=2,PL!$BU$5="X")</xm:f>
            <x14:dxf>
              <font>
                <color rgb="FF8E0000"/>
              </font>
              <fill>
                <patternFill>
                  <bgColor theme="2"/>
                </patternFill>
              </fill>
            </x14:dxf>
          </x14:cfRule>
          <x14:cfRule type="expression" priority="12825" id="{07A17D51-240A-472E-88B8-2079C9FB011B}">
            <xm:f>AND(LEFT(PL!$F$13)="F",$AL$31=3,PL!$BU$5="X")</xm:f>
            <x14:dxf>
              <font>
                <color rgb="FF8E0000"/>
              </font>
              <fill>
                <patternFill>
                  <bgColor rgb="FFFECF82"/>
                </patternFill>
              </fill>
            </x14:dxf>
          </x14:cfRule>
          <x14:cfRule type="expression" priority="12827" id="{49571DBB-D4BE-4ADA-9574-975A81D20C87}">
            <xm:f>AND(LEFT(PL!$F$13)="F",$AL$31=1,PL!$BU$5="X")</xm:f>
            <x14:dxf>
              <font>
                <color rgb="FF8E0000"/>
              </font>
              <fill>
                <patternFill>
                  <bgColor rgb="FFFBE93B"/>
                </patternFill>
              </fill>
            </x14:dxf>
          </x14:cfRule>
          <xm:sqref>AL31</xm:sqref>
        </x14:conditionalFormatting>
        <x14:conditionalFormatting xmlns:xm="http://schemas.microsoft.com/office/excel/2006/main">
          <x14:cfRule type="expression" priority="12828" id="{735C279E-41D1-40B7-83BB-24E59F501F0D}">
            <xm:f>AND(LEFT(PL!$F$13)="F",$AL$36=3,PL!$BU$5="X")</xm:f>
            <x14:dxf>
              <font>
                <color rgb="FF8E0000"/>
              </font>
              <fill>
                <patternFill>
                  <bgColor rgb="FFFECF82"/>
                </patternFill>
              </fill>
            </x14:dxf>
          </x14:cfRule>
          <x14:cfRule type="expression" priority="12829" id="{16632847-431D-44A1-9876-11EE708AD9C9}">
            <xm:f>AND(LEFT(PL!$F$13)="F",$AL$36=2,PL!$BU$5="X")</xm:f>
            <x14:dxf>
              <font>
                <color rgb="FF8E0000"/>
              </font>
              <fill>
                <patternFill>
                  <bgColor theme="2"/>
                </patternFill>
              </fill>
            </x14:dxf>
          </x14:cfRule>
          <x14:cfRule type="expression" priority="12830" id="{C187B981-C3FB-4748-B779-F266726E88DA}">
            <xm:f>AND(LEFT(PL!$F$13)="F",$AL$36=1,PL!$BU$5="X")</xm:f>
            <x14:dxf>
              <font>
                <color rgb="FF8E0000"/>
              </font>
              <fill>
                <patternFill>
                  <bgColor rgb="FFFBE93B"/>
                </patternFill>
              </fill>
            </x14:dxf>
          </x14:cfRule>
          <xm:sqref>AL36</xm:sqref>
        </x14:conditionalFormatting>
        <x14:conditionalFormatting xmlns:xm="http://schemas.microsoft.com/office/excel/2006/main">
          <x14:cfRule type="expression" priority="148" id="{B098D28D-E36E-45F8-9FF8-0B1B7644CB71}">
            <xm:f>LEFT(PL!$B$15)="3"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2098" id="{826A3CB1-0F6C-481C-BE42-3F5219594913}">
            <xm:f>AND(LEFT(PA!$F$13)="P",PA!$AO$4&gt;1)</xm:f>
            <x14:dxf>
              <border>
                <bottom/>
                <vertical/>
                <horizontal/>
              </border>
            </x14:dxf>
          </x14:cfRule>
          <xm:sqref>AP10 AP12 AP15 AP17</xm:sqref>
        </x14:conditionalFormatting>
        <x14:conditionalFormatting xmlns:xm="http://schemas.microsoft.com/office/excel/2006/main">
          <x14:cfRule type="expression" priority="4" id="{9F891757-23BE-48A8-8195-C0FE58A0DCA3}">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2102" id="{3ED52C78-8B79-4F34-AE82-08FCB9B25527}">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2104" id="{DFCB1CA9-838C-44C6-8ED1-035394BE7632}">
            <xm:f>AND(LEFT(PA!$F$13)="P",PA!$AO$4&gt;1)</xm:f>
            <x14:dxf>
              <border>
                <top/>
                <vertical/>
                <horizontal/>
              </border>
            </x14:dxf>
          </x14:cfRule>
          <xm:sqref>AP11 AP13 AP16 AP18</xm:sqref>
        </x14:conditionalFormatting>
        <x14:conditionalFormatting xmlns:xm="http://schemas.microsoft.com/office/excel/2006/main">
          <x14:cfRule type="expression" priority="12128" id="{9C433E21-A758-4F97-BEAA-63DF828BEF02}">
            <xm:f>AND(LEFT(PA!$F$13)="P",PA!$AO$4&gt;1)</xm:f>
            <x14:dxf>
              <fill>
                <patternFill>
                  <bgColor theme="1"/>
                </patternFill>
              </fill>
            </x14:dxf>
          </x14:cfRule>
          <xm:sqref>AP14 AP19</xm:sqref>
        </x14:conditionalFormatting>
        <x14:conditionalFormatting xmlns:xm="http://schemas.microsoft.com/office/excel/2006/main">
          <x14:cfRule type="expression" priority="12108" id="{0F1FCFB9-1248-4131-BA67-8258683846CF}">
            <xm:f>AND(LEFT(PA!$F$13)="P",PA!$AO$4&gt;2)</xm:f>
            <x14:dxf>
              <border>
                <bottom/>
                <vertical/>
                <horizontal/>
              </border>
            </x14:dxf>
          </x14:cfRule>
          <xm:sqref>AP20 AP22</xm:sqref>
        </x14:conditionalFormatting>
        <x14:conditionalFormatting xmlns:xm="http://schemas.microsoft.com/office/excel/2006/main">
          <x14:cfRule type="expression" priority="12110" id="{3B8159BA-DCC2-44ED-9043-46E894E5934C}">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2111" id="{05513DD7-8555-484C-ADA3-0EE2D154F283}">
            <xm:f>AND(LEFT(PA!$F$13)="P",PA!$AO$4&gt;2)</xm:f>
            <x14:dxf>
              <border>
                <top/>
                <vertical/>
                <horizontal/>
              </border>
            </x14:dxf>
          </x14:cfRule>
          <xm:sqref>AP21 AP23</xm:sqref>
        </x14:conditionalFormatting>
        <x14:conditionalFormatting xmlns:xm="http://schemas.microsoft.com/office/excel/2006/main">
          <x14:cfRule type="expression" priority="12130" id="{B618E11C-5DFE-4A58-A1F2-F7D33C24870D}">
            <xm:f>AND(LEFT(PA!$F$13)="P",PA!$AO$4&gt;2)</xm:f>
            <x14:dxf>
              <fill>
                <patternFill>
                  <bgColor theme="1"/>
                </patternFill>
              </fill>
            </x14:dxf>
          </x14:cfRule>
          <xm:sqref>AP24</xm:sqref>
        </x14:conditionalFormatting>
        <x14:conditionalFormatting xmlns:xm="http://schemas.microsoft.com/office/excel/2006/main">
          <x14:cfRule type="expression" priority="12113" id="{C107B57C-6A4E-44BA-917B-E2D7A9F343B0}">
            <xm:f>AND(LEFT(PA!$F$13)="P",PA!$AO$4&gt;2,COUNT(PA!$A$6:$A$11)&gt;3)</xm:f>
            <x14:dxf>
              <border>
                <bottom/>
                <vertical/>
                <horizontal/>
              </border>
            </x14:dxf>
          </x14:cfRule>
          <xm:sqref>AP25 AP27</xm:sqref>
        </x14:conditionalFormatting>
        <x14:conditionalFormatting xmlns:xm="http://schemas.microsoft.com/office/excel/2006/main">
          <x14:cfRule type="expression" priority="12115" id="{67E8BBDA-BFA3-4B70-BA85-EFEE3A975E1C}">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2116" id="{D15FC35F-DBA9-4648-94CD-6F15E217FA19}">
            <xm:f>AND(LEFT(PA!$F$13)="P",PA!$AO$4&gt;2,COUNT(PA!$A$6:$A$11)&gt;3)</xm:f>
            <x14:dxf>
              <border>
                <top/>
                <vertical/>
                <horizontal/>
              </border>
            </x14:dxf>
          </x14:cfRule>
          <xm:sqref>AP26 AP28</xm:sqref>
        </x14:conditionalFormatting>
        <x14:conditionalFormatting xmlns:xm="http://schemas.microsoft.com/office/excel/2006/main">
          <x14:cfRule type="expression" priority="12131" id="{FCFD180F-0965-4FA6-ADD7-2853E94ED1A6}">
            <xm:f>AND(LEFT(PA!$F$13)="P",PA!$AO$4&gt;2,COUNT(PA!$A$6:$A$11)&gt;3)</xm:f>
            <x14:dxf>
              <fill>
                <patternFill>
                  <bgColor theme="1"/>
                </patternFill>
              </fill>
            </x14:dxf>
          </x14:cfRule>
          <xm:sqref>AP29</xm:sqref>
        </x14:conditionalFormatting>
        <x14:conditionalFormatting xmlns:xm="http://schemas.microsoft.com/office/excel/2006/main">
          <x14:cfRule type="expression" priority="12118" id="{5AB59A44-A556-49EF-A12F-509F3EE6068D}">
            <xm:f>AND(LEFT(PA!$F$13)="P",PA!$AO$4&gt;2,COUNT(PA!$A$6:$A$11)&gt;4)</xm:f>
            <x14:dxf>
              <border>
                <bottom/>
                <vertical/>
                <horizontal/>
              </border>
            </x14:dxf>
          </x14:cfRule>
          <xm:sqref>AP30 AP32</xm:sqref>
        </x14:conditionalFormatting>
        <x14:conditionalFormatting xmlns:xm="http://schemas.microsoft.com/office/excel/2006/main">
          <x14:cfRule type="expression" priority="12120" id="{F185B526-8064-4701-897B-2E86ADEE3F91}">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2121" id="{88601A0E-A948-47AB-87A3-05DB39E7A83B}">
            <xm:f>AND(LEFT(PA!$F$13)="P",PA!$AO$4&gt;2,COUNT(PA!$A$6:$A$11)&gt;4)</xm:f>
            <x14:dxf>
              <border>
                <top/>
                <vertical/>
                <horizontal/>
              </border>
            </x14:dxf>
          </x14:cfRule>
          <xm:sqref>AP31 AP33</xm:sqref>
        </x14:conditionalFormatting>
        <x14:conditionalFormatting xmlns:xm="http://schemas.microsoft.com/office/excel/2006/main">
          <x14:cfRule type="expression" priority="12132" id="{5CC82224-4BE2-4C3A-A984-67CC081BE494}">
            <xm:f>AND(LEFT(PA!$F$13)="P",PA!$AO$4&gt;2,COUNT(PA!$A$6:$A$11)&gt;4)</xm:f>
            <x14:dxf>
              <fill>
                <patternFill>
                  <bgColor theme="1"/>
                </patternFill>
              </fill>
            </x14:dxf>
          </x14:cfRule>
          <xm:sqref>AP34</xm:sqref>
        </x14:conditionalFormatting>
        <x14:conditionalFormatting xmlns:xm="http://schemas.microsoft.com/office/excel/2006/main">
          <x14:cfRule type="expression" priority="12123" id="{EE6D5FD8-5F3E-4E53-95A0-167BCA99FBBB}">
            <xm:f>AND(LEFT(PA!$F$13)="P",PA!$AO$4&gt;2,COUNT(PA!$A$6:$A$11)&gt;5)</xm:f>
            <x14:dxf>
              <border>
                <bottom/>
                <vertical/>
                <horizontal/>
              </border>
            </x14:dxf>
          </x14:cfRule>
          <xm:sqref>AP35 AP37</xm:sqref>
        </x14:conditionalFormatting>
        <x14:conditionalFormatting xmlns:xm="http://schemas.microsoft.com/office/excel/2006/main">
          <x14:cfRule type="expression" priority="12125" id="{6F1CF919-4E44-4A7B-87DD-26DC3F36151F}">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2126" id="{76B7CD81-E95D-4D96-90D9-94D0E27C7AF2}">
            <xm:f>AND(LEFT(PA!$F$13)="P",PA!$AO$4&gt;2,COUNT(PA!$A$6:$A$11)&gt;5)</xm:f>
            <x14:dxf>
              <border>
                <top/>
                <vertical/>
                <horizontal/>
              </border>
            </x14:dxf>
          </x14:cfRule>
          <xm:sqref>AP36 AP38</xm:sqref>
        </x14:conditionalFormatting>
        <x14:conditionalFormatting xmlns:xm="http://schemas.microsoft.com/office/excel/2006/main">
          <x14:cfRule type="expression" priority="12831" id="{7CD5636F-6D66-46DE-A29B-EEA4A497D5E1}">
            <xm:f>AND(LEFT(PL!$F$13)="P",PL!$AO$4&gt;1)</xm:f>
            <x14:dxf>
              <fill>
                <patternFill>
                  <bgColor theme="1"/>
                </patternFill>
              </fill>
            </x14:dxf>
          </x14:cfRule>
          <xm:sqref>AP9:AQ9 AQ10:AQ19</xm:sqref>
        </x14:conditionalFormatting>
        <x14:conditionalFormatting xmlns:xm="http://schemas.microsoft.com/office/excel/2006/main">
          <x14:cfRule type="expression" priority="12833" id="{33B45301-E762-4233-BFE4-9B965F4344DE}">
            <xm:f>AND(LEFT(PL!$F$13)="P",PL!$AO$4&gt;2)</xm:f>
            <x14:dxf>
              <fill>
                <patternFill>
                  <bgColor theme="1"/>
                </patternFill>
              </fill>
            </x14:dxf>
          </x14:cfRule>
          <xm:sqref>AQ20:AQ24</xm:sqref>
        </x14:conditionalFormatting>
        <x14:conditionalFormatting xmlns:xm="http://schemas.microsoft.com/office/excel/2006/main">
          <x14:cfRule type="expression" priority="12834" id="{B4503440-4C64-4C0E-A35E-E5710E160FA8}">
            <xm:f>AND(LEFT(PL!$F$13)="P",PL!$AO$4&gt;2,COUNT(PL!$A$6:$A$11)&gt;3)</xm:f>
            <x14:dxf>
              <fill>
                <patternFill>
                  <bgColor theme="1"/>
                </patternFill>
              </fill>
            </x14:dxf>
          </x14:cfRule>
          <xm:sqref>AQ25:AQ29</xm:sqref>
        </x14:conditionalFormatting>
        <x14:conditionalFormatting xmlns:xm="http://schemas.microsoft.com/office/excel/2006/main">
          <x14:cfRule type="expression" priority="12835" id="{13C6006B-EED9-43A7-8E8A-91D0735368A3}">
            <xm:f>AND(LEFT(PL!$F$13)="P",PL!$AO$4&gt;2,COUNT(PL!$A$6:$A$11)&gt;4)</xm:f>
            <x14:dxf>
              <fill>
                <patternFill>
                  <bgColor theme="1"/>
                </patternFill>
              </fill>
            </x14:dxf>
          </x14:cfRule>
          <xm:sqref>AQ30:AQ34</xm:sqref>
        </x14:conditionalFormatting>
        <x14:conditionalFormatting xmlns:xm="http://schemas.microsoft.com/office/excel/2006/main">
          <x14:cfRule type="expression" priority="12836" id="{C16B5036-AD81-4061-A935-7D175A623675}">
            <xm:f>AND(LEFT(PL!$F$13)="P",PL!$AO$4&gt;2,COUNT(PL!$A$6:$A$11)&gt;5)</xm:f>
            <x14:dxf>
              <fill>
                <patternFill>
                  <bgColor theme="1"/>
                </patternFill>
              </fill>
            </x14:dxf>
          </x14:cfRule>
          <xm:sqref>AQ35:AQ38 AP39:AQ39</xm:sqref>
        </x14:conditionalFormatting>
        <x14:conditionalFormatting xmlns:xm="http://schemas.microsoft.com/office/excel/2006/main">
          <x14:cfRule type="expression" priority="39" id="{A47B333F-2111-40C7-BC8E-8BF144BCD3A9}">
            <xm:f>'GESTION DES JOUEURS'!$T$8&lt;2</xm:f>
            <x14:dxf>
              <font>
                <color theme="0" tint="-0.24994659260841701"/>
              </font>
              <fill>
                <patternFill>
                  <bgColor theme="0" tint="-0.24994659260841701"/>
                </patternFill>
              </fill>
            </x14:dxf>
          </x14:cfRule>
          <x14:cfRule type="expression" priority="40" id="{AC352F92-BF28-4792-B093-1506101E439A}">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36A7F33C-5FF8-4A40-86C6-CC442FFD7306}">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5D3352FA-B2F7-4195-B88E-74E6EB8343AB}">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43B361C0-C551-4BEB-9AB5-A4669EEC56BC}">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51CA915A-8DCB-4AB8-80DD-A89FA6662D43}">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25E8843D-3B53-43D9-B23E-1C2484EAA8EE}">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A7B8EC25-5F4E-4F3C-8EEF-0BF370586E03}">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B202A2D8-7407-4E34-A18E-8CFC16E1D0DF}">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A89DD1D8-35B8-4F55-9AA4-07BA6310AC26}">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50707D33-4350-494F-9551-0C486D15CEBD}">
            <xm:f>'GESTION DES JOUEURS'!$D$8="Finale"</xm:f>
            <x14:dxf>
              <font>
                <color theme="0" tint="-0.24994659260841701"/>
              </font>
              <fill>
                <patternFill>
                  <bgColor theme="0" tint="-0.24994659260841701"/>
                </patternFill>
              </fill>
            </x14:dxf>
          </x14:cfRule>
          <x14:cfRule type="expression" priority="25" id="{A78C9D48-1104-4A1D-AFD1-92FAE0B65A28}">
            <xm:f>OR('GESTION DES JOUEURS'!$D$8="poules",'GESTION DES JOUEURS'!$D$8="Finale")</xm:f>
            <x14:dxf>
              <font>
                <color theme="0" tint="-0.24994659260841701"/>
              </font>
              <fill>
                <patternFill>
                  <fgColor auto="1"/>
                  <bgColor theme="0" tint="-0.24994659260841701"/>
                </patternFill>
              </fill>
            </x14:dxf>
          </x14:cfRule>
          <x14:cfRule type="expression" priority="24" id="{6A8514E4-6E86-436A-B397-949F6BC7C7D9}">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DA3B377E-BE58-415F-A048-9CD25B6A333B}">
            <xm:f>'GESTION DES JOUEURS'!$T$8=1</xm:f>
            <x14:dxf>
              <font>
                <color theme="0" tint="-0.24994659260841701"/>
              </font>
              <fill>
                <patternFill>
                  <bgColor theme="0" tint="-0.24994659260841701"/>
                </patternFill>
              </fill>
            </x14:dxf>
          </x14:cfRule>
          <x14:cfRule type="expression" priority="3" id="{38BAC000-4FF2-4D47-A78A-FD844E4BE417}">
            <xm:f>OR('GESTION DES JOUEURS'!$D$8="Poules",'GESTION DES JOUEURS'!$D$8="Finale",'GESTION DES JOUEURS'!$D$8="Tournoi")</xm:f>
            <x14:dxf>
              <font>
                <color theme="0" tint="-0.24994659260841701"/>
              </font>
              <fill>
                <patternFill>
                  <bgColor theme="0" tint="-0.24994659260841701"/>
                </patternFill>
              </fill>
            </x14:dxf>
          </x14:cfRule>
          <x14:cfRule type="expression" priority="2" id="{DE38AACC-345F-43EB-A99D-1573D9F0F8FF}">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FE4530CA-43F0-42E5-8BE7-1D8AC5DCED47}">
            <xm:f>'GESTION DES JOUEURS'!$T$8=1</xm:f>
            <x14:dxf>
              <font>
                <color theme="0" tint="-0.24994659260841701"/>
              </font>
              <fill>
                <patternFill>
                  <bgColor theme="0" tint="-0.24994659260841701"/>
                </patternFill>
              </fill>
            </x14:dxf>
          </x14:cfRule>
          <x14:cfRule type="expression" priority="53" id="{4B8CD3C5-064C-4361-9633-FBE827E74A4E}">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0BF0-274D-43F5-A62D-900D10497C59}">
  <sheetPr>
    <tabColor rgb="FF2F75B5"/>
  </sheetPr>
  <dimension ref="A1:EG62"/>
  <sheetViews>
    <sheetView topLeftCell="M1" zoomScaleNormal="100" workbookViewId="0">
      <selection activeCell="V38" sqref="V38:Y46"/>
    </sheetView>
  </sheetViews>
  <sheetFormatPr baseColWidth="10" defaultColWidth="10.85546875" defaultRowHeight="23.1" customHeight="1" x14ac:dyDescent="0.25"/>
  <cols>
    <col min="1" max="1" width="5.140625" style="244" bestFit="1" customWidth="1"/>
    <col min="2" max="2" width="14.85546875" style="244" bestFit="1" customWidth="1"/>
    <col min="3" max="5" width="10.85546875" style="244" customWidth="1"/>
    <col min="6" max="7" width="8.28515625" style="244" customWidth="1"/>
    <col min="8" max="8" width="4.85546875" style="244" bestFit="1" customWidth="1"/>
    <col min="9" max="9" width="11.140625" style="244" customWidth="1"/>
    <col min="10" max="10" width="6.28515625" style="244" customWidth="1"/>
    <col min="11" max="12" width="10.85546875" style="244" customWidth="1"/>
    <col min="13" max="13" width="5.5703125" style="244" customWidth="1"/>
    <col min="14" max="16" width="10.85546875" style="244" customWidth="1"/>
    <col min="17" max="17" width="5.5703125" style="244" customWidth="1"/>
    <col min="18" max="18" width="10.85546875" style="244" customWidth="1"/>
    <col min="19" max="19" width="8.7109375" style="244" customWidth="1"/>
    <col min="20" max="20" width="16.5703125" style="244" customWidth="1"/>
    <col min="21" max="21" width="17.140625" style="244" customWidth="1"/>
    <col min="22" max="22" width="8.28515625" style="244" customWidth="1"/>
    <col min="23" max="24" width="10.85546875" style="244" customWidth="1"/>
    <col min="25" max="25" width="13.85546875" style="244" bestFit="1" customWidth="1"/>
    <col min="26" max="26" width="0.85546875" style="244" customWidth="1"/>
    <col min="27" max="27" width="15.140625" style="241" customWidth="1"/>
    <col min="28" max="28" width="0.85546875" style="244" customWidth="1"/>
    <col min="29" max="30" width="12.85546875" style="244" hidden="1" customWidth="1"/>
    <col min="31" max="31" width="10.85546875" style="371" hidden="1" customWidth="1"/>
    <col min="32" max="32" width="8.5703125" style="371" hidden="1" customWidth="1"/>
    <col min="33" max="33" width="4" style="371" hidden="1" customWidth="1"/>
    <col min="34" max="34" width="7.85546875" style="371" hidden="1" customWidth="1"/>
    <col min="35" max="35" width="9.140625" style="371" hidden="1" customWidth="1"/>
    <col min="36" max="36" width="11.85546875" style="244" hidden="1" customWidth="1"/>
    <col min="37" max="44" width="10.85546875" style="244" hidden="1" customWidth="1"/>
    <col min="45" max="46" width="10.85546875" style="578" hidden="1" customWidth="1"/>
    <col min="47" max="47" width="10.85546875" style="244" hidden="1" customWidth="1"/>
    <col min="48" max="49" width="10.85546875" style="575" hidden="1" customWidth="1"/>
    <col min="50" max="50" width="10.85546875" style="576" hidden="1" customWidth="1"/>
    <col min="51" max="52" width="12.85546875" style="244" hidden="1" customWidth="1"/>
    <col min="53" max="54" width="10.85546875" style="244" hidden="1" customWidth="1"/>
    <col min="55" max="55" width="23.140625" style="244" hidden="1" customWidth="1"/>
    <col min="56" max="56" width="10.85546875" style="244" hidden="1" customWidth="1"/>
    <col min="57" max="57" width="25" style="244" hidden="1" customWidth="1"/>
    <col min="58" max="58" width="9.140625" style="244" hidden="1" customWidth="1"/>
    <col min="59" max="59" width="44.85546875" style="244" hidden="1" customWidth="1"/>
    <col min="60" max="112" width="10.85546875" style="244" hidden="1" customWidth="1"/>
    <col min="113" max="113" width="10.85546875" style="471" hidden="1" customWidth="1"/>
    <col min="114" max="137" width="10.85546875" style="244" hidden="1" customWidth="1"/>
    <col min="138" max="138" width="10.85546875" style="244" customWidth="1"/>
    <col min="139" max="16384" width="10.85546875" style="244"/>
  </cols>
  <sheetData>
    <row r="1" spans="1:128" ht="5.0999999999999996" customHeight="1" thickBot="1" x14ac:dyDescent="0.3"/>
    <row r="2" spans="1:128" ht="69.599999999999994" customHeight="1" thickBot="1" x14ac:dyDescent="0.3">
      <c r="B2" s="1122" t="str">
        <f>IF('GESTION DES JOUEURS'!$D$8="Tournoi",'GESTION DES JOUEURS'!$C$2&amp;CHAR(10)&amp;"Phase finale",IF('GESTION DES JOUEURS'!$D$8="Open",'GESTION DES JOUEURS'!$C$2&amp;CHAR(10)&amp;"Phase finale principale",""))</f>
        <v/>
      </c>
      <c r="C2" s="1123"/>
      <c r="D2" s="1123"/>
      <c r="E2" s="1123"/>
      <c r="F2" s="1123"/>
      <c r="G2" s="1123"/>
      <c r="H2" s="1123"/>
      <c r="I2" s="1123"/>
      <c r="J2" s="1123"/>
      <c r="K2" s="1123"/>
      <c r="L2" s="1123"/>
      <c r="M2" s="1123"/>
      <c r="N2" s="1123"/>
      <c r="O2" s="1123"/>
      <c r="P2" s="1123"/>
      <c r="Q2" s="1123"/>
      <c r="R2" s="1123"/>
      <c r="S2" s="1123"/>
      <c r="T2" s="1123"/>
      <c r="U2" s="1123"/>
      <c r="V2" s="1123"/>
      <c r="W2" s="1123"/>
      <c r="X2" s="1124"/>
      <c r="Y2" s="524"/>
      <c r="AA2" s="371" t="e" vm="1">
        <v>#VALUE!</v>
      </c>
      <c r="AS2" s="579"/>
      <c r="AT2" s="579"/>
      <c r="AU2" s="579"/>
      <c r="AV2" s="580"/>
      <c r="AW2" s="580"/>
      <c r="AX2" s="578"/>
    </row>
    <row r="3" spans="1:128" ht="5.0999999999999996" customHeight="1" thickBot="1" x14ac:dyDescent="0.3"/>
    <row r="4" spans="1:128" ht="19.5" thickBot="1" x14ac:dyDescent="0.35">
      <c r="B4" s="895" t="s">
        <v>5528</v>
      </c>
      <c r="C4" s="896"/>
      <c r="D4" s="896"/>
      <c r="E4" s="896"/>
      <c r="F4" s="897" t="str">
        <f>'GESTION DES JOUEURS'!$D$8</f>
        <v>Poules</v>
      </c>
      <c r="G4" s="897"/>
      <c r="H4" s="897"/>
      <c r="I4" s="897"/>
      <c r="J4" s="896" t="str">
        <f>IF(F4="Tournoi","PHASE FINALE",IF(F4="Open","Phase finale principale",""))</f>
        <v/>
      </c>
      <c r="K4" s="896"/>
      <c r="L4" s="896"/>
      <c r="M4" s="898" t="s">
        <v>5529</v>
      </c>
      <c r="N4" s="898"/>
      <c r="O4" s="898"/>
      <c r="P4" s="898"/>
      <c r="Q4" s="898"/>
      <c r="R4" s="339"/>
      <c r="S4" s="339"/>
      <c r="T4" s="794" t="str">
        <f>'GESTION DES JOUEURS'!$G$6&amp;" "&amp;'GESTION DES JOUEURS'!$J$6</f>
        <v>LEMONIER THIERY</v>
      </c>
      <c r="U4" s="794"/>
      <c r="V4" s="794"/>
      <c r="W4" s="794"/>
      <c r="X4" s="795"/>
      <c r="Y4" s="525"/>
      <c r="Z4" s="246"/>
      <c r="AA4" s="891" t="s">
        <v>8128</v>
      </c>
      <c r="AO4" s="244" t="s">
        <v>21</v>
      </c>
      <c r="AP4" s="244" t="s">
        <v>11530</v>
      </c>
      <c r="AQ4" s="244" t="s">
        <v>14</v>
      </c>
      <c r="AR4" s="244" t="s">
        <v>11529</v>
      </c>
      <c r="AS4" s="578" t="s">
        <v>11528</v>
      </c>
      <c r="AT4" s="578" t="s">
        <v>11527</v>
      </c>
      <c r="AU4" s="244" t="s">
        <v>17</v>
      </c>
      <c r="AV4" s="575" t="s">
        <v>11513</v>
      </c>
      <c r="AW4" s="575" t="s">
        <v>11514</v>
      </c>
      <c r="AX4" s="576" t="s">
        <v>11526</v>
      </c>
    </row>
    <row r="5" spans="1:128" ht="19.5" thickBot="1" x14ac:dyDescent="0.3">
      <c r="B5" s="1125" t="s">
        <v>5508</v>
      </c>
      <c r="C5" s="897"/>
      <c r="D5" s="897"/>
      <c r="E5" s="107">
        <f>IF('GESTION DES JOUEURS'!$D$8="Open","Hcp",IF(MAX(Distances!C79:KQ79)=0,"",MAX(Distances!C79:KQ79)))</f>
        <v>80</v>
      </c>
      <c r="F5" s="107" t="s">
        <v>2</v>
      </c>
      <c r="G5" s="107"/>
      <c r="H5" s="107"/>
      <c r="I5" s="798">
        <f>IFERROR(IF('GESTION DES JOUEURS'!$D$8="Open","Sans limitation",MAX(Distances!B80:KQ80)),"")</f>
        <v>35</v>
      </c>
      <c r="J5" s="798"/>
      <c r="K5" s="108" t="s">
        <v>5453</v>
      </c>
      <c r="L5" s="108"/>
      <c r="M5" s="897" t="str">
        <f>'GESTION DES JOUEURS'!$B$6</f>
        <v>9031 - ACADEMIE DE BILLARD DE MAISONS ALFORT</v>
      </c>
      <c r="N5" s="897"/>
      <c r="O5" s="897"/>
      <c r="P5" s="897"/>
      <c r="Q5" s="897"/>
      <c r="R5" s="897"/>
      <c r="S5" s="897"/>
      <c r="T5" s="107" t="s">
        <v>5497</v>
      </c>
      <c r="U5" s="903">
        <f>'GESTION DES JOUEURS'!$K$2</f>
        <v>45633</v>
      </c>
      <c r="V5" s="903"/>
      <c r="W5" s="903"/>
      <c r="X5" s="904"/>
      <c r="Y5" s="526"/>
      <c r="AA5" s="892"/>
      <c r="AE5" s="371">
        <v>1</v>
      </c>
      <c r="AF5" s="371" t="str">
        <f>F9</f>
        <v/>
      </c>
      <c r="AG5" s="371" t="str">
        <f>D9</f>
        <v/>
      </c>
      <c r="AH5" s="371" t="b">
        <f>L9</f>
        <v>0</v>
      </c>
      <c r="AI5" s="371" t="e">
        <f>N9/_xlfn.XLOOKUP(AF5,CP$7:CP$33,$DI$7:$DI$33,"",0,1)</f>
        <v>#VALUE!</v>
      </c>
      <c r="AJ5" s="244" t="e">
        <f>P9/_xlfn.XLOOKUP(V9,$CP$7:$CP$33,$DI$7:$DI$33,"",0,1)</f>
        <v>#VALUE!</v>
      </c>
      <c r="AK5" s="244">
        <f>M9</f>
        <v>0</v>
      </c>
      <c r="AL5" s="573" t="str">
        <f>E9</f>
        <v/>
      </c>
      <c r="AM5" s="244" t="e">
        <f>P9/AJ5</f>
        <v>#VALUE!</v>
      </c>
      <c r="AN5" s="244">
        <v>1</v>
      </c>
      <c r="AO5" s="244" t="str">
        <f>CP7</f>
        <v>148333G</v>
      </c>
      <c r="AP5" s="244" t="str">
        <f>_xlfn.XLOOKUP(AO5,$AF$5:$AF$34,$AE$5:$AE$34,"",0,1)</f>
        <v/>
      </c>
      <c r="AQ5" s="244" t="str">
        <f>_xlfn.XLOOKUP(AO5,$AF$5:$AF$34,$AG$5:$AG$34,"",0,1)</f>
        <v/>
      </c>
      <c r="AR5" s="244" t="str">
        <f>_xlfn.XLOOKUP(AO5,$AF$5:$AF$34,$AH$5:$AH$34,"",0,1)</f>
        <v/>
      </c>
      <c r="AS5" s="578" t="str">
        <f>_xlfn.XLOOKUP(AO5,$AF$5:$AF$34,$AI$5:$AI$34,"",0,1)</f>
        <v/>
      </c>
      <c r="AT5" s="578" t="str">
        <f>_xlfn.XLOOKUP(AO5,$AF$5:$AF$34,$AJ$5:$AJ$34,"",0,1)</f>
        <v/>
      </c>
      <c r="AU5" s="244">
        <f>_xlfn.MAXIFS($AK$5:$AK$34,$AF$5:$AF$34,AO5)</f>
        <v>0</v>
      </c>
      <c r="AV5" s="575">
        <f>IFERROR(SUM(SUMIFS($N$9:$N$23,$F$9:$F$23,AO5,$A$9:$A$23,"P"),SUMIFS($P$9:$P$23,$V$9:$V$23,AO5,$A$9:$A$23,"P"))/(SUM(COUNTIF($F$9:$F$23,AO5),COUNTIF($V$9:$V$23,AO5))*_xlfn.XLOOKUP(AO5,$BU$7:$BU$26,$CN$7:$CN$26,"",0,1)),0)</f>
        <v>0</v>
      </c>
      <c r="AW5" s="575">
        <f>IFERROR(SUM(SUMIFS($P$9:$P$23,$F$9:$F$23,AO5,$A$9:$A$23,"P"),SUMIFS($N$9:$N$23,$V$9:$V$23,AO5,$A$9:$A$23,"P"))/SUMIF($AF$5:$AF$34,AO5,$AM$5:$AM$34),0)</f>
        <v>0</v>
      </c>
      <c r="AX5" s="577">
        <f>IFERROR(SUM(SUMIFS($N$9:$N$23,$F$9:$F$23,AO5,$A$9:$A$23,"P"),SUMIFS($P$9:$P$23,$V$9:$V$23,AO5,$A$9:$A$23,"P"))/SUM(SUMIFS($O$9:$O$23,$F$9:$F$23,AO5,$A$9:$A$23,"P"),SUMIFS($O$9:$O$23,$V$9:$V$23,AO5,$A$9:$A$23,"P")),0)</f>
        <v>0</v>
      </c>
      <c r="CP5" s="1075" t="s">
        <v>9889</v>
      </c>
      <c r="CQ5" s="1075"/>
      <c r="CR5" s="1075"/>
      <c r="CS5" s="1075"/>
      <c r="CT5" s="1075"/>
      <c r="CU5" s="1075"/>
      <c r="CV5" s="1075"/>
      <c r="CW5" s="1075"/>
      <c r="CX5" s="1075"/>
      <c r="CY5" s="1075"/>
      <c r="CZ5" s="1075"/>
      <c r="DA5" s="1075"/>
      <c r="DB5" s="1075"/>
      <c r="DC5" s="1075"/>
      <c r="DD5" s="1075"/>
      <c r="DE5" s="1075"/>
      <c r="DF5" s="1075"/>
      <c r="DG5" s="1075"/>
    </row>
    <row r="6" spans="1:128" ht="27" thickBot="1" x14ac:dyDescent="0.45">
      <c r="B6" s="908" t="str">
        <f>'GESTION DES JOUEURS'!$D$4</f>
        <v>Libre R2</v>
      </c>
      <c r="C6" s="1114"/>
      <c r="D6" s="789" t="s">
        <v>5455</v>
      </c>
      <c r="E6" s="790"/>
      <c r="F6" s="790"/>
      <c r="G6" s="790"/>
      <c r="H6" s="790"/>
      <c r="I6" s="790"/>
      <c r="J6" s="790"/>
      <c r="K6" s="790"/>
      <c r="L6" s="790"/>
      <c r="M6" s="790"/>
      <c r="N6" s="790"/>
      <c r="O6" s="790"/>
      <c r="P6" s="790"/>
      <c r="Q6" s="790"/>
      <c r="R6" s="790"/>
      <c r="S6" s="790"/>
      <c r="T6" s="790"/>
      <c r="U6" s="790"/>
      <c r="V6" s="790"/>
      <c r="W6" s="790"/>
      <c r="X6" s="791"/>
      <c r="Y6" s="527"/>
      <c r="AE6" s="371">
        <v>1</v>
      </c>
      <c r="AF6" s="371" t="str">
        <f>V9</f>
        <v/>
      </c>
      <c r="AG6" s="371" t="str">
        <f>X9</f>
        <v/>
      </c>
      <c r="AH6" s="371" t="b">
        <f>R9</f>
        <v>0</v>
      </c>
      <c r="AI6" s="371" t="e">
        <f t="shared" ref="AI6:AI34" si="0">N10/_xlfn.XLOOKUP(AF6,CP$7:CP$33,$DI$7:$DI$33,"",0,1)</f>
        <v>#VALUE!</v>
      </c>
      <c r="AJ6" s="244" t="e">
        <f t="shared" ref="AJ6:AJ34" si="1">P10/_xlfn.XLOOKUP(V10,$CP$7:$CP$33,$DI$7:$DI$33,"",0,1)</f>
        <v>#VALUE!</v>
      </c>
      <c r="AK6" s="572">
        <f>Q9</f>
        <v>0</v>
      </c>
      <c r="AL6" s="574" t="str">
        <f>W9</f>
        <v/>
      </c>
      <c r="AM6" s="572" t="e">
        <f>N9/AJ6</f>
        <v>#VALUE!</v>
      </c>
      <c r="AN6" s="572">
        <v>2</v>
      </c>
      <c r="AO6" s="244" t="str">
        <f t="shared" ref="AO6:AO20" si="2">CP8</f>
        <v>111337F</v>
      </c>
      <c r="AP6" s="244" t="str">
        <f t="shared" ref="AP6:AP20" si="3">_xlfn.XLOOKUP(AO6,$AF$5:$AF$34,$AE$5:$AE$34,"",0,1)</f>
        <v/>
      </c>
      <c r="AQ6" s="244" t="str">
        <f t="shared" ref="AQ6:AQ20" si="4">_xlfn.XLOOKUP(AO6,$AF$5:$AF$34,$AG$5:$AG$34,"",0,1)</f>
        <v/>
      </c>
      <c r="AR6" s="244" t="str">
        <f t="shared" ref="AR6:AR20" si="5">_xlfn.XLOOKUP(AO6,$AF$5:$AF$34,$AH$5:$AH$34,"",0,1)</f>
        <v/>
      </c>
      <c r="AS6" s="578" t="str">
        <f t="shared" ref="AS6:AS20" si="6">_xlfn.XLOOKUP(AO6,$AF$5:$AF$34,$AI$5:$AI$34,"",0,1)</f>
        <v/>
      </c>
      <c r="AT6" s="578" t="str">
        <f t="shared" ref="AT6:AT20" si="7">_xlfn.XLOOKUP(AO6,$AF$5:$AF$34,$AJ$5:$AJ$34,"",0,1)</f>
        <v/>
      </c>
      <c r="AU6" s="244">
        <f t="shared" ref="AU6:AU20" si="8">_xlfn.MAXIFS($AK$5:$AK$34,$AF$5:$AF$34,AO6)</f>
        <v>0</v>
      </c>
      <c r="AV6" s="575">
        <f t="shared" ref="AV6:AV20" si="9">IFERROR(SUM(SUMIFS($N$9:$N$23,$F$9:$F$23,AO6,$A$9:$A$23,"P"),SUMIFS($P$9:$P$23,$V$9:$V$23,AO6,$A$9:$A$23,"P"))/(SUM(COUNTIF($F$9:$F$23,AO6),COUNTIF($V$9:$V$23,AO6))*_xlfn.XLOOKUP(AO6,$BU$7:$BU$26,$CN$7:$CN$26,"",0,1)),0)</f>
        <v>0</v>
      </c>
      <c r="AW6" s="575">
        <f t="shared" ref="AW6:AW20" si="10">IFERROR(SUM(SUMIFS($P$9:$P$23,$F$9:$F$23,AO6,$A$9:$A$23,"P"),SUMIFS($N$9:$N$23,$V$9:$V$23,AO6,$A$9:$A$23,"P"))/SUMIF($AF$5:$AF$34,AO6,$AM$5:$AM$34),0)</f>
        <v>0</v>
      </c>
      <c r="AX6" s="577">
        <f t="shared" ref="AX6:AX20" si="11">IFERROR(SUM(SUMIFS($N$9:$N$23,$F$9:$F$23,AO6,$A$9:$A$23,"P"),SUMIFS($P$9:$P$23,$V$9:$V$23,AO6,$A$9:$A$23,"P"))/SUM(SUMIFS($O$9:$O$23,$F$9:$F$23,AO6,$A$9:$A$23,"P"),SUMIFS($O$9:$O$23,$V$9:$V$23,AO6,$A$9:$A$23,"P")),0)</f>
        <v>0</v>
      </c>
      <c r="BB6" s="34" t="s">
        <v>27</v>
      </c>
      <c r="BC6" s="754" t="s">
        <v>28</v>
      </c>
      <c r="BD6" s="755"/>
      <c r="BE6" s="754" t="s">
        <v>29</v>
      </c>
      <c r="BF6" s="755"/>
      <c r="BG6" s="763" t="s">
        <v>30</v>
      </c>
      <c r="BH6" s="763"/>
      <c r="BI6" s="763"/>
      <c r="BJ6" s="763"/>
      <c r="BK6" s="763"/>
      <c r="BL6" s="763"/>
      <c r="BM6" s="350" t="s">
        <v>14</v>
      </c>
      <c r="BN6" s="350" t="s">
        <v>20</v>
      </c>
      <c r="BO6" s="349" t="s">
        <v>19</v>
      </c>
      <c r="BP6" s="349" t="s">
        <v>17</v>
      </c>
      <c r="BQ6" s="354" t="s">
        <v>5451</v>
      </c>
      <c r="BR6" s="35" t="str">
        <f>IF('GESTION DES JOUEURS'!$D$8="Open","T % Joueur","Pts Rk")</f>
        <v>Pts Rk</v>
      </c>
      <c r="BS6" s="36" t="str">
        <f>IF('GESTION DES JOUEURS'!$D$8="Open","T % Adv.","Pts Bonus")</f>
        <v>Pts Bonus</v>
      </c>
      <c r="BT6" s="244">
        <f>COUNTIF(BQ7:BQ42,"&gt;0")</f>
        <v>11</v>
      </c>
      <c r="BV6" s="34" t="s">
        <v>27</v>
      </c>
      <c r="BW6" s="754" t="s">
        <v>28</v>
      </c>
      <c r="BX6" s="755"/>
      <c r="BY6" s="754" t="s">
        <v>29</v>
      </c>
      <c r="BZ6" s="755"/>
      <c r="CA6" s="763" t="s">
        <v>30</v>
      </c>
      <c r="CB6" s="763"/>
      <c r="CC6" s="763"/>
      <c r="CD6" s="763"/>
      <c r="CE6" s="763"/>
      <c r="CF6" s="763"/>
      <c r="CG6" s="350" t="s">
        <v>14</v>
      </c>
      <c r="CH6" s="350" t="s">
        <v>20</v>
      </c>
      <c r="CI6" s="349" t="s">
        <v>19</v>
      </c>
      <c r="CJ6" s="349" t="s">
        <v>17</v>
      </c>
      <c r="CK6" s="354" t="s">
        <v>5451</v>
      </c>
      <c r="CL6" s="35" t="s">
        <v>5527</v>
      </c>
      <c r="CM6" s="243" t="s">
        <v>9866</v>
      </c>
      <c r="CP6" s="34" t="s">
        <v>27</v>
      </c>
      <c r="CQ6" s="754" t="s">
        <v>28</v>
      </c>
      <c r="CR6" s="755"/>
      <c r="CS6" s="754" t="s">
        <v>29</v>
      </c>
      <c r="CT6" s="755"/>
      <c r="CU6" s="763" t="s">
        <v>30</v>
      </c>
      <c r="CV6" s="763"/>
      <c r="CW6" s="763"/>
      <c r="CX6" s="763"/>
      <c r="CY6" s="763"/>
      <c r="CZ6" s="763"/>
      <c r="DA6" s="350" t="s">
        <v>14</v>
      </c>
      <c r="DB6" s="350" t="s">
        <v>20</v>
      </c>
      <c r="DC6" s="349" t="s">
        <v>19</v>
      </c>
      <c r="DD6" s="349" t="s">
        <v>17</v>
      </c>
      <c r="DE6" s="354" t="s">
        <v>5451</v>
      </c>
      <c r="DF6" s="35" t="s">
        <v>11512</v>
      </c>
      <c r="DG6" s="36" t="s">
        <v>11520</v>
      </c>
      <c r="DL6" s="244" t="s">
        <v>11521</v>
      </c>
      <c r="DM6" s="244" t="s">
        <v>11522</v>
      </c>
      <c r="DP6" s="244" t="s">
        <v>11523</v>
      </c>
      <c r="DQ6" s="244" t="s">
        <v>11524</v>
      </c>
      <c r="DR6" s="244" t="s">
        <v>11525</v>
      </c>
      <c r="DW6" s="1060" t="s">
        <v>10290</v>
      </c>
      <c r="DX6" s="1060"/>
    </row>
    <row r="7" spans="1:128" ht="19.5" thickBot="1" x14ac:dyDescent="0.3">
      <c r="B7" s="1120"/>
      <c r="C7" s="771" t="s">
        <v>5457</v>
      </c>
      <c r="D7" s="787" t="s">
        <v>5458</v>
      </c>
      <c r="E7" s="787"/>
      <c r="F7" s="787"/>
      <c r="G7" s="787"/>
      <c r="H7" s="787"/>
      <c r="I7" s="787"/>
      <c r="J7" s="787"/>
      <c r="K7" s="787"/>
      <c r="L7" s="787"/>
      <c r="M7" s="787"/>
      <c r="N7" s="788"/>
      <c r="O7" s="49" t="s">
        <v>5459</v>
      </c>
      <c r="P7" s="773" t="s">
        <v>5460</v>
      </c>
      <c r="Q7" s="774"/>
      <c r="R7" s="774"/>
      <c r="S7" s="774"/>
      <c r="T7" s="774"/>
      <c r="U7" s="774"/>
      <c r="V7" s="774"/>
      <c r="W7" s="774"/>
      <c r="X7" s="775"/>
      <c r="Y7" s="1082" t="str">
        <f>IF('GESTION DES JOUEURS'!$W$8=3.1,"cocher si match"&amp;CHAR(10)&amp;"sur 2,80m",IF('GESTION DES JOUEURS'!$W$8=2.8,"cocher si match"&amp;CHAR(10)&amp;"sur 3,10m",""))</f>
        <v>cocher si match
sur 3,10m</v>
      </c>
      <c r="AA7" s="901" t="s">
        <v>8129</v>
      </c>
      <c r="AE7" s="371">
        <v>2</v>
      </c>
      <c r="AF7" s="371" t="str">
        <f>F10</f>
        <v/>
      </c>
      <c r="AG7" s="371" t="str">
        <f>D10</f>
        <v/>
      </c>
      <c r="AH7" s="371" t="b">
        <f>L10</f>
        <v>0</v>
      </c>
      <c r="AI7" s="371" t="e">
        <f t="shared" si="0"/>
        <v>#VALUE!</v>
      </c>
      <c r="AJ7" s="244" t="e">
        <f t="shared" si="1"/>
        <v>#VALUE!</v>
      </c>
      <c r="AK7" s="244">
        <f>M10</f>
        <v>0</v>
      </c>
      <c r="AL7" s="573" t="str">
        <f>E10</f>
        <v/>
      </c>
      <c r="AM7" s="244" t="e">
        <f>P10/AJ7</f>
        <v>#VALUE!</v>
      </c>
      <c r="AN7" s="244">
        <v>3</v>
      </c>
      <c r="AO7" s="244" t="str">
        <f t="shared" si="2"/>
        <v>154178K</v>
      </c>
      <c r="AP7" s="244" t="str">
        <f t="shared" si="3"/>
        <v/>
      </c>
      <c r="AQ7" s="244" t="str">
        <f t="shared" si="4"/>
        <v/>
      </c>
      <c r="AR7" s="244" t="str">
        <f t="shared" si="5"/>
        <v/>
      </c>
      <c r="AS7" s="578" t="str">
        <f t="shared" si="6"/>
        <v/>
      </c>
      <c r="AT7" s="578" t="str">
        <f t="shared" si="7"/>
        <v/>
      </c>
      <c r="AU7" s="244">
        <f t="shared" si="8"/>
        <v>0</v>
      </c>
      <c r="AV7" s="575">
        <f t="shared" si="9"/>
        <v>0</v>
      </c>
      <c r="AW7" s="575">
        <f t="shared" si="10"/>
        <v>0</v>
      </c>
      <c r="AX7" s="577">
        <f t="shared" si="11"/>
        <v>0</v>
      </c>
      <c r="BA7" s="244">
        <v>1</v>
      </c>
      <c r="BB7" s="443" t="str">
        <f>IF('GESTION DES JOUEURS'!B11="","",'GESTION DES JOUEURS'!B11)</f>
        <v>154178K</v>
      </c>
      <c r="BC7" s="443" t="str" cm="1">
        <f t="array" ref="BC7:BS7">_xlfn.XLOOKUP('Phase finale'!BB7,PA!$B$37:$B$42,PA!$C$37:$S$42,_xlfn.XLOOKUP('Phase finale'!BB7,PB!$B$37:$B$42,PB!$C$37:$S$42,_xlfn.XLOOKUP('Phase finale'!BB7,PC!$B$37:$B$42,PC!$C$37:$S$42,_xlfn.XLOOKUP('Phase finale'!BB7,PD!$B$37:$B$42,PD!$C$37:$S$42,_xlfn.XLOOKUP('Phase finale'!BB7,PE!$B$37:$B$42,PE!$C$37:$S$42,_xlfn.XLOOKUP('Phase finale'!BB7,PF!$B$37:$B$42,PF!$C$37:$S$42,_xlfn.XLOOKUP('Phase finale'!BB7,PG!$B$37:$B$42,PG!$C$37:$S$42,_xlfn.XLOOKUP('Phase finale'!BB7,PH!$B$37:$B$42,PH!$C$37:$S$42,_xlfn.XLOOKUP('Phase finale'!BB7,PI!$B$37:$B$42,PI!$C$37:$S$42,_xlfn.XLOOKUP('Phase finale'!BB7,PJ!$B$37:$B$42,PJ!$C$37:$S$42,_xlfn.XLOOKUP('Phase finale'!BB7,PK!$B$37:$B$42,PK!$C$37:$S$42,_xlfn.XLOOKUP('Phase finale'!BB7,PL!$B$37:$B$42,PL!$C$37:$S$42,"",0,1),0,1),0,1),0,1),0,1),0,1),0,1),0,1),0,1),0,1),0,1),0,1)</f>
        <v>PONCE</v>
      </c>
      <c r="BD7" s="443">
        <v>0</v>
      </c>
      <c r="BE7" s="443" t="str">
        <v>FREDERIC</v>
      </c>
      <c r="BF7" s="443">
        <v>0</v>
      </c>
      <c r="BG7" s="443" t="str">
        <v>ACADEMIE DE BILLARD DE MAISONS ALFORT</v>
      </c>
      <c r="BH7" s="443">
        <v>0</v>
      </c>
      <c r="BI7" s="443">
        <v>0</v>
      </c>
      <c r="BJ7" s="443">
        <v>0</v>
      </c>
      <c r="BK7" s="443">
        <v>0</v>
      </c>
      <c r="BL7" s="443">
        <v>0</v>
      </c>
      <c r="BM7" s="443">
        <v>4</v>
      </c>
      <c r="BN7" s="443">
        <v>2.7777777777777777</v>
      </c>
      <c r="BO7" s="443">
        <v>2.8571428571428572</v>
      </c>
      <c r="BP7" s="443">
        <v>14</v>
      </c>
      <c r="BQ7" s="443">
        <v>1</v>
      </c>
      <c r="BR7" s="443">
        <v>8</v>
      </c>
      <c r="BS7" s="443">
        <v>2</v>
      </c>
      <c r="BU7" s="244">
        <v>1</v>
      </c>
      <c r="BV7" s="244" t="str" cm="1">
        <f t="array" ref="BV7:CM42">IF(Nb_joueursPA*NB_poules&lt;&gt;$BT$6,_xlfn.SORTBY($BB$7:$BS$42,$BM$7:$BM$42,-1,$BN$7:$BN$42,-1,$BO$7:$BO$42,-1,$BP$7:$BP$42,-1),_xlfn.SORTBY($BB$7:$BS$42,$BQ$7:$BQ$42,1,$BM$7:$BM$42,-1,$BN$7:$BN$42,-1,$BO$7:$BO$42,-1,$BP$7:$BP$42,-1))</f>
        <v/>
      </c>
      <c r="BW7" s="244" t="str">
        <v/>
      </c>
      <c r="BX7" s="244">
        <v>0</v>
      </c>
      <c r="BY7" s="244" t="str">
        <v/>
      </c>
      <c r="BZ7" s="244">
        <v>0</v>
      </c>
      <c r="CA7" s="244" t="str">
        <v/>
      </c>
      <c r="CB7" s="244">
        <v>0</v>
      </c>
      <c r="CC7" s="244">
        <v>0</v>
      </c>
      <c r="CD7" s="244">
        <v>0</v>
      </c>
      <c r="CE7" s="244">
        <v>0</v>
      </c>
      <c r="CF7" s="244">
        <v>0</v>
      </c>
      <c r="CG7" s="244" t="str">
        <v/>
      </c>
      <c r="CH7" s="244" t="str">
        <v/>
      </c>
      <c r="CI7" s="244" t="str">
        <v/>
      </c>
      <c r="CJ7" s="244" t="str">
        <v/>
      </c>
      <c r="CK7" s="244" t="str">
        <v/>
      </c>
      <c r="CL7" s="244" t="str">
        <v/>
      </c>
      <c r="CM7" s="244" t="str">
        <v/>
      </c>
      <c r="CO7" s="244">
        <f>IF(CP7&lt;&gt;"",CO6+1,CO6)</f>
        <v>1</v>
      </c>
      <c r="CP7" s="244" t="str" cm="1">
        <f t="array" ref="CP7:DG42">_xlfn.SORTBY(BB7:BS42,BQ7:BQ42,1,BM7:BM42,-1,BR7:BR42,-1,BS7:BS42,1,BN7:BN42,-1,BO7:BO42,-1,BP7:BP42,-1)</f>
        <v>148333G</v>
      </c>
      <c r="CQ7" s="244" t="str">
        <v>MA PHUOC</v>
      </c>
      <c r="CR7" s="244">
        <v>0</v>
      </c>
      <c r="CS7" s="244" t="str">
        <v>BICH</v>
      </c>
      <c r="CT7" s="244">
        <v>0</v>
      </c>
      <c r="CU7" s="244" t="str">
        <v>ACADEMIE DE BILLARD DE MAISONS ALFORT</v>
      </c>
      <c r="CV7" s="244">
        <v>0</v>
      </c>
      <c r="CW7" s="244">
        <v>0</v>
      </c>
      <c r="CX7" s="244">
        <v>0</v>
      </c>
      <c r="CY7" s="244">
        <v>0</v>
      </c>
      <c r="CZ7" s="244">
        <v>0</v>
      </c>
      <c r="DA7" s="244">
        <v>4</v>
      </c>
      <c r="DB7" s="244">
        <v>2.9411764705882355</v>
      </c>
      <c r="DC7" s="244">
        <v>3.4482758620689653</v>
      </c>
      <c r="DD7" s="244">
        <v>19</v>
      </c>
      <c r="DE7" s="244">
        <v>1</v>
      </c>
      <c r="DF7" s="244">
        <v>8</v>
      </c>
      <c r="DG7" s="244">
        <v>1</v>
      </c>
      <c r="DH7" s="244" t="str" cm="1">
        <f t="array" ref="DH7">_xlfn.XLOOKUP(CP7,Tableau19[Licence],'GESTION DES JOUEURS'!$O$11:$O$46,"",0,1)</f>
        <v>R2</v>
      </c>
      <c r="DI7" s="471">
        <f>IF('GESTION DES JOUEURS'!$X$8="Libre",_xlfn.XLOOKUP(DH7,Tableau13[Cat.],Tableau13[Libre],"",0,1),IF('GESTION DES JOUEURS'!$X$8="Bande",_xlfn.XLOOKUP(DH7,Tableau13[Cat.],Tableau13[bande],"",0,1),IF('GESTION DES JOUEURS'!$X$8="Cadre",_xlfn.XLOOKUP(DH7,Tableau13[Cat.],Tableau13[Cadre],"",0,1),IF('GESTION DES JOUEURS'!$X$8="3 Bandes",_xlfn.XLOOKUP(DH7,Tableau13[Cat.],Tableau13[3 Bandes],"",0,1),""))))</f>
        <v>60</v>
      </c>
      <c r="DK7" s="443" t="str" cm="1">
        <f t="array" ref="DK7:DK42">BV7:BV42</f>
        <v/>
      </c>
      <c r="DL7" s="443">
        <f>SUM(SUMIFS($N$9:$N$34,$F$9:$F$34,DK7,$A$9:$A$34,"P"),SUMIFS($P$9:$P$34,$V$9:$V$34,DK7,$A$9:$A$34,"P"),SUMIFS(Consolante!$P$9:$P$34,Consolante!$V$9:$V$34,DK7,Consolante!$A$9:$A$34,"P"),SUMIFS(Consolante!$N$9:$N$34,Consolante!$F$9:$F$34,DK7,Consolante!$A$9:$A$34,"P"))</f>
        <v>0</v>
      </c>
      <c r="DM7" s="443">
        <f>SUM(SUMIFS($O$9:$O$34,$F$9:$F$34,DK7,$A$9:$A$34,"P",$Y$9:$Y$34,FALSE),SUMIFS($O$9:$O$34,$F$9:$F$34,DK7,$A$9:$A$34,"P",$Y$9:$Y$34,TRUE)/_xlfn.XLOOKUP('GESTION DES JOUEURS'!$X$8&amp;RIGHT('GESTION DES JOUEURS'!$Y$8,1),Tableau14[Colonne1],Tableau14[coef. 2,80/3,10],"",0,1),SUMIFS($O$9:$O$34,$V$9:$V$34,DK7,$A$9:$A$34,"P",$Y$9:$Y$34,FALSE),SUMIFS($O$9:$O$34,$V$9:$V$34,DK7,$A$9:$A$34,"P",$Y$9:$Y$34,TRUE)/_xlfn.XLOOKUP('GESTION DES JOUEURS'!$X$8&amp;RIGHT('GESTION DES JOUEURS'!$Y$8,1),Tableau14[Colonne1],Tableau14[coef. 2,80/3,10],"",0,1),_xlfn.XLOOKUP(DK7,Consolante!$CP$7:$CP$22,Consolante!$CR$7:$CR$22,0,0,1))</f>
        <v>0</v>
      </c>
      <c r="DN7" s="447" t="str">
        <f>IFERROR(DL7/DM7,"")</f>
        <v/>
      </c>
      <c r="DO7" s="443"/>
      <c r="DP7" s="443">
        <f>_xlfn.XLOOKUP(DK7,PA!$B$6:$B$11,PA!$P$6:$P$11,_xlfn.XLOOKUP(DK7,PB!$B$6:$B$11,PB!$P$6:$P$11,_xlfn.XLOOKUP(DK7,PC!$B$6:$B$11,PC!$P$6:$P$11,_xlfn.XLOOKUP(DK7,PD!$B$6:$B$11,PD!$P$6:$P$11,_xlfn.XLOOKUP(DK7,PE!$B$6:$B$11,PE!$P$6:$P$11,_xlfn.XLOOKUP(DK7,PF!$B$6:$B$11,PF!$P$6:$P$11,_xlfn.XLOOKUP(DK7,PG!$B$6:$B$11,PG!$P$6:$P$11,_xlfn.XLOOKUP(DK7,PH!$B$6:$B$11,PH!$P$6:$P$11,_xlfn.XLOOKUP(DK7,PI!$B$6:$B$11,PI!$P$6:$P$11,_xlfn.XLOOKUP(DK7,PJ!$B$6:$B$11,PJ!$P$6:$P$11,_xlfn.XLOOKUP(DK7,PK!$B$6:$B$11,PK!$P$6:$P$11,_xlfn.XLOOKUP(DK7,PL!$B$6:$B$11,PL!$P$6:$P$11,"",0,1),0,1),0,1),0,1),0,1),0,1),0,1),0,1),0,1),0,1),0,1),0,1)</f>
        <v>0</v>
      </c>
      <c r="DQ7" s="443">
        <f>_xlfn.XLOOKUP(DK7,PA!$B$6:$B$11,PA!$Q$6:$Q$11,_xlfn.XLOOKUP(DK7,PB!$B$6:$B$11,PB!$Q$6:$Q$11,_xlfn.XLOOKUP(DK7,PC!$B$6:$B$11,PC!$Q$6:$Q$11,_xlfn.XLOOKUP(DK7,PD!$B$6:$B$11,PD!$Q$6:$Q$11,_xlfn.XLOOKUP(DK7,PE!$B$6:$B$11,PE!$Q$6:$Q$11,_xlfn.XLOOKUP(DK7,PF!$B$6:$B$11,PF!$Q$6:$Q$11,_xlfn.XLOOKUP(DK7,PG!$B$6:$B$11,PG!$Q$6:$Q$11,_xlfn.XLOOKUP(DK7,PH!$B$6:$B$11,PH!$Q$6:$Q$11,_xlfn.XLOOKUP(DK7,PI!$B$6:$B$11,PI!$Q$6:$Q$11,_xlfn.XLOOKUP(DK7,PJ!$B$6:$B$11,PJ!$Q$6:$Q$11,_xlfn.XLOOKUP(DK7,PK!$B$6:$B$11,PK!$Q$6:$Q$11,_xlfn.XLOOKUP(DK7,PL!$B$6:$B$11,PL!$Q$6:$Q$11,"",0,1),0,1),0,1),0,1),0,1),0,1),0,1),0,1),0,1),0,1),0,1),0,1)</f>
        <v>0</v>
      </c>
      <c r="DR7" s="244" t="str">
        <f>IFERROR(('Phase finale'!DL7+'Phase finale'!DP7)/('Phase finale'!DM7+'Phase finale'!DQ7),"")</f>
        <v/>
      </c>
      <c r="DW7" s="516">
        <v>1</v>
      </c>
      <c r="DX7" s="516" t="b" cm="1">
        <f t="array" ref="DX7">IF('GESTION DES JOUEURS'!$D$8="Open",_xlfn.SORTBY($DX$32:$DX$39,$DY$32:$DY$39,-1,$DZ$32:$DZ$39,-1,$EC$32:$EC$39,-1,$ED$32:$ED$39,1,$EE$32:$EE$39,-1),IF('GESTION DES JOUEURS'!$D$8="Tournoi",_xlfn.SORTBY('Phase finale'!DX32:DX39,'Phase finale'!DY32:DY39,-1,'Phase finale'!DZ32:DZ39,-1,'Phase finale'!EG32:EG39,-1,'Phase finale'!EE32:EE39,-1)))</f>
        <v>0</v>
      </c>
    </row>
    <row r="8" spans="1:128" ht="30.95" customHeight="1" thickBot="1" x14ac:dyDescent="0.3">
      <c r="B8" s="1121"/>
      <c r="C8" s="772"/>
      <c r="D8" s="406" t="s">
        <v>14</v>
      </c>
      <c r="E8" s="392" t="s">
        <v>5521</v>
      </c>
      <c r="F8" s="393" t="s">
        <v>21</v>
      </c>
      <c r="G8" s="1115" t="s">
        <v>8</v>
      </c>
      <c r="H8" s="1116"/>
      <c r="I8" s="1116"/>
      <c r="J8" s="1115" t="s">
        <v>9</v>
      </c>
      <c r="K8" s="1117"/>
      <c r="L8" s="439" t="s">
        <v>9890</v>
      </c>
      <c r="M8" s="409" t="s">
        <v>17</v>
      </c>
      <c r="N8" s="394" t="s">
        <v>23</v>
      </c>
      <c r="O8" s="395" t="s">
        <v>18</v>
      </c>
      <c r="P8" s="415" t="s">
        <v>23</v>
      </c>
      <c r="Q8" s="409" t="s">
        <v>17</v>
      </c>
      <c r="R8" s="440" t="s">
        <v>9890</v>
      </c>
      <c r="S8" s="1118" t="s">
        <v>8</v>
      </c>
      <c r="T8" s="1119"/>
      <c r="U8" s="396" t="s">
        <v>9</v>
      </c>
      <c r="V8" s="396" t="s">
        <v>21</v>
      </c>
      <c r="W8" s="397" t="s">
        <v>5521</v>
      </c>
      <c r="X8" s="398" t="s">
        <v>14</v>
      </c>
      <c r="Y8" s="1083"/>
      <c r="AA8" s="902"/>
      <c r="AE8" s="371">
        <v>2</v>
      </c>
      <c r="AF8" s="371" t="str">
        <f>F11</f>
        <v/>
      </c>
      <c r="AG8" s="371" t="str">
        <f>D11</f>
        <v/>
      </c>
      <c r="AH8" s="371" t="b">
        <f>L11</f>
        <v>0</v>
      </c>
      <c r="AI8" s="371" t="e">
        <f t="shared" si="0"/>
        <v>#VALUE!</v>
      </c>
      <c r="AJ8" s="244" t="e">
        <f t="shared" si="1"/>
        <v>#VALUE!</v>
      </c>
      <c r="AK8" s="244">
        <f>M11</f>
        <v>0</v>
      </c>
      <c r="AL8" s="573" t="str">
        <f>E11</f>
        <v/>
      </c>
      <c r="AM8" s="244" t="e">
        <f>P11/AJ8</f>
        <v>#VALUE!</v>
      </c>
      <c r="AN8" s="244">
        <v>4</v>
      </c>
      <c r="AO8" s="244" t="str">
        <f t="shared" si="2"/>
        <v>118031R</v>
      </c>
      <c r="AP8" s="244" t="str">
        <f t="shared" si="3"/>
        <v/>
      </c>
      <c r="AQ8" s="244" t="str">
        <f t="shared" si="4"/>
        <v/>
      </c>
      <c r="AR8" s="244" t="str">
        <f t="shared" si="5"/>
        <v/>
      </c>
      <c r="AS8" s="578" t="str">
        <f t="shared" si="6"/>
        <v/>
      </c>
      <c r="AT8" s="578" t="str">
        <f t="shared" si="7"/>
        <v/>
      </c>
      <c r="AU8" s="244">
        <f t="shared" si="8"/>
        <v>0</v>
      </c>
      <c r="AV8" s="575">
        <f t="shared" si="9"/>
        <v>0</v>
      </c>
      <c r="AW8" s="575">
        <f t="shared" si="10"/>
        <v>0</v>
      </c>
      <c r="AX8" s="577">
        <f t="shared" si="11"/>
        <v>0</v>
      </c>
      <c r="BA8" s="244">
        <v>2</v>
      </c>
      <c r="BB8" s="443" t="str">
        <f>IF('GESTION DES JOUEURS'!B12="","",'GESTION DES JOUEURS'!B12)</f>
        <v>157535J</v>
      </c>
      <c r="BC8" s="443" t="str" cm="1">
        <f t="array" ref="BC8:BS8">_xlfn.XLOOKUP('Phase finale'!BB8,PA!$B$37:$B$42,PA!$C$37:$S$42,_xlfn.XLOOKUP('Phase finale'!BB8,PB!$B$37:$B$42,PB!$C$37:$S$42,_xlfn.XLOOKUP('Phase finale'!BB8,PC!$B$37:$B$42,PC!$C$37:$S$42,_xlfn.XLOOKUP('Phase finale'!BB8,PD!$B$37:$B$42,PD!$C$37:$S$42,_xlfn.XLOOKUP('Phase finale'!BB8,PE!$B$37:$B$42,PE!$C$37:$S$42,_xlfn.XLOOKUP('Phase finale'!BB8,PF!$B$37:$B$42,PF!$C$37:$S$42,_xlfn.XLOOKUP('Phase finale'!BB8,PG!$B$37:$B$42,PG!$C$37:$S$42,_xlfn.XLOOKUP('Phase finale'!BB8,PH!$B$37:$B$42,PH!$C$37:$S$42,_xlfn.XLOOKUP('Phase finale'!BB8,PI!$B$37:$B$42,PI!$C$37:$S$42,_xlfn.XLOOKUP('Phase finale'!BB8,PJ!$B$37:$B$42,PJ!$C$37:$S$42,_xlfn.XLOOKUP('Phase finale'!BB8,PK!$B$37:$B$42,PK!$C$37:$S$42,_xlfn.XLOOKUP('Phase finale'!BB8,PL!$B$37:$B$42,PL!$C$37:$S$42,"",0,1),0,1),0,1),0,1),0,1),0,1),0,1),0,1),0,1),0,1),0,1),0,1)</f>
        <v>PIBOURDIN</v>
      </c>
      <c r="BD8" s="443">
        <v>0</v>
      </c>
      <c r="BE8" s="443" t="str">
        <v>ERIC</v>
      </c>
      <c r="BF8" s="443">
        <v>0</v>
      </c>
      <c r="BG8" s="443" t="str">
        <v>ACADEMIE DE BILLARD DE MAISONS ALFORT</v>
      </c>
      <c r="BH8" s="443">
        <v>0</v>
      </c>
      <c r="BI8" s="443">
        <v>0</v>
      </c>
      <c r="BJ8" s="443">
        <v>0</v>
      </c>
      <c r="BK8" s="443">
        <v>0</v>
      </c>
      <c r="BL8" s="443">
        <v>0</v>
      </c>
      <c r="BM8" s="443">
        <v>2</v>
      </c>
      <c r="BN8" s="443">
        <v>2.2857142857142856</v>
      </c>
      <c r="BO8" s="443">
        <v>2.125</v>
      </c>
      <c r="BP8" s="443">
        <v>23</v>
      </c>
      <c r="BQ8" s="443">
        <v>2</v>
      </c>
      <c r="BR8" s="443">
        <v>5</v>
      </c>
      <c r="BS8" s="443">
        <v>2</v>
      </c>
      <c r="BU8" s="244">
        <v>2</v>
      </c>
      <c r="BV8" s="244" t="str">
        <v/>
      </c>
      <c r="BW8" s="244" t="str">
        <v/>
      </c>
      <c r="BX8" s="244">
        <v>0</v>
      </c>
      <c r="BY8" s="244" t="str">
        <v/>
      </c>
      <c r="BZ8" s="244">
        <v>0</v>
      </c>
      <c r="CA8" s="244" t="str">
        <v/>
      </c>
      <c r="CB8" s="244">
        <v>0</v>
      </c>
      <c r="CC8" s="244">
        <v>0</v>
      </c>
      <c r="CD8" s="244">
        <v>0</v>
      </c>
      <c r="CE8" s="244">
        <v>0</v>
      </c>
      <c r="CF8" s="244">
        <v>0</v>
      </c>
      <c r="CG8" s="244" t="str">
        <v/>
      </c>
      <c r="CH8" s="244" t="str">
        <v/>
      </c>
      <c r="CI8" s="244" t="str">
        <v/>
      </c>
      <c r="CJ8" s="244" t="str">
        <v/>
      </c>
      <c r="CK8" s="244" t="str">
        <v/>
      </c>
      <c r="CL8" s="244" t="str">
        <v/>
      </c>
      <c r="CM8" s="244" t="str">
        <v/>
      </c>
      <c r="CO8" s="244">
        <f t="shared" ref="CO8:CO42" si="12">IF(CP8&lt;&gt;"",CO7+1,CO7)</f>
        <v>2</v>
      </c>
      <c r="CP8" s="244" t="str">
        <v>111337F</v>
      </c>
      <c r="CQ8" s="244" t="str">
        <v>GONTHIER</v>
      </c>
      <c r="CR8" s="244">
        <v>0</v>
      </c>
      <c r="CS8" s="244" t="str">
        <v>ARNAUD</v>
      </c>
      <c r="CT8" s="244">
        <v>0</v>
      </c>
      <c r="CU8" s="244" t="str">
        <v>ASS. BILLARD AMATEUR DE SAINT MAUR</v>
      </c>
      <c r="CV8" s="244">
        <v>0</v>
      </c>
      <c r="CW8" s="244">
        <v>0</v>
      </c>
      <c r="CX8" s="244">
        <v>0</v>
      </c>
      <c r="CY8" s="244">
        <v>0</v>
      </c>
      <c r="CZ8" s="244">
        <v>0</v>
      </c>
      <c r="DA8" s="244">
        <v>4</v>
      </c>
      <c r="DB8" s="244">
        <v>3.0303030303030303</v>
      </c>
      <c r="DC8" s="244">
        <v>3.5714285714285716</v>
      </c>
      <c r="DD8" s="244">
        <v>19</v>
      </c>
      <c r="DE8" s="244">
        <v>1</v>
      </c>
      <c r="DF8" s="244">
        <v>8</v>
      </c>
      <c r="DG8" s="244">
        <v>2</v>
      </c>
      <c r="DH8" s="244" t="str" cm="1">
        <f t="array" ref="DH8">_xlfn.XLOOKUP(CP8,Tableau19[Licence],'GESTION DES JOUEURS'!$O$11:$O$46,"",0,1)</f>
        <v>R2</v>
      </c>
      <c r="DI8" s="471">
        <f>IF('GESTION DES JOUEURS'!$X$8="Libre",_xlfn.XLOOKUP(DH8,Tableau13[Cat.],Tableau13[Libre],"",0,1),IF('GESTION DES JOUEURS'!$X$8="Bande",_xlfn.XLOOKUP(DH8,Tableau13[Cat.],Tableau13[bande],"",0,1),IF('GESTION DES JOUEURS'!$X$8="Cadre",_xlfn.XLOOKUP(DH8,Tableau13[Cat.],Tableau13[Cadre],"",0,1),IF('GESTION DES JOUEURS'!$X$8="3 Bandes",_xlfn.XLOOKUP(DH8,Tableau13[Cat.],Tableau13[3 Bandes],"",0,1),""))))</f>
        <v>60</v>
      </c>
      <c r="DK8" s="443" t="str">
        <v/>
      </c>
      <c r="DL8" s="443">
        <f>SUM(SUMIFS($N$9:$N$34,$F$9:$F$34,DK8,$A$9:$A$34,"P"),SUMIFS($P$9:$P$34,$V$9:$V$34,DK8,$A$9:$A$34,"P"),SUMIFS(Consolante!$P$9:$P$34,Consolante!$V$9:$V$34,DK8,Consolante!$A$9:$A$34,"P"),SUMIFS(Consolante!$N$9:$N$34,Consolante!$F$9:$F$34,DK8,Consolante!$A$9:$A$34,"P"))</f>
        <v>0</v>
      </c>
      <c r="DM8" s="443">
        <f>SUM(SUMIFS($O$9:$O$34,$F$9:$F$34,DK8,$A$9:$A$34,"P",$Y$9:$Y$34,FALSE),SUMIFS($O$9:$O$34,$F$9:$F$34,DK8,$A$9:$A$34,"P",$Y$9:$Y$34,TRUE)/_xlfn.XLOOKUP('GESTION DES JOUEURS'!$X$8&amp;RIGHT('GESTION DES JOUEURS'!$Y$8,1),Tableau14[Colonne1],Tableau14[coef. 2,80/3,10],"",0,1),SUMIFS($O$9:$O$34,$V$9:$V$34,DK8,$A$9:$A$34,"P",$Y$9:$Y$34,FALSE),SUMIFS($O$9:$O$34,$V$9:$V$34,DK8,$A$9:$A$34,"P",$Y$9:$Y$34,TRUE)/_xlfn.XLOOKUP('GESTION DES JOUEURS'!$X$8&amp;RIGHT('GESTION DES JOUEURS'!$Y$8,1),Tableau14[Colonne1],Tableau14[coef. 2,80/3,10],"",0,1),_xlfn.XLOOKUP(DK8,Consolante!$CP$7:$CP$22,Consolante!$CR$7:$CR$22,0,0,1))</f>
        <v>0</v>
      </c>
      <c r="DN8" s="447" t="str">
        <f t="shared" ref="DN8:DN42" si="13">IFERROR(DL8/DM8,"")</f>
        <v/>
      </c>
      <c r="DO8" s="443"/>
      <c r="DP8" s="443">
        <f>_xlfn.XLOOKUP(DK8,PA!$B$6:$B$11,PA!$P$6:$P$11,_xlfn.XLOOKUP(DK8,PB!$B$6:$B$11,PB!$P$6:$P$11,_xlfn.XLOOKUP(DK8,PC!$B$6:$B$11,PC!$P$6:$P$11,_xlfn.XLOOKUP(DK8,PD!$B$6:$B$11,PD!$P$6:$P$11,_xlfn.XLOOKUP(DK8,PE!$B$6:$B$11,PE!$P$6:$P$11,_xlfn.XLOOKUP(DK8,PF!$B$6:$B$11,PF!$P$6:$P$11,_xlfn.XLOOKUP(DK8,PG!$B$6:$B$11,PG!$P$6:$P$11,_xlfn.XLOOKUP(DK8,PH!$B$6:$B$11,PH!$P$6:$P$11,_xlfn.XLOOKUP(DK8,PI!$B$6:$B$11,PI!$P$6:$P$11,_xlfn.XLOOKUP(DK8,PJ!$B$6:$B$11,PJ!$P$6:$P$11,_xlfn.XLOOKUP(DK8,PK!$B$6:$B$11,PK!$P$6:$P$11,_xlfn.XLOOKUP(DK8,PL!$B$6:$B$11,PL!$P$6:$P$11,"",0,1),0,1),0,1),0,1),0,1),0,1),0,1),0,1),0,1),0,1),0,1),0,1)</f>
        <v>0</v>
      </c>
      <c r="DQ8" s="443">
        <f>_xlfn.XLOOKUP(DK8,PA!$B$6:$B$11,PA!$Q$6:$Q$11,_xlfn.XLOOKUP(DK8,PB!$B$6:$B$11,PB!$Q$6:$Q$11,_xlfn.XLOOKUP(DK8,PC!$B$6:$B$11,PC!$Q$6:$Q$11,_xlfn.XLOOKUP(DK8,PD!$B$6:$B$11,PD!$Q$6:$Q$11,_xlfn.XLOOKUP(DK8,PE!$B$6:$B$11,PE!$Q$6:$Q$11,_xlfn.XLOOKUP(DK8,PF!$B$6:$B$11,PF!$Q$6:$Q$11,_xlfn.XLOOKUP(DK8,PG!$B$6:$B$11,PG!$Q$6:$Q$11,_xlfn.XLOOKUP(DK8,PH!$B$6:$B$11,PH!$Q$6:$Q$11,_xlfn.XLOOKUP(DK8,PI!$B$6:$B$11,PI!$Q$6:$Q$11,_xlfn.XLOOKUP(DK8,PJ!$B$6:$B$11,PJ!$Q$6:$Q$11,_xlfn.XLOOKUP(DK8,PK!$B$6:$B$11,PK!$Q$6:$Q$11,_xlfn.XLOOKUP(DK8,PL!$B$6:$B$11,PL!$Q$6:$Q$11,"",0,1),0,1),0,1),0,1),0,1),0,1),0,1),0,1),0,1),0,1),0,1),0,1)</f>
        <v>0</v>
      </c>
      <c r="DR8" s="244" t="str">
        <f>IFERROR(('Phase finale'!DL8+'Phase finale'!DP8)/('Phase finale'!DM8+'Phase finale'!DQ8),"")</f>
        <v/>
      </c>
      <c r="DW8" s="516">
        <v>2</v>
      </c>
      <c r="DX8" s="516"/>
    </row>
    <row r="9" spans="1:128" ht="14.1" customHeight="1" thickBot="1" x14ac:dyDescent="0.3">
      <c r="A9" s="245" t="str">
        <f t="shared" ref="A9:A23" si="14">IF(O9&lt;&gt;"","P","")</f>
        <v/>
      </c>
      <c r="B9" s="415" t="s">
        <v>9869</v>
      </c>
      <c r="C9" s="408" t="str">
        <f>IF('GESTION DES JOUEURS'!$D$8="Open",15,IF(AND('GESTION DES JOUEURS'!$D$8="Tournoi",MAX('GESTION DES JOUEURS'!$A$11:$A$46)&gt;9),7,IF('GESTION DES JOUEURS'!$D$8="Tournoi",3,"")))</f>
        <v/>
      </c>
      <c r="D9" s="419" t="str">
        <f>IF(A9="","",IF(N9="ab.",0,IF(P9="ab.",2,IF(AND('GESTION DES JOUEURS'!$D$8&lt;&gt;"Open",O9&gt;0,N9&gt;P9),2,IF(AND('GESTION DES JOUEURS'!$D$8&lt;&gt;"Open",O9&gt;0,N9&lt;P9),0,IF(AND('GESTION DES JOUEURS'!$D$8&lt;&gt;"Open",O9&gt;0,N9=P9),1,IF(AND('GESTION DES JOUEURS'!$D$8="Open",(N9/_xlfn.XLOOKUP(F9,$CP$7:$CP$42,$DI$7:$DI$42,"",0,1))&gt;(P9/_xlfn.XLOOKUP(V9,$CP$7:$CP$42,$DI$7:$DI$42,"",0,1))),2,IF(AND('GESTION DES JOUEURS'!$D$8="Open",(N9/_xlfn.XLOOKUP(F9,$CP$7:$CP$42,$DI$7:$DI$42,"",0,1))=(P9/_xlfn.XLOOKUP(V9,$CP$7:$CP$42,$DI$7:$DI$42,"",0,1))),1,IF(AND('GESTION DES JOUEURS'!$D$8="Open",(N9/_xlfn.XLOOKUP(F9,$CP$7:$CP$42,$DI$7:$DI$42,"",0,1))&lt;(P9/_xlfn.XLOOKUP(V9,$CP$7:$CP$42,$DI$7:$DI$42,"",0,1))),0,"")))))))))</f>
        <v/>
      </c>
      <c r="E9" s="420" t="str">
        <f>IFERROR(IF(AND(D9&gt;=0,Y9=FALSE),N9/O9,IF(AND(D9&gt;=0,Y9=TRUE),(N9/O9)*_xlfn.XLOOKUP('GESTION DES JOUEURS'!$X$8&amp;RIGHT('GESTION DES JOUEURS'!$Y$8,1),Tableau14[Colonne1],Tableau14[coef. 2,80/3,10],"",0,1),"")),"")</f>
        <v/>
      </c>
      <c r="F9" s="421" t="str">
        <f>IF(A11="P",(IF(OR($D$10&gt;$X$10,L10=TRUE),F10,IF(OR($X$10&gt;$D$10,R10=TRUE),V10,""))),"")</f>
        <v/>
      </c>
      <c r="G9" s="1108" t="str">
        <f>IFERROR(VLOOKUP(F9,'GESTION DES JOUEURS'!$B$11:$E$46,2,FALSE),"")</f>
        <v/>
      </c>
      <c r="H9" s="1109"/>
      <c r="I9" s="1109"/>
      <c r="J9" s="1108" t="str">
        <f>IFERROR(VLOOKUP(F9,'GESTION DES JOUEURS'!$B$11:$E$46,3,FALSE),"")</f>
        <v/>
      </c>
      <c r="K9" s="1110"/>
      <c r="L9" s="479" t="b">
        <v>0</v>
      </c>
      <c r="M9" s="422"/>
      <c r="N9" s="416"/>
      <c r="O9" s="423"/>
      <c r="P9" s="417"/>
      <c r="Q9" s="422"/>
      <c r="R9" s="424" t="b">
        <v>0</v>
      </c>
      <c r="S9" s="1111" t="str">
        <f>IFERROR(VLOOKUP(V9,'GESTION DES JOUEURS'!$B$11:$E$46,2,FALSE),"")</f>
        <v/>
      </c>
      <c r="T9" s="1112"/>
      <c r="U9" s="425" t="str">
        <f>IFERROR(VLOOKUP(V9,'GESTION DES JOUEURS'!$B$11:$E$46,3,FALSE),"")</f>
        <v/>
      </c>
      <c r="V9" s="425" t="str">
        <f>IF(A10="P",(IF(OR(D11&gt;X11,L11=TRUE),F11,IF(OR(X11&gt;D11,R11=TRUE),V11,""))),"")</f>
        <v/>
      </c>
      <c r="W9" s="426" t="str">
        <f>IFERROR(IF(AND(X9&gt;=0,Y9=FALSE),P9/O9,IF(AND(X9&gt;=0,Y9=TRUE),(P9/O9)*_xlfn.XLOOKUP('GESTION DES JOUEURS'!$X$8&amp;RIGHT('GESTION DES JOUEURS'!$Y$8,1),Tableau14[Colonne1],Tableau14[coef. 2,80/3,10],"",0,1),"")),"")</f>
        <v/>
      </c>
      <c r="X9" s="427" t="str">
        <f>IF(A9="","",IF(P9="ab.",0,IF(N9="ab.",2,IF(AND('GESTION DES JOUEURS'!$D$8&lt;&gt;"Open",O9&gt;0,P9&gt;N9),2,IF(AND('GESTION DES JOUEURS'!$D$8&lt;&gt;"Open",O9&gt;0,P9&lt;N9),0,IF(AND('GESTION DES JOUEURS'!$D$8&lt;&gt;"Open",O9&gt;0,P9=N9),1,IF(AND('GESTION DES JOUEURS'!$D$8="Open",(P9/_xlfn.XLOOKUP(V9,$CP$7:$CP$42,$DI$7:$DI$42,"",0,1))&gt;(N9/_xlfn.XLOOKUP(F9,$CP$7:$CP$42,$DI$7:$DI$42,"",0,1))),2,IF(AND('GESTION DES JOUEURS'!$D$8="Open",(P9/_xlfn.XLOOKUP(V9,$CP$7:$CP$42,$DI$7:$DI$42,"",0,1))=(N9/_xlfn.XLOOKUP(F9,$CP$7:$CP$42,$DI$7:$DI$42,"",0,1))),1,IF(AND('GESTION DES JOUEURS'!$D$8="Open",(P9/_xlfn.XLOOKUP(V9,$CP$7:$CP$42,$DI$7:$DI$42,"",0,1))&lt;(N9/_xlfn.XLOOKUP(F9,$CP$7:$CP$42,$DI$7:$DI$42,"",0,1))),0,"")))))))))</f>
        <v/>
      </c>
      <c r="Y9" s="543" t="b">
        <v>0</v>
      </c>
      <c r="AA9" s="894" t="str">
        <f>IF('GESTION DES JOUEURS'!$D$8="Finale","Poule Finale","Poule A")</f>
        <v>Poule A</v>
      </c>
      <c r="AC9" s="244" t="b" cm="1">
        <f t="array" ref="AC9">IF(AND(_xlfn.XLOOKUP(F9,Tableau19[Licence],'GESTION DES JOUEURS'!$O$11:$O$46,"",0,1)&lt;&gt;"N1",_xlfn.XLOOKUP(V9,Tableau19[Licence],'GESTION DES JOUEURS'!$O$11:$O$46,"",0,1)&lt;&gt;"N1",'GESTION DES JOUEURS'!$X$8="Cadre"),TRUE,FALSE)</f>
        <v>0</v>
      </c>
      <c r="AE9" s="371">
        <v>2</v>
      </c>
      <c r="AF9" s="371" t="str">
        <f>V10</f>
        <v/>
      </c>
      <c r="AG9" s="371" t="str">
        <f>X10</f>
        <v/>
      </c>
      <c r="AH9" s="371" t="b">
        <f>R10</f>
        <v>0</v>
      </c>
      <c r="AI9" s="371" t="e">
        <f t="shared" si="0"/>
        <v>#VALUE!</v>
      </c>
      <c r="AJ9" s="244" t="e">
        <f t="shared" si="1"/>
        <v>#VALUE!</v>
      </c>
      <c r="AK9" s="244">
        <f>Q10</f>
        <v>0</v>
      </c>
      <c r="AL9" s="573" t="str">
        <f>W10</f>
        <v/>
      </c>
      <c r="AM9" s="244" t="e">
        <f>N10/AJ9</f>
        <v>#VALUE!</v>
      </c>
      <c r="AN9" s="244">
        <v>5</v>
      </c>
      <c r="AO9" s="244" t="str">
        <f t="shared" si="2"/>
        <v>183133H</v>
      </c>
      <c r="AP9" s="244" t="str">
        <f t="shared" si="3"/>
        <v/>
      </c>
      <c r="AQ9" s="244" t="str">
        <f t="shared" si="4"/>
        <v/>
      </c>
      <c r="AR9" s="244" t="str">
        <f t="shared" si="5"/>
        <v/>
      </c>
      <c r="AS9" s="578" t="str">
        <f t="shared" si="6"/>
        <v/>
      </c>
      <c r="AT9" s="578" t="str">
        <f t="shared" si="7"/>
        <v/>
      </c>
      <c r="AU9" s="244">
        <f t="shared" si="8"/>
        <v>0</v>
      </c>
      <c r="AV9" s="575">
        <f t="shared" si="9"/>
        <v>0</v>
      </c>
      <c r="AW9" s="575">
        <f t="shared" si="10"/>
        <v>0</v>
      </c>
      <c r="AX9" s="577">
        <f t="shared" si="11"/>
        <v>0</v>
      </c>
      <c r="BA9" s="244">
        <v>3</v>
      </c>
      <c r="BB9" s="443" t="str">
        <f>IF('GESTION DES JOUEURS'!B13="","",'GESTION DES JOUEURS'!B13)</f>
        <v>013335x</v>
      </c>
      <c r="BC9" s="443" t="str" cm="1">
        <f t="array" ref="BC9:BS9">_xlfn.XLOOKUP('Phase finale'!BB9,PA!$B$37:$B$42,PA!$C$37:$S$42,_xlfn.XLOOKUP('Phase finale'!BB9,PB!$B$37:$B$42,PB!$C$37:$S$42,_xlfn.XLOOKUP('Phase finale'!BB9,PC!$B$37:$B$42,PC!$C$37:$S$42,_xlfn.XLOOKUP('Phase finale'!BB9,PD!$B$37:$B$42,PD!$C$37:$S$42,_xlfn.XLOOKUP('Phase finale'!BB9,PE!$B$37:$B$42,PE!$C$37:$S$42,_xlfn.XLOOKUP('Phase finale'!BB9,PF!$B$37:$B$42,PF!$C$37:$S$42,_xlfn.XLOOKUP('Phase finale'!BB9,PG!$B$37:$B$42,PG!$C$37:$S$42,_xlfn.XLOOKUP('Phase finale'!BB9,PH!$B$37:$B$42,PH!$C$37:$S$42,_xlfn.XLOOKUP('Phase finale'!BB9,PI!$B$37:$B$42,PI!$C$37:$S$42,_xlfn.XLOOKUP('Phase finale'!BB9,PJ!$B$37:$B$42,PJ!$C$37:$S$42,_xlfn.XLOOKUP('Phase finale'!BB9,PK!$B$37:$B$42,PK!$C$37:$S$42,_xlfn.XLOOKUP('Phase finale'!BB9,PL!$B$37:$B$42,PL!$C$37:$S$42,"",0,1),0,1),0,1),0,1),0,1),0,1),0,1),0,1),0,1),0,1),0,1),0,1)</f>
        <v>HANSEL</v>
      </c>
      <c r="BD9" s="443">
        <v>0</v>
      </c>
      <c r="BE9" s="443" t="str">
        <v>GERARD</v>
      </c>
      <c r="BF9" s="443">
        <v>0</v>
      </c>
      <c r="BG9" s="443" t="str">
        <v>ACADEMIE DE BILLARD DE MAISONS ALFORT</v>
      </c>
      <c r="BH9" s="443">
        <v>0</v>
      </c>
      <c r="BI9" s="443">
        <v>0</v>
      </c>
      <c r="BJ9" s="443">
        <v>0</v>
      </c>
      <c r="BK9" s="443">
        <v>0</v>
      </c>
      <c r="BL9" s="443">
        <v>0</v>
      </c>
      <c r="BM9" s="443">
        <v>0</v>
      </c>
      <c r="BN9" s="443">
        <v>1.8266666666666667</v>
      </c>
      <c r="BO9" s="443" t="str">
        <v>/</v>
      </c>
      <c r="BP9" s="443">
        <v>9</v>
      </c>
      <c r="BQ9" s="443">
        <v>3</v>
      </c>
      <c r="BR9" s="443">
        <v>3</v>
      </c>
      <c r="BS9" s="443">
        <v>2</v>
      </c>
      <c r="BU9" s="244">
        <v>3</v>
      </c>
      <c r="BV9" s="244" t="str">
        <v/>
      </c>
      <c r="BW9" s="244" t="str">
        <v/>
      </c>
      <c r="BX9" s="244">
        <v>0</v>
      </c>
      <c r="BY9" s="244" t="str">
        <v/>
      </c>
      <c r="BZ9" s="244">
        <v>0</v>
      </c>
      <c r="CA9" s="244" t="str">
        <v/>
      </c>
      <c r="CB9" s="244">
        <v>0</v>
      </c>
      <c r="CC9" s="244">
        <v>0</v>
      </c>
      <c r="CD9" s="244">
        <v>0</v>
      </c>
      <c r="CE9" s="244">
        <v>0</v>
      </c>
      <c r="CF9" s="244">
        <v>0</v>
      </c>
      <c r="CG9" s="244" t="str">
        <v/>
      </c>
      <c r="CH9" s="244" t="str">
        <v/>
      </c>
      <c r="CI9" s="244" t="str">
        <v/>
      </c>
      <c r="CJ9" s="244" t="str">
        <v/>
      </c>
      <c r="CK9" s="244" t="str">
        <v/>
      </c>
      <c r="CL9" s="244" t="str">
        <v/>
      </c>
      <c r="CM9" s="244" t="str">
        <v/>
      </c>
      <c r="CO9" s="244">
        <f t="shared" si="12"/>
        <v>3</v>
      </c>
      <c r="CP9" s="244" t="str">
        <v>154178K</v>
      </c>
      <c r="CQ9" s="244" t="str">
        <v>PONCE</v>
      </c>
      <c r="CR9" s="244">
        <v>0</v>
      </c>
      <c r="CS9" s="244" t="str">
        <v>FREDERIC</v>
      </c>
      <c r="CT9" s="244">
        <v>0</v>
      </c>
      <c r="CU9" s="244" t="str">
        <v>ACADEMIE DE BILLARD DE MAISONS ALFORT</v>
      </c>
      <c r="CV9" s="244">
        <v>0</v>
      </c>
      <c r="CW9" s="244">
        <v>0</v>
      </c>
      <c r="CX9" s="244">
        <v>0</v>
      </c>
      <c r="CY9" s="244">
        <v>0</v>
      </c>
      <c r="CZ9" s="244">
        <v>0</v>
      </c>
      <c r="DA9" s="244">
        <v>4</v>
      </c>
      <c r="DB9" s="244">
        <v>2.7777777777777777</v>
      </c>
      <c r="DC9" s="244">
        <v>2.8571428571428572</v>
      </c>
      <c r="DD9" s="244">
        <v>14</v>
      </c>
      <c r="DE9" s="244">
        <v>1</v>
      </c>
      <c r="DF9" s="244">
        <v>8</v>
      </c>
      <c r="DG9" s="244">
        <v>2</v>
      </c>
      <c r="DH9" s="244" t="str" cm="1">
        <f t="array" ref="DH9">_xlfn.XLOOKUP(CP9,Tableau19[Licence],'GESTION DES JOUEURS'!$O$11:$O$46,"",0,1)</f>
        <v>R2</v>
      </c>
      <c r="DI9" s="471">
        <f>IF('GESTION DES JOUEURS'!$X$8="Libre",_xlfn.XLOOKUP(DH9,Tableau13[Cat.],Tableau13[Libre],"",0,1),IF('GESTION DES JOUEURS'!$X$8="Bande",_xlfn.XLOOKUP(DH9,Tableau13[Cat.],Tableau13[bande],"",0,1),IF('GESTION DES JOUEURS'!$X$8="Cadre",_xlfn.XLOOKUP(DH9,Tableau13[Cat.],Tableau13[Cadre],"",0,1),IF('GESTION DES JOUEURS'!$X$8="3 Bandes",_xlfn.XLOOKUP(DH9,Tableau13[Cat.],Tableau13[3 Bandes],"",0,1),""))))</f>
        <v>60</v>
      </c>
      <c r="DK9" s="443" t="str">
        <v/>
      </c>
      <c r="DL9" s="443">
        <f>SUM(SUMIFS($N$9:$N$34,$F$9:$F$34,DK9,$A$9:$A$34,"P"),SUMIFS($P$9:$P$34,$V$9:$V$34,DK9,$A$9:$A$34,"P"),SUMIFS(Consolante!$P$9:$P$34,Consolante!$V$9:$V$34,DK9,Consolante!$A$9:$A$34,"P"),SUMIFS(Consolante!$N$9:$N$34,Consolante!$F$9:$F$34,DK9,Consolante!$A$9:$A$34,"P"))</f>
        <v>0</v>
      </c>
      <c r="DM9" s="443">
        <f>SUM(SUMIFS($O$9:$O$34,$F$9:$F$34,DK9,$A$9:$A$34,"P",$Y$9:$Y$34,FALSE),SUMIFS($O$9:$O$34,$F$9:$F$34,DK9,$A$9:$A$34,"P",$Y$9:$Y$34,TRUE)/_xlfn.XLOOKUP('GESTION DES JOUEURS'!$X$8&amp;RIGHT('GESTION DES JOUEURS'!$Y$8,1),Tableau14[Colonne1],Tableau14[coef. 2,80/3,10],"",0,1),SUMIFS($O$9:$O$34,$V$9:$V$34,DK9,$A$9:$A$34,"P",$Y$9:$Y$34,FALSE),SUMIFS($O$9:$O$34,$V$9:$V$34,DK9,$A$9:$A$34,"P",$Y$9:$Y$34,TRUE)/_xlfn.XLOOKUP('GESTION DES JOUEURS'!$X$8&amp;RIGHT('GESTION DES JOUEURS'!$Y$8,1),Tableau14[Colonne1],Tableau14[coef. 2,80/3,10],"",0,1),_xlfn.XLOOKUP(DK9,Consolante!$CP$7:$CP$22,Consolante!$CR$7:$CR$22,0,0,1))</f>
        <v>0</v>
      </c>
      <c r="DN9" s="447" t="str">
        <f t="shared" si="13"/>
        <v/>
      </c>
      <c r="DO9" s="443"/>
      <c r="DP9" s="443">
        <f>_xlfn.XLOOKUP(DK9,PA!$B$6:$B$11,PA!$P$6:$P$11,_xlfn.XLOOKUP(DK9,PB!$B$6:$B$11,PB!$P$6:$P$11,_xlfn.XLOOKUP(DK9,PC!$B$6:$B$11,PC!$P$6:$P$11,_xlfn.XLOOKUP(DK9,PD!$B$6:$B$11,PD!$P$6:$P$11,_xlfn.XLOOKUP(DK9,PE!$B$6:$B$11,PE!$P$6:$P$11,_xlfn.XLOOKUP(DK9,PF!$B$6:$B$11,PF!$P$6:$P$11,_xlfn.XLOOKUP(DK9,PG!$B$6:$B$11,PG!$P$6:$P$11,_xlfn.XLOOKUP(DK9,PH!$B$6:$B$11,PH!$P$6:$P$11,_xlfn.XLOOKUP(DK9,PI!$B$6:$B$11,PI!$P$6:$P$11,_xlfn.XLOOKUP(DK9,PJ!$B$6:$B$11,PJ!$P$6:$P$11,_xlfn.XLOOKUP(DK9,PK!$B$6:$B$11,PK!$P$6:$P$11,_xlfn.XLOOKUP(DK9,PL!$B$6:$B$11,PL!$P$6:$P$11,"",0,1),0,1),0,1),0,1),0,1),0,1),0,1),0,1),0,1),0,1),0,1),0,1)</f>
        <v>0</v>
      </c>
      <c r="DQ9" s="443">
        <f>_xlfn.XLOOKUP(DK9,PA!$B$6:$B$11,PA!$Q$6:$Q$11,_xlfn.XLOOKUP(DK9,PB!$B$6:$B$11,PB!$Q$6:$Q$11,_xlfn.XLOOKUP(DK9,PC!$B$6:$B$11,PC!$Q$6:$Q$11,_xlfn.XLOOKUP(DK9,PD!$B$6:$B$11,PD!$Q$6:$Q$11,_xlfn.XLOOKUP(DK9,PE!$B$6:$B$11,PE!$Q$6:$Q$11,_xlfn.XLOOKUP(DK9,PF!$B$6:$B$11,PF!$Q$6:$Q$11,_xlfn.XLOOKUP(DK9,PG!$B$6:$B$11,PG!$Q$6:$Q$11,_xlfn.XLOOKUP(DK9,PH!$B$6:$B$11,PH!$Q$6:$Q$11,_xlfn.XLOOKUP(DK9,PI!$B$6:$B$11,PI!$Q$6:$Q$11,_xlfn.XLOOKUP(DK9,PJ!$B$6:$B$11,PJ!$Q$6:$Q$11,_xlfn.XLOOKUP(DK9,PK!$B$6:$B$11,PK!$Q$6:$Q$11,_xlfn.XLOOKUP(DK9,PL!$B$6:$B$11,PL!$Q$6:$Q$11,"",0,1),0,1),0,1),0,1),0,1),0,1),0,1),0,1),0,1),0,1),0,1),0,1)</f>
        <v>0</v>
      </c>
      <c r="DR9" s="244" t="str">
        <f>IFERROR(('Phase finale'!DL9+'Phase finale'!DP9)/('Phase finale'!DM9+'Phase finale'!DQ9),"")</f>
        <v/>
      </c>
      <c r="DW9" s="516">
        <v>3</v>
      </c>
      <c r="DX9" s="516"/>
    </row>
    <row r="10" spans="1:128" ht="14.1" customHeight="1" x14ac:dyDescent="0.25">
      <c r="A10" s="245" t="str">
        <f t="shared" si="14"/>
        <v/>
      </c>
      <c r="B10" s="52" t="s">
        <v>9882</v>
      </c>
      <c r="C10" s="408" t="str">
        <f>IF('GESTION DES JOUEURS'!$D$8="Open",14,IF(AND('GESTION DES JOUEURS'!$D$8="Tournoi",MAX('GESTION DES JOUEURS'!$A$11:$A$46)&gt;9),6,IF('GESTION DES JOUEURS'!$D$8="Tournoi",2,"")))</f>
        <v/>
      </c>
      <c r="D10" s="74" t="str">
        <f>IF(A10="","",IF(N10="ab.",0,IF(P10="ab.",2,IF(AND('GESTION DES JOUEURS'!$D$8&lt;&gt;"Open",O10&gt;0,N10&gt;P10),2,IF(AND('GESTION DES JOUEURS'!$D$8&lt;&gt;"Open",O10&gt;0,N10&lt;P10),0,IF(AND('GESTION DES JOUEURS'!$D$8&lt;&gt;"Open",O10&gt;0,N10=P10),1,IF(AND('GESTION DES JOUEURS'!$D$8="Open",(N10/_xlfn.XLOOKUP(F10,$CP$7:$CP$42,$DI$7:$DI$42,"",0,1))&gt;(P10/_xlfn.XLOOKUP(V10,$CP$7:$CP$42,$DI$7:$DI$42,"",0,1))),2,IF(AND('GESTION DES JOUEURS'!$D$8="Open",(N10/_xlfn.XLOOKUP(F10,$CP$7:$CP$42,$DI$7:$DI$42,"",0,1))=(P10/_xlfn.XLOOKUP(V10,$CP$7:$CP$42,$DI$7:$DI$42,"",0,1))),1,IF(AND('GESTION DES JOUEURS'!$D$8="Open",(N10/_xlfn.XLOOKUP(F10,$CP$7:$CP$42,$DI$7:$DI$42,"",0,1))&lt;(P10/_xlfn.XLOOKUP(V10,$CP$7:$CP$42,$DI$7:$DI$42,"",0,1))),0,"")))))))))</f>
        <v/>
      </c>
      <c r="E10" s="109" t="str">
        <f>IFERROR(IF(AND(D10&gt;=0,Y10=FALSE),N10/O10,IF(AND(D10&gt;=0,Y10=TRUE),(N10/O10)*_xlfn.XLOOKUP('GESTION DES JOUEURS'!$X$8&amp;RIGHT('GESTION DES JOUEURS'!$Y$8,1),Tableau14[Colonne1],Tableau14[coef. 2,80/3,10],"",0,1),"")),"")</f>
        <v/>
      </c>
      <c r="F10" s="549" t="str">
        <f>IF(AND(C10&gt;1,A12="P",OR($D$12&gt;$X$12,$L$12=TRUE)),$F$12,IF(AND(C10&gt;1,A12="P",OR($X$12&gt;$D$12,$R$12=TRUE)),$V$12,IF(AND('GESTION DES JOUEURS'!$D$8="Tournoi",MAX('GESTION DES JOUEURS'!$A$11:$A$46)&gt;6,'Phase finale'!C11=1),'Phase finale'!BV7,IF(AND('GESTION DES JOUEURS'!$D$8="Tournoi",MAX('GESTION DES JOUEURS'!$A$11:$A$46)&lt;7),PA!$B$37,""))))</f>
        <v/>
      </c>
      <c r="G10" s="776" t="str">
        <f>IFERROR(VLOOKUP(F10,'GESTION DES JOUEURS'!$B$11:$E$46,2,FALSE),"")</f>
        <v/>
      </c>
      <c r="H10" s="777"/>
      <c r="I10" s="777"/>
      <c r="J10" s="776" t="str">
        <f>IFERROR(VLOOKUP(F10,'GESTION DES JOUEURS'!$B$11:$E$46,3,FALSE),"")</f>
        <v/>
      </c>
      <c r="K10" s="778"/>
      <c r="L10" s="480" t="b">
        <v>0</v>
      </c>
      <c r="M10" s="410"/>
      <c r="N10" s="410"/>
      <c r="O10" s="110"/>
      <c r="P10" s="410"/>
      <c r="Q10" s="410"/>
      <c r="R10" s="399" t="b">
        <v>0</v>
      </c>
      <c r="S10" s="1111" t="str">
        <f>IFERROR(VLOOKUP(V10,'GESTION DES JOUEURS'!$B$11:$E$46,2,FALSE),"")</f>
        <v/>
      </c>
      <c r="T10" s="1112"/>
      <c r="U10" s="425" t="str">
        <f>IFERROR(VLOOKUP(V10,'GESTION DES JOUEURS'!$B$11:$E$46,3,FALSE),"")</f>
        <v/>
      </c>
      <c r="V10" s="425" t="str">
        <f>IF(AND(C10&gt;1,A15="P",OR($D$15&gt;$X$15,$L$15=TRUE)),$F$15,IF(AND(C10&gt;1,A15="P",OR($X$15&gt;$D$15,$R$15=TRUE)),$V$15,IF(AND('GESTION DES JOUEURS'!$D$8="Tournoi",OR(MAX('GESTION DES JOUEURS'!$A$11:$A$46)&lt;6,MAX('GESTION DES JOUEURS'!$A$11:$A$46)&gt;6),'Phase finale'!C10=1),'Phase finale'!BV10,IF(AND('GESTION DES JOUEURS'!$D$8="Tournoi",MAX('GESTION DES JOUEURS'!$A$11:$A$46)&lt;7),PB!$B$38,""))))</f>
        <v/>
      </c>
      <c r="W10" s="111" t="str">
        <f>IFERROR(IF(AND(X10&gt;=0,Y10=FALSE),P10/O10,IF(AND(X10&gt;=0,Y10=TRUE),(P10/O10)*_xlfn.XLOOKUP('GESTION DES JOUEURS'!$X$8&amp;RIGHT('GESTION DES JOUEURS'!$Y$8,1),Tableau14[Colonne1],Tableau14[coef. 2,80/3,10],"",0,1),"")),"")</f>
        <v/>
      </c>
      <c r="X10" s="55" t="str">
        <f>IF(A10="","",IF(P10="ab.",0,IF(N10="ab.",2,IF(AND('GESTION DES JOUEURS'!$D$8&lt;&gt;"Open",O10&gt;0,P10&gt;N10),2,IF(AND('GESTION DES JOUEURS'!$D$8&lt;&gt;"Open",O10&gt;0,P10&lt;N10),0,IF(AND('GESTION DES JOUEURS'!$D$8&lt;&gt;"Open",O10&gt;0,P10=N10),1,IF(AND('GESTION DES JOUEURS'!$D$8="Open",(P10/_xlfn.XLOOKUP(V10,$CP$7:$CP$42,$DI$7:$DI$42,"",0,1))&gt;(N10/_xlfn.XLOOKUP(F10,$CP$7:$CP$42,$DI$7:$DI$42,"",0,1))),2,IF(AND('GESTION DES JOUEURS'!$D$8="Open",(P10/_xlfn.XLOOKUP(V10,$CP$7:$CP$42,$DI$7:$DI$42,"",0,1))=(N10/_xlfn.XLOOKUP(F10,$CP$7:$CP$42,$DI$7:$DI$42,"",0,1))),1,IF(AND('GESTION DES JOUEURS'!$D$8="Open",(P10/_xlfn.XLOOKUP(V10,$CP$7:$CP$42,$DI$7:$DI$42,"",0,1))&lt;(N10/_xlfn.XLOOKUP(F10,$CP$7:$CP$42,$DI$7:$DI$42,"",0,1))),0,"")))))))))</f>
        <v/>
      </c>
      <c r="Y10" s="544" t="b">
        <v>0</v>
      </c>
      <c r="AA10" s="894"/>
      <c r="AC10" s="244" t="b" cm="1">
        <f t="array" ref="AC10">IF(AND(_xlfn.XLOOKUP(F11,Tableau19[Licence],'GESTION DES JOUEURS'!$O$11:$O$46,"",0,1)&lt;&gt;"N1",_xlfn.XLOOKUP(V11,Tableau19[Licence],'GESTION DES JOUEURS'!$O$11:$O$46,"",0,1)&lt;&gt;"N1",'GESTION DES JOUEURS'!$X$8="Cadre"),TRUE,FALSE)</f>
        <v>0</v>
      </c>
      <c r="AE10" s="371">
        <v>2</v>
      </c>
      <c r="AF10" s="371" t="str">
        <f>V11</f>
        <v/>
      </c>
      <c r="AG10" s="371" t="str">
        <f>X11</f>
        <v/>
      </c>
      <c r="AH10" s="371" t="b">
        <f>R11</f>
        <v>0</v>
      </c>
      <c r="AI10" s="371" t="e">
        <f t="shared" si="0"/>
        <v>#VALUE!</v>
      </c>
      <c r="AJ10" s="244" t="e">
        <f t="shared" si="1"/>
        <v>#VALUE!</v>
      </c>
      <c r="AK10" s="244">
        <f>Q11</f>
        <v>0</v>
      </c>
      <c r="AL10" s="573" t="str">
        <f>W11</f>
        <v/>
      </c>
      <c r="AM10" s="244" t="e">
        <f>N11/AJ10</f>
        <v>#VALUE!</v>
      </c>
      <c r="AN10" s="572">
        <v>6</v>
      </c>
      <c r="AO10" s="244" t="str">
        <f t="shared" si="2"/>
        <v>157535J</v>
      </c>
      <c r="AP10" s="244" t="str">
        <f t="shared" si="3"/>
        <v/>
      </c>
      <c r="AQ10" s="244" t="str">
        <f t="shared" si="4"/>
        <v/>
      </c>
      <c r="AR10" s="244" t="str">
        <f t="shared" si="5"/>
        <v/>
      </c>
      <c r="AS10" s="578" t="str">
        <f t="shared" si="6"/>
        <v/>
      </c>
      <c r="AT10" s="578" t="str">
        <f t="shared" si="7"/>
        <v/>
      </c>
      <c r="AU10" s="244">
        <f t="shared" si="8"/>
        <v>0</v>
      </c>
      <c r="AV10" s="575">
        <f t="shared" si="9"/>
        <v>0</v>
      </c>
      <c r="AW10" s="575">
        <f t="shared" si="10"/>
        <v>0</v>
      </c>
      <c r="AX10" s="577">
        <f t="shared" si="11"/>
        <v>0</v>
      </c>
      <c r="BA10" s="244">
        <v>4</v>
      </c>
      <c r="BB10" s="443" t="str">
        <f>IF('GESTION DES JOUEURS'!B14="","",'GESTION DES JOUEURS'!B14)</f>
        <v>183133H</v>
      </c>
      <c r="BC10" s="443" t="str" cm="1">
        <f t="array" ref="BC10:BS10">_xlfn.XLOOKUP('Phase finale'!BB10,PA!$B$37:$B$42,PA!$C$37:$S$42,_xlfn.XLOOKUP('Phase finale'!BB10,PB!$B$37:$B$42,PB!$C$37:$S$42,_xlfn.XLOOKUP('Phase finale'!BB10,PC!$B$37:$B$42,PC!$C$37:$S$42,_xlfn.XLOOKUP('Phase finale'!BB10,PD!$B$37:$B$42,PD!$C$37:$S$42,_xlfn.XLOOKUP('Phase finale'!BB10,PE!$B$37:$B$42,PE!$C$37:$S$42,_xlfn.XLOOKUP('Phase finale'!BB10,PF!$B$37:$B$42,PF!$C$37:$S$42,_xlfn.XLOOKUP('Phase finale'!BB10,PG!$B$37:$B$42,PG!$C$37:$S$42,_xlfn.XLOOKUP('Phase finale'!BB10,PH!$B$37:$B$42,PH!$C$37:$S$42,_xlfn.XLOOKUP('Phase finale'!BB10,PI!$B$37:$B$42,PI!$C$37:$S$42,_xlfn.XLOOKUP('Phase finale'!BB10,PJ!$B$37:$B$42,PJ!$C$37:$S$42,_xlfn.XLOOKUP('Phase finale'!BB10,PK!$B$37:$B$42,PK!$C$37:$S$42,_xlfn.XLOOKUP('Phase finale'!BB10,PL!$B$37:$B$42,PL!$C$37:$S$42,"",0,1),0,1),0,1),0,1),0,1),0,1),0,1),0,1),0,1),0,1),0,1),0,1)</f>
        <v>ROCHE</v>
      </c>
      <c r="BD10" s="443">
        <v>0</v>
      </c>
      <c r="BE10" s="443" t="str">
        <v>PATRICK</v>
      </c>
      <c r="BF10" s="443">
        <v>0</v>
      </c>
      <c r="BG10" s="443" t="str">
        <v>BILLARD CLUB DE LIVRY GARGAN</v>
      </c>
      <c r="BH10" s="443">
        <v>0</v>
      </c>
      <c r="BI10" s="443">
        <v>0</v>
      </c>
      <c r="BJ10" s="443">
        <v>0</v>
      </c>
      <c r="BK10" s="443">
        <v>0</v>
      </c>
      <c r="BL10" s="443">
        <v>0</v>
      </c>
      <c r="BM10" s="443">
        <v>2</v>
      </c>
      <c r="BN10" s="443">
        <v>2.3194444444444446</v>
      </c>
      <c r="BO10" s="443">
        <v>3.0303030303030303</v>
      </c>
      <c r="BP10" s="443">
        <v>18</v>
      </c>
      <c r="BQ10" s="443">
        <v>2</v>
      </c>
      <c r="BR10" s="443">
        <v>5</v>
      </c>
      <c r="BS10" s="443">
        <v>1</v>
      </c>
      <c r="BU10" s="244">
        <v>4</v>
      </c>
      <c r="BV10" s="244" t="str">
        <v/>
      </c>
      <c r="BW10" s="244" t="str">
        <v/>
      </c>
      <c r="BX10" s="244">
        <v>0</v>
      </c>
      <c r="BY10" s="244" t="str">
        <v/>
      </c>
      <c r="BZ10" s="244">
        <v>0</v>
      </c>
      <c r="CA10" s="244" t="str">
        <v/>
      </c>
      <c r="CB10" s="244">
        <v>0</v>
      </c>
      <c r="CC10" s="244">
        <v>0</v>
      </c>
      <c r="CD10" s="244">
        <v>0</v>
      </c>
      <c r="CE10" s="244">
        <v>0</v>
      </c>
      <c r="CF10" s="244">
        <v>0</v>
      </c>
      <c r="CG10" s="244" t="str">
        <v/>
      </c>
      <c r="CH10" s="244" t="str">
        <v/>
      </c>
      <c r="CI10" s="244" t="str">
        <v/>
      </c>
      <c r="CJ10" s="244" t="str">
        <v/>
      </c>
      <c r="CK10" s="244" t="str">
        <v/>
      </c>
      <c r="CL10" s="244" t="str">
        <v/>
      </c>
      <c r="CM10" s="244" t="str">
        <v/>
      </c>
      <c r="CO10" s="244">
        <f t="shared" si="12"/>
        <v>4</v>
      </c>
      <c r="CP10" s="244" t="str">
        <v>118031R</v>
      </c>
      <c r="CQ10" s="244" t="str">
        <v>LE HUAN CUA</v>
      </c>
      <c r="CR10" s="244">
        <v>0</v>
      </c>
      <c r="CS10" s="244" t="str">
        <v>TRAN</v>
      </c>
      <c r="CT10" s="244">
        <v>0</v>
      </c>
      <c r="CU10" s="244" t="str">
        <v>ACADEMIE DE BILLARD DE MAISONS ALFORT</v>
      </c>
      <c r="CV10" s="244">
        <v>0</v>
      </c>
      <c r="CW10" s="244">
        <v>0</v>
      </c>
      <c r="CX10" s="244">
        <v>0</v>
      </c>
      <c r="CY10" s="244">
        <v>0</v>
      </c>
      <c r="CZ10" s="244">
        <v>0</v>
      </c>
      <c r="DA10" s="244">
        <v>4</v>
      </c>
      <c r="DB10" s="244">
        <v>4.166666666666667</v>
      </c>
      <c r="DC10" s="244">
        <v>4.3478260869565215</v>
      </c>
      <c r="DD10" s="244">
        <v>20</v>
      </c>
      <c r="DE10" s="244">
        <v>1</v>
      </c>
      <c r="DF10" s="244">
        <v>8</v>
      </c>
      <c r="DG10" s="244">
        <v>4</v>
      </c>
      <c r="DH10" s="244" t="str" cm="1">
        <f t="array" ref="DH10">_xlfn.XLOOKUP(CP10,Tableau19[Licence],'GESTION DES JOUEURS'!$O$11:$O$46,"",0,1)</f>
        <v>R2</v>
      </c>
      <c r="DI10" s="471">
        <f>IF('GESTION DES JOUEURS'!$X$8="Libre",_xlfn.XLOOKUP(DH10,Tableau13[Cat.],Tableau13[Libre],"",0,1),IF('GESTION DES JOUEURS'!$X$8="Bande",_xlfn.XLOOKUP(DH10,Tableau13[Cat.],Tableau13[bande],"",0,1),IF('GESTION DES JOUEURS'!$X$8="Cadre",_xlfn.XLOOKUP(DH10,Tableau13[Cat.],Tableau13[Cadre],"",0,1),IF('GESTION DES JOUEURS'!$X$8="3 Bandes",_xlfn.XLOOKUP(DH10,Tableau13[Cat.],Tableau13[3 Bandes],"",0,1),""))))</f>
        <v>60</v>
      </c>
      <c r="DK10" s="443" t="str">
        <v/>
      </c>
      <c r="DL10" s="443">
        <f>SUM(SUMIFS($N$9:$N$34,$F$9:$F$34,DK10,$A$9:$A$34,"P"),SUMIFS($P$9:$P$34,$V$9:$V$34,DK10,$A$9:$A$34,"P"),SUMIFS(Consolante!$P$9:$P$34,Consolante!$V$9:$V$34,DK10,Consolante!$A$9:$A$34,"P"),SUMIFS(Consolante!$N$9:$N$34,Consolante!$F$9:$F$34,DK10,Consolante!$A$9:$A$34,"P"))</f>
        <v>0</v>
      </c>
      <c r="DM10" s="443">
        <f>SUM(SUMIFS($O$9:$O$34,$F$9:$F$34,DK10,$A$9:$A$34,"P",$Y$9:$Y$34,FALSE),SUMIFS($O$9:$O$34,$F$9:$F$34,DK10,$A$9:$A$34,"P",$Y$9:$Y$34,TRUE)/_xlfn.XLOOKUP('GESTION DES JOUEURS'!$X$8&amp;RIGHT('GESTION DES JOUEURS'!$Y$8,1),Tableau14[Colonne1],Tableau14[coef. 2,80/3,10],"",0,1),SUMIFS($O$9:$O$34,$V$9:$V$34,DK10,$A$9:$A$34,"P",$Y$9:$Y$34,FALSE),SUMIFS($O$9:$O$34,$V$9:$V$34,DK10,$A$9:$A$34,"P",$Y$9:$Y$34,TRUE)/_xlfn.XLOOKUP('GESTION DES JOUEURS'!$X$8&amp;RIGHT('GESTION DES JOUEURS'!$Y$8,1),Tableau14[Colonne1],Tableau14[coef. 2,80/3,10],"",0,1),_xlfn.XLOOKUP(DK10,Consolante!$CP$7:$CP$22,Consolante!$CR$7:$CR$22,0,0,1))</f>
        <v>0</v>
      </c>
      <c r="DN10" s="447" t="str">
        <f t="shared" si="13"/>
        <v/>
      </c>
      <c r="DO10" s="443"/>
      <c r="DP10" s="443">
        <f>_xlfn.XLOOKUP(DK10,PA!$B$6:$B$11,PA!$P$6:$P$11,_xlfn.XLOOKUP(DK10,PB!$B$6:$B$11,PB!$P$6:$P$11,_xlfn.XLOOKUP(DK10,PC!$B$6:$B$11,PC!$P$6:$P$11,_xlfn.XLOOKUP(DK10,PD!$B$6:$B$11,PD!$P$6:$P$11,_xlfn.XLOOKUP(DK10,PE!$B$6:$B$11,PE!$P$6:$P$11,_xlfn.XLOOKUP(DK10,PF!$B$6:$B$11,PF!$P$6:$P$11,_xlfn.XLOOKUP(DK10,PG!$B$6:$B$11,PG!$P$6:$P$11,_xlfn.XLOOKUP(DK10,PH!$B$6:$B$11,PH!$P$6:$P$11,_xlfn.XLOOKUP(DK10,PI!$B$6:$B$11,PI!$P$6:$P$11,_xlfn.XLOOKUP(DK10,PJ!$B$6:$B$11,PJ!$P$6:$P$11,_xlfn.XLOOKUP(DK10,PK!$B$6:$B$11,PK!$P$6:$P$11,_xlfn.XLOOKUP(DK10,PL!$B$6:$B$11,PL!$P$6:$P$11,"",0,1),0,1),0,1),0,1),0,1),0,1),0,1),0,1),0,1),0,1),0,1),0,1)</f>
        <v>0</v>
      </c>
      <c r="DQ10" s="443">
        <f>_xlfn.XLOOKUP(DK10,PA!$B$6:$B$11,PA!$Q$6:$Q$11,_xlfn.XLOOKUP(DK10,PB!$B$6:$B$11,PB!$Q$6:$Q$11,_xlfn.XLOOKUP(DK10,PC!$B$6:$B$11,PC!$Q$6:$Q$11,_xlfn.XLOOKUP(DK10,PD!$B$6:$B$11,PD!$Q$6:$Q$11,_xlfn.XLOOKUP(DK10,PE!$B$6:$B$11,PE!$Q$6:$Q$11,_xlfn.XLOOKUP(DK10,PF!$B$6:$B$11,PF!$Q$6:$Q$11,_xlfn.XLOOKUP(DK10,PG!$B$6:$B$11,PG!$Q$6:$Q$11,_xlfn.XLOOKUP(DK10,PH!$B$6:$B$11,PH!$Q$6:$Q$11,_xlfn.XLOOKUP(DK10,PI!$B$6:$B$11,PI!$Q$6:$Q$11,_xlfn.XLOOKUP(DK10,PJ!$B$6:$B$11,PJ!$Q$6:$Q$11,_xlfn.XLOOKUP(DK10,PK!$B$6:$B$11,PK!$Q$6:$Q$11,_xlfn.XLOOKUP(DK10,PL!$B$6:$B$11,PL!$Q$6:$Q$11,"",0,1),0,1),0,1),0,1),0,1),0,1),0,1),0,1),0,1),0,1),0,1),0,1)</f>
        <v>0</v>
      </c>
      <c r="DR10" s="244" t="str">
        <f>IFERROR(('Phase finale'!DL10+'Phase finale'!DP10)/('Phase finale'!DM10+'Phase finale'!DQ10),"")</f>
        <v/>
      </c>
      <c r="DW10" s="516">
        <v>4</v>
      </c>
      <c r="DX10" s="516"/>
    </row>
    <row r="11" spans="1:128" ht="14.1" customHeight="1" thickBot="1" x14ac:dyDescent="0.3">
      <c r="A11" s="245" t="str">
        <f t="shared" si="14"/>
        <v/>
      </c>
      <c r="B11" s="375" t="s">
        <v>9883</v>
      </c>
      <c r="C11" s="391" t="str">
        <f>IF('GESTION DES JOUEURS'!$D$8="Open",13,IF(AND('GESTION DES JOUEURS'!$D$8="Tournoi",MAX('GESTION DES JOUEURS'!$A$11:$A$46)&gt;9),5,IF('GESTION DES JOUEURS'!$D$8="Tournoi",1,"")))</f>
        <v/>
      </c>
      <c r="D11" s="376" t="str">
        <f>IF(A11="","",IF(N11="ab.",0,IF(P11="ab.",2,IF(AND('GESTION DES JOUEURS'!$D$8&lt;&gt;"Open",O11&gt;0,N11&gt;P11),2,IF(AND('GESTION DES JOUEURS'!$D$8&lt;&gt;"Open",O11&gt;0,N11&lt;P11),0,IF(AND('GESTION DES JOUEURS'!$D$8&lt;&gt;"Open",O11&gt;0,N11=P11),1,IF(AND('GESTION DES JOUEURS'!$D$8="Open",(N11/_xlfn.XLOOKUP(F11,$CP$7:$CP$42,$DI$7:$DI$42,"",0,1))&gt;(P11/_xlfn.XLOOKUP(V11,$CP$7:$CP$42,$DI$7:$DI$42,"",0,1))),2,IF(AND('GESTION DES JOUEURS'!$D$8="Open",(N11/_xlfn.XLOOKUP(F11,$CP$7:$CP$42,$DI$7:$DI$42,"",0,1))=(P11/_xlfn.XLOOKUP(V11,$CP$7:$CP$42,$DI$7:$DI$42,"",0,1))),1,IF(AND('GESTION DES JOUEURS'!$D$8="Open",(N11/_xlfn.XLOOKUP(F11,$CP$7:$CP$42,$DI$7:$DI$42,"",0,1))&lt;(P11/_xlfn.XLOOKUP(V11,$CP$7:$CP$42,$DI$7:$DI$42,"",0,1))),0,"")))))))))</f>
        <v/>
      </c>
      <c r="E11" s="377" t="str">
        <f>IFERROR(IF(AND(D11&gt;=0,Y11=FALSE),N11/O11,IF(AND(D11&gt;=0,Y11=TRUE),(N11/O11)*_xlfn.XLOOKUP('GESTION DES JOUEURS'!$X$8&amp;RIGHT('GESTION DES JOUEURS'!$Y$8,1),Tableau14[Colonne1],Tableau14[coef. 2,80/3,10],"",0,1),"")),"")</f>
        <v/>
      </c>
      <c r="F11" s="567" t="str">
        <f>IF(AND(C11&gt;1,A13="P",OR($D$13&gt;$X$13,$L$13=TRUE)),$F$13,IF(AND(C11&gt;1,A13="P",OR($X$13&gt;$D$13,$R$13=TRUE)),$V$13,IF(AND('GESTION DES JOUEURS'!$D$8="Tournoi",MAX('GESTION DES JOUEURS'!$A$11:$A$46)&gt;6,'Phase finale'!C11=2),'Phase finale'!BV8,IF(AND('GESTION DES JOUEURS'!$D$8="Tournoi",MAX('GESTION DES JOUEURS'!$A$11:$A$46)&lt;7),PB!$B$37,""))))</f>
        <v/>
      </c>
      <c r="G11" s="738" t="str">
        <f>IFERROR(VLOOKUP(F11,'GESTION DES JOUEURS'!$B$11:$E$46,2,FALSE),"")</f>
        <v/>
      </c>
      <c r="H11" s="739"/>
      <c r="I11" s="739"/>
      <c r="J11" s="738" t="str">
        <f>IFERROR(VLOOKUP(F11,'GESTION DES JOUEURS'!$B$11:$E$46,3,FALSE),"")</f>
        <v/>
      </c>
      <c r="K11" s="779"/>
      <c r="L11" s="481" t="b">
        <v>0</v>
      </c>
      <c r="M11" s="411"/>
      <c r="N11" s="411"/>
      <c r="O11" s="379"/>
      <c r="P11" s="411"/>
      <c r="Q11" s="411"/>
      <c r="R11" s="400" t="b">
        <v>0</v>
      </c>
      <c r="S11" s="1079" t="str">
        <f>IFERROR(VLOOKUP(V11,'GESTION DES JOUEURS'!$B$11:$E$46,2,FALSE),"")</f>
        <v/>
      </c>
      <c r="T11" s="757"/>
      <c r="U11" s="355" t="str">
        <f>IFERROR(VLOOKUP(V11,'GESTION DES JOUEURS'!$B$11:$E$46,3,FALSE),"")</f>
        <v/>
      </c>
      <c r="V11" s="355" t="str">
        <f>IF(AND(C11&gt;1,A14="P",OR($D$14&gt;$X$14,$L$14=TRUE)),$F$14,IF(AND(C11&gt;1,A14="P",OR($X$14&gt;$D$14,$R$14=TRUE)),$V$14,IF(AND('GESTION DES JOUEURS'!$D$8="Tournoi",OR(MAX('GESTION DES JOUEURS'!$A$11:$A$46)&lt;6,MAX('GESTION DES JOUEURS'!$A$11:$A$46)&gt;6),'Phase finale'!C11=2),'Phase finale'!BV9,IF(AND('GESTION DES JOUEURS'!$D$8="Tournoi",MAX('GESTION DES JOUEURS'!$A$11:$A$46)&lt;7),PA!$B$38,""))))</f>
        <v/>
      </c>
      <c r="W11" s="380" t="str">
        <f>IFERROR(IF(AND(X11&gt;=0,Y11=FALSE),P11/O11,IF(AND(X11&gt;=0,Y11=TRUE),(P11/O11)*_xlfn.XLOOKUP('GESTION DES JOUEURS'!$X$8&amp;RIGHT('GESTION DES JOUEURS'!$Y$8,1),Tableau14[Colonne1],Tableau14[coef. 2,80/3,10],"",0,1),"")),"")</f>
        <v/>
      </c>
      <c r="X11" s="381" t="str">
        <f>IF(A11="","",IF(P11="ab.",0,IF(N11="ab.",2,IF(AND('GESTION DES JOUEURS'!$D$8&lt;&gt;"Open",O11&gt;0,P11&gt;N11),2,IF(AND('GESTION DES JOUEURS'!$D$8&lt;&gt;"Open",O11&gt;0,P11&lt;N11),0,IF(AND('GESTION DES JOUEURS'!$D$8&lt;&gt;"Open",O11&gt;0,P11=N11),1,IF(AND('GESTION DES JOUEURS'!$D$8="Open",(P11/_xlfn.XLOOKUP(V11,$CP$7:$CP$42,$DI$7:$DI$42,"",0,1))&gt;(N11/_xlfn.XLOOKUP(F11,$CP$7:$CP$42,$DI$7:$DI$42,"",0,1))),2,IF(AND('GESTION DES JOUEURS'!$D$8="Open",(P11/_xlfn.XLOOKUP(V11,$CP$7:$CP$42,$DI$7:$DI$42,"",0,1))=(N11/_xlfn.XLOOKUP(F11,$CP$7:$CP$42,$DI$7:$DI$42,"",0,1))),1,IF(AND('GESTION DES JOUEURS'!$D$8="Open",(P11/_xlfn.XLOOKUP(V11,$CP$7:$CP$42,$DI$7:$DI$42,"",0,1))&lt;(N11/_xlfn.XLOOKUP(F11,$CP$7:$CP$42,$DI$7:$DI$42,"",0,1))),0,"")))))))))</f>
        <v/>
      </c>
      <c r="Y11" s="545" t="b">
        <v>0</v>
      </c>
      <c r="AA11" s="893" t="s">
        <v>8113</v>
      </c>
      <c r="AC11" s="244" t="b" cm="1">
        <f t="array" ref="AC11">IF(AND(_xlfn.XLOOKUP(F10,Tableau19[Licence],'GESTION DES JOUEURS'!$O$11:$O$46,"",0,1)&lt;&gt;"N1",_xlfn.XLOOKUP(V10,Tableau19[Licence],'GESTION DES JOUEURS'!$O$11:$O$46,"",0,1)&lt;&gt;"N1",'GESTION DES JOUEURS'!$X$8="Cadre"),TRUE,FALSE)</f>
        <v>0</v>
      </c>
      <c r="AE11" s="371">
        <v>3</v>
      </c>
      <c r="AF11" s="371" t="str">
        <f>F12</f>
        <v/>
      </c>
      <c r="AG11" s="371" t="str">
        <f>D12</f>
        <v/>
      </c>
      <c r="AH11" s="371" t="b">
        <f>L12</f>
        <v>0</v>
      </c>
      <c r="AI11" s="371" t="e">
        <f t="shared" si="0"/>
        <v>#VALUE!</v>
      </c>
      <c r="AJ11" s="244" t="e">
        <f t="shared" si="1"/>
        <v>#VALUE!</v>
      </c>
      <c r="AK11" s="244">
        <f>M12</f>
        <v>0</v>
      </c>
      <c r="AL11" s="573" t="str">
        <f>E12</f>
        <v/>
      </c>
      <c r="AM11" s="244" t="e">
        <f>P12/AJ11</f>
        <v>#VALUE!</v>
      </c>
      <c r="AN11" s="244">
        <v>7</v>
      </c>
      <c r="AO11" s="244" t="str">
        <f t="shared" si="2"/>
        <v>154522J</v>
      </c>
      <c r="AP11" s="244" t="str">
        <f t="shared" si="3"/>
        <v/>
      </c>
      <c r="AQ11" s="244" t="str">
        <f t="shared" si="4"/>
        <v/>
      </c>
      <c r="AR11" s="244" t="str">
        <f t="shared" si="5"/>
        <v/>
      </c>
      <c r="AS11" s="578" t="str">
        <f t="shared" si="6"/>
        <v/>
      </c>
      <c r="AT11" s="578" t="str">
        <f t="shared" si="7"/>
        <v/>
      </c>
      <c r="AU11" s="244">
        <f t="shared" si="8"/>
        <v>0</v>
      </c>
      <c r="AV11" s="575">
        <f t="shared" si="9"/>
        <v>0</v>
      </c>
      <c r="AW11" s="575">
        <f t="shared" si="10"/>
        <v>0</v>
      </c>
      <c r="AX11" s="577">
        <f t="shared" si="11"/>
        <v>0</v>
      </c>
      <c r="BA11" s="244">
        <v>5</v>
      </c>
      <c r="BB11" s="443" t="str">
        <f>IF('GESTION DES JOUEURS'!B15="","",'GESTION DES JOUEURS'!B15)</f>
        <v>148333G</v>
      </c>
      <c r="BC11" s="443" t="str" cm="1">
        <f t="array" ref="BC11:BS11">_xlfn.XLOOKUP('Phase finale'!BB11,PA!$B$37:$B$42,PA!$C$37:$S$42,_xlfn.XLOOKUP('Phase finale'!BB11,PB!$B$37:$B$42,PB!$C$37:$S$42,_xlfn.XLOOKUP('Phase finale'!BB11,PC!$B$37:$B$42,PC!$C$37:$S$42,_xlfn.XLOOKUP('Phase finale'!BB11,PD!$B$37:$B$42,PD!$C$37:$S$42,_xlfn.XLOOKUP('Phase finale'!BB11,PE!$B$37:$B$42,PE!$C$37:$S$42,_xlfn.XLOOKUP('Phase finale'!BB11,PF!$B$37:$B$42,PF!$C$37:$S$42,_xlfn.XLOOKUP('Phase finale'!BB11,PG!$B$37:$B$42,PG!$C$37:$S$42,_xlfn.XLOOKUP('Phase finale'!BB11,PH!$B$37:$B$42,PH!$C$37:$S$42,_xlfn.XLOOKUP('Phase finale'!BB11,PI!$B$37:$B$42,PI!$C$37:$S$42,_xlfn.XLOOKUP('Phase finale'!BB11,PJ!$B$37:$B$42,PJ!$C$37:$S$42,_xlfn.XLOOKUP('Phase finale'!BB11,PK!$B$37:$B$42,PK!$C$37:$S$42,_xlfn.XLOOKUP('Phase finale'!BB11,PL!$B$37:$B$42,PL!$C$37:$S$42,"",0,1),0,1),0,1),0,1),0,1),0,1),0,1),0,1),0,1),0,1),0,1),0,1)</f>
        <v>MA PHUOC</v>
      </c>
      <c r="BD11" s="443">
        <v>0</v>
      </c>
      <c r="BE11" s="443" t="str">
        <v>BICH</v>
      </c>
      <c r="BF11" s="443">
        <v>0</v>
      </c>
      <c r="BG11" s="443" t="str">
        <v>ACADEMIE DE BILLARD DE MAISONS ALFORT</v>
      </c>
      <c r="BH11" s="443">
        <v>0</v>
      </c>
      <c r="BI11" s="443">
        <v>0</v>
      </c>
      <c r="BJ11" s="443">
        <v>0</v>
      </c>
      <c r="BK11" s="443">
        <v>0</v>
      </c>
      <c r="BL11" s="443">
        <v>0</v>
      </c>
      <c r="BM11" s="443">
        <v>4</v>
      </c>
      <c r="BN11" s="443">
        <v>2.9411764705882355</v>
      </c>
      <c r="BO11" s="443">
        <v>3.4482758620689653</v>
      </c>
      <c r="BP11" s="443">
        <v>19</v>
      </c>
      <c r="BQ11" s="443">
        <v>1</v>
      </c>
      <c r="BR11" s="443">
        <v>8</v>
      </c>
      <c r="BS11" s="443">
        <v>1</v>
      </c>
      <c r="BU11" s="244">
        <v>5</v>
      </c>
      <c r="BV11" s="244" t="str">
        <v/>
      </c>
      <c r="BW11" s="244" t="str">
        <v/>
      </c>
      <c r="BX11" s="244">
        <v>0</v>
      </c>
      <c r="BY11" s="244" t="str">
        <v/>
      </c>
      <c r="BZ11" s="244">
        <v>0</v>
      </c>
      <c r="CA11" s="244" t="str">
        <v/>
      </c>
      <c r="CB11" s="244">
        <v>0</v>
      </c>
      <c r="CC11" s="244">
        <v>0</v>
      </c>
      <c r="CD11" s="244">
        <v>0</v>
      </c>
      <c r="CE11" s="244">
        <v>0</v>
      </c>
      <c r="CF11" s="244">
        <v>0</v>
      </c>
      <c r="CG11" s="244" t="str">
        <v/>
      </c>
      <c r="CH11" s="244" t="str">
        <v/>
      </c>
      <c r="CI11" s="244" t="str">
        <v/>
      </c>
      <c r="CJ11" s="244" t="str">
        <v/>
      </c>
      <c r="CK11" s="244" t="str">
        <v/>
      </c>
      <c r="CL11" s="244" t="str">
        <v/>
      </c>
      <c r="CM11" s="244" t="str">
        <v/>
      </c>
      <c r="CO11" s="244">
        <f t="shared" si="12"/>
        <v>5</v>
      </c>
      <c r="CP11" s="244" t="str">
        <v>183133H</v>
      </c>
      <c r="CQ11" s="244" t="str">
        <v>ROCHE</v>
      </c>
      <c r="CR11" s="244">
        <v>0</v>
      </c>
      <c r="CS11" s="244" t="str">
        <v>PATRICK</v>
      </c>
      <c r="CT11" s="244">
        <v>0</v>
      </c>
      <c r="CU11" s="244" t="str">
        <v>BILLARD CLUB DE LIVRY GARGAN</v>
      </c>
      <c r="CV11" s="244">
        <v>0</v>
      </c>
      <c r="CW11" s="244">
        <v>0</v>
      </c>
      <c r="CX11" s="244">
        <v>0</v>
      </c>
      <c r="CY11" s="244">
        <v>0</v>
      </c>
      <c r="CZ11" s="244">
        <v>0</v>
      </c>
      <c r="DA11" s="244">
        <v>2</v>
      </c>
      <c r="DB11" s="244">
        <v>2.3194444444444446</v>
      </c>
      <c r="DC11" s="244">
        <v>3.0303030303030303</v>
      </c>
      <c r="DD11" s="244">
        <v>18</v>
      </c>
      <c r="DE11" s="244">
        <v>2</v>
      </c>
      <c r="DF11" s="244">
        <v>5</v>
      </c>
      <c r="DG11" s="244">
        <v>1</v>
      </c>
      <c r="DH11" s="244" t="str" cm="1">
        <f t="array" ref="DH11">_xlfn.XLOOKUP(CP11,Tableau19[Licence],'GESTION DES JOUEURS'!$O$11:$O$46,"",0,1)</f>
        <v/>
      </c>
      <c r="DI11" s="471" t="str">
        <f>IF('GESTION DES JOUEURS'!$X$8="Libre",_xlfn.XLOOKUP(DH11,Tableau13[Cat.],Tableau13[Libre],"",0,1),IF('GESTION DES JOUEURS'!$X$8="Bande",_xlfn.XLOOKUP(DH11,Tableau13[Cat.],Tableau13[bande],"",0,1),IF('GESTION DES JOUEURS'!$X$8="Cadre",_xlfn.XLOOKUP(DH11,Tableau13[Cat.],Tableau13[Cadre],"",0,1),IF('GESTION DES JOUEURS'!$X$8="3 Bandes",_xlfn.XLOOKUP(DH11,Tableau13[Cat.],Tableau13[3 Bandes],"",0,1),""))))</f>
        <v/>
      </c>
      <c r="DK11" s="443" t="str">
        <v/>
      </c>
      <c r="DL11" s="443">
        <f>SUM(SUMIFS($N$9:$N$34,$F$9:$F$34,DK11,$A$9:$A$34,"P"),SUMIFS($P$9:$P$34,$V$9:$V$34,DK11,$A$9:$A$34,"P"),SUMIFS(Consolante!$P$9:$P$34,Consolante!$V$9:$V$34,DK11,Consolante!$A$9:$A$34,"P"),SUMIFS(Consolante!$N$9:$N$34,Consolante!$F$9:$F$34,DK11,Consolante!$A$9:$A$34,"P"))</f>
        <v>0</v>
      </c>
      <c r="DM11" s="443">
        <f>SUM(SUMIFS($O$9:$O$34,$F$9:$F$34,DK11,$A$9:$A$34,"P",$Y$9:$Y$34,FALSE),SUMIFS($O$9:$O$34,$F$9:$F$34,DK11,$A$9:$A$34,"P",$Y$9:$Y$34,TRUE)/_xlfn.XLOOKUP('GESTION DES JOUEURS'!$X$8&amp;RIGHT('GESTION DES JOUEURS'!$Y$8,1),Tableau14[Colonne1],Tableau14[coef. 2,80/3,10],"",0,1),SUMIFS($O$9:$O$34,$V$9:$V$34,DK11,$A$9:$A$34,"P",$Y$9:$Y$34,FALSE),SUMIFS($O$9:$O$34,$V$9:$V$34,DK11,$A$9:$A$34,"P",$Y$9:$Y$34,TRUE)/_xlfn.XLOOKUP('GESTION DES JOUEURS'!$X$8&amp;RIGHT('GESTION DES JOUEURS'!$Y$8,1),Tableau14[Colonne1],Tableau14[coef. 2,80/3,10],"",0,1),_xlfn.XLOOKUP(DK11,Consolante!$CP$7:$CP$22,Consolante!$CR$7:$CR$22,0,0,1))</f>
        <v>0</v>
      </c>
      <c r="DN11" s="447" t="str">
        <f t="shared" si="13"/>
        <v/>
      </c>
      <c r="DO11" s="443"/>
      <c r="DP11" s="443">
        <f>_xlfn.XLOOKUP(DK11,PA!$B$6:$B$11,PA!$P$6:$P$11,_xlfn.XLOOKUP(DK11,PB!$B$6:$B$11,PB!$P$6:$P$11,_xlfn.XLOOKUP(DK11,PC!$B$6:$B$11,PC!$P$6:$P$11,_xlfn.XLOOKUP(DK11,PD!$B$6:$B$11,PD!$P$6:$P$11,_xlfn.XLOOKUP(DK11,PE!$B$6:$B$11,PE!$P$6:$P$11,_xlfn.XLOOKUP(DK11,PF!$B$6:$B$11,PF!$P$6:$P$11,_xlfn.XLOOKUP(DK11,PG!$B$6:$B$11,PG!$P$6:$P$11,_xlfn.XLOOKUP(DK11,PH!$B$6:$B$11,PH!$P$6:$P$11,_xlfn.XLOOKUP(DK11,PI!$B$6:$B$11,PI!$P$6:$P$11,_xlfn.XLOOKUP(DK11,PJ!$B$6:$B$11,PJ!$P$6:$P$11,_xlfn.XLOOKUP(DK11,PK!$B$6:$B$11,PK!$P$6:$P$11,_xlfn.XLOOKUP(DK11,PL!$B$6:$B$11,PL!$P$6:$P$11,"",0,1),0,1),0,1),0,1),0,1),0,1),0,1),0,1),0,1),0,1),0,1),0,1)</f>
        <v>0</v>
      </c>
      <c r="DQ11" s="443">
        <f>_xlfn.XLOOKUP(DK11,PA!$B$6:$B$11,PA!$Q$6:$Q$11,_xlfn.XLOOKUP(DK11,PB!$B$6:$B$11,PB!$Q$6:$Q$11,_xlfn.XLOOKUP(DK11,PC!$B$6:$B$11,PC!$Q$6:$Q$11,_xlfn.XLOOKUP(DK11,PD!$B$6:$B$11,PD!$Q$6:$Q$11,_xlfn.XLOOKUP(DK11,PE!$B$6:$B$11,PE!$Q$6:$Q$11,_xlfn.XLOOKUP(DK11,PF!$B$6:$B$11,PF!$Q$6:$Q$11,_xlfn.XLOOKUP(DK11,PG!$B$6:$B$11,PG!$Q$6:$Q$11,_xlfn.XLOOKUP(DK11,PH!$B$6:$B$11,PH!$Q$6:$Q$11,_xlfn.XLOOKUP(DK11,PI!$B$6:$B$11,PI!$Q$6:$Q$11,_xlfn.XLOOKUP(DK11,PJ!$B$6:$B$11,PJ!$Q$6:$Q$11,_xlfn.XLOOKUP(DK11,PK!$B$6:$B$11,PK!$Q$6:$Q$11,_xlfn.XLOOKUP(DK11,PL!$B$6:$B$11,PL!$Q$6:$Q$11,"",0,1),0,1),0,1),0,1),0,1),0,1),0,1),0,1),0,1),0,1),0,1),0,1)</f>
        <v>0</v>
      </c>
      <c r="DR11" s="244" t="str">
        <f>IFERROR(('Phase finale'!DL11+'Phase finale'!DP11)/('Phase finale'!DM11+'Phase finale'!DQ11),"")</f>
        <v/>
      </c>
      <c r="DW11" s="516">
        <v>5</v>
      </c>
      <c r="DX11" s="516"/>
    </row>
    <row r="12" spans="1:128" ht="14.1" customHeight="1" x14ac:dyDescent="0.25">
      <c r="A12" s="245" t="str">
        <f t="shared" si="14"/>
        <v/>
      </c>
      <c r="B12" s="60" t="s">
        <v>9878</v>
      </c>
      <c r="C12" s="407" t="str">
        <f>IF('GESTION DES JOUEURS'!$D$8="Open",12,IF(AND('GESTION DES JOUEURS'!$D$8="Tournoi",MAX('GESTION DES JOUEURS'!$A$11:$A$46)&gt;9),4,""))</f>
        <v/>
      </c>
      <c r="D12" s="84" t="str">
        <f>IF(A12="","",IF(N12="ab.",0,IF(P12="ab.",2,IF(AND('GESTION DES JOUEURS'!$D$8&lt;&gt;"Open",O12&gt;0,N12&gt;P12),2,IF(AND('GESTION DES JOUEURS'!$D$8&lt;&gt;"Open",O12&gt;0,N12&lt;P12),0,IF(AND('GESTION DES JOUEURS'!$D$8&lt;&gt;"Open",O12&gt;0,N12=P12),1,IF(AND('GESTION DES JOUEURS'!$D$8="Open",(N12/_xlfn.XLOOKUP(F12,$CP$7:$CP$42,$DI$7:$DI$42,"",0,1))&gt;(P12/_xlfn.XLOOKUP(V12,$CP$7:$CP$42,$DI$7:$DI$42,"",0,1))),2,IF(AND('GESTION DES JOUEURS'!$D$8="Open",(N12/_xlfn.XLOOKUP(F12,$CP$7:$CP$42,$DI$7:$DI$42,"",0,1))=(P12/_xlfn.XLOOKUP(V12,$CP$7:$CP$42,$DI$7:$DI$42,"",0,1))),1,IF(AND('GESTION DES JOUEURS'!$D$8="Open",(N12/_xlfn.XLOOKUP(F12,$CP$7:$CP$42,$DI$7:$DI$42,"",0,1))&lt;(P12/_xlfn.XLOOKUP(V12,$CP$7:$CP$42,$DI$7:$DI$42,"",0,1))),0,"")))))))))</f>
        <v/>
      </c>
      <c r="E12" s="109" t="str">
        <f>IFERROR(IF(AND(D12&gt;=0,Y12=FALSE),N12/O12,IF(AND(D12&gt;=0,Y12=TRUE),(N12/O12)*_xlfn.XLOOKUP('GESTION DES JOUEURS'!$X$8&amp;RIGHT('GESTION DES JOUEURS'!$Y$8,1),Tableau14[Colonne1],Tableau14[coef. 2,80/3,10],"",0,1),"")),"")</f>
        <v/>
      </c>
      <c r="F12" s="549" t="str">
        <f>IF(C12=4,BV7,IF(AND(C12=12,OR(D16&gt;X16,L16=TRUE)),F16,IF(AND(C12=12,OR(X16&gt;D16,R16=TRUE)),V16,"")))</f>
        <v/>
      </c>
      <c r="G12" s="776" t="str">
        <f>IFERROR(VLOOKUP(F12,'GESTION DES JOUEURS'!$B$11:$E$46,2,FALSE),"")</f>
        <v/>
      </c>
      <c r="H12" s="777"/>
      <c r="I12" s="777"/>
      <c r="J12" s="776" t="str">
        <f>IFERROR(VLOOKUP(F12,'GESTION DES JOUEURS'!$B$11:$E$46,3,FALSE),"")</f>
        <v/>
      </c>
      <c r="K12" s="778"/>
      <c r="L12" s="480" t="b">
        <v>0</v>
      </c>
      <c r="M12" s="410"/>
      <c r="N12" s="410"/>
      <c r="O12" s="110"/>
      <c r="P12" s="410"/>
      <c r="Q12" s="410"/>
      <c r="R12" s="399" t="b">
        <v>0</v>
      </c>
      <c r="S12" s="1113" t="str">
        <f>IFERROR(VLOOKUP(V12,'GESTION DES JOUEURS'!$B$11:$E$46,2,FALSE),"")</f>
        <v/>
      </c>
      <c r="T12" s="768"/>
      <c r="U12" s="78" t="str">
        <f>IFERROR(VLOOKUP(V12,'GESTION DES JOUEURS'!$B$11:$E$46,3,FALSE),"")</f>
        <v/>
      </c>
      <c r="V12" s="78" t="str">
        <f>IF(C12=4,BV14,IF(AND(C12=12,OR(D23&gt;X23,L23=TRUE)),F23,IF(AND(C12=12,OR(X23&gt;D23,R23=TRUE)),V23,"")))</f>
        <v/>
      </c>
      <c r="W12" s="111" t="str">
        <f>IFERROR(IF(AND(X12&gt;=0,Y12=FALSE),P12/O12,IF(AND(X12&gt;=0,Y12=TRUE),(P12/O12)*_xlfn.XLOOKUP('GESTION DES JOUEURS'!$X$8&amp;RIGHT('GESTION DES JOUEURS'!$Y$8,1),Tableau14[Colonne1],Tableau14[coef. 2,80/3,10],"",0,1),"")),"")</f>
        <v/>
      </c>
      <c r="X12" s="63" t="str">
        <f>IF(A12="","",IF(P12="ab.",0,IF(N12="ab.",2,IF(AND('GESTION DES JOUEURS'!$D$8&lt;&gt;"Open",O12&gt;0,P12&gt;N12),2,IF(AND('GESTION DES JOUEURS'!$D$8&lt;&gt;"Open",O12&gt;0,P12&lt;N12),0,IF(AND('GESTION DES JOUEURS'!$D$8&lt;&gt;"Open",O12&gt;0,P12=N12),1,IF(AND('GESTION DES JOUEURS'!$D$8="Open",(P12/_xlfn.XLOOKUP(V12,$CP$7:$CP$42,$DI$7:$DI$42,"",0,1))&gt;(N12/_xlfn.XLOOKUP(F12,$CP$7:$CP$42,$DI$7:$DI$42,"",0,1))),2,IF(AND('GESTION DES JOUEURS'!$D$8="Open",(P12/_xlfn.XLOOKUP(V12,$CP$7:$CP$42,$DI$7:$DI$42,"",0,1))=(N12/_xlfn.XLOOKUP(F12,$CP$7:$CP$42,$DI$7:$DI$42,"",0,1))),1,IF(AND('GESTION DES JOUEURS'!$D$8="Open",(P12/_xlfn.XLOOKUP(V12,$CP$7:$CP$42,$DI$7:$DI$42,"",0,1))&lt;(N12/_xlfn.XLOOKUP(F12,$CP$7:$CP$42,$DI$7:$DI$42,"",0,1))),0,"")))))))))</f>
        <v/>
      </c>
      <c r="Y12" s="544" t="b">
        <v>0</v>
      </c>
      <c r="AA12" s="893"/>
      <c r="AC12" s="244" t="b" cm="1">
        <f t="array" ref="AC12">IF(AND(_xlfn.XLOOKUP(F12,Tableau19[Licence],'GESTION DES JOUEURS'!$O$11:$O$46,"",0,1)&lt;&gt;"N1",_xlfn.XLOOKUP(V12,Tableau19[Licence],'GESTION DES JOUEURS'!$O$11:$O$46,"",0,1)&lt;&gt;"N1",'GESTION DES JOUEURS'!$X$8="Cadre"),TRUE,FALSE)</f>
        <v>0</v>
      </c>
      <c r="AE12" s="371">
        <v>3</v>
      </c>
      <c r="AF12" s="371" t="str">
        <f>F13</f>
        <v/>
      </c>
      <c r="AG12" s="371" t="str">
        <f>D13</f>
        <v/>
      </c>
      <c r="AH12" s="371" t="b">
        <f>L13</f>
        <v>0</v>
      </c>
      <c r="AI12" s="371" t="e">
        <f t="shared" si="0"/>
        <v>#VALUE!</v>
      </c>
      <c r="AJ12" s="244" t="e">
        <f t="shared" si="1"/>
        <v>#VALUE!</v>
      </c>
      <c r="AK12" s="244">
        <f t="shared" ref="AK12:AK14" si="15">M13</f>
        <v>0</v>
      </c>
      <c r="AL12" s="573" t="str">
        <f t="shared" ref="AL12:AL14" si="16">E13</f>
        <v/>
      </c>
      <c r="AM12" s="244" t="e">
        <f t="shared" ref="AM12:AM14" si="17">P13/AJ12</f>
        <v>#VALUE!</v>
      </c>
      <c r="AN12" s="244">
        <v>8</v>
      </c>
      <c r="AO12" s="244" t="str">
        <f t="shared" si="2"/>
        <v>013428M</v>
      </c>
      <c r="AP12" s="244" t="str">
        <f t="shared" si="3"/>
        <v/>
      </c>
      <c r="AQ12" s="244" t="str">
        <f t="shared" si="4"/>
        <v/>
      </c>
      <c r="AR12" s="244" t="str">
        <f t="shared" si="5"/>
        <v/>
      </c>
      <c r="AS12" s="578" t="str">
        <f t="shared" si="6"/>
        <v/>
      </c>
      <c r="AT12" s="578" t="str">
        <f t="shared" si="7"/>
        <v/>
      </c>
      <c r="AU12" s="244">
        <f t="shared" si="8"/>
        <v>0</v>
      </c>
      <c r="AV12" s="575">
        <f t="shared" si="9"/>
        <v>0</v>
      </c>
      <c r="AW12" s="575">
        <f t="shared" si="10"/>
        <v>0</v>
      </c>
      <c r="AX12" s="577">
        <f t="shared" si="11"/>
        <v>0</v>
      </c>
      <c r="BA12" s="244">
        <v>6</v>
      </c>
      <c r="BB12" s="443" t="str">
        <f>IF('GESTION DES JOUEURS'!B16="","",'GESTION DES JOUEURS'!B16)</f>
        <v>156543F</v>
      </c>
      <c r="BC12" s="443" t="str" cm="1">
        <f t="array" ref="BC12:BS12">_xlfn.XLOOKUP('Phase finale'!BB12,PA!$B$37:$B$42,PA!$C$37:$S$42,_xlfn.XLOOKUP('Phase finale'!BB12,PB!$B$37:$B$42,PB!$C$37:$S$42,_xlfn.XLOOKUP('Phase finale'!BB12,PC!$B$37:$B$42,PC!$C$37:$S$42,_xlfn.XLOOKUP('Phase finale'!BB12,PD!$B$37:$B$42,PD!$C$37:$S$42,_xlfn.XLOOKUP('Phase finale'!BB12,PE!$B$37:$B$42,PE!$C$37:$S$42,_xlfn.XLOOKUP('Phase finale'!BB12,PF!$B$37:$B$42,PF!$C$37:$S$42,_xlfn.XLOOKUP('Phase finale'!BB12,PG!$B$37:$B$42,PG!$C$37:$S$42,_xlfn.XLOOKUP('Phase finale'!BB12,PH!$B$37:$B$42,PH!$C$37:$S$42,_xlfn.XLOOKUP('Phase finale'!BB12,PI!$B$37:$B$42,PI!$C$37:$S$42,_xlfn.XLOOKUP('Phase finale'!BB12,PJ!$B$37:$B$42,PJ!$C$37:$S$42,_xlfn.XLOOKUP('Phase finale'!BB12,PK!$B$37:$B$42,PK!$C$37:$S$42,_xlfn.XLOOKUP('Phase finale'!BB12,PL!$B$37:$B$42,PL!$C$37:$S$42,"",0,1),0,1),0,1),0,1),0,1),0,1),0,1),0,1),0,1),0,1),0,1),0,1)</f>
        <v>FERNANDES ALVES</v>
      </c>
      <c r="BD12" s="443">
        <v>0</v>
      </c>
      <c r="BE12" s="443" t="str">
        <v>FRANCISCO</v>
      </c>
      <c r="BF12" s="443">
        <v>0</v>
      </c>
      <c r="BG12" s="443" t="str">
        <v>ACADEMIE DE BILLARD DE MAISONS ALFORT</v>
      </c>
      <c r="BH12" s="443">
        <v>0</v>
      </c>
      <c r="BI12" s="443">
        <v>0</v>
      </c>
      <c r="BJ12" s="443">
        <v>0</v>
      </c>
      <c r="BK12" s="443">
        <v>0</v>
      </c>
      <c r="BL12" s="443">
        <v>0</v>
      </c>
      <c r="BM12" s="443">
        <v>0</v>
      </c>
      <c r="BN12" s="443">
        <v>2.129032258064516</v>
      </c>
      <c r="BO12" s="443" t="str">
        <v>/</v>
      </c>
      <c r="BP12" s="443">
        <v>16</v>
      </c>
      <c r="BQ12" s="443">
        <v>3</v>
      </c>
      <c r="BR12" s="443">
        <v>3</v>
      </c>
      <c r="BS12" s="443">
        <v>1</v>
      </c>
      <c r="BU12" s="244">
        <v>6</v>
      </c>
      <c r="BV12" s="244" t="str">
        <v/>
      </c>
      <c r="BW12" s="244" t="str">
        <v/>
      </c>
      <c r="BX12" s="244">
        <v>0</v>
      </c>
      <c r="BY12" s="244" t="str">
        <v/>
      </c>
      <c r="BZ12" s="244">
        <v>0</v>
      </c>
      <c r="CA12" s="244" t="str">
        <v/>
      </c>
      <c r="CB12" s="244">
        <v>0</v>
      </c>
      <c r="CC12" s="244">
        <v>0</v>
      </c>
      <c r="CD12" s="244">
        <v>0</v>
      </c>
      <c r="CE12" s="244">
        <v>0</v>
      </c>
      <c r="CF12" s="244">
        <v>0</v>
      </c>
      <c r="CG12" s="244" t="str">
        <v/>
      </c>
      <c r="CH12" s="244" t="str">
        <v/>
      </c>
      <c r="CI12" s="244" t="str">
        <v/>
      </c>
      <c r="CJ12" s="244" t="str">
        <v/>
      </c>
      <c r="CK12" s="244" t="str">
        <v/>
      </c>
      <c r="CL12" s="244" t="str">
        <v/>
      </c>
      <c r="CM12" s="244" t="str">
        <v/>
      </c>
      <c r="CO12" s="244">
        <f t="shared" si="12"/>
        <v>6</v>
      </c>
      <c r="CP12" s="244" t="str">
        <v>157535J</v>
      </c>
      <c r="CQ12" s="244" t="str">
        <v>PIBOURDIN</v>
      </c>
      <c r="CR12" s="244">
        <v>0</v>
      </c>
      <c r="CS12" s="244" t="str">
        <v>ERIC</v>
      </c>
      <c r="CT12" s="244">
        <v>0</v>
      </c>
      <c r="CU12" s="244" t="str">
        <v>ACADEMIE DE BILLARD DE MAISONS ALFORT</v>
      </c>
      <c r="CV12" s="244">
        <v>0</v>
      </c>
      <c r="CW12" s="244">
        <v>0</v>
      </c>
      <c r="CX12" s="244">
        <v>0</v>
      </c>
      <c r="CY12" s="244">
        <v>0</v>
      </c>
      <c r="CZ12" s="244">
        <v>0</v>
      </c>
      <c r="DA12" s="244">
        <v>2</v>
      </c>
      <c r="DB12" s="244">
        <v>2.2857142857142856</v>
      </c>
      <c r="DC12" s="244">
        <v>2.125</v>
      </c>
      <c r="DD12" s="244">
        <v>23</v>
      </c>
      <c r="DE12" s="244">
        <v>2</v>
      </c>
      <c r="DF12" s="244">
        <v>5</v>
      </c>
      <c r="DG12" s="244">
        <v>2</v>
      </c>
      <c r="DH12" s="244" t="str" cm="1">
        <f t="array" ref="DH12">_xlfn.XLOOKUP(CP12,Tableau19[Licence],'GESTION DES JOUEURS'!$O$11:$O$46,"",0,1)</f>
        <v>R2</v>
      </c>
      <c r="DI12" s="471">
        <f>IF('GESTION DES JOUEURS'!$X$8="Libre",_xlfn.XLOOKUP(DH12,Tableau13[Cat.],Tableau13[Libre],"",0,1),IF('GESTION DES JOUEURS'!$X$8="Bande",_xlfn.XLOOKUP(DH12,Tableau13[Cat.],Tableau13[bande],"",0,1),IF('GESTION DES JOUEURS'!$X$8="Cadre",_xlfn.XLOOKUP(DH12,Tableau13[Cat.],Tableau13[Cadre],"",0,1),IF('GESTION DES JOUEURS'!$X$8="3 Bandes",_xlfn.XLOOKUP(DH12,Tableau13[Cat.],Tableau13[3 Bandes],"",0,1),""))))</f>
        <v>60</v>
      </c>
      <c r="DK12" s="443" t="str">
        <v/>
      </c>
      <c r="DL12" s="443">
        <f>SUM(SUMIFS($N$9:$N$34,$F$9:$F$34,DK12,$A$9:$A$34,"P"),SUMIFS($P$9:$P$34,$V$9:$V$34,DK12,$A$9:$A$34,"P"),SUMIFS(Consolante!$P$9:$P$34,Consolante!$V$9:$V$34,DK12,Consolante!$A$9:$A$34,"P"),SUMIFS(Consolante!$N$9:$N$34,Consolante!$F$9:$F$34,DK12,Consolante!$A$9:$A$34,"P"))</f>
        <v>0</v>
      </c>
      <c r="DM12" s="443">
        <f>SUM(SUMIFS($O$9:$O$34,$F$9:$F$34,DK12,$A$9:$A$34,"P",$Y$9:$Y$34,FALSE),SUMIFS($O$9:$O$34,$F$9:$F$34,DK12,$A$9:$A$34,"P",$Y$9:$Y$34,TRUE)/_xlfn.XLOOKUP('GESTION DES JOUEURS'!$X$8&amp;RIGHT('GESTION DES JOUEURS'!$Y$8,1),Tableau14[Colonne1],Tableau14[coef. 2,80/3,10],"",0,1),SUMIFS($O$9:$O$34,$V$9:$V$34,DK12,$A$9:$A$34,"P",$Y$9:$Y$34,FALSE),SUMIFS($O$9:$O$34,$V$9:$V$34,DK12,$A$9:$A$34,"P",$Y$9:$Y$34,TRUE)/_xlfn.XLOOKUP('GESTION DES JOUEURS'!$X$8&amp;RIGHT('GESTION DES JOUEURS'!$Y$8,1),Tableau14[Colonne1],Tableau14[coef. 2,80/3,10],"",0,1),_xlfn.XLOOKUP(DK12,Consolante!$CP$7:$CP$22,Consolante!$CR$7:$CR$22,0,0,1))</f>
        <v>0</v>
      </c>
      <c r="DN12" s="447" t="str">
        <f t="shared" si="13"/>
        <v/>
      </c>
      <c r="DO12" s="443"/>
      <c r="DP12" s="443">
        <f>_xlfn.XLOOKUP(DK12,PA!$B$6:$B$11,PA!$P$6:$P$11,_xlfn.XLOOKUP(DK12,PB!$B$6:$B$11,PB!$P$6:$P$11,_xlfn.XLOOKUP(DK12,PC!$B$6:$B$11,PC!$P$6:$P$11,_xlfn.XLOOKUP(DK12,PD!$B$6:$B$11,PD!$P$6:$P$11,_xlfn.XLOOKUP(DK12,PE!$B$6:$B$11,PE!$P$6:$P$11,_xlfn.XLOOKUP(DK12,PF!$B$6:$B$11,PF!$P$6:$P$11,_xlfn.XLOOKUP(DK12,PG!$B$6:$B$11,PG!$P$6:$P$11,_xlfn.XLOOKUP(DK12,PH!$B$6:$B$11,PH!$P$6:$P$11,_xlfn.XLOOKUP(DK12,PI!$B$6:$B$11,PI!$P$6:$P$11,_xlfn.XLOOKUP(DK12,PJ!$B$6:$B$11,PJ!$P$6:$P$11,_xlfn.XLOOKUP(DK12,PK!$B$6:$B$11,PK!$P$6:$P$11,_xlfn.XLOOKUP(DK12,PL!$B$6:$B$11,PL!$P$6:$P$11,"",0,1),0,1),0,1),0,1),0,1),0,1),0,1),0,1),0,1),0,1),0,1),0,1)</f>
        <v>0</v>
      </c>
      <c r="DQ12" s="443">
        <f>_xlfn.XLOOKUP(DK12,PA!$B$6:$B$11,PA!$Q$6:$Q$11,_xlfn.XLOOKUP(DK12,PB!$B$6:$B$11,PB!$Q$6:$Q$11,_xlfn.XLOOKUP(DK12,PC!$B$6:$B$11,PC!$Q$6:$Q$11,_xlfn.XLOOKUP(DK12,PD!$B$6:$B$11,PD!$Q$6:$Q$11,_xlfn.XLOOKUP(DK12,PE!$B$6:$B$11,PE!$Q$6:$Q$11,_xlfn.XLOOKUP(DK12,PF!$B$6:$B$11,PF!$Q$6:$Q$11,_xlfn.XLOOKUP(DK12,PG!$B$6:$B$11,PG!$Q$6:$Q$11,_xlfn.XLOOKUP(DK12,PH!$B$6:$B$11,PH!$Q$6:$Q$11,_xlfn.XLOOKUP(DK12,PI!$B$6:$B$11,PI!$Q$6:$Q$11,_xlfn.XLOOKUP(DK12,PJ!$B$6:$B$11,PJ!$Q$6:$Q$11,_xlfn.XLOOKUP(DK12,PK!$B$6:$B$11,PK!$Q$6:$Q$11,_xlfn.XLOOKUP(DK12,PL!$B$6:$B$11,PL!$Q$6:$Q$11,"",0,1),0,1),0,1),0,1),0,1),0,1),0,1),0,1),0,1),0,1),0,1),0,1)</f>
        <v>0</v>
      </c>
      <c r="DR12" s="244" t="str">
        <f>IFERROR(('Phase finale'!DL12+'Phase finale'!DP12)/('Phase finale'!DM12+'Phase finale'!DQ12),"")</f>
        <v/>
      </c>
      <c r="DW12" s="516">
        <v>6</v>
      </c>
      <c r="DX12" s="516"/>
    </row>
    <row r="13" spans="1:128" ht="14.1" customHeight="1" x14ac:dyDescent="0.25">
      <c r="A13" s="245" t="str">
        <f t="shared" si="14"/>
        <v/>
      </c>
      <c r="B13" s="56" t="s">
        <v>9879</v>
      </c>
      <c r="C13" s="390" t="str">
        <f>IF('GESTION DES JOUEURS'!$D$8="Open",11,IF(AND('GESTION DES JOUEURS'!$D$8="Tournoi",MAX('GESTION DES JOUEURS'!$A$11:$A$46)&gt;9),3,""))</f>
        <v/>
      </c>
      <c r="D13" s="79" t="str">
        <f>IF(A13="","",IF(N13="ab.",0,IF(P13="ab.",2,IF(AND('GESTION DES JOUEURS'!$D$8&lt;&gt;"Open",O13&gt;0,N13&gt;P13),2,IF(AND('GESTION DES JOUEURS'!$D$8&lt;&gt;"Open",O13&gt;0,N13&lt;P13),0,IF(AND('GESTION DES JOUEURS'!$D$8&lt;&gt;"Open",O13&gt;0,N13=P13),1,IF(AND('GESTION DES JOUEURS'!$D$8="Open",(N13/_xlfn.XLOOKUP(F13,$CP$7:$CP$42,$DI$7:$DI$42,"",0,1))&gt;(P13/_xlfn.XLOOKUP(V13,$CP$7:$CP$42,$DI$7:$DI$42,"",0,1))),2,IF(AND('GESTION DES JOUEURS'!$D$8="Open",(N13/_xlfn.XLOOKUP(F13,$CP$7:$CP$42,$DI$7:$DI$42,"",0,1))=(P13/_xlfn.XLOOKUP(V13,$CP$7:$CP$42,$DI$7:$DI$42,"",0,1))),1,IF(AND('GESTION DES JOUEURS'!$D$8="Open",(N13/_xlfn.XLOOKUP(F13,$CP$7:$CP$42,$DI$7:$DI$42,"",0,1))&lt;(P13/_xlfn.XLOOKUP(V13,$CP$7:$CP$42,$DI$7:$DI$42,"",0,1))),0,"")))))))))</f>
        <v/>
      </c>
      <c r="E13" s="113" t="str">
        <f>IFERROR(IF(AND(D13&gt;=0,Y13=FALSE),N13/O13,IF(AND(D13&gt;=0,Y13=TRUE),(N13/O13)*_xlfn.XLOOKUP('GESTION DES JOUEURS'!$X$8&amp;RIGHT('GESTION DES JOUEURS'!$Y$8,1),Tableau14[Colonne1],Tableau14[coef. 2,80/3,10],"",0,1),"")),"")</f>
        <v/>
      </c>
      <c r="F13" s="552" t="str">
        <f>IF(C13=3,BV8,IF(AND(C13=11,OR(D17&gt;X17,L17=TRUE)),F17,IF(AND(C13=11,OR(X17&gt;D17,R17=TRUE)),V17,"")))</f>
        <v/>
      </c>
      <c r="G13" s="729" t="str">
        <f>IFERROR(VLOOKUP(F13,'GESTION DES JOUEURS'!$B$11:$E$46,2,FALSE),"")</f>
        <v/>
      </c>
      <c r="H13" s="726"/>
      <c r="I13" s="726"/>
      <c r="J13" s="729" t="str">
        <f>IFERROR(VLOOKUP(F13,'GESTION DES JOUEURS'!$B$11:$E$46,3,FALSE),"")</f>
        <v/>
      </c>
      <c r="K13" s="727"/>
      <c r="L13" s="483" t="b">
        <v>0</v>
      </c>
      <c r="M13" s="412"/>
      <c r="N13" s="412"/>
      <c r="O13" s="114"/>
      <c r="P13" s="412"/>
      <c r="Q13" s="412"/>
      <c r="R13" s="401" t="b">
        <v>0</v>
      </c>
      <c r="S13" s="1078" t="str">
        <f>IFERROR(VLOOKUP(V13,'GESTION DES JOUEURS'!$B$11:$E$46,2,FALSE),"")</f>
        <v/>
      </c>
      <c r="T13" s="731"/>
      <c r="U13" s="83" t="str">
        <f>IFERROR(VLOOKUP(V13,'GESTION DES JOUEURS'!$B$11:$E$46,3,FALSE),"")</f>
        <v/>
      </c>
      <c r="V13" s="83" t="str">
        <f>IF(C13=3,BV13,IF(AND(C13=11,OR(D22&gt;X22,L22=TRUE)),F22,IF(AND(C13=11,OR(X22&gt;D22,R22=TRUE)),V22,"")))</f>
        <v/>
      </c>
      <c r="W13" s="115" t="str">
        <f>IFERROR(IF(AND(X13&gt;=0,Y13=FALSE),P13/O13,IF(AND(X13&gt;=0,Y13=TRUE),(P13/O13)*_xlfn.XLOOKUP('GESTION DES JOUEURS'!$X$8&amp;RIGHT('GESTION DES JOUEURS'!$Y$8,1),Tableau14[Colonne1],Tableau14[coef. 2,80/3,10],"",0,1),"")),"")</f>
        <v/>
      </c>
      <c r="X13" s="59" t="str">
        <f>IF(A13="","",IF(P13="ab.",0,IF(N13="ab.",2,IF(AND('GESTION DES JOUEURS'!$D$8&lt;&gt;"Open",O13&gt;0,P13&gt;N13),2,IF(AND('GESTION DES JOUEURS'!$D$8&lt;&gt;"Open",O13&gt;0,P13&lt;N13),0,IF(AND('GESTION DES JOUEURS'!$D$8&lt;&gt;"Open",O13&gt;0,P13=N13),1,IF(AND('GESTION DES JOUEURS'!$D$8="Open",(P13/_xlfn.XLOOKUP(V13,$CP$7:$CP$42,$DI$7:$DI$42,"",0,1))&gt;(N13/_xlfn.XLOOKUP(F13,$CP$7:$CP$42,$DI$7:$DI$42,"",0,1))),2,IF(AND('GESTION DES JOUEURS'!$D$8="Open",(P13/_xlfn.XLOOKUP(V13,$CP$7:$CP$42,$DI$7:$DI$42,"",0,1))=(N13/_xlfn.XLOOKUP(F13,$CP$7:$CP$42,$DI$7:$DI$42,"",0,1))),1,IF(AND('GESTION DES JOUEURS'!$D$8="Open",(P13/_xlfn.XLOOKUP(V13,$CP$7:$CP$42,$DI$7:$DI$42,"",0,1))&lt;(N13/_xlfn.XLOOKUP(F13,$CP$7:$CP$42,$DI$7:$DI$42,"",0,1))),0,"")))))))))</f>
        <v/>
      </c>
      <c r="Y13" s="546" t="b">
        <v>0</v>
      </c>
      <c r="AA13" s="899" t="s">
        <v>8114</v>
      </c>
      <c r="AC13" s="244" t="b" cm="1">
        <f t="array" ref="AC13">IF(AND(_xlfn.XLOOKUP(F13,Tableau19[Licence],'GESTION DES JOUEURS'!$O$11:$O$46,"",0,1)&lt;&gt;"N1",_xlfn.XLOOKUP(V13,Tableau19[Licence],'GESTION DES JOUEURS'!$O$11:$O$46,"",0,1)&lt;&gt;"N1",'GESTION DES JOUEURS'!$X$8="Cadre"),TRUE,FALSE)</f>
        <v>0</v>
      </c>
      <c r="AE13" s="371">
        <v>3</v>
      </c>
      <c r="AF13" s="371" t="str">
        <f>F14</f>
        <v/>
      </c>
      <c r="AG13" s="371" t="str">
        <f>D14</f>
        <v/>
      </c>
      <c r="AH13" s="371" t="b">
        <f>L14</f>
        <v>0</v>
      </c>
      <c r="AI13" s="371" t="e">
        <f t="shared" si="0"/>
        <v>#VALUE!</v>
      </c>
      <c r="AJ13" s="244" t="e">
        <f t="shared" si="1"/>
        <v>#VALUE!</v>
      </c>
      <c r="AK13" s="244">
        <f t="shared" si="15"/>
        <v>0</v>
      </c>
      <c r="AL13" s="573" t="str">
        <f t="shared" si="16"/>
        <v/>
      </c>
      <c r="AM13" s="244" t="e">
        <f t="shared" si="17"/>
        <v>#VALUE!</v>
      </c>
      <c r="AN13" s="244">
        <v>9</v>
      </c>
      <c r="AO13" s="244" t="str">
        <f t="shared" si="2"/>
        <v>156543F</v>
      </c>
      <c r="AP13" s="244" t="str">
        <f t="shared" si="3"/>
        <v/>
      </c>
      <c r="AQ13" s="244" t="str">
        <f t="shared" si="4"/>
        <v/>
      </c>
      <c r="AR13" s="244" t="str">
        <f t="shared" si="5"/>
        <v/>
      </c>
      <c r="AS13" s="578" t="str">
        <f t="shared" si="6"/>
        <v/>
      </c>
      <c r="AT13" s="578" t="str">
        <f t="shared" si="7"/>
        <v/>
      </c>
      <c r="AU13" s="244">
        <f t="shared" si="8"/>
        <v>0</v>
      </c>
      <c r="AV13" s="575">
        <f t="shared" si="9"/>
        <v>0</v>
      </c>
      <c r="AW13" s="575">
        <f t="shared" si="10"/>
        <v>0</v>
      </c>
      <c r="AX13" s="577">
        <f t="shared" si="11"/>
        <v>0</v>
      </c>
      <c r="BA13" s="244">
        <v>7</v>
      </c>
      <c r="BB13" s="443" t="str">
        <f>IF('GESTION DES JOUEURS'!B17="","",'GESTION DES JOUEURS'!B17)</f>
        <v>111337F</v>
      </c>
      <c r="BC13" s="443" t="str" cm="1">
        <f t="array" ref="BC13:BS13">_xlfn.XLOOKUP('Phase finale'!BB13,PA!$B$37:$B$42,PA!$C$37:$S$42,_xlfn.XLOOKUP('Phase finale'!BB13,PB!$B$37:$B$42,PB!$C$37:$S$42,_xlfn.XLOOKUP('Phase finale'!BB13,PC!$B$37:$B$42,PC!$C$37:$S$42,_xlfn.XLOOKUP('Phase finale'!BB13,PD!$B$37:$B$42,PD!$C$37:$S$42,_xlfn.XLOOKUP('Phase finale'!BB13,PE!$B$37:$B$42,PE!$C$37:$S$42,_xlfn.XLOOKUP('Phase finale'!BB13,PF!$B$37:$B$42,PF!$C$37:$S$42,_xlfn.XLOOKUP('Phase finale'!BB13,PG!$B$37:$B$42,PG!$C$37:$S$42,_xlfn.XLOOKUP('Phase finale'!BB13,PH!$B$37:$B$42,PH!$C$37:$S$42,_xlfn.XLOOKUP('Phase finale'!BB13,PI!$B$37:$B$42,PI!$C$37:$S$42,_xlfn.XLOOKUP('Phase finale'!BB13,PJ!$B$37:$B$42,PJ!$C$37:$S$42,_xlfn.XLOOKUP('Phase finale'!BB13,PK!$B$37:$B$42,PK!$C$37:$S$42,_xlfn.XLOOKUP('Phase finale'!BB13,PL!$B$37:$B$42,PL!$C$37:$S$42,"",0,1),0,1),0,1),0,1),0,1),0,1),0,1),0,1),0,1),0,1),0,1),0,1)</f>
        <v>GONTHIER</v>
      </c>
      <c r="BD13" s="443">
        <v>0</v>
      </c>
      <c r="BE13" s="443" t="str">
        <v>ARNAUD</v>
      </c>
      <c r="BF13" s="443">
        <v>0</v>
      </c>
      <c r="BG13" s="443" t="str">
        <v>ASS. BILLARD AMATEUR DE SAINT MAUR</v>
      </c>
      <c r="BH13" s="443">
        <v>0</v>
      </c>
      <c r="BI13" s="443">
        <v>0</v>
      </c>
      <c r="BJ13" s="443">
        <v>0</v>
      </c>
      <c r="BK13" s="443">
        <v>0</v>
      </c>
      <c r="BL13" s="443">
        <v>0</v>
      </c>
      <c r="BM13" s="443">
        <v>4</v>
      </c>
      <c r="BN13" s="443">
        <v>3.0303030303030303</v>
      </c>
      <c r="BO13" s="443">
        <v>3.5714285714285716</v>
      </c>
      <c r="BP13" s="443">
        <v>19</v>
      </c>
      <c r="BQ13" s="443">
        <v>1</v>
      </c>
      <c r="BR13" s="443">
        <v>8</v>
      </c>
      <c r="BS13" s="443">
        <v>2</v>
      </c>
      <c r="BU13" s="244">
        <v>7</v>
      </c>
      <c r="BV13" s="244" t="str">
        <v/>
      </c>
      <c r="BW13" s="244" t="str">
        <v/>
      </c>
      <c r="BX13" s="244">
        <v>0</v>
      </c>
      <c r="BY13" s="244" t="str">
        <v/>
      </c>
      <c r="BZ13" s="244">
        <v>0</v>
      </c>
      <c r="CA13" s="244" t="str">
        <v/>
      </c>
      <c r="CB13" s="244">
        <v>0</v>
      </c>
      <c r="CC13" s="244">
        <v>0</v>
      </c>
      <c r="CD13" s="244">
        <v>0</v>
      </c>
      <c r="CE13" s="244">
        <v>0</v>
      </c>
      <c r="CF13" s="244">
        <v>0</v>
      </c>
      <c r="CG13" s="244" t="str">
        <v/>
      </c>
      <c r="CH13" s="244" t="str">
        <v/>
      </c>
      <c r="CI13" s="244" t="str">
        <v/>
      </c>
      <c r="CJ13" s="244" t="str">
        <v/>
      </c>
      <c r="CK13" s="244" t="str">
        <v/>
      </c>
      <c r="CL13" s="244" t="str">
        <v/>
      </c>
      <c r="CM13" s="244" t="str">
        <v/>
      </c>
      <c r="CO13" s="244">
        <f t="shared" si="12"/>
        <v>7</v>
      </c>
      <c r="CP13" s="244" t="str">
        <v>154522J</v>
      </c>
      <c r="CQ13" s="244" t="str">
        <v>PIVONET</v>
      </c>
      <c r="CR13" s="244">
        <v>0</v>
      </c>
      <c r="CS13" s="244" t="str">
        <v>FRANCIS</v>
      </c>
      <c r="CT13" s="244">
        <v>0</v>
      </c>
      <c r="CU13" s="244" t="str">
        <v>ASS. BILLARD AMATEUR DE SAINT MAUR</v>
      </c>
      <c r="CV13" s="244">
        <v>0</v>
      </c>
      <c r="CW13" s="244">
        <v>0</v>
      </c>
      <c r="CX13" s="244">
        <v>0</v>
      </c>
      <c r="CY13" s="244">
        <v>0</v>
      </c>
      <c r="CZ13" s="244">
        <v>0</v>
      </c>
      <c r="DA13" s="244">
        <v>2</v>
      </c>
      <c r="DB13" s="244">
        <v>2.2205882352941178</v>
      </c>
      <c r="DC13" s="244">
        <v>2.375</v>
      </c>
      <c r="DD13" s="244">
        <v>23</v>
      </c>
      <c r="DE13" s="244">
        <v>2</v>
      </c>
      <c r="DF13" s="244">
        <v>5</v>
      </c>
      <c r="DG13" s="244">
        <v>2</v>
      </c>
      <c r="DH13" s="244" t="str" cm="1">
        <f t="array" ref="DH13">_xlfn.XLOOKUP(CP13,Tableau19[Licence],'GESTION DES JOUEURS'!$O$11:$O$46,"",0,1)</f>
        <v>R2</v>
      </c>
      <c r="DI13" s="471">
        <f>IF('GESTION DES JOUEURS'!$X$8="Libre",_xlfn.XLOOKUP(DH13,Tableau13[Cat.],Tableau13[Libre],"",0,1),IF('GESTION DES JOUEURS'!$X$8="Bande",_xlfn.XLOOKUP(DH13,Tableau13[Cat.],Tableau13[bande],"",0,1),IF('GESTION DES JOUEURS'!$X$8="Cadre",_xlfn.XLOOKUP(DH13,Tableau13[Cat.],Tableau13[Cadre],"",0,1),IF('GESTION DES JOUEURS'!$X$8="3 Bandes",_xlfn.XLOOKUP(DH13,Tableau13[Cat.],Tableau13[3 Bandes],"",0,1),""))))</f>
        <v>60</v>
      </c>
      <c r="DK13" s="443" t="str">
        <v/>
      </c>
      <c r="DL13" s="443">
        <f>SUM(SUMIFS($N$9:$N$34,$F$9:$F$34,DK13,$A$9:$A$34,"P"),SUMIFS($P$9:$P$34,$V$9:$V$34,DK13,$A$9:$A$34,"P"),SUMIFS(Consolante!$P$9:$P$34,Consolante!$V$9:$V$34,DK13,Consolante!$A$9:$A$34,"P"),SUMIFS(Consolante!$N$9:$N$34,Consolante!$F$9:$F$34,DK13,Consolante!$A$9:$A$34,"P"))</f>
        <v>0</v>
      </c>
      <c r="DM13" s="443">
        <f>SUM(SUMIFS($O$9:$O$34,$F$9:$F$34,DK13,$A$9:$A$34,"P",$Y$9:$Y$34,FALSE),SUMIFS($O$9:$O$34,$F$9:$F$34,DK13,$A$9:$A$34,"P",$Y$9:$Y$34,TRUE)/_xlfn.XLOOKUP('GESTION DES JOUEURS'!$X$8&amp;RIGHT('GESTION DES JOUEURS'!$Y$8,1),Tableau14[Colonne1],Tableau14[coef. 2,80/3,10],"",0,1),SUMIFS($O$9:$O$34,$V$9:$V$34,DK13,$A$9:$A$34,"P",$Y$9:$Y$34,FALSE),SUMIFS($O$9:$O$34,$V$9:$V$34,DK13,$A$9:$A$34,"P",$Y$9:$Y$34,TRUE)/_xlfn.XLOOKUP('GESTION DES JOUEURS'!$X$8&amp;RIGHT('GESTION DES JOUEURS'!$Y$8,1),Tableau14[Colonne1],Tableau14[coef. 2,80/3,10],"",0,1),_xlfn.XLOOKUP(DK13,Consolante!$CP$7:$CP$22,Consolante!$CR$7:$CR$22,0,0,1))</f>
        <v>0</v>
      </c>
      <c r="DN13" s="447" t="str">
        <f t="shared" si="13"/>
        <v/>
      </c>
      <c r="DO13" s="443"/>
      <c r="DP13" s="443">
        <f>_xlfn.XLOOKUP(DK13,PA!$B$6:$B$11,PA!$P$6:$P$11,_xlfn.XLOOKUP(DK13,PB!$B$6:$B$11,PB!$P$6:$P$11,_xlfn.XLOOKUP(DK13,PC!$B$6:$B$11,PC!$P$6:$P$11,_xlfn.XLOOKUP(DK13,PD!$B$6:$B$11,PD!$P$6:$P$11,_xlfn.XLOOKUP(DK13,PE!$B$6:$B$11,PE!$P$6:$P$11,_xlfn.XLOOKUP(DK13,PF!$B$6:$B$11,PF!$P$6:$P$11,_xlfn.XLOOKUP(DK13,PG!$B$6:$B$11,PG!$P$6:$P$11,_xlfn.XLOOKUP(DK13,PH!$B$6:$B$11,PH!$P$6:$P$11,_xlfn.XLOOKUP(DK13,PI!$B$6:$B$11,PI!$P$6:$P$11,_xlfn.XLOOKUP(DK13,PJ!$B$6:$B$11,PJ!$P$6:$P$11,_xlfn.XLOOKUP(DK13,PK!$B$6:$B$11,PK!$P$6:$P$11,_xlfn.XLOOKUP(DK13,PL!$B$6:$B$11,PL!$P$6:$P$11,"",0,1),0,1),0,1),0,1),0,1),0,1),0,1),0,1),0,1),0,1),0,1),0,1)</f>
        <v>0</v>
      </c>
      <c r="DQ13" s="443">
        <f>_xlfn.XLOOKUP(DK13,PA!$B$6:$B$11,PA!$Q$6:$Q$11,_xlfn.XLOOKUP(DK13,PB!$B$6:$B$11,PB!$Q$6:$Q$11,_xlfn.XLOOKUP(DK13,PC!$B$6:$B$11,PC!$Q$6:$Q$11,_xlfn.XLOOKUP(DK13,PD!$B$6:$B$11,PD!$Q$6:$Q$11,_xlfn.XLOOKUP(DK13,PE!$B$6:$B$11,PE!$Q$6:$Q$11,_xlfn.XLOOKUP(DK13,PF!$B$6:$B$11,PF!$Q$6:$Q$11,_xlfn.XLOOKUP(DK13,PG!$B$6:$B$11,PG!$Q$6:$Q$11,_xlfn.XLOOKUP(DK13,PH!$B$6:$B$11,PH!$Q$6:$Q$11,_xlfn.XLOOKUP(DK13,PI!$B$6:$B$11,PI!$Q$6:$Q$11,_xlfn.XLOOKUP(DK13,PJ!$B$6:$B$11,PJ!$Q$6:$Q$11,_xlfn.XLOOKUP(DK13,PK!$B$6:$B$11,PK!$Q$6:$Q$11,_xlfn.XLOOKUP(DK13,PL!$B$6:$B$11,PL!$Q$6:$Q$11,"",0,1),0,1),0,1),0,1),0,1),0,1),0,1),0,1),0,1),0,1),0,1),0,1)</f>
        <v>0</v>
      </c>
      <c r="DR13" s="244" t="str">
        <f>IFERROR(('Phase finale'!DL13+'Phase finale'!DP13)/('Phase finale'!DM13+'Phase finale'!DQ13),"")</f>
        <v/>
      </c>
      <c r="DW13" s="516">
        <v>7</v>
      </c>
      <c r="DX13" s="516"/>
    </row>
    <row r="14" spans="1:128" ht="14.1" customHeight="1" x14ac:dyDescent="0.25">
      <c r="A14" s="245" t="str">
        <f t="shared" si="14"/>
        <v/>
      </c>
      <c r="B14" s="56" t="s">
        <v>9880</v>
      </c>
      <c r="C14" s="390" t="str">
        <f>IF('GESTION DES JOUEURS'!$D$8="Open",10,IF(AND('GESTION DES JOUEURS'!$D$8="Tournoi",MAX('GESTION DES JOUEURS'!$A$11:$A$46)&gt;9),2,""))</f>
        <v/>
      </c>
      <c r="D14" s="79" t="str">
        <f>IF(A14="","",IF(N14="ab.",0,IF(P14="ab.",2,IF(AND('GESTION DES JOUEURS'!$D$8&lt;&gt;"Open",O14&gt;0,N14&gt;P14),2,IF(AND('GESTION DES JOUEURS'!$D$8&lt;&gt;"Open",O14&gt;0,N14&lt;P14),0,IF(AND('GESTION DES JOUEURS'!$D$8&lt;&gt;"Open",O14&gt;0,N14=P14),1,IF(AND('GESTION DES JOUEURS'!$D$8="Open",(N14/_xlfn.XLOOKUP(F14,$CP$7:$CP$42,$DI$7:$DI$42,"",0,1))&gt;(P14/_xlfn.XLOOKUP(V14,$CP$7:$CP$42,$DI$7:$DI$42,"",0,1))),2,IF(AND('GESTION DES JOUEURS'!$D$8="Open",(N14/_xlfn.XLOOKUP(F14,$CP$7:$CP$42,$DI$7:$DI$42,"",0,1))=(P14/_xlfn.XLOOKUP(V14,$CP$7:$CP$42,$DI$7:$DI$42,"",0,1))),1,IF(AND('GESTION DES JOUEURS'!$D$8="Open",(N14/_xlfn.XLOOKUP(F14,$CP$7:$CP$42,$DI$7:$DI$42,"",0,1))&lt;(P14/_xlfn.XLOOKUP(V14,$CP$7:$CP$42,$DI$7:$DI$42,"",0,1))),0,"")))))))))</f>
        <v/>
      </c>
      <c r="E14" s="113" t="str">
        <f>IFERROR(IF(AND(D14&gt;=0,Y14=FALSE),N14/O14,IF(AND(D14&gt;=0,Y14=TRUE),(N14/O14)*_xlfn.XLOOKUP('GESTION DES JOUEURS'!$X$8&amp;RIGHT('GESTION DES JOUEURS'!$Y$8,1),Tableau14[Colonne1],Tableau14[coef. 2,80/3,10],"",0,1),"")),"")</f>
        <v/>
      </c>
      <c r="F14" s="552" t="str">
        <f>IF(C14=2,BV9,IF(AND(C14=10,OR(D18&gt;X18,L18=TRUE)),F18,IF(AND(C14=10,OR(X18&gt;D18,R18=TRUE)),V18,"")))</f>
        <v/>
      </c>
      <c r="G14" s="729" t="str">
        <f>IFERROR(VLOOKUP(F14,'GESTION DES JOUEURS'!$B$11:$E$46,2,FALSE),"")</f>
        <v/>
      </c>
      <c r="H14" s="726"/>
      <c r="I14" s="726"/>
      <c r="J14" s="729" t="str">
        <f>IFERROR(VLOOKUP(F14,'GESTION DES JOUEURS'!$B$11:$E$46,3,FALSE),"")</f>
        <v/>
      </c>
      <c r="K14" s="727"/>
      <c r="L14" s="483" t="b">
        <v>0</v>
      </c>
      <c r="M14" s="412"/>
      <c r="N14" s="412"/>
      <c r="O14" s="114"/>
      <c r="P14" s="412"/>
      <c r="Q14" s="412"/>
      <c r="R14" s="401" t="b">
        <v>0</v>
      </c>
      <c r="S14" s="1078" t="str">
        <f>IFERROR(VLOOKUP(V14,'GESTION DES JOUEURS'!$B$11:$E$46,2,FALSE),"")</f>
        <v/>
      </c>
      <c r="T14" s="731"/>
      <c r="U14" s="83" t="str">
        <f>IFERROR(VLOOKUP(V14,'GESTION DES JOUEURS'!$B$11:$E$46,3,FALSE),"")</f>
        <v/>
      </c>
      <c r="V14" s="83" t="str">
        <f>IF(C14=2,BV12,IF(AND(C14=10,OR(D21&gt;X21,L21=TRUE)),F21,IF(AND(C14=10,OR(X21&gt;D21,R21=TRUE)),V21,"")))</f>
        <v/>
      </c>
      <c r="W14" s="115" t="str">
        <f>IFERROR(IF(AND(X14&gt;=0,Y14=FALSE),P14/O14,IF(AND(X14&gt;=0,Y14=TRUE),(P14/O14)*_xlfn.XLOOKUP('GESTION DES JOUEURS'!$X$8&amp;RIGHT('GESTION DES JOUEURS'!$Y$8,1),Tableau14[Colonne1],Tableau14[coef. 2,80/3,10],"",0,1),"")),"")</f>
        <v/>
      </c>
      <c r="X14" s="59" t="str">
        <f>IF(A14="","",IF(P14="ab.",0,IF(N14="ab.",2,IF(AND('GESTION DES JOUEURS'!$D$8&lt;&gt;"Open",O14&gt;0,P14&gt;N14),2,IF(AND('GESTION DES JOUEURS'!$D$8&lt;&gt;"Open",O14&gt;0,P14&lt;N14),0,IF(AND('GESTION DES JOUEURS'!$D$8&lt;&gt;"Open",O14&gt;0,P14=N14),1,IF(AND('GESTION DES JOUEURS'!$D$8="Open",(P14/_xlfn.XLOOKUP(V14,$CP$7:$CP$42,$DI$7:$DI$42,"",0,1))&gt;(N14/_xlfn.XLOOKUP(F14,$CP$7:$CP$42,$DI$7:$DI$42,"",0,1))),2,IF(AND('GESTION DES JOUEURS'!$D$8="Open",(P14/_xlfn.XLOOKUP(V14,$CP$7:$CP$42,$DI$7:$DI$42,"",0,1))=(N14/_xlfn.XLOOKUP(F14,$CP$7:$CP$42,$DI$7:$DI$42,"",0,1))),1,IF(AND('GESTION DES JOUEURS'!$D$8="Open",(P14/_xlfn.XLOOKUP(V14,$CP$7:$CP$42,$DI$7:$DI$42,"",0,1))&lt;(N14/_xlfn.XLOOKUP(F14,$CP$7:$CP$42,$DI$7:$DI$42,"",0,1))),0,"")))))))))</f>
        <v/>
      </c>
      <c r="Y14" s="546" t="b">
        <v>0</v>
      </c>
      <c r="AA14" s="899"/>
      <c r="AC14" s="244" t="b" cm="1">
        <f t="array" ref="AC14">IF(AND(_xlfn.XLOOKUP(F14,Tableau19[Licence],'GESTION DES JOUEURS'!$O$11:$O$46,"",0,1)&lt;&gt;"N1",_xlfn.XLOOKUP(V14,Tableau19[Licence],'GESTION DES JOUEURS'!$O$11:$O$46,"",0,1)&lt;&gt;"N1",'GESTION DES JOUEURS'!$X$8="Cadre"),TRUE,FALSE)</f>
        <v>0</v>
      </c>
      <c r="AE14" s="371">
        <v>3</v>
      </c>
      <c r="AF14" s="371" t="str">
        <f>F15</f>
        <v/>
      </c>
      <c r="AG14" s="371" t="str">
        <f>D15</f>
        <v/>
      </c>
      <c r="AH14" s="371" t="b">
        <f>L15</f>
        <v>0</v>
      </c>
      <c r="AI14" s="371" t="e">
        <f t="shared" si="0"/>
        <v>#VALUE!</v>
      </c>
      <c r="AJ14" s="244" t="e">
        <f t="shared" si="1"/>
        <v>#VALUE!</v>
      </c>
      <c r="AK14" s="244">
        <f t="shared" si="15"/>
        <v>0</v>
      </c>
      <c r="AL14" s="573" t="str">
        <f t="shared" si="16"/>
        <v/>
      </c>
      <c r="AM14" s="244" t="e">
        <f t="shared" si="17"/>
        <v>#VALUE!</v>
      </c>
      <c r="AN14" s="572">
        <v>10</v>
      </c>
      <c r="AO14" s="244" t="str">
        <f t="shared" si="2"/>
        <v>013922M</v>
      </c>
      <c r="AP14" s="244" t="str">
        <f t="shared" si="3"/>
        <v/>
      </c>
      <c r="AQ14" s="244" t="str">
        <f t="shared" si="4"/>
        <v/>
      </c>
      <c r="AR14" s="244" t="str">
        <f t="shared" si="5"/>
        <v/>
      </c>
      <c r="AS14" s="578" t="str">
        <f t="shared" si="6"/>
        <v/>
      </c>
      <c r="AT14" s="578" t="str">
        <f t="shared" si="7"/>
        <v/>
      </c>
      <c r="AU14" s="244">
        <f t="shared" si="8"/>
        <v>0</v>
      </c>
      <c r="AV14" s="575">
        <f t="shared" si="9"/>
        <v>0</v>
      </c>
      <c r="AW14" s="575">
        <f t="shared" si="10"/>
        <v>0</v>
      </c>
      <c r="AX14" s="577">
        <f t="shared" si="11"/>
        <v>0</v>
      </c>
      <c r="BA14" s="244">
        <v>8</v>
      </c>
      <c r="BB14" s="443" t="str">
        <f>IF('GESTION DES JOUEURS'!B18="","",'GESTION DES JOUEURS'!B18)</f>
        <v>013922M</v>
      </c>
      <c r="BC14" s="443" t="str" cm="1">
        <f t="array" ref="BC14:BS14">_xlfn.XLOOKUP('Phase finale'!BB14,PA!$B$37:$B$42,PA!$C$37:$S$42,_xlfn.XLOOKUP('Phase finale'!BB14,PB!$B$37:$B$42,PB!$C$37:$S$42,_xlfn.XLOOKUP('Phase finale'!BB14,PC!$B$37:$B$42,PC!$C$37:$S$42,_xlfn.XLOOKUP('Phase finale'!BB14,PD!$B$37:$B$42,PD!$C$37:$S$42,_xlfn.XLOOKUP('Phase finale'!BB14,PE!$B$37:$B$42,PE!$C$37:$S$42,_xlfn.XLOOKUP('Phase finale'!BB14,PF!$B$37:$B$42,PF!$C$37:$S$42,_xlfn.XLOOKUP('Phase finale'!BB14,PG!$B$37:$B$42,PG!$C$37:$S$42,_xlfn.XLOOKUP('Phase finale'!BB14,PH!$B$37:$B$42,PH!$C$37:$S$42,_xlfn.XLOOKUP('Phase finale'!BB14,PI!$B$37:$B$42,PI!$C$37:$S$42,_xlfn.XLOOKUP('Phase finale'!BB14,PJ!$B$37:$B$42,PJ!$C$37:$S$42,_xlfn.XLOOKUP('Phase finale'!BB14,PK!$B$37:$B$42,PK!$C$37:$S$42,_xlfn.XLOOKUP('Phase finale'!BB14,PL!$B$37:$B$42,PL!$C$37:$S$42,"",0,1),0,1),0,1),0,1),0,1),0,1),0,1),0,1),0,1),0,1),0,1),0,1)</f>
        <v>PEYROLE</v>
      </c>
      <c r="BD14" s="443">
        <v>0</v>
      </c>
      <c r="BE14" s="443" t="str">
        <v>PHILIPPE</v>
      </c>
      <c r="BF14" s="443">
        <v>0</v>
      </c>
      <c r="BG14" s="443" t="str">
        <v>BILLARD CLUB DE LIVRY GARGAN</v>
      </c>
      <c r="BH14" s="443">
        <v>0</v>
      </c>
      <c r="BI14" s="443">
        <v>0</v>
      </c>
      <c r="BJ14" s="443">
        <v>0</v>
      </c>
      <c r="BK14" s="443">
        <v>0</v>
      </c>
      <c r="BL14" s="443">
        <v>0</v>
      </c>
      <c r="BM14" s="443">
        <v>0</v>
      </c>
      <c r="BN14" s="443">
        <v>2.0256410256410255</v>
      </c>
      <c r="BO14" s="443" t="str">
        <v>/</v>
      </c>
      <c r="BP14" s="443">
        <v>14</v>
      </c>
      <c r="BQ14" s="443">
        <v>3</v>
      </c>
      <c r="BR14" s="443">
        <v>3</v>
      </c>
      <c r="BS14" s="443">
        <v>2</v>
      </c>
      <c r="BU14" s="244">
        <v>8</v>
      </c>
      <c r="BV14" s="244" t="str">
        <v/>
      </c>
      <c r="BW14" s="244" t="str">
        <v/>
      </c>
      <c r="BX14" s="244">
        <v>0</v>
      </c>
      <c r="BY14" s="244" t="str">
        <v/>
      </c>
      <c r="BZ14" s="244">
        <v>0</v>
      </c>
      <c r="CA14" s="244" t="str">
        <v/>
      </c>
      <c r="CB14" s="244">
        <v>0</v>
      </c>
      <c r="CC14" s="244">
        <v>0</v>
      </c>
      <c r="CD14" s="244">
        <v>0</v>
      </c>
      <c r="CE14" s="244">
        <v>0</v>
      </c>
      <c r="CF14" s="244">
        <v>0</v>
      </c>
      <c r="CG14" s="244" t="str">
        <v/>
      </c>
      <c r="CH14" s="244" t="str">
        <v/>
      </c>
      <c r="CI14" s="244" t="str">
        <v/>
      </c>
      <c r="CJ14" s="244" t="str">
        <v/>
      </c>
      <c r="CK14" s="244" t="str">
        <v/>
      </c>
      <c r="CL14" s="244" t="str">
        <v/>
      </c>
      <c r="CM14" s="244" t="str">
        <v/>
      </c>
      <c r="CO14" s="244">
        <f t="shared" si="12"/>
        <v>8</v>
      </c>
      <c r="CP14" s="244" t="str">
        <v>013428M</v>
      </c>
      <c r="CQ14" s="244" t="str">
        <v>KEREBEL</v>
      </c>
      <c r="CR14" s="244">
        <v>0</v>
      </c>
      <c r="CS14" s="244" t="str">
        <v>ERIC</v>
      </c>
      <c r="CT14" s="244">
        <v>0</v>
      </c>
      <c r="CU14" s="244" t="str">
        <v>ASS. BILLARD AMATEUR DE SAINT MAUR</v>
      </c>
      <c r="CV14" s="244">
        <v>0</v>
      </c>
      <c r="CW14" s="244">
        <v>0</v>
      </c>
      <c r="CX14" s="244">
        <v>0</v>
      </c>
      <c r="CY14" s="244">
        <v>0</v>
      </c>
      <c r="CZ14" s="244">
        <v>0</v>
      </c>
      <c r="DA14" s="244">
        <v>0</v>
      </c>
      <c r="DB14" s="244">
        <v>2.75</v>
      </c>
      <c r="DC14" s="244" t="str">
        <v>/</v>
      </c>
      <c r="DD14" s="244">
        <v>20</v>
      </c>
      <c r="DE14" s="244">
        <v>2</v>
      </c>
      <c r="DF14" s="244">
        <v>5</v>
      </c>
      <c r="DG14" s="244">
        <v>2</v>
      </c>
      <c r="DH14" s="244" t="str" cm="1">
        <f t="array" ref="DH14">_xlfn.XLOOKUP(CP14,Tableau19[Licence],'GESTION DES JOUEURS'!$O$11:$O$46,"",0,1)</f>
        <v>R2</v>
      </c>
      <c r="DI14" s="471">
        <f>IF('GESTION DES JOUEURS'!$X$8="Libre",_xlfn.XLOOKUP(DH14,Tableau13[Cat.],Tableau13[Libre],"",0,1),IF('GESTION DES JOUEURS'!$X$8="Bande",_xlfn.XLOOKUP(DH14,Tableau13[Cat.],Tableau13[bande],"",0,1),IF('GESTION DES JOUEURS'!$X$8="Cadre",_xlfn.XLOOKUP(DH14,Tableau13[Cat.],Tableau13[Cadre],"",0,1),IF('GESTION DES JOUEURS'!$X$8="3 Bandes",_xlfn.XLOOKUP(DH14,Tableau13[Cat.],Tableau13[3 Bandes],"",0,1),""))))</f>
        <v>60</v>
      </c>
      <c r="DK14" s="443" t="str">
        <v/>
      </c>
      <c r="DL14" s="443">
        <f>SUM(SUMIFS($N$9:$N$34,$F$9:$F$34,DK14,$A$9:$A$34,"P"),SUMIFS($P$9:$P$34,$V$9:$V$34,DK14,$A$9:$A$34,"P"),SUMIFS(Consolante!$P$9:$P$34,Consolante!$V$9:$V$34,DK14,Consolante!$A$9:$A$34,"P"),SUMIFS(Consolante!$N$9:$N$34,Consolante!$F$9:$F$34,DK14,Consolante!$A$9:$A$34,"P"))</f>
        <v>0</v>
      </c>
      <c r="DM14" s="443">
        <f>SUM(SUMIFS($O$9:$O$34,$F$9:$F$34,DK14,$A$9:$A$34,"P",$Y$9:$Y$34,FALSE),SUMIFS($O$9:$O$34,$F$9:$F$34,DK14,$A$9:$A$34,"P",$Y$9:$Y$34,TRUE)/_xlfn.XLOOKUP('GESTION DES JOUEURS'!$X$8&amp;RIGHT('GESTION DES JOUEURS'!$Y$8,1),Tableau14[Colonne1],Tableau14[coef. 2,80/3,10],"",0,1),SUMIFS($O$9:$O$34,$V$9:$V$34,DK14,$A$9:$A$34,"P",$Y$9:$Y$34,FALSE),SUMIFS($O$9:$O$34,$V$9:$V$34,DK14,$A$9:$A$34,"P",$Y$9:$Y$34,TRUE)/_xlfn.XLOOKUP('GESTION DES JOUEURS'!$X$8&amp;RIGHT('GESTION DES JOUEURS'!$Y$8,1),Tableau14[Colonne1],Tableau14[coef. 2,80/3,10],"",0,1),_xlfn.XLOOKUP(DK14,Consolante!$CP$7:$CP$22,Consolante!$CR$7:$CR$22,0,0,1))</f>
        <v>0</v>
      </c>
      <c r="DN14" s="447" t="str">
        <f t="shared" si="13"/>
        <v/>
      </c>
      <c r="DO14" s="443"/>
      <c r="DP14" s="443">
        <f>_xlfn.XLOOKUP(DK14,PA!$B$6:$B$11,PA!$P$6:$P$11,_xlfn.XLOOKUP(DK14,PB!$B$6:$B$11,PB!$P$6:$P$11,_xlfn.XLOOKUP(DK14,PC!$B$6:$B$11,PC!$P$6:$P$11,_xlfn.XLOOKUP(DK14,PD!$B$6:$B$11,PD!$P$6:$P$11,_xlfn.XLOOKUP(DK14,PE!$B$6:$B$11,PE!$P$6:$P$11,_xlfn.XLOOKUP(DK14,PF!$B$6:$B$11,PF!$P$6:$P$11,_xlfn.XLOOKUP(DK14,PG!$B$6:$B$11,PG!$P$6:$P$11,_xlfn.XLOOKUP(DK14,PH!$B$6:$B$11,PH!$P$6:$P$11,_xlfn.XLOOKUP(DK14,PI!$B$6:$B$11,PI!$P$6:$P$11,_xlfn.XLOOKUP(DK14,PJ!$B$6:$B$11,PJ!$P$6:$P$11,_xlfn.XLOOKUP(DK14,PK!$B$6:$B$11,PK!$P$6:$P$11,_xlfn.XLOOKUP(DK14,PL!$B$6:$B$11,PL!$P$6:$P$11,"",0,1),0,1),0,1),0,1),0,1),0,1),0,1),0,1),0,1),0,1),0,1),0,1)</f>
        <v>0</v>
      </c>
      <c r="DQ14" s="443">
        <f>_xlfn.XLOOKUP(DK14,PA!$B$6:$B$11,PA!$Q$6:$Q$11,_xlfn.XLOOKUP(DK14,PB!$B$6:$B$11,PB!$Q$6:$Q$11,_xlfn.XLOOKUP(DK14,PC!$B$6:$B$11,PC!$Q$6:$Q$11,_xlfn.XLOOKUP(DK14,PD!$B$6:$B$11,PD!$Q$6:$Q$11,_xlfn.XLOOKUP(DK14,PE!$B$6:$B$11,PE!$Q$6:$Q$11,_xlfn.XLOOKUP(DK14,PF!$B$6:$B$11,PF!$Q$6:$Q$11,_xlfn.XLOOKUP(DK14,PG!$B$6:$B$11,PG!$Q$6:$Q$11,_xlfn.XLOOKUP(DK14,PH!$B$6:$B$11,PH!$Q$6:$Q$11,_xlfn.XLOOKUP(DK14,PI!$B$6:$B$11,PI!$Q$6:$Q$11,_xlfn.XLOOKUP(DK14,PJ!$B$6:$B$11,PJ!$Q$6:$Q$11,_xlfn.XLOOKUP(DK14,PK!$B$6:$B$11,PK!$Q$6:$Q$11,_xlfn.XLOOKUP(DK14,PL!$B$6:$B$11,PL!$Q$6:$Q$11,"",0,1),0,1),0,1),0,1),0,1),0,1),0,1),0,1),0,1),0,1),0,1),0,1)</f>
        <v>0</v>
      </c>
      <c r="DR14" s="244" t="str">
        <f>IFERROR(('Phase finale'!DL14+'Phase finale'!DP14)/('Phase finale'!DM14+'Phase finale'!DQ14),"")</f>
        <v/>
      </c>
      <c r="DW14" s="616">
        <v>8</v>
      </c>
      <c r="DX14" s="516"/>
    </row>
    <row r="15" spans="1:128" ht="14.1" customHeight="1" thickBot="1" x14ac:dyDescent="0.3">
      <c r="A15" s="245" t="str">
        <f>IF(O15&lt;&gt;"","P","")</f>
        <v/>
      </c>
      <c r="B15" s="375" t="s">
        <v>9881</v>
      </c>
      <c r="C15" s="391" t="str">
        <f>IF('GESTION DES JOUEURS'!$D$8="Open",9,IF(AND('GESTION DES JOUEURS'!$D$8="Tournoi",MAX('GESTION DES JOUEURS'!$A$11:$A$46)&gt;9),1,""))</f>
        <v/>
      </c>
      <c r="D15" s="89" t="str">
        <f>IF(A15="","",IF(N15="ab.",0,IF(P15="ab.",2,IF(AND('GESTION DES JOUEURS'!$D$8&lt;&gt;"Open",O15&gt;0,N15&gt;P15),2,IF(AND('GESTION DES JOUEURS'!$D$8&lt;&gt;"Open",O15&gt;0,N15&lt;P15),0,IF(AND('GESTION DES JOUEURS'!$D$8&lt;&gt;"Open",O15&gt;0,N15=P15),1,IF(AND('GESTION DES JOUEURS'!$D$8="Open",(N15/_xlfn.XLOOKUP(F15,$CP$7:$CP$42,$DI$7:$DI$42,"",0,1))&gt;(P15/_xlfn.XLOOKUP(V15,$CP$7:$CP$42,$DI$7:$DI$42,"",0,1))),2,IF(AND('GESTION DES JOUEURS'!$D$8="Open",(N15/_xlfn.XLOOKUP(F15,$CP$7:$CP$42,$DI$7:$DI$42,"",0,1))=(P15/_xlfn.XLOOKUP(V15,$CP$7:$CP$42,$DI$7:$DI$42,"",0,1))),1,IF(AND('GESTION DES JOUEURS'!$D$8="Open",(N15/_xlfn.XLOOKUP(F15,$CP$7:$CP$42,$DI$7:$DI$42,"",0,1))&lt;(P15/_xlfn.XLOOKUP(V15,$CP$7:$CP$42,$DI$7:$DI$42,"",0,1))),0,"")))))))))</f>
        <v/>
      </c>
      <c r="E15" s="120" t="str">
        <f>IFERROR(IF(AND(D15&gt;=0,Y15=FALSE),N15/O15,IF(AND(D15&gt;=0,Y15=TRUE),(N15/O15)*_xlfn.XLOOKUP('GESTION DES JOUEURS'!$X$8&amp;RIGHT('GESTION DES JOUEURS'!$Y$8,1),Tableau14[Colonne1],Tableau14[coef. 2,80/3,10],"",0,1),"")),"")</f>
        <v/>
      </c>
      <c r="F15" s="567" t="str">
        <f>IF(C15=1,BV10,IF(AND(C15=9,OR(D19&gt;X19,L19=TRUE)),F19,IF(AND(C15=9,OR(X19&gt;D19,R19=TRUE)),V19,"")))</f>
        <v/>
      </c>
      <c r="G15" s="738" t="str">
        <f>IFERROR(VLOOKUP(F15,'GESTION DES JOUEURS'!$B$11:$E$46,2,FALSE),"")</f>
        <v/>
      </c>
      <c r="H15" s="739"/>
      <c r="I15" s="739"/>
      <c r="J15" s="738" t="str">
        <f>IFERROR(VLOOKUP(F15,'GESTION DES JOUEURS'!$B$11:$E$46,3,FALSE),"")</f>
        <v/>
      </c>
      <c r="K15" s="779"/>
      <c r="L15" s="484" t="b">
        <v>0</v>
      </c>
      <c r="M15" s="413"/>
      <c r="N15" s="411"/>
      <c r="O15" s="379"/>
      <c r="P15" s="411"/>
      <c r="Q15" s="413"/>
      <c r="R15" s="402" t="b">
        <v>0</v>
      </c>
      <c r="S15" s="1079" t="str">
        <f>IFERROR(VLOOKUP(V15,'GESTION DES JOUEURS'!$B$11:$E$46,2,FALSE),"")</f>
        <v/>
      </c>
      <c r="T15" s="757"/>
      <c r="U15" s="355" t="str">
        <f>IFERROR(VLOOKUP(V15,'GESTION DES JOUEURS'!$B$11:$E$46,3,FALSE),"")</f>
        <v/>
      </c>
      <c r="V15" s="355" t="str">
        <f>IF(C15=1,BV11,IF(AND(C15=9,OR(D20&gt;X20,L20=TRUE)),F20,IF(AND(C15=9,OR(X20&gt;D20,R20=TRUE)),V20,"")))</f>
        <v/>
      </c>
      <c r="W15" s="122" t="str">
        <f>IFERROR(IF(AND(X15&gt;=0,Y15=FALSE),P15/O15,IF(AND(X15&gt;=0,Y15=TRUE),(P15/O15)*_xlfn.XLOOKUP('GESTION DES JOUEURS'!$X$8&amp;RIGHT('GESTION DES JOUEURS'!$Y$8,1),Tableau14[Colonne1],Tableau14[coef. 2,80/3,10],"",0,1),"")),"")</f>
        <v/>
      </c>
      <c r="X15" s="67" t="str">
        <f>IF(A15="","",IF(P15="ab.",0,IF(N15="ab.",2,IF(AND('GESTION DES JOUEURS'!$D$8&lt;&gt;"Open",O15&gt;0,P15&gt;N15),2,IF(AND('GESTION DES JOUEURS'!$D$8&lt;&gt;"Open",O15&gt;0,P15&lt;N15),0,IF(AND('GESTION DES JOUEURS'!$D$8&lt;&gt;"Open",O15&gt;0,P15=N15),1,IF(AND('GESTION DES JOUEURS'!$D$8="Open",(P15/_xlfn.XLOOKUP(V15,$CP$7:$CP$42,$DI$7:$DI$42,"",0,1))&gt;(N15/_xlfn.XLOOKUP(F15,$CP$7:$CP$42,$DI$7:$DI$42,"",0,1))),2,IF(AND('GESTION DES JOUEURS'!$D$8="Open",(P15/_xlfn.XLOOKUP(V15,$CP$7:$CP$42,$DI$7:$DI$42,"",0,1))=(N15/_xlfn.XLOOKUP(F15,$CP$7:$CP$42,$DI$7:$DI$42,"",0,1))),1,IF(AND('GESTION DES JOUEURS'!$D$8="Open",(P15/_xlfn.XLOOKUP(V15,$CP$7:$CP$42,$DI$7:$DI$42,"",0,1))&lt;(N15/_xlfn.XLOOKUP(F15,$CP$7:$CP$42,$DI$7:$DI$42,"",0,1))),0,"")))))))))</f>
        <v/>
      </c>
      <c r="Y15" s="545" t="b">
        <v>0</v>
      </c>
      <c r="AA15" s="907" t="s">
        <v>8115</v>
      </c>
      <c r="AC15" s="244" t="b" cm="1">
        <f t="array" ref="AC15">IF(AND(_xlfn.XLOOKUP(F15,Tableau19[Licence],'GESTION DES JOUEURS'!$O$11:$O$46,"",0,1)&lt;&gt;"N1",_xlfn.XLOOKUP(V15,Tableau19[Licence],'GESTION DES JOUEURS'!$O$11:$O$46,"",0,1)&lt;&gt;"N1",'GESTION DES JOUEURS'!$X$8="Cadre"),TRUE,FALSE)</f>
        <v>0</v>
      </c>
      <c r="AE15" s="371">
        <v>3</v>
      </c>
      <c r="AF15" s="371" t="str">
        <f>V12</f>
        <v/>
      </c>
      <c r="AG15" s="371" t="str">
        <f>X12</f>
        <v/>
      </c>
      <c r="AH15" s="371" t="b">
        <f>R12</f>
        <v>0</v>
      </c>
      <c r="AI15" s="371" t="e">
        <f t="shared" si="0"/>
        <v>#VALUE!</v>
      </c>
      <c r="AJ15" s="244" t="e">
        <f t="shared" si="1"/>
        <v>#VALUE!</v>
      </c>
      <c r="AK15" s="244">
        <f>Q12</f>
        <v>0</v>
      </c>
      <c r="AL15" s="573" t="str">
        <f>W12</f>
        <v/>
      </c>
      <c r="AM15" s="244" t="e">
        <f>N12/AJ15</f>
        <v>#VALUE!</v>
      </c>
      <c r="AN15" s="244">
        <v>11</v>
      </c>
      <c r="AO15" s="244" t="str">
        <f t="shared" si="2"/>
        <v>013335x</v>
      </c>
      <c r="AP15" s="244" t="str">
        <f t="shared" si="3"/>
        <v/>
      </c>
      <c r="AQ15" s="244" t="str">
        <f t="shared" si="4"/>
        <v/>
      </c>
      <c r="AR15" s="244" t="str">
        <f t="shared" si="5"/>
        <v/>
      </c>
      <c r="AS15" s="578" t="str">
        <f t="shared" si="6"/>
        <v/>
      </c>
      <c r="AT15" s="578" t="str">
        <f t="shared" si="7"/>
        <v/>
      </c>
      <c r="AU15" s="244">
        <f t="shared" si="8"/>
        <v>0</v>
      </c>
      <c r="AV15" s="575">
        <f t="shared" si="9"/>
        <v>0</v>
      </c>
      <c r="AW15" s="575">
        <f t="shared" si="10"/>
        <v>0</v>
      </c>
      <c r="AX15" s="577">
        <f t="shared" si="11"/>
        <v>0</v>
      </c>
      <c r="BA15" s="244">
        <v>9</v>
      </c>
      <c r="BB15" s="443" t="str">
        <f>IF('GESTION DES JOUEURS'!B19="","",'GESTION DES JOUEURS'!B19)</f>
        <v>154522J</v>
      </c>
      <c r="BC15" s="443" t="str" cm="1">
        <f t="array" ref="BC15:BS15">_xlfn.XLOOKUP('Phase finale'!BB15,PA!$B$37:$B$42,PA!$C$37:$S$42,_xlfn.XLOOKUP('Phase finale'!BB15,PB!$B$37:$B$42,PB!$C$37:$S$42,_xlfn.XLOOKUP('Phase finale'!BB15,PC!$B$37:$B$42,PC!$C$37:$S$42,_xlfn.XLOOKUP('Phase finale'!BB15,PD!$B$37:$B$42,PD!$C$37:$S$42,_xlfn.XLOOKUP('Phase finale'!BB15,PE!$B$37:$B$42,PE!$C$37:$S$42,_xlfn.XLOOKUP('Phase finale'!BB15,PF!$B$37:$B$42,PF!$C$37:$S$42,_xlfn.XLOOKUP('Phase finale'!BB15,PG!$B$37:$B$42,PG!$C$37:$S$42,_xlfn.XLOOKUP('Phase finale'!BB15,PH!$B$37:$B$42,PH!$C$37:$S$42,_xlfn.XLOOKUP('Phase finale'!BB15,PI!$B$37:$B$42,PI!$C$37:$S$42,_xlfn.XLOOKUP('Phase finale'!BB15,PJ!$B$37:$B$42,PJ!$C$37:$S$42,_xlfn.XLOOKUP('Phase finale'!BB15,PK!$B$37:$B$42,PK!$C$37:$S$42,_xlfn.XLOOKUP('Phase finale'!BB15,PL!$B$37:$B$42,PL!$C$37:$S$42,"",0,1),0,1),0,1),0,1),0,1),0,1),0,1),0,1),0,1),0,1),0,1),0,1)</f>
        <v>PIVONET</v>
      </c>
      <c r="BD15" s="443">
        <v>0</v>
      </c>
      <c r="BE15" s="443" t="str">
        <v>FRANCIS</v>
      </c>
      <c r="BF15" s="443">
        <v>0</v>
      </c>
      <c r="BG15" s="443" t="str">
        <v>ASS. BILLARD AMATEUR DE SAINT MAUR</v>
      </c>
      <c r="BH15" s="443">
        <v>0</v>
      </c>
      <c r="BI15" s="443">
        <v>0</v>
      </c>
      <c r="BJ15" s="443">
        <v>0</v>
      </c>
      <c r="BK15" s="443">
        <v>0</v>
      </c>
      <c r="BL15" s="443">
        <v>0</v>
      </c>
      <c r="BM15" s="443">
        <v>2</v>
      </c>
      <c r="BN15" s="443">
        <v>2.2205882352941178</v>
      </c>
      <c r="BO15" s="443">
        <v>2.375</v>
      </c>
      <c r="BP15" s="443">
        <v>23</v>
      </c>
      <c r="BQ15" s="443">
        <v>2</v>
      </c>
      <c r="BR15" s="443">
        <v>5</v>
      </c>
      <c r="BS15" s="443">
        <v>2</v>
      </c>
      <c r="BU15" s="244">
        <v>9</v>
      </c>
      <c r="BV15" s="244" t="str">
        <v/>
      </c>
      <c r="BW15" s="244" t="str">
        <v/>
      </c>
      <c r="BX15" s="244">
        <v>0</v>
      </c>
      <c r="BY15" s="244" t="str">
        <v/>
      </c>
      <c r="BZ15" s="244">
        <v>0</v>
      </c>
      <c r="CA15" s="244" t="str">
        <v/>
      </c>
      <c r="CB15" s="244">
        <v>0</v>
      </c>
      <c r="CC15" s="244">
        <v>0</v>
      </c>
      <c r="CD15" s="244">
        <v>0</v>
      </c>
      <c r="CE15" s="244">
        <v>0</v>
      </c>
      <c r="CF15" s="244">
        <v>0</v>
      </c>
      <c r="CG15" s="244" t="str">
        <v/>
      </c>
      <c r="CH15" s="244" t="str">
        <v/>
      </c>
      <c r="CI15" s="244" t="str">
        <v/>
      </c>
      <c r="CJ15" s="244" t="str">
        <v/>
      </c>
      <c r="CK15" s="244" t="str">
        <v/>
      </c>
      <c r="CL15" s="244" t="str">
        <v/>
      </c>
      <c r="CM15" s="244" t="str">
        <v/>
      </c>
      <c r="CO15" s="244">
        <f t="shared" si="12"/>
        <v>9</v>
      </c>
      <c r="CP15" s="244" t="str">
        <v>156543F</v>
      </c>
      <c r="CQ15" s="244" t="str">
        <v>FERNANDES ALVES</v>
      </c>
      <c r="CR15" s="244">
        <v>0</v>
      </c>
      <c r="CS15" s="244" t="str">
        <v>FRANCISCO</v>
      </c>
      <c r="CT15" s="244">
        <v>0</v>
      </c>
      <c r="CU15" s="244" t="str">
        <v>ACADEMIE DE BILLARD DE MAISONS ALFORT</v>
      </c>
      <c r="CV15" s="244">
        <v>0</v>
      </c>
      <c r="CW15" s="244">
        <v>0</v>
      </c>
      <c r="CX15" s="244">
        <v>0</v>
      </c>
      <c r="CY15" s="244">
        <v>0</v>
      </c>
      <c r="CZ15" s="244">
        <v>0</v>
      </c>
      <c r="DA15" s="244">
        <v>0</v>
      </c>
      <c r="DB15" s="244">
        <v>2.129032258064516</v>
      </c>
      <c r="DC15" s="244" t="str">
        <v>/</v>
      </c>
      <c r="DD15" s="244">
        <v>16</v>
      </c>
      <c r="DE15" s="244">
        <v>3</v>
      </c>
      <c r="DF15" s="244">
        <v>3</v>
      </c>
      <c r="DG15" s="244">
        <v>1</v>
      </c>
      <c r="DH15" s="244" t="str" cm="1">
        <f t="array" ref="DH15">_xlfn.XLOOKUP(CP15,Tableau19[Licence],'GESTION DES JOUEURS'!$O$11:$O$46,"",0,1)</f>
        <v>R2</v>
      </c>
      <c r="DI15" s="471">
        <f>IF('GESTION DES JOUEURS'!$X$8="Libre",_xlfn.XLOOKUP(DH15,Tableau13[Cat.],Tableau13[Libre],"",0,1),IF('GESTION DES JOUEURS'!$X$8="Bande",_xlfn.XLOOKUP(DH15,Tableau13[Cat.],Tableau13[bande],"",0,1),IF('GESTION DES JOUEURS'!$X$8="Cadre",_xlfn.XLOOKUP(DH15,Tableau13[Cat.],Tableau13[Cadre],"",0,1),IF('GESTION DES JOUEURS'!$X$8="3 Bandes",_xlfn.XLOOKUP(DH15,Tableau13[Cat.],Tableau13[3 Bandes],"",0,1),""))))</f>
        <v>60</v>
      </c>
      <c r="DK15" s="443" t="str">
        <v/>
      </c>
      <c r="DL15" s="443">
        <f>SUM(SUMIFS($N$9:$N$34,$F$9:$F$34,DK15,$A$9:$A$34,"P"),SUMIFS($P$9:$P$34,$V$9:$V$34,DK15,$A$9:$A$34,"P"),SUMIFS(Consolante!$P$9:$P$34,Consolante!$V$9:$V$34,DK15,Consolante!$A$9:$A$34,"P"),SUMIFS(Consolante!$N$9:$N$34,Consolante!$F$9:$F$34,DK15,Consolante!$A$9:$A$34,"P"))</f>
        <v>0</v>
      </c>
      <c r="DM15" s="443">
        <f>SUM(SUMIFS($O$9:$O$34,$F$9:$F$34,DK15,$A$9:$A$34,"P",$Y$9:$Y$34,FALSE),SUMIFS($O$9:$O$34,$F$9:$F$34,DK15,$A$9:$A$34,"P",$Y$9:$Y$34,TRUE)/_xlfn.XLOOKUP('GESTION DES JOUEURS'!$X$8&amp;RIGHT('GESTION DES JOUEURS'!$Y$8,1),Tableau14[Colonne1],Tableau14[coef. 2,80/3,10],"",0,1),SUMIFS($O$9:$O$34,$V$9:$V$34,DK15,$A$9:$A$34,"P",$Y$9:$Y$34,FALSE),SUMIFS($O$9:$O$34,$V$9:$V$34,DK15,$A$9:$A$34,"P",$Y$9:$Y$34,TRUE)/_xlfn.XLOOKUP('GESTION DES JOUEURS'!$X$8&amp;RIGHT('GESTION DES JOUEURS'!$Y$8,1),Tableau14[Colonne1],Tableau14[coef. 2,80/3,10],"",0,1),_xlfn.XLOOKUP(DK15,Consolante!$CP$7:$CP$22,Consolante!$CR$7:$CR$22,0,0,1))</f>
        <v>0</v>
      </c>
      <c r="DN15" s="447" t="str">
        <f t="shared" si="13"/>
        <v/>
      </c>
      <c r="DO15" s="443"/>
      <c r="DP15" s="443">
        <f>_xlfn.XLOOKUP(DK15,PA!$B$6:$B$11,PA!$P$6:$P$11,_xlfn.XLOOKUP(DK15,PB!$B$6:$B$11,PB!$P$6:$P$11,_xlfn.XLOOKUP(DK15,PC!$B$6:$B$11,PC!$P$6:$P$11,_xlfn.XLOOKUP(DK15,PD!$B$6:$B$11,PD!$P$6:$P$11,_xlfn.XLOOKUP(DK15,PE!$B$6:$B$11,PE!$P$6:$P$11,_xlfn.XLOOKUP(DK15,PF!$B$6:$B$11,PF!$P$6:$P$11,_xlfn.XLOOKUP(DK15,PG!$B$6:$B$11,PG!$P$6:$P$11,_xlfn.XLOOKUP(DK15,PH!$B$6:$B$11,PH!$P$6:$P$11,_xlfn.XLOOKUP(DK15,PI!$B$6:$B$11,PI!$P$6:$P$11,_xlfn.XLOOKUP(DK15,PJ!$B$6:$B$11,PJ!$P$6:$P$11,_xlfn.XLOOKUP(DK15,PK!$B$6:$B$11,PK!$P$6:$P$11,_xlfn.XLOOKUP(DK15,PL!$B$6:$B$11,PL!$P$6:$P$11,"",0,1),0,1),0,1),0,1),0,1),0,1),0,1),0,1),0,1),0,1),0,1),0,1)</f>
        <v>0</v>
      </c>
      <c r="DQ15" s="443">
        <f>_xlfn.XLOOKUP(DK15,PA!$B$6:$B$11,PA!$Q$6:$Q$11,_xlfn.XLOOKUP(DK15,PB!$B$6:$B$11,PB!$Q$6:$Q$11,_xlfn.XLOOKUP(DK15,PC!$B$6:$B$11,PC!$Q$6:$Q$11,_xlfn.XLOOKUP(DK15,PD!$B$6:$B$11,PD!$Q$6:$Q$11,_xlfn.XLOOKUP(DK15,PE!$B$6:$B$11,PE!$Q$6:$Q$11,_xlfn.XLOOKUP(DK15,PF!$B$6:$B$11,PF!$Q$6:$Q$11,_xlfn.XLOOKUP(DK15,PG!$B$6:$B$11,PG!$Q$6:$Q$11,_xlfn.XLOOKUP(DK15,PH!$B$6:$B$11,PH!$Q$6:$Q$11,_xlfn.XLOOKUP(DK15,PI!$B$6:$B$11,PI!$Q$6:$Q$11,_xlfn.XLOOKUP(DK15,PJ!$B$6:$B$11,PJ!$Q$6:$Q$11,_xlfn.XLOOKUP(DK15,PK!$B$6:$B$11,PK!$Q$6:$Q$11,_xlfn.XLOOKUP(DK15,PL!$B$6:$B$11,PL!$Q$6:$Q$11,"",0,1),0,1),0,1),0,1),0,1),0,1),0,1),0,1),0,1),0,1),0,1),0,1)</f>
        <v>0</v>
      </c>
      <c r="DR15" s="244" t="str">
        <f>IFERROR(('Phase finale'!DL15+'Phase finale'!DP15)/('Phase finale'!DM15+'Phase finale'!DQ15),"")</f>
        <v/>
      </c>
    </row>
    <row r="16" spans="1:128" ht="14.1" customHeight="1" x14ac:dyDescent="0.25">
      <c r="A16" s="245" t="str">
        <f t="shared" si="14"/>
        <v/>
      </c>
      <c r="B16" s="418" t="s">
        <v>9870</v>
      </c>
      <c r="C16" s="389" t="str">
        <f>IF('GESTION DES JOUEURS'!$D$8="Open",8,"")</f>
        <v/>
      </c>
      <c r="D16" s="74" t="str">
        <f>IF(A16="","",IF(N16="ab.",0,IF(P16="ab.",2,IF(AND('GESTION DES JOUEURS'!$D$8&lt;&gt;"Open",O16&gt;0,N16&gt;P16),2,IF(AND('GESTION DES JOUEURS'!$D$8&lt;&gt;"Open",O16&gt;0,N16&lt;P16),0,IF(AND('GESTION DES JOUEURS'!$D$8&lt;&gt;"Open",O16&gt;0,N16=P16),1,IF(AND('GESTION DES JOUEURS'!$D$8="Open",(N16/_xlfn.XLOOKUP(F16,$CP$7:$CP$42,$DI$7:$DI$42,"",0,1))&gt;(P16/_xlfn.XLOOKUP(V16,$CP$7:$CP$42,$DI$7:$DI$42,"",0,1))),2,IF(AND('GESTION DES JOUEURS'!$D$8="Open",(N16/_xlfn.XLOOKUP(F16,$CP$7:$CP$42,$DI$7:$DI$42,"",0,1))=(P16/_xlfn.XLOOKUP(V16,$CP$7:$CP$42,$DI$7:$DI$42,"",0,1))),1,IF(AND('GESTION DES JOUEURS'!$D$8="Open",(N16/_xlfn.XLOOKUP(F16,$CP$7:$CP$42,$DI$7:$DI$42,"",0,1))&lt;(P16/_xlfn.XLOOKUP(V16,$CP$7:$CP$42,$DI$7:$DI$42,"",0,1))),0,"")))))))))</f>
        <v/>
      </c>
      <c r="E16" s="117" t="str">
        <f>IFERROR(IF(AND(D16&gt;=0,Y16=FALSE),N16/O16,IF(AND(D16&gt;=0,Y16=TRUE),(N16/O16)*_xlfn.XLOOKUP('GESTION DES JOUEURS'!$X$8&amp;RIGHT('GESTION DES JOUEURS'!$Y$8,1),Tableau14[Colonne1],Tableau14[coef. 2,80/3,10],"",0,1),"")),"")</f>
        <v/>
      </c>
      <c r="F16" s="85" t="str">
        <f>IF(AND('GESTION DES JOUEURS'!$D$8="Open",$CO$43&gt;8),CP7,"")</f>
        <v/>
      </c>
      <c r="G16" s="1063" t="str">
        <f>IFERROR(VLOOKUP(F16,'GESTION DES JOUEURS'!$B$11:$E$46,2,FALSE),"")</f>
        <v/>
      </c>
      <c r="H16" s="1064"/>
      <c r="I16" s="1065"/>
      <c r="J16" s="1064" t="str">
        <f>IFERROR(VLOOKUP(F16,'GESTION DES JOUEURS'!$B$11:$E$46,3,FALSE),"")</f>
        <v/>
      </c>
      <c r="K16" s="1066"/>
      <c r="L16" s="482" t="b">
        <v>0</v>
      </c>
      <c r="M16" s="414"/>
      <c r="N16" s="414"/>
      <c r="O16" s="118"/>
      <c r="P16" s="414"/>
      <c r="Q16" s="414"/>
      <c r="R16" s="403" t="b">
        <v>0</v>
      </c>
      <c r="S16" s="1076" t="str">
        <f>IFERROR(VLOOKUP(V16,'GESTION DES JOUEURS'!$B$11:$E$46,2,FALSE),"")</f>
        <v/>
      </c>
      <c r="T16" s="1077"/>
      <c r="U16" s="88" t="str">
        <f>IFERROR(VLOOKUP(V16,'GESTION DES JOUEURS'!$B$11:$E$46,3,FALSE),"")</f>
        <v/>
      </c>
      <c r="V16" s="88" t="str">
        <f>IF(AND('GESTION DES JOUEURS'!$D$8="Open",$CO$43&gt;8),CP22,"")</f>
        <v/>
      </c>
      <c r="W16" s="119" t="str">
        <f>IFERROR(IF(AND(X16&gt;=0,Y16=FALSE),P16/O16,IF(AND(X16&gt;=0,Y16=TRUE),(P16/O16)*_xlfn.XLOOKUP('GESTION DES JOUEURS'!$X$8&amp;RIGHT('GESTION DES JOUEURS'!$Y$8,1),Tableau14[Colonne1],Tableau14[coef. 2,80/3,10],"",0,1),"")),"")</f>
        <v/>
      </c>
      <c r="X16" s="568" t="str">
        <f>IF(A16="","",IF(P16="ab.",0,IF(N16="ab.",2,IF(AND('GESTION DES JOUEURS'!$D$8&lt;&gt;"Open",O16&gt;0,P16&gt;N16),2,IF(AND('GESTION DES JOUEURS'!$D$8&lt;&gt;"Open",O16&gt;0,P16&lt;N16),0,IF(AND('GESTION DES JOUEURS'!$D$8&lt;&gt;"Open",O16&gt;0,P16=N16),1,IF(AND('GESTION DES JOUEURS'!$D$8="Open",(P16/_xlfn.XLOOKUP(V16,$CP$7:$CP$42,$DI$7:$DI$42,"",0,1))&gt;(N16/_xlfn.XLOOKUP(F16,$CP$7:$CP$42,$DI$7:$DI$42,"",0,1))),2,IF(AND('GESTION DES JOUEURS'!$D$8="Open",(P16/_xlfn.XLOOKUP(V16,$CP$7:$CP$42,$DI$7:$DI$42,"",0,1))=(N16/_xlfn.XLOOKUP(F16,$CP$7:$CP$42,$DI$7:$DI$42,"",0,1))),1,IF(AND('GESTION DES JOUEURS'!$D$8="Open",(P16/_xlfn.XLOOKUP(V16,$CP$7:$CP$42,$DI$7:$DI$42,"",0,1))&lt;(N16/_xlfn.XLOOKUP(F16,$CP$7:$CP$42,$DI$7:$DI$42,"",0,1))),0,"")))))))))</f>
        <v/>
      </c>
      <c r="Y16" s="544" t="b">
        <v>0</v>
      </c>
      <c r="AA16" s="907"/>
      <c r="AC16" s="244" t="b" cm="1">
        <f t="array" ref="AC16">IF(AND(_xlfn.XLOOKUP(F16,Tableau19[Licence],'GESTION DES JOUEURS'!$O$11:$O$46,"",0,1)&lt;&gt;"N1",_xlfn.XLOOKUP(V16,Tableau19[Licence],'GESTION DES JOUEURS'!$O$11:$O$46,"",0,1)&lt;&gt;"N1",'GESTION DES JOUEURS'!$X$8="Cadre"),TRUE,FALSE)</f>
        <v>0</v>
      </c>
      <c r="AE16" s="371">
        <v>3</v>
      </c>
      <c r="AF16" s="371" t="str">
        <f>V13</f>
        <v/>
      </c>
      <c r="AG16" s="371" t="str">
        <f>X13</f>
        <v/>
      </c>
      <c r="AH16" s="371" t="b">
        <f>R13</f>
        <v>0</v>
      </c>
      <c r="AI16" s="371" t="e">
        <f t="shared" si="0"/>
        <v>#VALUE!</v>
      </c>
      <c r="AJ16" s="244" t="e">
        <f t="shared" si="1"/>
        <v>#VALUE!</v>
      </c>
      <c r="AK16" s="244">
        <f t="shared" ref="AK16:AK18" si="18">Q13</f>
        <v>0</v>
      </c>
      <c r="AL16" s="573" t="str">
        <f t="shared" ref="AL16:AL18" si="19">W13</f>
        <v/>
      </c>
      <c r="AM16" s="244" t="e">
        <f t="shared" ref="AM16:AM18" si="20">N13/AJ16</f>
        <v>#VALUE!</v>
      </c>
      <c r="AN16" s="244">
        <v>12</v>
      </c>
      <c r="AO16" s="244" t="str">
        <f t="shared" si="2"/>
        <v/>
      </c>
      <c r="AP16" s="244">
        <f t="shared" si="3"/>
        <v>1</v>
      </c>
      <c r="AQ16" s="244" t="str">
        <f t="shared" si="4"/>
        <v/>
      </c>
      <c r="AR16" s="244" t="b">
        <f t="shared" si="5"/>
        <v>0</v>
      </c>
      <c r="AS16" s="578" t="e">
        <f t="shared" si="6"/>
        <v>#VALUE!</v>
      </c>
      <c r="AT16" s="578" t="e">
        <f t="shared" si="7"/>
        <v>#VALUE!</v>
      </c>
      <c r="AU16" s="244">
        <f t="shared" si="8"/>
        <v>0</v>
      </c>
      <c r="AV16" s="575">
        <f t="shared" si="9"/>
        <v>0</v>
      </c>
      <c r="AW16" s="575">
        <f t="shared" si="10"/>
        <v>0</v>
      </c>
      <c r="AX16" s="577">
        <f t="shared" si="11"/>
        <v>0</v>
      </c>
      <c r="BA16" s="244">
        <v>10</v>
      </c>
      <c r="BB16" s="443" t="str">
        <f>IF('GESTION DES JOUEURS'!B20="","",'GESTION DES JOUEURS'!B20)</f>
        <v>118031R</v>
      </c>
      <c r="BC16" s="443" t="str" cm="1">
        <f t="array" ref="BC16:BS16">_xlfn.XLOOKUP('Phase finale'!BB16,PA!$B$37:$B$42,PA!$C$37:$S$42,_xlfn.XLOOKUP('Phase finale'!BB16,PB!$B$37:$B$42,PB!$C$37:$S$42,_xlfn.XLOOKUP('Phase finale'!BB16,PC!$B$37:$B$42,PC!$C$37:$S$42,_xlfn.XLOOKUP('Phase finale'!BB16,PD!$B$37:$B$42,PD!$C$37:$S$42,_xlfn.XLOOKUP('Phase finale'!BB16,PE!$B$37:$B$42,PE!$C$37:$S$42,_xlfn.XLOOKUP('Phase finale'!BB16,PF!$B$37:$B$42,PF!$C$37:$S$42,_xlfn.XLOOKUP('Phase finale'!BB16,PG!$B$37:$B$42,PG!$C$37:$S$42,_xlfn.XLOOKUP('Phase finale'!BB16,PH!$B$37:$B$42,PH!$C$37:$S$42,_xlfn.XLOOKUP('Phase finale'!BB16,PI!$B$37:$B$42,PI!$C$37:$S$42,_xlfn.XLOOKUP('Phase finale'!BB16,PJ!$B$37:$B$42,PJ!$C$37:$S$42,_xlfn.XLOOKUP('Phase finale'!BB16,PK!$B$37:$B$42,PK!$C$37:$S$42,_xlfn.XLOOKUP('Phase finale'!BB16,PL!$B$37:$B$42,PL!$C$37:$S$42,"",0,1),0,1),0,1),0,1),0,1),0,1),0,1),0,1),0,1),0,1),0,1),0,1)</f>
        <v>LE HUAN CUA</v>
      </c>
      <c r="BD16" s="443">
        <v>0</v>
      </c>
      <c r="BE16" s="443" t="str">
        <v>TRAN</v>
      </c>
      <c r="BF16" s="443">
        <v>0</v>
      </c>
      <c r="BG16" s="443" t="str">
        <v>ACADEMIE DE BILLARD DE MAISONS ALFORT</v>
      </c>
      <c r="BH16" s="443">
        <v>0</v>
      </c>
      <c r="BI16" s="443">
        <v>0</v>
      </c>
      <c r="BJ16" s="443">
        <v>0</v>
      </c>
      <c r="BK16" s="443">
        <v>0</v>
      </c>
      <c r="BL16" s="443">
        <v>0</v>
      </c>
      <c r="BM16" s="443">
        <v>4</v>
      </c>
      <c r="BN16" s="443">
        <v>4.166666666666667</v>
      </c>
      <c r="BO16" s="443">
        <v>4.3478260869565215</v>
      </c>
      <c r="BP16" s="443">
        <v>20</v>
      </c>
      <c r="BQ16" s="443">
        <v>1</v>
      </c>
      <c r="BR16" s="443">
        <v>8</v>
      </c>
      <c r="BS16" s="443">
        <v>4</v>
      </c>
      <c r="BU16" s="244">
        <v>10</v>
      </c>
      <c r="BV16" s="244" t="str">
        <v/>
      </c>
      <c r="BW16" s="244" t="str">
        <v/>
      </c>
      <c r="BX16" s="244">
        <v>0</v>
      </c>
      <c r="BY16" s="244" t="str">
        <v/>
      </c>
      <c r="BZ16" s="244">
        <v>0</v>
      </c>
      <c r="CA16" s="244" t="str">
        <v/>
      </c>
      <c r="CB16" s="244">
        <v>0</v>
      </c>
      <c r="CC16" s="244">
        <v>0</v>
      </c>
      <c r="CD16" s="244">
        <v>0</v>
      </c>
      <c r="CE16" s="244">
        <v>0</v>
      </c>
      <c r="CF16" s="244">
        <v>0</v>
      </c>
      <c r="CG16" s="244" t="str">
        <v/>
      </c>
      <c r="CH16" s="244" t="str">
        <v/>
      </c>
      <c r="CI16" s="244" t="str">
        <v/>
      </c>
      <c r="CJ16" s="244" t="str">
        <v/>
      </c>
      <c r="CK16" s="244" t="str">
        <v/>
      </c>
      <c r="CL16" s="244" t="str">
        <v/>
      </c>
      <c r="CM16" s="244" t="str">
        <v/>
      </c>
      <c r="CO16" s="244">
        <f t="shared" si="12"/>
        <v>10</v>
      </c>
      <c r="CP16" s="244" t="str">
        <v>013922M</v>
      </c>
      <c r="CQ16" s="244" t="str">
        <v>PEYROLE</v>
      </c>
      <c r="CR16" s="244">
        <v>0</v>
      </c>
      <c r="CS16" s="244" t="str">
        <v>PHILIPPE</v>
      </c>
      <c r="CT16" s="244">
        <v>0</v>
      </c>
      <c r="CU16" s="244" t="str">
        <v>BILLARD CLUB DE LIVRY GARGAN</v>
      </c>
      <c r="CV16" s="244">
        <v>0</v>
      </c>
      <c r="CW16" s="244">
        <v>0</v>
      </c>
      <c r="CX16" s="244">
        <v>0</v>
      </c>
      <c r="CY16" s="244">
        <v>0</v>
      </c>
      <c r="CZ16" s="244">
        <v>0</v>
      </c>
      <c r="DA16" s="244">
        <v>0</v>
      </c>
      <c r="DB16" s="244">
        <v>2.0256410256410255</v>
      </c>
      <c r="DC16" s="244" t="str">
        <v>/</v>
      </c>
      <c r="DD16" s="244">
        <v>14</v>
      </c>
      <c r="DE16" s="244">
        <v>3</v>
      </c>
      <c r="DF16" s="244">
        <v>3</v>
      </c>
      <c r="DG16" s="244">
        <v>2</v>
      </c>
      <c r="DH16" s="244" t="str" cm="1">
        <f t="array" ref="DH16">_xlfn.XLOOKUP(CP16,Tableau19[Licence],'GESTION DES JOUEURS'!$O$11:$O$46,"",0,1)</f>
        <v>R2</v>
      </c>
      <c r="DI16" s="471">
        <f>IF('GESTION DES JOUEURS'!$X$8="Libre",_xlfn.XLOOKUP(DH16,Tableau13[Cat.],Tableau13[Libre],"",0,1),IF('GESTION DES JOUEURS'!$X$8="Bande",_xlfn.XLOOKUP(DH16,Tableau13[Cat.],Tableau13[bande],"",0,1),IF('GESTION DES JOUEURS'!$X$8="Cadre",_xlfn.XLOOKUP(DH16,Tableau13[Cat.],Tableau13[Cadre],"",0,1),IF('GESTION DES JOUEURS'!$X$8="3 Bandes",_xlfn.XLOOKUP(DH16,Tableau13[Cat.],Tableau13[3 Bandes],"",0,1),""))))</f>
        <v>60</v>
      </c>
      <c r="DK16" s="443" t="str">
        <v/>
      </c>
      <c r="DL16" s="443">
        <f>SUM(SUMIFS($N$9:$N$34,$F$9:$F$34,DK16,$A$9:$A$34,"P"),SUMIFS($P$9:$P$34,$V$9:$V$34,DK16,$A$9:$A$34,"P"),SUMIFS(Consolante!$P$9:$P$34,Consolante!$V$9:$V$34,DK16,Consolante!$A$9:$A$34,"P"),SUMIFS(Consolante!$N$9:$N$34,Consolante!$F$9:$F$34,DK16,Consolante!$A$9:$A$34,"P"))</f>
        <v>0</v>
      </c>
      <c r="DM16" s="443">
        <f>SUM(SUMIFS($O$9:$O$34,$F$9:$F$34,DK16,$A$9:$A$34,"P",$Y$9:$Y$34,FALSE),SUMIFS($O$9:$O$34,$F$9:$F$34,DK16,$A$9:$A$34,"P",$Y$9:$Y$34,TRUE)/_xlfn.XLOOKUP('GESTION DES JOUEURS'!$X$8&amp;RIGHT('GESTION DES JOUEURS'!$Y$8,1),Tableau14[Colonne1],Tableau14[coef. 2,80/3,10],"",0,1),SUMIFS($O$9:$O$34,$V$9:$V$34,DK16,$A$9:$A$34,"P",$Y$9:$Y$34,FALSE),SUMIFS($O$9:$O$34,$V$9:$V$34,DK16,$A$9:$A$34,"P",$Y$9:$Y$34,TRUE)/_xlfn.XLOOKUP('GESTION DES JOUEURS'!$X$8&amp;RIGHT('GESTION DES JOUEURS'!$Y$8,1),Tableau14[Colonne1],Tableau14[coef. 2,80/3,10],"",0,1),_xlfn.XLOOKUP(DK16,Consolante!$CP$7:$CP$22,Consolante!$CR$7:$CR$22,0,0,1))</f>
        <v>0</v>
      </c>
      <c r="DN16" s="447" t="str">
        <f t="shared" si="13"/>
        <v/>
      </c>
      <c r="DO16" s="443"/>
      <c r="DP16" s="443">
        <f>_xlfn.XLOOKUP(DK16,PA!$B$6:$B$11,PA!$P$6:$P$11,_xlfn.XLOOKUP(DK16,PB!$B$6:$B$11,PB!$P$6:$P$11,_xlfn.XLOOKUP(DK16,PC!$B$6:$B$11,PC!$P$6:$P$11,_xlfn.XLOOKUP(DK16,PD!$B$6:$B$11,PD!$P$6:$P$11,_xlfn.XLOOKUP(DK16,PE!$B$6:$B$11,PE!$P$6:$P$11,_xlfn.XLOOKUP(DK16,PF!$B$6:$B$11,PF!$P$6:$P$11,_xlfn.XLOOKUP(DK16,PG!$B$6:$B$11,PG!$P$6:$P$11,_xlfn.XLOOKUP(DK16,PH!$B$6:$B$11,PH!$P$6:$P$11,_xlfn.XLOOKUP(DK16,PI!$B$6:$B$11,PI!$P$6:$P$11,_xlfn.XLOOKUP(DK16,PJ!$B$6:$B$11,PJ!$P$6:$P$11,_xlfn.XLOOKUP(DK16,PK!$B$6:$B$11,PK!$P$6:$P$11,_xlfn.XLOOKUP(DK16,PL!$B$6:$B$11,PL!$P$6:$P$11,"",0,1),0,1),0,1),0,1),0,1),0,1),0,1),0,1),0,1),0,1),0,1),0,1)</f>
        <v>0</v>
      </c>
      <c r="DQ16" s="443">
        <f>_xlfn.XLOOKUP(DK16,PA!$B$6:$B$11,PA!$Q$6:$Q$11,_xlfn.XLOOKUP(DK16,PB!$B$6:$B$11,PB!$Q$6:$Q$11,_xlfn.XLOOKUP(DK16,PC!$B$6:$B$11,PC!$Q$6:$Q$11,_xlfn.XLOOKUP(DK16,PD!$B$6:$B$11,PD!$Q$6:$Q$11,_xlfn.XLOOKUP(DK16,PE!$B$6:$B$11,PE!$Q$6:$Q$11,_xlfn.XLOOKUP(DK16,PF!$B$6:$B$11,PF!$Q$6:$Q$11,_xlfn.XLOOKUP(DK16,PG!$B$6:$B$11,PG!$Q$6:$Q$11,_xlfn.XLOOKUP(DK16,PH!$B$6:$B$11,PH!$Q$6:$Q$11,_xlfn.XLOOKUP(DK16,PI!$B$6:$B$11,PI!$Q$6:$Q$11,_xlfn.XLOOKUP(DK16,PJ!$B$6:$B$11,PJ!$Q$6:$Q$11,_xlfn.XLOOKUP(DK16,PK!$B$6:$B$11,PK!$Q$6:$Q$11,_xlfn.XLOOKUP(DK16,PL!$B$6:$B$11,PL!$Q$6:$Q$11,"",0,1),0,1),0,1),0,1),0,1),0,1),0,1),0,1),0,1),0,1),0,1),0,1)</f>
        <v>0</v>
      </c>
      <c r="DR16" s="244" t="str">
        <f>IFERROR(('Phase finale'!DL16+'Phase finale'!DP16)/('Phase finale'!DM16+'Phase finale'!DQ16),"")</f>
        <v/>
      </c>
    </row>
    <row r="17" spans="1:137" ht="14.1" customHeight="1" x14ac:dyDescent="0.25">
      <c r="A17" s="245" t="str">
        <f t="shared" si="14"/>
        <v/>
      </c>
      <c r="B17" s="369" t="s">
        <v>9871</v>
      </c>
      <c r="C17" s="390" t="str">
        <f>IF('GESTION DES JOUEURS'!$D$8="Open",7,"")</f>
        <v/>
      </c>
      <c r="D17" s="79" t="str">
        <f>IF(A17="","",IF(N17="ab.",0,IF(P17="ab.",2,IF(AND('GESTION DES JOUEURS'!$D$8&lt;&gt;"Open",O17&gt;0,N17&gt;P17),2,IF(AND('GESTION DES JOUEURS'!$D$8&lt;&gt;"Open",O17&gt;0,N17&lt;P17),0,IF(AND('GESTION DES JOUEURS'!$D$8&lt;&gt;"Open",O17&gt;0,N17=P17),1,IF(AND('GESTION DES JOUEURS'!$D$8="Open",(N17/_xlfn.XLOOKUP(F17,$CP$7:$CP$42,$DI$7:$DI$42,"",0,1))&gt;(P17/_xlfn.XLOOKUP(V17,$CP$7:$CP$42,$DI$7:$DI$42,"",0,1))),2,IF(AND('GESTION DES JOUEURS'!$D$8="Open",(N17/_xlfn.XLOOKUP(F17,$CP$7:$CP$42,$DI$7:$DI$42,"",0,1))=(P17/_xlfn.XLOOKUP(V17,$CP$7:$CP$42,$DI$7:$DI$42,"",0,1))),1,IF(AND('GESTION DES JOUEURS'!$D$8="Open",(N17/_xlfn.XLOOKUP(F17,$CP$7:$CP$42,$DI$7:$DI$42,"",0,1))&lt;(P17/_xlfn.XLOOKUP(V17,$CP$7:$CP$42,$DI$7:$DI$42,"",0,1))),0,"")))))))))</f>
        <v/>
      </c>
      <c r="E17" s="113" t="str">
        <f>IFERROR(IF(AND(D17&gt;=0,Y17=FALSE),N17/O17,IF(AND(D17&gt;=0,Y17=TRUE),(N17/O17)*_xlfn.XLOOKUP('GESTION DES JOUEURS'!$X$8&amp;RIGHT('GESTION DES JOUEURS'!$Y$8,1),Tableau14[Colonne1],Tableau14[coef. 2,80/3,10],"",0,1),"")),"")</f>
        <v/>
      </c>
      <c r="F17" s="80" t="str">
        <f>IF(AND('GESTION DES JOUEURS'!$D$8="Open",$CO$43&gt;8),CP8,"")</f>
        <v/>
      </c>
      <c r="G17" s="729" t="str">
        <f>IFERROR(VLOOKUP(F17,'GESTION DES JOUEURS'!$B$11:$E$46,2,FALSE),"")</f>
        <v/>
      </c>
      <c r="H17" s="726"/>
      <c r="I17" s="730"/>
      <c r="J17" s="726" t="str">
        <f>IFERROR(VLOOKUP(F17,'GESTION DES JOUEURS'!$B$11:$E$46,3,FALSE),"")</f>
        <v/>
      </c>
      <c r="K17" s="727"/>
      <c r="L17" s="483" t="b">
        <v>0</v>
      </c>
      <c r="M17" s="412"/>
      <c r="N17" s="412"/>
      <c r="O17" s="114"/>
      <c r="P17" s="412"/>
      <c r="Q17" s="412"/>
      <c r="R17" s="401" t="b">
        <v>0</v>
      </c>
      <c r="S17" s="731" t="str">
        <f>IFERROR(VLOOKUP(V17,'GESTION DES JOUEURS'!$B$11:$E$46,2,FALSE),"")</f>
        <v/>
      </c>
      <c r="T17" s="732"/>
      <c r="U17" s="83" t="str">
        <f>IFERROR(VLOOKUP(V17,'GESTION DES JOUEURS'!$B$11:$E$46,3,FALSE),"")</f>
        <v/>
      </c>
      <c r="V17" s="83" t="str">
        <f>IF(AND('GESTION DES JOUEURS'!$D$8="Open",$CO$43&gt;8),CP21,"")</f>
        <v/>
      </c>
      <c r="W17" s="115" t="str">
        <f>IFERROR(IF(AND(X17&gt;=0,Y17=FALSE),P17/O17,IF(AND(X17&gt;=0,Y17=TRUE),(P17/O17)*_xlfn.XLOOKUP('GESTION DES JOUEURS'!$X$8&amp;RIGHT('GESTION DES JOUEURS'!$Y$8,1),Tableau14[Colonne1],Tableau14[coef. 2,80/3,10],"",0,1),"")),"")</f>
        <v/>
      </c>
      <c r="X17" s="569" t="str">
        <f>IF(A17="","",IF(P17="ab.",0,IF(N17="ab.",2,IF(AND('GESTION DES JOUEURS'!$D$8&lt;&gt;"Open",O17&gt;0,P17&gt;N17),2,IF(AND('GESTION DES JOUEURS'!$D$8&lt;&gt;"Open",O17&gt;0,P17&lt;N17),0,IF(AND('GESTION DES JOUEURS'!$D$8&lt;&gt;"Open",O17&gt;0,P17=N17),1,IF(AND('GESTION DES JOUEURS'!$D$8="Open",(P17/_xlfn.XLOOKUP(V17,$CP$7:$CP$42,$DI$7:$DI$42,"",0,1))&gt;(N17/_xlfn.XLOOKUP(F17,$CP$7:$CP$42,$DI$7:$DI$42,"",0,1))),2,IF(AND('GESTION DES JOUEURS'!$D$8="Open",(P17/_xlfn.XLOOKUP(V17,$CP$7:$CP$42,$DI$7:$DI$42,"",0,1))=(N17/_xlfn.XLOOKUP(F17,$CP$7:$CP$42,$DI$7:$DI$42,"",0,1))),1,IF(AND('GESTION DES JOUEURS'!$D$8="Open",(P17/_xlfn.XLOOKUP(V17,$CP$7:$CP$42,$DI$7:$DI$42,"",0,1))&lt;(N17/_xlfn.XLOOKUP(F17,$CP$7:$CP$42,$DI$7:$DI$42,"",0,1))),0,"")))))))))</f>
        <v/>
      </c>
      <c r="Y17" s="546" t="b">
        <v>0</v>
      </c>
      <c r="AA17" s="906" t="s">
        <v>8116</v>
      </c>
      <c r="AC17" s="244" t="b" cm="1">
        <f t="array" ref="AC17">IF(AND(_xlfn.XLOOKUP(F17,Tableau19[Licence],'GESTION DES JOUEURS'!$O$11:$O$46,"",0,1)&lt;&gt;"N1",_xlfn.XLOOKUP(V17,Tableau19[Licence],'GESTION DES JOUEURS'!$O$11:$O$46,"",0,1)&lt;&gt;"N1",'GESTION DES JOUEURS'!$X$8="Cadre"),TRUE,FALSE)</f>
        <v>0</v>
      </c>
      <c r="AE17" s="371">
        <v>3</v>
      </c>
      <c r="AF17" s="371" t="str">
        <f>V14</f>
        <v/>
      </c>
      <c r="AG17" s="371" t="str">
        <f>X14</f>
        <v/>
      </c>
      <c r="AH17" s="371" t="b">
        <f>R14</f>
        <v>0</v>
      </c>
      <c r="AI17" s="371" t="e">
        <f t="shared" si="0"/>
        <v>#VALUE!</v>
      </c>
      <c r="AJ17" s="244" t="e">
        <f t="shared" si="1"/>
        <v>#VALUE!</v>
      </c>
      <c r="AK17" s="244">
        <f t="shared" si="18"/>
        <v>0</v>
      </c>
      <c r="AL17" s="573" t="str">
        <f t="shared" si="19"/>
        <v/>
      </c>
      <c r="AM17" s="244" t="e">
        <f t="shared" si="20"/>
        <v>#VALUE!</v>
      </c>
      <c r="AN17" s="244">
        <v>13</v>
      </c>
      <c r="AO17" s="244" t="str">
        <f t="shared" si="2"/>
        <v/>
      </c>
      <c r="AP17" s="244">
        <f t="shared" si="3"/>
        <v>1</v>
      </c>
      <c r="AQ17" s="244" t="str">
        <f t="shared" si="4"/>
        <v/>
      </c>
      <c r="AR17" s="244" t="b">
        <f t="shared" si="5"/>
        <v>0</v>
      </c>
      <c r="AS17" s="578" t="e">
        <f t="shared" si="6"/>
        <v>#VALUE!</v>
      </c>
      <c r="AT17" s="578" t="e">
        <f t="shared" si="7"/>
        <v>#VALUE!</v>
      </c>
      <c r="AU17" s="244">
        <f t="shared" si="8"/>
        <v>0</v>
      </c>
      <c r="AV17" s="575">
        <f t="shared" si="9"/>
        <v>0</v>
      </c>
      <c r="AW17" s="575">
        <f t="shared" si="10"/>
        <v>0</v>
      </c>
      <c r="AX17" s="577">
        <f t="shared" si="11"/>
        <v>0</v>
      </c>
      <c r="BA17" s="244">
        <v>11</v>
      </c>
      <c r="BB17" s="443" t="str">
        <f>IF('GESTION DES JOUEURS'!B21="","",'GESTION DES JOUEURS'!B21)</f>
        <v>013428M</v>
      </c>
      <c r="BC17" s="443" t="str" cm="1">
        <f t="array" ref="BC17:BS17">_xlfn.XLOOKUP('Phase finale'!BB17,PA!$B$37:$B$42,PA!$C$37:$S$42,_xlfn.XLOOKUP('Phase finale'!BB17,PB!$B$37:$B$42,PB!$C$37:$S$42,_xlfn.XLOOKUP('Phase finale'!BB17,PC!$B$37:$B$42,PC!$C$37:$S$42,_xlfn.XLOOKUP('Phase finale'!BB17,PD!$B$37:$B$42,PD!$C$37:$S$42,_xlfn.XLOOKUP('Phase finale'!BB17,PE!$B$37:$B$42,PE!$C$37:$S$42,_xlfn.XLOOKUP('Phase finale'!BB17,PF!$B$37:$B$42,PF!$C$37:$S$42,_xlfn.XLOOKUP('Phase finale'!BB17,PG!$B$37:$B$42,PG!$C$37:$S$42,_xlfn.XLOOKUP('Phase finale'!BB17,PH!$B$37:$B$42,PH!$C$37:$S$42,_xlfn.XLOOKUP('Phase finale'!BB17,PI!$B$37:$B$42,PI!$C$37:$S$42,_xlfn.XLOOKUP('Phase finale'!BB17,PJ!$B$37:$B$42,PJ!$C$37:$S$42,_xlfn.XLOOKUP('Phase finale'!BB17,PK!$B$37:$B$42,PK!$C$37:$S$42,_xlfn.XLOOKUP('Phase finale'!BB17,PL!$B$37:$B$42,PL!$C$37:$S$42,"",0,1),0,1),0,1),0,1),0,1),0,1),0,1),0,1),0,1),0,1),0,1),0,1)</f>
        <v>KEREBEL</v>
      </c>
      <c r="BD17" s="443">
        <v>0</v>
      </c>
      <c r="BE17" s="443" t="str">
        <v>ERIC</v>
      </c>
      <c r="BF17" s="443">
        <v>0</v>
      </c>
      <c r="BG17" s="443" t="str">
        <v>ASS. BILLARD AMATEUR DE SAINT MAUR</v>
      </c>
      <c r="BH17" s="443">
        <v>0</v>
      </c>
      <c r="BI17" s="443">
        <v>0</v>
      </c>
      <c r="BJ17" s="443">
        <v>0</v>
      </c>
      <c r="BK17" s="443">
        <v>0</v>
      </c>
      <c r="BL17" s="443">
        <v>0</v>
      </c>
      <c r="BM17" s="443">
        <v>0</v>
      </c>
      <c r="BN17" s="443">
        <v>2.75</v>
      </c>
      <c r="BO17" s="443" t="str">
        <v>/</v>
      </c>
      <c r="BP17" s="443">
        <v>20</v>
      </c>
      <c r="BQ17" s="443">
        <v>2</v>
      </c>
      <c r="BR17" s="443">
        <v>5</v>
      </c>
      <c r="BS17" s="443">
        <v>2</v>
      </c>
      <c r="BU17" s="244">
        <v>11</v>
      </c>
      <c r="BV17" s="244" t="str">
        <v/>
      </c>
      <c r="BW17" s="244" t="str">
        <v/>
      </c>
      <c r="BX17" s="244">
        <v>0</v>
      </c>
      <c r="BY17" s="244" t="str">
        <v/>
      </c>
      <c r="BZ17" s="244">
        <v>0</v>
      </c>
      <c r="CA17" s="244" t="str">
        <v/>
      </c>
      <c r="CB17" s="244">
        <v>0</v>
      </c>
      <c r="CC17" s="244">
        <v>0</v>
      </c>
      <c r="CD17" s="244">
        <v>0</v>
      </c>
      <c r="CE17" s="244">
        <v>0</v>
      </c>
      <c r="CF17" s="244">
        <v>0</v>
      </c>
      <c r="CG17" s="244" t="str">
        <v/>
      </c>
      <c r="CH17" s="244" t="str">
        <v/>
      </c>
      <c r="CI17" s="244" t="str">
        <v/>
      </c>
      <c r="CJ17" s="244" t="str">
        <v/>
      </c>
      <c r="CK17" s="244" t="str">
        <v/>
      </c>
      <c r="CL17" s="244" t="str">
        <v/>
      </c>
      <c r="CM17" s="244" t="str">
        <v/>
      </c>
      <c r="CO17" s="244">
        <f t="shared" si="12"/>
        <v>11</v>
      </c>
      <c r="CP17" s="244" t="str">
        <v>013335x</v>
      </c>
      <c r="CQ17" s="244" t="str">
        <v>HANSEL</v>
      </c>
      <c r="CR17" s="244">
        <v>0</v>
      </c>
      <c r="CS17" s="244" t="str">
        <v>GERARD</v>
      </c>
      <c r="CT17" s="244">
        <v>0</v>
      </c>
      <c r="CU17" s="244" t="str">
        <v>ACADEMIE DE BILLARD DE MAISONS ALFORT</v>
      </c>
      <c r="CV17" s="244">
        <v>0</v>
      </c>
      <c r="CW17" s="244">
        <v>0</v>
      </c>
      <c r="CX17" s="244">
        <v>0</v>
      </c>
      <c r="CY17" s="244">
        <v>0</v>
      </c>
      <c r="CZ17" s="244">
        <v>0</v>
      </c>
      <c r="DA17" s="244">
        <v>0</v>
      </c>
      <c r="DB17" s="244">
        <v>1.8266666666666667</v>
      </c>
      <c r="DC17" s="244" t="str">
        <v>/</v>
      </c>
      <c r="DD17" s="244">
        <v>9</v>
      </c>
      <c r="DE17" s="244">
        <v>3</v>
      </c>
      <c r="DF17" s="244">
        <v>3</v>
      </c>
      <c r="DG17" s="244">
        <v>2</v>
      </c>
      <c r="DH17" s="244" t="str" cm="1">
        <f t="array" ref="DH17">_xlfn.XLOOKUP(CP17,Tableau19[Licence],'GESTION DES JOUEURS'!$O$11:$O$46,"",0,1)</f>
        <v>R2</v>
      </c>
      <c r="DI17" s="471">
        <f>IF('GESTION DES JOUEURS'!$X$8="Libre",_xlfn.XLOOKUP(DH17,Tableau13[Cat.],Tableau13[Libre],"",0,1),IF('GESTION DES JOUEURS'!$X$8="Bande",_xlfn.XLOOKUP(DH17,Tableau13[Cat.],Tableau13[bande],"",0,1),IF('GESTION DES JOUEURS'!$X$8="Cadre",_xlfn.XLOOKUP(DH17,Tableau13[Cat.],Tableau13[Cadre],"",0,1),IF('GESTION DES JOUEURS'!$X$8="3 Bandes",_xlfn.XLOOKUP(DH17,Tableau13[Cat.],Tableau13[3 Bandes],"",0,1),""))))</f>
        <v>60</v>
      </c>
      <c r="DK17" s="443" t="str">
        <v/>
      </c>
      <c r="DL17" s="443">
        <f>SUM(SUMIFS($N$9:$N$34,$F$9:$F$34,DK17,$A$9:$A$34,"P"),SUMIFS($P$9:$P$34,$V$9:$V$34,DK17,$A$9:$A$34,"P"),SUMIFS(Consolante!$P$9:$P$34,Consolante!$V$9:$V$34,DK17,Consolante!$A$9:$A$34,"P"),SUMIFS(Consolante!$N$9:$N$34,Consolante!$F$9:$F$34,DK17,Consolante!$A$9:$A$34,"P"))</f>
        <v>0</v>
      </c>
      <c r="DM17" s="443">
        <f>SUM(SUMIFS($O$9:$O$34,$F$9:$F$34,DK17,$A$9:$A$34,"P",$Y$9:$Y$34,FALSE),SUMIFS($O$9:$O$34,$F$9:$F$34,DK17,$A$9:$A$34,"P",$Y$9:$Y$34,TRUE)/_xlfn.XLOOKUP('GESTION DES JOUEURS'!$X$8&amp;RIGHT('GESTION DES JOUEURS'!$Y$8,1),Tableau14[Colonne1],Tableau14[coef. 2,80/3,10],"",0,1),SUMIFS($O$9:$O$34,$V$9:$V$34,DK17,$A$9:$A$34,"P",$Y$9:$Y$34,FALSE),SUMIFS($O$9:$O$34,$V$9:$V$34,DK17,$A$9:$A$34,"P",$Y$9:$Y$34,TRUE)/_xlfn.XLOOKUP('GESTION DES JOUEURS'!$X$8&amp;RIGHT('GESTION DES JOUEURS'!$Y$8,1),Tableau14[Colonne1],Tableau14[coef. 2,80/3,10],"",0,1),_xlfn.XLOOKUP(DK17,Consolante!$CP$7:$CP$22,Consolante!$CR$7:$CR$22,0,0,1))</f>
        <v>0</v>
      </c>
      <c r="DN17" s="447" t="str">
        <f t="shared" si="13"/>
        <v/>
      </c>
      <c r="DO17" s="443"/>
      <c r="DP17" s="443">
        <f>_xlfn.XLOOKUP(DK17,PA!$B$6:$B$11,PA!$P$6:$P$11,_xlfn.XLOOKUP(DK17,PB!$B$6:$B$11,PB!$P$6:$P$11,_xlfn.XLOOKUP(DK17,PC!$B$6:$B$11,PC!$P$6:$P$11,_xlfn.XLOOKUP(DK17,PD!$B$6:$B$11,PD!$P$6:$P$11,_xlfn.XLOOKUP(DK17,PE!$B$6:$B$11,PE!$P$6:$P$11,_xlfn.XLOOKUP(DK17,PF!$B$6:$B$11,PF!$P$6:$P$11,_xlfn.XLOOKUP(DK17,PG!$B$6:$B$11,PG!$P$6:$P$11,_xlfn.XLOOKUP(DK17,PH!$B$6:$B$11,PH!$P$6:$P$11,_xlfn.XLOOKUP(DK17,PI!$B$6:$B$11,PI!$P$6:$P$11,_xlfn.XLOOKUP(DK17,PJ!$B$6:$B$11,PJ!$P$6:$P$11,_xlfn.XLOOKUP(DK17,PK!$B$6:$B$11,PK!$P$6:$P$11,_xlfn.XLOOKUP(DK17,PL!$B$6:$B$11,PL!$P$6:$P$11,"",0,1),0,1),0,1),0,1),0,1),0,1),0,1),0,1),0,1),0,1),0,1),0,1)</f>
        <v>0</v>
      </c>
      <c r="DQ17" s="443">
        <f>_xlfn.XLOOKUP(DK17,PA!$B$6:$B$11,PA!$Q$6:$Q$11,_xlfn.XLOOKUP(DK17,PB!$B$6:$B$11,PB!$Q$6:$Q$11,_xlfn.XLOOKUP(DK17,PC!$B$6:$B$11,PC!$Q$6:$Q$11,_xlfn.XLOOKUP(DK17,PD!$B$6:$B$11,PD!$Q$6:$Q$11,_xlfn.XLOOKUP(DK17,PE!$B$6:$B$11,PE!$Q$6:$Q$11,_xlfn.XLOOKUP(DK17,PF!$B$6:$B$11,PF!$Q$6:$Q$11,_xlfn.XLOOKUP(DK17,PG!$B$6:$B$11,PG!$Q$6:$Q$11,_xlfn.XLOOKUP(DK17,PH!$B$6:$B$11,PH!$Q$6:$Q$11,_xlfn.XLOOKUP(DK17,PI!$B$6:$B$11,PI!$Q$6:$Q$11,_xlfn.XLOOKUP(DK17,PJ!$B$6:$B$11,PJ!$Q$6:$Q$11,_xlfn.XLOOKUP(DK17,PK!$B$6:$B$11,PK!$Q$6:$Q$11,_xlfn.XLOOKUP(DK17,PL!$B$6:$B$11,PL!$Q$6:$Q$11,"",0,1),0,1),0,1),0,1),0,1),0,1),0,1),0,1),0,1),0,1),0,1),0,1)</f>
        <v>0</v>
      </c>
      <c r="DR17" s="244" t="str">
        <f>IFERROR(('Phase finale'!DL17+'Phase finale'!DP17)/('Phase finale'!DM17+'Phase finale'!DQ17),"")</f>
        <v/>
      </c>
    </row>
    <row r="18" spans="1:137" ht="14.1" customHeight="1" x14ac:dyDescent="0.25">
      <c r="A18" s="245" t="str">
        <f t="shared" si="14"/>
        <v/>
      </c>
      <c r="B18" s="369" t="s">
        <v>9872</v>
      </c>
      <c r="C18" s="390" t="str">
        <f>IF('GESTION DES JOUEURS'!$D$8="Open",6,"")</f>
        <v/>
      </c>
      <c r="D18" s="79" t="str">
        <f>IF(A18="","",IF(N18="ab.",0,IF(P18="ab.",2,IF(AND('GESTION DES JOUEURS'!$D$8&lt;&gt;"Open",O18&gt;0,N18&gt;P18),2,IF(AND('GESTION DES JOUEURS'!$D$8&lt;&gt;"Open",O18&gt;0,N18&lt;P18),0,IF(AND('GESTION DES JOUEURS'!$D$8&lt;&gt;"Open",O18&gt;0,N18=P18),1,IF(AND('GESTION DES JOUEURS'!$D$8="Open",(N18/_xlfn.XLOOKUP(F18,$CP$7:$CP$42,$DI$7:$DI$42,"",0,1))&gt;(P18/_xlfn.XLOOKUP(V18,$CP$7:$CP$42,$DI$7:$DI$42,"",0,1))),2,IF(AND('GESTION DES JOUEURS'!$D$8="Open",(N18/_xlfn.XLOOKUP(F18,$CP$7:$CP$42,$DI$7:$DI$42,"",0,1))=(P18/_xlfn.XLOOKUP(V18,$CP$7:$CP$42,$DI$7:$DI$42,"",0,1))),1,IF(AND('GESTION DES JOUEURS'!$D$8="Open",(N18/_xlfn.XLOOKUP(F18,$CP$7:$CP$42,$DI$7:$DI$42,"",0,1))&lt;(P18/_xlfn.XLOOKUP(V18,$CP$7:$CP$42,$DI$7:$DI$42,"",0,1))),0,"")))))))))</f>
        <v/>
      </c>
      <c r="E18" s="113" t="str">
        <f>IFERROR(IF(AND(D18&gt;=0,Y18=FALSE),N18/O18,IF(AND(D18&gt;=0,Y18=TRUE),(N18/O18)*_xlfn.XLOOKUP('GESTION DES JOUEURS'!$X$8&amp;RIGHT('GESTION DES JOUEURS'!$Y$8,1),Tableau14[Colonne1],Tableau14[coef. 2,80/3,10],"",0,1),"")),"")</f>
        <v/>
      </c>
      <c r="F18" s="80" t="str">
        <f>IF(AND('GESTION DES JOUEURS'!$D$8="Open",$CO$43&gt;8),CP9,"")</f>
        <v/>
      </c>
      <c r="G18" s="729" t="str">
        <f>IFERROR(VLOOKUP(F18,'GESTION DES JOUEURS'!$B$11:$E$46,2,FALSE),"")</f>
        <v/>
      </c>
      <c r="H18" s="726"/>
      <c r="I18" s="730"/>
      <c r="J18" s="726" t="str">
        <f>IFERROR(VLOOKUP(F18,'GESTION DES JOUEURS'!$B$11:$E$46,3,FALSE),"")</f>
        <v/>
      </c>
      <c r="K18" s="727"/>
      <c r="L18" s="483" t="b">
        <v>0</v>
      </c>
      <c r="M18" s="412"/>
      <c r="N18" s="412"/>
      <c r="O18" s="114"/>
      <c r="P18" s="412"/>
      <c r="Q18" s="412"/>
      <c r="R18" s="401" t="b">
        <v>0</v>
      </c>
      <c r="S18" s="731" t="str">
        <f>IFERROR(VLOOKUP(V18,'GESTION DES JOUEURS'!$B$11:$E$46,2,FALSE),"")</f>
        <v/>
      </c>
      <c r="T18" s="732"/>
      <c r="U18" s="83" t="str">
        <f>IFERROR(VLOOKUP(V18,'GESTION DES JOUEURS'!$B$11:$E$46,3,FALSE),"")</f>
        <v/>
      </c>
      <c r="V18" s="83" t="str">
        <f>IF(AND('GESTION DES JOUEURS'!$D$8="Open",$CO$43&gt;8),CP20,"")</f>
        <v/>
      </c>
      <c r="W18" s="115" t="str">
        <f>IFERROR(IF(AND(X18&gt;=0,Y18=FALSE),P18/O18,IF(AND(X18&gt;=0,Y18=TRUE),(P18/O18)*_xlfn.XLOOKUP('GESTION DES JOUEURS'!$X$8&amp;RIGHT('GESTION DES JOUEURS'!$Y$8,1),Tableau14[Colonne1],Tableau14[coef. 2,80/3,10],"",0,1),"")),"")</f>
        <v/>
      </c>
      <c r="X18" s="569" t="str">
        <f>IF(A18="","",IF(P18="ab.",0,IF(N18="ab.",2,IF(AND('GESTION DES JOUEURS'!$D$8&lt;&gt;"Open",O18&gt;0,P18&gt;N18),2,IF(AND('GESTION DES JOUEURS'!$D$8&lt;&gt;"Open",O18&gt;0,P18&lt;N18),0,IF(AND('GESTION DES JOUEURS'!$D$8&lt;&gt;"Open",O18&gt;0,P18=N18),1,IF(AND('GESTION DES JOUEURS'!$D$8="Open",(P18/_xlfn.XLOOKUP(V18,$CP$7:$CP$42,$DI$7:$DI$42,"",0,1))&gt;(N18/_xlfn.XLOOKUP(F18,$CP$7:$CP$42,$DI$7:$DI$42,"",0,1))),2,IF(AND('GESTION DES JOUEURS'!$D$8="Open",(P18/_xlfn.XLOOKUP(V18,$CP$7:$CP$42,$DI$7:$DI$42,"",0,1))=(N18/_xlfn.XLOOKUP(F18,$CP$7:$CP$42,$DI$7:$DI$42,"",0,1))),1,IF(AND('GESTION DES JOUEURS'!$D$8="Open",(P18/_xlfn.XLOOKUP(V18,$CP$7:$CP$42,$DI$7:$DI$42,"",0,1))&lt;(N18/_xlfn.XLOOKUP(F18,$CP$7:$CP$42,$DI$7:$DI$42,"",0,1))),0,"")))))))))</f>
        <v/>
      </c>
      <c r="Y18" s="546" t="b">
        <v>0</v>
      </c>
      <c r="AA18" s="906"/>
      <c r="AC18" s="244" t="b" cm="1">
        <f t="array" ref="AC18">IF(AND(_xlfn.XLOOKUP(F18,Tableau19[Licence],'GESTION DES JOUEURS'!$O$11:$O$46,"",0,1)&lt;&gt;"N1",_xlfn.XLOOKUP(V18,Tableau19[Licence],'GESTION DES JOUEURS'!$O$11:$O$46,"",0,1)&lt;&gt;"N1",'GESTION DES JOUEURS'!$X$8="Cadre"),TRUE,FALSE)</f>
        <v>0</v>
      </c>
      <c r="AE18" s="371">
        <v>3</v>
      </c>
      <c r="AF18" s="371" t="str">
        <f>V15</f>
        <v/>
      </c>
      <c r="AG18" s="371" t="str">
        <f>X15</f>
        <v/>
      </c>
      <c r="AH18" s="371" t="b">
        <f>R15</f>
        <v>0</v>
      </c>
      <c r="AI18" s="371" t="e">
        <f t="shared" si="0"/>
        <v>#VALUE!</v>
      </c>
      <c r="AJ18" s="244" t="e">
        <f t="shared" si="1"/>
        <v>#VALUE!</v>
      </c>
      <c r="AK18" s="244">
        <f t="shared" si="18"/>
        <v>0</v>
      </c>
      <c r="AL18" s="573" t="str">
        <f t="shared" si="19"/>
        <v/>
      </c>
      <c r="AM18" s="244" t="e">
        <f t="shared" si="20"/>
        <v>#VALUE!</v>
      </c>
      <c r="AN18" s="572">
        <v>14</v>
      </c>
      <c r="AO18" s="244" t="str">
        <f t="shared" si="2"/>
        <v/>
      </c>
      <c r="AP18" s="244">
        <f t="shared" si="3"/>
        <v>1</v>
      </c>
      <c r="AQ18" s="244" t="str">
        <f t="shared" si="4"/>
        <v/>
      </c>
      <c r="AR18" s="244" t="b">
        <f t="shared" si="5"/>
        <v>0</v>
      </c>
      <c r="AS18" s="578" t="e">
        <f t="shared" si="6"/>
        <v>#VALUE!</v>
      </c>
      <c r="AT18" s="578" t="e">
        <f t="shared" si="7"/>
        <v>#VALUE!</v>
      </c>
      <c r="AU18" s="244">
        <f t="shared" si="8"/>
        <v>0</v>
      </c>
      <c r="AV18" s="575">
        <f t="shared" si="9"/>
        <v>0</v>
      </c>
      <c r="AW18" s="575">
        <f t="shared" si="10"/>
        <v>0</v>
      </c>
      <c r="AX18" s="577">
        <f t="shared" si="11"/>
        <v>0</v>
      </c>
      <c r="BA18" s="244">
        <v>12</v>
      </c>
      <c r="BB18" s="443" t="str">
        <f>IF('GESTION DES JOUEURS'!B22="","",'GESTION DES JOUEURS'!B22)</f>
        <v/>
      </c>
      <c r="BC18" s="443" t="str" cm="1">
        <f t="array" ref="BC18:BS18">_xlfn.XLOOKUP('Phase finale'!BB18,PA!$B$37:$B$42,PA!$C$37:$S$42,_xlfn.XLOOKUP('Phase finale'!BB18,PB!$B$37:$B$42,PB!$C$37:$S$42,_xlfn.XLOOKUP('Phase finale'!BB18,PC!$B$37:$B$42,PC!$C$37:$S$42,_xlfn.XLOOKUP('Phase finale'!BB18,PD!$B$37:$B$42,PD!$C$37:$S$42,_xlfn.XLOOKUP('Phase finale'!BB18,PE!$B$37:$B$42,PE!$C$37:$S$42,_xlfn.XLOOKUP('Phase finale'!BB18,PF!$B$37:$B$42,PF!$C$37:$S$42,_xlfn.XLOOKUP('Phase finale'!BB18,PG!$B$37:$B$42,PG!$C$37:$S$42,_xlfn.XLOOKUP('Phase finale'!BB18,PH!$B$37:$B$42,PH!$C$37:$S$42,_xlfn.XLOOKUP('Phase finale'!BB18,PI!$B$37:$B$42,PI!$C$37:$S$42,_xlfn.XLOOKUP('Phase finale'!BB18,PJ!$B$37:$B$42,PJ!$C$37:$S$42,_xlfn.XLOOKUP('Phase finale'!BB18,PK!$B$37:$B$42,PK!$C$37:$S$42,_xlfn.XLOOKUP('Phase finale'!BB18,PL!$B$37:$B$42,PL!$C$37:$S$42,"",0,1),0,1),0,1),0,1),0,1),0,1),0,1),0,1),0,1),0,1),0,1),0,1)</f>
        <v/>
      </c>
      <c r="BD18" s="443">
        <v>0</v>
      </c>
      <c r="BE18" s="443" t="str">
        <v/>
      </c>
      <c r="BF18" s="443">
        <v>0</v>
      </c>
      <c r="BG18" s="443" t="str">
        <v/>
      </c>
      <c r="BH18" s="443">
        <v>0</v>
      </c>
      <c r="BI18" s="443">
        <v>0</v>
      </c>
      <c r="BJ18" s="443">
        <v>0</v>
      </c>
      <c r="BK18" s="443">
        <v>0</v>
      </c>
      <c r="BL18" s="443">
        <v>0</v>
      </c>
      <c r="BM18" s="443" t="str">
        <v/>
      </c>
      <c r="BN18" s="443" t="str">
        <v/>
      </c>
      <c r="BO18" s="443" t="str">
        <v/>
      </c>
      <c r="BP18" s="443" t="str">
        <v/>
      </c>
      <c r="BQ18" s="443" t="str">
        <v/>
      </c>
      <c r="BR18" s="443" t="str">
        <v/>
      </c>
      <c r="BS18" s="443" t="str">
        <v/>
      </c>
      <c r="BU18" s="244">
        <v>12</v>
      </c>
      <c r="BV18" s="244" t="str">
        <v/>
      </c>
      <c r="BW18" s="244" t="str">
        <v/>
      </c>
      <c r="BX18" s="244">
        <v>0</v>
      </c>
      <c r="BY18" s="244" t="str">
        <v/>
      </c>
      <c r="BZ18" s="244">
        <v>0</v>
      </c>
      <c r="CA18" s="244" t="str">
        <v/>
      </c>
      <c r="CB18" s="244">
        <v>0</v>
      </c>
      <c r="CC18" s="244">
        <v>0</v>
      </c>
      <c r="CD18" s="244">
        <v>0</v>
      </c>
      <c r="CE18" s="244">
        <v>0</v>
      </c>
      <c r="CF18" s="244">
        <v>0</v>
      </c>
      <c r="CG18" s="244" t="str">
        <v/>
      </c>
      <c r="CH18" s="244" t="str">
        <v/>
      </c>
      <c r="CI18" s="244" t="str">
        <v/>
      </c>
      <c r="CJ18" s="244" t="str">
        <v/>
      </c>
      <c r="CK18" s="244" t="str">
        <v/>
      </c>
      <c r="CL18" s="244" t="str">
        <v/>
      </c>
      <c r="CM18" s="244" t="str">
        <v/>
      </c>
      <c r="CO18" s="244">
        <f t="shared" si="12"/>
        <v>11</v>
      </c>
      <c r="CP18" s="244" t="str">
        <v/>
      </c>
      <c r="CQ18" s="244" t="str">
        <v/>
      </c>
      <c r="CR18" s="244">
        <v>0</v>
      </c>
      <c r="CS18" s="244" t="str">
        <v/>
      </c>
      <c r="CT18" s="244">
        <v>0</v>
      </c>
      <c r="CU18" s="244" t="str">
        <v/>
      </c>
      <c r="CV18" s="244">
        <v>0</v>
      </c>
      <c r="CW18" s="244">
        <v>0</v>
      </c>
      <c r="CX18" s="244">
        <v>0</v>
      </c>
      <c r="CY18" s="244">
        <v>0</v>
      </c>
      <c r="CZ18" s="244">
        <v>0</v>
      </c>
      <c r="DA18" s="244" t="str">
        <v/>
      </c>
      <c r="DB18" s="244" t="str">
        <v/>
      </c>
      <c r="DC18" s="244" t="str">
        <v/>
      </c>
      <c r="DD18" s="244" t="str">
        <v/>
      </c>
      <c r="DE18" s="244" t="str">
        <v/>
      </c>
      <c r="DF18" s="244" t="str">
        <v/>
      </c>
      <c r="DG18" s="244" t="str">
        <v/>
      </c>
      <c r="DH18" s="244" t="str" cm="1">
        <f t="array" ref="DH18">_xlfn.XLOOKUP(CP18,Tableau19[Licence],'GESTION DES JOUEURS'!$O$11:$O$46,"",0,1)</f>
        <v/>
      </c>
      <c r="DI18" s="471" t="str">
        <f>IF('GESTION DES JOUEURS'!$X$8="Libre",_xlfn.XLOOKUP(DH18,Tableau13[Cat.],Tableau13[Libre],"",0,1),IF('GESTION DES JOUEURS'!$X$8="Bande",_xlfn.XLOOKUP(DH18,Tableau13[Cat.],Tableau13[bande],"",0,1),IF('GESTION DES JOUEURS'!$X$8="Cadre",_xlfn.XLOOKUP(DH18,Tableau13[Cat.],Tableau13[Cadre],"",0,1),IF('GESTION DES JOUEURS'!$X$8="3 Bandes",_xlfn.XLOOKUP(DH18,Tableau13[Cat.],Tableau13[3 Bandes],"",0,1),""))))</f>
        <v/>
      </c>
      <c r="DK18" s="443" t="str">
        <v/>
      </c>
      <c r="DL18" s="443">
        <f>SUM(SUMIFS($N$9:$N$34,$F$9:$F$34,DK18,$A$9:$A$34,"P"),SUMIFS($P$9:$P$34,$V$9:$V$34,DK18,$A$9:$A$34,"P"),SUMIFS(Consolante!$P$9:$P$34,Consolante!$V$9:$V$34,DK18,Consolante!$A$9:$A$34,"P"),SUMIFS(Consolante!$N$9:$N$34,Consolante!$F$9:$F$34,DK18,Consolante!$A$9:$A$34,"P"))</f>
        <v>0</v>
      </c>
      <c r="DM18" s="443">
        <f>SUM(SUMIFS($O$9:$O$34,$F$9:$F$34,DK18,$A$9:$A$34,"P",$Y$9:$Y$34,FALSE),SUMIFS($O$9:$O$34,$F$9:$F$34,DK18,$A$9:$A$34,"P",$Y$9:$Y$34,TRUE)/_xlfn.XLOOKUP('GESTION DES JOUEURS'!$X$8&amp;RIGHT('GESTION DES JOUEURS'!$Y$8,1),Tableau14[Colonne1],Tableau14[coef. 2,80/3,10],"",0,1),SUMIFS($O$9:$O$34,$V$9:$V$34,DK18,$A$9:$A$34,"P",$Y$9:$Y$34,FALSE),SUMIFS($O$9:$O$34,$V$9:$V$34,DK18,$A$9:$A$34,"P",$Y$9:$Y$34,TRUE)/_xlfn.XLOOKUP('GESTION DES JOUEURS'!$X$8&amp;RIGHT('GESTION DES JOUEURS'!$Y$8,1),Tableau14[Colonne1],Tableau14[coef. 2,80/3,10],"",0,1),_xlfn.XLOOKUP(DK18,Consolante!$CP$7:$CP$22,Consolante!$CR$7:$CR$22,0,0,1))</f>
        <v>0</v>
      </c>
      <c r="DN18" s="447" t="str">
        <f t="shared" si="13"/>
        <v/>
      </c>
      <c r="DO18" s="443"/>
      <c r="DP18" s="443">
        <f>_xlfn.XLOOKUP(DK18,PA!$B$6:$B$11,PA!$P$6:$P$11,_xlfn.XLOOKUP(DK18,PB!$B$6:$B$11,PB!$P$6:$P$11,_xlfn.XLOOKUP(DK18,PC!$B$6:$B$11,PC!$P$6:$P$11,_xlfn.XLOOKUP(DK18,PD!$B$6:$B$11,PD!$P$6:$P$11,_xlfn.XLOOKUP(DK18,PE!$B$6:$B$11,PE!$P$6:$P$11,_xlfn.XLOOKUP(DK18,PF!$B$6:$B$11,PF!$P$6:$P$11,_xlfn.XLOOKUP(DK18,PG!$B$6:$B$11,PG!$P$6:$P$11,_xlfn.XLOOKUP(DK18,PH!$B$6:$B$11,PH!$P$6:$P$11,_xlfn.XLOOKUP(DK18,PI!$B$6:$B$11,PI!$P$6:$P$11,_xlfn.XLOOKUP(DK18,PJ!$B$6:$B$11,PJ!$P$6:$P$11,_xlfn.XLOOKUP(DK18,PK!$B$6:$B$11,PK!$P$6:$P$11,_xlfn.XLOOKUP(DK18,PL!$B$6:$B$11,PL!$P$6:$P$11,"",0,1),0,1),0,1),0,1),0,1),0,1),0,1),0,1),0,1),0,1),0,1),0,1)</f>
        <v>0</v>
      </c>
      <c r="DQ18" s="443">
        <f>_xlfn.XLOOKUP(DK18,PA!$B$6:$B$11,PA!$Q$6:$Q$11,_xlfn.XLOOKUP(DK18,PB!$B$6:$B$11,PB!$Q$6:$Q$11,_xlfn.XLOOKUP(DK18,PC!$B$6:$B$11,PC!$Q$6:$Q$11,_xlfn.XLOOKUP(DK18,PD!$B$6:$B$11,PD!$Q$6:$Q$11,_xlfn.XLOOKUP(DK18,PE!$B$6:$B$11,PE!$Q$6:$Q$11,_xlfn.XLOOKUP(DK18,PF!$B$6:$B$11,PF!$Q$6:$Q$11,_xlfn.XLOOKUP(DK18,PG!$B$6:$B$11,PG!$Q$6:$Q$11,_xlfn.XLOOKUP(DK18,PH!$B$6:$B$11,PH!$Q$6:$Q$11,_xlfn.XLOOKUP(DK18,PI!$B$6:$B$11,PI!$Q$6:$Q$11,_xlfn.XLOOKUP(DK18,PJ!$B$6:$B$11,PJ!$Q$6:$Q$11,_xlfn.XLOOKUP(DK18,PK!$B$6:$B$11,PK!$Q$6:$Q$11,_xlfn.XLOOKUP(DK18,PL!$B$6:$B$11,PL!$Q$6:$Q$11,"",0,1),0,1),0,1),0,1),0,1),0,1),0,1),0,1),0,1),0,1),0,1),0,1)</f>
        <v>0</v>
      </c>
      <c r="DR18" s="244" t="str">
        <f>IFERROR(('Phase finale'!DL18+'Phase finale'!DP18)/('Phase finale'!DM18+'Phase finale'!DQ18),"")</f>
        <v/>
      </c>
    </row>
    <row r="19" spans="1:137" ht="14.1" customHeight="1" x14ac:dyDescent="0.25">
      <c r="A19" s="245" t="str">
        <f t="shared" si="14"/>
        <v/>
      </c>
      <c r="B19" s="369" t="s">
        <v>9873</v>
      </c>
      <c r="C19" s="390" t="str">
        <f>IF('GESTION DES JOUEURS'!$D$8="Open",5,"")</f>
        <v/>
      </c>
      <c r="D19" s="79" t="str">
        <f>IF(A19="","",IF(N19="ab.",0,IF(P19="ab.",2,IF(AND('GESTION DES JOUEURS'!$D$8&lt;&gt;"Open",O19&gt;0,N19&gt;P19),2,IF(AND('GESTION DES JOUEURS'!$D$8&lt;&gt;"Open",O19&gt;0,N19&lt;P19),0,IF(AND('GESTION DES JOUEURS'!$D$8&lt;&gt;"Open",O19&gt;0,N19=P19),1,IF(AND('GESTION DES JOUEURS'!$D$8="Open",(N19/_xlfn.XLOOKUP(F19,$CP$7:$CP$42,$DI$7:$DI$42,"",0,1))&gt;(P19/_xlfn.XLOOKUP(V19,$CP$7:$CP$42,$DI$7:$DI$42,"",0,1))),2,IF(AND('GESTION DES JOUEURS'!$D$8="Open",(N19/_xlfn.XLOOKUP(F19,$CP$7:$CP$42,$DI$7:$DI$42,"",0,1))=(P19/_xlfn.XLOOKUP(V19,$CP$7:$CP$42,$DI$7:$DI$42,"",0,1))),1,IF(AND('GESTION DES JOUEURS'!$D$8="Open",(N19/_xlfn.XLOOKUP(F19,$CP$7:$CP$42,$DI$7:$DI$42,"",0,1))&lt;(P19/_xlfn.XLOOKUP(V19,$CP$7:$CP$42,$DI$7:$DI$42,"",0,1))),0,"")))))))))</f>
        <v/>
      </c>
      <c r="E19" s="113" t="str">
        <f>IFERROR(IF(AND(D19&gt;=0,Y19=FALSE),N19/O19,IF(AND(D19&gt;=0,Y19=TRUE),(N19/O19)*_xlfn.XLOOKUP('GESTION DES JOUEURS'!$X$8&amp;RIGHT('GESTION DES JOUEURS'!$Y$8,1),Tableau14[Colonne1],Tableau14[coef. 2,80/3,10],"",0,1),"")),"")</f>
        <v/>
      </c>
      <c r="F19" s="80" t="str">
        <f>IF(AND('GESTION DES JOUEURS'!$D$8="Open",$CO$43&gt;8),CP10,"")</f>
        <v/>
      </c>
      <c r="G19" s="729" t="str">
        <f>IFERROR(VLOOKUP(F19,'GESTION DES JOUEURS'!$B$11:$E$46,2,FALSE),"")</f>
        <v/>
      </c>
      <c r="H19" s="726"/>
      <c r="I19" s="730"/>
      <c r="J19" s="726" t="str">
        <f>IFERROR(VLOOKUP(F19,'GESTION DES JOUEURS'!$B$11:$E$46,3,FALSE),"")</f>
        <v/>
      </c>
      <c r="K19" s="727"/>
      <c r="L19" s="483" t="b">
        <v>0</v>
      </c>
      <c r="M19" s="412"/>
      <c r="N19" s="412"/>
      <c r="O19" s="114"/>
      <c r="P19" s="412"/>
      <c r="Q19" s="412"/>
      <c r="R19" s="401" t="b">
        <v>0</v>
      </c>
      <c r="S19" s="731" t="str">
        <f>IFERROR(VLOOKUP(V19,'GESTION DES JOUEURS'!$B$11:$E$46,2,FALSE),"")</f>
        <v/>
      </c>
      <c r="T19" s="732"/>
      <c r="U19" s="83" t="str">
        <f>IFERROR(VLOOKUP(V19,'GESTION DES JOUEURS'!$B$11:$E$46,3,FALSE),"")</f>
        <v/>
      </c>
      <c r="V19" s="83" t="str">
        <f>IF(AND('GESTION DES JOUEURS'!$D$8="Open",$CO$43&gt;8),CP19,"")</f>
        <v/>
      </c>
      <c r="W19" s="115" t="str">
        <f>IFERROR(IF(AND(X19&gt;=0,Y19=FALSE),P19/O19,IF(AND(X19&gt;=0,Y19=TRUE),(P19/O19)*_xlfn.XLOOKUP('GESTION DES JOUEURS'!$X$8&amp;RIGHT('GESTION DES JOUEURS'!$Y$8,1),Tableau14[Colonne1],Tableau14[coef. 2,80/3,10],"",0,1),"")),"")</f>
        <v/>
      </c>
      <c r="X19" s="569" t="str">
        <f>IF(A19="","",IF(P19="ab.",0,IF(N19="ab.",2,IF(AND('GESTION DES JOUEURS'!$D$8&lt;&gt;"Open",O19&gt;0,P19&gt;N19),2,IF(AND('GESTION DES JOUEURS'!$D$8&lt;&gt;"Open",O19&gt;0,P19&lt;N19),0,IF(AND('GESTION DES JOUEURS'!$D$8&lt;&gt;"Open",O19&gt;0,P19=N19),1,IF(AND('GESTION DES JOUEURS'!$D$8="Open",(P19/_xlfn.XLOOKUP(V19,$CP$7:$CP$42,$DI$7:$DI$42,"",0,1))&gt;(N19/_xlfn.XLOOKUP(F19,$CP$7:$CP$42,$DI$7:$DI$42,"",0,1))),2,IF(AND('GESTION DES JOUEURS'!$D$8="Open",(P19/_xlfn.XLOOKUP(V19,$CP$7:$CP$42,$DI$7:$DI$42,"",0,1))=(N19/_xlfn.XLOOKUP(F19,$CP$7:$CP$42,$DI$7:$DI$42,"",0,1))),1,IF(AND('GESTION DES JOUEURS'!$D$8="Open",(P19/_xlfn.XLOOKUP(V19,$CP$7:$CP$42,$DI$7:$DI$42,"",0,1))&lt;(N19/_xlfn.XLOOKUP(F19,$CP$7:$CP$42,$DI$7:$DI$42,"",0,1))),0,"")))))))))</f>
        <v/>
      </c>
      <c r="Y19" s="546" t="b">
        <v>0</v>
      </c>
      <c r="AA19" s="905" t="s">
        <v>8117</v>
      </c>
      <c r="AC19" s="244" t="b" cm="1">
        <f t="array" ref="AC19">IF(AND(_xlfn.XLOOKUP(F19,Tableau19[Licence],'GESTION DES JOUEURS'!$O$11:$O$46,"",0,1)&lt;&gt;"N1",_xlfn.XLOOKUP(V19,Tableau19[Licence],'GESTION DES JOUEURS'!$O$11:$O$46,"",0,1)&lt;&gt;"N1",'GESTION DES JOUEURS'!$X$8="Cadre"),TRUE,FALSE)</f>
        <v>0</v>
      </c>
      <c r="AE19" s="371">
        <v>4</v>
      </c>
      <c r="AF19" s="371" t="str">
        <f>F16</f>
        <v/>
      </c>
      <c r="AG19" s="371" t="str">
        <f>D16</f>
        <v/>
      </c>
      <c r="AH19" s="371" t="b">
        <f>L16</f>
        <v>0</v>
      </c>
      <c r="AI19" s="371" t="e">
        <f t="shared" si="0"/>
        <v>#VALUE!</v>
      </c>
      <c r="AJ19" s="244" t="e">
        <f t="shared" si="1"/>
        <v>#VALUE!</v>
      </c>
      <c r="AK19" s="244">
        <f>M16</f>
        <v>0</v>
      </c>
      <c r="AL19" s="573" t="str">
        <f>E16</f>
        <v/>
      </c>
      <c r="AM19" s="244" t="e">
        <f>P16/AJ19</f>
        <v>#VALUE!</v>
      </c>
      <c r="AN19" s="244">
        <v>15</v>
      </c>
      <c r="AO19" s="244" t="str">
        <f t="shared" si="2"/>
        <v/>
      </c>
      <c r="AP19" s="244">
        <f t="shared" si="3"/>
        <v>1</v>
      </c>
      <c r="AQ19" s="244" t="str">
        <f t="shared" si="4"/>
        <v/>
      </c>
      <c r="AR19" s="244" t="b">
        <f t="shared" si="5"/>
        <v>0</v>
      </c>
      <c r="AS19" s="578" t="e">
        <f t="shared" si="6"/>
        <v>#VALUE!</v>
      </c>
      <c r="AT19" s="578" t="e">
        <f t="shared" si="7"/>
        <v>#VALUE!</v>
      </c>
      <c r="AU19" s="244">
        <f t="shared" si="8"/>
        <v>0</v>
      </c>
      <c r="AV19" s="575">
        <f t="shared" si="9"/>
        <v>0</v>
      </c>
      <c r="AW19" s="575">
        <f t="shared" si="10"/>
        <v>0</v>
      </c>
      <c r="AX19" s="577">
        <f t="shared" si="11"/>
        <v>0</v>
      </c>
      <c r="BA19" s="244">
        <v>13</v>
      </c>
      <c r="BB19" s="443" t="str">
        <f>IF('GESTION DES JOUEURS'!B23="","",'GESTION DES JOUEURS'!B23)</f>
        <v/>
      </c>
      <c r="BC19" s="443" t="str" cm="1">
        <f t="array" ref="BC19:BS19">_xlfn.XLOOKUP('Phase finale'!BB19,PA!$B$37:$B$42,PA!$C$37:$S$42,_xlfn.XLOOKUP('Phase finale'!BB19,PB!$B$37:$B$42,PB!$C$37:$S$42,_xlfn.XLOOKUP('Phase finale'!BB19,PC!$B$37:$B$42,PC!$C$37:$S$42,_xlfn.XLOOKUP('Phase finale'!BB19,PD!$B$37:$B$42,PD!$C$37:$S$42,_xlfn.XLOOKUP('Phase finale'!BB19,PE!$B$37:$B$42,PE!$C$37:$S$42,_xlfn.XLOOKUP('Phase finale'!BB19,PF!$B$37:$B$42,PF!$C$37:$S$42,_xlfn.XLOOKUP('Phase finale'!BB19,PG!$B$37:$B$42,PG!$C$37:$S$42,_xlfn.XLOOKUP('Phase finale'!BB19,PH!$B$37:$B$42,PH!$C$37:$S$42,_xlfn.XLOOKUP('Phase finale'!BB19,PI!$B$37:$B$42,PI!$C$37:$S$42,_xlfn.XLOOKUP('Phase finale'!BB19,PJ!$B$37:$B$42,PJ!$C$37:$S$42,_xlfn.XLOOKUP('Phase finale'!BB19,PK!$B$37:$B$42,PK!$C$37:$S$42,_xlfn.XLOOKUP('Phase finale'!BB19,PL!$B$37:$B$42,PL!$C$37:$S$42,"",0,1),0,1),0,1),0,1),0,1),0,1),0,1),0,1),0,1),0,1),0,1),0,1)</f>
        <v/>
      </c>
      <c r="BD19" s="443">
        <v>0</v>
      </c>
      <c r="BE19" s="443" t="str">
        <v/>
      </c>
      <c r="BF19" s="443">
        <v>0</v>
      </c>
      <c r="BG19" s="443" t="str">
        <v/>
      </c>
      <c r="BH19" s="443">
        <v>0</v>
      </c>
      <c r="BI19" s="443">
        <v>0</v>
      </c>
      <c r="BJ19" s="443">
        <v>0</v>
      </c>
      <c r="BK19" s="443">
        <v>0</v>
      </c>
      <c r="BL19" s="443">
        <v>0</v>
      </c>
      <c r="BM19" s="443" t="str">
        <v/>
      </c>
      <c r="BN19" s="443" t="str">
        <v/>
      </c>
      <c r="BO19" s="443" t="str">
        <v/>
      </c>
      <c r="BP19" s="443" t="str">
        <v/>
      </c>
      <c r="BQ19" s="443" t="str">
        <v/>
      </c>
      <c r="BR19" s="443" t="str">
        <v/>
      </c>
      <c r="BS19" s="443" t="str">
        <v/>
      </c>
      <c r="BU19" s="244">
        <v>13</v>
      </c>
      <c r="BV19" s="244" t="str">
        <v/>
      </c>
      <c r="BW19" s="244" t="str">
        <v/>
      </c>
      <c r="BX19" s="244">
        <v>0</v>
      </c>
      <c r="BY19" s="244" t="str">
        <v/>
      </c>
      <c r="BZ19" s="244">
        <v>0</v>
      </c>
      <c r="CA19" s="244" t="str">
        <v/>
      </c>
      <c r="CB19" s="244">
        <v>0</v>
      </c>
      <c r="CC19" s="244">
        <v>0</v>
      </c>
      <c r="CD19" s="244">
        <v>0</v>
      </c>
      <c r="CE19" s="244">
        <v>0</v>
      </c>
      <c r="CF19" s="244">
        <v>0</v>
      </c>
      <c r="CG19" s="244" t="str">
        <v/>
      </c>
      <c r="CH19" s="244" t="str">
        <v/>
      </c>
      <c r="CI19" s="244" t="str">
        <v/>
      </c>
      <c r="CJ19" s="244" t="str">
        <v/>
      </c>
      <c r="CK19" s="244" t="str">
        <v/>
      </c>
      <c r="CL19" s="244" t="str">
        <v/>
      </c>
      <c r="CM19" s="244" t="str">
        <v/>
      </c>
      <c r="CO19" s="244">
        <f t="shared" si="12"/>
        <v>11</v>
      </c>
      <c r="CP19" s="244" t="str">
        <v/>
      </c>
      <c r="CQ19" s="244" t="str">
        <v/>
      </c>
      <c r="CR19" s="244">
        <v>0</v>
      </c>
      <c r="CS19" s="244" t="str">
        <v/>
      </c>
      <c r="CT19" s="244">
        <v>0</v>
      </c>
      <c r="CU19" s="244" t="str">
        <v/>
      </c>
      <c r="CV19" s="244">
        <v>0</v>
      </c>
      <c r="CW19" s="244">
        <v>0</v>
      </c>
      <c r="CX19" s="244">
        <v>0</v>
      </c>
      <c r="CY19" s="244">
        <v>0</v>
      </c>
      <c r="CZ19" s="244">
        <v>0</v>
      </c>
      <c r="DA19" s="244" t="str">
        <v/>
      </c>
      <c r="DB19" s="244" t="str">
        <v/>
      </c>
      <c r="DC19" s="244" t="str">
        <v/>
      </c>
      <c r="DD19" s="244" t="str">
        <v/>
      </c>
      <c r="DE19" s="244" t="str">
        <v/>
      </c>
      <c r="DF19" s="244" t="str">
        <v/>
      </c>
      <c r="DG19" s="244" t="str">
        <v/>
      </c>
      <c r="DH19" s="244" t="str" cm="1">
        <f t="array" ref="DH19">_xlfn.XLOOKUP(CP19,Tableau19[Licence],'GESTION DES JOUEURS'!$O$11:$O$46,"",0,1)</f>
        <v/>
      </c>
      <c r="DI19" s="471" t="str">
        <f>IF('GESTION DES JOUEURS'!$X$8="Libre",_xlfn.XLOOKUP(DH19,Tableau13[Cat.],Tableau13[Libre],"",0,1),IF('GESTION DES JOUEURS'!$X$8="Bande",_xlfn.XLOOKUP(DH19,Tableau13[Cat.],Tableau13[bande],"",0,1),IF('GESTION DES JOUEURS'!$X$8="Cadre",_xlfn.XLOOKUP(DH19,Tableau13[Cat.],Tableau13[Cadre],"",0,1),IF('GESTION DES JOUEURS'!$X$8="3 Bandes",_xlfn.XLOOKUP(DH19,Tableau13[Cat.],Tableau13[3 Bandes],"",0,1),""))))</f>
        <v/>
      </c>
      <c r="DK19" s="443" t="str">
        <v/>
      </c>
      <c r="DL19" s="443">
        <f>SUM(SUMIFS($N$9:$N$34,$F$9:$F$34,DK19,$A$9:$A$34,"P"),SUMIFS($P$9:$P$34,$V$9:$V$34,DK19,$A$9:$A$34,"P"),SUMIFS(Consolante!$P$9:$P$34,Consolante!$V$9:$V$34,DK19,Consolante!$A$9:$A$34,"P"),SUMIFS(Consolante!$N$9:$N$34,Consolante!$F$9:$F$34,DK19,Consolante!$A$9:$A$34,"P"))</f>
        <v>0</v>
      </c>
      <c r="DM19" s="443">
        <f>SUM(SUMIFS($O$9:$O$34,$F$9:$F$34,DK19,$A$9:$A$34,"P",$Y$9:$Y$34,FALSE),SUMIFS($O$9:$O$34,$F$9:$F$34,DK19,$A$9:$A$34,"P",$Y$9:$Y$34,TRUE)/_xlfn.XLOOKUP('GESTION DES JOUEURS'!$X$8&amp;RIGHT('GESTION DES JOUEURS'!$Y$8,1),Tableau14[Colonne1],Tableau14[coef. 2,80/3,10],"",0,1),SUMIFS($O$9:$O$34,$V$9:$V$34,DK19,$A$9:$A$34,"P",$Y$9:$Y$34,FALSE),SUMIFS($O$9:$O$34,$V$9:$V$34,DK19,$A$9:$A$34,"P",$Y$9:$Y$34,TRUE)/_xlfn.XLOOKUP('GESTION DES JOUEURS'!$X$8&amp;RIGHT('GESTION DES JOUEURS'!$Y$8,1),Tableau14[Colonne1],Tableau14[coef. 2,80/3,10],"",0,1),_xlfn.XLOOKUP(DK19,Consolante!$CP$7:$CP$22,Consolante!$CR$7:$CR$22,0,0,1))</f>
        <v>0</v>
      </c>
      <c r="DN19" s="447" t="str">
        <f t="shared" si="13"/>
        <v/>
      </c>
      <c r="DO19" s="443"/>
      <c r="DP19" s="443">
        <f>_xlfn.XLOOKUP(DK19,PA!$B$6:$B$11,PA!$P$6:$P$11,_xlfn.XLOOKUP(DK19,PB!$B$6:$B$11,PB!$P$6:$P$11,_xlfn.XLOOKUP(DK19,PC!$B$6:$B$11,PC!$P$6:$P$11,_xlfn.XLOOKUP(DK19,PD!$B$6:$B$11,PD!$P$6:$P$11,_xlfn.XLOOKUP(DK19,PE!$B$6:$B$11,PE!$P$6:$P$11,_xlfn.XLOOKUP(DK19,PF!$B$6:$B$11,PF!$P$6:$P$11,_xlfn.XLOOKUP(DK19,PG!$B$6:$B$11,PG!$P$6:$P$11,_xlfn.XLOOKUP(DK19,PH!$B$6:$B$11,PH!$P$6:$P$11,_xlfn.XLOOKUP(DK19,PI!$B$6:$B$11,PI!$P$6:$P$11,_xlfn.XLOOKUP(DK19,PJ!$B$6:$B$11,PJ!$P$6:$P$11,_xlfn.XLOOKUP(DK19,PK!$B$6:$B$11,PK!$P$6:$P$11,_xlfn.XLOOKUP(DK19,PL!$B$6:$B$11,PL!$P$6:$P$11,"",0,1),0,1),0,1),0,1),0,1),0,1),0,1),0,1),0,1),0,1),0,1),0,1)</f>
        <v>0</v>
      </c>
      <c r="DQ19" s="443">
        <f>_xlfn.XLOOKUP(DK19,PA!$B$6:$B$11,PA!$Q$6:$Q$11,_xlfn.XLOOKUP(DK19,PB!$B$6:$B$11,PB!$Q$6:$Q$11,_xlfn.XLOOKUP(DK19,PC!$B$6:$B$11,PC!$Q$6:$Q$11,_xlfn.XLOOKUP(DK19,PD!$B$6:$B$11,PD!$Q$6:$Q$11,_xlfn.XLOOKUP(DK19,PE!$B$6:$B$11,PE!$Q$6:$Q$11,_xlfn.XLOOKUP(DK19,PF!$B$6:$B$11,PF!$Q$6:$Q$11,_xlfn.XLOOKUP(DK19,PG!$B$6:$B$11,PG!$Q$6:$Q$11,_xlfn.XLOOKUP(DK19,PH!$B$6:$B$11,PH!$Q$6:$Q$11,_xlfn.XLOOKUP(DK19,PI!$B$6:$B$11,PI!$Q$6:$Q$11,_xlfn.XLOOKUP(DK19,PJ!$B$6:$B$11,PJ!$Q$6:$Q$11,_xlfn.XLOOKUP(DK19,PK!$B$6:$B$11,PK!$Q$6:$Q$11,_xlfn.XLOOKUP(DK19,PL!$B$6:$B$11,PL!$Q$6:$Q$11,"",0,1),0,1),0,1),0,1),0,1),0,1),0,1),0,1),0,1),0,1),0,1),0,1)</f>
        <v>0</v>
      </c>
      <c r="DR19" s="244" t="str">
        <f>IFERROR(('Phase finale'!DL19+'Phase finale'!DP19)/('Phase finale'!DM19+'Phase finale'!DQ19),"")</f>
        <v/>
      </c>
    </row>
    <row r="20" spans="1:137" ht="14.1" customHeight="1" x14ac:dyDescent="0.25">
      <c r="A20" s="245" t="str">
        <f t="shared" si="14"/>
        <v/>
      </c>
      <c r="B20" s="369" t="s">
        <v>9874</v>
      </c>
      <c r="C20" s="390" t="str">
        <f>IF('GESTION DES JOUEURS'!$D$8="Open",4,"")</f>
        <v/>
      </c>
      <c r="D20" s="79" t="str">
        <f>IF(A20="","",IF(N20="ab.",0,IF(P20="ab.",2,IF(AND('GESTION DES JOUEURS'!$D$8&lt;&gt;"Open",O20&gt;0,N20&gt;P20),2,IF(AND('GESTION DES JOUEURS'!$D$8&lt;&gt;"Open",O20&gt;0,N20&lt;P20),0,IF(AND('GESTION DES JOUEURS'!$D$8&lt;&gt;"Open",O20&gt;0,N20=P20),1,IF(AND('GESTION DES JOUEURS'!$D$8="Open",(N20/_xlfn.XLOOKUP(F20,$CP$7:$CP$42,$DI$7:$DI$42,"",0,1))&gt;(P20/_xlfn.XLOOKUP(V20,$CP$7:$CP$42,$DI$7:$DI$42,"",0,1))),2,IF(AND('GESTION DES JOUEURS'!$D$8="Open",(N20/_xlfn.XLOOKUP(F20,$CP$7:$CP$42,$DI$7:$DI$42,"",0,1))=(P20/_xlfn.XLOOKUP(V20,$CP$7:$CP$42,$DI$7:$DI$42,"",0,1))),1,IF(AND('GESTION DES JOUEURS'!$D$8="Open",(N20/_xlfn.XLOOKUP(F20,$CP$7:$CP$42,$DI$7:$DI$42,"",0,1))&lt;(P20/_xlfn.XLOOKUP(V20,$CP$7:$CP$42,$DI$7:$DI$42,"",0,1))),0,"")))))))))</f>
        <v/>
      </c>
      <c r="E20" s="113" t="str">
        <f>IFERROR(IF(AND(D20&gt;=0,Y20=FALSE),N20/O20,IF(AND(D20&gt;=0,Y20=TRUE),(N20/O20)*_xlfn.XLOOKUP('GESTION DES JOUEURS'!$X$8&amp;RIGHT('GESTION DES JOUEURS'!$Y$8,1),Tableau14[Colonne1],Tableau14[coef. 2,80/3,10],"",0,1),"")),"")</f>
        <v/>
      </c>
      <c r="F20" s="80" t="str">
        <f>IF(AND('GESTION DES JOUEURS'!$D$8="Open",$CO$43&gt;8),CP11,"")</f>
        <v/>
      </c>
      <c r="G20" s="729" t="str">
        <f>IFERROR(VLOOKUP(F20,'GESTION DES JOUEURS'!$B$11:$E$46,2,FALSE),"")</f>
        <v/>
      </c>
      <c r="H20" s="726"/>
      <c r="I20" s="730"/>
      <c r="J20" s="726" t="str">
        <f>IFERROR(VLOOKUP(F20,'GESTION DES JOUEURS'!$B$11:$E$46,3,FALSE),"")</f>
        <v/>
      </c>
      <c r="K20" s="727"/>
      <c r="L20" s="483" t="b">
        <v>0</v>
      </c>
      <c r="M20" s="412"/>
      <c r="N20" s="412"/>
      <c r="O20" s="114"/>
      <c r="P20" s="412"/>
      <c r="Q20" s="412"/>
      <c r="R20" s="401" t="b">
        <v>0</v>
      </c>
      <c r="S20" s="731" t="str">
        <f>IFERROR(VLOOKUP(V20,'GESTION DES JOUEURS'!$B$11:$E$46,2,FALSE),"")</f>
        <v/>
      </c>
      <c r="T20" s="732"/>
      <c r="U20" s="83" t="str">
        <f>IFERROR(VLOOKUP(V20,'GESTION DES JOUEURS'!$B$11:$E$46,3,FALSE),"")</f>
        <v/>
      </c>
      <c r="V20" s="83" t="str">
        <f>IF(AND('GESTION DES JOUEURS'!$D$8="Open",$CO$43&gt;8),CP18,"")</f>
        <v/>
      </c>
      <c r="W20" s="115" t="str">
        <f>IFERROR(IF(AND(X20&gt;=0,Y20=FALSE),P20/O20,IF(AND(X20&gt;=0,Y20=TRUE),(P20/O20)*_xlfn.XLOOKUP('GESTION DES JOUEURS'!$X$8&amp;RIGHT('GESTION DES JOUEURS'!$Y$8,1),Tableau14[Colonne1],Tableau14[coef. 2,80/3,10],"",0,1),"")),"")</f>
        <v/>
      </c>
      <c r="X20" s="569" t="str">
        <f>IF(A20="","",IF(P20="ab.",0,IF(N20="ab.",2,IF(AND('GESTION DES JOUEURS'!$D$8&lt;&gt;"Open",O20&gt;0,P20&gt;N20),2,IF(AND('GESTION DES JOUEURS'!$D$8&lt;&gt;"Open",O20&gt;0,P20&lt;N20),0,IF(AND('GESTION DES JOUEURS'!$D$8&lt;&gt;"Open",O20&gt;0,P20=N20),1,IF(AND('GESTION DES JOUEURS'!$D$8="Open",(P20/_xlfn.XLOOKUP(V20,$CP$7:$CP$42,$DI$7:$DI$42,"",0,1))&gt;(N20/_xlfn.XLOOKUP(F20,$CP$7:$CP$42,$DI$7:$DI$42,"",0,1))),2,IF(AND('GESTION DES JOUEURS'!$D$8="Open",(P20/_xlfn.XLOOKUP(V20,$CP$7:$CP$42,$DI$7:$DI$42,"",0,1))=(N20/_xlfn.XLOOKUP(F20,$CP$7:$CP$42,$DI$7:$DI$42,"",0,1))),1,IF(AND('GESTION DES JOUEURS'!$D$8="Open",(P20/_xlfn.XLOOKUP(V20,$CP$7:$CP$42,$DI$7:$DI$42,"",0,1))&lt;(N20/_xlfn.XLOOKUP(F20,$CP$7:$CP$42,$DI$7:$DI$42,"",0,1))),0,"")))))))))</f>
        <v/>
      </c>
      <c r="Y20" s="546" t="b">
        <v>0</v>
      </c>
      <c r="AA20" s="905"/>
      <c r="AC20" s="244" t="b" cm="1">
        <f t="array" ref="AC20">IF(AND(_xlfn.XLOOKUP(F20,Tableau19[Licence],'GESTION DES JOUEURS'!$O$11:$O$46,"",0,1)&lt;&gt;"N1",_xlfn.XLOOKUP(V20,Tableau19[Licence],'GESTION DES JOUEURS'!$O$11:$O$46,"",0,1)&lt;&gt;"N1",'GESTION DES JOUEURS'!$X$8="Cadre"),TRUE,FALSE)</f>
        <v>0</v>
      </c>
      <c r="AE20" s="371">
        <v>4</v>
      </c>
      <c r="AF20" s="371" t="str">
        <f t="shared" ref="AF20:AF26" si="21">F17</f>
        <v/>
      </c>
      <c r="AG20" s="371" t="str">
        <f t="shared" ref="AG20:AG26" si="22">D17</f>
        <v/>
      </c>
      <c r="AH20" s="371" t="b">
        <f t="shared" ref="AH20:AH26" si="23">L17</f>
        <v>0</v>
      </c>
      <c r="AI20" s="371" t="e">
        <f t="shared" si="0"/>
        <v>#VALUE!</v>
      </c>
      <c r="AJ20" s="244" t="e">
        <f t="shared" si="1"/>
        <v>#VALUE!</v>
      </c>
      <c r="AK20" s="244">
        <f t="shared" ref="AK20:AK26" si="24">M17</f>
        <v>0</v>
      </c>
      <c r="AL20" s="573" t="str">
        <f t="shared" ref="AL20:AL26" si="25">E17</f>
        <v/>
      </c>
      <c r="AM20" s="244" t="e">
        <f t="shared" ref="AM20:AM26" si="26">P17/AJ20</f>
        <v>#VALUE!</v>
      </c>
      <c r="AN20" s="244">
        <v>16</v>
      </c>
      <c r="AO20" s="244" t="str">
        <f t="shared" si="2"/>
        <v/>
      </c>
      <c r="AP20" s="244">
        <f t="shared" si="3"/>
        <v>1</v>
      </c>
      <c r="AQ20" s="244" t="str">
        <f t="shared" si="4"/>
        <v/>
      </c>
      <c r="AR20" s="244" t="b">
        <f t="shared" si="5"/>
        <v>0</v>
      </c>
      <c r="AS20" s="578" t="e">
        <f t="shared" si="6"/>
        <v>#VALUE!</v>
      </c>
      <c r="AT20" s="578" t="e">
        <f t="shared" si="7"/>
        <v>#VALUE!</v>
      </c>
      <c r="AU20" s="244">
        <f t="shared" si="8"/>
        <v>0</v>
      </c>
      <c r="AV20" s="575">
        <f t="shared" si="9"/>
        <v>0</v>
      </c>
      <c r="AW20" s="575">
        <f t="shared" si="10"/>
        <v>0</v>
      </c>
      <c r="AX20" s="577">
        <f t="shared" si="11"/>
        <v>0</v>
      </c>
      <c r="BA20" s="244">
        <v>14</v>
      </c>
      <c r="BB20" s="443" t="str">
        <f>IF('GESTION DES JOUEURS'!B24="","",'GESTION DES JOUEURS'!B24)</f>
        <v/>
      </c>
      <c r="BC20" s="443" t="str" cm="1">
        <f t="array" ref="BC20:BS20">_xlfn.XLOOKUP('Phase finale'!BB20,PA!$B$37:$B$42,PA!$C$37:$S$42,_xlfn.XLOOKUP('Phase finale'!BB20,PB!$B$37:$B$42,PB!$C$37:$S$42,_xlfn.XLOOKUP('Phase finale'!BB20,PC!$B$37:$B$42,PC!$C$37:$S$42,_xlfn.XLOOKUP('Phase finale'!BB20,PD!$B$37:$B$42,PD!$C$37:$S$42,_xlfn.XLOOKUP('Phase finale'!BB20,PE!$B$37:$B$42,PE!$C$37:$S$42,_xlfn.XLOOKUP('Phase finale'!BB20,PF!$B$37:$B$42,PF!$C$37:$S$42,_xlfn.XLOOKUP('Phase finale'!BB20,PG!$B$37:$B$42,PG!$C$37:$S$42,_xlfn.XLOOKUP('Phase finale'!BB20,PH!$B$37:$B$42,PH!$C$37:$S$42,_xlfn.XLOOKUP('Phase finale'!BB20,PI!$B$37:$B$42,PI!$C$37:$S$42,_xlfn.XLOOKUP('Phase finale'!BB20,PJ!$B$37:$B$42,PJ!$C$37:$S$42,_xlfn.XLOOKUP('Phase finale'!BB20,PK!$B$37:$B$42,PK!$C$37:$S$42,_xlfn.XLOOKUP('Phase finale'!BB20,PL!$B$37:$B$42,PL!$C$37:$S$42,"",0,1),0,1),0,1),0,1),0,1),0,1),0,1),0,1),0,1),0,1),0,1),0,1)</f>
        <v/>
      </c>
      <c r="BD20" s="443">
        <v>0</v>
      </c>
      <c r="BE20" s="443" t="str">
        <v/>
      </c>
      <c r="BF20" s="443">
        <v>0</v>
      </c>
      <c r="BG20" s="443" t="str">
        <v/>
      </c>
      <c r="BH20" s="443">
        <v>0</v>
      </c>
      <c r="BI20" s="443">
        <v>0</v>
      </c>
      <c r="BJ20" s="443">
        <v>0</v>
      </c>
      <c r="BK20" s="443">
        <v>0</v>
      </c>
      <c r="BL20" s="443">
        <v>0</v>
      </c>
      <c r="BM20" s="443" t="str">
        <v/>
      </c>
      <c r="BN20" s="443" t="str">
        <v/>
      </c>
      <c r="BO20" s="443" t="str">
        <v/>
      </c>
      <c r="BP20" s="443" t="str">
        <v/>
      </c>
      <c r="BQ20" s="443" t="str">
        <v/>
      </c>
      <c r="BR20" s="443" t="str">
        <v/>
      </c>
      <c r="BS20" s="443" t="str">
        <v/>
      </c>
      <c r="BU20" s="244">
        <v>14</v>
      </c>
      <c r="BV20" s="244" t="str">
        <v/>
      </c>
      <c r="BW20" s="244" t="str">
        <v/>
      </c>
      <c r="BX20" s="244">
        <v>0</v>
      </c>
      <c r="BY20" s="244" t="str">
        <v/>
      </c>
      <c r="BZ20" s="244">
        <v>0</v>
      </c>
      <c r="CA20" s="244" t="str">
        <v/>
      </c>
      <c r="CB20" s="244">
        <v>0</v>
      </c>
      <c r="CC20" s="244">
        <v>0</v>
      </c>
      <c r="CD20" s="244">
        <v>0</v>
      </c>
      <c r="CE20" s="244">
        <v>0</v>
      </c>
      <c r="CF20" s="244">
        <v>0</v>
      </c>
      <c r="CG20" s="244" t="str">
        <v/>
      </c>
      <c r="CH20" s="244" t="str">
        <v/>
      </c>
      <c r="CI20" s="244" t="str">
        <v/>
      </c>
      <c r="CJ20" s="244" t="str">
        <v/>
      </c>
      <c r="CK20" s="244" t="str">
        <v/>
      </c>
      <c r="CL20" s="244" t="str">
        <v/>
      </c>
      <c r="CM20" s="244" t="str">
        <v/>
      </c>
      <c r="CO20" s="244">
        <f t="shared" si="12"/>
        <v>11</v>
      </c>
      <c r="CP20" s="244" t="str">
        <v/>
      </c>
      <c r="CQ20" s="244" t="str">
        <v/>
      </c>
      <c r="CR20" s="244">
        <v>0</v>
      </c>
      <c r="CS20" s="244" t="str">
        <v/>
      </c>
      <c r="CT20" s="244">
        <v>0</v>
      </c>
      <c r="CU20" s="244" t="str">
        <v/>
      </c>
      <c r="CV20" s="244">
        <v>0</v>
      </c>
      <c r="CW20" s="244">
        <v>0</v>
      </c>
      <c r="CX20" s="244">
        <v>0</v>
      </c>
      <c r="CY20" s="244">
        <v>0</v>
      </c>
      <c r="CZ20" s="244">
        <v>0</v>
      </c>
      <c r="DA20" s="244" t="str">
        <v/>
      </c>
      <c r="DB20" s="244" t="str">
        <v/>
      </c>
      <c r="DC20" s="244" t="str">
        <v/>
      </c>
      <c r="DD20" s="244" t="str">
        <v/>
      </c>
      <c r="DE20" s="244" t="str">
        <v/>
      </c>
      <c r="DF20" s="244" t="str">
        <v/>
      </c>
      <c r="DG20" s="244" t="str">
        <v/>
      </c>
      <c r="DH20" s="244" t="str" cm="1">
        <f t="array" ref="DH20">_xlfn.XLOOKUP(CP20,Tableau19[Licence],'GESTION DES JOUEURS'!$O$11:$O$46,"",0,1)</f>
        <v/>
      </c>
      <c r="DI20" s="471" t="str">
        <f>IF('GESTION DES JOUEURS'!$X$8="Libre",_xlfn.XLOOKUP(DH20,Tableau13[Cat.],Tableau13[Libre],"",0,1),IF('GESTION DES JOUEURS'!$X$8="Bande",_xlfn.XLOOKUP(DH20,Tableau13[Cat.],Tableau13[bande],"",0,1),IF('GESTION DES JOUEURS'!$X$8="Cadre",_xlfn.XLOOKUP(DH20,Tableau13[Cat.],Tableau13[Cadre],"",0,1),IF('GESTION DES JOUEURS'!$X$8="3 Bandes",_xlfn.XLOOKUP(DH20,Tableau13[Cat.],Tableau13[3 Bandes],"",0,1),""))))</f>
        <v/>
      </c>
      <c r="DK20" s="443" t="str">
        <v/>
      </c>
      <c r="DL20" s="443">
        <f>SUM(SUMIFS($N$9:$N$34,$F$9:$F$34,DK20,$A$9:$A$34,"P"),SUMIFS($P$9:$P$34,$V$9:$V$34,DK20,$A$9:$A$34,"P"),SUMIFS(Consolante!$P$9:$P$34,Consolante!$V$9:$V$34,DK20,Consolante!$A$9:$A$34,"P"),SUMIFS(Consolante!$N$9:$N$34,Consolante!$F$9:$F$34,DK20,Consolante!$A$9:$A$34,"P"))</f>
        <v>0</v>
      </c>
      <c r="DM20" s="443">
        <f>SUM(SUMIFS($O$9:$O$34,$F$9:$F$34,DK20,$A$9:$A$34,"P",$Y$9:$Y$34,FALSE),SUMIFS($O$9:$O$34,$F$9:$F$34,DK20,$A$9:$A$34,"P",$Y$9:$Y$34,TRUE)/_xlfn.XLOOKUP('GESTION DES JOUEURS'!$X$8&amp;RIGHT('GESTION DES JOUEURS'!$Y$8,1),Tableau14[Colonne1],Tableau14[coef. 2,80/3,10],"",0,1),SUMIFS($O$9:$O$34,$V$9:$V$34,DK20,$A$9:$A$34,"P",$Y$9:$Y$34,FALSE),SUMIFS($O$9:$O$34,$V$9:$V$34,DK20,$A$9:$A$34,"P",$Y$9:$Y$34,TRUE)/_xlfn.XLOOKUP('GESTION DES JOUEURS'!$X$8&amp;RIGHT('GESTION DES JOUEURS'!$Y$8,1),Tableau14[Colonne1],Tableau14[coef. 2,80/3,10],"",0,1),_xlfn.XLOOKUP(DK20,Consolante!$CP$7:$CP$22,Consolante!$CR$7:$CR$22,0,0,1))</f>
        <v>0</v>
      </c>
      <c r="DN20" s="447" t="str">
        <f t="shared" si="13"/>
        <v/>
      </c>
      <c r="DO20" s="443"/>
      <c r="DP20" s="443">
        <f>_xlfn.XLOOKUP(DK20,PA!$B$6:$B$11,PA!$P$6:$P$11,_xlfn.XLOOKUP(DK20,PB!$B$6:$B$11,PB!$P$6:$P$11,_xlfn.XLOOKUP(DK20,PC!$B$6:$B$11,PC!$P$6:$P$11,_xlfn.XLOOKUP(DK20,PD!$B$6:$B$11,PD!$P$6:$P$11,_xlfn.XLOOKUP(DK20,PE!$B$6:$B$11,PE!$P$6:$P$11,_xlfn.XLOOKUP(DK20,PF!$B$6:$B$11,PF!$P$6:$P$11,_xlfn.XLOOKUP(DK20,PG!$B$6:$B$11,PG!$P$6:$P$11,_xlfn.XLOOKUP(DK20,PH!$B$6:$B$11,PH!$P$6:$P$11,_xlfn.XLOOKUP(DK20,PI!$B$6:$B$11,PI!$P$6:$P$11,_xlfn.XLOOKUP(DK20,PJ!$B$6:$B$11,PJ!$P$6:$P$11,_xlfn.XLOOKUP(DK20,PK!$B$6:$B$11,PK!$P$6:$P$11,_xlfn.XLOOKUP(DK20,PL!$B$6:$B$11,PL!$P$6:$P$11,"",0,1),0,1),0,1),0,1),0,1),0,1),0,1),0,1),0,1),0,1),0,1),0,1)</f>
        <v>0</v>
      </c>
      <c r="DQ20" s="443">
        <f>_xlfn.XLOOKUP(DK20,PA!$B$6:$B$11,PA!$Q$6:$Q$11,_xlfn.XLOOKUP(DK20,PB!$B$6:$B$11,PB!$Q$6:$Q$11,_xlfn.XLOOKUP(DK20,PC!$B$6:$B$11,PC!$Q$6:$Q$11,_xlfn.XLOOKUP(DK20,PD!$B$6:$B$11,PD!$Q$6:$Q$11,_xlfn.XLOOKUP(DK20,PE!$B$6:$B$11,PE!$Q$6:$Q$11,_xlfn.XLOOKUP(DK20,PF!$B$6:$B$11,PF!$Q$6:$Q$11,_xlfn.XLOOKUP(DK20,PG!$B$6:$B$11,PG!$Q$6:$Q$11,_xlfn.XLOOKUP(DK20,PH!$B$6:$B$11,PH!$Q$6:$Q$11,_xlfn.XLOOKUP(DK20,PI!$B$6:$B$11,PI!$Q$6:$Q$11,_xlfn.XLOOKUP(DK20,PJ!$B$6:$B$11,PJ!$Q$6:$Q$11,_xlfn.XLOOKUP(DK20,PK!$B$6:$B$11,PK!$Q$6:$Q$11,_xlfn.XLOOKUP(DK20,PL!$B$6:$B$11,PL!$Q$6:$Q$11,"",0,1),0,1),0,1),0,1),0,1),0,1),0,1),0,1),0,1),0,1),0,1),0,1)</f>
        <v>0</v>
      </c>
      <c r="DR20" s="244" t="str">
        <f>IFERROR(('Phase finale'!DL20+'Phase finale'!DP20)/('Phase finale'!DM20+'Phase finale'!DQ20),"")</f>
        <v/>
      </c>
    </row>
    <row r="21" spans="1:137" ht="14.1" customHeight="1" x14ac:dyDescent="0.25">
      <c r="A21" s="245" t="str">
        <f t="shared" si="14"/>
        <v/>
      </c>
      <c r="B21" s="369" t="s">
        <v>9875</v>
      </c>
      <c r="C21" s="390" t="str">
        <f>IF('GESTION DES JOUEURS'!$D$8="Open",3,"")</f>
        <v/>
      </c>
      <c r="D21" s="84" t="str">
        <f>IF(A21="","",IF(N21="ab.",0,IF(P21="ab.",2,IF(AND('GESTION DES JOUEURS'!$D$8&lt;&gt;"Open",O21&gt;0,N21&gt;P21),2,IF(AND('GESTION DES JOUEURS'!$D$8&lt;&gt;"Open",O21&gt;0,N21&lt;P21),0,IF(AND('GESTION DES JOUEURS'!$D$8&lt;&gt;"Open",O21&gt;0,N21=P21),1,IF(AND('GESTION DES JOUEURS'!$D$8="Open",(N21/_xlfn.XLOOKUP(F21,$CP$7:$CP$42,$DI$7:$DI$42,"",0,1))&gt;(P21/_xlfn.XLOOKUP(V21,$CP$7:$CP$42,$DI$7:$DI$42,"",0,1))),2,IF(AND('GESTION DES JOUEURS'!$D$8="Open",(N21/_xlfn.XLOOKUP(F21,$CP$7:$CP$42,$DI$7:$DI$42,"",0,1))=(P21/_xlfn.XLOOKUP(V21,$CP$7:$CP$42,$DI$7:$DI$42,"",0,1))),1,IF(AND('GESTION DES JOUEURS'!$D$8="Open",(N21/_xlfn.XLOOKUP(F21,$CP$7:$CP$42,$DI$7:$DI$42,"",0,1))&lt;(P21/_xlfn.XLOOKUP(V21,$CP$7:$CP$42,$DI$7:$DI$42,"",0,1))),0,"")))))))))</f>
        <v/>
      </c>
      <c r="E21" s="117" t="str">
        <f>IFERROR(IF(AND(D21&gt;=0,Y21=FALSE),N21/O21,IF(AND(D21&gt;=0,Y21=TRUE),(N21/O21)*_xlfn.XLOOKUP('GESTION DES JOUEURS'!$X$8&amp;RIGHT('GESTION DES JOUEURS'!$Y$8,1),Tableau14[Colonne1],Tableau14[coef. 2,80/3,10],"",0,1),"")),"")</f>
        <v/>
      </c>
      <c r="F21" s="85" t="str">
        <f>IF(AND('GESTION DES JOUEURS'!$D$8="Open",$CO$43&gt;8),CP12,"")</f>
        <v/>
      </c>
      <c r="G21" s="729" t="str">
        <f>IFERROR(VLOOKUP(F21,'GESTION DES JOUEURS'!$B$11:$E$46,2,FALSE),"")</f>
        <v/>
      </c>
      <c r="H21" s="726"/>
      <c r="I21" s="730"/>
      <c r="J21" s="726" t="str">
        <f>IFERROR(VLOOKUP(F21,'GESTION DES JOUEURS'!$B$11:$E$46,3,FALSE),"")</f>
        <v/>
      </c>
      <c r="K21" s="727"/>
      <c r="L21" s="482" t="b">
        <v>0</v>
      </c>
      <c r="M21" s="414"/>
      <c r="N21" s="412"/>
      <c r="O21" s="114"/>
      <c r="P21" s="412"/>
      <c r="Q21" s="414"/>
      <c r="R21" s="403" t="b">
        <v>0</v>
      </c>
      <c r="S21" s="731" t="str">
        <f>IFERROR(VLOOKUP(V21,'GESTION DES JOUEURS'!$B$11:$E$46,2,FALSE),"")</f>
        <v/>
      </c>
      <c r="T21" s="732"/>
      <c r="U21" s="83" t="str">
        <f>IFERROR(VLOOKUP(V21,'GESTION DES JOUEURS'!$B$11:$E$46,3,FALSE),"")</f>
        <v/>
      </c>
      <c r="V21" s="88" t="str">
        <f>IF(AND('GESTION DES JOUEURS'!$D$8="Open",$CO$43&gt;8),CP17,"")</f>
        <v/>
      </c>
      <c r="W21" s="119" t="str">
        <f>IFERROR(IF(AND(X21&gt;=0,Y21=FALSE),P21/O21,IF(AND(X21&gt;=0,Y21=TRUE),(P21/O21)*_xlfn.XLOOKUP('GESTION DES JOUEURS'!$X$8&amp;RIGHT('GESTION DES JOUEURS'!$Y$8,1),Tableau14[Colonne1],Tableau14[coef. 2,80/3,10],"",0,1),"")),"")</f>
        <v/>
      </c>
      <c r="X21" s="570" t="str">
        <f>IF(A21="","",IF(P21="ab.",0,IF(N21="ab.",2,IF(AND('GESTION DES JOUEURS'!$D$8&lt;&gt;"Open",O21&gt;0,P21&gt;N21),2,IF(AND('GESTION DES JOUEURS'!$D$8&lt;&gt;"Open",O21&gt;0,P21&lt;N21),0,IF(AND('GESTION DES JOUEURS'!$D$8&lt;&gt;"Open",O21&gt;0,P21=N21),1,IF(AND('GESTION DES JOUEURS'!$D$8="Open",(P21/_xlfn.XLOOKUP(V21,$CP$7:$CP$42,$DI$7:$DI$42,"",0,1))&gt;(N21/_xlfn.XLOOKUP(F21,$CP$7:$CP$42,$DI$7:$DI$42,"",0,1))),2,IF(AND('GESTION DES JOUEURS'!$D$8="Open",(P21/_xlfn.XLOOKUP(V21,$CP$7:$CP$42,$DI$7:$DI$42,"",0,1))=(N21/_xlfn.XLOOKUP(F21,$CP$7:$CP$42,$DI$7:$DI$42,"",0,1))),1,IF(AND('GESTION DES JOUEURS'!$D$8="Open",(P21/_xlfn.XLOOKUP(V21,$CP$7:$CP$42,$DI$7:$DI$42,"",0,1))&lt;(N21/_xlfn.XLOOKUP(F21,$CP$7:$CP$42,$DI$7:$DI$42,"",0,1))),0,"")))))))))</f>
        <v/>
      </c>
      <c r="Y21" s="546" t="b">
        <v>0</v>
      </c>
      <c r="AA21" s="911" t="s">
        <v>8118</v>
      </c>
      <c r="AC21" s="244" t="b" cm="1">
        <f t="array" ref="AC21">IF(AND(_xlfn.XLOOKUP(F21,Tableau19[Licence],'GESTION DES JOUEURS'!$O$11:$O$46,"",0,1)&lt;&gt;"N1",_xlfn.XLOOKUP(V21,Tableau19[Licence],'GESTION DES JOUEURS'!$O$11:$O$46,"",0,1)&lt;&gt;"N1",'GESTION DES JOUEURS'!$X$8="Cadre"),TRUE,FALSE)</f>
        <v>0</v>
      </c>
      <c r="AE21" s="371">
        <v>4</v>
      </c>
      <c r="AF21" s="371" t="str">
        <f t="shared" si="21"/>
        <v/>
      </c>
      <c r="AG21" s="371" t="str">
        <f t="shared" si="22"/>
        <v/>
      </c>
      <c r="AH21" s="371" t="b">
        <f t="shared" si="23"/>
        <v>0</v>
      </c>
      <c r="AI21" s="371" t="e">
        <f t="shared" si="0"/>
        <v>#VALUE!</v>
      </c>
      <c r="AJ21" s="244" t="e">
        <f t="shared" si="1"/>
        <v>#VALUE!</v>
      </c>
      <c r="AK21" s="244">
        <f t="shared" si="24"/>
        <v>0</v>
      </c>
      <c r="AL21" s="573" t="str">
        <f t="shared" si="25"/>
        <v/>
      </c>
      <c r="AM21" s="244" t="e">
        <f t="shared" si="26"/>
        <v>#VALUE!</v>
      </c>
      <c r="BA21" s="244">
        <v>15</v>
      </c>
      <c r="BB21" s="443" t="str">
        <f>IF('GESTION DES JOUEURS'!B25="","",'GESTION DES JOUEURS'!B25)</f>
        <v/>
      </c>
      <c r="BC21" s="443" t="str" cm="1">
        <f t="array" ref="BC21:BS21">_xlfn.XLOOKUP('Phase finale'!BB21,PA!$B$37:$B$42,PA!$C$37:$S$42,_xlfn.XLOOKUP('Phase finale'!BB21,PB!$B$37:$B$42,PB!$C$37:$S$42,_xlfn.XLOOKUP('Phase finale'!BB21,PC!$B$37:$B$42,PC!$C$37:$S$42,_xlfn.XLOOKUP('Phase finale'!BB21,PD!$B$37:$B$42,PD!$C$37:$S$42,_xlfn.XLOOKUP('Phase finale'!BB21,PE!$B$37:$B$42,PE!$C$37:$S$42,_xlfn.XLOOKUP('Phase finale'!BB21,PF!$B$37:$B$42,PF!$C$37:$S$42,_xlfn.XLOOKUP('Phase finale'!BB21,PG!$B$37:$B$42,PG!$C$37:$S$42,_xlfn.XLOOKUP('Phase finale'!BB21,PH!$B$37:$B$42,PH!$C$37:$S$42,_xlfn.XLOOKUP('Phase finale'!BB21,PI!$B$37:$B$42,PI!$C$37:$S$42,_xlfn.XLOOKUP('Phase finale'!BB21,PJ!$B$37:$B$42,PJ!$C$37:$S$42,_xlfn.XLOOKUP('Phase finale'!BB21,PK!$B$37:$B$42,PK!$C$37:$S$42,_xlfn.XLOOKUP('Phase finale'!BB21,PL!$B$37:$B$42,PL!$C$37:$S$42,"",0,1),0,1),0,1),0,1),0,1),0,1),0,1),0,1),0,1),0,1),0,1),0,1)</f>
        <v/>
      </c>
      <c r="BD21" s="443">
        <v>0</v>
      </c>
      <c r="BE21" s="443" t="str">
        <v/>
      </c>
      <c r="BF21" s="443">
        <v>0</v>
      </c>
      <c r="BG21" s="443" t="str">
        <v/>
      </c>
      <c r="BH21" s="443">
        <v>0</v>
      </c>
      <c r="BI21" s="443">
        <v>0</v>
      </c>
      <c r="BJ21" s="443">
        <v>0</v>
      </c>
      <c r="BK21" s="443">
        <v>0</v>
      </c>
      <c r="BL21" s="443">
        <v>0</v>
      </c>
      <c r="BM21" s="443" t="str">
        <v/>
      </c>
      <c r="BN21" s="443" t="str">
        <v/>
      </c>
      <c r="BO21" s="443" t="str">
        <v/>
      </c>
      <c r="BP21" s="443" t="str">
        <v/>
      </c>
      <c r="BQ21" s="443" t="str">
        <v/>
      </c>
      <c r="BR21" s="443" t="str">
        <v/>
      </c>
      <c r="BS21" s="443" t="str">
        <v/>
      </c>
      <c r="BU21" s="244">
        <v>15</v>
      </c>
      <c r="BV21" s="244" t="str">
        <v/>
      </c>
      <c r="BW21" s="244" t="str">
        <v/>
      </c>
      <c r="BX21" s="244">
        <v>0</v>
      </c>
      <c r="BY21" s="244" t="str">
        <v/>
      </c>
      <c r="BZ21" s="244">
        <v>0</v>
      </c>
      <c r="CA21" s="244" t="str">
        <v/>
      </c>
      <c r="CB21" s="244">
        <v>0</v>
      </c>
      <c r="CC21" s="244">
        <v>0</v>
      </c>
      <c r="CD21" s="244">
        <v>0</v>
      </c>
      <c r="CE21" s="244">
        <v>0</v>
      </c>
      <c r="CF21" s="244">
        <v>0</v>
      </c>
      <c r="CG21" s="244" t="str">
        <v/>
      </c>
      <c r="CH21" s="244" t="str">
        <v/>
      </c>
      <c r="CI21" s="244" t="str">
        <v/>
      </c>
      <c r="CJ21" s="244" t="str">
        <v/>
      </c>
      <c r="CK21" s="244" t="str">
        <v/>
      </c>
      <c r="CL21" s="244" t="str">
        <v/>
      </c>
      <c r="CM21" s="244" t="str">
        <v/>
      </c>
      <c r="CO21" s="244">
        <f t="shared" si="12"/>
        <v>11</v>
      </c>
      <c r="CP21" s="244" t="str">
        <v/>
      </c>
      <c r="CQ21" s="244" t="str">
        <v/>
      </c>
      <c r="CR21" s="244">
        <v>0</v>
      </c>
      <c r="CS21" s="244" t="str">
        <v/>
      </c>
      <c r="CT21" s="244">
        <v>0</v>
      </c>
      <c r="CU21" s="244" t="str">
        <v/>
      </c>
      <c r="CV21" s="244">
        <v>0</v>
      </c>
      <c r="CW21" s="244">
        <v>0</v>
      </c>
      <c r="CX21" s="244">
        <v>0</v>
      </c>
      <c r="CY21" s="244">
        <v>0</v>
      </c>
      <c r="CZ21" s="244">
        <v>0</v>
      </c>
      <c r="DA21" s="244" t="str">
        <v/>
      </c>
      <c r="DB21" s="244" t="str">
        <v/>
      </c>
      <c r="DC21" s="244" t="str">
        <v/>
      </c>
      <c r="DD21" s="244" t="str">
        <v/>
      </c>
      <c r="DE21" s="244" t="str">
        <v/>
      </c>
      <c r="DF21" s="244" t="str">
        <v/>
      </c>
      <c r="DG21" s="244" t="str">
        <v/>
      </c>
      <c r="DH21" s="244" t="str" cm="1">
        <f t="array" ref="DH21">_xlfn.XLOOKUP(CP21,Tableau19[Licence],'GESTION DES JOUEURS'!$O$11:$O$46,"",0,1)</f>
        <v/>
      </c>
      <c r="DI21" s="471" t="str">
        <f>IF('GESTION DES JOUEURS'!$X$8="Libre",_xlfn.XLOOKUP(DH21,Tableau13[Cat.],Tableau13[Libre],"",0,1),IF('GESTION DES JOUEURS'!$X$8="Bande",_xlfn.XLOOKUP(DH21,Tableau13[Cat.],Tableau13[bande],"",0,1),IF('GESTION DES JOUEURS'!$X$8="Cadre",_xlfn.XLOOKUP(DH21,Tableau13[Cat.],Tableau13[Cadre],"",0,1),IF('GESTION DES JOUEURS'!$X$8="3 Bandes",_xlfn.XLOOKUP(DH21,Tableau13[Cat.],Tableau13[3 Bandes],"",0,1),""))))</f>
        <v/>
      </c>
      <c r="DK21" s="443" t="str">
        <v/>
      </c>
      <c r="DL21" s="443">
        <f>SUM(SUMIFS($N$9:$N$34,$F$9:$F$34,DK21,$A$9:$A$34,"P"),SUMIFS($P$9:$P$34,$V$9:$V$34,DK21,$A$9:$A$34,"P"),SUMIFS(Consolante!$P$9:$P$34,Consolante!$V$9:$V$34,DK21,Consolante!$A$9:$A$34,"P"),SUMIFS(Consolante!$N$9:$N$34,Consolante!$F$9:$F$34,DK21,Consolante!$A$9:$A$34,"P"))</f>
        <v>0</v>
      </c>
      <c r="DM21" s="443">
        <f>SUM(SUMIFS($O$9:$O$34,$F$9:$F$34,DK21,$A$9:$A$34,"P",$Y$9:$Y$34,FALSE),SUMIFS($O$9:$O$34,$F$9:$F$34,DK21,$A$9:$A$34,"P",$Y$9:$Y$34,TRUE)/_xlfn.XLOOKUP('GESTION DES JOUEURS'!$X$8&amp;RIGHT('GESTION DES JOUEURS'!$Y$8,1),Tableau14[Colonne1],Tableau14[coef. 2,80/3,10],"",0,1),SUMIFS($O$9:$O$34,$V$9:$V$34,DK21,$A$9:$A$34,"P",$Y$9:$Y$34,FALSE),SUMIFS($O$9:$O$34,$V$9:$V$34,DK21,$A$9:$A$34,"P",$Y$9:$Y$34,TRUE)/_xlfn.XLOOKUP('GESTION DES JOUEURS'!$X$8&amp;RIGHT('GESTION DES JOUEURS'!$Y$8,1),Tableau14[Colonne1],Tableau14[coef. 2,80/3,10],"",0,1),_xlfn.XLOOKUP(DK21,Consolante!$CP$7:$CP$22,Consolante!$CR$7:$CR$22,0,0,1))</f>
        <v>0</v>
      </c>
      <c r="DN21" s="447" t="str">
        <f t="shared" si="13"/>
        <v/>
      </c>
      <c r="DO21" s="443"/>
      <c r="DP21" s="443">
        <f>_xlfn.XLOOKUP(DK21,PA!$B$6:$B$11,PA!$P$6:$P$11,_xlfn.XLOOKUP(DK21,PB!$B$6:$B$11,PB!$P$6:$P$11,_xlfn.XLOOKUP(DK21,PC!$B$6:$B$11,PC!$P$6:$P$11,_xlfn.XLOOKUP(DK21,PD!$B$6:$B$11,PD!$P$6:$P$11,_xlfn.XLOOKUP(DK21,PE!$B$6:$B$11,PE!$P$6:$P$11,_xlfn.XLOOKUP(DK21,PF!$B$6:$B$11,PF!$P$6:$P$11,_xlfn.XLOOKUP(DK21,PG!$B$6:$B$11,PG!$P$6:$P$11,_xlfn.XLOOKUP(DK21,PH!$B$6:$B$11,PH!$P$6:$P$11,_xlfn.XLOOKUP(DK21,PI!$B$6:$B$11,PI!$P$6:$P$11,_xlfn.XLOOKUP(DK21,PJ!$B$6:$B$11,PJ!$P$6:$P$11,_xlfn.XLOOKUP(DK21,PK!$B$6:$B$11,PK!$P$6:$P$11,_xlfn.XLOOKUP(DK21,PL!$B$6:$B$11,PL!$P$6:$P$11,"",0,1),0,1),0,1),0,1),0,1),0,1),0,1),0,1),0,1),0,1),0,1),0,1)</f>
        <v>0</v>
      </c>
      <c r="DQ21" s="443">
        <f>_xlfn.XLOOKUP(DK21,PA!$B$6:$B$11,PA!$Q$6:$Q$11,_xlfn.XLOOKUP(DK21,PB!$B$6:$B$11,PB!$Q$6:$Q$11,_xlfn.XLOOKUP(DK21,PC!$B$6:$B$11,PC!$Q$6:$Q$11,_xlfn.XLOOKUP(DK21,PD!$B$6:$B$11,PD!$Q$6:$Q$11,_xlfn.XLOOKUP(DK21,PE!$B$6:$B$11,PE!$Q$6:$Q$11,_xlfn.XLOOKUP(DK21,PF!$B$6:$B$11,PF!$Q$6:$Q$11,_xlfn.XLOOKUP(DK21,PG!$B$6:$B$11,PG!$Q$6:$Q$11,_xlfn.XLOOKUP(DK21,PH!$B$6:$B$11,PH!$Q$6:$Q$11,_xlfn.XLOOKUP(DK21,PI!$B$6:$B$11,PI!$Q$6:$Q$11,_xlfn.XLOOKUP(DK21,PJ!$B$6:$B$11,PJ!$Q$6:$Q$11,_xlfn.XLOOKUP(DK21,PK!$B$6:$B$11,PK!$Q$6:$Q$11,_xlfn.XLOOKUP(DK21,PL!$B$6:$B$11,PL!$Q$6:$Q$11,"",0,1),0,1),0,1),0,1),0,1),0,1),0,1),0,1),0,1),0,1),0,1),0,1)</f>
        <v>0</v>
      </c>
      <c r="DR21" s="244" t="str">
        <f>IFERROR(('Phase finale'!DL21+'Phase finale'!DP21)/('Phase finale'!DM21+'Phase finale'!DQ21),"")</f>
        <v/>
      </c>
    </row>
    <row r="22" spans="1:137" ht="14.1" customHeight="1" x14ac:dyDescent="0.25">
      <c r="A22" s="245" t="str">
        <f t="shared" si="14"/>
        <v/>
      </c>
      <c r="B22" s="369" t="s">
        <v>9876</v>
      </c>
      <c r="C22" s="390" t="str">
        <f>IF('GESTION DES JOUEURS'!$D$8="Open",2,"")</f>
        <v/>
      </c>
      <c r="D22" s="79" t="str">
        <f>IF(A22="","",IF(N22="ab.",0,IF(P22="ab.",2,IF(AND('GESTION DES JOUEURS'!$D$8&lt;&gt;"Open",O22&gt;0,N22&gt;P22),2,IF(AND('GESTION DES JOUEURS'!$D$8&lt;&gt;"Open",O22&gt;0,N22&lt;P22),0,IF(AND('GESTION DES JOUEURS'!$D$8&lt;&gt;"Open",O22&gt;0,N22=P22),1,IF(AND('GESTION DES JOUEURS'!$D$8="Open",(N22/_xlfn.XLOOKUP(F22,$CP$7:$CP$42,$DI$7:$DI$42,"",0,1))&gt;(P22/_xlfn.XLOOKUP(V22,$CP$7:$CP$42,$DI$7:$DI$42,"",0,1))),2,IF(AND('GESTION DES JOUEURS'!$D$8="Open",(N22/_xlfn.XLOOKUP(F22,$CP$7:$CP$42,$DI$7:$DI$42,"",0,1))=(P22/_xlfn.XLOOKUP(V22,$CP$7:$CP$42,$DI$7:$DI$42,"",0,1))),1,IF(AND('GESTION DES JOUEURS'!$D$8="Open",(N22/_xlfn.XLOOKUP(F22,$CP$7:$CP$42,$DI$7:$DI$42,"",0,1))&lt;(P22/_xlfn.XLOOKUP(V22,$CP$7:$CP$42,$DI$7:$DI$42,"",0,1))),0,"")))))))))</f>
        <v/>
      </c>
      <c r="E22" s="113" t="str">
        <f>IFERROR(IF(AND(D22&gt;=0,Y22=FALSE),N22/O22,IF(AND(D22&gt;=0,Y22=TRUE),(N22/O22)*_xlfn.XLOOKUP('GESTION DES JOUEURS'!$X$8&amp;RIGHT('GESTION DES JOUEURS'!$Y$8,1),Tableau14[Colonne1],Tableau14[coef. 2,80/3,10],"",0,1),"")),"")</f>
        <v/>
      </c>
      <c r="F22" s="80" t="str">
        <f>IF(AND('GESTION DES JOUEURS'!$D$8="Open",$CO$43&gt;8),CP13,"")</f>
        <v/>
      </c>
      <c r="G22" s="729" t="str">
        <f>IFERROR(VLOOKUP(F22,'GESTION DES JOUEURS'!$B$11:$E$46,2,FALSE),"")</f>
        <v/>
      </c>
      <c r="H22" s="726"/>
      <c r="I22" s="730"/>
      <c r="J22" s="726" t="str">
        <f>IFERROR(VLOOKUP(F22,'GESTION DES JOUEURS'!$B$11:$E$46,3,FALSE),"")</f>
        <v/>
      </c>
      <c r="K22" s="727"/>
      <c r="L22" s="483" t="b">
        <v>0</v>
      </c>
      <c r="M22" s="412"/>
      <c r="N22" s="412"/>
      <c r="O22" s="114"/>
      <c r="P22" s="412"/>
      <c r="Q22" s="412"/>
      <c r="R22" s="401" t="b">
        <v>0</v>
      </c>
      <c r="S22" s="731" t="str">
        <f>IFERROR(VLOOKUP(V22,'GESTION DES JOUEURS'!$B$11:$E$46,2,FALSE),"")</f>
        <v/>
      </c>
      <c r="T22" s="732"/>
      <c r="U22" s="83" t="str">
        <f>IFERROR(VLOOKUP(V22,'GESTION DES JOUEURS'!$B$11:$E$46,3,FALSE),"")</f>
        <v/>
      </c>
      <c r="V22" s="83" t="str">
        <f>IF(AND('GESTION DES JOUEURS'!$D$8="Open",$CO$43&gt;8),CP16,"")</f>
        <v/>
      </c>
      <c r="W22" s="115" t="str">
        <f>IFERROR(IF(AND(X22&gt;=0,Y22=FALSE),P22/O22,IF(AND(X22&gt;=0,Y22=TRUE),(P22/O22)*_xlfn.XLOOKUP('GESTION DES JOUEURS'!$X$8&amp;RIGHT('GESTION DES JOUEURS'!$Y$8,1),Tableau14[Colonne1],Tableau14[coef. 2,80/3,10],"",0,1),"")),"")</f>
        <v/>
      </c>
      <c r="X22" s="569" t="str">
        <f>IF(A22="","",IF(P22="ab.",0,IF(N22="ab.",2,IF(AND('GESTION DES JOUEURS'!$D$8&lt;&gt;"Open",O22&gt;0,P22&gt;N22),2,IF(AND('GESTION DES JOUEURS'!$D$8&lt;&gt;"Open",O22&gt;0,P22&lt;N22),0,IF(AND('GESTION DES JOUEURS'!$D$8&lt;&gt;"Open",O22&gt;0,P22=N22),1,IF(AND('GESTION DES JOUEURS'!$D$8="Open",(P22/_xlfn.XLOOKUP(V22,$CP$7:$CP$42,$DI$7:$DI$42,"",0,1))&gt;(N22/_xlfn.XLOOKUP(F22,$CP$7:$CP$42,$DI$7:$DI$42,"",0,1))),2,IF(AND('GESTION DES JOUEURS'!$D$8="Open",(P22/_xlfn.XLOOKUP(V22,$CP$7:$CP$42,$DI$7:$DI$42,"",0,1))=(N22/_xlfn.XLOOKUP(F22,$CP$7:$CP$42,$DI$7:$DI$42,"",0,1))),1,IF(AND('GESTION DES JOUEURS'!$D$8="Open",(P22/_xlfn.XLOOKUP(V22,$CP$7:$CP$42,$DI$7:$DI$42,"",0,1))&lt;(N22/_xlfn.XLOOKUP(F22,$CP$7:$CP$42,$DI$7:$DI$42,"",0,1))),0,"")))))))))</f>
        <v/>
      </c>
      <c r="Y22" s="546" t="b">
        <v>0</v>
      </c>
      <c r="AA22" s="911"/>
      <c r="AC22" s="244" t="b" cm="1">
        <f t="array" ref="AC22">IF(AND(_xlfn.XLOOKUP(F22,Tableau19[Licence],'GESTION DES JOUEURS'!$O$11:$O$46,"",0,1)&lt;&gt;"N1",_xlfn.XLOOKUP(V22,Tableau19[Licence],'GESTION DES JOUEURS'!$O$11:$O$46,"",0,1)&lt;&gt;"N1",'GESTION DES JOUEURS'!$X$8="Cadre"),TRUE,FALSE)</f>
        <v>0</v>
      </c>
      <c r="AE22" s="371">
        <v>4</v>
      </c>
      <c r="AF22" s="371" t="str">
        <f t="shared" si="21"/>
        <v/>
      </c>
      <c r="AG22" s="371" t="str">
        <f t="shared" si="22"/>
        <v/>
      </c>
      <c r="AH22" s="371" t="b">
        <f t="shared" si="23"/>
        <v>0</v>
      </c>
      <c r="AI22" s="371" t="e">
        <f t="shared" si="0"/>
        <v>#VALUE!</v>
      </c>
      <c r="AJ22" s="244" t="e">
        <f t="shared" si="1"/>
        <v>#VALUE!</v>
      </c>
      <c r="AK22" s="244">
        <f t="shared" si="24"/>
        <v>0</v>
      </c>
      <c r="AL22" s="573" t="str">
        <f t="shared" si="25"/>
        <v/>
      </c>
      <c r="AM22" s="244" t="e">
        <f t="shared" si="26"/>
        <v>#VALUE!</v>
      </c>
      <c r="BA22" s="244">
        <v>16</v>
      </c>
      <c r="BB22" s="443" t="str">
        <f>IF('GESTION DES JOUEURS'!B26="","",'GESTION DES JOUEURS'!B26)</f>
        <v/>
      </c>
      <c r="BC22" s="443" t="str" cm="1">
        <f t="array" ref="BC22:BS22">_xlfn.XLOOKUP('Phase finale'!BB22,PA!$B$37:$B$42,PA!$C$37:$S$42,_xlfn.XLOOKUP('Phase finale'!BB22,PB!$B$37:$B$42,PB!$C$37:$S$42,_xlfn.XLOOKUP('Phase finale'!BB22,PC!$B$37:$B$42,PC!$C$37:$S$42,_xlfn.XLOOKUP('Phase finale'!BB22,PD!$B$37:$B$42,PD!$C$37:$S$42,_xlfn.XLOOKUP('Phase finale'!BB22,PE!$B$37:$B$42,PE!$C$37:$S$42,_xlfn.XLOOKUP('Phase finale'!BB22,PF!$B$37:$B$42,PF!$C$37:$S$42,_xlfn.XLOOKUP('Phase finale'!BB22,PG!$B$37:$B$42,PG!$C$37:$S$42,_xlfn.XLOOKUP('Phase finale'!BB22,PH!$B$37:$B$42,PH!$C$37:$S$42,_xlfn.XLOOKUP('Phase finale'!BB22,PI!$B$37:$B$42,PI!$C$37:$S$42,_xlfn.XLOOKUP('Phase finale'!BB22,PJ!$B$37:$B$42,PJ!$C$37:$S$42,_xlfn.XLOOKUP('Phase finale'!BB22,PK!$B$37:$B$42,PK!$C$37:$S$42,_xlfn.XLOOKUP('Phase finale'!BB22,PL!$B$37:$B$42,PL!$C$37:$S$42,"",0,1),0,1),0,1),0,1),0,1),0,1),0,1),0,1),0,1),0,1),0,1),0,1)</f>
        <v/>
      </c>
      <c r="BD22" s="443">
        <v>0</v>
      </c>
      <c r="BE22" s="443" t="str">
        <v/>
      </c>
      <c r="BF22" s="443">
        <v>0</v>
      </c>
      <c r="BG22" s="443" t="str">
        <v/>
      </c>
      <c r="BH22" s="443">
        <v>0</v>
      </c>
      <c r="BI22" s="443">
        <v>0</v>
      </c>
      <c r="BJ22" s="443">
        <v>0</v>
      </c>
      <c r="BK22" s="443">
        <v>0</v>
      </c>
      <c r="BL22" s="443">
        <v>0</v>
      </c>
      <c r="BM22" s="443" t="str">
        <v/>
      </c>
      <c r="BN22" s="443" t="str">
        <v/>
      </c>
      <c r="BO22" s="443" t="str">
        <v/>
      </c>
      <c r="BP22" s="443" t="str">
        <v/>
      </c>
      <c r="BQ22" s="443" t="str">
        <v/>
      </c>
      <c r="BR22" s="443" t="str">
        <v/>
      </c>
      <c r="BS22" s="443" t="str">
        <v/>
      </c>
      <c r="BU22" s="244">
        <v>16</v>
      </c>
      <c r="BV22" s="244" t="str">
        <v/>
      </c>
      <c r="BW22" s="244" t="str">
        <v/>
      </c>
      <c r="BX22" s="244">
        <v>0</v>
      </c>
      <c r="BY22" s="244" t="str">
        <v/>
      </c>
      <c r="BZ22" s="244">
        <v>0</v>
      </c>
      <c r="CA22" s="244" t="str">
        <v/>
      </c>
      <c r="CB22" s="244">
        <v>0</v>
      </c>
      <c r="CC22" s="244">
        <v>0</v>
      </c>
      <c r="CD22" s="244">
        <v>0</v>
      </c>
      <c r="CE22" s="244">
        <v>0</v>
      </c>
      <c r="CF22" s="244">
        <v>0</v>
      </c>
      <c r="CG22" s="244" t="str">
        <v/>
      </c>
      <c r="CH22" s="244" t="str">
        <v/>
      </c>
      <c r="CI22" s="244" t="str">
        <v/>
      </c>
      <c r="CJ22" s="244" t="str">
        <v/>
      </c>
      <c r="CK22" s="244" t="str">
        <v/>
      </c>
      <c r="CL22" s="244" t="str">
        <v/>
      </c>
      <c r="CM22" s="244" t="str">
        <v/>
      </c>
      <c r="CO22" s="244">
        <f t="shared" si="12"/>
        <v>11</v>
      </c>
      <c r="CP22" s="244" t="str">
        <v/>
      </c>
      <c r="CQ22" s="244" t="str">
        <v/>
      </c>
      <c r="CR22" s="244">
        <v>0</v>
      </c>
      <c r="CS22" s="244" t="str">
        <v/>
      </c>
      <c r="CT22" s="244">
        <v>0</v>
      </c>
      <c r="CU22" s="244" t="str">
        <v/>
      </c>
      <c r="CV22" s="244">
        <v>0</v>
      </c>
      <c r="CW22" s="244">
        <v>0</v>
      </c>
      <c r="CX22" s="244">
        <v>0</v>
      </c>
      <c r="CY22" s="244">
        <v>0</v>
      </c>
      <c r="CZ22" s="244">
        <v>0</v>
      </c>
      <c r="DA22" s="244" t="str">
        <v/>
      </c>
      <c r="DB22" s="244" t="str">
        <v/>
      </c>
      <c r="DC22" s="244" t="str">
        <v/>
      </c>
      <c r="DD22" s="244" t="str">
        <v/>
      </c>
      <c r="DE22" s="244" t="str">
        <v/>
      </c>
      <c r="DF22" s="244" t="str">
        <v/>
      </c>
      <c r="DG22" s="244" t="str">
        <v/>
      </c>
      <c r="DH22" s="244" t="str" cm="1">
        <f t="array" ref="DH22">_xlfn.XLOOKUP(CP22,Tableau19[Licence],'GESTION DES JOUEURS'!$O$11:$O$46,"",0,1)</f>
        <v/>
      </c>
      <c r="DI22" s="471" t="str">
        <f>IF('GESTION DES JOUEURS'!$X$8="Libre",_xlfn.XLOOKUP(DH22,Tableau13[Cat.],Tableau13[Libre],"",0,1),IF('GESTION DES JOUEURS'!$X$8="Bande",_xlfn.XLOOKUP(DH22,Tableau13[Cat.],Tableau13[bande],"",0,1),IF('GESTION DES JOUEURS'!$X$8="Cadre",_xlfn.XLOOKUP(DH22,Tableau13[Cat.],Tableau13[Cadre],"",0,1),IF('GESTION DES JOUEURS'!$X$8="3 Bandes",_xlfn.XLOOKUP(DH22,Tableau13[Cat.],Tableau13[3 Bandes],"",0,1),""))))</f>
        <v/>
      </c>
      <c r="DK22" s="443" t="str">
        <v/>
      </c>
      <c r="DL22" s="443">
        <f>SUM(SUMIFS($N$9:$N$34,$F$9:$F$34,DK22,$A$9:$A$34,"P"),SUMIFS($P$9:$P$34,$V$9:$V$34,DK22,$A$9:$A$34,"P"),SUMIFS(Consolante!$P$9:$P$34,Consolante!$V$9:$V$34,DK22,Consolante!$A$9:$A$34,"P"),SUMIFS(Consolante!$N$9:$N$34,Consolante!$F$9:$F$34,DK22,Consolante!$A$9:$A$34,"P"))</f>
        <v>0</v>
      </c>
      <c r="DM22" s="443">
        <f>SUM(SUMIFS($O$9:$O$34,$F$9:$F$34,DK22,$A$9:$A$34,"P",$Y$9:$Y$34,FALSE),SUMIFS($O$9:$O$34,$F$9:$F$34,DK22,$A$9:$A$34,"P",$Y$9:$Y$34,TRUE)/_xlfn.XLOOKUP('GESTION DES JOUEURS'!$X$8&amp;RIGHT('GESTION DES JOUEURS'!$Y$8,1),Tableau14[Colonne1],Tableau14[coef. 2,80/3,10],"",0,1),SUMIFS($O$9:$O$34,$V$9:$V$34,DK22,$A$9:$A$34,"P",$Y$9:$Y$34,FALSE),SUMIFS($O$9:$O$34,$V$9:$V$34,DK22,$A$9:$A$34,"P",$Y$9:$Y$34,TRUE)/_xlfn.XLOOKUP('GESTION DES JOUEURS'!$X$8&amp;RIGHT('GESTION DES JOUEURS'!$Y$8,1),Tableau14[Colonne1],Tableau14[coef. 2,80/3,10],"",0,1),_xlfn.XLOOKUP(DK22,Consolante!$CP$7:$CP$22,Consolante!$CR$7:$CR$22,0,0,1))</f>
        <v>0</v>
      </c>
      <c r="DN22" s="447" t="str">
        <f t="shared" si="13"/>
        <v/>
      </c>
      <c r="DO22" s="443"/>
      <c r="DP22" s="443">
        <f>_xlfn.XLOOKUP(DK22,PA!$B$6:$B$11,PA!$P$6:$P$11,_xlfn.XLOOKUP(DK22,PB!$B$6:$B$11,PB!$P$6:$P$11,_xlfn.XLOOKUP(DK22,PC!$B$6:$B$11,PC!$P$6:$P$11,_xlfn.XLOOKUP(DK22,PD!$B$6:$B$11,PD!$P$6:$P$11,_xlfn.XLOOKUP(DK22,PE!$B$6:$B$11,PE!$P$6:$P$11,_xlfn.XLOOKUP(DK22,PF!$B$6:$B$11,PF!$P$6:$P$11,_xlfn.XLOOKUP(DK22,PG!$B$6:$B$11,PG!$P$6:$P$11,_xlfn.XLOOKUP(DK22,PH!$B$6:$B$11,PH!$P$6:$P$11,_xlfn.XLOOKUP(DK22,PI!$B$6:$B$11,PI!$P$6:$P$11,_xlfn.XLOOKUP(DK22,PJ!$B$6:$B$11,PJ!$P$6:$P$11,_xlfn.XLOOKUP(DK22,PK!$B$6:$B$11,PK!$P$6:$P$11,_xlfn.XLOOKUP(DK22,PL!$B$6:$B$11,PL!$P$6:$P$11,"",0,1),0,1),0,1),0,1),0,1),0,1),0,1),0,1),0,1),0,1),0,1),0,1)</f>
        <v>0</v>
      </c>
      <c r="DQ22" s="443">
        <f>_xlfn.XLOOKUP(DK22,PA!$B$6:$B$11,PA!$Q$6:$Q$11,_xlfn.XLOOKUP(DK22,PB!$B$6:$B$11,PB!$Q$6:$Q$11,_xlfn.XLOOKUP(DK22,PC!$B$6:$B$11,PC!$Q$6:$Q$11,_xlfn.XLOOKUP(DK22,PD!$B$6:$B$11,PD!$Q$6:$Q$11,_xlfn.XLOOKUP(DK22,PE!$B$6:$B$11,PE!$Q$6:$Q$11,_xlfn.XLOOKUP(DK22,PF!$B$6:$B$11,PF!$Q$6:$Q$11,_xlfn.XLOOKUP(DK22,PG!$B$6:$B$11,PG!$Q$6:$Q$11,_xlfn.XLOOKUP(DK22,PH!$B$6:$B$11,PH!$Q$6:$Q$11,_xlfn.XLOOKUP(DK22,PI!$B$6:$B$11,PI!$Q$6:$Q$11,_xlfn.XLOOKUP(DK22,PJ!$B$6:$B$11,PJ!$Q$6:$Q$11,_xlfn.XLOOKUP(DK22,PK!$B$6:$B$11,PK!$Q$6:$Q$11,_xlfn.XLOOKUP(DK22,PL!$B$6:$B$11,PL!$Q$6:$Q$11,"",0,1),0,1),0,1),0,1),0,1),0,1),0,1),0,1),0,1),0,1),0,1),0,1)</f>
        <v>0</v>
      </c>
      <c r="DR22" s="244" t="str">
        <f>IFERROR(('Phase finale'!DL22+'Phase finale'!DP22)/('Phase finale'!DM22+'Phase finale'!DQ22),"")</f>
        <v/>
      </c>
    </row>
    <row r="23" spans="1:137" ht="14.1" customHeight="1" thickBot="1" x14ac:dyDescent="0.3">
      <c r="A23" s="245" t="str">
        <f t="shared" si="14"/>
        <v/>
      </c>
      <c r="B23" s="370" t="s">
        <v>9877</v>
      </c>
      <c r="C23" s="391" t="str">
        <f>IF('GESTION DES JOUEURS'!$D$8="Open",1,"")</f>
        <v/>
      </c>
      <c r="D23" s="89" t="str">
        <f>IF(A23="","",IF(N23="ab.",0,IF(P23="ab.",2,IF(AND('GESTION DES JOUEURS'!$D$8&lt;&gt;"Open",O23&gt;0,N23&gt;P23),2,IF(AND('GESTION DES JOUEURS'!$D$8&lt;&gt;"Open",O23&gt;0,N23&lt;P23),0,IF(AND('GESTION DES JOUEURS'!$D$8&lt;&gt;"Open",O23&gt;0,N23=P23),1,IF(AND('GESTION DES JOUEURS'!$D$8="Open",(N23/_xlfn.XLOOKUP(F23,$CP$7:$CP$42,$DI$7:$DI$42,"",0,1))&gt;(P23/_xlfn.XLOOKUP(V23,$CP$7:$CP$42,$DI$7:$DI$42,"",0,1))),2,IF(AND('GESTION DES JOUEURS'!$D$8="Open",(N23/_xlfn.XLOOKUP(F23,$CP$7:$CP$42,$DI$7:$DI$42,"",0,1))=(P23/_xlfn.XLOOKUP(V23,$CP$7:$CP$42,$DI$7:$DI$42,"",0,1))),1,IF(AND('GESTION DES JOUEURS'!$D$8="Open",(N23/_xlfn.XLOOKUP(F23,$CP$7:$CP$42,$DI$7:$DI$42,"",0,1))&lt;(P23/_xlfn.XLOOKUP(V23,$CP$7:$CP$42,$DI$7:$DI$42,"",0,1))),0,"")))))))))</f>
        <v/>
      </c>
      <c r="E23" s="120" t="str">
        <f>IFERROR(IF(AND(D23&gt;=0,Y23=FALSE),N23/O23,IF(AND(D23&gt;=0,Y23=TRUE),(N23/O23)*_xlfn.XLOOKUP('GESTION DES JOUEURS'!$X$8&amp;RIGHT('GESTION DES JOUEURS'!$Y$8,1),Tableau14[Colonne1],Tableau14[coef. 2,80/3,10],"",0,1),"")),"")</f>
        <v/>
      </c>
      <c r="F23" s="90" t="str">
        <f>IF(AND('GESTION DES JOUEURS'!$D$8="Open",$CO$43&gt;8),CP14,"")</f>
        <v/>
      </c>
      <c r="G23" s="738" t="str">
        <f>IFERROR(VLOOKUP(F23,'GESTION DES JOUEURS'!$B$11:$E$46,2,FALSE),"")</f>
        <v/>
      </c>
      <c r="H23" s="739"/>
      <c r="I23" s="740"/>
      <c r="J23" s="739" t="str">
        <f>IFERROR(VLOOKUP(F23,'GESTION DES JOUEURS'!$B$11:$E$46,3,FALSE),"")</f>
        <v/>
      </c>
      <c r="K23" s="779"/>
      <c r="L23" s="484" t="b">
        <v>0</v>
      </c>
      <c r="M23" s="413"/>
      <c r="N23" s="411"/>
      <c r="O23" s="379"/>
      <c r="P23" s="411"/>
      <c r="Q23" s="413"/>
      <c r="R23" s="402" t="b">
        <v>0</v>
      </c>
      <c r="S23" s="1084" t="str">
        <f>IFERROR(VLOOKUP(V23,'GESTION DES JOUEURS'!$B$11:$E$46,2,FALSE),"")</f>
        <v/>
      </c>
      <c r="T23" s="757"/>
      <c r="U23" s="355" t="str">
        <f>IFERROR(VLOOKUP(V23,'GESTION DES JOUEURS'!$B$11:$E$46,3,FALSE),"")</f>
        <v/>
      </c>
      <c r="V23" s="93" t="str">
        <f>IF(AND('GESTION DES JOUEURS'!$D$8="Open",$CO$43&gt;8),CP15,"")</f>
        <v/>
      </c>
      <c r="W23" s="122" t="str">
        <f>IFERROR(IF(AND(X23&gt;=0,Y23=FALSE),P23/O23,IF(AND(X23&gt;=0,Y23=TRUE),(P23/O23)*_xlfn.XLOOKUP('GESTION DES JOUEURS'!$X$8&amp;RIGHT('GESTION DES JOUEURS'!$Y$8,1),Tableau14[Colonne1],Tableau14[coef. 2,80/3,10],"",0,1),"")),"")</f>
        <v/>
      </c>
      <c r="X23" s="571" t="str">
        <f>IF(A23="","",IF(P23="ab.",0,IF(N23="ab.",2,IF(AND('GESTION DES JOUEURS'!$D$8&lt;&gt;"Open",O23&gt;0,P23&gt;N23),2,IF(AND('GESTION DES JOUEURS'!$D$8&lt;&gt;"Open",O23&gt;0,P23&lt;N23),0,IF(AND('GESTION DES JOUEURS'!$D$8&lt;&gt;"Open",O23&gt;0,P23=N23),1,IF(AND('GESTION DES JOUEURS'!$D$8="Open",(P23/_xlfn.XLOOKUP(V23,$CP$7:$CP$42,$DI$7:$DI$42,"",0,1))&gt;(N23/_xlfn.XLOOKUP(F23,$CP$7:$CP$42,$DI$7:$DI$42,"",0,1))),2,IF(AND('GESTION DES JOUEURS'!$D$8="Open",(P23/_xlfn.XLOOKUP(V23,$CP$7:$CP$42,$DI$7:$DI$42,"",0,1))=(N23/_xlfn.XLOOKUP(F23,$CP$7:$CP$42,$DI$7:$DI$42,"",0,1))),1,IF(AND('GESTION DES JOUEURS'!$D$8="Open",(P23/_xlfn.XLOOKUP(V23,$CP$7:$CP$42,$DI$7:$DI$42,"",0,1))&lt;(N23/_xlfn.XLOOKUP(F23,$CP$7:$CP$42,$DI$7:$DI$42,"",0,1))),0,"")))))))))</f>
        <v/>
      </c>
      <c r="Y23" s="545" t="b">
        <v>0</v>
      </c>
      <c r="AA23" s="910" t="s">
        <v>8119</v>
      </c>
      <c r="AC23" s="244" t="b" cm="1">
        <f t="array" ref="AC23">IF(AND(_xlfn.XLOOKUP(F23,Tableau19[Licence],'GESTION DES JOUEURS'!$O$11:$O$46,"",0,1)&lt;&gt;"N1",_xlfn.XLOOKUP(V23,Tableau19[Licence],'GESTION DES JOUEURS'!$O$11:$O$46,"",0,1)&lt;&gt;"N1",'GESTION DES JOUEURS'!$X$8="Cadre"),TRUE,FALSE)</f>
        <v>0</v>
      </c>
      <c r="AE23" s="371">
        <v>4</v>
      </c>
      <c r="AF23" s="371" t="str">
        <f t="shared" si="21"/>
        <v/>
      </c>
      <c r="AG23" s="371" t="str">
        <f t="shared" si="22"/>
        <v/>
      </c>
      <c r="AH23" s="371" t="b">
        <f t="shared" si="23"/>
        <v>0</v>
      </c>
      <c r="AI23" s="371" t="e">
        <f t="shared" si="0"/>
        <v>#VALUE!</v>
      </c>
      <c r="AJ23" s="244" t="e">
        <f t="shared" si="1"/>
        <v>#VALUE!</v>
      </c>
      <c r="AK23" s="244">
        <f t="shared" si="24"/>
        <v>0</v>
      </c>
      <c r="AL23" s="573" t="str">
        <f t="shared" si="25"/>
        <v/>
      </c>
      <c r="AM23" s="244" t="e">
        <f t="shared" si="26"/>
        <v>#VALUE!</v>
      </c>
      <c r="BA23" s="244">
        <v>17</v>
      </c>
      <c r="BB23" s="443" t="str">
        <f>IF('GESTION DES JOUEURS'!B27="","",'GESTION DES JOUEURS'!B27)</f>
        <v/>
      </c>
      <c r="BC23" s="443" t="str" cm="1">
        <f t="array" ref="BC23:BS23">_xlfn.XLOOKUP('Phase finale'!BB23,PA!$B$37:$B$42,PA!$C$37:$S$42,_xlfn.XLOOKUP('Phase finale'!BB23,PB!$B$37:$B$42,PB!$C$37:$S$42,_xlfn.XLOOKUP('Phase finale'!BB23,PC!$B$37:$B$42,PC!$C$37:$S$42,_xlfn.XLOOKUP('Phase finale'!BB23,PD!$B$37:$B$42,PD!$C$37:$S$42,_xlfn.XLOOKUP('Phase finale'!BB23,PE!$B$37:$B$42,PE!$C$37:$S$42,_xlfn.XLOOKUP('Phase finale'!BB23,PF!$B$37:$B$42,PF!$C$37:$S$42,_xlfn.XLOOKUP('Phase finale'!BB23,PG!$B$37:$B$42,PG!$C$37:$S$42,_xlfn.XLOOKUP('Phase finale'!BB23,PH!$B$37:$B$42,PH!$C$37:$S$42,_xlfn.XLOOKUP('Phase finale'!BB23,PI!$B$37:$B$42,PI!$C$37:$S$42,_xlfn.XLOOKUP('Phase finale'!BB23,PJ!$B$37:$B$42,PJ!$C$37:$S$42,_xlfn.XLOOKUP('Phase finale'!BB23,PK!$B$37:$B$42,PK!$C$37:$S$42,_xlfn.XLOOKUP('Phase finale'!BB23,PL!$B$37:$B$42,PL!$C$37:$S$42,"",0,1),0,1),0,1),0,1),0,1),0,1),0,1),0,1),0,1),0,1),0,1),0,1)</f>
        <v/>
      </c>
      <c r="BD23" s="443">
        <v>0</v>
      </c>
      <c r="BE23" s="443" t="str">
        <v/>
      </c>
      <c r="BF23" s="443">
        <v>0</v>
      </c>
      <c r="BG23" s="443" t="str">
        <v/>
      </c>
      <c r="BH23" s="443">
        <v>0</v>
      </c>
      <c r="BI23" s="443">
        <v>0</v>
      </c>
      <c r="BJ23" s="443">
        <v>0</v>
      </c>
      <c r="BK23" s="443">
        <v>0</v>
      </c>
      <c r="BL23" s="443">
        <v>0</v>
      </c>
      <c r="BM23" s="443" t="str">
        <v/>
      </c>
      <c r="BN23" s="443" t="str">
        <v/>
      </c>
      <c r="BO23" s="443" t="str">
        <v/>
      </c>
      <c r="BP23" s="443" t="str">
        <v/>
      </c>
      <c r="BQ23" s="443" t="str">
        <v/>
      </c>
      <c r="BR23" s="443" t="str">
        <v/>
      </c>
      <c r="BS23" s="443" t="str">
        <v/>
      </c>
      <c r="BU23" s="244">
        <v>17</v>
      </c>
      <c r="BV23" s="244" t="str">
        <v/>
      </c>
      <c r="BW23" s="244" t="str">
        <v/>
      </c>
      <c r="BX23" s="244">
        <v>0</v>
      </c>
      <c r="BY23" s="244" t="str">
        <v/>
      </c>
      <c r="BZ23" s="244">
        <v>0</v>
      </c>
      <c r="CA23" s="244" t="str">
        <v/>
      </c>
      <c r="CB23" s="244">
        <v>0</v>
      </c>
      <c r="CC23" s="244">
        <v>0</v>
      </c>
      <c r="CD23" s="244">
        <v>0</v>
      </c>
      <c r="CE23" s="244">
        <v>0</v>
      </c>
      <c r="CF23" s="244">
        <v>0</v>
      </c>
      <c r="CG23" s="244" t="str">
        <v/>
      </c>
      <c r="CH23" s="244" t="str">
        <v/>
      </c>
      <c r="CI23" s="244" t="str">
        <v/>
      </c>
      <c r="CJ23" s="244" t="str">
        <v/>
      </c>
      <c r="CK23" s="244" t="str">
        <v/>
      </c>
      <c r="CL23" s="244" t="str">
        <v/>
      </c>
      <c r="CM23" s="244" t="str">
        <v/>
      </c>
      <c r="CO23" s="244">
        <f t="shared" si="12"/>
        <v>11</v>
      </c>
      <c r="CP23" s="244" t="str">
        <v/>
      </c>
      <c r="CQ23" s="244" t="str">
        <v/>
      </c>
      <c r="CR23" s="244">
        <v>0</v>
      </c>
      <c r="CS23" s="244" t="str">
        <v/>
      </c>
      <c r="CT23" s="244">
        <v>0</v>
      </c>
      <c r="CU23" s="244" t="str">
        <v/>
      </c>
      <c r="CV23" s="244">
        <v>0</v>
      </c>
      <c r="CW23" s="244">
        <v>0</v>
      </c>
      <c r="CX23" s="244">
        <v>0</v>
      </c>
      <c r="CY23" s="244">
        <v>0</v>
      </c>
      <c r="CZ23" s="244">
        <v>0</v>
      </c>
      <c r="DA23" s="244" t="str">
        <v/>
      </c>
      <c r="DB23" s="244" t="str">
        <v/>
      </c>
      <c r="DC23" s="244" t="str">
        <v/>
      </c>
      <c r="DD23" s="244" t="str">
        <v/>
      </c>
      <c r="DE23" s="244" t="str">
        <v/>
      </c>
      <c r="DF23" s="244" t="str">
        <v/>
      </c>
      <c r="DG23" s="244" t="str">
        <v/>
      </c>
      <c r="DH23" s="244" t="str" cm="1">
        <f t="array" ref="DH23">_xlfn.XLOOKUP(CP23,Tableau19[Licence],'GESTION DES JOUEURS'!$O$11:$O$46,"",0,1)</f>
        <v/>
      </c>
      <c r="DI23" s="471" t="str">
        <f>IF('GESTION DES JOUEURS'!$X$8="Libre",_xlfn.XLOOKUP(DH23,Tableau13[Cat.],Tableau13[Libre],"",0,1),IF('GESTION DES JOUEURS'!$X$8="Bande",_xlfn.XLOOKUP(DH23,Tableau13[Cat.],Tableau13[bande],"",0,1),IF('GESTION DES JOUEURS'!$X$8="Cadre",_xlfn.XLOOKUP(DH23,Tableau13[Cat.],Tableau13[Cadre],"",0,1),IF('GESTION DES JOUEURS'!$X$8="3 Bandes",_xlfn.XLOOKUP(DH23,Tableau13[Cat.],Tableau13[3 Bandes],"",0,1),""))))</f>
        <v/>
      </c>
      <c r="DK23" s="443" t="str">
        <v/>
      </c>
      <c r="DL23" s="443">
        <f>SUM(SUMIFS($N$9:$N$34,$F$9:$F$34,DK23,$A$9:$A$34,"P"),SUMIFS($P$9:$P$34,$V$9:$V$34,DK23,$A$9:$A$34,"P"),SUMIFS(Consolante!$P$9:$P$34,Consolante!$V$9:$V$34,DK23,Consolante!$A$9:$A$34,"P"),SUMIFS(Consolante!$N$9:$N$34,Consolante!$F$9:$F$34,DK23,Consolante!$A$9:$A$34,"P"))</f>
        <v>0</v>
      </c>
      <c r="DM23" s="443">
        <f>SUM(SUMIFS($O$9:$O$34,$F$9:$F$34,DK23,$A$9:$A$34,"P",$Y$9:$Y$34,FALSE),SUMIFS($O$9:$O$34,$F$9:$F$34,DK23,$A$9:$A$34,"P",$Y$9:$Y$34,TRUE)/_xlfn.XLOOKUP('GESTION DES JOUEURS'!$X$8&amp;RIGHT('GESTION DES JOUEURS'!$Y$8,1),Tableau14[Colonne1],Tableau14[coef. 2,80/3,10],"",0,1),SUMIFS($O$9:$O$34,$V$9:$V$34,DK23,$A$9:$A$34,"P",$Y$9:$Y$34,FALSE),SUMIFS($O$9:$O$34,$V$9:$V$34,DK23,$A$9:$A$34,"P",$Y$9:$Y$34,TRUE)/_xlfn.XLOOKUP('GESTION DES JOUEURS'!$X$8&amp;RIGHT('GESTION DES JOUEURS'!$Y$8,1),Tableau14[Colonne1],Tableau14[coef. 2,80/3,10],"",0,1),_xlfn.XLOOKUP(DK23,Consolante!$CP$7:$CP$22,Consolante!$CR$7:$CR$22,0,0,1))</f>
        <v>0</v>
      </c>
      <c r="DN23" s="447" t="str">
        <f t="shared" si="13"/>
        <v/>
      </c>
      <c r="DO23" s="443"/>
      <c r="DP23" s="443">
        <f>_xlfn.XLOOKUP(DK23,PA!$B$6:$B$11,PA!$P$6:$P$11,_xlfn.XLOOKUP(DK23,PB!$B$6:$B$11,PB!$P$6:$P$11,_xlfn.XLOOKUP(DK23,PC!$B$6:$B$11,PC!$P$6:$P$11,_xlfn.XLOOKUP(DK23,PD!$B$6:$B$11,PD!$P$6:$P$11,_xlfn.XLOOKUP(DK23,PE!$B$6:$B$11,PE!$P$6:$P$11,_xlfn.XLOOKUP(DK23,PF!$B$6:$B$11,PF!$P$6:$P$11,_xlfn.XLOOKUP(DK23,PG!$B$6:$B$11,PG!$P$6:$P$11,_xlfn.XLOOKUP(DK23,PH!$B$6:$B$11,PH!$P$6:$P$11,_xlfn.XLOOKUP(DK23,PI!$B$6:$B$11,PI!$P$6:$P$11,_xlfn.XLOOKUP(DK23,PJ!$B$6:$B$11,PJ!$P$6:$P$11,_xlfn.XLOOKUP(DK23,PK!$B$6:$B$11,PK!$P$6:$P$11,_xlfn.XLOOKUP(DK23,PL!$B$6:$B$11,PL!$P$6:$P$11,"",0,1),0,1),0,1),0,1),0,1),0,1),0,1),0,1),0,1),0,1),0,1),0,1)</f>
        <v>0</v>
      </c>
      <c r="DQ23" s="443">
        <f>_xlfn.XLOOKUP(DK23,PA!$B$6:$B$11,PA!$Q$6:$Q$11,_xlfn.XLOOKUP(DK23,PB!$B$6:$B$11,PB!$Q$6:$Q$11,_xlfn.XLOOKUP(DK23,PC!$B$6:$B$11,PC!$Q$6:$Q$11,_xlfn.XLOOKUP(DK23,PD!$B$6:$B$11,PD!$Q$6:$Q$11,_xlfn.XLOOKUP(DK23,PE!$B$6:$B$11,PE!$Q$6:$Q$11,_xlfn.XLOOKUP(DK23,PF!$B$6:$B$11,PF!$Q$6:$Q$11,_xlfn.XLOOKUP(DK23,PG!$B$6:$B$11,PG!$Q$6:$Q$11,_xlfn.XLOOKUP(DK23,PH!$B$6:$B$11,PH!$Q$6:$Q$11,_xlfn.XLOOKUP(DK23,PI!$B$6:$B$11,PI!$Q$6:$Q$11,_xlfn.XLOOKUP(DK23,PJ!$B$6:$B$11,PJ!$Q$6:$Q$11,_xlfn.XLOOKUP(DK23,PK!$B$6:$B$11,PK!$Q$6:$Q$11,_xlfn.XLOOKUP(DK23,PL!$B$6:$B$11,PL!$Q$6:$Q$11,"",0,1),0,1),0,1),0,1),0,1),0,1),0,1),0,1),0,1),0,1),0,1),0,1)</f>
        <v>0</v>
      </c>
      <c r="DR23" s="244" t="str">
        <f>IFERROR(('Phase finale'!DL23+'Phase finale'!DP23)/('Phase finale'!DM23+'Phase finale'!DQ23),"")</f>
        <v/>
      </c>
    </row>
    <row r="24" spans="1:137" ht="14.45" customHeight="1" thickBot="1" x14ac:dyDescent="0.3">
      <c r="B24" s="372"/>
      <c r="C24" s="371"/>
      <c r="D24" s="371"/>
      <c r="E24" s="373"/>
      <c r="L24" s="371"/>
      <c r="M24" s="374"/>
      <c r="N24" s="374"/>
      <c r="O24" s="374"/>
      <c r="P24" s="374"/>
      <c r="Q24" s="374"/>
      <c r="R24" s="374"/>
      <c r="W24" s="373"/>
      <c r="X24" s="371"/>
      <c r="Y24" s="371"/>
      <c r="AA24" s="910"/>
      <c r="AE24" s="371">
        <v>4</v>
      </c>
      <c r="AF24" s="371" t="str">
        <f t="shared" si="21"/>
        <v/>
      </c>
      <c r="AG24" s="371" t="str">
        <f t="shared" si="22"/>
        <v/>
      </c>
      <c r="AH24" s="371" t="b">
        <f t="shared" si="23"/>
        <v>0</v>
      </c>
      <c r="AI24" s="371" t="e">
        <f t="shared" si="0"/>
        <v>#VALUE!</v>
      </c>
      <c r="AJ24" s="244" t="e">
        <f t="shared" si="1"/>
        <v>#VALUE!</v>
      </c>
      <c r="AK24" s="244">
        <f t="shared" si="24"/>
        <v>0</v>
      </c>
      <c r="AL24" s="573" t="str">
        <f t="shared" si="25"/>
        <v/>
      </c>
      <c r="AM24" s="244" t="e">
        <f t="shared" si="26"/>
        <v>#VALUE!</v>
      </c>
      <c r="BA24" s="244">
        <v>18</v>
      </c>
      <c r="BB24" s="443" t="str">
        <f>IF('GESTION DES JOUEURS'!B28="","",'GESTION DES JOUEURS'!B28)</f>
        <v/>
      </c>
      <c r="BC24" s="443" t="str" cm="1">
        <f t="array" ref="BC24:BS24">_xlfn.XLOOKUP('Phase finale'!BB24,PA!$B$37:$B$42,PA!$C$37:$S$42,_xlfn.XLOOKUP('Phase finale'!BB24,PB!$B$37:$B$42,PB!$C$37:$S$42,_xlfn.XLOOKUP('Phase finale'!BB24,PC!$B$37:$B$42,PC!$C$37:$S$42,_xlfn.XLOOKUP('Phase finale'!BB24,PD!$B$37:$B$42,PD!$C$37:$S$42,_xlfn.XLOOKUP('Phase finale'!BB24,PE!$B$37:$B$42,PE!$C$37:$S$42,_xlfn.XLOOKUP('Phase finale'!BB24,PF!$B$37:$B$42,PF!$C$37:$S$42,_xlfn.XLOOKUP('Phase finale'!BB24,PG!$B$37:$B$42,PG!$C$37:$S$42,_xlfn.XLOOKUP('Phase finale'!BB24,PH!$B$37:$B$42,PH!$C$37:$S$42,_xlfn.XLOOKUP('Phase finale'!BB24,PI!$B$37:$B$42,PI!$C$37:$S$42,_xlfn.XLOOKUP('Phase finale'!BB24,PJ!$B$37:$B$42,PJ!$C$37:$S$42,_xlfn.XLOOKUP('Phase finale'!BB24,PK!$B$37:$B$42,PK!$C$37:$S$42,_xlfn.XLOOKUP('Phase finale'!BB24,PL!$B$37:$B$42,PL!$C$37:$S$42,"",0,1),0,1),0,1),0,1),0,1),0,1),0,1),0,1),0,1),0,1),0,1),0,1)</f>
        <v/>
      </c>
      <c r="BD24" s="443">
        <v>0</v>
      </c>
      <c r="BE24" s="443" t="str">
        <v/>
      </c>
      <c r="BF24" s="443">
        <v>0</v>
      </c>
      <c r="BG24" s="443" t="str">
        <v/>
      </c>
      <c r="BH24" s="443">
        <v>0</v>
      </c>
      <c r="BI24" s="443">
        <v>0</v>
      </c>
      <c r="BJ24" s="443">
        <v>0</v>
      </c>
      <c r="BK24" s="443">
        <v>0</v>
      </c>
      <c r="BL24" s="443">
        <v>0</v>
      </c>
      <c r="BM24" s="443" t="str">
        <v/>
      </c>
      <c r="BN24" s="443" t="str">
        <v/>
      </c>
      <c r="BO24" s="443" t="str">
        <v/>
      </c>
      <c r="BP24" s="443" t="str">
        <v/>
      </c>
      <c r="BQ24" s="443" t="str">
        <v/>
      </c>
      <c r="BR24" s="443" t="str">
        <v/>
      </c>
      <c r="BS24" s="443" t="str">
        <v/>
      </c>
      <c r="BU24" s="244">
        <v>18</v>
      </c>
      <c r="BV24" s="244" t="str">
        <v/>
      </c>
      <c r="BW24" s="244" t="str">
        <v/>
      </c>
      <c r="BX24" s="244">
        <v>0</v>
      </c>
      <c r="BY24" s="244" t="str">
        <v/>
      </c>
      <c r="BZ24" s="244">
        <v>0</v>
      </c>
      <c r="CA24" s="244" t="str">
        <v/>
      </c>
      <c r="CB24" s="244">
        <v>0</v>
      </c>
      <c r="CC24" s="244">
        <v>0</v>
      </c>
      <c r="CD24" s="244">
        <v>0</v>
      </c>
      <c r="CE24" s="244">
        <v>0</v>
      </c>
      <c r="CF24" s="244">
        <v>0</v>
      </c>
      <c r="CG24" s="244" t="str">
        <v/>
      </c>
      <c r="CH24" s="244" t="str">
        <v/>
      </c>
      <c r="CI24" s="244" t="str">
        <v/>
      </c>
      <c r="CJ24" s="244" t="str">
        <v/>
      </c>
      <c r="CK24" s="244" t="str">
        <v/>
      </c>
      <c r="CL24" s="244" t="str">
        <v/>
      </c>
      <c r="CM24" s="244" t="str">
        <v/>
      </c>
      <c r="CO24" s="244">
        <f t="shared" si="12"/>
        <v>11</v>
      </c>
      <c r="CP24" s="244" t="str">
        <v/>
      </c>
      <c r="CQ24" s="244" t="str">
        <v/>
      </c>
      <c r="CR24" s="244">
        <v>0</v>
      </c>
      <c r="CS24" s="244" t="str">
        <v/>
      </c>
      <c r="CT24" s="244">
        <v>0</v>
      </c>
      <c r="CU24" s="244" t="str">
        <v/>
      </c>
      <c r="CV24" s="244">
        <v>0</v>
      </c>
      <c r="CW24" s="244">
        <v>0</v>
      </c>
      <c r="CX24" s="244">
        <v>0</v>
      </c>
      <c r="CY24" s="244">
        <v>0</v>
      </c>
      <c r="CZ24" s="244">
        <v>0</v>
      </c>
      <c r="DA24" s="244" t="str">
        <v/>
      </c>
      <c r="DB24" s="244" t="str">
        <v/>
      </c>
      <c r="DC24" s="244" t="str">
        <v/>
      </c>
      <c r="DD24" s="244" t="str">
        <v/>
      </c>
      <c r="DE24" s="244" t="str">
        <v/>
      </c>
      <c r="DF24" s="244" t="str">
        <v/>
      </c>
      <c r="DG24" s="244" t="str">
        <v/>
      </c>
      <c r="DH24" s="244" t="str" cm="1">
        <f t="array" ref="DH24">_xlfn.XLOOKUP(CP24,Tableau19[Licence],'GESTION DES JOUEURS'!$O$11:$O$46,"",0,1)</f>
        <v/>
      </c>
      <c r="DI24" s="471" t="str">
        <f>IF('GESTION DES JOUEURS'!$X$8="Libre",_xlfn.XLOOKUP(DH24,Tableau13[Cat.],Tableau13[Libre],"",0,1),IF('GESTION DES JOUEURS'!$X$8="Bande",_xlfn.XLOOKUP(DH24,Tableau13[Cat.],Tableau13[bande],"",0,1),IF('GESTION DES JOUEURS'!$X$8="Cadre",_xlfn.XLOOKUP(DH24,Tableau13[Cat.],Tableau13[Cadre],"",0,1),IF('GESTION DES JOUEURS'!$X$8="3 Bandes",_xlfn.XLOOKUP(DH24,Tableau13[Cat.],Tableau13[3 Bandes],"",0,1),""))))</f>
        <v/>
      </c>
      <c r="DK24" s="443" t="str">
        <v/>
      </c>
      <c r="DL24" s="443">
        <f>SUM(SUMIFS($N$9:$N$34,$F$9:$F$34,DK24,$A$9:$A$34,"P"),SUMIFS($P$9:$P$34,$V$9:$V$34,DK24,$A$9:$A$34,"P"),SUMIFS(Consolante!$P$9:$P$34,Consolante!$V$9:$V$34,DK24,Consolante!$A$9:$A$34,"P"),SUMIFS(Consolante!$N$9:$N$34,Consolante!$F$9:$F$34,DK24,Consolante!$A$9:$A$34,"P"))</f>
        <v>0</v>
      </c>
      <c r="DM24" s="443">
        <f>SUM(SUMIFS($O$9:$O$34,$F$9:$F$34,DK24,$A$9:$A$34,"P",$Y$9:$Y$34,FALSE),SUMIFS($O$9:$O$34,$F$9:$F$34,DK24,$A$9:$A$34,"P",$Y$9:$Y$34,TRUE)/_xlfn.XLOOKUP('GESTION DES JOUEURS'!$X$8&amp;RIGHT('GESTION DES JOUEURS'!$Y$8,1),Tableau14[Colonne1],Tableau14[coef. 2,80/3,10],"",0,1),SUMIFS($O$9:$O$34,$V$9:$V$34,DK24,$A$9:$A$34,"P",$Y$9:$Y$34,FALSE),SUMIFS($O$9:$O$34,$V$9:$V$34,DK24,$A$9:$A$34,"P",$Y$9:$Y$34,TRUE)/_xlfn.XLOOKUP('GESTION DES JOUEURS'!$X$8&amp;RIGHT('GESTION DES JOUEURS'!$Y$8,1),Tableau14[Colonne1],Tableau14[coef. 2,80/3,10],"",0,1),_xlfn.XLOOKUP(DK24,Consolante!$CP$7:$CP$22,Consolante!$CR$7:$CR$22,0,0,1))</f>
        <v>0</v>
      </c>
      <c r="DN24" s="447" t="str">
        <f t="shared" si="13"/>
        <v/>
      </c>
      <c r="DO24" s="443"/>
      <c r="DP24" s="443">
        <f>_xlfn.XLOOKUP(DK24,PA!$B$6:$B$11,PA!$P$6:$P$11,_xlfn.XLOOKUP(DK24,PB!$B$6:$B$11,PB!$P$6:$P$11,_xlfn.XLOOKUP(DK24,PC!$B$6:$B$11,PC!$P$6:$P$11,_xlfn.XLOOKUP(DK24,PD!$B$6:$B$11,PD!$P$6:$P$11,_xlfn.XLOOKUP(DK24,PE!$B$6:$B$11,PE!$P$6:$P$11,_xlfn.XLOOKUP(DK24,PF!$B$6:$B$11,PF!$P$6:$P$11,_xlfn.XLOOKUP(DK24,PG!$B$6:$B$11,PG!$P$6:$P$11,_xlfn.XLOOKUP(DK24,PH!$B$6:$B$11,PH!$P$6:$P$11,_xlfn.XLOOKUP(DK24,PI!$B$6:$B$11,PI!$P$6:$P$11,_xlfn.XLOOKUP(DK24,PJ!$B$6:$B$11,PJ!$P$6:$P$11,_xlfn.XLOOKUP(DK24,PK!$B$6:$B$11,PK!$P$6:$P$11,_xlfn.XLOOKUP(DK24,PL!$B$6:$B$11,PL!$P$6:$P$11,"",0,1),0,1),0,1),0,1),0,1),0,1),0,1),0,1),0,1),0,1),0,1),0,1)</f>
        <v>0</v>
      </c>
      <c r="DQ24" s="443">
        <f>_xlfn.XLOOKUP(DK24,PA!$B$6:$B$11,PA!$Q$6:$Q$11,_xlfn.XLOOKUP(DK24,PB!$B$6:$B$11,PB!$Q$6:$Q$11,_xlfn.XLOOKUP(DK24,PC!$B$6:$B$11,PC!$Q$6:$Q$11,_xlfn.XLOOKUP(DK24,PD!$B$6:$B$11,PD!$Q$6:$Q$11,_xlfn.XLOOKUP(DK24,PE!$B$6:$B$11,PE!$Q$6:$Q$11,_xlfn.XLOOKUP(DK24,PF!$B$6:$B$11,PF!$Q$6:$Q$11,_xlfn.XLOOKUP(DK24,PG!$B$6:$B$11,PG!$Q$6:$Q$11,_xlfn.XLOOKUP(DK24,PH!$B$6:$B$11,PH!$Q$6:$Q$11,_xlfn.XLOOKUP(DK24,PI!$B$6:$B$11,PI!$Q$6:$Q$11,_xlfn.XLOOKUP(DK24,PJ!$B$6:$B$11,PJ!$Q$6:$Q$11,_xlfn.XLOOKUP(DK24,PK!$B$6:$B$11,PK!$Q$6:$Q$11,_xlfn.XLOOKUP(DK24,PL!$B$6:$B$11,PL!$Q$6:$Q$11,"",0,1),0,1),0,1),0,1),0,1),0,1),0,1),0,1),0,1),0,1),0,1),0,1)</f>
        <v>0</v>
      </c>
      <c r="DR24" s="244" t="str">
        <f>IFERROR(('Phase finale'!DL24+'Phase finale'!DP24)/('Phase finale'!DM24+'Phase finale'!DQ24),"")</f>
        <v/>
      </c>
    </row>
    <row r="25" spans="1:137" ht="14.1" customHeight="1" x14ac:dyDescent="0.25">
      <c r="B25" s="1089" t="s">
        <v>9887</v>
      </c>
      <c r="C25" s="1090"/>
      <c r="D25" s="1090"/>
      <c r="E25" s="1090"/>
      <c r="F25" s="1090"/>
      <c r="G25" s="1090"/>
      <c r="H25" s="1090"/>
      <c r="I25" s="1090"/>
      <c r="J25" s="1090"/>
      <c r="K25" s="1090"/>
      <c r="L25" s="1090"/>
      <c r="M25" s="1090"/>
      <c r="N25" s="1090"/>
      <c r="O25" s="1090"/>
      <c r="P25" s="1090"/>
      <c r="Q25" s="1090"/>
      <c r="R25" s="1090"/>
      <c r="S25" s="1090"/>
      <c r="T25" s="1090"/>
      <c r="U25" s="1090"/>
      <c r="V25" s="1090"/>
      <c r="W25" s="1090"/>
      <c r="X25" s="1091"/>
      <c r="Y25" s="522"/>
      <c r="AA25" s="912" t="s">
        <v>8120</v>
      </c>
      <c r="AE25" s="371">
        <v>4</v>
      </c>
      <c r="AF25" s="371" t="str">
        <f t="shared" si="21"/>
        <v/>
      </c>
      <c r="AG25" s="371" t="str">
        <f t="shared" si="22"/>
        <v/>
      </c>
      <c r="AH25" s="371" t="b">
        <f t="shared" si="23"/>
        <v>0</v>
      </c>
      <c r="AI25" s="371" t="e">
        <f t="shared" si="0"/>
        <v>#VALUE!</v>
      </c>
      <c r="AJ25" s="244" t="e">
        <f t="shared" si="1"/>
        <v>#VALUE!</v>
      </c>
      <c r="AK25" s="244">
        <f t="shared" si="24"/>
        <v>0</v>
      </c>
      <c r="AL25" s="573" t="str">
        <f t="shared" si="25"/>
        <v/>
      </c>
      <c r="AM25" s="244" t="e">
        <f t="shared" si="26"/>
        <v>#VALUE!</v>
      </c>
      <c r="BA25" s="244">
        <v>19</v>
      </c>
      <c r="BB25" s="443" t="str">
        <f>IF('GESTION DES JOUEURS'!B29="","",'GESTION DES JOUEURS'!B29)</f>
        <v/>
      </c>
      <c r="BC25" s="443" t="str" cm="1">
        <f t="array" ref="BC25:BS25">_xlfn.XLOOKUP('Phase finale'!BB25,PA!$B$37:$B$42,PA!$C$37:$S$42,_xlfn.XLOOKUP('Phase finale'!BB25,PB!$B$37:$B$42,PB!$C$37:$S$42,_xlfn.XLOOKUP('Phase finale'!BB25,PC!$B$37:$B$42,PC!$C$37:$S$42,_xlfn.XLOOKUP('Phase finale'!BB25,PD!$B$37:$B$42,PD!$C$37:$S$42,_xlfn.XLOOKUP('Phase finale'!BB25,PE!$B$37:$B$42,PE!$C$37:$S$42,_xlfn.XLOOKUP('Phase finale'!BB25,PF!$B$37:$B$42,PF!$C$37:$S$42,_xlfn.XLOOKUP('Phase finale'!BB25,PG!$B$37:$B$42,PG!$C$37:$S$42,_xlfn.XLOOKUP('Phase finale'!BB25,PH!$B$37:$B$42,PH!$C$37:$S$42,_xlfn.XLOOKUP('Phase finale'!BB25,PI!$B$37:$B$42,PI!$C$37:$S$42,_xlfn.XLOOKUP('Phase finale'!BB25,PJ!$B$37:$B$42,PJ!$C$37:$S$42,_xlfn.XLOOKUP('Phase finale'!BB25,PK!$B$37:$B$42,PK!$C$37:$S$42,_xlfn.XLOOKUP('Phase finale'!BB25,PL!$B$37:$B$42,PL!$C$37:$S$42,"",0,1),0,1),0,1),0,1),0,1),0,1),0,1),0,1),0,1),0,1),0,1),0,1)</f>
        <v/>
      </c>
      <c r="BD25" s="443">
        <v>0</v>
      </c>
      <c r="BE25" s="443" t="str">
        <v/>
      </c>
      <c r="BF25" s="443">
        <v>0</v>
      </c>
      <c r="BG25" s="443" t="str">
        <v/>
      </c>
      <c r="BH25" s="443">
        <v>0</v>
      </c>
      <c r="BI25" s="443">
        <v>0</v>
      </c>
      <c r="BJ25" s="443">
        <v>0</v>
      </c>
      <c r="BK25" s="443">
        <v>0</v>
      </c>
      <c r="BL25" s="443">
        <v>0</v>
      </c>
      <c r="BM25" s="443" t="str">
        <v/>
      </c>
      <c r="BN25" s="443" t="str">
        <v/>
      </c>
      <c r="BO25" s="443" t="str">
        <v/>
      </c>
      <c r="BP25" s="443" t="str">
        <v/>
      </c>
      <c r="BQ25" s="443" t="str">
        <v/>
      </c>
      <c r="BR25" s="443" t="str">
        <v/>
      </c>
      <c r="BS25" s="443" t="str">
        <v/>
      </c>
      <c r="BU25" s="244">
        <v>19</v>
      </c>
      <c r="BV25" s="244" t="str">
        <v/>
      </c>
      <c r="BW25" s="244" t="str">
        <v/>
      </c>
      <c r="BX25" s="244">
        <v>0</v>
      </c>
      <c r="BY25" s="244" t="str">
        <v/>
      </c>
      <c r="BZ25" s="244">
        <v>0</v>
      </c>
      <c r="CA25" s="244" t="str">
        <v/>
      </c>
      <c r="CB25" s="244">
        <v>0</v>
      </c>
      <c r="CC25" s="244">
        <v>0</v>
      </c>
      <c r="CD25" s="244">
        <v>0</v>
      </c>
      <c r="CE25" s="244">
        <v>0</v>
      </c>
      <c r="CF25" s="244">
        <v>0</v>
      </c>
      <c r="CG25" s="244" t="str">
        <v/>
      </c>
      <c r="CH25" s="244" t="str">
        <v/>
      </c>
      <c r="CI25" s="244" t="str">
        <v/>
      </c>
      <c r="CJ25" s="244" t="str">
        <v/>
      </c>
      <c r="CK25" s="244" t="str">
        <v/>
      </c>
      <c r="CL25" s="244" t="str">
        <v/>
      </c>
      <c r="CM25" s="244" t="str">
        <v/>
      </c>
      <c r="CO25" s="244">
        <f t="shared" si="12"/>
        <v>11</v>
      </c>
      <c r="CP25" s="244" t="str">
        <v/>
      </c>
      <c r="CQ25" s="244" t="str">
        <v/>
      </c>
      <c r="CR25" s="244">
        <v>0</v>
      </c>
      <c r="CS25" s="244" t="str">
        <v/>
      </c>
      <c r="CT25" s="244">
        <v>0</v>
      </c>
      <c r="CU25" s="244" t="str">
        <v/>
      </c>
      <c r="CV25" s="244">
        <v>0</v>
      </c>
      <c r="CW25" s="244">
        <v>0</v>
      </c>
      <c r="CX25" s="244">
        <v>0</v>
      </c>
      <c r="CY25" s="244">
        <v>0</v>
      </c>
      <c r="CZ25" s="244">
        <v>0</v>
      </c>
      <c r="DA25" s="244" t="str">
        <v/>
      </c>
      <c r="DB25" s="244" t="str">
        <v/>
      </c>
      <c r="DC25" s="244" t="str">
        <v/>
      </c>
      <c r="DD25" s="244" t="str">
        <v/>
      </c>
      <c r="DE25" s="244" t="str">
        <v/>
      </c>
      <c r="DF25" s="244" t="str">
        <v/>
      </c>
      <c r="DG25" s="244" t="str">
        <v/>
      </c>
      <c r="DH25" s="244" t="str" cm="1">
        <f t="array" ref="DH25">_xlfn.XLOOKUP(CP25,Tableau19[Licence],'GESTION DES JOUEURS'!$O$11:$O$46,"",0,1)</f>
        <v/>
      </c>
      <c r="DI25" s="471" t="str">
        <f>IF('GESTION DES JOUEURS'!$X$8="Libre",_xlfn.XLOOKUP(DH25,Tableau13[Cat.],Tableau13[Libre],"",0,1),IF('GESTION DES JOUEURS'!$X$8="Bande",_xlfn.XLOOKUP(DH25,Tableau13[Cat.],Tableau13[bande],"",0,1),IF('GESTION DES JOUEURS'!$X$8="Cadre",_xlfn.XLOOKUP(DH25,Tableau13[Cat.],Tableau13[Cadre],"",0,1),IF('GESTION DES JOUEURS'!$X$8="3 Bandes",_xlfn.XLOOKUP(DH25,Tableau13[Cat.],Tableau13[3 Bandes],"",0,1),""))))</f>
        <v/>
      </c>
      <c r="DK25" s="443" t="str">
        <v/>
      </c>
      <c r="DL25" s="443">
        <f>SUM(SUMIFS($N$9:$N$34,$F$9:$F$34,DK25,$A$9:$A$34,"P"),SUMIFS($P$9:$P$34,$V$9:$V$34,DK25,$A$9:$A$34,"P"),SUMIFS(Consolante!$P$9:$P$34,Consolante!$V$9:$V$34,DK25,Consolante!$A$9:$A$34,"P"),SUMIFS(Consolante!$N$9:$N$34,Consolante!$F$9:$F$34,DK25,Consolante!$A$9:$A$34,"P"))</f>
        <v>0</v>
      </c>
      <c r="DM25" s="443">
        <f>SUM(SUMIFS($O$9:$O$34,$F$9:$F$34,DK25,$A$9:$A$34,"P",$Y$9:$Y$34,FALSE),SUMIFS($O$9:$O$34,$F$9:$F$34,DK25,$A$9:$A$34,"P",$Y$9:$Y$34,TRUE)/_xlfn.XLOOKUP('GESTION DES JOUEURS'!$X$8&amp;RIGHT('GESTION DES JOUEURS'!$Y$8,1),Tableau14[Colonne1],Tableau14[coef. 2,80/3,10],"",0,1),SUMIFS($O$9:$O$34,$V$9:$V$34,DK25,$A$9:$A$34,"P",$Y$9:$Y$34,FALSE),SUMIFS($O$9:$O$34,$V$9:$V$34,DK25,$A$9:$A$34,"P",$Y$9:$Y$34,TRUE)/_xlfn.XLOOKUP('GESTION DES JOUEURS'!$X$8&amp;RIGHT('GESTION DES JOUEURS'!$Y$8,1),Tableau14[Colonne1],Tableau14[coef. 2,80/3,10],"",0,1),_xlfn.XLOOKUP(DK25,Consolante!$CP$7:$CP$22,Consolante!$CR$7:$CR$22,0,0,1))</f>
        <v>0</v>
      </c>
      <c r="DN25" s="447" t="str">
        <f t="shared" si="13"/>
        <v/>
      </c>
      <c r="DO25" s="443"/>
      <c r="DP25" s="443">
        <f>_xlfn.XLOOKUP(DK25,PA!$B$6:$B$11,PA!$P$6:$P$11,_xlfn.XLOOKUP(DK25,PB!$B$6:$B$11,PB!$P$6:$P$11,_xlfn.XLOOKUP(DK25,PC!$B$6:$B$11,PC!$P$6:$P$11,_xlfn.XLOOKUP(DK25,PD!$B$6:$B$11,PD!$P$6:$P$11,_xlfn.XLOOKUP(DK25,PE!$B$6:$B$11,PE!$P$6:$P$11,_xlfn.XLOOKUP(DK25,PF!$B$6:$B$11,PF!$P$6:$P$11,_xlfn.XLOOKUP(DK25,PG!$B$6:$B$11,PG!$P$6:$P$11,_xlfn.XLOOKUP(DK25,PH!$B$6:$B$11,PH!$P$6:$P$11,_xlfn.XLOOKUP(DK25,PI!$B$6:$B$11,PI!$P$6:$P$11,_xlfn.XLOOKUP(DK25,PJ!$B$6:$B$11,PJ!$P$6:$P$11,_xlfn.XLOOKUP(DK25,PK!$B$6:$B$11,PK!$P$6:$P$11,_xlfn.XLOOKUP(DK25,PL!$B$6:$B$11,PL!$P$6:$P$11,"",0,1),0,1),0,1),0,1),0,1),0,1),0,1),0,1),0,1),0,1),0,1),0,1)</f>
        <v>0</v>
      </c>
      <c r="DQ25" s="443">
        <f>_xlfn.XLOOKUP(DK25,PA!$B$6:$B$11,PA!$Q$6:$Q$11,_xlfn.XLOOKUP(DK25,PB!$B$6:$B$11,PB!$Q$6:$Q$11,_xlfn.XLOOKUP(DK25,PC!$B$6:$B$11,PC!$Q$6:$Q$11,_xlfn.XLOOKUP(DK25,PD!$B$6:$B$11,PD!$Q$6:$Q$11,_xlfn.XLOOKUP(DK25,PE!$B$6:$B$11,PE!$Q$6:$Q$11,_xlfn.XLOOKUP(DK25,PF!$B$6:$B$11,PF!$Q$6:$Q$11,_xlfn.XLOOKUP(DK25,PG!$B$6:$B$11,PG!$Q$6:$Q$11,_xlfn.XLOOKUP(DK25,PH!$B$6:$B$11,PH!$Q$6:$Q$11,_xlfn.XLOOKUP(DK25,PI!$B$6:$B$11,PI!$Q$6:$Q$11,_xlfn.XLOOKUP(DK25,PJ!$B$6:$B$11,PJ!$Q$6:$Q$11,_xlfn.XLOOKUP(DK25,PK!$B$6:$B$11,PK!$Q$6:$Q$11,_xlfn.XLOOKUP(DK25,PL!$B$6:$B$11,PL!$Q$6:$Q$11,"",0,1),0,1),0,1),0,1),0,1),0,1),0,1),0,1),0,1),0,1),0,1),0,1)</f>
        <v>0</v>
      </c>
      <c r="DR25" s="244" t="str">
        <f>IFERROR(('Phase finale'!DL25+'Phase finale'!DP25)/('Phase finale'!DM25+'Phase finale'!DQ25),"")</f>
        <v/>
      </c>
    </row>
    <row r="26" spans="1:137" ht="14.1" customHeight="1" x14ac:dyDescent="0.25">
      <c r="B26" s="1092"/>
      <c r="C26" s="1093"/>
      <c r="D26" s="1093"/>
      <c r="E26" s="1093"/>
      <c r="F26" s="1093"/>
      <c r="G26" s="1093"/>
      <c r="H26" s="1093"/>
      <c r="I26" s="1093"/>
      <c r="J26" s="1093"/>
      <c r="K26" s="1093"/>
      <c r="L26" s="1093"/>
      <c r="M26" s="1093"/>
      <c r="N26" s="1093"/>
      <c r="O26" s="1093"/>
      <c r="P26" s="1093"/>
      <c r="Q26" s="1093"/>
      <c r="R26" s="1093"/>
      <c r="S26" s="1093"/>
      <c r="T26" s="1093"/>
      <c r="U26" s="1093"/>
      <c r="V26" s="1093"/>
      <c r="W26" s="1093"/>
      <c r="X26" s="1094"/>
      <c r="Y26" s="522"/>
      <c r="AA26" s="912"/>
      <c r="AE26" s="371">
        <v>4</v>
      </c>
      <c r="AF26" s="371" t="str">
        <f t="shared" si="21"/>
        <v/>
      </c>
      <c r="AG26" s="371" t="str">
        <f t="shared" si="22"/>
        <v/>
      </c>
      <c r="AH26" s="371" t="b">
        <f t="shared" si="23"/>
        <v>0</v>
      </c>
      <c r="AI26" s="371" t="e">
        <f t="shared" si="0"/>
        <v>#VALUE!</v>
      </c>
      <c r="AJ26" s="244" t="e">
        <f t="shared" si="1"/>
        <v>#VALUE!</v>
      </c>
      <c r="AK26" s="244">
        <f t="shared" si="24"/>
        <v>0</v>
      </c>
      <c r="AL26" s="573" t="str">
        <f t="shared" si="25"/>
        <v/>
      </c>
      <c r="AM26" s="244" t="e">
        <f t="shared" si="26"/>
        <v>#VALUE!</v>
      </c>
      <c r="BA26" s="244">
        <v>20</v>
      </c>
      <c r="BB26" s="443" t="str">
        <f>IF('GESTION DES JOUEURS'!B30="","",'GESTION DES JOUEURS'!B30)</f>
        <v/>
      </c>
      <c r="BC26" s="443" t="str" cm="1">
        <f t="array" ref="BC26:BS26">_xlfn.XLOOKUP('Phase finale'!BB26,PA!$B$37:$B$42,PA!$C$37:$S$42,_xlfn.XLOOKUP('Phase finale'!BB26,PB!$B$37:$B$42,PB!$C$37:$S$42,_xlfn.XLOOKUP('Phase finale'!BB26,PC!$B$37:$B$42,PC!$C$37:$S$42,_xlfn.XLOOKUP('Phase finale'!BB26,PD!$B$37:$B$42,PD!$C$37:$S$42,_xlfn.XLOOKUP('Phase finale'!BB26,PE!$B$37:$B$42,PE!$C$37:$S$42,_xlfn.XLOOKUP('Phase finale'!BB26,PF!$B$37:$B$42,PF!$C$37:$S$42,_xlfn.XLOOKUP('Phase finale'!BB26,PG!$B$37:$B$42,PG!$C$37:$S$42,_xlfn.XLOOKUP('Phase finale'!BB26,PH!$B$37:$B$42,PH!$C$37:$S$42,_xlfn.XLOOKUP('Phase finale'!BB26,PI!$B$37:$B$42,PI!$C$37:$S$42,_xlfn.XLOOKUP('Phase finale'!BB26,PJ!$B$37:$B$42,PJ!$C$37:$S$42,_xlfn.XLOOKUP('Phase finale'!BB26,PK!$B$37:$B$42,PK!$C$37:$S$42,_xlfn.XLOOKUP('Phase finale'!BB26,PL!$B$37:$B$42,PL!$C$37:$S$42,"",0,1),0,1),0,1),0,1),0,1),0,1),0,1),0,1),0,1),0,1),0,1),0,1)</f>
        <v/>
      </c>
      <c r="BD26" s="443">
        <v>0</v>
      </c>
      <c r="BE26" s="443" t="str">
        <v/>
      </c>
      <c r="BF26" s="443">
        <v>0</v>
      </c>
      <c r="BG26" s="443" t="str">
        <v/>
      </c>
      <c r="BH26" s="443">
        <v>0</v>
      </c>
      <c r="BI26" s="443">
        <v>0</v>
      </c>
      <c r="BJ26" s="443">
        <v>0</v>
      </c>
      <c r="BK26" s="443">
        <v>0</v>
      </c>
      <c r="BL26" s="443">
        <v>0</v>
      </c>
      <c r="BM26" s="443" t="str">
        <v/>
      </c>
      <c r="BN26" s="443" t="str">
        <v/>
      </c>
      <c r="BO26" s="443" t="str">
        <v/>
      </c>
      <c r="BP26" s="443" t="str">
        <v/>
      </c>
      <c r="BQ26" s="443" t="str">
        <v/>
      </c>
      <c r="BR26" s="443" t="str">
        <v/>
      </c>
      <c r="BS26" s="443" t="str">
        <v/>
      </c>
      <c r="BU26" s="244">
        <v>20</v>
      </c>
      <c r="BV26" s="244" t="str">
        <v/>
      </c>
      <c r="BW26" s="244" t="str">
        <v/>
      </c>
      <c r="BX26" s="244">
        <v>0</v>
      </c>
      <c r="BY26" s="244" t="str">
        <v/>
      </c>
      <c r="BZ26" s="244">
        <v>0</v>
      </c>
      <c r="CA26" s="244" t="str">
        <v/>
      </c>
      <c r="CB26" s="244">
        <v>0</v>
      </c>
      <c r="CC26" s="244">
        <v>0</v>
      </c>
      <c r="CD26" s="244">
        <v>0</v>
      </c>
      <c r="CE26" s="244">
        <v>0</v>
      </c>
      <c r="CF26" s="244">
        <v>0</v>
      </c>
      <c r="CG26" s="244" t="str">
        <v/>
      </c>
      <c r="CH26" s="244" t="str">
        <v/>
      </c>
      <c r="CI26" s="244" t="str">
        <v/>
      </c>
      <c r="CJ26" s="244" t="str">
        <v/>
      </c>
      <c r="CK26" s="244" t="str">
        <v/>
      </c>
      <c r="CL26" s="244" t="str">
        <v/>
      </c>
      <c r="CM26" s="244" t="str">
        <v/>
      </c>
      <c r="CO26" s="244">
        <f t="shared" si="12"/>
        <v>11</v>
      </c>
      <c r="CP26" s="244" t="str">
        <v/>
      </c>
      <c r="CQ26" s="244" t="str">
        <v/>
      </c>
      <c r="CR26" s="244">
        <v>0</v>
      </c>
      <c r="CS26" s="244" t="str">
        <v/>
      </c>
      <c r="CT26" s="244">
        <v>0</v>
      </c>
      <c r="CU26" s="244" t="str">
        <v/>
      </c>
      <c r="CV26" s="244">
        <v>0</v>
      </c>
      <c r="CW26" s="244">
        <v>0</v>
      </c>
      <c r="CX26" s="244">
        <v>0</v>
      </c>
      <c r="CY26" s="244">
        <v>0</v>
      </c>
      <c r="CZ26" s="244">
        <v>0</v>
      </c>
      <c r="DA26" s="244" t="str">
        <v/>
      </c>
      <c r="DB26" s="244" t="str">
        <v/>
      </c>
      <c r="DC26" s="244" t="str">
        <v/>
      </c>
      <c r="DD26" s="244" t="str">
        <v/>
      </c>
      <c r="DE26" s="244" t="str">
        <v/>
      </c>
      <c r="DF26" s="244" t="str">
        <v/>
      </c>
      <c r="DG26" s="244" t="str">
        <v/>
      </c>
      <c r="DH26" s="244" t="str" cm="1">
        <f t="array" ref="DH26">_xlfn.XLOOKUP(CP26,Tableau19[Licence],'GESTION DES JOUEURS'!$O$11:$O$46,"",0,1)</f>
        <v/>
      </c>
      <c r="DI26" s="471" t="str">
        <f>IF('GESTION DES JOUEURS'!$X$8="Libre",_xlfn.XLOOKUP(DH26,Tableau13[Cat.],Tableau13[Libre],"",0,1),IF('GESTION DES JOUEURS'!$X$8="Bande",_xlfn.XLOOKUP(DH26,Tableau13[Cat.],Tableau13[bande],"",0,1),IF('GESTION DES JOUEURS'!$X$8="Cadre",_xlfn.XLOOKUP(DH26,Tableau13[Cat.],Tableau13[Cadre],"",0,1),IF('GESTION DES JOUEURS'!$X$8="3 Bandes",_xlfn.XLOOKUP(DH26,Tableau13[Cat.],Tableau13[3 Bandes],"",0,1),""))))</f>
        <v/>
      </c>
      <c r="DK26" s="443" t="str">
        <v/>
      </c>
      <c r="DL26" s="443">
        <f>SUM(SUMIFS($N$9:$N$34,$F$9:$F$34,DK26,$A$9:$A$34,"P"),SUMIFS($P$9:$P$34,$V$9:$V$34,DK26,$A$9:$A$34,"P"),SUMIFS(Consolante!$P$9:$P$34,Consolante!$V$9:$V$34,DK26,Consolante!$A$9:$A$34,"P"),SUMIFS(Consolante!$N$9:$N$34,Consolante!$F$9:$F$34,DK26,Consolante!$A$9:$A$34,"P"))</f>
        <v>0</v>
      </c>
      <c r="DM26" s="443">
        <f>SUM(SUMIFS($O$9:$O$34,$F$9:$F$34,DK26,$A$9:$A$34,"P",$Y$9:$Y$34,FALSE),SUMIFS($O$9:$O$34,$F$9:$F$34,DK26,$A$9:$A$34,"P",$Y$9:$Y$34,TRUE)/_xlfn.XLOOKUP('GESTION DES JOUEURS'!$X$8&amp;RIGHT('GESTION DES JOUEURS'!$Y$8,1),Tableau14[Colonne1],Tableau14[coef. 2,80/3,10],"",0,1),SUMIFS($O$9:$O$34,$V$9:$V$34,DK26,$A$9:$A$34,"P",$Y$9:$Y$34,FALSE),SUMIFS($O$9:$O$34,$V$9:$V$34,DK26,$A$9:$A$34,"P",$Y$9:$Y$34,TRUE)/_xlfn.XLOOKUP('GESTION DES JOUEURS'!$X$8&amp;RIGHT('GESTION DES JOUEURS'!$Y$8,1),Tableau14[Colonne1],Tableau14[coef. 2,80/3,10],"",0,1),_xlfn.XLOOKUP(DK26,Consolante!$CP$7:$CP$22,Consolante!$CR$7:$CR$22,0,0,1))</f>
        <v>0</v>
      </c>
      <c r="DN26" s="447" t="str">
        <f t="shared" si="13"/>
        <v/>
      </c>
      <c r="DO26" s="443"/>
      <c r="DP26" s="443">
        <f>_xlfn.XLOOKUP(DK26,PA!$B$6:$B$11,PA!$P$6:$P$11,_xlfn.XLOOKUP(DK26,PB!$B$6:$B$11,PB!$P$6:$P$11,_xlfn.XLOOKUP(DK26,PC!$B$6:$B$11,PC!$P$6:$P$11,_xlfn.XLOOKUP(DK26,PD!$B$6:$B$11,PD!$P$6:$P$11,_xlfn.XLOOKUP(DK26,PE!$B$6:$B$11,PE!$P$6:$P$11,_xlfn.XLOOKUP(DK26,PF!$B$6:$B$11,PF!$P$6:$P$11,_xlfn.XLOOKUP(DK26,PG!$B$6:$B$11,PG!$P$6:$P$11,_xlfn.XLOOKUP(DK26,PH!$B$6:$B$11,PH!$P$6:$P$11,_xlfn.XLOOKUP(DK26,PI!$B$6:$B$11,PI!$P$6:$P$11,_xlfn.XLOOKUP(DK26,PJ!$B$6:$B$11,PJ!$P$6:$P$11,_xlfn.XLOOKUP(DK26,PK!$B$6:$B$11,PK!$P$6:$P$11,_xlfn.XLOOKUP(DK26,PL!$B$6:$B$11,PL!$P$6:$P$11,"",0,1),0,1),0,1),0,1),0,1),0,1),0,1),0,1),0,1),0,1),0,1),0,1)</f>
        <v>0</v>
      </c>
      <c r="DQ26" s="443">
        <f>_xlfn.XLOOKUP(DK26,PA!$B$6:$B$11,PA!$Q$6:$Q$11,_xlfn.XLOOKUP(DK26,PB!$B$6:$B$11,PB!$Q$6:$Q$11,_xlfn.XLOOKUP(DK26,PC!$B$6:$B$11,PC!$Q$6:$Q$11,_xlfn.XLOOKUP(DK26,PD!$B$6:$B$11,PD!$Q$6:$Q$11,_xlfn.XLOOKUP(DK26,PE!$B$6:$B$11,PE!$Q$6:$Q$11,_xlfn.XLOOKUP(DK26,PF!$B$6:$B$11,PF!$Q$6:$Q$11,_xlfn.XLOOKUP(DK26,PG!$B$6:$B$11,PG!$Q$6:$Q$11,_xlfn.XLOOKUP(DK26,PH!$B$6:$B$11,PH!$Q$6:$Q$11,_xlfn.XLOOKUP(DK26,PI!$B$6:$B$11,PI!$Q$6:$Q$11,_xlfn.XLOOKUP(DK26,PJ!$B$6:$B$11,PJ!$Q$6:$Q$11,_xlfn.XLOOKUP(DK26,PK!$B$6:$B$11,PK!$Q$6:$Q$11,_xlfn.XLOOKUP(DK26,PL!$B$6:$B$11,PL!$Q$6:$Q$11,"",0,1),0,1),0,1),0,1),0,1),0,1),0,1),0,1),0,1),0,1),0,1),0,1)</f>
        <v>0</v>
      </c>
      <c r="DR26" s="244" t="str">
        <f>IFERROR(('Phase finale'!DL26+'Phase finale'!DP26)/('Phase finale'!DM26+'Phase finale'!DQ26),"")</f>
        <v/>
      </c>
    </row>
    <row r="27" spans="1:137" ht="14.1" customHeight="1" x14ac:dyDescent="0.25">
      <c r="B27" s="1092"/>
      <c r="C27" s="1093"/>
      <c r="D27" s="1093"/>
      <c r="E27" s="1093"/>
      <c r="F27" s="1093"/>
      <c r="G27" s="1093"/>
      <c r="H27" s="1093"/>
      <c r="I27" s="1093"/>
      <c r="J27" s="1093"/>
      <c r="K27" s="1093"/>
      <c r="L27" s="1093"/>
      <c r="M27" s="1093"/>
      <c r="N27" s="1093"/>
      <c r="O27" s="1093"/>
      <c r="P27" s="1093"/>
      <c r="Q27" s="1093"/>
      <c r="R27" s="1093"/>
      <c r="S27" s="1093"/>
      <c r="T27" s="1093"/>
      <c r="U27" s="1093"/>
      <c r="V27" s="1093"/>
      <c r="W27" s="1093"/>
      <c r="X27" s="1094"/>
      <c r="Y27" s="522"/>
      <c r="AA27" s="914" t="s">
        <v>8121</v>
      </c>
      <c r="AE27" s="371">
        <v>4</v>
      </c>
      <c r="AF27" s="371" t="str">
        <f>V16</f>
        <v/>
      </c>
      <c r="AG27" s="371" t="str">
        <f>X16</f>
        <v/>
      </c>
      <c r="AH27" s="371" t="b">
        <f>R16</f>
        <v>0</v>
      </c>
      <c r="AI27" s="371" t="e">
        <f t="shared" si="0"/>
        <v>#VALUE!</v>
      </c>
      <c r="AJ27" s="244" t="e">
        <f t="shared" si="1"/>
        <v>#VALUE!</v>
      </c>
      <c r="AK27" s="244">
        <f>Q16</f>
        <v>0</v>
      </c>
      <c r="AL27" s="573" t="str">
        <f>W16</f>
        <v/>
      </c>
      <c r="AM27" s="244" t="e">
        <f>N16/AJ27</f>
        <v>#VALUE!</v>
      </c>
      <c r="BA27" s="244">
        <v>21</v>
      </c>
      <c r="BB27" s="443" t="str">
        <f>IF('GESTION DES JOUEURS'!B31="","",'GESTION DES JOUEURS'!B31)</f>
        <v/>
      </c>
      <c r="BC27" s="443" t="str" cm="1">
        <f t="array" ref="BC27:BS27">_xlfn.XLOOKUP('Phase finale'!BB27,PA!$B$37:$B$42,PA!$C$37:$S$42,_xlfn.XLOOKUP('Phase finale'!BB27,PB!$B$37:$B$42,PB!$C$37:$S$42,_xlfn.XLOOKUP('Phase finale'!BB27,PC!$B$37:$B$42,PC!$C$37:$S$42,_xlfn.XLOOKUP('Phase finale'!BB27,PD!$B$37:$B$42,PD!$C$37:$S$42,_xlfn.XLOOKUP('Phase finale'!BB27,PE!$B$37:$B$42,PE!$C$37:$S$42,_xlfn.XLOOKUP('Phase finale'!BB27,PF!$B$37:$B$42,PF!$C$37:$S$42,_xlfn.XLOOKUP('Phase finale'!BB27,PG!$B$37:$B$42,PG!$C$37:$S$42,_xlfn.XLOOKUP('Phase finale'!BB27,PH!$B$37:$B$42,PH!$C$37:$S$42,_xlfn.XLOOKUP('Phase finale'!BB27,PI!$B$37:$B$42,PI!$C$37:$S$42,_xlfn.XLOOKUP('Phase finale'!BB27,PJ!$B$37:$B$42,PJ!$C$37:$S$42,_xlfn.XLOOKUP('Phase finale'!BB27,PK!$B$37:$B$42,PK!$C$37:$S$42,_xlfn.XLOOKUP('Phase finale'!BB27,PL!$B$37:$B$42,PL!$C$37:$S$42,"",0,1),0,1),0,1),0,1),0,1),0,1),0,1),0,1),0,1),0,1),0,1),0,1)</f>
        <v/>
      </c>
      <c r="BD27" s="443">
        <v>0</v>
      </c>
      <c r="BE27" s="443" t="str">
        <v/>
      </c>
      <c r="BF27" s="443">
        <v>0</v>
      </c>
      <c r="BG27" s="443" t="str">
        <v/>
      </c>
      <c r="BH27" s="443">
        <v>0</v>
      </c>
      <c r="BI27" s="443">
        <v>0</v>
      </c>
      <c r="BJ27" s="443">
        <v>0</v>
      </c>
      <c r="BK27" s="443">
        <v>0</v>
      </c>
      <c r="BL27" s="443">
        <v>0</v>
      </c>
      <c r="BM27" s="443" t="str">
        <v/>
      </c>
      <c r="BN27" s="443" t="str">
        <v/>
      </c>
      <c r="BO27" s="443" t="str">
        <v/>
      </c>
      <c r="BP27" s="443" t="str">
        <v/>
      </c>
      <c r="BQ27" s="443" t="str">
        <v/>
      </c>
      <c r="BR27" s="443" t="str">
        <v/>
      </c>
      <c r="BS27" s="443" t="str">
        <v/>
      </c>
      <c r="BU27" s="244">
        <v>21</v>
      </c>
      <c r="BV27" s="244" t="str">
        <v/>
      </c>
      <c r="BW27" s="244" t="str">
        <v/>
      </c>
      <c r="BX27" s="244">
        <v>0</v>
      </c>
      <c r="BY27" s="244" t="str">
        <v/>
      </c>
      <c r="BZ27" s="244">
        <v>0</v>
      </c>
      <c r="CA27" s="244" t="str">
        <v/>
      </c>
      <c r="CB27" s="244">
        <v>0</v>
      </c>
      <c r="CC27" s="244">
        <v>0</v>
      </c>
      <c r="CD27" s="244">
        <v>0</v>
      </c>
      <c r="CE27" s="244">
        <v>0</v>
      </c>
      <c r="CF27" s="244">
        <v>0</v>
      </c>
      <c r="CG27" s="244" t="str">
        <v/>
      </c>
      <c r="CH27" s="244" t="str">
        <v/>
      </c>
      <c r="CI27" s="244" t="str">
        <v/>
      </c>
      <c r="CJ27" s="244" t="str">
        <v/>
      </c>
      <c r="CK27" s="244" t="str">
        <v/>
      </c>
      <c r="CL27" s="244" t="str">
        <v/>
      </c>
      <c r="CM27" s="244" t="str">
        <v/>
      </c>
      <c r="CO27" s="244">
        <f t="shared" si="12"/>
        <v>11</v>
      </c>
      <c r="CP27" s="244" t="str">
        <v/>
      </c>
      <c r="CQ27" s="244" t="str">
        <v/>
      </c>
      <c r="CR27" s="244">
        <v>0</v>
      </c>
      <c r="CS27" s="244" t="str">
        <v/>
      </c>
      <c r="CT27" s="244">
        <v>0</v>
      </c>
      <c r="CU27" s="244" t="str">
        <v/>
      </c>
      <c r="CV27" s="244">
        <v>0</v>
      </c>
      <c r="CW27" s="244">
        <v>0</v>
      </c>
      <c r="CX27" s="244">
        <v>0</v>
      </c>
      <c r="CY27" s="244">
        <v>0</v>
      </c>
      <c r="CZ27" s="244">
        <v>0</v>
      </c>
      <c r="DA27" s="244" t="str">
        <v/>
      </c>
      <c r="DB27" s="244" t="str">
        <v/>
      </c>
      <c r="DC27" s="244" t="str">
        <v/>
      </c>
      <c r="DD27" s="244" t="str">
        <v/>
      </c>
      <c r="DE27" s="244" t="str">
        <v/>
      </c>
      <c r="DF27" s="244" t="str">
        <v/>
      </c>
      <c r="DG27" s="244" t="str">
        <v/>
      </c>
      <c r="DH27" s="244" t="str" cm="1">
        <f t="array" ref="DH27">_xlfn.XLOOKUP(CP27,Tableau19[Licence],'GESTION DES JOUEURS'!$O$11:$O$46,"",0,1)</f>
        <v/>
      </c>
      <c r="DI27" s="471" t="str">
        <f>IF('GESTION DES JOUEURS'!$X$8="Libre",_xlfn.XLOOKUP(DH27,Tableau13[Cat.],Tableau13[Libre],"",0,1),IF('GESTION DES JOUEURS'!$X$8="Bande",_xlfn.XLOOKUP(DH27,Tableau13[Cat.],Tableau13[bande],"",0,1),IF('GESTION DES JOUEURS'!$X$8="Cadre",_xlfn.XLOOKUP(DH27,Tableau13[Cat.],Tableau13[Cadre],"",0,1),IF('GESTION DES JOUEURS'!$X$8="3 Bandes",_xlfn.XLOOKUP(DH27,Tableau13[Cat.],Tableau13[3 Bandes],"",0,1),""))))</f>
        <v/>
      </c>
      <c r="DK27" s="443" t="str">
        <v/>
      </c>
      <c r="DL27" s="443">
        <f>SUM(SUMIFS($N$9:$N$34,$F$9:$F$34,DK27,$A$9:$A$34,"P"),SUMIFS($P$9:$P$34,$V$9:$V$34,DK27,$A$9:$A$34,"P"),SUMIFS(Consolante!$P$9:$P$34,Consolante!$V$9:$V$34,DK27,Consolante!$A$9:$A$34,"P"),SUMIFS(Consolante!$N$9:$N$34,Consolante!$F$9:$F$34,DK27,Consolante!$A$9:$A$34,"P"))</f>
        <v>0</v>
      </c>
      <c r="DM27" s="443">
        <f>SUM(SUMIFS($O$9:$O$34,$F$9:$F$34,DK27,$A$9:$A$34,"P",$Y$9:$Y$34,FALSE),SUMIFS($O$9:$O$34,$F$9:$F$34,DK27,$A$9:$A$34,"P",$Y$9:$Y$34,TRUE)/_xlfn.XLOOKUP('GESTION DES JOUEURS'!$X$8&amp;RIGHT('GESTION DES JOUEURS'!$Y$8,1),Tableau14[Colonne1],Tableau14[coef. 2,80/3,10],"",0,1),SUMIFS($O$9:$O$34,$V$9:$V$34,DK27,$A$9:$A$34,"P",$Y$9:$Y$34,FALSE),SUMIFS($O$9:$O$34,$V$9:$V$34,DK27,$A$9:$A$34,"P",$Y$9:$Y$34,TRUE)/_xlfn.XLOOKUP('GESTION DES JOUEURS'!$X$8&amp;RIGHT('GESTION DES JOUEURS'!$Y$8,1),Tableau14[Colonne1],Tableau14[coef. 2,80/3,10],"",0,1),_xlfn.XLOOKUP(DK27,Consolante!$CP$7:$CP$22,Consolante!$CR$7:$CR$22,0,0,1))</f>
        <v>0</v>
      </c>
      <c r="DN27" s="447" t="str">
        <f t="shared" si="13"/>
        <v/>
      </c>
      <c r="DO27" s="443"/>
      <c r="DP27" s="443">
        <f>_xlfn.XLOOKUP(DK27,PA!$B$6:$B$11,PA!$P$6:$P$11,_xlfn.XLOOKUP(DK27,PB!$B$6:$B$11,PB!$P$6:$P$11,_xlfn.XLOOKUP(DK27,PC!$B$6:$B$11,PC!$P$6:$P$11,_xlfn.XLOOKUP(DK27,PD!$B$6:$B$11,PD!$P$6:$P$11,_xlfn.XLOOKUP(DK27,PE!$B$6:$B$11,PE!$P$6:$P$11,_xlfn.XLOOKUP(DK27,PF!$B$6:$B$11,PF!$P$6:$P$11,_xlfn.XLOOKUP(DK27,PG!$B$6:$B$11,PG!$P$6:$P$11,_xlfn.XLOOKUP(DK27,PH!$B$6:$B$11,PH!$P$6:$P$11,_xlfn.XLOOKUP(DK27,PI!$B$6:$B$11,PI!$P$6:$P$11,_xlfn.XLOOKUP(DK27,PJ!$B$6:$B$11,PJ!$P$6:$P$11,_xlfn.XLOOKUP(DK27,PK!$B$6:$B$11,PK!$P$6:$P$11,_xlfn.XLOOKUP(DK27,PL!$B$6:$B$11,PL!$P$6:$P$11,"",0,1),0,1),0,1),0,1),0,1),0,1),0,1),0,1),0,1),0,1),0,1),0,1)</f>
        <v>0</v>
      </c>
      <c r="DQ27" s="443">
        <f>_xlfn.XLOOKUP(DK27,PA!$B$6:$B$11,PA!$Q$6:$Q$11,_xlfn.XLOOKUP(DK27,PB!$B$6:$B$11,PB!$Q$6:$Q$11,_xlfn.XLOOKUP(DK27,PC!$B$6:$B$11,PC!$Q$6:$Q$11,_xlfn.XLOOKUP(DK27,PD!$B$6:$B$11,PD!$Q$6:$Q$11,_xlfn.XLOOKUP(DK27,PE!$B$6:$B$11,PE!$Q$6:$Q$11,_xlfn.XLOOKUP(DK27,PF!$B$6:$B$11,PF!$Q$6:$Q$11,_xlfn.XLOOKUP(DK27,PG!$B$6:$B$11,PG!$Q$6:$Q$11,_xlfn.XLOOKUP(DK27,PH!$B$6:$B$11,PH!$Q$6:$Q$11,_xlfn.XLOOKUP(DK27,PI!$B$6:$B$11,PI!$Q$6:$Q$11,_xlfn.XLOOKUP(DK27,PJ!$B$6:$B$11,PJ!$Q$6:$Q$11,_xlfn.XLOOKUP(DK27,PK!$B$6:$B$11,PK!$Q$6:$Q$11,_xlfn.XLOOKUP(DK27,PL!$B$6:$B$11,PL!$Q$6:$Q$11,"",0,1),0,1),0,1),0,1),0,1),0,1),0,1),0,1),0,1),0,1),0,1),0,1)</f>
        <v>0</v>
      </c>
      <c r="DR27" s="244" t="str">
        <f>IFERROR(('Phase finale'!DL27+'Phase finale'!DP27)/('Phase finale'!DM27+'Phase finale'!DQ27),"")</f>
        <v/>
      </c>
    </row>
    <row r="28" spans="1:137" ht="14.1" customHeight="1" thickBot="1" x14ac:dyDescent="0.3">
      <c r="B28" s="1095"/>
      <c r="C28" s="1096"/>
      <c r="D28" s="1096"/>
      <c r="E28" s="1096"/>
      <c r="F28" s="1096"/>
      <c r="G28" s="1096"/>
      <c r="H28" s="1096"/>
      <c r="I28" s="1096"/>
      <c r="J28" s="1096"/>
      <c r="K28" s="1096"/>
      <c r="L28" s="1096"/>
      <c r="M28" s="1096"/>
      <c r="N28" s="1096"/>
      <c r="O28" s="1096"/>
      <c r="P28" s="1096"/>
      <c r="Q28" s="1096"/>
      <c r="R28" s="1096"/>
      <c r="S28" s="1096"/>
      <c r="T28" s="1096"/>
      <c r="U28" s="1096"/>
      <c r="V28" s="1096"/>
      <c r="W28" s="1096"/>
      <c r="X28" s="1097"/>
      <c r="Y28" s="522"/>
      <c r="AA28" s="914"/>
      <c r="AE28" s="371">
        <v>4</v>
      </c>
      <c r="AF28" s="371" t="str">
        <f t="shared" ref="AF28:AF34" si="27">V17</f>
        <v/>
      </c>
      <c r="AG28" s="371" t="str">
        <f t="shared" ref="AG28:AG34" si="28">X17</f>
        <v/>
      </c>
      <c r="AH28" s="371" t="b">
        <f t="shared" ref="AH28:AH34" si="29">R17</f>
        <v>0</v>
      </c>
      <c r="AI28" s="371" t="e">
        <f t="shared" si="0"/>
        <v>#VALUE!</v>
      </c>
      <c r="AJ28" s="244" t="e">
        <f t="shared" si="1"/>
        <v>#VALUE!</v>
      </c>
      <c r="AK28" s="244">
        <f t="shared" ref="AK28:AK34" si="30">Q17</f>
        <v>0</v>
      </c>
      <c r="AL28" s="573" t="str">
        <f t="shared" ref="AL28:AL34" si="31">W17</f>
        <v/>
      </c>
      <c r="AM28" s="244" t="e">
        <f t="shared" ref="AM28:AM34" si="32">N17/AJ28</f>
        <v>#VALUE!</v>
      </c>
      <c r="BA28" s="244">
        <v>22</v>
      </c>
      <c r="BB28" s="443" t="str">
        <f>IF('GESTION DES JOUEURS'!B32="","",'GESTION DES JOUEURS'!B32)</f>
        <v/>
      </c>
      <c r="BC28" s="443" t="str" cm="1">
        <f t="array" ref="BC28:BS28">_xlfn.XLOOKUP('Phase finale'!BB28,PA!$B$37:$B$42,PA!$C$37:$S$42,_xlfn.XLOOKUP('Phase finale'!BB28,PB!$B$37:$B$42,PB!$C$37:$S$42,_xlfn.XLOOKUP('Phase finale'!BB28,PC!$B$37:$B$42,PC!$C$37:$S$42,_xlfn.XLOOKUP('Phase finale'!BB28,PD!$B$37:$B$42,PD!$C$37:$S$42,_xlfn.XLOOKUP('Phase finale'!BB28,PE!$B$37:$B$42,PE!$C$37:$S$42,_xlfn.XLOOKUP('Phase finale'!BB28,PF!$B$37:$B$42,PF!$C$37:$S$42,_xlfn.XLOOKUP('Phase finale'!BB28,PG!$B$37:$B$42,PG!$C$37:$S$42,_xlfn.XLOOKUP('Phase finale'!BB28,PH!$B$37:$B$42,PH!$C$37:$S$42,_xlfn.XLOOKUP('Phase finale'!BB28,PI!$B$37:$B$42,PI!$C$37:$S$42,_xlfn.XLOOKUP('Phase finale'!BB28,PJ!$B$37:$B$42,PJ!$C$37:$S$42,_xlfn.XLOOKUP('Phase finale'!BB28,PK!$B$37:$B$42,PK!$C$37:$S$42,_xlfn.XLOOKUP('Phase finale'!BB28,PL!$B$37:$B$42,PL!$C$37:$S$42,"",0,1),0,1),0,1),0,1),0,1),0,1),0,1),0,1),0,1),0,1),0,1),0,1)</f>
        <v/>
      </c>
      <c r="BD28" s="443">
        <v>0</v>
      </c>
      <c r="BE28" s="443" t="str">
        <v/>
      </c>
      <c r="BF28" s="443">
        <v>0</v>
      </c>
      <c r="BG28" s="443" t="str">
        <v/>
      </c>
      <c r="BH28" s="443">
        <v>0</v>
      </c>
      <c r="BI28" s="443">
        <v>0</v>
      </c>
      <c r="BJ28" s="443">
        <v>0</v>
      </c>
      <c r="BK28" s="443">
        <v>0</v>
      </c>
      <c r="BL28" s="443">
        <v>0</v>
      </c>
      <c r="BM28" s="443" t="str">
        <v/>
      </c>
      <c r="BN28" s="443" t="str">
        <v/>
      </c>
      <c r="BO28" s="443" t="str">
        <v/>
      </c>
      <c r="BP28" s="443" t="str">
        <v/>
      </c>
      <c r="BQ28" s="443" t="str">
        <v/>
      </c>
      <c r="BR28" s="443" t="str">
        <v/>
      </c>
      <c r="BS28" s="443" t="str">
        <v/>
      </c>
      <c r="BU28" s="244">
        <v>22</v>
      </c>
      <c r="BV28" s="244" t="str">
        <v/>
      </c>
      <c r="BW28" s="244" t="str">
        <v/>
      </c>
      <c r="BX28" s="244">
        <v>0</v>
      </c>
      <c r="BY28" s="244" t="str">
        <v/>
      </c>
      <c r="BZ28" s="244">
        <v>0</v>
      </c>
      <c r="CA28" s="244" t="str">
        <v/>
      </c>
      <c r="CB28" s="244">
        <v>0</v>
      </c>
      <c r="CC28" s="244">
        <v>0</v>
      </c>
      <c r="CD28" s="244">
        <v>0</v>
      </c>
      <c r="CE28" s="244">
        <v>0</v>
      </c>
      <c r="CF28" s="244">
        <v>0</v>
      </c>
      <c r="CG28" s="244" t="str">
        <v/>
      </c>
      <c r="CH28" s="244" t="str">
        <v/>
      </c>
      <c r="CI28" s="244" t="str">
        <v/>
      </c>
      <c r="CJ28" s="244" t="str">
        <v/>
      </c>
      <c r="CK28" s="244" t="str">
        <v/>
      </c>
      <c r="CL28" s="244" t="str">
        <v/>
      </c>
      <c r="CM28" s="244" t="str">
        <v/>
      </c>
      <c r="CO28" s="244">
        <f t="shared" si="12"/>
        <v>11</v>
      </c>
      <c r="CP28" s="244" t="str">
        <v/>
      </c>
      <c r="CQ28" s="244" t="str">
        <v/>
      </c>
      <c r="CR28" s="244">
        <v>0</v>
      </c>
      <c r="CS28" s="244" t="str">
        <v/>
      </c>
      <c r="CT28" s="244">
        <v>0</v>
      </c>
      <c r="CU28" s="244" t="str">
        <v/>
      </c>
      <c r="CV28" s="244">
        <v>0</v>
      </c>
      <c r="CW28" s="244">
        <v>0</v>
      </c>
      <c r="CX28" s="244">
        <v>0</v>
      </c>
      <c r="CY28" s="244">
        <v>0</v>
      </c>
      <c r="CZ28" s="244">
        <v>0</v>
      </c>
      <c r="DA28" s="244" t="str">
        <v/>
      </c>
      <c r="DB28" s="244" t="str">
        <v/>
      </c>
      <c r="DC28" s="244" t="str">
        <v/>
      </c>
      <c r="DD28" s="244" t="str">
        <v/>
      </c>
      <c r="DE28" s="244" t="str">
        <v/>
      </c>
      <c r="DF28" s="244" t="str">
        <v/>
      </c>
      <c r="DG28" s="244" t="str">
        <v/>
      </c>
      <c r="DH28" s="244" t="str" cm="1">
        <f t="array" ref="DH28">_xlfn.XLOOKUP(CP28,Tableau19[Licence],'GESTION DES JOUEURS'!$O$11:$O$46,"",0,1)</f>
        <v/>
      </c>
      <c r="DI28" s="471" t="str">
        <f>IF('GESTION DES JOUEURS'!$X$8="Libre",_xlfn.XLOOKUP(DH28,Tableau13[Cat.],Tableau13[Libre],"",0,1),IF('GESTION DES JOUEURS'!$X$8="Bande",_xlfn.XLOOKUP(DH28,Tableau13[Cat.],Tableau13[bande],"",0,1),IF('GESTION DES JOUEURS'!$X$8="Cadre",_xlfn.XLOOKUP(DH28,Tableau13[Cat.],Tableau13[Cadre],"",0,1),IF('GESTION DES JOUEURS'!$X$8="3 Bandes",_xlfn.XLOOKUP(DH28,Tableau13[Cat.],Tableau13[3 Bandes],"",0,1),""))))</f>
        <v/>
      </c>
      <c r="DK28" s="443" t="str">
        <v/>
      </c>
      <c r="DL28" s="443">
        <f>SUM(SUMIFS($N$9:$N$34,$F$9:$F$34,DK28,$A$9:$A$34,"P"),SUMIFS($P$9:$P$34,$V$9:$V$34,DK28,$A$9:$A$34,"P"),SUMIFS(Consolante!$P$9:$P$34,Consolante!$V$9:$V$34,DK28,Consolante!$A$9:$A$34,"P"),SUMIFS(Consolante!$N$9:$N$34,Consolante!$F$9:$F$34,DK28,Consolante!$A$9:$A$34,"P"))</f>
        <v>0</v>
      </c>
      <c r="DM28" s="443">
        <f>SUM(SUMIFS($O$9:$O$34,$F$9:$F$34,DK28,$A$9:$A$34,"P",$Y$9:$Y$34,FALSE),SUMIFS($O$9:$O$34,$F$9:$F$34,DK28,$A$9:$A$34,"P",$Y$9:$Y$34,TRUE)/_xlfn.XLOOKUP('GESTION DES JOUEURS'!$X$8&amp;RIGHT('GESTION DES JOUEURS'!$Y$8,1),Tableau14[Colonne1],Tableau14[coef. 2,80/3,10],"",0,1),SUMIFS($O$9:$O$34,$V$9:$V$34,DK28,$A$9:$A$34,"P",$Y$9:$Y$34,FALSE),SUMIFS($O$9:$O$34,$V$9:$V$34,DK28,$A$9:$A$34,"P",$Y$9:$Y$34,TRUE)/_xlfn.XLOOKUP('GESTION DES JOUEURS'!$X$8&amp;RIGHT('GESTION DES JOUEURS'!$Y$8,1),Tableau14[Colonne1],Tableau14[coef. 2,80/3,10],"",0,1),_xlfn.XLOOKUP(DK28,Consolante!$CP$7:$CP$22,Consolante!$CR$7:$CR$22,0,0,1))</f>
        <v>0</v>
      </c>
      <c r="DN28" s="447" t="str">
        <f t="shared" si="13"/>
        <v/>
      </c>
      <c r="DO28" s="443"/>
      <c r="DP28" s="443">
        <f>_xlfn.XLOOKUP(DK28,PA!$B$6:$B$11,PA!$P$6:$P$11,_xlfn.XLOOKUP(DK28,PB!$B$6:$B$11,PB!$P$6:$P$11,_xlfn.XLOOKUP(DK28,PC!$B$6:$B$11,PC!$P$6:$P$11,_xlfn.XLOOKUP(DK28,PD!$B$6:$B$11,PD!$P$6:$P$11,_xlfn.XLOOKUP(DK28,PE!$B$6:$B$11,PE!$P$6:$P$11,_xlfn.XLOOKUP(DK28,PF!$B$6:$B$11,PF!$P$6:$P$11,_xlfn.XLOOKUP(DK28,PG!$B$6:$B$11,PG!$P$6:$P$11,_xlfn.XLOOKUP(DK28,PH!$B$6:$B$11,PH!$P$6:$P$11,_xlfn.XLOOKUP(DK28,PI!$B$6:$B$11,PI!$P$6:$P$11,_xlfn.XLOOKUP(DK28,PJ!$B$6:$B$11,PJ!$P$6:$P$11,_xlfn.XLOOKUP(DK28,PK!$B$6:$B$11,PK!$P$6:$P$11,_xlfn.XLOOKUP(DK28,PL!$B$6:$B$11,PL!$P$6:$P$11,"",0,1),0,1),0,1),0,1),0,1),0,1),0,1),0,1),0,1),0,1),0,1),0,1)</f>
        <v>0</v>
      </c>
      <c r="DQ28" s="443">
        <f>_xlfn.XLOOKUP(DK28,PA!$B$6:$B$11,PA!$Q$6:$Q$11,_xlfn.XLOOKUP(DK28,PB!$B$6:$B$11,PB!$Q$6:$Q$11,_xlfn.XLOOKUP(DK28,PC!$B$6:$B$11,PC!$Q$6:$Q$11,_xlfn.XLOOKUP(DK28,PD!$B$6:$B$11,PD!$Q$6:$Q$11,_xlfn.XLOOKUP(DK28,PE!$B$6:$B$11,PE!$Q$6:$Q$11,_xlfn.XLOOKUP(DK28,PF!$B$6:$B$11,PF!$Q$6:$Q$11,_xlfn.XLOOKUP(DK28,PG!$B$6:$B$11,PG!$Q$6:$Q$11,_xlfn.XLOOKUP(DK28,PH!$B$6:$B$11,PH!$Q$6:$Q$11,_xlfn.XLOOKUP(DK28,PI!$B$6:$B$11,PI!$Q$6:$Q$11,_xlfn.XLOOKUP(DK28,PJ!$B$6:$B$11,PJ!$Q$6:$Q$11,_xlfn.XLOOKUP(DK28,PK!$B$6:$B$11,PK!$Q$6:$Q$11,_xlfn.XLOOKUP(DK28,PL!$B$6:$B$11,PL!$Q$6:$Q$11,"",0,1),0,1),0,1),0,1),0,1),0,1),0,1),0,1),0,1),0,1),0,1),0,1)</f>
        <v>0</v>
      </c>
      <c r="DR28" s="244" t="str">
        <f>IFERROR(('Phase finale'!DL28+'Phase finale'!DP28)/('Phase finale'!DM28+'Phase finale'!DQ28),"")</f>
        <v/>
      </c>
    </row>
    <row r="29" spans="1:137" ht="19.5" thickBot="1" x14ac:dyDescent="0.3">
      <c r="D29" s="1098" t="s">
        <v>5458</v>
      </c>
      <c r="E29" s="1099"/>
      <c r="F29" s="1099"/>
      <c r="G29" s="1099"/>
      <c r="H29" s="1099"/>
      <c r="I29" s="1099"/>
      <c r="J29" s="1099"/>
      <c r="K29" s="1099"/>
      <c r="L29" s="1099"/>
      <c r="M29" s="1099"/>
      <c r="N29" s="1100"/>
      <c r="O29" s="428" t="s">
        <v>5459</v>
      </c>
      <c r="P29" s="773" t="s">
        <v>5460</v>
      </c>
      <c r="Q29" s="774"/>
      <c r="R29" s="774"/>
      <c r="S29" s="774"/>
      <c r="T29" s="774"/>
      <c r="U29" s="774"/>
      <c r="V29" s="774"/>
      <c r="W29" s="774"/>
      <c r="X29" s="1080"/>
      <c r="Y29" s="523"/>
      <c r="AA29" s="913" t="s">
        <v>8124</v>
      </c>
      <c r="AE29" s="371">
        <v>4</v>
      </c>
      <c r="AF29" s="371" t="str">
        <f t="shared" si="27"/>
        <v/>
      </c>
      <c r="AG29" s="371" t="str">
        <f t="shared" si="28"/>
        <v/>
      </c>
      <c r="AH29" s="371" t="b">
        <f t="shared" si="29"/>
        <v>0</v>
      </c>
      <c r="AI29" s="371" t="e">
        <f t="shared" si="0"/>
        <v>#VALUE!</v>
      </c>
      <c r="AJ29" s="244" t="e">
        <f t="shared" si="1"/>
        <v>#VALUE!</v>
      </c>
      <c r="AK29" s="244">
        <f t="shared" si="30"/>
        <v>0</v>
      </c>
      <c r="AL29" s="573" t="str">
        <f t="shared" si="31"/>
        <v/>
      </c>
      <c r="AM29" s="244" t="e">
        <f t="shared" si="32"/>
        <v>#VALUE!</v>
      </c>
      <c r="BA29" s="244">
        <v>23</v>
      </c>
      <c r="BB29" s="443" t="str">
        <f>IF('GESTION DES JOUEURS'!B33="","",'GESTION DES JOUEURS'!B33)</f>
        <v/>
      </c>
      <c r="BC29" s="443" t="str" cm="1">
        <f t="array" ref="BC29:BS29">_xlfn.XLOOKUP('Phase finale'!BB29,PA!$B$37:$B$42,PA!$C$37:$S$42,_xlfn.XLOOKUP('Phase finale'!BB29,PB!$B$37:$B$42,PB!$C$37:$S$42,_xlfn.XLOOKUP('Phase finale'!BB29,PC!$B$37:$B$42,PC!$C$37:$S$42,_xlfn.XLOOKUP('Phase finale'!BB29,PD!$B$37:$B$42,PD!$C$37:$S$42,_xlfn.XLOOKUP('Phase finale'!BB29,PE!$B$37:$B$42,PE!$C$37:$S$42,_xlfn.XLOOKUP('Phase finale'!BB29,PF!$B$37:$B$42,PF!$C$37:$S$42,_xlfn.XLOOKUP('Phase finale'!BB29,PG!$B$37:$B$42,PG!$C$37:$S$42,_xlfn.XLOOKUP('Phase finale'!BB29,PH!$B$37:$B$42,PH!$C$37:$S$42,_xlfn.XLOOKUP('Phase finale'!BB29,PI!$B$37:$B$42,PI!$C$37:$S$42,_xlfn.XLOOKUP('Phase finale'!BB29,PJ!$B$37:$B$42,PJ!$C$37:$S$42,_xlfn.XLOOKUP('Phase finale'!BB29,PK!$B$37:$B$42,PK!$C$37:$S$42,_xlfn.XLOOKUP('Phase finale'!BB29,PL!$B$37:$B$42,PL!$C$37:$S$42,"",0,1),0,1),0,1),0,1),0,1),0,1),0,1),0,1),0,1),0,1),0,1),0,1)</f>
        <v/>
      </c>
      <c r="BD29" s="443">
        <v>0</v>
      </c>
      <c r="BE29" s="443" t="str">
        <v/>
      </c>
      <c r="BF29" s="443">
        <v>0</v>
      </c>
      <c r="BG29" s="443" t="str">
        <v/>
      </c>
      <c r="BH29" s="443">
        <v>0</v>
      </c>
      <c r="BI29" s="443">
        <v>0</v>
      </c>
      <c r="BJ29" s="443">
        <v>0</v>
      </c>
      <c r="BK29" s="443">
        <v>0</v>
      </c>
      <c r="BL29" s="443">
        <v>0</v>
      </c>
      <c r="BM29" s="443" t="str">
        <v/>
      </c>
      <c r="BN29" s="443" t="str">
        <v/>
      </c>
      <c r="BO29" s="443" t="str">
        <v/>
      </c>
      <c r="BP29" s="443" t="str">
        <v/>
      </c>
      <c r="BQ29" s="443" t="str">
        <v/>
      </c>
      <c r="BR29" s="443" t="str">
        <v/>
      </c>
      <c r="BS29" s="443" t="str">
        <v/>
      </c>
      <c r="BU29" s="244">
        <v>23</v>
      </c>
      <c r="BV29" s="244" t="str">
        <v/>
      </c>
      <c r="BW29" s="244" t="str">
        <v/>
      </c>
      <c r="BX29" s="244">
        <v>0</v>
      </c>
      <c r="BY29" s="244" t="str">
        <v/>
      </c>
      <c r="BZ29" s="244">
        <v>0</v>
      </c>
      <c r="CA29" s="244" t="str">
        <v/>
      </c>
      <c r="CB29" s="244">
        <v>0</v>
      </c>
      <c r="CC29" s="244">
        <v>0</v>
      </c>
      <c r="CD29" s="244">
        <v>0</v>
      </c>
      <c r="CE29" s="244">
        <v>0</v>
      </c>
      <c r="CF29" s="244">
        <v>0</v>
      </c>
      <c r="CG29" s="244" t="str">
        <v/>
      </c>
      <c r="CH29" s="244" t="str">
        <v/>
      </c>
      <c r="CI29" s="244" t="str">
        <v/>
      </c>
      <c r="CJ29" s="244" t="str">
        <v/>
      </c>
      <c r="CK29" s="244" t="str">
        <v/>
      </c>
      <c r="CL29" s="244" t="str">
        <v/>
      </c>
      <c r="CM29" s="244" t="str">
        <v/>
      </c>
      <c r="CO29" s="244">
        <f t="shared" si="12"/>
        <v>11</v>
      </c>
      <c r="CP29" s="244" t="str">
        <v/>
      </c>
      <c r="CQ29" s="244" t="str">
        <v/>
      </c>
      <c r="CR29" s="244">
        <v>0</v>
      </c>
      <c r="CS29" s="244" t="str">
        <v/>
      </c>
      <c r="CT29" s="244">
        <v>0</v>
      </c>
      <c r="CU29" s="244" t="str">
        <v/>
      </c>
      <c r="CV29" s="244">
        <v>0</v>
      </c>
      <c r="CW29" s="244">
        <v>0</v>
      </c>
      <c r="CX29" s="244">
        <v>0</v>
      </c>
      <c r="CY29" s="244">
        <v>0</v>
      </c>
      <c r="CZ29" s="244">
        <v>0</v>
      </c>
      <c r="DA29" s="244" t="str">
        <v/>
      </c>
      <c r="DB29" s="244" t="str">
        <v/>
      </c>
      <c r="DC29" s="244" t="str">
        <v/>
      </c>
      <c r="DD29" s="244" t="str">
        <v/>
      </c>
      <c r="DE29" s="244" t="str">
        <v/>
      </c>
      <c r="DF29" s="244" t="str">
        <v/>
      </c>
      <c r="DG29" s="244" t="str">
        <v/>
      </c>
      <c r="DH29" s="244" t="str" cm="1">
        <f t="array" ref="DH29">_xlfn.XLOOKUP(CP29,Tableau19[Licence],'GESTION DES JOUEURS'!$O$11:$O$46,"",0,1)</f>
        <v/>
      </c>
      <c r="DI29" s="471" t="str">
        <f>IF('GESTION DES JOUEURS'!$X$8="Libre",_xlfn.XLOOKUP(DH29,Tableau13[Cat.],Tableau13[Libre],"",0,1),IF('GESTION DES JOUEURS'!$X$8="Bande",_xlfn.XLOOKUP(DH29,Tableau13[Cat.],Tableau13[bande],"",0,1),IF('GESTION DES JOUEURS'!$X$8="Cadre",_xlfn.XLOOKUP(DH29,Tableau13[Cat.],Tableau13[Cadre],"",0,1),IF('GESTION DES JOUEURS'!$X$8="3 Bandes",_xlfn.XLOOKUP(DH29,Tableau13[Cat.],Tableau13[3 Bandes],"",0,1),""))))</f>
        <v/>
      </c>
      <c r="DK29" s="443" t="str">
        <v/>
      </c>
      <c r="DL29" s="443">
        <f>SUM(SUMIFS($N$9:$N$34,$F$9:$F$34,DK29,$A$9:$A$34,"P"),SUMIFS($P$9:$P$34,$V$9:$V$34,DK29,$A$9:$A$34,"P"),SUMIFS(Consolante!$P$9:$P$34,Consolante!$V$9:$V$34,DK29,Consolante!$A$9:$A$34,"P"),SUMIFS(Consolante!$N$9:$N$34,Consolante!$F$9:$F$34,DK29,Consolante!$A$9:$A$34,"P"))</f>
        <v>0</v>
      </c>
      <c r="DM29" s="443">
        <f>SUM(SUMIFS($O$9:$O$34,$F$9:$F$34,DK29,$A$9:$A$34,"P",$Y$9:$Y$34,FALSE),SUMIFS($O$9:$O$34,$F$9:$F$34,DK29,$A$9:$A$34,"P",$Y$9:$Y$34,TRUE)/_xlfn.XLOOKUP('GESTION DES JOUEURS'!$X$8&amp;RIGHT('GESTION DES JOUEURS'!$Y$8,1),Tableau14[Colonne1],Tableau14[coef. 2,80/3,10],"",0,1),SUMIFS($O$9:$O$34,$V$9:$V$34,DK29,$A$9:$A$34,"P",$Y$9:$Y$34,FALSE),SUMIFS($O$9:$O$34,$V$9:$V$34,DK29,$A$9:$A$34,"P",$Y$9:$Y$34,TRUE)/_xlfn.XLOOKUP('GESTION DES JOUEURS'!$X$8&amp;RIGHT('GESTION DES JOUEURS'!$Y$8,1),Tableau14[Colonne1],Tableau14[coef. 2,80/3,10],"",0,1),_xlfn.XLOOKUP(DK29,Consolante!$CP$7:$CP$22,Consolante!$CR$7:$CR$22,0,0,1))</f>
        <v>0</v>
      </c>
      <c r="DN29" s="447" t="str">
        <f t="shared" si="13"/>
        <v/>
      </c>
      <c r="DO29" s="443"/>
      <c r="DP29" s="443">
        <f>_xlfn.XLOOKUP(DK29,PA!$B$6:$B$11,PA!$P$6:$P$11,_xlfn.XLOOKUP(DK29,PB!$B$6:$B$11,PB!$P$6:$P$11,_xlfn.XLOOKUP(DK29,PC!$B$6:$B$11,PC!$P$6:$P$11,_xlfn.XLOOKUP(DK29,PD!$B$6:$B$11,PD!$P$6:$P$11,_xlfn.XLOOKUP(DK29,PE!$B$6:$B$11,PE!$P$6:$P$11,_xlfn.XLOOKUP(DK29,PF!$B$6:$B$11,PF!$P$6:$P$11,_xlfn.XLOOKUP(DK29,PG!$B$6:$B$11,PG!$P$6:$P$11,_xlfn.XLOOKUP(DK29,PH!$B$6:$B$11,PH!$P$6:$P$11,_xlfn.XLOOKUP(DK29,PI!$B$6:$B$11,PI!$P$6:$P$11,_xlfn.XLOOKUP(DK29,PJ!$B$6:$B$11,PJ!$P$6:$P$11,_xlfn.XLOOKUP(DK29,PK!$B$6:$B$11,PK!$P$6:$P$11,_xlfn.XLOOKUP(DK29,PL!$B$6:$B$11,PL!$P$6:$P$11,"",0,1),0,1),0,1),0,1),0,1),0,1),0,1),0,1),0,1),0,1),0,1),0,1)</f>
        <v>0</v>
      </c>
      <c r="DQ29" s="443">
        <f>_xlfn.XLOOKUP(DK29,PA!$B$6:$B$11,PA!$Q$6:$Q$11,_xlfn.XLOOKUP(DK29,PB!$B$6:$B$11,PB!$Q$6:$Q$11,_xlfn.XLOOKUP(DK29,PC!$B$6:$B$11,PC!$Q$6:$Q$11,_xlfn.XLOOKUP(DK29,PD!$B$6:$B$11,PD!$Q$6:$Q$11,_xlfn.XLOOKUP(DK29,PE!$B$6:$B$11,PE!$Q$6:$Q$11,_xlfn.XLOOKUP(DK29,PF!$B$6:$B$11,PF!$Q$6:$Q$11,_xlfn.XLOOKUP(DK29,PG!$B$6:$B$11,PG!$Q$6:$Q$11,_xlfn.XLOOKUP(DK29,PH!$B$6:$B$11,PH!$Q$6:$Q$11,_xlfn.XLOOKUP(DK29,PI!$B$6:$B$11,PI!$Q$6:$Q$11,_xlfn.XLOOKUP(DK29,PJ!$B$6:$B$11,PJ!$Q$6:$Q$11,_xlfn.XLOOKUP(DK29,PK!$B$6:$B$11,PK!$Q$6:$Q$11,_xlfn.XLOOKUP(DK29,PL!$B$6:$B$11,PL!$Q$6:$Q$11,"",0,1),0,1),0,1),0,1),0,1),0,1),0,1),0,1),0,1),0,1),0,1),0,1)</f>
        <v>0</v>
      </c>
      <c r="DR29" s="244" t="str">
        <f>IFERROR(('Phase finale'!DL29+'Phase finale'!DP29)/('Phase finale'!DM29+'Phase finale'!DQ29),"")</f>
        <v/>
      </c>
    </row>
    <row r="30" spans="1:137" ht="14.1" customHeight="1" x14ac:dyDescent="0.25">
      <c r="D30" s="1101" t="s">
        <v>14</v>
      </c>
      <c r="E30" s="1103" t="s">
        <v>5521</v>
      </c>
      <c r="F30" s="1105" t="s">
        <v>21</v>
      </c>
      <c r="G30" s="1105" t="s">
        <v>8</v>
      </c>
      <c r="H30" s="1105"/>
      <c r="I30" s="1105"/>
      <c r="J30" s="1105" t="s">
        <v>9</v>
      </c>
      <c r="K30" s="1129"/>
      <c r="L30" s="1131" t="s">
        <v>9890</v>
      </c>
      <c r="M30" s="1133" t="s">
        <v>17</v>
      </c>
      <c r="N30" s="1135" t="s">
        <v>23</v>
      </c>
      <c r="O30" s="1137" t="s">
        <v>18</v>
      </c>
      <c r="P30" s="1133" t="s">
        <v>23</v>
      </c>
      <c r="Q30" s="1133" t="s">
        <v>17</v>
      </c>
      <c r="R30" s="1131" t="s">
        <v>9890</v>
      </c>
      <c r="S30" s="1139" t="s">
        <v>8</v>
      </c>
      <c r="T30" s="1085"/>
      <c r="U30" s="1085" t="s">
        <v>9</v>
      </c>
      <c r="V30" s="1085" t="s">
        <v>21</v>
      </c>
      <c r="W30" s="1087" t="s">
        <v>5521</v>
      </c>
      <c r="X30" s="1067" t="s">
        <v>14</v>
      </c>
      <c r="Y30" s="1082" t="str">
        <f>IF('GESTION DES JOUEURS'!W8=3.1,"cocher si match"&amp;CHAR(10)&amp;"sur 2,80m",IF('GESTION DES JOUEURS'!W8=2.8,"cocher si match"&amp;CHAR(10)&amp;"sur 3,10m",""))</f>
        <v>cocher si match
sur 3,10m</v>
      </c>
      <c r="AA30" s="913"/>
      <c r="AE30" s="371">
        <v>4</v>
      </c>
      <c r="AF30" s="371" t="str">
        <f t="shared" si="27"/>
        <v/>
      </c>
      <c r="AG30" s="371" t="str">
        <f t="shared" si="28"/>
        <v/>
      </c>
      <c r="AH30" s="371" t="b">
        <f t="shared" si="29"/>
        <v>0</v>
      </c>
      <c r="AI30" s="371" t="e">
        <f t="shared" si="0"/>
        <v>#VALUE!</v>
      </c>
      <c r="AJ30" s="244" t="e">
        <f t="shared" si="1"/>
        <v>#VALUE!</v>
      </c>
      <c r="AK30" s="244">
        <f t="shared" si="30"/>
        <v>0</v>
      </c>
      <c r="AL30" s="573" t="str">
        <f t="shared" si="31"/>
        <v/>
      </c>
      <c r="AM30" s="244" t="e">
        <f t="shared" si="32"/>
        <v>#VALUE!</v>
      </c>
      <c r="BA30" s="244">
        <v>24</v>
      </c>
      <c r="BB30" s="443" t="str">
        <f>IF('GESTION DES JOUEURS'!B34="","",'GESTION DES JOUEURS'!B34)</f>
        <v/>
      </c>
      <c r="BC30" s="443" t="str" cm="1">
        <f t="array" ref="BC30:BS30">_xlfn.XLOOKUP('Phase finale'!BB30,PA!$B$37:$B$42,PA!$C$37:$S$42,_xlfn.XLOOKUP('Phase finale'!BB30,PB!$B$37:$B$42,PB!$C$37:$S$42,_xlfn.XLOOKUP('Phase finale'!BB30,PC!$B$37:$B$42,PC!$C$37:$S$42,_xlfn.XLOOKUP('Phase finale'!BB30,PD!$B$37:$B$42,PD!$C$37:$S$42,_xlfn.XLOOKUP('Phase finale'!BB30,PE!$B$37:$B$42,PE!$C$37:$S$42,_xlfn.XLOOKUP('Phase finale'!BB30,PF!$B$37:$B$42,PF!$C$37:$S$42,_xlfn.XLOOKUP('Phase finale'!BB30,PG!$B$37:$B$42,PG!$C$37:$S$42,_xlfn.XLOOKUP('Phase finale'!BB30,PH!$B$37:$B$42,PH!$C$37:$S$42,_xlfn.XLOOKUP('Phase finale'!BB30,PI!$B$37:$B$42,PI!$C$37:$S$42,_xlfn.XLOOKUP('Phase finale'!BB30,PJ!$B$37:$B$42,PJ!$C$37:$S$42,_xlfn.XLOOKUP('Phase finale'!BB30,PK!$B$37:$B$42,PK!$C$37:$S$42,_xlfn.XLOOKUP('Phase finale'!BB30,PL!$B$37:$B$42,PL!$C$37:$S$42,"",0,1),0,1),0,1),0,1),0,1),0,1),0,1),0,1),0,1),0,1),0,1),0,1)</f>
        <v/>
      </c>
      <c r="BD30" s="443">
        <v>0</v>
      </c>
      <c r="BE30" s="443" t="str">
        <v/>
      </c>
      <c r="BF30" s="443">
        <v>0</v>
      </c>
      <c r="BG30" s="443" t="str">
        <v/>
      </c>
      <c r="BH30" s="443">
        <v>0</v>
      </c>
      <c r="BI30" s="443">
        <v>0</v>
      </c>
      <c r="BJ30" s="443">
        <v>0</v>
      </c>
      <c r="BK30" s="443">
        <v>0</v>
      </c>
      <c r="BL30" s="443">
        <v>0</v>
      </c>
      <c r="BM30" s="443" t="str">
        <v/>
      </c>
      <c r="BN30" s="443" t="str">
        <v/>
      </c>
      <c r="BO30" s="443" t="str">
        <v/>
      </c>
      <c r="BP30" s="443" t="str">
        <v/>
      </c>
      <c r="BQ30" s="443" t="str">
        <v/>
      </c>
      <c r="BR30" s="443" t="str">
        <v/>
      </c>
      <c r="BS30" s="443" t="str">
        <v/>
      </c>
      <c r="BU30" s="244">
        <v>24</v>
      </c>
      <c r="BV30" s="244" t="str">
        <v/>
      </c>
      <c r="BW30" s="244" t="str">
        <v/>
      </c>
      <c r="BX30" s="244">
        <v>0</v>
      </c>
      <c r="BY30" s="244" t="str">
        <v/>
      </c>
      <c r="BZ30" s="244">
        <v>0</v>
      </c>
      <c r="CA30" s="244" t="str">
        <v/>
      </c>
      <c r="CB30" s="244">
        <v>0</v>
      </c>
      <c r="CC30" s="244">
        <v>0</v>
      </c>
      <c r="CD30" s="244">
        <v>0</v>
      </c>
      <c r="CE30" s="244">
        <v>0</v>
      </c>
      <c r="CF30" s="244">
        <v>0</v>
      </c>
      <c r="CG30" s="244" t="str">
        <v/>
      </c>
      <c r="CH30" s="244" t="str">
        <v/>
      </c>
      <c r="CI30" s="244" t="str">
        <v/>
      </c>
      <c r="CJ30" s="244" t="str">
        <v/>
      </c>
      <c r="CK30" s="244" t="str">
        <v/>
      </c>
      <c r="CL30" s="244" t="str">
        <v/>
      </c>
      <c r="CM30" s="244" t="str">
        <v/>
      </c>
      <c r="CO30" s="244">
        <f t="shared" si="12"/>
        <v>11</v>
      </c>
      <c r="CP30" s="244" t="str">
        <v/>
      </c>
      <c r="CQ30" s="244" t="str">
        <v/>
      </c>
      <c r="CR30" s="244">
        <v>0</v>
      </c>
      <c r="CS30" s="244" t="str">
        <v/>
      </c>
      <c r="CT30" s="244">
        <v>0</v>
      </c>
      <c r="CU30" s="244" t="str">
        <v/>
      </c>
      <c r="CV30" s="244">
        <v>0</v>
      </c>
      <c r="CW30" s="244">
        <v>0</v>
      </c>
      <c r="CX30" s="244">
        <v>0</v>
      </c>
      <c r="CY30" s="244">
        <v>0</v>
      </c>
      <c r="CZ30" s="244">
        <v>0</v>
      </c>
      <c r="DA30" s="244" t="str">
        <v/>
      </c>
      <c r="DB30" s="244" t="str">
        <v/>
      </c>
      <c r="DC30" s="244" t="str">
        <v/>
      </c>
      <c r="DD30" s="244" t="str">
        <v/>
      </c>
      <c r="DE30" s="244" t="str">
        <v/>
      </c>
      <c r="DF30" s="244" t="str">
        <v/>
      </c>
      <c r="DG30" s="244" t="str">
        <v/>
      </c>
      <c r="DH30" s="244" t="str" cm="1">
        <f t="array" ref="DH30">_xlfn.XLOOKUP(CP30,Tableau19[Licence],'GESTION DES JOUEURS'!$O$11:$O$46,"",0,1)</f>
        <v/>
      </c>
      <c r="DI30" s="471" t="str">
        <f>IF('GESTION DES JOUEURS'!$X$8="Libre",_xlfn.XLOOKUP(DH30,Tableau13[Cat.],Tableau13[Libre],"",0,1),IF('GESTION DES JOUEURS'!$X$8="Bande",_xlfn.XLOOKUP(DH30,Tableau13[Cat.],Tableau13[bande],"",0,1),IF('GESTION DES JOUEURS'!$X$8="Cadre",_xlfn.XLOOKUP(DH30,Tableau13[Cat.],Tableau13[Cadre],"",0,1),IF('GESTION DES JOUEURS'!$X$8="3 Bandes",_xlfn.XLOOKUP(DH30,Tableau13[Cat.],Tableau13[3 Bandes],"",0,1),""))))</f>
        <v/>
      </c>
      <c r="DK30" s="443" t="str">
        <v/>
      </c>
      <c r="DL30" s="443">
        <f>SUM(SUMIFS($N$9:$N$34,$F$9:$F$34,DK30,$A$9:$A$34,"P"),SUMIFS($P$9:$P$34,$V$9:$V$34,DK30,$A$9:$A$34,"P"),SUMIFS(Consolante!$P$9:$P$34,Consolante!$V$9:$V$34,DK30,Consolante!$A$9:$A$34,"P"),SUMIFS(Consolante!$N$9:$N$34,Consolante!$F$9:$F$34,DK30,Consolante!$A$9:$A$34,"P"))</f>
        <v>0</v>
      </c>
      <c r="DM30" s="443">
        <f>SUM(SUMIFS($O$9:$O$34,$F$9:$F$34,DK30,$A$9:$A$34,"P",$Y$9:$Y$34,FALSE),SUMIFS($O$9:$O$34,$F$9:$F$34,DK30,$A$9:$A$34,"P",$Y$9:$Y$34,TRUE)/_xlfn.XLOOKUP('GESTION DES JOUEURS'!$X$8&amp;RIGHT('GESTION DES JOUEURS'!$Y$8,1),Tableau14[Colonne1],Tableau14[coef. 2,80/3,10],"",0,1),SUMIFS($O$9:$O$34,$V$9:$V$34,DK30,$A$9:$A$34,"P",$Y$9:$Y$34,FALSE),SUMIFS($O$9:$O$34,$V$9:$V$34,DK30,$A$9:$A$34,"P",$Y$9:$Y$34,TRUE)/_xlfn.XLOOKUP('GESTION DES JOUEURS'!$X$8&amp;RIGHT('GESTION DES JOUEURS'!$Y$8,1),Tableau14[Colonne1],Tableau14[coef. 2,80/3,10],"",0,1),_xlfn.XLOOKUP(DK30,Consolante!$CP$7:$CP$22,Consolante!$CR$7:$CR$22,0,0,1))</f>
        <v>0</v>
      </c>
      <c r="DN30" s="447" t="str">
        <f t="shared" si="13"/>
        <v/>
      </c>
      <c r="DO30" s="443"/>
      <c r="DP30" s="443">
        <f>_xlfn.XLOOKUP(DK30,PA!$B$6:$B$11,PA!$P$6:$P$11,_xlfn.XLOOKUP(DK30,PB!$B$6:$B$11,PB!$P$6:$P$11,_xlfn.XLOOKUP(DK30,PC!$B$6:$B$11,PC!$P$6:$P$11,_xlfn.XLOOKUP(DK30,PD!$B$6:$B$11,PD!$P$6:$P$11,_xlfn.XLOOKUP(DK30,PE!$B$6:$B$11,PE!$P$6:$P$11,_xlfn.XLOOKUP(DK30,PF!$B$6:$B$11,PF!$P$6:$P$11,_xlfn.XLOOKUP(DK30,PG!$B$6:$B$11,PG!$P$6:$P$11,_xlfn.XLOOKUP(DK30,PH!$B$6:$B$11,PH!$P$6:$P$11,_xlfn.XLOOKUP(DK30,PI!$B$6:$B$11,PI!$P$6:$P$11,_xlfn.XLOOKUP(DK30,PJ!$B$6:$B$11,PJ!$P$6:$P$11,_xlfn.XLOOKUP(DK30,PK!$B$6:$B$11,PK!$P$6:$P$11,_xlfn.XLOOKUP(DK30,PL!$B$6:$B$11,PL!$P$6:$P$11,"",0,1),0,1),0,1),0,1),0,1),0,1),0,1),0,1),0,1),0,1),0,1),0,1)</f>
        <v>0</v>
      </c>
      <c r="DQ30" s="443">
        <f>_xlfn.XLOOKUP(DK30,PA!$B$6:$B$11,PA!$Q$6:$Q$11,_xlfn.XLOOKUP(DK30,PB!$B$6:$B$11,PB!$Q$6:$Q$11,_xlfn.XLOOKUP(DK30,PC!$B$6:$B$11,PC!$Q$6:$Q$11,_xlfn.XLOOKUP(DK30,PD!$B$6:$B$11,PD!$Q$6:$Q$11,_xlfn.XLOOKUP(DK30,PE!$B$6:$B$11,PE!$Q$6:$Q$11,_xlfn.XLOOKUP(DK30,PF!$B$6:$B$11,PF!$Q$6:$Q$11,_xlfn.XLOOKUP(DK30,PG!$B$6:$B$11,PG!$Q$6:$Q$11,_xlfn.XLOOKUP(DK30,PH!$B$6:$B$11,PH!$Q$6:$Q$11,_xlfn.XLOOKUP(DK30,PI!$B$6:$B$11,PI!$Q$6:$Q$11,_xlfn.XLOOKUP(DK30,PJ!$B$6:$B$11,PJ!$Q$6:$Q$11,_xlfn.XLOOKUP(DK30,PK!$B$6:$B$11,PK!$Q$6:$Q$11,_xlfn.XLOOKUP(DK30,PL!$B$6:$B$11,PL!$Q$6:$Q$11,"",0,1),0,1),0,1),0,1),0,1),0,1),0,1),0,1),0,1),0,1),0,1),0,1)</f>
        <v>0</v>
      </c>
      <c r="DR30" s="244" t="str">
        <f>IFERROR(('Phase finale'!DL30+'Phase finale'!DP30)/('Phase finale'!DM30+'Phase finale'!DQ30),"")</f>
        <v/>
      </c>
    </row>
    <row r="31" spans="1:137" ht="14.1" customHeight="1" thickBot="1" x14ac:dyDescent="0.3">
      <c r="D31" s="1102"/>
      <c r="E31" s="1104"/>
      <c r="F31" s="1106"/>
      <c r="G31" s="1106"/>
      <c r="H31" s="1106"/>
      <c r="I31" s="1106"/>
      <c r="J31" s="1106"/>
      <c r="K31" s="1130"/>
      <c r="L31" s="1132"/>
      <c r="M31" s="1134"/>
      <c r="N31" s="1136"/>
      <c r="O31" s="1138"/>
      <c r="P31" s="1134"/>
      <c r="Q31" s="1134"/>
      <c r="R31" s="1132"/>
      <c r="S31" s="1140"/>
      <c r="T31" s="1086"/>
      <c r="U31" s="1086"/>
      <c r="V31" s="1086"/>
      <c r="W31" s="1088"/>
      <c r="X31" s="1068"/>
      <c r="Y31" s="1083"/>
      <c r="AA31" s="929" t="s">
        <v>8125</v>
      </c>
      <c r="AE31" s="371">
        <v>4</v>
      </c>
      <c r="AF31" s="371" t="str">
        <f t="shared" si="27"/>
        <v/>
      </c>
      <c r="AG31" s="371" t="str">
        <f t="shared" si="28"/>
        <v/>
      </c>
      <c r="AH31" s="371" t="b">
        <f t="shared" si="29"/>
        <v>0</v>
      </c>
      <c r="AI31" s="371" t="e">
        <f t="shared" si="0"/>
        <v>#VALUE!</v>
      </c>
      <c r="AJ31" s="244" t="e">
        <f t="shared" si="1"/>
        <v>#VALUE!</v>
      </c>
      <c r="AK31" s="244">
        <f t="shared" si="30"/>
        <v>0</v>
      </c>
      <c r="AL31" s="573" t="str">
        <f t="shared" si="31"/>
        <v/>
      </c>
      <c r="AM31" s="244" t="e">
        <f t="shared" si="32"/>
        <v>#VALUE!</v>
      </c>
      <c r="BA31" s="244">
        <v>25</v>
      </c>
      <c r="BB31" s="443" t="str">
        <f>IF('GESTION DES JOUEURS'!B35="","",'GESTION DES JOUEURS'!B35)</f>
        <v/>
      </c>
      <c r="BC31" s="443" t="str" cm="1">
        <f t="array" ref="BC31:BS31">_xlfn.XLOOKUP('Phase finale'!BB31,PA!$B$37:$B$42,PA!$C$37:$S$42,_xlfn.XLOOKUP('Phase finale'!BB31,PB!$B$37:$B$42,PB!$C$37:$S$42,_xlfn.XLOOKUP('Phase finale'!BB31,PC!$B$37:$B$42,PC!$C$37:$S$42,_xlfn.XLOOKUP('Phase finale'!BB31,PD!$B$37:$B$42,PD!$C$37:$S$42,_xlfn.XLOOKUP('Phase finale'!BB31,PE!$B$37:$B$42,PE!$C$37:$S$42,_xlfn.XLOOKUP('Phase finale'!BB31,PF!$B$37:$B$42,PF!$C$37:$S$42,_xlfn.XLOOKUP('Phase finale'!BB31,PG!$B$37:$B$42,PG!$C$37:$S$42,_xlfn.XLOOKUP('Phase finale'!BB31,PH!$B$37:$B$42,PH!$C$37:$S$42,_xlfn.XLOOKUP('Phase finale'!BB31,PI!$B$37:$B$42,PI!$C$37:$S$42,_xlfn.XLOOKUP('Phase finale'!BB31,PJ!$B$37:$B$42,PJ!$C$37:$S$42,_xlfn.XLOOKUP('Phase finale'!BB31,PK!$B$37:$B$42,PK!$C$37:$S$42,_xlfn.XLOOKUP('Phase finale'!BB31,PL!$B$37:$B$42,PL!$C$37:$S$42,"",0,1),0,1),0,1),0,1),0,1),0,1),0,1),0,1),0,1),0,1),0,1),0,1)</f>
        <v/>
      </c>
      <c r="BD31" s="443">
        <v>0</v>
      </c>
      <c r="BE31" s="443" t="str">
        <v/>
      </c>
      <c r="BF31" s="443">
        <v>0</v>
      </c>
      <c r="BG31" s="443" t="str">
        <v/>
      </c>
      <c r="BH31" s="443">
        <v>0</v>
      </c>
      <c r="BI31" s="443">
        <v>0</v>
      </c>
      <c r="BJ31" s="443">
        <v>0</v>
      </c>
      <c r="BK31" s="443">
        <v>0</v>
      </c>
      <c r="BL31" s="443">
        <v>0</v>
      </c>
      <c r="BM31" s="443" t="str">
        <v/>
      </c>
      <c r="BN31" s="443" t="str">
        <v/>
      </c>
      <c r="BO31" s="443" t="str">
        <v/>
      </c>
      <c r="BP31" s="443" t="str">
        <v/>
      </c>
      <c r="BQ31" s="443" t="str">
        <v/>
      </c>
      <c r="BR31" s="443" t="str">
        <v/>
      </c>
      <c r="BS31" s="443" t="str">
        <v/>
      </c>
      <c r="BU31" s="244">
        <v>25</v>
      </c>
      <c r="BV31" s="244" t="str">
        <v/>
      </c>
      <c r="BW31" s="244" t="str">
        <v/>
      </c>
      <c r="BX31" s="244">
        <v>0</v>
      </c>
      <c r="BY31" s="244" t="str">
        <v/>
      </c>
      <c r="BZ31" s="244">
        <v>0</v>
      </c>
      <c r="CA31" s="244" t="str">
        <v/>
      </c>
      <c r="CB31" s="244">
        <v>0</v>
      </c>
      <c r="CC31" s="244">
        <v>0</v>
      </c>
      <c r="CD31" s="244">
        <v>0</v>
      </c>
      <c r="CE31" s="244">
        <v>0</v>
      </c>
      <c r="CF31" s="244">
        <v>0</v>
      </c>
      <c r="CG31" s="244" t="str">
        <v/>
      </c>
      <c r="CH31" s="244" t="str">
        <v/>
      </c>
      <c r="CI31" s="244" t="str">
        <v/>
      </c>
      <c r="CJ31" s="244" t="str">
        <v/>
      </c>
      <c r="CK31" s="244" t="str">
        <v/>
      </c>
      <c r="CL31" s="244" t="str">
        <v/>
      </c>
      <c r="CM31" s="244" t="str">
        <v/>
      </c>
      <c r="CO31" s="244">
        <f t="shared" si="12"/>
        <v>11</v>
      </c>
      <c r="CP31" s="244" t="str">
        <v/>
      </c>
      <c r="CQ31" s="244" t="str">
        <v/>
      </c>
      <c r="CR31" s="244">
        <v>0</v>
      </c>
      <c r="CS31" s="244" t="str">
        <v/>
      </c>
      <c r="CT31" s="244">
        <v>0</v>
      </c>
      <c r="CU31" s="244" t="str">
        <v/>
      </c>
      <c r="CV31" s="244">
        <v>0</v>
      </c>
      <c r="CW31" s="244">
        <v>0</v>
      </c>
      <c r="CX31" s="244">
        <v>0</v>
      </c>
      <c r="CY31" s="244">
        <v>0</v>
      </c>
      <c r="CZ31" s="244">
        <v>0</v>
      </c>
      <c r="DA31" s="244" t="str">
        <v/>
      </c>
      <c r="DB31" s="244" t="str">
        <v/>
      </c>
      <c r="DC31" s="244" t="str">
        <v/>
      </c>
      <c r="DD31" s="244" t="str">
        <v/>
      </c>
      <c r="DE31" s="244" t="str">
        <v/>
      </c>
      <c r="DF31" s="244" t="str">
        <v/>
      </c>
      <c r="DG31" s="244" t="str">
        <v/>
      </c>
      <c r="DH31" s="244" t="str" cm="1">
        <f t="array" ref="DH31">_xlfn.XLOOKUP(CP31,Tableau19[Licence],'GESTION DES JOUEURS'!$O$11:$O$46,"",0,1)</f>
        <v/>
      </c>
      <c r="DI31" s="471" t="str">
        <f>IF('GESTION DES JOUEURS'!$X$8="Libre",_xlfn.XLOOKUP(DH31,Tableau13[Cat.],Tableau13[Libre],"",0,1),IF('GESTION DES JOUEURS'!$X$8="Bande",_xlfn.XLOOKUP(DH31,Tableau13[Cat.],Tableau13[bande],"",0,1),IF('GESTION DES JOUEURS'!$X$8="Cadre",_xlfn.XLOOKUP(DH31,Tableau13[Cat.],Tableau13[Cadre],"",0,1),IF('GESTION DES JOUEURS'!$X$8="3 Bandes",_xlfn.XLOOKUP(DH31,Tableau13[Cat.],Tableau13[3 Bandes],"",0,1),""))))</f>
        <v/>
      </c>
      <c r="DK31" s="443" t="str">
        <v/>
      </c>
      <c r="DL31" s="443">
        <f>SUM(SUMIFS($N$9:$N$34,$F$9:$F$34,DK31,$A$9:$A$34,"P"),SUMIFS($P$9:$P$34,$V$9:$V$34,DK31,$A$9:$A$34,"P"),SUMIFS(Consolante!$P$9:$P$34,Consolante!$V$9:$V$34,DK31,Consolante!$A$9:$A$34,"P"),SUMIFS(Consolante!$N$9:$N$34,Consolante!$F$9:$F$34,DK31,Consolante!$A$9:$A$34,"P"))</f>
        <v>0</v>
      </c>
      <c r="DM31" s="443">
        <f>SUM(SUMIFS($O$9:$O$34,$F$9:$F$34,DK31,$A$9:$A$34,"P",$Y$9:$Y$34,FALSE),SUMIFS($O$9:$O$34,$F$9:$F$34,DK31,$A$9:$A$34,"P",$Y$9:$Y$34,TRUE)/_xlfn.XLOOKUP('GESTION DES JOUEURS'!$X$8&amp;RIGHT('GESTION DES JOUEURS'!$Y$8,1),Tableau14[Colonne1],Tableau14[coef. 2,80/3,10],"",0,1),SUMIFS($O$9:$O$34,$V$9:$V$34,DK31,$A$9:$A$34,"P",$Y$9:$Y$34,FALSE),SUMIFS($O$9:$O$34,$V$9:$V$34,DK31,$A$9:$A$34,"P",$Y$9:$Y$34,TRUE)/_xlfn.XLOOKUP('GESTION DES JOUEURS'!$X$8&amp;RIGHT('GESTION DES JOUEURS'!$Y$8,1),Tableau14[Colonne1],Tableau14[coef. 2,80/3,10],"",0,1),_xlfn.XLOOKUP(DK31,Consolante!$CP$7:$CP$22,Consolante!$CR$7:$CR$22,0,0,1))</f>
        <v>0</v>
      </c>
      <c r="DN31" s="447" t="str">
        <f t="shared" si="13"/>
        <v/>
      </c>
      <c r="DO31" s="443"/>
      <c r="DP31" s="443">
        <f>_xlfn.XLOOKUP(DK31,PA!$B$6:$B$11,PA!$P$6:$P$11,_xlfn.XLOOKUP(DK31,PB!$B$6:$B$11,PB!$P$6:$P$11,_xlfn.XLOOKUP(DK31,PC!$B$6:$B$11,PC!$P$6:$P$11,_xlfn.XLOOKUP(DK31,PD!$B$6:$B$11,PD!$P$6:$P$11,_xlfn.XLOOKUP(DK31,PE!$B$6:$B$11,PE!$P$6:$P$11,_xlfn.XLOOKUP(DK31,PF!$B$6:$B$11,PF!$P$6:$P$11,_xlfn.XLOOKUP(DK31,PG!$B$6:$B$11,PG!$P$6:$P$11,_xlfn.XLOOKUP(DK31,PH!$B$6:$B$11,PH!$P$6:$P$11,_xlfn.XLOOKUP(DK31,PI!$B$6:$B$11,PI!$P$6:$P$11,_xlfn.XLOOKUP(DK31,PJ!$B$6:$B$11,PJ!$P$6:$P$11,_xlfn.XLOOKUP(DK31,PK!$B$6:$B$11,PK!$P$6:$P$11,_xlfn.XLOOKUP(DK31,PL!$B$6:$B$11,PL!$P$6:$P$11,"",0,1),0,1),0,1),0,1),0,1),0,1),0,1),0,1),0,1),0,1),0,1),0,1)</f>
        <v>0</v>
      </c>
      <c r="DQ31" s="443">
        <f>_xlfn.XLOOKUP(DK31,PA!$B$6:$B$11,PA!$Q$6:$Q$11,_xlfn.XLOOKUP(DK31,PB!$B$6:$B$11,PB!$Q$6:$Q$11,_xlfn.XLOOKUP(DK31,PC!$B$6:$B$11,PC!$Q$6:$Q$11,_xlfn.XLOOKUP(DK31,PD!$B$6:$B$11,PD!$Q$6:$Q$11,_xlfn.XLOOKUP(DK31,PE!$B$6:$B$11,PE!$Q$6:$Q$11,_xlfn.XLOOKUP(DK31,PF!$B$6:$B$11,PF!$Q$6:$Q$11,_xlfn.XLOOKUP(DK31,PG!$B$6:$B$11,PG!$Q$6:$Q$11,_xlfn.XLOOKUP(DK31,PH!$B$6:$B$11,PH!$Q$6:$Q$11,_xlfn.XLOOKUP(DK31,PI!$B$6:$B$11,PI!$Q$6:$Q$11,_xlfn.XLOOKUP(DK31,PJ!$B$6:$B$11,PJ!$Q$6:$Q$11,_xlfn.XLOOKUP(DK31,PK!$B$6:$B$11,PK!$Q$6:$Q$11,_xlfn.XLOOKUP(DK31,PL!$B$6:$B$11,PL!$Q$6:$Q$11,"",0,1),0,1),0,1),0,1),0,1),0,1),0,1),0,1),0,1),0,1),0,1),0,1)</f>
        <v>0</v>
      </c>
      <c r="DR31" s="244" t="str">
        <f>IFERROR(('Phase finale'!DL31+'Phase finale'!DP31)/('Phase finale'!DM31+'Phase finale'!DQ31),"")</f>
        <v/>
      </c>
      <c r="DX31" s="515" t="s">
        <v>10282</v>
      </c>
      <c r="DY31" s="515" t="s">
        <v>14</v>
      </c>
      <c r="DZ31" s="515" t="s">
        <v>10283</v>
      </c>
      <c r="EA31" s="515" t="s">
        <v>10284</v>
      </c>
      <c r="EB31" s="515" t="s">
        <v>10285</v>
      </c>
      <c r="EC31" s="515" t="s">
        <v>10286</v>
      </c>
      <c r="ED31" s="515" t="s">
        <v>10287</v>
      </c>
      <c r="EE31" s="515" t="s">
        <v>17</v>
      </c>
      <c r="EF31" s="515" t="s">
        <v>10288</v>
      </c>
      <c r="EG31" s="515" t="s">
        <v>10289</v>
      </c>
    </row>
    <row r="32" spans="1:137" ht="15.75" thickBot="1" x14ac:dyDescent="0.3">
      <c r="A32" s="245" t="str">
        <f>IF(O32&lt;&gt;"","P","")</f>
        <v/>
      </c>
      <c r="B32" s="382" t="s">
        <v>9884</v>
      </c>
      <c r="C32" s="112" t="str">
        <f>IF('GESTION DES JOUEURS'!$D$8="Tournoi","C","")</f>
        <v/>
      </c>
      <c r="D32" s="432" t="str">
        <f>IF(A32="","",IF(N32="ab.",0,IF(P32="ab.",2,IF(AND('GESTION DES JOUEURS'!$D$8&lt;&gt;"Open",O32&gt;0,N32&gt;P32),2,IF(AND('GESTION DES JOUEURS'!$D$8&lt;&gt;"Open",O32&gt;0,N32&lt;P32),0,IF(AND('GESTION DES JOUEURS'!$D$8&lt;&gt;"Open",O32&gt;0,N32=P32),1,IF(AND('GESTION DES JOUEURS'!$D$8="Open",(N32/_xlfn.XLOOKUP(F32,$CP$7:$CP$42,$DI$7:$DI$42,"",0,1))&gt;(P32/_xlfn.XLOOKUP(V32,$CP$7:$CP$42,$DI$7:$DI$42,"",0,1))),2,IF(AND('GESTION DES JOUEURS'!$D$8="Open",(N32/_xlfn.XLOOKUP(F32,$CP$7:$CP$42,$DI$7:$DI$42,"",0,1))=(P32/_xlfn.XLOOKUP(V32,$CP$7:$CP$42,$DI$7:$DI$42,"",0,1))),1,IF(AND('GESTION DES JOUEURS'!$D$8="Open",(N32/_xlfn.XLOOKUP(F32,$CP$7:$CP$42,$DI$7:$DI$42,"",0,1))&lt;(P32/_xlfn.XLOOKUP(V32,$CP$7:$CP$42,$DI$7:$DI$42,"",0,1))),0,"")))))))))</f>
        <v/>
      </c>
      <c r="E32" s="429" t="str">
        <f>IFERROR(IF(AND(D32&gt;0,Y32=FALSE),N32/O32,IF(AND(D32&gt;0,Y32=TRUE),(N32/O32)*_xlfn.XLOOKUP('GESTION DES JOUEURS'!$X$8&amp;RIGHT('GESTION DES JOUEURS'!$Y$8,1),Tableau14[Colonne1],Tableau14[coef. 2,80/3,10],"",0,1),"")),"")</f>
        <v/>
      </c>
      <c r="F32" s="75" t="str">
        <f>IF(A10="P",(IF(OR(D11&lt;X11,R11=TRUE),F11,IF(OR(X11&lt;D11,L11=TRUE),V11,""))),"")</f>
        <v/>
      </c>
      <c r="G32" s="1107" t="str">
        <f>IFERROR(VLOOKUP(F32,'GESTION DES JOUEURS'!$B$11:$E$46,2,FALSE),"")</f>
        <v/>
      </c>
      <c r="H32" s="1107"/>
      <c r="I32" s="1107"/>
      <c r="J32" s="1107" t="str">
        <f>IFERROR(VLOOKUP(F32,'GESTION DES JOUEURS'!$B$11:$E$46,3,FALSE),"")</f>
        <v/>
      </c>
      <c r="K32" s="776"/>
      <c r="L32" s="399" t="b">
        <v>0</v>
      </c>
      <c r="M32" s="410"/>
      <c r="N32" s="410"/>
      <c r="O32" s="110"/>
      <c r="P32" s="410"/>
      <c r="Q32" s="410"/>
      <c r="R32" s="399" t="b">
        <v>0</v>
      </c>
      <c r="S32" s="768" t="str">
        <f>IFERROR(VLOOKUP(V32,'GESTION DES JOUEURS'!$B$11:$E$46,2,FALSE),"")</f>
        <v/>
      </c>
      <c r="T32" s="769"/>
      <c r="U32" s="78" t="str">
        <f>IFERROR(VLOOKUP(V32,'GESTION DES JOUEURS'!$B$11:$E$46,3,FALSE),"")</f>
        <v/>
      </c>
      <c r="V32" s="78" t="str">
        <f>IF(A10="P",(IF(OR(D10&lt;X10,R10=TRUE),F10,IF(OR(X10&lt;D10,L10=TRUE),V10,""))),"")</f>
        <v/>
      </c>
      <c r="W32" s="435" t="str">
        <f>IFERROR(IF(AND(X32&gt;0,Y32=FALSE),P32/O32,IF(AND(X32&gt;0,Y32=TRUE),(P32/O32)*_xlfn.XLOOKUP('GESTION DES JOUEURS'!$X$8&amp;RIGHT('GESTION DES JOUEURS'!$Y$8,1),Tableau14[Colonne1],Tableau14[coef. 2,80/3,10],"",0,1),"")),"")</f>
        <v/>
      </c>
      <c r="X32" s="528" t="str">
        <f>IF(A32="","",IF(P32="ab.",0,IF(N32="ab.",2,IF(AND('GESTION DES JOUEURS'!$D$8&lt;&gt;"Open",O32&gt;0,P32&gt;N32),2,IF(AND('GESTION DES JOUEURS'!$D$8&lt;&gt;"Open",O32&gt;0,P32&lt;N32),0,IF(AND('GESTION DES JOUEURS'!$D$8&lt;&gt;"Open",O32&gt;0,P32=N32),1,IF(AND('GESTION DES JOUEURS'!$D$8="Open",(P32/_xlfn.XLOOKUP(V32,$CP$7:$CP$42,$DI$7:$DI$42,"",0,1))&gt;(N32/_xlfn.XLOOKUP(F32,$CP$7:$CP$42,$DI$7:$DI$42,"",0,1))),2,IF(AND('GESTION DES JOUEURS'!$D$8="Open",(P32/_xlfn.XLOOKUP(V32,$CP$7:$CP$42,$DI$7:$DI$42,"",0,1))=(N32/_xlfn.XLOOKUP(F32,$CP$7:$CP$42,$DI$7:$DI$42,"",0,1))),1,IF(AND('GESTION DES JOUEURS'!$D$8="Open",(P32/_xlfn.XLOOKUP(V32,$CP$7:$CP$42,$DI$7:$DI$42,"",0,1))&lt;(N32/_xlfn.XLOOKUP(F32,$CP$7:$CP$42,$DI$7:$DI$42,"",0,1))),0,"")))))))))</f>
        <v/>
      </c>
      <c r="Y32" s="547" t="b">
        <v>0</v>
      </c>
      <c r="AA32" s="930"/>
      <c r="AC32" s="244" t="b" cm="1">
        <f t="array" ref="AC32">IF(AND(_xlfn.XLOOKUP(F32,Tableau19[Licence],'GESTION DES JOUEURS'!$O$11:$O$46,"",0,1)&lt;&gt;"N1",_xlfn.XLOOKUP(V32,Tableau19[Licence],'GESTION DES JOUEURS'!$O$11:$O$46,"",0,1)&lt;&gt;"N1",'GESTION DES JOUEURS'!$X$8="Cadre"),TRUE,FALSE)</f>
        <v>0</v>
      </c>
      <c r="AE32" s="371">
        <v>4</v>
      </c>
      <c r="AF32" s="371" t="str">
        <f t="shared" si="27"/>
        <v/>
      </c>
      <c r="AG32" s="371" t="str">
        <f t="shared" si="28"/>
        <v/>
      </c>
      <c r="AH32" s="371" t="b">
        <f t="shared" si="29"/>
        <v>0</v>
      </c>
      <c r="AI32" s="371" t="e">
        <f t="shared" si="0"/>
        <v>#VALUE!</v>
      </c>
      <c r="AJ32" s="244" t="e">
        <f t="shared" si="1"/>
        <v>#VALUE!</v>
      </c>
      <c r="AK32" s="244">
        <f t="shared" si="30"/>
        <v>0</v>
      </c>
      <c r="AL32" s="573" t="str">
        <f t="shared" si="31"/>
        <v/>
      </c>
      <c r="AM32" s="244" t="e">
        <f t="shared" si="32"/>
        <v>#VALUE!</v>
      </c>
      <c r="BA32" s="244">
        <v>26</v>
      </c>
      <c r="BB32" s="443" t="str">
        <f>IF('GESTION DES JOUEURS'!B36="","",'GESTION DES JOUEURS'!B36)</f>
        <v/>
      </c>
      <c r="BC32" s="443" t="str" cm="1">
        <f t="array" ref="BC32:BS32">_xlfn.XLOOKUP('Phase finale'!BB32,PA!$B$37:$B$42,PA!$C$37:$S$42,_xlfn.XLOOKUP('Phase finale'!BB32,PB!$B$37:$B$42,PB!$C$37:$S$42,_xlfn.XLOOKUP('Phase finale'!BB32,PC!$B$37:$B$42,PC!$C$37:$S$42,_xlfn.XLOOKUP('Phase finale'!BB32,PD!$B$37:$B$42,PD!$C$37:$S$42,_xlfn.XLOOKUP('Phase finale'!BB32,PE!$B$37:$B$42,PE!$C$37:$S$42,_xlfn.XLOOKUP('Phase finale'!BB32,PF!$B$37:$B$42,PF!$C$37:$S$42,_xlfn.XLOOKUP('Phase finale'!BB32,PG!$B$37:$B$42,PG!$C$37:$S$42,_xlfn.XLOOKUP('Phase finale'!BB32,PH!$B$37:$B$42,PH!$C$37:$S$42,_xlfn.XLOOKUP('Phase finale'!BB32,PI!$B$37:$B$42,PI!$C$37:$S$42,_xlfn.XLOOKUP('Phase finale'!BB32,PJ!$B$37:$B$42,PJ!$C$37:$S$42,_xlfn.XLOOKUP('Phase finale'!BB32,PK!$B$37:$B$42,PK!$C$37:$S$42,_xlfn.XLOOKUP('Phase finale'!BB32,PL!$B$37:$B$42,PL!$C$37:$S$42,"",0,1),0,1),0,1),0,1),0,1),0,1),0,1),0,1),0,1),0,1),0,1),0,1)</f>
        <v/>
      </c>
      <c r="BD32" s="443">
        <v>0</v>
      </c>
      <c r="BE32" s="443" t="str">
        <v/>
      </c>
      <c r="BF32" s="443">
        <v>0</v>
      </c>
      <c r="BG32" s="443" t="str">
        <v/>
      </c>
      <c r="BH32" s="443">
        <v>0</v>
      </c>
      <c r="BI32" s="443">
        <v>0</v>
      </c>
      <c r="BJ32" s="443">
        <v>0</v>
      </c>
      <c r="BK32" s="443">
        <v>0</v>
      </c>
      <c r="BL32" s="443">
        <v>0</v>
      </c>
      <c r="BM32" s="443" t="str">
        <v/>
      </c>
      <c r="BN32" s="443" t="str">
        <v/>
      </c>
      <c r="BO32" s="443" t="str">
        <v/>
      </c>
      <c r="BP32" s="443" t="str">
        <v/>
      </c>
      <c r="BQ32" s="443" t="str">
        <v/>
      </c>
      <c r="BR32" s="443" t="str">
        <v/>
      </c>
      <c r="BS32" s="443" t="str">
        <v/>
      </c>
      <c r="BU32" s="244">
        <v>26</v>
      </c>
      <c r="BV32" s="244" t="str">
        <v>118031R</v>
      </c>
      <c r="BW32" s="244" t="str">
        <v>LE HUAN CUA</v>
      </c>
      <c r="BX32" s="244">
        <v>0</v>
      </c>
      <c r="BY32" s="244" t="str">
        <v>TRAN</v>
      </c>
      <c r="BZ32" s="244">
        <v>0</v>
      </c>
      <c r="CA32" s="244" t="str">
        <v>ACADEMIE DE BILLARD DE MAISONS ALFORT</v>
      </c>
      <c r="CB32" s="244">
        <v>0</v>
      </c>
      <c r="CC32" s="244">
        <v>0</v>
      </c>
      <c r="CD32" s="244">
        <v>0</v>
      </c>
      <c r="CE32" s="244">
        <v>0</v>
      </c>
      <c r="CF32" s="244">
        <v>0</v>
      </c>
      <c r="CG32" s="244">
        <v>4</v>
      </c>
      <c r="CH32" s="244">
        <v>4.166666666666667</v>
      </c>
      <c r="CI32" s="244">
        <v>4.3478260869565215</v>
      </c>
      <c r="CJ32" s="244">
        <v>20</v>
      </c>
      <c r="CK32" s="244">
        <v>1</v>
      </c>
      <c r="CL32" s="244">
        <v>8</v>
      </c>
      <c r="CM32" s="244">
        <v>4</v>
      </c>
      <c r="CO32" s="244">
        <f t="shared" si="12"/>
        <v>11</v>
      </c>
      <c r="CP32" s="244" t="str">
        <v/>
      </c>
      <c r="CQ32" s="244" t="str">
        <v/>
      </c>
      <c r="CR32" s="244">
        <v>0</v>
      </c>
      <c r="CS32" s="244" t="str">
        <v/>
      </c>
      <c r="CT32" s="244">
        <v>0</v>
      </c>
      <c r="CU32" s="244" t="str">
        <v/>
      </c>
      <c r="CV32" s="244">
        <v>0</v>
      </c>
      <c r="CW32" s="244">
        <v>0</v>
      </c>
      <c r="CX32" s="244">
        <v>0</v>
      </c>
      <c r="CY32" s="244">
        <v>0</v>
      </c>
      <c r="CZ32" s="244">
        <v>0</v>
      </c>
      <c r="DA32" s="244" t="str">
        <v/>
      </c>
      <c r="DB32" s="244" t="str">
        <v/>
      </c>
      <c r="DC32" s="244" t="str">
        <v/>
      </c>
      <c r="DD32" s="244" t="str">
        <v/>
      </c>
      <c r="DE32" s="244" t="str">
        <v/>
      </c>
      <c r="DF32" s="244" t="str">
        <v/>
      </c>
      <c r="DG32" s="244" t="str">
        <v/>
      </c>
      <c r="DH32" s="244" t="str" cm="1">
        <f t="array" ref="DH32">_xlfn.XLOOKUP(CP32,Tableau19[Licence],'GESTION DES JOUEURS'!$O$11:$O$46,"",0,1)</f>
        <v/>
      </c>
      <c r="DI32" s="471" t="str">
        <f>IF('GESTION DES JOUEURS'!$X$8="Libre",_xlfn.XLOOKUP(DH32,Tableau13[Cat.],Tableau13[Libre],"",0,1),IF('GESTION DES JOUEURS'!$X$8="Bande",_xlfn.XLOOKUP(DH32,Tableau13[Cat.],Tableau13[bande],"",0,1),IF('GESTION DES JOUEURS'!$X$8="Cadre",_xlfn.XLOOKUP(DH32,Tableau13[Cat.],Tableau13[Cadre],"",0,1),IF('GESTION DES JOUEURS'!$X$8="3 Bandes",_xlfn.XLOOKUP(DH32,Tableau13[Cat.],Tableau13[3 Bandes],"",0,1),""))))</f>
        <v/>
      </c>
      <c r="DK32" s="443" t="str">
        <v>118031R</v>
      </c>
      <c r="DL32" s="443">
        <f>SUM(SUMIFS($N$9:$N$34,$F$9:$F$34,DK32,$A$9:$A$34,"P"),SUMIFS($P$9:$P$34,$V$9:$V$34,DK32,$A$9:$A$34,"P"),SUMIFS(Consolante!$P$9:$P$34,Consolante!$V$9:$V$34,DK32,Consolante!$A$9:$A$34,"P"),SUMIFS(Consolante!$N$9:$N$34,Consolante!$F$9:$F$34,DK32,Consolante!$A$9:$A$34,"P"))</f>
        <v>0</v>
      </c>
      <c r="DM32" s="443">
        <f>SUM(SUMIFS($O$9:$O$34,$F$9:$F$34,DK32,$A$9:$A$34,"P",$Y$9:$Y$34,FALSE),SUMIFS($O$9:$O$34,$F$9:$F$34,DK32,$A$9:$A$34,"P",$Y$9:$Y$34,TRUE)/_xlfn.XLOOKUP('GESTION DES JOUEURS'!$X$8&amp;RIGHT('GESTION DES JOUEURS'!$Y$8,1),Tableau14[Colonne1],Tableau14[coef. 2,80/3,10],"",0,1),SUMIFS($O$9:$O$34,$V$9:$V$34,DK32,$A$9:$A$34,"P",$Y$9:$Y$34,FALSE),SUMIFS($O$9:$O$34,$V$9:$V$34,DK32,$A$9:$A$34,"P",$Y$9:$Y$34,TRUE)/_xlfn.XLOOKUP('GESTION DES JOUEURS'!$X$8&amp;RIGHT('GESTION DES JOUEURS'!$Y$8,1),Tableau14[Colonne1],Tableau14[coef. 2,80/3,10],"",0,1),_xlfn.XLOOKUP(DK32,Consolante!$CP$7:$CP$22,Consolante!$CR$7:$CR$22,0,0,1))</f>
        <v>0</v>
      </c>
      <c r="DN32" s="447" t="str">
        <f t="shared" si="13"/>
        <v/>
      </c>
      <c r="DO32" s="443"/>
      <c r="DP32" s="443">
        <f>_xlfn.XLOOKUP(DK32,PA!$B$6:$B$11,PA!$P$6:$P$11,_xlfn.XLOOKUP(DK32,PB!$B$6:$B$11,PB!$P$6:$P$11,_xlfn.XLOOKUP(DK32,PC!$B$6:$B$11,PC!$P$6:$P$11,_xlfn.XLOOKUP(DK32,PD!$B$6:$B$11,PD!$P$6:$P$11,_xlfn.XLOOKUP(DK32,PE!$B$6:$B$11,PE!$P$6:$P$11,_xlfn.XLOOKUP(DK32,PF!$B$6:$B$11,PF!$P$6:$P$11,_xlfn.XLOOKUP(DK32,PG!$B$6:$B$11,PG!$P$6:$P$11,_xlfn.XLOOKUP(DK32,PH!$B$6:$B$11,PH!$P$6:$P$11,_xlfn.XLOOKUP(DK32,PI!$B$6:$B$11,PI!$P$6:$P$11,_xlfn.XLOOKUP(DK32,PJ!$B$6:$B$11,PJ!$P$6:$P$11,_xlfn.XLOOKUP(DK32,PK!$B$6:$B$11,PK!$P$6:$P$11,_xlfn.XLOOKUP(DK32,PL!$B$6:$B$11,PL!$P$6:$P$11,"",0,1),0,1),0,1),0,1),0,1),0,1),0,1),0,1),0,1),0,1),0,1),0,1)</f>
        <v>200</v>
      </c>
      <c r="DQ32" s="443">
        <f>_xlfn.XLOOKUP(DK32,PA!$B$6:$B$11,PA!$Q$6:$Q$11,_xlfn.XLOOKUP(DK32,PB!$B$6:$B$11,PB!$Q$6:$Q$11,_xlfn.XLOOKUP(DK32,PC!$B$6:$B$11,PC!$Q$6:$Q$11,_xlfn.XLOOKUP(DK32,PD!$B$6:$B$11,PD!$Q$6:$Q$11,_xlfn.XLOOKUP(DK32,PE!$B$6:$B$11,PE!$Q$6:$Q$11,_xlfn.XLOOKUP(DK32,PF!$B$6:$B$11,PF!$Q$6:$Q$11,_xlfn.XLOOKUP(DK32,PG!$B$6:$B$11,PG!$Q$6:$Q$11,_xlfn.XLOOKUP(DK32,PH!$B$6:$B$11,PH!$Q$6:$Q$11,_xlfn.XLOOKUP(DK32,PI!$B$6:$B$11,PI!$Q$6:$Q$11,_xlfn.XLOOKUP(DK32,PJ!$B$6:$B$11,PJ!$Q$6:$Q$11,_xlfn.XLOOKUP(DK32,PK!$B$6:$B$11,PK!$Q$6:$Q$11,_xlfn.XLOOKUP(DK32,PL!$B$6:$B$11,PL!$Q$6:$Q$11,"",0,1),0,1),0,1),0,1),0,1),0,1),0,1),0,1),0,1),0,1),0,1),0,1)</f>
        <v>48</v>
      </c>
      <c r="DR32" s="244">
        <f>IFERROR(('Phase finale'!DL32+'Phase finale'!DP32)/('Phase finale'!DM32+'Phase finale'!DQ32),"")</f>
        <v>4.166666666666667</v>
      </c>
      <c r="DX32" s="514" t="str">
        <f>F15</f>
        <v/>
      </c>
      <c r="DY32" s="514" t="str">
        <f>D15</f>
        <v/>
      </c>
      <c r="DZ32" s="514" t="b">
        <f>L15</f>
        <v>0</v>
      </c>
      <c r="EA32" s="514">
        <f>N15</f>
        <v>0</v>
      </c>
      <c r="EB32" s="514" cm="1">
        <f t="array" ref="EB32">_xlfn.XLOOKUP(DX32,Tableau19[Licence],'GESTION DES JOUEURS'!$O$11:$O$46,0,0,1)</f>
        <v>0</v>
      </c>
      <c r="EC32" s="514">
        <f>IFERROR(IF('GESTION DES JOUEURS'!$X$8="3 Bandes",EA32/_xlfn.XLOOKUP(EB32,Tableau13[Cat.],Tableau13[3 Bandes],"",0,1),IF('GESTION DES JOUEURS'!$X$8="Bande",EA32/_xlfn.XLOOKUP(EB32,Tableau13[Cat.],Tableau13[bande],"",0,1),IF('GESTION DES JOUEURS'!$X$8="Cadre",EA32/_xlfn.XLOOKUP(EB32,Tableau13[Cat.],Tableau13[Cadre],"",0,1),IF('GESTION DES JOUEURS'!$X$8="Libre",EA32/_xlfn.XLOOKUP(EB32,Tableau13[Cat.],Tableau13[Libre],"",0,1),"")))),0)</f>
        <v>0</v>
      </c>
      <c r="ED32" s="514">
        <f>EC33</f>
        <v>0</v>
      </c>
      <c r="EE32" s="514">
        <f>M15</f>
        <v>0</v>
      </c>
      <c r="EF32" s="514">
        <f>O15</f>
        <v>0</v>
      </c>
      <c r="EG32" s="514" t="e">
        <f>EA32/EF32</f>
        <v>#DIV/0!</v>
      </c>
    </row>
    <row r="33" spans="1:137" ht="14.45" customHeight="1" x14ac:dyDescent="0.25">
      <c r="A33" s="245" t="str">
        <f>IF(O33&lt;&gt;"","P","")</f>
        <v/>
      </c>
      <c r="B33" s="383" t="s">
        <v>9885</v>
      </c>
      <c r="C33" s="116" t="str">
        <f>IF('GESTION DES JOUEURS'!$D$8="Tournoi","B","")</f>
        <v/>
      </c>
      <c r="D33" s="433" t="str">
        <f>IF(A33="","",IF(N33="ab.",0,IF(P33="ab.",2,IF(AND('GESTION DES JOUEURS'!$D$8&lt;&gt;"Open",O33&gt;0,N33&gt;P33),2,IF(AND('GESTION DES JOUEURS'!$D$8&lt;&gt;"Open",O33&gt;0,N33&lt;P33),0,IF(AND('GESTION DES JOUEURS'!$D$8&lt;&gt;"Open",O33&gt;0,N33=P33),1,IF(AND('GESTION DES JOUEURS'!$D$8="Open",(N33/_xlfn.XLOOKUP(F33,$CP$7:$CP$42,$DI$7:$DI$42,"",0,1))&gt;(P33/_xlfn.XLOOKUP(V33,$CP$7:$CP$42,$DI$7:$DI$42,"",0,1))),2,IF(AND('GESTION DES JOUEURS'!$D$8="Open",(N33/_xlfn.XLOOKUP(F33,$CP$7:$CP$42,$DI$7:$DI$42,"",0,1))=(P33/_xlfn.XLOOKUP(V33,$CP$7:$CP$42,$DI$7:$DI$42,"",0,1))),1,IF(AND('GESTION DES JOUEURS'!$D$8="Open",(N33/_xlfn.XLOOKUP(F33,$CP$7:$CP$42,$DI$7:$DI$42,"",0,1))&lt;(P33/_xlfn.XLOOKUP(V33,$CP$7:$CP$42,$DI$7:$DI$42,"",0,1))),0,"")))))))))</f>
        <v/>
      </c>
      <c r="E33" s="430" t="str">
        <f>IFERROR(IF(AND(D33&gt;0,Y33=FALSE),N33/O33,IF(AND(D33&gt;0,Y33=TRUE),(N33/O33)*_xlfn.XLOOKUP('GESTION DES JOUEURS'!$X$8&amp;RIGHT('GESTION DES JOUEURS'!$Y$8,1),Tableau14[Colonne1],Tableau14[coef. 2,80/3,10],"",0,1),"")),"")</f>
        <v/>
      </c>
      <c r="F33" s="80" t="str">
        <f>IF(BT6&lt;5,"",IF(AND(COUNTIF($A$12:$A$15,"P")=4,C15&lt;&gt;""),$DX$11,IF(AND(MAX('GESTION DES JOUEURS'!$A$11:$A$46)&lt;10,F4="Tournoi"),$BV$11,"")))</f>
        <v/>
      </c>
      <c r="G33" s="729" t="str">
        <f>IFERROR(VLOOKUP(F33,'GESTION DES JOUEURS'!$B$11:$E$46,2,FALSE),"")</f>
        <v/>
      </c>
      <c r="H33" s="726"/>
      <c r="I33" s="730"/>
      <c r="J33" s="1145" t="str">
        <f>IFERROR(VLOOKUP(F33,'GESTION DES JOUEURS'!$B$11:$E$46,3,FALSE),"")</f>
        <v/>
      </c>
      <c r="K33" s="729"/>
      <c r="L33" s="401" t="b">
        <v>0</v>
      </c>
      <c r="M33" s="412"/>
      <c r="N33" s="414"/>
      <c r="O33" s="118"/>
      <c r="P33" s="414"/>
      <c r="Q33" s="412"/>
      <c r="R33" s="401" t="b">
        <v>0</v>
      </c>
      <c r="S33" s="731" t="str">
        <f>IFERROR(VLOOKUP(V33,'GESTION DES JOUEURS'!$B$11:$E$46,2,FALSE),"")</f>
        <v/>
      </c>
      <c r="T33" s="732"/>
      <c r="U33" s="83" t="str">
        <f>IFERROR(VLOOKUP(V33,'GESTION DES JOUEURS'!$B$11:$E$46,3,FALSE),"")</f>
        <v/>
      </c>
      <c r="V33" s="83" t="str">
        <f>IF(BT6&lt;6,"",IF(AND(COUNTIF($A$12:$A$15,"P")=4,C15&lt;&gt;""),$DX$12,IF(AND(MAX('GESTION DES JOUEURS'!$A$11:$A$46)&lt;10,F4="Tournoi"),$BV$12,"")))</f>
        <v/>
      </c>
      <c r="W33" s="436" t="str">
        <f>IFERROR(IF(AND(X33&gt;0,Y33=FALSE),P33/O33,IF(AND(X33&gt;0,Y33=TRUE),(P33/O33)*_xlfn.XLOOKUP('GESTION DES JOUEURS'!$X$8&amp;RIGHT('GESTION DES JOUEURS'!$Y$8,1),Tableau14[Colonne1],Tableau14[coef. 2,80/3,10],"",0,1),"")),"")</f>
        <v/>
      </c>
      <c r="X33" s="529" t="str">
        <f>IF(A33="","",IF(P33="ab.",0,IF(N33="ab.",2,IF(AND('GESTION DES JOUEURS'!$D$8&lt;&gt;"Open",O33&gt;0,P33&gt;N33),2,IF(AND('GESTION DES JOUEURS'!$D$8&lt;&gt;"Open",O33&gt;0,P33&lt;N33),0,IF(AND('GESTION DES JOUEURS'!$D$8&lt;&gt;"Open",O33&gt;0,P33=N33),1,IF(AND('GESTION DES JOUEURS'!$D$8="Open",(P33/_xlfn.XLOOKUP(V33,$CP$7:$CP$42,$DI$7:$DI$42,"",0,1))&gt;(N33/_xlfn.XLOOKUP(F33,$CP$7:$CP$42,$DI$7:$DI$42,"",0,1))),2,IF(AND('GESTION DES JOUEURS'!$D$8="Open",(P33/_xlfn.XLOOKUP(V33,$CP$7:$CP$42,$DI$7:$DI$42,"",0,1))=(N33/_xlfn.XLOOKUP(F33,$CP$7:$CP$42,$DI$7:$DI$42,"",0,1))),1,IF(AND('GESTION DES JOUEURS'!$D$8="Open",(P33/_xlfn.XLOOKUP(V33,$CP$7:$CP$42,$DI$7:$DI$42,"",0,1))&lt;(N33/_xlfn.XLOOKUP(F33,$CP$7:$CP$42,$DI$7:$DI$42,"",0,1))),0,"")))))))))</f>
        <v/>
      </c>
      <c r="Y33" s="546" t="b">
        <v>0</v>
      </c>
      <c r="AC33" s="244" t="b" cm="1">
        <f t="array" ref="AC33">IF(AND(_xlfn.XLOOKUP(F33,Tableau19[Licence],'GESTION DES JOUEURS'!$O$11:$O$46,"",0,1)&lt;&gt;"N1",_xlfn.XLOOKUP(V33,Tableau19[Licence],'GESTION DES JOUEURS'!$O$11:$O$46,"",0,1)&lt;&gt;"N1",'GESTION DES JOUEURS'!$X$8="Cadre"),TRUE,FALSE)</f>
        <v>0</v>
      </c>
      <c r="AE33" s="371">
        <v>4</v>
      </c>
      <c r="AF33" s="371" t="str">
        <f t="shared" si="27"/>
        <v/>
      </c>
      <c r="AG33" s="371" t="str">
        <f t="shared" si="28"/>
        <v/>
      </c>
      <c r="AH33" s="371" t="b">
        <f t="shared" si="29"/>
        <v>0</v>
      </c>
      <c r="AI33" s="371" t="e">
        <f t="shared" si="0"/>
        <v>#VALUE!</v>
      </c>
      <c r="AJ33" s="244" t="e">
        <f t="shared" si="1"/>
        <v>#VALUE!</v>
      </c>
      <c r="AK33" s="244">
        <f t="shared" si="30"/>
        <v>0</v>
      </c>
      <c r="AL33" s="573" t="str">
        <f t="shared" si="31"/>
        <v/>
      </c>
      <c r="AM33" s="244" t="e">
        <f t="shared" si="32"/>
        <v>#VALUE!</v>
      </c>
      <c r="BA33" s="244">
        <v>27</v>
      </c>
      <c r="BB33" s="443" t="str">
        <f>IF('GESTION DES JOUEURS'!B37="","",'GESTION DES JOUEURS'!B37)</f>
        <v/>
      </c>
      <c r="BC33" s="443" t="str" cm="1">
        <f t="array" ref="BC33:BS33">_xlfn.XLOOKUP('Phase finale'!BB33,PA!$B$37:$B$42,PA!$C$37:$S$42,_xlfn.XLOOKUP('Phase finale'!BB33,PB!$B$37:$B$42,PB!$C$37:$S$42,_xlfn.XLOOKUP('Phase finale'!BB33,PC!$B$37:$B$42,PC!$C$37:$S$42,_xlfn.XLOOKUP('Phase finale'!BB33,PD!$B$37:$B$42,PD!$C$37:$S$42,_xlfn.XLOOKUP('Phase finale'!BB33,PE!$B$37:$B$42,PE!$C$37:$S$42,_xlfn.XLOOKUP('Phase finale'!BB33,PF!$B$37:$B$42,PF!$C$37:$S$42,_xlfn.XLOOKUP('Phase finale'!BB33,PG!$B$37:$B$42,PG!$C$37:$S$42,_xlfn.XLOOKUP('Phase finale'!BB33,PH!$B$37:$B$42,PH!$C$37:$S$42,_xlfn.XLOOKUP('Phase finale'!BB33,PI!$B$37:$B$42,PI!$C$37:$S$42,_xlfn.XLOOKUP('Phase finale'!BB33,PJ!$B$37:$B$42,PJ!$C$37:$S$42,_xlfn.XLOOKUP('Phase finale'!BB33,PK!$B$37:$B$42,PK!$C$37:$S$42,_xlfn.XLOOKUP('Phase finale'!BB33,PL!$B$37:$B$42,PL!$C$37:$S$42,"",0,1),0,1),0,1),0,1),0,1),0,1),0,1),0,1),0,1),0,1),0,1),0,1)</f>
        <v/>
      </c>
      <c r="BD33" s="443">
        <v>0</v>
      </c>
      <c r="BE33" s="443" t="str">
        <v/>
      </c>
      <c r="BF33" s="443">
        <v>0</v>
      </c>
      <c r="BG33" s="443" t="str">
        <v/>
      </c>
      <c r="BH33" s="443">
        <v>0</v>
      </c>
      <c r="BI33" s="443">
        <v>0</v>
      </c>
      <c r="BJ33" s="443">
        <v>0</v>
      </c>
      <c r="BK33" s="443">
        <v>0</v>
      </c>
      <c r="BL33" s="443">
        <v>0</v>
      </c>
      <c r="BM33" s="443" t="str">
        <v/>
      </c>
      <c r="BN33" s="443" t="str">
        <v/>
      </c>
      <c r="BO33" s="443" t="str">
        <v/>
      </c>
      <c r="BP33" s="443" t="str">
        <v/>
      </c>
      <c r="BQ33" s="443" t="str">
        <v/>
      </c>
      <c r="BR33" s="443" t="str">
        <v/>
      </c>
      <c r="BS33" s="443" t="str">
        <v/>
      </c>
      <c r="BU33" s="244">
        <v>27</v>
      </c>
      <c r="BV33" s="244" t="str">
        <v>111337F</v>
      </c>
      <c r="BW33" s="244" t="str">
        <v>GONTHIER</v>
      </c>
      <c r="BX33" s="244">
        <v>0</v>
      </c>
      <c r="BY33" s="244" t="str">
        <v>ARNAUD</v>
      </c>
      <c r="BZ33" s="244">
        <v>0</v>
      </c>
      <c r="CA33" s="244" t="str">
        <v>ASS. BILLARD AMATEUR DE SAINT MAUR</v>
      </c>
      <c r="CB33" s="244">
        <v>0</v>
      </c>
      <c r="CC33" s="244">
        <v>0</v>
      </c>
      <c r="CD33" s="244">
        <v>0</v>
      </c>
      <c r="CE33" s="244">
        <v>0</v>
      </c>
      <c r="CF33" s="244">
        <v>0</v>
      </c>
      <c r="CG33" s="244">
        <v>4</v>
      </c>
      <c r="CH33" s="244">
        <v>3.0303030303030303</v>
      </c>
      <c r="CI33" s="244">
        <v>3.5714285714285716</v>
      </c>
      <c r="CJ33" s="244">
        <v>19</v>
      </c>
      <c r="CK33" s="244">
        <v>1</v>
      </c>
      <c r="CL33" s="244">
        <v>8</v>
      </c>
      <c r="CM33" s="244">
        <v>2</v>
      </c>
      <c r="CO33" s="244">
        <f t="shared" si="12"/>
        <v>11</v>
      </c>
      <c r="CP33" s="244" t="str">
        <v/>
      </c>
      <c r="CQ33" s="244" t="str">
        <v/>
      </c>
      <c r="CR33" s="244">
        <v>0</v>
      </c>
      <c r="CS33" s="244" t="str">
        <v/>
      </c>
      <c r="CT33" s="244">
        <v>0</v>
      </c>
      <c r="CU33" s="244" t="str">
        <v/>
      </c>
      <c r="CV33" s="244">
        <v>0</v>
      </c>
      <c r="CW33" s="244">
        <v>0</v>
      </c>
      <c r="CX33" s="244">
        <v>0</v>
      </c>
      <c r="CY33" s="244">
        <v>0</v>
      </c>
      <c r="CZ33" s="244">
        <v>0</v>
      </c>
      <c r="DA33" s="244" t="str">
        <v/>
      </c>
      <c r="DB33" s="244" t="str">
        <v/>
      </c>
      <c r="DC33" s="244" t="str">
        <v/>
      </c>
      <c r="DD33" s="244" t="str">
        <v/>
      </c>
      <c r="DE33" s="244" t="str">
        <v/>
      </c>
      <c r="DF33" s="244" t="str">
        <v/>
      </c>
      <c r="DG33" s="244" t="str">
        <v/>
      </c>
      <c r="DH33" s="244" t="str" cm="1">
        <f t="array" ref="DH33">_xlfn.XLOOKUP(CP33,Tableau19[Licence],'GESTION DES JOUEURS'!$O$11:$O$46,"",0,1)</f>
        <v/>
      </c>
      <c r="DI33" s="471" t="str">
        <f>IF('GESTION DES JOUEURS'!$X$8="Libre",_xlfn.XLOOKUP(DH33,Tableau13[Cat.],Tableau13[Libre],"",0,1),IF('GESTION DES JOUEURS'!$X$8="Bande",_xlfn.XLOOKUP(DH33,Tableau13[Cat.],Tableau13[bande],"",0,1),IF('GESTION DES JOUEURS'!$X$8="Cadre",_xlfn.XLOOKUP(DH33,Tableau13[Cat.],Tableau13[Cadre],"",0,1),IF('GESTION DES JOUEURS'!$X$8="3 Bandes",_xlfn.XLOOKUP(DH33,Tableau13[Cat.],Tableau13[3 Bandes],"",0,1),""))))</f>
        <v/>
      </c>
      <c r="DK33" s="443" t="str">
        <v>111337F</v>
      </c>
      <c r="DL33" s="443">
        <f>SUM(SUMIFS($N$9:$N$34,$F$9:$F$34,DK33,$A$9:$A$34,"P"),SUMIFS($P$9:$P$34,$V$9:$V$34,DK33,$A$9:$A$34,"P"),SUMIFS(Consolante!$P$9:$P$34,Consolante!$V$9:$V$34,DK33,Consolante!$A$9:$A$34,"P"),SUMIFS(Consolante!$N$9:$N$34,Consolante!$F$9:$F$34,DK33,Consolante!$A$9:$A$34,"P"))</f>
        <v>0</v>
      </c>
      <c r="DM33" s="443">
        <f>SUM(SUMIFS($O$9:$O$34,$F$9:$F$34,DK33,$A$9:$A$34,"P",$Y$9:$Y$34,FALSE),SUMIFS($O$9:$O$34,$F$9:$F$34,DK33,$A$9:$A$34,"P",$Y$9:$Y$34,TRUE)/_xlfn.XLOOKUP('GESTION DES JOUEURS'!$X$8&amp;RIGHT('GESTION DES JOUEURS'!$Y$8,1),Tableau14[Colonne1],Tableau14[coef. 2,80/3,10],"",0,1),SUMIFS($O$9:$O$34,$V$9:$V$34,DK33,$A$9:$A$34,"P",$Y$9:$Y$34,FALSE),SUMIFS($O$9:$O$34,$V$9:$V$34,DK33,$A$9:$A$34,"P",$Y$9:$Y$34,TRUE)/_xlfn.XLOOKUP('GESTION DES JOUEURS'!$X$8&amp;RIGHT('GESTION DES JOUEURS'!$Y$8,1),Tableau14[Colonne1],Tableau14[coef. 2,80/3,10],"",0,1),_xlfn.XLOOKUP(DK33,Consolante!$CP$7:$CP$22,Consolante!$CR$7:$CR$22,0,0,1))</f>
        <v>0</v>
      </c>
      <c r="DN33" s="447" t="str">
        <f t="shared" si="13"/>
        <v/>
      </c>
      <c r="DO33" s="443"/>
      <c r="DP33" s="443">
        <f>_xlfn.XLOOKUP(DK33,PA!$B$6:$B$11,PA!$P$6:$P$11,_xlfn.XLOOKUP(DK33,PB!$B$6:$B$11,PB!$P$6:$P$11,_xlfn.XLOOKUP(DK33,PC!$B$6:$B$11,PC!$P$6:$P$11,_xlfn.XLOOKUP(DK33,PD!$B$6:$B$11,PD!$P$6:$P$11,_xlfn.XLOOKUP(DK33,PE!$B$6:$B$11,PE!$P$6:$P$11,_xlfn.XLOOKUP(DK33,PF!$B$6:$B$11,PF!$P$6:$P$11,_xlfn.XLOOKUP(DK33,PG!$B$6:$B$11,PG!$P$6:$P$11,_xlfn.XLOOKUP(DK33,PH!$B$6:$B$11,PH!$P$6:$P$11,_xlfn.XLOOKUP(DK33,PI!$B$6:$B$11,PI!$P$6:$P$11,_xlfn.XLOOKUP(DK33,PJ!$B$6:$B$11,PJ!$P$6:$P$11,_xlfn.XLOOKUP(DK33,PK!$B$6:$B$11,PK!$P$6:$P$11,_xlfn.XLOOKUP(DK33,PL!$B$6:$B$11,PL!$P$6:$P$11,"",0,1),0,1),0,1),0,1),0,1),0,1),0,1),0,1),0,1),0,1),0,1),0,1)</f>
        <v>200</v>
      </c>
      <c r="DQ33" s="443">
        <f>_xlfn.XLOOKUP(DK33,PA!$B$6:$B$11,PA!$Q$6:$Q$11,_xlfn.XLOOKUP(DK33,PB!$B$6:$B$11,PB!$Q$6:$Q$11,_xlfn.XLOOKUP(DK33,PC!$B$6:$B$11,PC!$Q$6:$Q$11,_xlfn.XLOOKUP(DK33,PD!$B$6:$B$11,PD!$Q$6:$Q$11,_xlfn.XLOOKUP(DK33,PE!$B$6:$B$11,PE!$Q$6:$Q$11,_xlfn.XLOOKUP(DK33,PF!$B$6:$B$11,PF!$Q$6:$Q$11,_xlfn.XLOOKUP(DK33,PG!$B$6:$B$11,PG!$Q$6:$Q$11,_xlfn.XLOOKUP(DK33,PH!$B$6:$B$11,PH!$Q$6:$Q$11,_xlfn.XLOOKUP(DK33,PI!$B$6:$B$11,PI!$Q$6:$Q$11,_xlfn.XLOOKUP(DK33,PJ!$B$6:$B$11,PJ!$Q$6:$Q$11,_xlfn.XLOOKUP(DK33,PK!$B$6:$B$11,PK!$Q$6:$Q$11,_xlfn.XLOOKUP(DK33,PL!$B$6:$B$11,PL!$Q$6:$Q$11,"",0,1),0,1),0,1),0,1),0,1),0,1),0,1),0,1),0,1),0,1),0,1),0,1)</f>
        <v>66</v>
      </c>
      <c r="DR33" s="244">
        <f>IFERROR(('Phase finale'!DL33+'Phase finale'!DP33)/('Phase finale'!DM33+'Phase finale'!DQ33),"")</f>
        <v>3.0303030303030303</v>
      </c>
      <c r="DX33" s="514" t="str">
        <f>V15</f>
        <v/>
      </c>
      <c r="DY33" s="514" t="str">
        <f>X15</f>
        <v/>
      </c>
      <c r="DZ33" s="514" t="b">
        <f>R15</f>
        <v>0</v>
      </c>
      <c r="EA33" s="514">
        <f>P15</f>
        <v>0</v>
      </c>
      <c r="EB33" s="514" cm="1">
        <f t="array" ref="EB33">_xlfn.XLOOKUP(DX33,Tableau19[Licence],'GESTION DES JOUEURS'!$O$11:$O$46,0,0,1)</f>
        <v>0</v>
      </c>
      <c r="EC33" s="514">
        <f>IFERROR(IF('GESTION DES JOUEURS'!$X$8="3 Bandes",EA33/_xlfn.XLOOKUP(EB33,Tableau13[Cat.],Tableau13[3 Bandes],"",0,1),IF('GESTION DES JOUEURS'!$X$8="Bande",EA33/_xlfn.XLOOKUP(EB33,Tableau13[Cat.],Tableau13[bande],"",0,1),IF('GESTION DES JOUEURS'!$X$8="Cadre",EA33/_xlfn.XLOOKUP(EB33,Tableau13[Cat.],Tableau13[Cadre],"",0,1),IF('GESTION DES JOUEURS'!$X$8="Libre",EA33/_xlfn.XLOOKUP(EB33,Tableau13[Cat.],Tableau13[Libre],"",0,1),"")))),0)</f>
        <v>0</v>
      </c>
      <c r="ED33" s="514">
        <f>EC32</f>
        <v>0</v>
      </c>
      <c r="EE33" s="514">
        <f>Q15</f>
        <v>0</v>
      </c>
      <c r="EF33" s="514">
        <f>O15</f>
        <v>0</v>
      </c>
      <c r="EG33" s="514" t="e">
        <f t="shared" ref="EG33:EG39" si="33">EA33/EF33</f>
        <v>#DIV/0!</v>
      </c>
    </row>
    <row r="34" spans="1:137" ht="15" customHeight="1" thickBot="1" x14ac:dyDescent="0.3">
      <c r="A34" s="245" t="str">
        <f>IF(O34&lt;&gt;"","P","")</f>
        <v/>
      </c>
      <c r="B34" s="384" t="s">
        <v>9886</v>
      </c>
      <c r="C34" s="123" t="str">
        <f>IF('GESTION DES JOUEURS'!$D$8="Tournoi","A","")</f>
        <v/>
      </c>
      <c r="D34" s="434" t="str">
        <f>IF(A34="","",IF(N34="ab.",0,IF(P34="ab.",2,IF(AND('GESTION DES JOUEURS'!$D$8&lt;&gt;"Open",O34&gt;0,N34&gt;P34),2,IF(AND('GESTION DES JOUEURS'!$D$8&lt;&gt;"Open",O34&gt;0,N34&lt;P34),0,IF(AND('GESTION DES JOUEURS'!$D$8&lt;&gt;"Open",O34&gt;0,N34=P34),1,IF(AND('GESTION DES JOUEURS'!$D$8="Open",(N34/_xlfn.XLOOKUP(F34,$CP$7:$CP$42,$DI$7:$DI$42,"",0,1))&gt;(P34/_xlfn.XLOOKUP(V34,$CP$7:$CP$42,$DI$7:$DI$42,"",0,1))),2,IF(AND('GESTION DES JOUEURS'!$D$8="Open",(N34/_xlfn.XLOOKUP(F34,$CP$7:$CP$42,$DI$7:$DI$42,"",0,1))=(P34/_xlfn.XLOOKUP(V34,$CP$7:$CP$42,$DI$7:$DI$42,"",0,1))),1,IF(AND('GESTION DES JOUEURS'!$D$8="Open",(N34/_xlfn.XLOOKUP(F34,$CP$7:$CP$42,$DI$7:$DI$42,"",0,1))&lt;(P34/_xlfn.XLOOKUP(V34,$CP$7:$CP$42,$DI$7:$DI$42,"",0,1))),0,"")))))))))</f>
        <v/>
      </c>
      <c r="E34" s="431" t="str">
        <f>IFERROR(IF(AND(D34&gt;0,Y34=FALSE),N34/O34,IF(AND(D34&gt;0,Y34=TRUE),(N34/O34)*_xlfn.XLOOKUP('GESTION DES JOUEURS'!$X$8&amp;RIGHT('GESTION DES JOUEURS'!$Y$8,1),Tableau14[Colonne1],Tableau14[coef. 2,80/3,10],"",0,1),"")),"")</f>
        <v/>
      </c>
      <c r="F34" s="378" t="str">
        <f>IF(BT6&lt;7,"",IF(AND(COUNTIF($A$12:$A$15,"P")=4,C15&lt;&gt;""),$DX$13,IF(AND(MAX('GESTION DES JOUEURS'!$A$11:$A$46)&lt;10,F4="Tournoi"),$BV$13,"")))</f>
        <v/>
      </c>
      <c r="G34" s="738" t="str">
        <f>IFERROR(VLOOKUP(F34,'GESTION DES JOUEURS'!$B$11:$E$46,2,FALSE),"")</f>
        <v/>
      </c>
      <c r="H34" s="739"/>
      <c r="I34" s="740"/>
      <c r="J34" s="1141" t="str">
        <f>IFERROR(VLOOKUP(F34,'GESTION DES JOUEURS'!$B$11:$E$46,3,FALSE),"")</f>
        <v/>
      </c>
      <c r="K34" s="738"/>
      <c r="L34" s="400" t="b">
        <v>0</v>
      </c>
      <c r="M34" s="411"/>
      <c r="N34" s="413"/>
      <c r="O34" s="121"/>
      <c r="P34" s="413"/>
      <c r="Q34" s="411"/>
      <c r="R34" s="400" t="b">
        <v>0</v>
      </c>
      <c r="S34" s="757" t="str">
        <f>IFERROR(VLOOKUP(V34,'GESTION DES JOUEURS'!$B$11:$E$46,2,FALSE),"")</f>
        <v/>
      </c>
      <c r="T34" s="758"/>
      <c r="U34" s="355" t="str">
        <f>IFERROR(VLOOKUP(V34,'GESTION DES JOUEURS'!$B$11:$E$46,3,FALSE),"")</f>
        <v/>
      </c>
      <c r="V34" s="355" t="str">
        <f>IF(BT6&lt;8,"",IF(AND(COUNTIF($A$12:$A$15,"P")=4,C15&lt;&gt;""),$DX$14,IF(AND(MAX('GESTION DES JOUEURS'!A11:A46)&lt;10,F4="Tournoi"),$BV$14,"")))</f>
        <v/>
      </c>
      <c r="W34" s="437" t="str">
        <f>IFERROR(IF(AND(X34&gt;0,Y34=FALSE),P34/O34,IF(AND(X34&gt;0,Y34=TRUE),(P34/O34)*_xlfn.XLOOKUP('GESTION DES JOUEURS'!$X$8&amp;RIGHT('GESTION DES JOUEURS'!$Y$8,1),Tableau14[Colonne1],Tableau14[coef. 2,80/3,10],"",0,1),"")),"")</f>
        <v/>
      </c>
      <c r="X34" s="530" t="str">
        <f>IF(A34="","",IF(P34="ab.",0,IF(N34="ab.",2,IF(AND('GESTION DES JOUEURS'!$D$8&lt;&gt;"Open",O34&gt;0,P34&gt;N34),2,IF(AND('GESTION DES JOUEURS'!$D$8&lt;&gt;"Open",O34&gt;0,P34&lt;N34),0,IF(AND('GESTION DES JOUEURS'!$D$8&lt;&gt;"Open",O34&gt;0,P34=N34),1,IF(AND('GESTION DES JOUEURS'!$D$8="Open",(P34/_xlfn.XLOOKUP(V34,$CP$7:$CP$42,$DI$7:$DI$42,"",0,1))&gt;(N34/_xlfn.XLOOKUP(F34,$CP$7:$CP$42,$DI$7:$DI$42,"",0,1))),2,IF(AND('GESTION DES JOUEURS'!$D$8="Open",(P34/_xlfn.XLOOKUP(V34,$CP$7:$CP$42,$DI$7:$DI$42,"",0,1))=(N34/_xlfn.XLOOKUP(F34,$CP$7:$CP$42,$DI$7:$DI$42,"",0,1))),1,IF(AND('GESTION DES JOUEURS'!$D$8="Open",(P34/_xlfn.XLOOKUP(V34,$CP$7:$CP$42,$DI$7:$DI$42,"",0,1))&lt;(N34/_xlfn.XLOOKUP(F34,$CP$7:$CP$42,$DI$7:$DI$42,"",0,1))),0,"")))))))))</f>
        <v/>
      </c>
      <c r="Y34" s="548" t="b">
        <v>0</v>
      </c>
      <c r="AC34" s="244" t="b" cm="1">
        <f t="array" ref="AC34">IF(AND(_xlfn.XLOOKUP(F34,Tableau19[Licence],'GESTION DES JOUEURS'!$O$11:$O$46,"",0,1)&lt;&gt;"N1",_xlfn.XLOOKUP(V34,Tableau19[Licence],'GESTION DES JOUEURS'!$O$11:$O$46,"",0,1)&lt;&gt;"N1",'GESTION DES JOUEURS'!$X$8="Cadre"),TRUE,FALSE)</f>
        <v>0</v>
      </c>
      <c r="AE34" s="371">
        <v>4</v>
      </c>
      <c r="AF34" s="371" t="str">
        <f t="shared" si="27"/>
        <v/>
      </c>
      <c r="AG34" s="371" t="str">
        <f t="shared" si="28"/>
        <v/>
      </c>
      <c r="AH34" s="371" t="b">
        <f t="shared" si="29"/>
        <v>0</v>
      </c>
      <c r="AI34" s="371" t="e">
        <f t="shared" si="0"/>
        <v>#VALUE!</v>
      </c>
      <c r="AJ34" s="244" t="e">
        <f t="shared" si="1"/>
        <v>#VALUE!</v>
      </c>
      <c r="AK34" s="244">
        <f t="shared" si="30"/>
        <v>0</v>
      </c>
      <c r="AL34" s="573" t="str">
        <f t="shared" si="31"/>
        <v/>
      </c>
      <c r="AM34" s="244" t="e">
        <f t="shared" si="32"/>
        <v>#VALUE!</v>
      </c>
      <c r="BA34" s="244">
        <v>28</v>
      </c>
      <c r="BB34" s="443" t="str">
        <f>IF('GESTION DES JOUEURS'!B38="","",'GESTION DES JOUEURS'!B38)</f>
        <v/>
      </c>
      <c r="BC34" s="443" t="str" cm="1">
        <f t="array" ref="BC34:BS34">_xlfn.XLOOKUP('Phase finale'!BB34,PA!$B$37:$B$42,PA!$C$37:$S$42,_xlfn.XLOOKUP('Phase finale'!BB34,PB!$B$37:$B$42,PB!$C$37:$S$42,_xlfn.XLOOKUP('Phase finale'!BB34,PC!$B$37:$B$42,PC!$C$37:$S$42,_xlfn.XLOOKUP('Phase finale'!BB34,PD!$B$37:$B$42,PD!$C$37:$S$42,_xlfn.XLOOKUP('Phase finale'!BB34,PE!$B$37:$B$42,PE!$C$37:$S$42,_xlfn.XLOOKUP('Phase finale'!BB34,PF!$B$37:$B$42,PF!$C$37:$S$42,_xlfn.XLOOKUP('Phase finale'!BB34,PG!$B$37:$B$42,PG!$C$37:$S$42,_xlfn.XLOOKUP('Phase finale'!BB34,PH!$B$37:$B$42,PH!$C$37:$S$42,_xlfn.XLOOKUP('Phase finale'!BB34,PI!$B$37:$B$42,PI!$C$37:$S$42,_xlfn.XLOOKUP('Phase finale'!BB34,PJ!$B$37:$B$42,PJ!$C$37:$S$42,_xlfn.XLOOKUP('Phase finale'!BB34,PK!$B$37:$B$42,PK!$C$37:$S$42,_xlfn.XLOOKUP('Phase finale'!BB34,PL!$B$37:$B$42,PL!$C$37:$S$42,"",0,1),0,1),0,1),0,1),0,1),0,1),0,1),0,1),0,1),0,1),0,1),0,1)</f>
        <v/>
      </c>
      <c r="BD34" s="443">
        <v>0</v>
      </c>
      <c r="BE34" s="443" t="str">
        <v/>
      </c>
      <c r="BF34" s="443">
        <v>0</v>
      </c>
      <c r="BG34" s="443" t="str">
        <v/>
      </c>
      <c r="BH34" s="443">
        <v>0</v>
      </c>
      <c r="BI34" s="443">
        <v>0</v>
      </c>
      <c r="BJ34" s="443">
        <v>0</v>
      </c>
      <c r="BK34" s="443">
        <v>0</v>
      </c>
      <c r="BL34" s="443">
        <v>0</v>
      </c>
      <c r="BM34" s="443" t="str">
        <v/>
      </c>
      <c r="BN34" s="443" t="str">
        <v/>
      </c>
      <c r="BO34" s="443" t="str">
        <v/>
      </c>
      <c r="BP34" s="443" t="str">
        <v/>
      </c>
      <c r="BQ34" s="443" t="str">
        <v/>
      </c>
      <c r="BR34" s="443" t="str">
        <v/>
      </c>
      <c r="BS34" s="443" t="str">
        <v/>
      </c>
      <c r="BU34" s="244">
        <v>28</v>
      </c>
      <c r="BV34" s="244" t="str">
        <v>148333G</v>
      </c>
      <c r="BW34" s="244" t="str">
        <v>MA PHUOC</v>
      </c>
      <c r="BX34" s="244">
        <v>0</v>
      </c>
      <c r="BY34" s="244" t="str">
        <v>BICH</v>
      </c>
      <c r="BZ34" s="244">
        <v>0</v>
      </c>
      <c r="CA34" s="244" t="str">
        <v>ACADEMIE DE BILLARD DE MAISONS ALFORT</v>
      </c>
      <c r="CB34" s="244">
        <v>0</v>
      </c>
      <c r="CC34" s="244">
        <v>0</v>
      </c>
      <c r="CD34" s="244">
        <v>0</v>
      </c>
      <c r="CE34" s="244">
        <v>0</v>
      </c>
      <c r="CF34" s="244">
        <v>0</v>
      </c>
      <c r="CG34" s="244">
        <v>4</v>
      </c>
      <c r="CH34" s="244">
        <v>2.9411764705882355</v>
      </c>
      <c r="CI34" s="244">
        <v>3.4482758620689653</v>
      </c>
      <c r="CJ34" s="244">
        <v>19</v>
      </c>
      <c r="CK34" s="244">
        <v>1</v>
      </c>
      <c r="CL34" s="244">
        <v>8</v>
      </c>
      <c r="CM34" s="244">
        <v>1</v>
      </c>
      <c r="CO34" s="244">
        <f t="shared" si="12"/>
        <v>11</v>
      </c>
      <c r="CP34" s="244" t="str">
        <v/>
      </c>
      <c r="CQ34" s="244" t="str">
        <v/>
      </c>
      <c r="CR34" s="244">
        <v>0</v>
      </c>
      <c r="CS34" s="244" t="str">
        <v/>
      </c>
      <c r="CT34" s="244">
        <v>0</v>
      </c>
      <c r="CU34" s="244" t="str">
        <v/>
      </c>
      <c r="CV34" s="244">
        <v>0</v>
      </c>
      <c r="CW34" s="244">
        <v>0</v>
      </c>
      <c r="CX34" s="244">
        <v>0</v>
      </c>
      <c r="CY34" s="244">
        <v>0</v>
      </c>
      <c r="CZ34" s="244">
        <v>0</v>
      </c>
      <c r="DA34" s="244" t="str">
        <v/>
      </c>
      <c r="DB34" s="244" t="str">
        <v/>
      </c>
      <c r="DC34" s="244" t="str">
        <v/>
      </c>
      <c r="DD34" s="244" t="str">
        <v/>
      </c>
      <c r="DE34" s="244" t="str">
        <v/>
      </c>
      <c r="DF34" s="244" t="str">
        <v/>
      </c>
      <c r="DG34" s="244" t="str">
        <v/>
      </c>
      <c r="DH34" s="244" t="str" cm="1">
        <f t="array" ref="DH34">_xlfn.XLOOKUP(CP34,Tableau19[Licence],'GESTION DES JOUEURS'!$O$11:$O$46,"",0,1)</f>
        <v/>
      </c>
      <c r="DI34" s="471" t="str">
        <f>IF('GESTION DES JOUEURS'!$X$8="Libre",_xlfn.XLOOKUP(DH34,Tableau13[Cat.],Tableau13[Libre],"",0,1),IF('GESTION DES JOUEURS'!$X$8="Bande",_xlfn.XLOOKUP(DH34,Tableau13[Cat.],Tableau13[bande],"",0,1),IF('GESTION DES JOUEURS'!$X$8="Cadre",_xlfn.XLOOKUP(DH34,Tableau13[Cat.],Tableau13[Cadre],"",0,1),IF('GESTION DES JOUEURS'!$X$8="3 Bandes",_xlfn.XLOOKUP(DH34,Tableau13[Cat.],Tableau13[3 Bandes],"",0,1),""))))</f>
        <v/>
      </c>
      <c r="DK34" s="443" t="str">
        <v>148333G</v>
      </c>
      <c r="DL34" s="443">
        <f>SUM(SUMIFS($N$9:$N$34,$F$9:$F$34,DK34,$A$9:$A$34,"P"),SUMIFS($P$9:$P$34,$V$9:$V$34,DK34,$A$9:$A$34,"P"),SUMIFS(Consolante!$P$9:$P$34,Consolante!$V$9:$V$34,DK34,Consolante!$A$9:$A$34,"P"),SUMIFS(Consolante!$N$9:$N$34,Consolante!$F$9:$F$34,DK34,Consolante!$A$9:$A$34,"P"))</f>
        <v>0</v>
      </c>
      <c r="DM34" s="443">
        <f>SUM(SUMIFS($O$9:$O$34,$F$9:$F$34,DK34,$A$9:$A$34,"P",$Y$9:$Y$34,FALSE),SUMIFS($O$9:$O$34,$F$9:$F$34,DK34,$A$9:$A$34,"P",$Y$9:$Y$34,TRUE)/_xlfn.XLOOKUP('GESTION DES JOUEURS'!$X$8&amp;RIGHT('GESTION DES JOUEURS'!$Y$8,1),Tableau14[Colonne1],Tableau14[coef. 2,80/3,10],"",0,1),SUMIFS($O$9:$O$34,$V$9:$V$34,DK34,$A$9:$A$34,"P",$Y$9:$Y$34,FALSE),SUMIFS($O$9:$O$34,$V$9:$V$34,DK34,$A$9:$A$34,"P",$Y$9:$Y$34,TRUE)/_xlfn.XLOOKUP('GESTION DES JOUEURS'!$X$8&amp;RIGHT('GESTION DES JOUEURS'!$Y$8,1),Tableau14[Colonne1],Tableau14[coef. 2,80/3,10],"",0,1),_xlfn.XLOOKUP(DK34,Consolante!$CP$7:$CP$22,Consolante!$CR$7:$CR$22,0,0,1))</f>
        <v>0</v>
      </c>
      <c r="DN34" s="447" t="str">
        <f t="shared" si="13"/>
        <v/>
      </c>
      <c r="DO34" s="443"/>
      <c r="DP34" s="443">
        <f>_xlfn.XLOOKUP(DK34,PA!$B$6:$B$11,PA!$P$6:$P$11,_xlfn.XLOOKUP(DK34,PB!$B$6:$B$11,PB!$P$6:$P$11,_xlfn.XLOOKUP(DK34,PC!$B$6:$B$11,PC!$P$6:$P$11,_xlfn.XLOOKUP(DK34,PD!$B$6:$B$11,PD!$P$6:$P$11,_xlfn.XLOOKUP(DK34,PE!$B$6:$B$11,PE!$P$6:$P$11,_xlfn.XLOOKUP(DK34,PF!$B$6:$B$11,PF!$P$6:$P$11,_xlfn.XLOOKUP(DK34,PG!$B$6:$B$11,PG!$P$6:$P$11,_xlfn.XLOOKUP(DK34,PH!$B$6:$B$11,PH!$P$6:$P$11,_xlfn.XLOOKUP(DK34,PI!$B$6:$B$11,PI!$P$6:$P$11,_xlfn.XLOOKUP(DK34,PJ!$B$6:$B$11,PJ!$P$6:$P$11,_xlfn.XLOOKUP(DK34,PK!$B$6:$B$11,PK!$P$6:$P$11,_xlfn.XLOOKUP(DK34,PL!$B$6:$B$11,PL!$P$6:$P$11,"",0,1),0,1),0,1),0,1),0,1),0,1),0,1),0,1),0,1),0,1),0,1),0,1)</f>
        <v>200</v>
      </c>
      <c r="DQ34" s="443">
        <f>_xlfn.XLOOKUP(DK34,PA!$B$6:$B$11,PA!$Q$6:$Q$11,_xlfn.XLOOKUP(DK34,PB!$B$6:$B$11,PB!$Q$6:$Q$11,_xlfn.XLOOKUP(DK34,PC!$B$6:$B$11,PC!$Q$6:$Q$11,_xlfn.XLOOKUP(DK34,PD!$B$6:$B$11,PD!$Q$6:$Q$11,_xlfn.XLOOKUP(DK34,PE!$B$6:$B$11,PE!$Q$6:$Q$11,_xlfn.XLOOKUP(DK34,PF!$B$6:$B$11,PF!$Q$6:$Q$11,_xlfn.XLOOKUP(DK34,PG!$B$6:$B$11,PG!$Q$6:$Q$11,_xlfn.XLOOKUP(DK34,PH!$B$6:$B$11,PH!$Q$6:$Q$11,_xlfn.XLOOKUP(DK34,PI!$B$6:$B$11,PI!$Q$6:$Q$11,_xlfn.XLOOKUP(DK34,PJ!$B$6:$B$11,PJ!$Q$6:$Q$11,_xlfn.XLOOKUP(DK34,PK!$B$6:$B$11,PK!$Q$6:$Q$11,_xlfn.XLOOKUP(DK34,PL!$B$6:$B$11,PL!$Q$6:$Q$11,"",0,1),0,1),0,1),0,1),0,1),0,1),0,1),0,1),0,1),0,1),0,1),0,1)</f>
        <v>68</v>
      </c>
      <c r="DR34" s="244">
        <f>IFERROR(('Phase finale'!DL34+'Phase finale'!DP34)/('Phase finale'!DM34+'Phase finale'!DQ34),"")</f>
        <v>2.9411764705882355</v>
      </c>
      <c r="DX34" s="514" t="str">
        <f>F14</f>
        <v/>
      </c>
      <c r="DY34" s="514" t="str">
        <f>D14</f>
        <v/>
      </c>
      <c r="DZ34" s="514" t="b">
        <f>L14</f>
        <v>0</v>
      </c>
      <c r="EA34" s="514">
        <f>N14</f>
        <v>0</v>
      </c>
      <c r="EB34" s="514" cm="1">
        <f t="array" ref="EB34">_xlfn.XLOOKUP(DX34,Tableau19[Licence],'GESTION DES JOUEURS'!$O$11:$O$46,0,0,1)</f>
        <v>0</v>
      </c>
      <c r="EC34" s="514">
        <f>IFERROR(IF('GESTION DES JOUEURS'!$X$8="3 Bandes",EA34/_xlfn.XLOOKUP(EB34,Tableau13[Cat.],Tableau13[3 Bandes],"",0,1),IF('GESTION DES JOUEURS'!$X$8="Bande",EA34/_xlfn.XLOOKUP(EB34,Tableau13[Cat.],Tableau13[bande],"",0,1),IF('GESTION DES JOUEURS'!$X$8="Cadre",EA34/_xlfn.XLOOKUP(EB34,Tableau13[Cat.],Tableau13[Cadre],"",0,1),IF('GESTION DES JOUEURS'!$X$8="Libre",EA34/_xlfn.XLOOKUP(EB34,Tableau13[Cat.],Tableau13[Libre],"",0,1),"")))),0)</f>
        <v>0</v>
      </c>
      <c r="ED34" s="514">
        <f>EC35</f>
        <v>0</v>
      </c>
      <c r="EE34" s="514">
        <f>M14</f>
        <v>0</v>
      </c>
      <c r="EF34" s="514">
        <f>O14</f>
        <v>0</v>
      </c>
      <c r="EG34" s="514" t="e">
        <f t="shared" si="33"/>
        <v>#DIV/0!</v>
      </c>
    </row>
    <row r="35" spans="1:137" ht="18.95" customHeight="1" thickBot="1" x14ac:dyDescent="0.3">
      <c r="BA35" s="244">
        <v>29</v>
      </c>
      <c r="BB35" s="443" t="str">
        <f>IF('GESTION DES JOUEURS'!B39="","",'GESTION DES JOUEURS'!B39)</f>
        <v/>
      </c>
      <c r="BC35" s="443" t="str" cm="1">
        <f t="array" ref="BC35:BS35">_xlfn.XLOOKUP('Phase finale'!BB35,PA!$B$37:$B$42,PA!$C$37:$S$42,_xlfn.XLOOKUP('Phase finale'!BB35,PB!$B$37:$B$42,PB!$C$37:$S$42,_xlfn.XLOOKUP('Phase finale'!BB35,PC!$B$37:$B$42,PC!$C$37:$S$42,_xlfn.XLOOKUP('Phase finale'!BB35,PD!$B$37:$B$42,PD!$C$37:$S$42,_xlfn.XLOOKUP('Phase finale'!BB35,PE!$B$37:$B$42,PE!$C$37:$S$42,_xlfn.XLOOKUP('Phase finale'!BB35,PF!$B$37:$B$42,PF!$C$37:$S$42,_xlfn.XLOOKUP('Phase finale'!BB35,PG!$B$37:$B$42,PG!$C$37:$S$42,_xlfn.XLOOKUP('Phase finale'!BB35,PH!$B$37:$B$42,PH!$C$37:$S$42,_xlfn.XLOOKUP('Phase finale'!BB35,PI!$B$37:$B$42,PI!$C$37:$S$42,_xlfn.XLOOKUP('Phase finale'!BB35,PJ!$B$37:$B$42,PJ!$C$37:$S$42,_xlfn.XLOOKUP('Phase finale'!BB35,PK!$B$37:$B$42,PK!$C$37:$S$42,_xlfn.XLOOKUP('Phase finale'!BB35,PL!$B$37:$B$42,PL!$C$37:$S$42,"",0,1),0,1),0,1),0,1),0,1),0,1),0,1),0,1),0,1),0,1),0,1),0,1)</f>
        <v/>
      </c>
      <c r="BD35" s="443">
        <v>0</v>
      </c>
      <c r="BE35" s="443" t="str">
        <v/>
      </c>
      <c r="BF35" s="443">
        <v>0</v>
      </c>
      <c r="BG35" s="443" t="str">
        <v/>
      </c>
      <c r="BH35" s="443">
        <v>0</v>
      </c>
      <c r="BI35" s="443">
        <v>0</v>
      </c>
      <c r="BJ35" s="443">
        <v>0</v>
      </c>
      <c r="BK35" s="443">
        <v>0</v>
      </c>
      <c r="BL35" s="443">
        <v>0</v>
      </c>
      <c r="BM35" s="443" t="str">
        <v/>
      </c>
      <c r="BN35" s="443" t="str">
        <v/>
      </c>
      <c r="BO35" s="443" t="str">
        <v/>
      </c>
      <c r="BP35" s="443" t="str">
        <v/>
      </c>
      <c r="BQ35" s="443" t="str">
        <v/>
      </c>
      <c r="BR35" s="443" t="str">
        <v/>
      </c>
      <c r="BS35" s="443" t="str">
        <v/>
      </c>
      <c r="BU35" s="244">
        <v>29</v>
      </c>
      <c r="BV35" s="244" t="str">
        <v>154178K</v>
      </c>
      <c r="BW35" s="244" t="str">
        <v>PONCE</v>
      </c>
      <c r="BX35" s="244">
        <v>0</v>
      </c>
      <c r="BY35" s="244" t="str">
        <v>FREDERIC</v>
      </c>
      <c r="BZ35" s="244">
        <v>0</v>
      </c>
      <c r="CA35" s="244" t="str">
        <v>ACADEMIE DE BILLARD DE MAISONS ALFORT</v>
      </c>
      <c r="CB35" s="244">
        <v>0</v>
      </c>
      <c r="CC35" s="244">
        <v>0</v>
      </c>
      <c r="CD35" s="244">
        <v>0</v>
      </c>
      <c r="CE35" s="244">
        <v>0</v>
      </c>
      <c r="CF35" s="244">
        <v>0</v>
      </c>
      <c r="CG35" s="244">
        <v>4</v>
      </c>
      <c r="CH35" s="244">
        <v>2.7777777777777777</v>
      </c>
      <c r="CI35" s="244">
        <v>2.8571428571428572</v>
      </c>
      <c r="CJ35" s="244">
        <v>14</v>
      </c>
      <c r="CK35" s="244">
        <v>1</v>
      </c>
      <c r="CL35" s="244">
        <v>8</v>
      </c>
      <c r="CM35" s="244">
        <v>2</v>
      </c>
      <c r="CO35" s="244">
        <f t="shared" si="12"/>
        <v>11</v>
      </c>
      <c r="CP35" s="244" t="str">
        <v/>
      </c>
      <c r="CQ35" s="244" t="str">
        <v/>
      </c>
      <c r="CR35" s="244">
        <v>0</v>
      </c>
      <c r="CS35" s="244" t="str">
        <v/>
      </c>
      <c r="CT35" s="244">
        <v>0</v>
      </c>
      <c r="CU35" s="244" t="str">
        <v/>
      </c>
      <c r="CV35" s="244">
        <v>0</v>
      </c>
      <c r="CW35" s="244">
        <v>0</v>
      </c>
      <c r="CX35" s="244">
        <v>0</v>
      </c>
      <c r="CY35" s="244">
        <v>0</v>
      </c>
      <c r="CZ35" s="244">
        <v>0</v>
      </c>
      <c r="DA35" s="244" t="str">
        <v/>
      </c>
      <c r="DB35" s="244" t="str">
        <v/>
      </c>
      <c r="DC35" s="244" t="str">
        <v/>
      </c>
      <c r="DD35" s="244" t="str">
        <v/>
      </c>
      <c r="DE35" s="244" t="str">
        <v/>
      </c>
      <c r="DF35" s="244" t="str">
        <v/>
      </c>
      <c r="DG35" s="244" t="str">
        <v/>
      </c>
      <c r="DH35" s="244" t="str" cm="1">
        <f t="array" ref="DH35">_xlfn.XLOOKUP(CP35,Tableau19[Licence],'GESTION DES JOUEURS'!$O$11:$O$46,"",0,1)</f>
        <v/>
      </c>
      <c r="DI35" s="471" t="str">
        <f>IF('GESTION DES JOUEURS'!$X$8="Libre",_xlfn.XLOOKUP(DH35,Tableau13[Cat.],Tableau13[Libre],"",0,1),IF('GESTION DES JOUEURS'!$X$8="Bande",_xlfn.XLOOKUP(DH35,Tableau13[Cat.],Tableau13[bande],"",0,1),IF('GESTION DES JOUEURS'!$X$8="Cadre",_xlfn.XLOOKUP(DH35,Tableau13[Cat.],Tableau13[Cadre],"",0,1),IF('GESTION DES JOUEURS'!$X$8="3 Bandes",_xlfn.XLOOKUP(DH35,Tableau13[Cat.],Tableau13[3 Bandes],"",0,1),""))))</f>
        <v/>
      </c>
      <c r="DK35" s="443" t="str">
        <v>154178K</v>
      </c>
      <c r="DL35" s="443">
        <f>SUM(SUMIFS($N$9:$N$34,$F$9:$F$34,DK35,$A$9:$A$34,"P"),SUMIFS($P$9:$P$34,$V$9:$V$34,DK35,$A$9:$A$34,"P"),SUMIFS(Consolante!$P$9:$P$34,Consolante!$V$9:$V$34,DK35,Consolante!$A$9:$A$34,"P"),SUMIFS(Consolante!$N$9:$N$34,Consolante!$F$9:$F$34,DK35,Consolante!$A$9:$A$34,"P"))</f>
        <v>0</v>
      </c>
      <c r="DM35" s="443">
        <f>SUM(SUMIFS($O$9:$O$34,$F$9:$F$34,DK35,$A$9:$A$34,"P",$Y$9:$Y$34,FALSE),SUMIFS($O$9:$O$34,$F$9:$F$34,DK35,$A$9:$A$34,"P",$Y$9:$Y$34,TRUE)/_xlfn.XLOOKUP('GESTION DES JOUEURS'!$X$8&amp;RIGHT('GESTION DES JOUEURS'!$Y$8,1),Tableau14[Colonne1],Tableau14[coef. 2,80/3,10],"",0,1),SUMIFS($O$9:$O$34,$V$9:$V$34,DK35,$A$9:$A$34,"P",$Y$9:$Y$34,FALSE),SUMIFS($O$9:$O$34,$V$9:$V$34,DK35,$A$9:$A$34,"P",$Y$9:$Y$34,TRUE)/_xlfn.XLOOKUP('GESTION DES JOUEURS'!$X$8&amp;RIGHT('GESTION DES JOUEURS'!$Y$8,1),Tableau14[Colonne1],Tableau14[coef. 2,80/3,10],"",0,1),_xlfn.XLOOKUP(DK35,Consolante!$CP$7:$CP$22,Consolante!$CR$7:$CR$22,0,0,1))</f>
        <v>0</v>
      </c>
      <c r="DN35" s="447" t="str">
        <f t="shared" si="13"/>
        <v/>
      </c>
      <c r="DO35" s="443"/>
      <c r="DP35" s="443">
        <f>_xlfn.XLOOKUP(DK35,PA!$B$6:$B$11,PA!$P$6:$P$11,_xlfn.XLOOKUP(DK35,PB!$B$6:$B$11,PB!$P$6:$P$11,_xlfn.XLOOKUP(DK35,PC!$B$6:$B$11,PC!$P$6:$P$11,_xlfn.XLOOKUP(DK35,PD!$B$6:$B$11,PD!$P$6:$P$11,_xlfn.XLOOKUP(DK35,PE!$B$6:$B$11,PE!$P$6:$P$11,_xlfn.XLOOKUP(DK35,PF!$B$6:$B$11,PF!$P$6:$P$11,_xlfn.XLOOKUP(DK35,PG!$B$6:$B$11,PG!$P$6:$P$11,_xlfn.XLOOKUP(DK35,PH!$B$6:$B$11,PH!$P$6:$P$11,_xlfn.XLOOKUP(DK35,PI!$B$6:$B$11,PI!$P$6:$P$11,_xlfn.XLOOKUP(DK35,PJ!$B$6:$B$11,PJ!$P$6:$P$11,_xlfn.XLOOKUP(DK35,PK!$B$6:$B$11,PK!$P$6:$P$11,_xlfn.XLOOKUP(DK35,PL!$B$6:$B$11,PL!$P$6:$P$11,"",0,1),0,1),0,1),0,1),0,1),0,1),0,1),0,1),0,1),0,1),0,1),0,1)</f>
        <v>200</v>
      </c>
      <c r="DQ35" s="443">
        <f>_xlfn.XLOOKUP(DK35,PA!$B$6:$B$11,PA!$Q$6:$Q$11,_xlfn.XLOOKUP(DK35,PB!$B$6:$B$11,PB!$Q$6:$Q$11,_xlfn.XLOOKUP(DK35,PC!$B$6:$B$11,PC!$Q$6:$Q$11,_xlfn.XLOOKUP(DK35,PD!$B$6:$B$11,PD!$Q$6:$Q$11,_xlfn.XLOOKUP(DK35,PE!$B$6:$B$11,PE!$Q$6:$Q$11,_xlfn.XLOOKUP(DK35,PF!$B$6:$B$11,PF!$Q$6:$Q$11,_xlfn.XLOOKUP(DK35,PG!$B$6:$B$11,PG!$Q$6:$Q$11,_xlfn.XLOOKUP(DK35,PH!$B$6:$B$11,PH!$Q$6:$Q$11,_xlfn.XLOOKUP(DK35,PI!$B$6:$B$11,PI!$Q$6:$Q$11,_xlfn.XLOOKUP(DK35,PJ!$B$6:$B$11,PJ!$Q$6:$Q$11,_xlfn.XLOOKUP(DK35,PK!$B$6:$B$11,PK!$Q$6:$Q$11,_xlfn.XLOOKUP(DK35,PL!$B$6:$B$11,PL!$Q$6:$Q$11,"",0,1),0,1),0,1),0,1),0,1),0,1),0,1),0,1),0,1),0,1),0,1),0,1)</f>
        <v>72</v>
      </c>
      <c r="DR35" s="244">
        <f>IFERROR(('Phase finale'!DL35+'Phase finale'!DP35)/('Phase finale'!DM35+'Phase finale'!DQ35),"")</f>
        <v>2.7777777777777777</v>
      </c>
      <c r="DX35" s="514" t="str">
        <f>V14</f>
        <v/>
      </c>
      <c r="DY35" s="514" t="str">
        <f>X14</f>
        <v/>
      </c>
      <c r="DZ35" s="514" t="b">
        <f>R14</f>
        <v>0</v>
      </c>
      <c r="EA35" s="514">
        <f>P13</f>
        <v>0</v>
      </c>
      <c r="EB35" s="514" cm="1">
        <f t="array" ref="EB35">_xlfn.XLOOKUP(DX35,Tableau19[Licence],'GESTION DES JOUEURS'!$O$11:$O$46,0,0,1)</f>
        <v>0</v>
      </c>
      <c r="EC35" s="514">
        <f>IFERROR(IF('GESTION DES JOUEURS'!$X$8="3 Bandes",EA35/_xlfn.XLOOKUP(EB35,Tableau13[Cat.],Tableau13[3 Bandes],"",0,1),IF('GESTION DES JOUEURS'!$X$8="Bande",EA35/_xlfn.XLOOKUP(EB35,Tableau13[Cat.],Tableau13[bande],"",0,1),IF('GESTION DES JOUEURS'!$X$8="Cadre",EA35/_xlfn.XLOOKUP(EB35,Tableau13[Cat.],Tableau13[Cadre],"",0,1),IF('GESTION DES JOUEURS'!$X$8="Libre",EA35/_xlfn.XLOOKUP(EB35,Tableau13[Cat.],Tableau13[Libre],"",0,1),"")))),0)</f>
        <v>0</v>
      </c>
      <c r="ED35" s="514">
        <f>EC34</f>
        <v>0</v>
      </c>
      <c r="EE35" s="514">
        <f>Q14</f>
        <v>0</v>
      </c>
      <c r="EF35" s="514">
        <f>O14</f>
        <v>0</v>
      </c>
      <c r="EG35" s="514" t="e">
        <f t="shared" si="33"/>
        <v>#DIV/0!</v>
      </c>
    </row>
    <row r="36" spans="1:137" ht="30" customHeight="1" thickBot="1" x14ac:dyDescent="0.3">
      <c r="B36" s="1069" t="str">
        <f>IF('GESTION DES JOUEURS'!$D$8="Open", "CLASSEMENT OPEN PRINCIPALE","CLASSEMENT PHASE FINALE")</f>
        <v>CLASSEMENT PHASE FINALE</v>
      </c>
      <c r="C36" s="1070"/>
      <c r="D36" s="1070"/>
      <c r="E36" s="1070"/>
      <c r="F36" s="1070"/>
      <c r="G36" s="1070"/>
      <c r="H36" s="1070"/>
      <c r="I36" s="1070"/>
      <c r="J36" s="1070"/>
      <c r="K36" s="1070"/>
      <c r="L36" s="1070"/>
      <c r="M36" s="1070"/>
      <c r="N36" s="1070"/>
      <c r="O36" s="1070"/>
      <c r="P36" s="1070"/>
      <c r="Q36" s="1070"/>
      <c r="R36" s="1070"/>
      <c r="S36" s="1070"/>
      <c r="T36" s="1071"/>
      <c r="V36" s="813" t="s">
        <v>8105</v>
      </c>
      <c r="W36" s="1074"/>
      <c r="X36" s="815" t="s">
        <v>63</v>
      </c>
      <c r="Y36" s="816"/>
      <c r="AA36" s="718" t="s">
        <v>8130</v>
      </c>
      <c r="AF36" s="371" t="str" cm="1">
        <f t="array" ref="AF36:AF51">_xlfn.SORTBY('Phase finale'!$AO$5:$AO$20,'Phase finale'!AP5:AP20,1,'Phase finale'!AQ5:AQ20,-1,'Phase finale'!AV5:AV20,-1,'Phase finale'!AW5:AW20,-1,'Phase finale'!AU5:AU20,-1,'Phase finale'!AX5:AX20,-1)</f>
        <v/>
      </c>
      <c r="BA36" s="244">
        <v>30</v>
      </c>
      <c r="BB36" s="443" t="str">
        <f>IF('GESTION DES JOUEURS'!B40="","",'GESTION DES JOUEURS'!B40)</f>
        <v/>
      </c>
      <c r="BC36" s="443" t="str" cm="1">
        <f t="array" ref="BC36:BS36">_xlfn.XLOOKUP('Phase finale'!BB36,PA!$B$37:$B$42,PA!$C$37:$S$42,_xlfn.XLOOKUP('Phase finale'!BB36,PB!$B$37:$B$42,PB!$C$37:$S$42,_xlfn.XLOOKUP('Phase finale'!BB36,PC!$B$37:$B$42,PC!$C$37:$S$42,_xlfn.XLOOKUP('Phase finale'!BB36,PD!$B$37:$B$42,PD!$C$37:$S$42,_xlfn.XLOOKUP('Phase finale'!BB36,PE!$B$37:$B$42,PE!$C$37:$S$42,_xlfn.XLOOKUP('Phase finale'!BB36,PF!$B$37:$B$42,PF!$C$37:$S$42,_xlfn.XLOOKUP('Phase finale'!BB36,PG!$B$37:$B$42,PG!$C$37:$S$42,_xlfn.XLOOKUP('Phase finale'!BB36,PH!$B$37:$B$42,PH!$C$37:$S$42,_xlfn.XLOOKUP('Phase finale'!BB36,PI!$B$37:$B$42,PI!$C$37:$S$42,_xlfn.XLOOKUP('Phase finale'!BB36,PJ!$B$37:$B$42,PJ!$C$37:$S$42,_xlfn.XLOOKUP('Phase finale'!BB36,PK!$B$37:$B$42,PK!$C$37:$S$42,_xlfn.XLOOKUP('Phase finale'!BB36,PL!$B$37:$B$42,PL!$C$37:$S$42,"",0,1),0,1),0,1),0,1),0,1),0,1),0,1),0,1),0,1),0,1),0,1),0,1)</f>
        <v/>
      </c>
      <c r="BD36" s="443">
        <v>0</v>
      </c>
      <c r="BE36" s="443" t="str">
        <v/>
      </c>
      <c r="BF36" s="443">
        <v>0</v>
      </c>
      <c r="BG36" s="443" t="str">
        <v/>
      </c>
      <c r="BH36" s="443">
        <v>0</v>
      </c>
      <c r="BI36" s="443">
        <v>0</v>
      </c>
      <c r="BJ36" s="443">
        <v>0</v>
      </c>
      <c r="BK36" s="443">
        <v>0</v>
      </c>
      <c r="BL36" s="443">
        <v>0</v>
      </c>
      <c r="BM36" s="443" t="str">
        <v/>
      </c>
      <c r="BN36" s="443" t="str">
        <v/>
      </c>
      <c r="BO36" s="443" t="str">
        <v/>
      </c>
      <c r="BP36" s="443" t="str">
        <v/>
      </c>
      <c r="BQ36" s="443" t="str">
        <v/>
      </c>
      <c r="BR36" s="443" t="str">
        <v/>
      </c>
      <c r="BS36" s="443" t="str">
        <v/>
      </c>
      <c r="BU36" s="244">
        <v>30</v>
      </c>
      <c r="BV36" s="244" t="str">
        <v>183133H</v>
      </c>
      <c r="BW36" s="244" t="str">
        <v>ROCHE</v>
      </c>
      <c r="BX36" s="244">
        <v>0</v>
      </c>
      <c r="BY36" s="244" t="str">
        <v>PATRICK</v>
      </c>
      <c r="BZ36" s="244">
        <v>0</v>
      </c>
      <c r="CA36" s="244" t="str">
        <v>BILLARD CLUB DE LIVRY GARGAN</v>
      </c>
      <c r="CB36" s="244">
        <v>0</v>
      </c>
      <c r="CC36" s="244">
        <v>0</v>
      </c>
      <c r="CD36" s="244">
        <v>0</v>
      </c>
      <c r="CE36" s="244">
        <v>0</v>
      </c>
      <c r="CF36" s="244">
        <v>0</v>
      </c>
      <c r="CG36" s="244">
        <v>2</v>
      </c>
      <c r="CH36" s="244">
        <v>2.3194444444444446</v>
      </c>
      <c r="CI36" s="244">
        <v>3.0303030303030303</v>
      </c>
      <c r="CJ36" s="244">
        <v>18</v>
      </c>
      <c r="CK36" s="244">
        <v>2</v>
      </c>
      <c r="CL36" s="244">
        <v>5</v>
      </c>
      <c r="CM36" s="244">
        <v>1</v>
      </c>
      <c r="CO36" s="244">
        <f t="shared" si="12"/>
        <v>11</v>
      </c>
      <c r="CP36" s="244" t="str">
        <v/>
      </c>
      <c r="CQ36" s="244" t="str">
        <v/>
      </c>
      <c r="CR36" s="244">
        <v>0</v>
      </c>
      <c r="CS36" s="244" t="str">
        <v/>
      </c>
      <c r="CT36" s="244">
        <v>0</v>
      </c>
      <c r="CU36" s="244" t="str">
        <v/>
      </c>
      <c r="CV36" s="244">
        <v>0</v>
      </c>
      <c r="CW36" s="244">
        <v>0</v>
      </c>
      <c r="CX36" s="244">
        <v>0</v>
      </c>
      <c r="CY36" s="244">
        <v>0</v>
      </c>
      <c r="CZ36" s="244">
        <v>0</v>
      </c>
      <c r="DA36" s="244" t="str">
        <v/>
      </c>
      <c r="DB36" s="244" t="str">
        <v/>
      </c>
      <c r="DC36" s="244" t="str">
        <v/>
      </c>
      <c r="DD36" s="244" t="str">
        <v/>
      </c>
      <c r="DE36" s="244" t="str">
        <v/>
      </c>
      <c r="DF36" s="244" t="str">
        <v/>
      </c>
      <c r="DG36" s="244" t="str">
        <v/>
      </c>
      <c r="DH36" s="244" t="str" cm="1">
        <f t="array" ref="DH36">_xlfn.XLOOKUP(CP36,Tableau19[Licence],'GESTION DES JOUEURS'!$O$11:$O$46,"",0,1)</f>
        <v/>
      </c>
      <c r="DI36" s="471" t="str">
        <f>IF('GESTION DES JOUEURS'!$X$8="Libre",_xlfn.XLOOKUP(DH36,Tableau13[Cat.],Tableau13[Libre],"",0,1),IF('GESTION DES JOUEURS'!$X$8="Bande",_xlfn.XLOOKUP(DH36,Tableau13[Cat.],Tableau13[bande],"",0,1),IF('GESTION DES JOUEURS'!$X$8="Cadre",_xlfn.XLOOKUP(DH36,Tableau13[Cat.],Tableau13[Cadre],"",0,1),IF('GESTION DES JOUEURS'!$X$8="3 Bandes",_xlfn.XLOOKUP(DH36,Tableau13[Cat.],Tableau13[3 Bandes],"",0,1),""))))</f>
        <v/>
      </c>
      <c r="DK36" s="443" t="str">
        <v>183133H</v>
      </c>
      <c r="DL36" s="443">
        <f>SUM(SUMIFS($N$9:$N$34,$F$9:$F$34,DK36,$A$9:$A$34,"P"),SUMIFS($P$9:$P$34,$V$9:$V$34,DK36,$A$9:$A$34,"P"),SUMIFS(Consolante!$P$9:$P$34,Consolante!$V$9:$V$34,DK36,Consolante!$A$9:$A$34,"P"),SUMIFS(Consolante!$N$9:$N$34,Consolante!$F$9:$F$34,DK36,Consolante!$A$9:$A$34,"P"))</f>
        <v>0</v>
      </c>
      <c r="DM36" s="443">
        <f>SUM(SUMIFS($O$9:$O$34,$F$9:$F$34,DK36,$A$9:$A$34,"P",$Y$9:$Y$34,FALSE),SUMIFS($O$9:$O$34,$F$9:$F$34,DK36,$A$9:$A$34,"P",$Y$9:$Y$34,TRUE)/_xlfn.XLOOKUP('GESTION DES JOUEURS'!$X$8&amp;RIGHT('GESTION DES JOUEURS'!$Y$8,1),Tableau14[Colonne1],Tableau14[coef. 2,80/3,10],"",0,1),SUMIFS($O$9:$O$34,$V$9:$V$34,DK36,$A$9:$A$34,"P",$Y$9:$Y$34,FALSE),SUMIFS($O$9:$O$34,$V$9:$V$34,DK36,$A$9:$A$34,"P",$Y$9:$Y$34,TRUE)/_xlfn.XLOOKUP('GESTION DES JOUEURS'!$X$8&amp;RIGHT('GESTION DES JOUEURS'!$Y$8,1),Tableau14[Colonne1],Tableau14[coef. 2,80/3,10],"",0,1),_xlfn.XLOOKUP(DK36,Consolante!$CP$7:$CP$22,Consolante!$CR$7:$CR$22,0,0,1))</f>
        <v>0</v>
      </c>
      <c r="DN36" s="447" t="str">
        <f t="shared" si="13"/>
        <v/>
      </c>
      <c r="DO36" s="443"/>
      <c r="DP36" s="443">
        <f>_xlfn.XLOOKUP(DK36,PA!$B$6:$B$11,PA!$P$6:$P$11,_xlfn.XLOOKUP(DK36,PB!$B$6:$B$11,PB!$P$6:$P$11,_xlfn.XLOOKUP(DK36,PC!$B$6:$B$11,PC!$P$6:$P$11,_xlfn.XLOOKUP(DK36,PD!$B$6:$B$11,PD!$P$6:$P$11,_xlfn.XLOOKUP(DK36,PE!$B$6:$B$11,PE!$P$6:$P$11,_xlfn.XLOOKUP(DK36,PF!$B$6:$B$11,PF!$P$6:$P$11,_xlfn.XLOOKUP(DK36,PG!$B$6:$B$11,PG!$P$6:$P$11,_xlfn.XLOOKUP(DK36,PH!$B$6:$B$11,PH!$P$6:$P$11,_xlfn.XLOOKUP(DK36,PI!$B$6:$B$11,PI!$P$6:$P$11,_xlfn.XLOOKUP(DK36,PJ!$B$6:$B$11,PJ!$P$6:$P$11,_xlfn.XLOOKUP(DK36,PK!$B$6:$B$11,PK!$P$6:$P$11,_xlfn.XLOOKUP(DK36,PL!$B$6:$B$11,PL!$P$6:$P$11,"",0,1),0,1),0,1),0,1),0,1),0,1),0,1),0,1),0,1),0,1),0,1),0,1)</f>
        <v>167</v>
      </c>
      <c r="DQ36" s="443">
        <f>_xlfn.XLOOKUP(DK36,PA!$B$6:$B$11,PA!$Q$6:$Q$11,_xlfn.XLOOKUP(DK36,PB!$B$6:$B$11,PB!$Q$6:$Q$11,_xlfn.XLOOKUP(DK36,PC!$B$6:$B$11,PC!$Q$6:$Q$11,_xlfn.XLOOKUP(DK36,PD!$B$6:$B$11,PD!$Q$6:$Q$11,_xlfn.XLOOKUP(DK36,PE!$B$6:$B$11,PE!$Q$6:$Q$11,_xlfn.XLOOKUP(DK36,PF!$B$6:$B$11,PF!$Q$6:$Q$11,_xlfn.XLOOKUP(DK36,PG!$B$6:$B$11,PG!$Q$6:$Q$11,_xlfn.XLOOKUP(DK36,PH!$B$6:$B$11,PH!$Q$6:$Q$11,_xlfn.XLOOKUP(DK36,PI!$B$6:$B$11,PI!$Q$6:$Q$11,_xlfn.XLOOKUP(DK36,PJ!$B$6:$B$11,PJ!$Q$6:$Q$11,_xlfn.XLOOKUP(DK36,PK!$B$6:$B$11,PK!$Q$6:$Q$11,_xlfn.XLOOKUP(DK36,PL!$B$6:$B$11,PL!$Q$6:$Q$11,"",0,1),0,1),0,1),0,1),0,1),0,1),0,1),0,1),0,1),0,1),0,1),0,1)</f>
        <v>72</v>
      </c>
      <c r="DR36" s="244">
        <f>IFERROR(('Phase finale'!DL36+'Phase finale'!DP36)/('Phase finale'!DM36+'Phase finale'!DQ36),"")</f>
        <v>2.3194444444444446</v>
      </c>
      <c r="DX36" s="514" t="str">
        <f>F13</f>
        <v/>
      </c>
      <c r="DY36" s="514" t="str">
        <f>D13</f>
        <v/>
      </c>
      <c r="DZ36" s="514" t="b">
        <f>L13</f>
        <v>0</v>
      </c>
      <c r="EA36" s="514">
        <f>N13</f>
        <v>0</v>
      </c>
      <c r="EB36" s="514" cm="1">
        <f t="array" ref="EB36">_xlfn.XLOOKUP(DX36,Tableau19[Licence],'GESTION DES JOUEURS'!$O$11:$O$46,0,0,1)</f>
        <v>0</v>
      </c>
      <c r="EC36" s="514">
        <f>IFERROR(IF('GESTION DES JOUEURS'!$X$8="3 Bandes",EA36/_xlfn.XLOOKUP(EB36,Tableau13[Cat.],Tableau13[3 Bandes],"",0,1),IF('GESTION DES JOUEURS'!$X$8="Bande",EA36/_xlfn.XLOOKUP(EB36,Tableau13[Cat.],Tableau13[bande],"",0,1),IF('GESTION DES JOUEURS'!$X$8="Cadre",EA36/_xlfn.XLOOKUP(EB36,Tableau13[Cat.],Tableau13[Cadre],"",0,1),IF('GESTION DES JOUEURS'!$X$8="Libre",EA36/_xlfn.XLOOKUP(EB36,Tableau13[Cat.],Tableau13[Libre],"",0,1),"")))),0)</f>
        <v>0</v>
      </c>
      <c r="ED36" s="514">
        <f>EC37</f>
        <v>0</v>
      </c>
      <c r="EE36" s="514">
        <f>M13</f>
        <v>0</v>
      </c>
      <c r="EF36" s="514">
        <f>O13</f>
        <v>0</v>
      </c>
      <c r="EG36" s="514" t="e">
        <f t="shared" si="33"/>
        <v>#DIV/0!</v>
      </c>
    </row>
    <row r="37" spans="1:137" ht="14.45" customHeight="1" thickBot="1" x14ac:dyDescent="0.3">
      <c r="B37" s="444"/>
      <c r="C37" s="35" t="s">
        <v>27</v>
      </c>
      <c r="D37" s="1081" t="s">
        <v>28</v>
      </c>
      <c r="E37" s="1081"/>
      <c r="F37" s="1081" t="s">
        <v>29</v>
      </c>
      <c r="G37" s="1081"/>
      <c r="H37" s="1081"/>
      <c r="I37" s="761" t="s">
        <v>30</v>
      </c>
      <c r="J37" s="1142"/>
      <c r="K37" s="1142"/>
      <c r="L37" s="1142"/>
      <c r="M37" s="762"/>
      <c r="N37" s="404" t="s">
        <v>14</v>
      </c>
      <c r="O37" s="35" t="s">
        <v>20</v>
      </c>
      <c r="P37" s="35" t="s">
        <v>19</v>
      </c>
      <c r="Q37" s="100" t="s">
        <v>17</v>
      </c>
      <c r="R37" s="408" t="s">
        <v>5451</v>
      </c>
      <c r="S37" s="404" t="str">
        <f>IF('GESTION DES JOUEURS'!$D$8="Open","","Pts Rk")</f>
        <v>Pts Rk</v>
      </c>
      <c r="T37" s="243" t="str">
        <f>IF('GESTION DES JOUEURS'!$D$8="Open","","Pts Bonus")</f>
        <v>Pts Bonus</v>
      </c>
      <c r="Z37" s="521"/>
      <c r="AA37" s="719"/>
      <c r="AF37" s="371" t="str">
        <v/>
      </c>
      <c r="BA37" s="244">
        <v>31</v>
      </c>
      <c r="BB37" s="443" t="str">
        <f>IF('GESTION DES JOUEURS'!B41="","",'GESTION DES JOUEURS'!B41)</f>
        <v/>
      </c>
      <c r="BC37" s="443" t="str" cm="1">
        <f t="array" ref="BC37:BS37">_xlfn.XLOOKUP('Phase finale'!BB37,PA!$B$37:$B$42,PA!$C$37:$S$42,_xlfn.XLOOKUP('Phase finale'!BB37,PB!$B$37:$B$42,PB!$C$37:$S$42,_xlfn.XLOOKUP('Phase finale'!BB37,PC!$B$37:$B$42,PC!$C$37:$S$42,_xlfn.XLOOKUP('Phase finale'!BB37,PD!$B$37:$B$42,PD!$C$37:$S$42,_xlfn.XLOOKUP('Phase finale'!BB37,PE!$B$37:$B$42,PE!$C$37:$S$42,_xlfn.XLOOKUP('Phase finale'!BB37,PF!$B$37:$B$42,PF!$C$37:$S$42,_xlfn.XLOOKUP('Phase finale'!BB37,PG!$B$37:$B$42,PG!$C$37:$S$42,_xlfn.XLOOKUP('Phase finale'!BB37,PH!$B$37:$B$42,PH!$C$37:$S$42,_xlfn.XLOOKUP('Phase finale'!BB37,PI!$B$37:$B$42,PI!$C$37:$S$42,_xlfn.XLOOKUP('Phase finale'!BB37,PJ!$B$37:$B$42,PJ!$C$37:$S$42,_xlfn.XLOOKUP('Phase finale'!BB37,PK!$B$37:$B$42,PK!$C$37:$S$42,_xlfn.XLOOKUP('Phase finale'!BB37,PL!$B$37:$B$42,PL!$C$37:$S$42,"",0,1),0,1),0,1),0,1),0,1),0,1),0,1),0,1),0,1),0,1),0,1),0,1)</f>
        <v/>
      </c>
      <c r="BD37" s="443">
        <v>0</v>
      </c>
      <c r="BE37" s="443" t="str">
        <v/>
      </c>
      <c r="BF37" s="443">
        <v>0</v>
      </c>
      <c r="BG37" s="443" t="str">
        <v/>
      </c>
      <c r="BH37" s="443">
        <v>0</v>
      </c>
      <c r="BI37" s="443">
        <v>0</v>
      </c>
      <c r="BJ37" s="443">
        <v>0</v>
      </c>
      <c r="BK37" s="443">
        <v>0</v>
      </c>
      <c r="BL37" s="443">
        <v>0</v>
      </c>
      <c r="BM37" s="443" t="str">
        <v/>
      </c>
      <c r="BN37" s="443" t="str">
        <v/>
      </c>
      <c r="BO37" s="443" t="str">
        <v/>
      </c>
      <c r="BP37" s="443" t="str">
        <v/>
      </c>
      <c r="BQ37" s="443" t="str">
        <v/>
      </c>
      <c r="BR37" s="443" t="str">
        <v/>
      </c>
      <c r="BS37" s="443" t="str">
        <v/>
      </c>
      <c r="BU37" s="244">
        <v>31</v>
      </c>
      <c r="BV37" s="244" t="str">
        <v>157535J</v>
      </c>
      <c r="BW37" s="244" t="str">
        <v>PIBOURDIN</v>
      </c>
      <c r="BX37" s="244">
        <v>0</v>
      </c>
      <c r="BY37" s="244" t="str">
        <v>ERIC</v>
      </c>
      <c r="BZ37" s="244">
        <v>0</v>
      </c>
      <c r="CA37" s="244" t="str">
        <v>ACADEMIE DE BILLARD DE MAISONS ALFORT</v>
      </c>
      <c r="CB37" s="244">
        <v>0</v>
      </c>
      <c r="CC37" s="244">
        <v>0</v>
      </c>
      <c r="CD37" s="244">
        <v>0</v>
      </c>
      <c r="CE37" s="244">
        <v>0</v>
      </c>
      <c r="CF37" s="244">
        <v>0</v>
      </c>
      <c r="CG37" s="244">
        <v>2</v>
      </c>
      <c r="CH37" s="244">
        <v>2.2857142857142856</v>
      </c>
      <c r="CI37" s="244">
        <v>2.125</v>
      </c>
      <c r="CJ37" s="244">
        <v>23</v>
      </c>
      <c r="CK37" s="244">
        <v>2</v>
      </c>
      <c r="CL37" s="244">
        <v>5</v>
      </c>
      <c r="CM37" s="244">
        <v>2</v>
      </c>
      <c r="CO37" s="244">
        <f t="shared" si="12"/>
        <v>11</v>
      </c>
      <c r="CP37" s="244" t="str">
        <v/>
      </c>
      <c r="CQ37" s="244" t="str">
        <v/>
      </c>
      <c r="CR37" s="244">
        <v>0</v>
      </c>
      <c r="CS37" s="244" t="str">
        <v/>
      </c>
      <c r="CT37" s="244">
        <v>0</v>
      </c>
      <c r="CU37" s="244" t="str">
        <v/>
      </c>
      <c r="CV37" s="244">
        <v>0</v>
      </c>
      <c r="CW37" s="244">
        <v>0</v>
      </c>
      <c r="CX37" s="244">
        <v>0</v>
      </c>
      <c r="CY37" s="244">
        <v>0</v>
      </c>
      <c r="CZ37" s="244">
        <v>0</v>
      </c>
      <c r="DA37" s="244" t="str">
        <v/>
      </c>
      <c r="DB37" s="244" t="str">
        <v/>
      </c>
      <c r="DC37" s="244" t="str">
        <v/>
      </c>
      <c r="DD37" s="244" t="str">
        <v/>
      </c>
      <c r="DE37" s="244" t="str">
        <v/>
      </c>
      <c r="DF37" s="244" t="str">
        <v/>
      </c>
      <c r="DG37" s="244" t="str">
        <v/>
      </c>
      <c r="DH37" s="244" t="str" cm="1">
        <f t="array" ref="DH37">_xlfn.XLOOKUP(CP37,Tableau19[Licence],'GESTION DES JOUEURS'!$O$11:$O$46,"",0,1)</f>
        <v/>
      </c>
      <c r="DI37" s="471" t="str">
        <f>IF('GESTION DES JOUEURS'!$X$8="Libre",_xlfn.XLOOKUP(DH37,Tableau13[Cat.],Tableau13[Libre],"",0,1),IF('GESTION DES JOUEURS'!$X$8="Bande",_xlfn.XLOOKUP(DH37,Tableau13[Cat.],Tableau13[bande],"",0,1),IF('GESTION DES JOUEURS'!$X$8="Cadre",_xlfn.XLOOKUP(DH37,Tableau13[Cat.],Tableau13[Cadre],"",0,1),IF('GESTION DES JOUEURS'!$X$8="3 Bandes",_xlfn.XLOOKUP(DH37,Tableau13[Cat.],Tableau13[3 Bandes],"",0,1),""))))</f>
        <v/>
      </c>
      <c r="DK37" s="443" t="str">
        <v>157535J</v>
      </c>
      <c r="DL37" s="443">
        <f>SUM(SUMIFS($N$9:$N$34,$F$9:$F$34,DK37,$A$9:$A$34,"P"),SUMIFS($P$9:$P$34,$V$9:$V$34,DK37,$A$9:$A$34,"P"),SUMIFS(Consolante!$P$9:$P$34,Consolante!$V$9:$V$34,DK37,Consolante!$A$9:$A$34,"P"),SUMIFS(Consolante!$N$9:$N$34,Consolante!$F$9:$F$34,DK37,Consolante!$A$9:$A$34,"P"))</f>
        <v>0</v>
      </c>
      <c r="DM37" s="443">
        <f>SUM(SUMIFS($O$9:$O$34,$F$9:$F$34,DK37,$A$9:$A$34,"P",$Y$9:$Y$34,FALSE),SUMIFS($O$9:$O$34,$F$9:$F$34,DK37,$A$9:$A$34,"P",$Y$9:$Y$34,TRUE)/_xlfn.XLOOKUP('GESTION DES JOUEURS'!$X$8&amp;RIGHT('GESTION DES JOUEURS'!$Y$8,1),Tableau14[Colonne1],Tableau14[coef. 2,80/3,10],"",0,1),SUMIFS($O$9:$O$34,$V$9:$V$34,DK37,$A$9:$A$34,"P",$Y$9:$Y$34,FALSE),SUMIFS($O$9:$O$34,$V$9:$V$34,DK37,$A$9:$A$34,"P",$Y$9:$Y$34,TRUE)/_xlfn.XLOOKUP('GESTION DES JOUEURS'!$X$8&amp;RIGHT('GESTION DES JOUEURS'!$Y$8,1),Tableau14[Colonne1],Tableau14[coef. 2,80/3,10],"",0,1),_xlfn.XLOOKUP(DK37,Consolante!$CP$7:$CP$22,Consolante!$CR$7:$CR$22,0,0,1))</f>
        <v>0</v>
      </c>
      <c r="DN37" s="447" t="str">
        <f t="shared" si="13"/>
        <v/>
      </c>
      <c r="DO37" s="443"/>
      <c r="DP37" s="443">
        <f>_xlfn.XLOOKUP(DK37,PA!$B$6:$B$11,PA!$P$6:$P$11,_xlfn.XLOOKUP(DK37,PB!$B$6:$B$11,PB!$P$6:$P$11,_xlfn.XLOOKUP(DK37,PC!$B$6:$B$11,PC!$P$6:$P$11,_xlfn.XLOOKUP(DK37,PD!$B$6:$B$11,PD!$P$6:$P$11,_xlfn.XLOOKUP(DK37,PE!$B$6:$B$11,PE!$P$6:$P$11,_xlfn.XLOOKUP(DK37,PF!$B$6:$B$11,PF!$P$6:$P$11,_xlfn.XLOOKUP(DK37,PG!$B$6:$B$11,PG!$P$6:$P$11,_xlfn.XLOOKUP(DK37,PH!$B$6:$B$11,PH!$P$6:$P$11,_xlfn.XLOOKUP(DK37,PI!$B$6:$B$11,PI!$P$6:$P$11,_xlfn.XLOOKUP(DK37,PJ!$B$6:$B$11,PJ!$P$6:$P$11,_xlfn.XLOOKUP(DK37,PK!$B$6:$B$11,PK!$P$6:$P$11,_xlfn.XLOOKUP(DK37,PL!$B$6:$B$11,PL!$P$6:$P$11,"",0,1),0,1),0,1),0,1),0,1),0,1),0,1),0,1),0,1),0,1),0,1),0,1)</f>
        <v>176</v>
      </c>
      <c r="DQ37" s="443">
        <f>_xlfn.XLOOKUP(DK37,PA!$B$6:$B$11,PA!$Q$6:$Q$11,_xlfn.XLOOKUP(DK37,PB!$B$6:$B$11,PB!$Q$6:$Q$11,_xlfn.XLOOKUP(DK37,PC!$B$6:$B$11,PC!$Q$6:$Q$11,_xlfn.XLOOKUP(DK37,PD!$B$6:$B$11,PD!$Q$6:$Q$11,_xlfn.XLOOKUP(DK37,PE!$B$6:$B$11,PE!$Q$6:$Q$11,_xlfn.XLOOKUP(DK37,PF!$B$6:$B$11,PF!$Q$6:$Q$11,_xlfn.XLOOKUP(DK37,PG!$B$6:$B$11,PG!$Q$6:$Q$11,_xlfn.XLOOKUP(DK37,PH!$B$6:$B$11,PH!$Q$6:$Q$11,_xlfn.XLOOKUP(DK37,PI!$B$6:$B$11,PI!$Q$6:$Q$11,_xlfn.XLOOKUP(DK37,PJ!$B$6:$B$11,PJ!$Q$6:$Q$11,_xlfn.XLOOKUP(DK37,PK!$B$6:$B$11,PK!$Q$6:$Q$11,_xlfn.XLOOKUP(DK37,PL!$B$6:$B$11,PL!$Q$6:$Q$11,"",0,1),0,1),0,1),0,1),0,1),0,1),0,1),0,1),0,1),0,1),0,1),0,1)</f>
        <v>77</v>
      </c>
      <c r="DR37" s="244">
        <f>IFERROR(('Phase finale'!DL37+'Phase finale'!DP37)/('Phase finale'!DM37+'Phase finale'!DQ37),"")</f>
        <v>2.2857142857142856</v>
      </c>
      <c r="DX37" s="514" t="str">
        <f>V13</f>
        <v/>
      </c>
      <c r="DY37" s="514" t="str">
        <f>X13</f>
        <v/>
      </c>
      <c r="DZ37" s="514" t="b">
        <f>R13</f>
        <v>0</v>
      </c>
      <c r="EA37" s="514">
        <f>P13</f>
        <v>0</v>
      </c>
      <c r="EB37" s="514" cm="1">
        <f t="array" ref="EB37">_xlfn.XLOOKUP(DX37,Tableau19[Licence],'GESTION DES JOUEURS'!$O$11:$O$46,0,0,1)</f>
        <v>0</v>
      </c>
      <c r="EC37" s="514">
        <f>IFERROR(IF('GESTION DES JOUEURS'!$X$8="3 Bandes",EA37/_xlfn.XLOOKUP(EB37,Tableau13[Cat.],Tableau13[3 Bandes],"",0,1),IF('GESTION DES JOUEURS'!$X$8="Bande",EA37/_xlfn.XLOOKUP(EB37,Tableau13[Cat.],Tableau13[bande],"",0,1),IF('GESTION DES JOUEURS'!$X$8="Cadre",EA37/_xlfn.XLOOKUP(EB37,Tableau13[Cat.],Tableau13[Cadre],"",0,1),IF('GESTION DES JOUEURS'!$X$8="Libre",EA37/_xlfn.XLOOKUP(EB37,Tableau13[Cat.],Tableau13[Libre],"",0,1),"")))),0)</f>
        <v>0</v>
      </c>
      <c r="ED37" s="514">
        <f>EC36</f>
        <v>0</v>
      </c>
      <c r="EE37" s="514">
        <f>Q13</f>
        <v>0</v>
      </c>
      <c r="EF37" s="514">
        <f>O13</f>
        <v>0</v>
      </c>
      <c r="EG37" s="514" t="e">
        <f t="shared" si="33"/>
        <v>#DIV/0!</v>
      </c>
    </row>
    <row r="38" spans="1:137" ht="14.45" customHeight="1" thickBot="1" x14ac:dyDescent="0.3">
      <c r="B38" s="655">
        <v>1</v>
      </c>
      <c r="C38" s="655" t="str">
        <f>IF(AND('Phase finale'!A9="P",'GESTION DES JOUEURS'!$D$8="Open"),AF36,IF(A9="P",(IF(OR($D$9&gt;$X$9,L9=TRUE),F9,IF(OR($X$9&gt;$D$9,R9=TRUE),V9,""))),""))</f>
        <v/>
      </c>
      <c r="D38" s="1157" t="str">
        <f>_xlfn.XLOOKUP(C38,Tableau19[Licence],Tableau19[Nom],"",0,1)</f>
        <v/>
      </c>
      <c r="E38" s="756"/>
      <c r="F38" s="756" t="str">
        <f>_xlfn.XLOOKUP(C38,Tableau19[Licence],Tableau19[[prénom ]],"",0,1)</f>
        <v/>
      </c>
      <c r="G38" s="756"/>
      <c r="H38" s="756"/>
      <c r="I38" s="756" t="str">
        <f>_xlfn.XLOOKUP(C38,Tableau19[Licence],Tableau19[Club],"",0,1)</f>
        <v/>
      </c>
      <c r="J38" s="756"/>
      <c r="K38" s="756"/>
      <c r="L38" s="756"/>
      <c r="M38" s="756" t="str">
        <f t="shared" ref="M38:M46" si="34">IF(C38="","",_xlfn.XLOOKUP(C38,$B$6:$B$11,$V$6:$V$23,"",0,1))</f>
        <v/>
      </c>
      <c r="N38" s="656" t="str">
        <f t="shared" ref="N38:N53" si="35">IFERROR(IF(C38="","",SUM(SUMIFS($D$9:$D$34,$F$9:$F$34,C38,$A$9:$A$34,"P"),SUMIFS($X$9:$X$34,$V$9:$V$34,C38,$A$9:$A$34,"P"),_xlfn.XLOOKUP(C38,$BB$7:$BB$42,$BM$7:$BM$42,0,0,1))),"")</f>
        <v/>
      </c>
      <c r="O38" s="102" t="str" cm="1">
        <f t="array" ref="O38">_xlfn.XLOOKUP(C38,_xlfn.ANCHORARRAY($DK$7),$DR$7:$DR$42,"",0,1)</f>
        <v/>
      </c>
      <c r="P38" s="102" t="str">
        <f>IF(C38="","",MAX(_xlfn.MAXIFS($E$9:$E$34,$F$9:$F$34,C38),_xlfn.MAXIFS($W$9:$W$34,$V$9:$V$34,C38)))</f>
        <v/>
      </c>
      <c r="Q38" s="351" t="str">
        <f>IF(C38="","",MAX(_xlfn.MAXIFS($M$9:$M$34,$F$9:$F$34,C38),_xlfn.MAXIFS($Q$9:$Q$34,$V$9:$V$34,C38)))</f>
        <v/>
      </c>
      <c r="R38" s="655" t="str">
        <f>IF(C38="","",1)</f>
        <v/>
      </c>
      <c r="S38" s="37" t="str">
        <f>IF('GESTION DES JOUEURS'!$D$8="Open","",IF(AND(C38&lt;&gt;"",MAX('GESTION DES JOUEURS'!$A$11:$A$46)&gt;6,'GESTION DES JOUEURS'!$Y$8="JDSR"),_xlfn.XLOOKUP(B38,PTSRKMINITOURNOI[Clt],PTSRKMINITOURNOI[PR JDS 9],"",0,1),IF(AND(C38&lt;&gt;"",MAX('GESTION DES JOUEURS'!$A$11:$A$46)&lt;7,'GESTION DES JOUEURS'!$Y$8="JDSR"),_xlfn.XLOOKUP(B38,PTSRKMINITOURNOI[Clt],PTSRKMINITOURNOI[PR JDS],"",0,1),IF(AND(C38&lt;&gt;"",MAX('GESTION DES JOUEURS'!$A$11:$A$46)&lt;7,'GESTION DES JOUEURS'!$Y$8="R"),_xlfn.XLOOKUP(B38,PTSRKMINITOURNOI[Clt],PTSRKMINITOURNOI[PR 3B],"",0,1),IF(AND(C38&lt;&gt;"",MAX('GESTION DES JOUEURS'!$A$11:$A$46)&gt;6,'GESTION DES JOUEURS'!$Y$8="R"),_xlfn.XLOOKUP(B38,PTSRKTOURNOI[Clt],PTSRKTOURNOI[PR 3B],"",0,1),IF(AND(C38&lt;&gt;"",MAX('GESTION DES JOUEURS'!$A$11:$A$46)&gt;6,'GESTION DES JOUEURS'!$Y$8="Dames"),_xlfn.XLOOKUP(B38,PTSRKTOURNOI[Clt],PTSRKTOURNOI[[PR DAMES ]],"",0,1),IF(AND(C38&lt;&gt;"",'GESTION DES JOUEURS'!$Y$8="D"),_xlfn.XLOOKUP(B38,PTSRKMINITOURNOI[Clt],PTSRKMINITOURNOI[PR DISTRICT],"",0,1),"")))))))</f>
        <v/>
      </c>
      <c r="T38" s="40" t="str">
        <f>IF('GESTION DES JOUEURS'!$D$8="Open","",IF(AND(C38&lt;&gt;"",O38&gt;_xlfn.XLOOKUP('GESTION DES JOUEURS'!$D$4,Distances[Mode de jeu et cat.],Distances[M 3],"",0,1)),_xlfn.XLOOKUP('GESTION DES JOUEURS'!$D$4,Distances[Mode de jeu et cat.],Distances[BT3],"",0,1),IF(AND(C38&lt;&gt;"",O38&gt;_xlfn.XLOOKUP('GESTION DES JOUEURS'!$D$4,Distances[Mode de jeu et cat.],Distances[M 2],"",0,1)),_xlfn.XLOOKUP('GESTION DES JOUEURS'!$D$4,Distances[Mode de jeu et cat.],Distances[BT2],"",0,1),IF(AND(C38&lt;&gt;"",O38&gt;_xlfn.XLOOKUP('GESTION DES JOUEURS'!$D$4,Distances[Mode de jeu et cat.],Distances[M 1],"",0,1)),_xlfn.XLOOKUP('GESTION DES JOUEURS'!$D$4,Distances[Mode de jeu et cat.],Distances[BT1],"",0,1),""))))</f>
        <v/>
      </c>
      <c r="V38" s="1146" t="str">
        <f>"TABLEAU "&amp;CHAR(10)&amp;B2</f>
        <v xml:space="preserve">TABLEAU 
</v>
      </c>
      <c r="W38" s="1147"/>
      <c r="X38" s="1147"/>
      <c r="Y38" s="1148"/>
      <c r="Z38" s="566"/>
      <c r="AF38" s="371" t="str">
        <v/>
      </c>
      <c r="BA38" s="244">
        <v>32</v>
      </c>
      <c r="BB38" s="443" t="str">
        <f>IF('GESTION DES JOUEURS'!B42="","",'GESTION DES JOUEURS'!B42)</f>
        <v/>
      </c>
      <c r="BC38" s="443" t="str" cm="1">
        <f t="array" ref="BC38:BS38">_xlfn.XLOOKUP('Phase finale'!BB38,PA!$B$37:$B$42,PA!$C$37:$S$42,_xlfn.XLOOKUP('Phase finale'!BB38,PB!$B$37:$B$42,PB!$C$37:$S$42,_xlfn.XLOOKUP('Phase finale'!BB38,PC!$B$37:$B$42,PC!$C$37:$S$42,_xlfn.XLOOKUP('Phase finale'!BB38,PD!$B$37:$B$42,PD!$C$37:$S$42,_xlfn.XLOOKUP('Phase finale'!BB38,PE!$B$37:$B$42,PE!$C$37:$S$42,_xlfn.XLOOKUP('Phase finale'!BB38,PF!$B$37:$B$42,PF!$C$37:$S$42,_xlfn.XLOOKUP('Phase finale'!BB38,PG!$B$37:$B$42,PG!$C$37:$S$42,_xlfn.XLOOKUP('Phase finale'!BB38,PH!$B$37:$B$42,PH!$C$37:$S$42,_xlfn.XLOOKUP('Phase finale'!BB38,PI!$B$37:$B$42,PI!$C$37:$S$42,_xlfn.XLOOKUP('Phase finale'!BB38,PJ!$B$37:$B$42,PJ!$C$37:$S$42,_xlfn.XLOOKUP('Phase finale'!BB38,PK!$B$37:$B$42,PK!$C$37:$S$42,_xlfn.XLOOKUP('Phase finale'!BB38,PL!$B$37:$B$42,PL!$C$37:$S$42,"",0,1),0,1),0,1),0,1),0,1),0,1),0,1),0,1),0,1),0,1),0,1),0,1)</f>
        <v/>
      </c>
      <c r="BD38" s="443">
        <v>0</v>
      </c>
      <c r="BE38" s="443" t="str">
        <v/>
      </c>
      <c r="BF38" s="443">
        <v>0</v>
      </c>
      <c r="BG38" s="443" t="str">
        <v/>
      </c>
      <c r="BH38" s="443">
        <v>0</v>
      </c>
      <c r="BI38" s="443">
        <v>0</v>
      </c>
      <c r="BJ38" s="443">
        <v>0</v>
      </c>
      <c r="BK38" s="443">
        <v>0</v>
      </c>
      <c r="BL38" s="443">
        <v>0</v>
      </c>
      <c r="BM38" s="443" t="str">
        <v/>
      </c>
      <c r="BN38" s="443" t="str">
        <v/>
      </c>
      <c r="BO38" s="443" t="str">
        <v/>
      </c>
      <c r="BP38" s="443" t="str">
        <v/>
      </c>
      <c r="BQ38" s="443" t="str">
        <v/>
      </c>
      <c r="BR38" s="443" t="str">
        <v/>
      </c>
      <c r="BS38" s="443" t="str">
        <v/>
      </c>
      <c r="BU38" s="244">
        <v>32</v>
      </c>
      <c r="BV38" s="244" t="str">
        <v>154522J</v>
      </c>
      <c r="BW38" s="244" t="str">
        <v>PIVONET</v>
      </c>
      <c r="BX38" s="244">
        <v>0</v>
      </c>
      <c r="BY38" s="244" t="str">
        <v>FRANCIS</v>
      </c>
      <c r="BZ38" s="244">
        <v>0</v>
      </c>
      <c r="CA38" s="244" t="str">
        <v>ASS. BILLARD AMATEUR DE SAINT MAUR</v>
      </c>
      <c r="CB38" s="244">
        <v>0</v>
      </c>
      <c r="CC38" s="244">
        <v>0</v>
      </c>
      <c r="CD38" s="244">
        <v>0</v>
      </c>
      <c r="CE38" s="244">
        <v>0</v>
      </c>
      <c r="CF38" s="244">
        <v>0</v>
      </c>
      <c r="CG38" s="244">
        <v>2</v>
      </c>
      <c r="CH38" s="244">
        <v>2.2205882352941178</v>
      </c>
      <c r="CI38" s="244">
        <v>2.375</v>
      </c>
      <c r="CJ38" s="244">
        <v>23</v>
      </c>
      <c r="CK38" s="244">
        <v>2</v>
      </c>
      <c r="CL38" s="244">
        <v>5</v>
      </c>
      <c r="CM38" s="244">
        <v>2</v>
      </c>
      <c r="CO38" s="244">
        <f t="shared" si="12"/>
        <v>11</v>
      </c>
      <c r="CP38" s="244" t="str">
        <v/>
      </c>
      <c r="CQ38" s="244" t="str">
        <v/>
      </c>
      <c r="CR38" s="244">
        <v>0</v>
      </c>
      <c r="CS38" s="244" t="str">
        <v/>
      </c>
      <c r="CT38" s="244">
        <v>0</v>
      </c>
      <c r="CU38" s="244" t="str">
        <v/>
      </c>
      <c r="CV38" s="244">
        <v>0</v>
      </c>
      <c r="CW38" s="244">
        <v>0</v>
      </c>
      <c r="CX38" s="244">
        <v>0</v>
      </c>
      <c r="CY38" s="244">
        <v>0</v>
      </c>
      <c r="CZ38" s="244">
        <v>0</v>
      </c>
      <c r="DA38" s="244" t="str">
        <v/>
      </c>
      <c r="DB38" s="244" t="str">
        <v/>
      </c>
      <c r="DC38" s="244" t="str">
        <v/>
      </c>
      <c r="DD38" s="244" t="str">
        <v/>
      </c>
      <c r="DE38" s="244" t="str">
        <v/>
      </c>
      <c r="DF38" s="244" t="str">
        <v/>
      </c>
      <c r="DG38" s="244" t="str">
        <v/>
      </c>
      <c r="DH38" s="244" t="str" cm="1">
        <f t="array" ref="DH38">_xlfn.XLOOKUP(CP38,Tableau19[Licence],'GESTION DES JOUEURS'!$O$11:$O$46,"",0,1)</f>
        <v/>
      </c>
      <c r="DI38" s="471" t="str">
        <f>IF('GESTION DES JOUEURS'!$X$8="Libre",_xlfn.XLOOKUP(DH38,Tableau13[Cat.],Tableau13[Libre],"",0,1),IF('GESTION DES JOUEURS'!$X$8="Bande",_xlfn.XLOOKUP(DH38,Tableau13[Cat.],Tableau13[bande],"",0,1),IF('GESTION DES JOUEURS'!$X$8="Cadre",_xlfn.XLOOKUP(DH38,Tableau13[Cat.],Tableau13[Cadre],"",0,1),IF('GESTION DES JOUEURS'!$X$8="3 Bandes",_xlfn.XLOOKUP(DH38,Tableau13[Cat.],Tableau13[3 Bandes],"",0,1),""))))</f>
        <v/>
      </c>
      <c r="DK38" s="443" t="str">
        <v>154522J</v>
      </c>
      <c r="DL38" s="443">
        <f>SUM(SUMIFS($N$9:$N$34,$F$9:$F$34,DK38,$A$9:$A$34,"P"),SUMIFS($P$9:$P$34,$V$9:$V$34,DK38,$A$9:$A$34,"P"),SUMIFS(Consolante!$P$9:$P$34,Consolante!$V$9:$V$34,DK38,Consolante!$A$9:$A$34,"P"),SUMIFS(Consolante!$N$9:$N$34,Consolante!$F$9:$F$34,DK38,Consolante!$A$9:$A$34,"P"))</f>
        <v>0</v>
      </c>
      <c r="DM38" s="443">
        <f>SUM(SUMIFS($O$9:$O$34,$F$9:$F$34,DK38,$A$9:$A$34,"P",$Y$9:$Y$34,FALSE),SUMIFS($O$9:$O$34,$F$9:$F$34,DK38,$A$9:$A$34,"P",$Y$9:$Y$34,TRUE)/_xlfn.XLOOKUP('GESTION DES JOUEURS'!$X$8&amp;RIGHT('GESTION DES JOUEURS'!$Y$8,1),Tableau14[Colonne1],Tableau14[coef. 2,80/3,10],"",0,1),SUMIFS($O$9:$O$34,$V$9:$V$34,DK38,$A$9:$A$34,"P",$Y$9:$Y$34,FALSE),SUMIFS($O$9:$O$34,$V$9:$V$34,DK38,$A$9:$A$34,"P",$Y$9:$Y$34,TRUE)/_xlfn.XLOOKUP('GESTION DES JOUEURS'!$X$8&amp;RIGHT('GESTION DES JOUEURS'!$Y$8,1),Tableau14[Colonne1],Tableau14[coef. 2,80/3,10],"",0,1),_xlfn.XLOOKUP(DK38,Consolante!$CP$7:$CP$22,Consolante!$CR$7:$CR$22,0,0,1))</f>
        <v>0</v>
      </c>
      <c r="DN38" s="447" t="str">
        <f t="shared" si="13"/>
        <v/>
      </c>
      <c r="DO38" s="443"/>
      <c r="DP38" s="443">
        <f>_xlfn.XLOOKUP(DK38,PA!$B$6:$B$11,PA!$P$6:$P$11,_xlfn.XLOOKUP(DK38,PB!$B$6:$B$11,PB!$P$6:$P$11,_xlfn.XLOOKUP(DK38,PC!$B$6:$B$11,PC!$P$6:$P$11,_xlfn.XLOOKUP(DK38,PD!$B$6:$B$11,PD!$P$6:$P$11,_xlfn.XLOOKUP(DK38,PE!$B$6:$B$11,PE!$P$6:$P$11,_xlfn.XLOOKUP(DK38,PF!$B$6:$B$11,PF!$P$6:$P$11,_xlfn.XLOOKUP(DK38,PG!$B$6:$B$11,PG!$P$6:$P$11,_xlfn.XLOOKUP(DK38,PH!$B$6:$B$11,PH!$P$6:$P$11,_xlfn.XLOOKUP(DK38,PI!$B$6:$B$11,PI!$P$6:$P$11,_xlfn.XLOOKUP(DK38,PJ!$B$6:$B$11,PJ!$P$6:$P$11,_xlfn.XLOOKUP(DK38,PK!$B$6:$B$11,PK!$P$6:$P$11,_xlfn.XLOOKUP(DK38,PL!$B$6:$B$11,PL!$P$6:$P$11,"",0,1),0,1),0,1),0,1),0,1),0,1),0,1),0,1),0,1),0,1),0,1),0,1)</f>
        <v>151</v>
      </c>
      <c r="DQ38" s="443">
        <f>_xlfn.XLOOKUP(DK38,PA!$B$6:$B$11,PA!$Q$6:$Q$11,_xlfn.XLOOKUP(DK38,PB!$B$6:$B$11,PB!$Q$6:$Q$11,_xlfn.XLOOKUP(DK38,PC!$B$6:$B$11,PC!$Q$6:$Q$11,_xlfn.XLOOKUP(DK38,PD!$B$6:$B$11,PD!$Q$6:$Q$11,_xlfn.XLOOKUP(DK38,PE!$B$6:$B$11,PE!$Q$6:$Q$11,_xlfn.XLOOKUP(DK38,PF!$B$6:$B$11,PF!$Q$6:$Q$11,_xlfn.XLOOKUP(DK38,PG!$B$6:$B$11,PG!$Q$6:$Q$11,_xlfn.XLOOKUP(DK38,PH!$B$6:$B$11,PH!$Q$6:$Q$11,_xlfn.XLOOKUP(DK38,PI!$B$6:$B$11,PI!$Q$6:$Q$11,_xlfn.XLOOKUP(DK38,PJ!$B$6:$B$11,PJ!$Q$6:$Q$11,_xlfn.XLOOKUP(DK38,PK!$B$6:$B$11,PK!$Q$6:$Q$11,_xlfn.XLOOKUP(DK38,PL!$B$6:$B$11,PL!$Q$6:$Q$11,"",0,1),0,1),0,1),0,1),0,1),0,1),0,1),0,1),0,1),0,1),0,1),0,1)</f>
        <v>68</v>
      </c>
      <c r="DR38" s="244">
        <f>IFERROR(('Phase finale'!DL38+'Phase finale'!DP38)/('Phase finale'!DM38+'Phase finale'!DQ38),"")</f>
        <v>2.2205882352941178</v>
      </c>
      <c r="DX38" s="514" t="str">
        <f>F12</f>
        <v/>
      </c>
      <c r="DY38" s="514" t="str">
        <f>D12</f>
        <v/>
      </c>
      <c r="DZ38" s="514" t="b">
        <f>L12</f>
        <v>0</v>
      </c>
      <c r="EA38" s="514">
        <f>N12</f>
        <v>0</v>
      </c>
      <c r="EB38" s="514" cm="1">
        <f t="array" ref="EB38">_xlfn.XLOOKUP(DX38,Tableau19[Licence],'GESTION DES JOUEURS'!$O$11:$O$46,0,0,1)</f>
        <v>0</v>
      </c>
      <c r="EC38" s="514">
        <f>IFERROR(IF('GESTION DES JOUEURS'!$X$8="3 Bandes",EA38/_xlfn.XLOOKUP(EB38,Tableau13[Cat.],Tableau13[3 Bandes],"",0,1),IF('GESTION DES JOUEURS'!$X$8="Bande",EA38/_xlfn.XLOOKUP(EB38,Tableau13[Cat.],Tableau13[bande],"",0,1),IF('GESTION DES JOUEURS'!$X$8="Cadre",EA38/_xlfn.XLOOKUP(EB38,Tableau13[Cat.],Tableau13[Cadre],"",0,1),IF('GESTION DES JOUEURS'!$X$8="Libre",EA38/_xlfn.XLOOKUP(EB38,Tableau13[Cat.],Tableau13[Libre],"",0,1),"")))),0)</f>
        <v>0</v>
      </c>
      <c r="ED38" s="514">
        <f>EC39</f>
        <v>0</v>
      </c>
      <c r="EE38" s="514">
        <f>M12</f>
        <v>0</v>
      </c>
      <c r="EF38" s="514">
        <f>O12</f>
        <v>0</v>
      </c>
      <c r="EG38" s="514" t="e">
        <f t="shared" si="33"/>
        <v>#DIV/0!</v>
      </c>
    </row>
    <row r="39" spans="1:137" ht="14.45" customHeight="1" x14ac:dyDescent="0.25">
      <c r="B39" s="665">
        <v>2</v>
      </c>
      <c r="C39" s="665" t="str">
        <f>IF(AND('Phase finale'!A9="P",'GESTION DES JOUEURS'!$D$8="Open"),AF37,IF(A9="P",(IF(OR(D9&lt;X9,R9=TRUE),F9,IF(OR(X9&lt;D9,L9=TRUE),V9,""))),""))</f>
        <v/>
      </c>
      <c r="D39" s="1158" t="str">
        <f>_xlfn.XLOOKUP(C39,Tableau19[Licence],Tableau19[Nom],"",0,1)</f>
        <v/>
      </c>
      <c r="E39" s="1143"/>
      <c r="F39" s="1143" t="str">
        <f>_xlfn.XLOOKUP(C39,Tableau19[Licence],Tableau19[[prénom ]],"",0,1)</f>
        <v/>
      </c>
      <c r="G39" s="1143"/>
      <c r="H39" s="1143"/>
      <c r="I39" s="1143" t="str">
        <f>_xlfn.XLOOKUP(C39,Tableau19[Licence],Tableau19[Club],"",0,1)</f>
        <v/>
      </c>
      <c r="J39" s="1143"/>
      <c r="K39" s="1143"/>
      <c r="L39" s="1143"/>
      <c r="M39" s="1143" t="str">
        <f t="shared" si="34"/>
        <v/>
      </c>
      <c r="N39" s="667" t="str">
        <f t="shared" si="35"/>
        <v/>
      </c>
      <c r="O39" s="668" t="str" cm="1">
        <f t="array" ref="O39">_xlfn.XLOOKUP(C39,_xlfn.ANCHORARRAY($DK$7),$DR$7:$DR$42,"",0,1)</f>
        <v/>
      </c>
      <c r="P39" s="669" t="str">
        <f t="shared" ref="P39:P53" si="36">IF(C39="","",MAX(_xlfn.MAXIFS($E$9:$E$34,$F$9:$F$34,C39),_xlfn.MAXIFS($W$9:$W$34,$V$9:$V$34,C39)))</f>
        <v/>
      </c>
      <c r="Q39" s="675" t="str">
        <f t="shared" ref="Q39:Q53" si="37">IF(C39="","",MAX(_xlfn.MAXIFS($M$9:$M$34,$F$9:$F$34,C39),_xlfn.MAXIFS($Q$9:$Q$34,$V$9:$V$34,C39)))</f>
        <v/>
      </c>
      <c r="R39" s="665" t="str">
        <f>IF(C39="","",2)</f>
        <v/>
      </c>
      <c r="S39" s="666" t="str">
        <f>IF('GESTION DES JOUEURS'!$D$8="Open","",IF(AND(C39&lt;&gt;"",MAX('GESTION DES JOUEURS'!$A$11:$A$46)&gt;6,'GESTION DES JOUEURS'!$Y$8="JDSR"),_xlfn.XLOOKUP(B39,PTSRKMINITOURNOI[Clt],PTSRKMINITOURNOI[PR JDS 9],"",0,1),IF(AND(C39&lt;&gt;"",MAX('GESTION DES JOUEURS'!$A$11:$A$46)&lt;7,'GESTION DES JOUEURS'!$Y$8="JDSR"),_xlfn.XLOOKUP(B39,PTSRKMINITOURNOI[Clt],PTSRKMINITOURNOI[PR JDS],"",0,1),IF(AND(C39&lt;&gt;"",MAX('GESTION DES JOUEURS'!$A$11:$A$46)&lt;7,'GESTION DES JOUEURS'!$Y$8="R"),_xlfn.XLOOKUP(B39,PTSRKMINITOURNOI[Clt],PTSRKMINITOURNOI[PR 3B],"",0,1),IF(AND(C39&lt;&gt;"",MAX('GESTION DES JOUEURS'!$A$11:$A$46)&gt;6,'GESTION DES JOUEURS'!$Y$8="R"),_xlfn.XLOOKUP(B39,PTSRKTOURNOI[Clt],PTSRKTOURNOI[PR 3B],"",0,1),IF(AND(C39&lt;&gt;"",MAX('GESTION DES JOUEURS'!$A$11:$A$46)&gt;6,'GESTION DES JOUEURS'!$Y$8="Dames"),_xlfn.XLOOKUP(B39,PTSRKTOURNOI[Clt],PTSRKTOURNOI[[PR DAMES ]],"",0,1),IF(AND(C39&lt;&gt;"",'GESTION DES JOUEURS'!$Y$8="D"),_xlfn.XLOOKUP(B39,PTSRKMINITOURNOI[Clt],PTSRKMINITOURNOI[PR DISTRICT],"",0,1),"")))))))</f>
        <v/>
      </c>
      <c r="T39" s="670" t="str">
        <f>IF('GESTION DES JOUEURS'!$D$8="Open","",IF(AND(C39&lt;&gt;"",O39&gt;_xlfn.XLOOKUP('GESTION DES JOUEURS'!$D$4,Distances[Mode de jeu et cat.],Distances[M 3],"",0,1)),_xlfn.XLOOKUP('GESTION DES JOUEURS'!$D$4,Distances[Mode de jeu et cat.],Distances[BT3],"",0,1),IF(AND(C39&lt;&gt;"",O39&gt;_xlfn.XLOOKUP('GESTION DES JOUEURS'!$D$4,Distances[Mode de jeu et cat.],Distances[M 2],"",0,1)),_xlfn.XLOOKUP('GESTION DES JOUEURS'!$D$4,Distances[Mode de jeu et cat.],Distances[BT2],"",0,1),IF(AND(C39&lt;&gt;"",O39&gt;_xlfn.XLOOKUP('GESTION DES JOUEURS'!$D$4,Distances[Mode de jeu et cat.],Distances[M 1],"",0,1)),_xlfn.XLOOKUP('GESTION DES JOUEURS'!$D$4,Distances[Mode de jeu et cat.],Distances[BT1],"",0,1),""))))</f>
        <v/>
      </c>
      <c r="V39" s="1149"/>
      <c r="W39" s="1150"/>
      <c r="X39" s="1150"/>
      <c r="Y39" s="1151"/>
      <c r="Z39" s="566"/>
      <c r="AA39" s="1126" t="s">
        <v>9888</v>
      </c>
      <c r="AF39" s="371" t="str">
        <v/>
      </c>
      <c r="BA39" s="244">
        <v>33</v>
      </c>
      <c r="BB39" s="443" t="str">
        <f>IF('GESTION DES JOUEURS'!B43="","",'GESTION DES JOUEURS'!B43)</f>
        <v/>
      </c>
      <c r="BC39" s="443" t="str" cm="1">
        <f t="array" ref="BC39:BS39">_xlfn.XLOOKUP('Phase finale'!BB39,PA!$B$37:$B$42,PA!$C$37:$S$42,_xlfn.XLOOKUP('Phase finale'!BB39,PB!$B$37:$B$42,PB!$C$37:$S$42,_xlfn.XLOOKUP('Phase finale'!BB39,PC!$B$37:$B$42,PC!$C$37:$S$42,_xlfn.XLOOKUP('Phase finale'!BB39,PD!$B$37:$B$42,PD!$C$37:$S$42,_xlfn.XLOOKUP('Phase finale'!BB39,PE!$B$37:$B$42,PE!$C$37:$S$42,_xlfn.XLOOKUP('Phase finale'!BB39,PF!$B$37:$B$42,PF!$C$37:$S$42,_xlfn.XLOOKUP('Phase finale'!BB39,PG!$B$37:$B$42,PG!$C$37:$S$42,_xlfn.XLOOKUP('Phase finale'!BB39,PH!$B$37:$B$42,PH!$C$37:$S$42,_xlfn.XLOOKUP('Phase finale'!BB39,PI!$B$37:$B$42,PI!$C$37:$S$42,_xlfn.XLOOKUP('Phase finale'!BB39,PJ!$B$37:$B$42,PJ!$C$37:$S$42,_xlfn.XLOOKUP('Phase finale'!BB39,PK!$B$37:$B$42,PK!$C$37:$S$42,_xlfn.XLOOKUP('Phase finale'!BB39,PL!$B$37:$B$42,PL!$C$37:$S$42,"",0,1),0,1),0,1),0,1),0,1),0,1),0,1),0,1),0,1),0,1),0,1),0,1)</f>
        <v/>
      </c>
      <c r="BD39" s="443">
        <v>0</v>
      </c>
      <c r="BE39" s="443" t="str">
        <v/>
      </c>
      <c r="BF39" s="443">
        <v>0</v>
      </c>
      <c r="BG39" s="443" t="str">
        <v/>
      </c>
      <c r="BH39" s="443">
        <v>0</v>
      </c>
      <c r="BI39" s="443">
        <v>0</v>
      </c>
      <c r="BJ39" s="443">
        <v>0</v>
      </c>
      <c r="BK39" s="443">
        <v>0</v>
      </c>
      <c r="BL39" s="443">
        <v>0</v>
      </c>
      <c r="BM39" s="443" t="str">
        <v/>
      </c>
      <c r="BN39" s="443" t="str">
        <v/>
      </c>
      <c r="BO39" s="443" t="str">
        <v/>
      </c>
      <c r="BP39" s="443" t="str">
        <v/>
      </c>
      <c r="BQ39" s="443" t="str">
        <v/>
      </c>
      <c r="BR39" s="443" t="str">
        <v/>
      </c>
      <c r="BS39" s="443" t="str">
        <v/>
      </c>
      <c r="BU39" s="244">
        <v>33</v>
      </c>
      <c r="BV39" s="244" t="str">
        <v>013428M</v>
      </c>
      <c r="BW39" s="244" t="str">
        <v>KEREBEL</v>
      </c>
      <c r="BX39" s="244">
        <v>0</v>
      </c>
      <c r="BY39" s="244" t="str">
        <v>ERIC</v>
      </c>
      <c r="BZ39" s="244">
        <v>0</v>
      </c>
      <c r="CA39" s="244" t="str">
        <v>ASS. BILLARD AMATEUR DE SAINT MAUR</v>
      </c>
      <c r="CB39" s="244">
        <v>0</v>
      </c>
      <c r="CC39" s="244">
        <v>0</v>
      </c>
      <c r="CD39" s="244">
        <v>0</v>
      </c>
      <c r="CE39" s="244">
        <v>0</v>
      </c>
      <c r="CF39" s="244">
        <v>0</v>
      </c>
      <c r="CG39" s="244">
        <v>0</v>
      </c>
      <c r="CH39" s="244">
        <v>2.75</v>
      </c>
      <c r="CI39" s="244" t="str">
        <v>/</v>
      </c>
      <c r="CJ39" s="244">
        <v>20</v>
      </c>
      <c r="CK39" s="244">
        <v>2</v>
      </c>
      <c r="CL39" s="244">
        <v>5</v>
      </c>
      <c r="CM39" s="244">
        <v>2</v>
      </c>
      <c r="CO39" s="244">
        <f t="shared" si="12"/>
        <v>11</v>
      </c>
      <c r="CP39" s="244" t="str">
        <v/>
      </c>
      <c r="CQ39" s="244" t="str">
        <v/>
      </c>
      <c r="CR39" s="244">
        <v>0</v>
      </c>
      <c r="CS39" s="244" t="str">
        <v/>
      </c>
      <c r="CT39" s="244">
        <v>0</v>
      </c>
      <c r="CU39" s="244" t="str">
        <v/>
      </c>
      <c r="CV39" s="244">
        <v>0</v>
      </c>
      <c r="CW39" s="244">
        <v>0</v>
      </c>
      <c r="CX39" s="244">
        <v>0</v>
      </c>
      <c r="CY39" s="244">
        <v>0</v>
      </c>
      <c r="CZ39" s="244">
        <v>0</v>
      </c>
      <c r="DA39" s="244" t="str">
        <v/>
      </c>
      <c r="DB39" s="244" t="str">
        <v/>
      </c>
      <c r="DC39" s="244" t="str">
        <v/>
      </c>
      <c r="DD39" s="244" t="str">
        <v/>
      </c>
      <c r="DE39" s="244" t="str">
        <v/>
      </c>
      <c r="DF39" s="244" t="str">
        <v/>
      </c>
      <c r="DG39" s="244" t="str">
        <v/>
      </c>
      <c r="DH39" s="244" t="str" cm="1">
        <f t="array" ref="DH39">_xlfn.XLOOKUP(CP39,Tableau19[Licence],'GESTION DES JOUEURS'!$O$11:$O$46,"",0,1)</f>
        <v/>
      </c>
      <c r="DI39" s="471" t="str">
        <f>IF('GESTION DES JOUEURS'!$X$8="Libre",_xlfn.XLOOKUP(DH39,Tableau13[Cat.],Tableau13[Libre],"",0,1),IF('GESTION DES JOUEURS'!$X$8="Bande",_xlfn.XLOOKUP(DH39,Tableau13[Cat.],Tableau13[bande],"",0,1),IF('GESTION DES JOUEURS'!$X$8="Cadre",_xlfn.XLOOKUP(DH39,Tableau13[Cat.],Tableau13[Cadre],"",0,1),IF('GESTION DES JOUEURS'!$X$8="3 Bandes",_xlfn.XLOOKUP(DH39,Tableau13[Cat.],Tableau13[3 Bandes],"",0,1),""))))</f>
        <v/>
      </c>
      <c r="DK39" s="443" t="str">
        <v>013428M</v>
      </c>
      <c r="DL39" s="443">
        <f>SUM(SUMIFS($N$9:$N$34,$F$9:$F$34,DK39,$A$9:$A$34,"P"),SUMIFS($P$9:$P$34,$V$9:$V$34,DK39,$A$9:$A$34,"P"),SUMIFS(Consolante!$P$9:$P$34,Consolante!$V$9:$V$34,DK39,Consolante!$A$9:$A$34,"P"),SUMIFS(Consolante!$N$9:$N$34,Consolante!$F$9:$F$34,DK39,Consolante!$A$9:$A$34,"P"))</f>
        <v>0</v>
      </c>
      <c r="DM39" s="443">
        <f>SUM(SUMIFS($O$9:$O$34,$F$9:$F$34,DK39,$A$9:$A$34,"P",$Y$9:$Y$34,FALSE),SUMIFS($O$9:$O$34,$F$9:$F$34,DK39,$A$9:$A$34,"P",$Y$9:$Y$34,TRUE)/_xlfn.XLOOKUP('GESTION DES JOUEURS'!$X$8&amp;RIGHT('GESTION DES JOUEURS'!$Y$8,1),Tableau14[Colonne1],Tableau14[coef. 2,80/3,10],"",0,1),SUMIFS($O$9:$O$34,$V$9:$V$34,DK39,$A$9:$A$34,"P",$Y$9:$Y$34,FALSE),SUMIFS($O$9:$O$34,$V$9:$V$34,DK39,$A$9:$A$34,"P",$Y$9:$Y$34,TRUE)/_xlfn.XLOOKUP('GESTION DES JOUEURS'!$X$8&amp;RIGHT('GESTION DES JOUEURS'!$Y$8,1),Tableau14[Colonne1],Tableau14[coef. 2,80/3,10],"",0,1),_xlfn.XLOOKUP(DK39,Consolante!$CP$7:$CP$22,Consolante!$CR$7:$CR$22,0,0,1))</f>
        <v>0</v>
      </c>
      <c r="DN39" s="447" t="str">
        <f t="shared" si="13"/>
        <v/>
      </c>
      <c r="DO39" s="443"/>
      <c r="DP39" s="443">
        <f>_xlfn.XLOOKUP(DK39,PA!$B$6:$B$11,PA!$P$6:$P$11,_xlfn.XLOOKUP(DK39,PB!$B$6:$B$11,PB!$P$6:$P$11,_xlfn.XLOOKUP(DK39,PC!$B$6:$B$11,PC!$P$6:$P$11,_xlfn.XLOOKUP(DK39,PD!$B$6:$B$11,PD!$P$6:$P$11,_xlfn.XLOOKUP(DK39,PE!$B$6:$B$11,PE!$P$6:$P$11,_xlfn.XLOOKUP(DK39,PF!$B$6:$B$11,PF!$P$6:$P$11,_xlfn.XLOOKUP(DK39,PG!$B$6:$B$11,PG!$P$6:$P$11,_xlfn.XLOOKUP(DK39,PH!$B$6:$B$11,PH!$P$6:$P$11,_xlfn.XLOOKUP(DK39,PI!$B$6:$B$11,PI!$P$6:$P$11,_xlfn.XLOOKUP(DK39,PJ!$B$6:$B$11,PJ!$P$6:$P$11,_xlfn.XLOOKUP(DK39,PK!$B$6:$B$11,PK!$P$6:$P$11,_xlfn.XLOOKUP(DK39,PL!$B$6:$B$11,PL!$P$6:$P$11,"",0,1),0,1),0,1),0,1),0,1),0,1),0,1),0,1),0,1),0,1),0,1),0,1)</f>
        <v>132</v>
      </c>
      <c r="DQ39" s="443">
        <f>_xlfn.XLOOKUP(DK39,PA!$B$6:$B$11,PA!$Q$6:$Q$11,_xlfn.XLOOKUP(DK39,PB!$B$6:$B$11,PB!$Q$6:$Q$11,_xlfn.XLOOKUP(DK39,PC!$B$6:$B$11,PC!$Q$6:$Q$11,_xlfn.XLOOKUP(DK39,PD!$B$6:$B$11,PD!$Q$6:$Q$11,_xlfn.XLOOKUP(DK39,PE!$B$6:$B$11,PE!$Q$6:$Q$11,_xlfn.XLOOKUP(DK39,PF!$B$6:$B$11,PF!$Q$6:$Q$11,_xlfn.XLOOKUP(DK39,PG!$B$6:$B$11,PG!$Q$6:$Q$11,_xlfn.XLOOKUP(DK39,PH!$B$6:$B$11,PH!$Q$6:$Q$11,_xlfn.XLOOKUP(DK39,PI!$B$6:$B$11,PI!$Q$6:$Q$11,_xlfn.XLOOKUP(DK39,PJ!$B$6:$B$11,PJ!$Q$6:$Q$11,_xlfn.XLOOKUP(DK39,PK!$B$6:$B$11,PK!$Q$6:$Q$11,_xlfn.XLOOKUP(DK39,PL!$B$6:$B$11,PL!$Q$6:$Q$11,"",0,1),0,1),0,1),0,1),0,1),0,1),0,1),0,1),0,1),0,1),0,1),0,1)</f>
        <v>48</v>
      </c>
      <c r="DR39" s="244">
        <f>IFERROR(('Phase finale'!DL39+'Phase finale'!DP39)/('Phase finale'!DM39+'Phase finale'!DQ39),"")</f>
        <v>2.75</v>
      </c>
      <c r="DX39" s="514" t="str">
        <f>V12</f>
        <v/>
      </c>
      <c r="DY39" s="514" t="str">
        <f>X12</f>
        <v/>
      </c>
      <c r="DZ39" s="514" t="b">
        <f>R12</f>
        <v>0</v>
      </c>
      <c r="EA39" s="514">
        <f>P12</f>
        <v>0</v>
      </c>
      <c r="EB39" s="514" cm="1">
        <f t="array" ref="EB39">_xlfn.XLOOKUP(DX39,Tableau19[Licence],'GESTION DES JOUEURS'!$O$11:$O$46,0,0,1)</f>
        <v>0</v>
      </c>
      <c r="EC39" s="514">
        <f>IFERROR(IF('GESTION DES JOUEURS'!$X$8="3 Bandes",EA39/_xlfn.XLOOKUP(EB39,Tableau13[Cat.],Tableau13[3 Bandes],"",0,1),IF('GESTION DES JOUEURS'!$X$8="Bande",EA39/_xlfn.XLOOKUP(EB39,Tableau13[Cat.],Tableau13[bande],"",0,1),IF('GESTION DES JOUEURS'!$X$8="Cadre",EA39/_xlfn.XLOOKUP(EB39,Tableau13[Cat.],Tableau13[Cadre],"",0,1),IF('GESTION DES JOUEURS'!$X$8="Libre",EA39/_xlfn.XLOOKUP(EB39,Tableau13[Cat.],Tableau13[Libre],"",0,1),"")))),0)</f>
        <v>0</v>
      </c>
      <c r="ED39" s="514">
        <f>EC38</f>
        <v>0</v>
      </c>
      <c r="EE39" s="514">
        <f>Q12</f>
        <v>0</v>
      </c>
      <c r="EF39" s="514">
        <f>O12</f>
        <v>0</v>
      </c>
      <c r="EG39" s="514" t="e">
        <f t="shared" si="33"/>
        <v>#DIV/0!</v>
      </c>
    </row>
    <row r="40" spans="1:137" ht="14.45" customHeight="1" x14ac:dyDescent="0.25">
      <c r="B40" s="659">
        <v>3</v>
      </c>
      <c r="C40" s="659" t="str">
        <f>IF(AND('Phase finale'!A9="P",'GESTION DES JOUEURS'!$D$8="Open"),AF38,IF(A32="P",(IF(OR($D$32&gt;$X$32,L32=TRUE),F32,IF(OR($X$32&gt;$D$32,R32=TRUE),V32,""))),""))</f>
        <v/>
      </c>
      <c r="D40" s="1159" t="str">
        <f>_xlfn.XLOOKUP(C40,Tableau19[Licence],Tableau19[Nom],"",0,1)</f>
        <v/>
      </c>
      <c r="E40" s="1144"/>
      <c r="F40" s="1144" t="str">
        <f>_xlfn.XLOOKUP(C40,Tableau19[Licence],Tableau19[[prénom ]],"",0,1)</f>
        <v/>
      </c>
      <c r="G40" s="1144"/>
      <c r="H40" s="1144"/>
      <c r="I40" s="1144" t="str">
        <f>_xlfn.XLOOKUP(C40,Tableau19[Licence],Tableau19[Club],"",0,1)</f>
        <v/>
      </c>
      <c r="J40" s="1144"/>
      <c r="K40" s="1144"/>
      <c r="L40" s="1144"/>
      <c r="M40" s="1144" t="str">
        <f t="shared" si="34"/>
        <v/>
      </c>
      <c r="N40" s="661" t="str">
        <f t="shared" si="35"/>
        <v/>
      </c>
      <c r="O40" s="662" t="str" cm="1">
        <f t="array" ref="O40">_xlfn.XLOOKUP(C40,_xlfn.ANCHORARRAY($DK$7),$DR$7:$DR$42,"",0,1)</f>
        <v/>
      </c>
      <c r="P40" s="663" t="str">
        <f t="shared" si="36"/>
        <v/>
      </c>
      <c r="Q40" s="676" t="str">
        <f t="shared" si="37"/>
        <v/>
      </c>
      <c r="R40" s="659" t="str">
        <f>IF(C40="","",3)</f>
        <v/>
      </c>
      <c r="S40" s="660" t="str">
        <f>IF('GESTION DES JOUEURS'!$D$8="Open","",IF(AND(C40&lt;&gt;"",MAX('GESTION DES JOUEURS'!$A$11:$A$46)&gt;6,'GESTION DES JOUEURS'!$Y$8="JDSR"),_xlfn.XLOOKUP(B40,PTSRKMINITOURNOI[Clt],PTSRKMINITOURNOI[PR JDS 9],"",0,1),IF(AND(C40&lt;&gt;"",MAX('GESTION DES JOUEURS'!$A$11:$A$46)&lt;7,'GESTION DES JOUEURS'!$Y$8="JDSR"),_xlfn.XLOOKUP(B40,PTSRKMINITOURNOI[Clt],PTSRKMINITOURNOI[PR JDS],"",0,1),IF(AND(C40&lt;&gt;"",MAX('GESTION DES JOUEURS'!$A$11:$A$46)&lt;7,'GESTION DES JOUEURS'!$Y$8="R"),_xlfn.XLOOKUP(B40,PTSRKMINITOURNOI[Clt],PTSRKMINITOURNOI[PR 3B],"",0,1),IF(AND(C40&lt;&gt;"",MAX('GESTION DES JOUEURS'!$A$11:$A$46)&gt;6,'GESTION DES JOUEURS'!$Y$8="R"),_xlfn.XLOOKUP(B40,PTSRKTOURNOI[Clt],PTSRKTOURNOI[PR 3B],"",0,1),IF(AND(C40&lt;&gt;"",MAX('GESTION DES JOUEURS'!$A$11:$A$46)&gt;6,'GESTION DES JOUEURS'!$Y$8="Dames"),_xlfn.XLOOKUP(B40,PTSRKTOURNOI[Clt],PTSRKTOURNOI[[PR DAMES ]],"",0,1),IF(AND(C40&lt;&gt;"",'GESTION DES JOUEURS'!$Y$8="D"),_xlfn.XLOOKUP(B40,PTSRKMINITOURNOI[Clt],PTSRKMINITOURNOI[PR DISTRICT],"",0,1),"")))))))</f>
        <v/>
      </c>
      <c r="T40" s="664" t="str">
        <f>IF('GESTION DES JOUEURS'!$D$8="Open","",IF(AND(C40&lt;&gt;"",O40&gt;_xlfn.XLOOKUP('GESTION DES JOUEURS'!$D$4,Distances[Mode de jeu et cat.],Distances[M 3],"",0,1)),_xlfn.XLOOKUP('GESTION DES JOUEURS'!$D$4,Distances[Mode de jeu et cat.],Distances[BT3],"",0,1),IF(AND(C40&lt;&gt;"",O40&gt;_xlfn.XLOOKUP('GESTION DES JOUEURS'!$D$4,Distances[Mode de jeu et cat.],Distances[M 2],"",0,1)),_xlfn.XLOOKUP('GESTION DES JOUEURS'!$D$4,Distances[Mode de jeu et cat.],Distances[BT2],"",0,1),IF(AND(C40&lt;&gt;"",O40&gt;_xlfn.XLOOKUP('GESTION DES JOUEURS'!$D$4,Distances[Mode de jeu et cat.],Distances[M 1],"",0,1)),_xlfn.XLOOKUP('GESTION DES JOUEURS'!$D$4,Distances[Mode de jeu et cat.],Distances[BT1],"",0,1),""))))</f>
        <v/>
      </c>
      <c r="V40" s="1149"/>
      <c r="W40" s="1150"/>
      <c r="X40" s="1150"/>
      <c r="Y40" s="1151"/>
      <c r="Z40" s="566"/>
      <c r="AA40" s="1127"/>
      <c r="AF40" s="371" t="str">
        <v/>
      </c>
      <c r="BA40" s="244">
        <v>34</v>
      </c>
      <c r="BB40" s="443" t="str">
        <f>IF('GESTION DES JOUEURS'!B44="","",'GESTION DES JOUEURS'!B44)</f>
        <v/>
      </c>
      <c r="BC40" s="443" t="str" cm="1">
        <f t="array" ref="BC40:BS40">_xlfn.XLOOKUP('Phase finale'!BB40,PA!$B$37:$B$42,PA!$C$37:$S$42,_xlfn.XLOOKUP('Phase finale'!BB40,PB!$B$37:$B$42,PB!$C$37:$S$42,_xlfn.XLOOKUP('Phase finale'!BB40,PC!$B$37:$B$42,PC!$C$37:$S$42,_xlfn.XLOOKUP('Phase finale'!BB40,PD!$B$37:$B$42,PD!$C$37:$S$42,_xlfn.XLOOKUP('Phase finale'!BB40,PE!$B$37:$B$42,PE!$C$37:$S$42,_xlfn.XLOOKUP('Phase finale'!BB40,PF!$B$37:$B$42,PF!$C$37:$S$42,_xlfn.XLOOKUP('Phase finale'!BB40,PG!$B$37:$B$42,PG!$C$37:$S$42,_xlfn.XLOOKUP('Phase finale'!BB40,PH!$B$37:$B$42,PH!$C$37:$S$42,_xlfn.XLOOKUP('Phase finale'!BB40,PI!$B$37:$B$42,PI!$C$37:$S$42,_xlfn.XLOOKUP('Phase finale'!BB40,PJ!$B$37:$B$42,PJ!$C$37:$S$42,_xlfn.XLOOKUP('Phase finale'!BB40,PK!$B$37:$B$42,PK!$C$37:$S$42,_xlfn.XLOOKUP('Phase finale'!BB40,PL!$B$37:$B$42,PL!$C$37:$S$42,"",0,1),0,1),0,1),0,1),0,1),0,1),0,1),0,1),0,1),0,1),0,1),0,1)</f>
        <v/>
      </c>
      <c r="BD40" s="443">
        <v>0</v>
      </c>
      <c r="BE40" s="443" t="str">
        <v/>
      </c>
      <c r="BF40" s="443">
        <v>0</v>
      </c>
      <c r="BG40" s="443" t="str">
        <v/>
      </c>
      <c r="BH40" s="443">
        <v>0</v>
      </c>
      <c r="BI40" s="443">
        <v>0</v>
      </c>
      <c r="BJ40" s="443">
        <v>0</v>
      </c>
      <c r="BK40" s="443">
        <v>0</v>
      </c>
      <c r="BL40" s="443">
        <v>0</v>
      </c>
      <c r="BM40" s="443" t="str">
        <v/>
      </c>
      <c r="BN40" s="443" t="str">
        <v/>
      </c>
      <c r="BO40" s="443" t="str">
        <v/>
      </c>
      <c r="BP40" s="443" t="str">
        <v/>
      </c>
      <c r="BQ40" s="443" t="str">
        <v/>
      </c>
      <c r="BR40" s="443" t="str">
        <v/>
      </c>
      <c r="BS40" s="443" t="str">
        <v/>
      </c>
      <c r="BU40" s="244">
        <v>34</v>
      </c>
      <c r="BV40" s="244" t="str">
        <v>156543F</v>
      </c>
      <c r="BW40" s="244" t="str">
        <v>FERNANDES ALVES</v>
      </c>
      <c r="BX40" s="244">
        <v>0</v>
      </c>
      <c r="BY40" s="244" t="str">
        <v>FRANCISCO</v>
      </c>
      <c r="BZ40" s="244">
        <v>0</v>
      </c>
      <c r="CA40" s="244" t="str">
        <v>ACADEMIE DE BILLARD DE MAISONS ALFORT</v>
      </c>
      <c r="CB40" s="244">
        <v>0</v>
      </c>
      <c r="CC40" s="244">
        <v>0</v>
      </c>
      <c r="CD40" s="244">
        <v>0</v>
      </c>
      <c r="CE40" s="244">
        <v>0</v>
      </c>
      <c r="CF40" s="244">
        <v>0</v>
      </c>
      <c r="CG40" s="244">
        <v>0</v>
      </c>
      <c r="CH40" s="244">
        <v>2.129032258064516</v>
      </c>
      <c r="CI40" s="244" t="str">
        <v>/</v>
      </c>
      <c r="CJ40" s="244">
        <v>16</v>
      </c>
      <c r="CK40" s="244">
        <v>3</v>
      </c>
      <c r="CL40" s="244">
        <v>3</v>
      </c>
      <c r="CM40" s="244">
        <v>1</v>
      </c>
      <c r="CO40" s="244">
        <f t="shared" si="12"/>
        <v>11</v>
      </c>
      <c r="CP40" s="244" t="str">
        <v/>
      </c>
      <c r="CQ40" s="244" t="str">
        <v/>
      </c>
      <c r="CR40" s="244">
        <v>0</v>
      </c>
      <c r="CS40" s="244" t="str">
        <v/>
      </c>
      <c r="CT40" s="244">
        <v>0</v>
      </c>
      <c r="CU40" s="244" t="str">
        <v/>
      </c>
      <c r="CV40" s="244">
        <v>0</v>
      </c>
      <c r="CW40" s="244">
        <v>0</v>
      </c>
      <c r="CX40" s="244">
        <v>0</v>
      </c>
      <c r="CY40" s="244">
        <v>0</v>
      </c>
      <c r="CZ40" s="244">
        <v>0</v>
      </c>
      <c r="DA40" s="244" t="str">
        <v/>
      </c>
      <c r="DB40" s="244" t="str">
        <v/>
      </c>
      <c r="DC40" s="244" t="str">
        <v/>
      </c>
      <c r="DD40" s="244" t="str">
        <v/>
      </c>
      <c r="DE40" s="244" t="str">
        <v/>
      </c>
      <c r="DF40" s="244" t="str">
        <v/>
      </c>
      <c r="DG40" s="244" t="str">
        <v/>
      </c>
      <c r="DH40" s="244" t="str" cm="1">
        <f t="array" ref="DH40">_xlfn.XLOOKUP(CP40,Tableau19[Licence],'GESTION DES JOUEURS'!$O$11:$O$46,"",0,1)</f>
        <v/>
      </c>
      <c r="DI40" s="471" t="str">
        <f>IF('GESTION DES JOUEURS'!$X$8="Libre",_xlfn.XLOOKUP(DH40,Tableau13[Cat.],Tableau13[Libre],"",0,1),IF('GESTION DES JOUEURS'!$X$8="Bande",_xlfn.XLOOKUP(DH40,Tableau13[Cat.],Tableau13[bande],"",0,1),IF('GESTION DES JOUEURS'!$X$8="Cadre",_xlfn.XLOOKUP(DH40,Tableau13[Cat.],Tableau13[Cadre],"",0,1),IF('GESTION DES JOUEURS'!$X$8="3 Bandes",_xlfn.XLOOKUP(DH40,Tableau13[Cat.],Tableau13[3 Bandes],"",0,1),""))))</f>
        <v/>
      </c>
      <c r="DK40" s="443" t="str">
        <v>156543F</v>
      </c>
      <c r="DL40" s="443">
        <f>SUM(SUMIFS($N$9:$N$34,$F$9:$F$34,DK40,$A$9:$A$34,"P"),SUMIFS($P$9:$P$34,$V$9:$V$34,DK40,$A$9:$A$34,"P"),SUMIFS(Consolante!$P$9:$P$34,Consolante!$V$9:$V$34,DK40,Consolante!$A$9:$A$34,"P"),SUMIFS(Consolante!$N$9:$N$34,Consolante!$F$9:$F$34,DK40,Consolante!$A$9:$A$34,"P"))</f>
        <v>0</v>
      </c>
      <c r="DM40" s="443">
        <f>SUM(SUMIFS($O$9:$O$34,$F$9:$F$34,DK40,$A$9:$A$34,"P",$Y$9:$Y$34,FALSE),SUMIFS($O$9:$O$34,$F$9:$F$34,DK40,$A$9:$A$34,"P",$Y$9:$Y$34,TRUE)/_xlfn.XLOOKUP('GESTION DES JOUEURS'!$X$8&amp;RIGHT('GESTION DES JOUEURS'!$Y$8,1),Tableau14[Colonne1],Tableau14[coef. 2,80/3,10],"",0,1),SUMIFS($O$9:$O$34,$V$9:$V$34,DK40,$A$9:$A$34,"P",$Y$9:$Y$34,FALSE),SUMIFS($O$9:$O$34,$V$9:$V$34,DK40,$A$9:$A$34,"P",$Y$9:$Y$34,TRUE)/_xlfn.XLOOKUP('GESTION DES JOUEURS'!$X$8&amp;RIGHT('GESTION DES JOUEURS'!$Y$8,1),Tableau14[Colonne1],Tableau14[coef. 2,80/3,10],"",0,1),_xlfn.XLOOKUP(DK40,Consolante!$CP$7:$CP$22,Consolante!$CR$7:$CR$22,0,0,1))</f>
        <v>0</v>
      </c>
      <c r="DN40" s="447" t="str">
        <f t="shared" si="13"/>
        <v/>
      </c>
      <c r="DO40" s="443"/>
      <c r="DP40" s="443">
        <f>_xlfn.XLOOKUP(DK40,PA!$B$6:$B$11,PA!$P$6:$P$11,_xlfn.XLOOKUP(DK40,PB!$B$6:$B$11,PB!$P$6:$P$11,_xlfn.XLOOKUP(DK40,PC!$B$6:$B$11,PC!$P$6:$P$11,_xlfn.XLOOKUP(DK40,PD!$B$6:$B$11,PD!$P$6:$P$11,_xlfn.XLOOKUP(DK40,PE!$B$6:$B$11,PE!$P$6:$P$11,_xlfn.XLOOKUP(DK40,PF!$B$6:$B$11,PF!$P$6:$P$11,_xlfn.XLOOKUP(DK40,PG!$B$6:$B$11,PG!$P$6:$P$11,_xlfn.XLOOKUP(DK40,PH!$B$6:$B$11,PH!$P$6:$P$11,_xlfn.XLOOKUP(DK40,PI!$B$6:$B$11,PI!$P$6:$P$11,_xlfn.XLOOKUP(DK40,PJ!$B$6:$B$11,PJ!$P$6:$P$11,_xlfn.XLOOKUP(DK40,PK!$B$6:$B$11,PK!$P$6:$P$11,_xlfn.XLOOKUP(DK40,PL!$B$6:$B$11,PL!$P$6:$P$11,"",0,1),0,1),0,1),0,1),0,1),0,1),0,1),0,1),0,1),0,1),0,1),0,1)</f>
        <v>132</v>
      </c>
      <c r="DQ40" s="443">
        <f>_xlfn.XLOOKUP(DK40,PA!$B$6:$B$11,PA!$Q$6:$Q$11,_xlfn.XLOOKUP(DK40,PB!$B$6:$B$11,PB!$Q$6:$Q$11,_xlfn.XLOOKUP(DK40,PC!$B$6:$B$11,PC!$Q$6:$Q$11,_xlfn.XLOOKUP(DK40,PD!$B$6:$B$11,PD!$Q$6:$Q$11,_xlfn.XLOOKUP(DK40,PE!$B$6:$B$11,PE!$Q$6:$Q$11,_xlfn.XLOOKUP(DK40,PF!$B$6:$B$11,PF!$Q$6:$Q$11,_xlfn.XLOOKUP(DK40,PG!$B$6:$B$11,PG!$Q$6:$Q$11,_xlfn.XLOOKUP(DK40,PH!$B$6:$B$11,PH!$Q$6:$Q$11,_xlfn.XLOOKUP(DK40,PI!$B$6:$B$11,PI!$Q$6:$Q$11,_xlfn.XLOOKUP(DK40,PJ!$B$6:$B$11,PJ!$Q$6:$Q$11,_xlfn.XLOOKUP(DK40,PK!$B$6:$B$11,PK!$Q$6:$Q$11,_xlfn.XLOOKUP(DK40,PL!$B$6:$B$11,PL!$Q$6:$Q$11,"",0,1),0,1),0,1),0,1),0,1),0,1),0,1),0,1),0,1),0,1),0,1),0,1)</f>
        <v>62</v>
      </c>
      <c r="DR40" s="244">
        <f>IFERROR(('Phase finale'!DL40+'Phase finale'!DP40)/('Phase finale'!DM40+'Phase finale'!DQ40),"")</f>
        <v>2.129032258064516</v>
      </c>
      <c r="DW40" s="244">
        <v>1</v>
      </c>
      <c r="DX40" s="244" t="str">
        <f>F16</f>
        <v/>
      </c>
    </row>
    <row r="41" spans="1:137" ht="14.45" customHeight="1" thickBot="1" x14ac:dyDescent="0.3">
      <c r="B41" s="659">
        <v>4</v>
      </c>
      <c r="C41" s="659" t="str">
        <f>IF(AND('Phase finale'!A9="P",'GESTION DES JOUEURS'!$D$8="Open"),AF39,IF(A32="P",(IF(OR(D32&lt;X32,R32=TRUE),F32,IF(OR(X32&lt;D32,L32=TRUE),V32,""))),""))</f>
        <v/>
      </c>
      <c r="D41" s="1159" t="str">
        <f>_xlfn.XLOOKUP(C41,Tableau19[Licence],Tableau19[Nom],"",0,1)</f>
        <v/>
      </c>
      <c r="E41" s="1144"/>
      <c r="F41" s="1144" t="str">
        <f>_xlfn.XLOOKUP(C41,Tableau19[Licence],Tableau19[[prénom ]],"",0,1)</f>
        <v/>
      </c>
      <c r="G41" s="1144"/>
      <c r="H41" s="1144"/>
      <c r="I41" s="1144" t="str">
        <f>_xlfn.XLOOKUP(C41,Tableau19[Licence],Tableau19[Club],"",0,1)</f>
        <v/>
      </c>
      <c r="J41" s="1144"/>
      <c r="K41" s="1144"/>
      <c r="L41" s="1144"/>
      <c r="M41" s="1144" t="str">
        <f t="shared" si="34"/>
        <v/>
      </c>
      <c r="N41" s="661" t="str">
        <f t="shared" si="35"/>
        <v/>
      </c>
      <c r="O41" s="662" t="str" cm="1">
        <f t="array" ref="O41">_xlfn.XLOOKUP(C41,_xlfn.ANCHORARRAY($DK$7),$DR$7:$DR$42,"",0,1)</f>
        <v/>
      </c>
      <c r="P41" s="663" t="str">
        <f t="shared" si="36"/>
        <v/>
      </c>
      <c r="Q41" s="676" t="str">
        <f t="shared" si="37"/>
        <v/>
      </c>
      <c r="R41" s="659" t="str">
        <f>IF(C41="","",4)</f>
        <v/>
      </c>
      <c r="S41" s="660" t="str">
        <f>IF('GESTION DES JOUEURS'!$D$8="Open","",IF(AND(C41&lt;&gt;"",MAX('GESTION DES JOUEURS'!$A$11:$A$46)&gt;6,'GESTION DES JOUEURS'!$Y$8="JDSR"),_xlfn.XLOOKUP(B41,PTSRKMINITOURNOI[Clt],PTSRKMINITOURNOI[PR JDS 9],"",0,1),IF(AND(C41&lt;&gt;"",MAX('GESTION DES JOUEURS'!$A$11:$A$46)&lt;7,'GESTION DES JOUEURS'!$Y$8="JDSR"),_xlfn.XLOOKUP(B41,PTSRKMINITOURNOI[Clt],PTSRKMINITOURNOI[PR JDS],"",0,1),IF(AND(C41&lt;&gt;"",MAX('GESTION DES JOUEURS'!$A$11:$A$46)&lt;7,'GESTION DES JOUEURS'!$Y$8="R"),_xlfn.XLOOKUP(B41,PTSRKMINITOURNOI[Clt],PTSRKMINITOURNOI[PR 3B],"",0,1),IF(AND(C41&lt;&gt;"",MAX('GESTION DES JOUEURS'!$A$11:$A$46)&gt;6,'GESTION DES JOUEURS'!$Y$8="R"),_xlfn.XLOOKUP(B41,PTSRKTOURNOI[Clt],PTSRKTOURNOI[PR 3B],"",0,1),IF(AND(C41&lt;&gt;"",MAX('GESTION DES JOUEURS'!$A$11:$A$46)&gt;6,'GESTION DES JOUEURS'!$Y$8="Dames"),_xlfn.XLOOKUP(B41,PTSRKTOURNOI[Clt],PTSRKTOURNOI[[PR DAMES ]],"",0,1),IF(AND(C41&lt;&gt;"",'GESTION DES JOUEURS'!$Y$8="D"),_xlfn.XLOOKUP(B41,PTSRKMINITOURNOI[Clt],PTSRKMINITOURNOI[PR DISTRICT],"",0,1),"")))))))</f>
        <v/>
      </c>
      <c r="T41" s="664" t="str">
        <f>IF('GESTION DES JOUEURS'!$D$8="Open","",IF(AND(C41&lt;&gt;"",O41&gt;_xlfn.XLOOKUP('GESTION DES JOUEURS'!$D$4,Distances[Mode de jeu et cat.],Distances[M 3],"",0,1)),_xlfn.XLOOKUP('GESTION DES JOUEURS'!$D$4,Distances[Mode de jeu et cat.],Distances[BT3],"",0,1),IF(AND(C41&lt;&gt;"",O41&gt;_xlfn.XLOOKUP('GESTION DES JOUEURS'!$D$4,Distances[Mode de jeu et cat.],Distances[M 2],"",0,1)),_xlfn.XLOOKUP('GESTION DES JOUEURS'!$D$4,Distances[Mode de jeu et cat.],Distances[BT2],"",0,1),IF(AND(C41&lt;&gt;"",O41&gt;_xlfn.XLOOKUP('GESTION DES JOUEURS'!$D$4,Distances[Mode de jeu et cat.],Distances[M 1],"",0,1)),_xlfn.XLOOKUP('GESTION DES JOUEURS'!$D$4,Distances[Mode de jeu et cat.],Distances[BT1],"",0,1),""))))</f>
        <v/>
      </c>
      <c r="V41" s="1149"/>
      <c r="W41" s="1150"/>
      <c r="X41" s="1150"/>
      <c r="Y41" s="1151"/>
      <c r="Z41" s="566"/>
      <c r="AA41" s="1128"/>
      <c r="AF41" s="371" t="str">
        <v>148333G</v>
      </c>
      <c r="BA41" s="244">
        <v>35</v>
      </c>
      <c r="BB41" s="443" t="str">
        <f>IF('GESTION DES JOUEURS'!B45="","",'GESTION DES JOUEURS'!B45)</f>
        <v/>
      </c>
      <c r="BC41" s="443" t="str" cm="1">
        <f t="array" ref="BC41:BS41">_xlfn.XLOOKUP('Phase finale'!BB41,PA!$B$37:$B$42,PA!$C$37:$S$42,_xlfn.XLOOKUP('Phase finale'!BB41,PB!$B$37:$B$42,PB!$C$37:$S$42,_xlfn.XLOOKUP('Phase finale'!BB41,PC!$B$37:$B$42,PC!$C$37:$S$42,_xlfn.XLOOKUP('Phase finale'!BB41,PD!$B$37:$B$42,PD!$C$37:$S$42,_xlfn.XLOOKUP('Phase finale'!BB41,PE!$B$37:$B$42,PE!$C$37:$S$42,_xlfn.XLOOKUP('Phase finale'!BB41,PF!$B$37:$B$42,PF!$C$37:$S$42,_xlfn.XLOOKUP('Phase finale'!BB41,PG!$B$37:$B$42,PG!$C$37:$S$42,_xlfn.XLOOKUP('Phase finale'!BB41,PH!$B$37:$B$42,PH!$C$37:$S$42,_xlfn.XLOOKUP('Phase finale'!BB41,PI!$B$37:$B$42,PI!$C$37:$S$42,_xlfn.XLOOKUP('Phase finale'!BB41,PJ!$B$37:$B$42,PJ!$C$37:$S$42,_xlfn.XLOOKUP('Phase finale'!BB41,PK!$B$37:$B$42,PK!$C$37:$S$42,_xlfn.XLOOKUP('Phase finale'!BB41,PL!$B$37:$B$42,PL!$C$37:$S$42,"",0,1),0,1),0,1),0,1),0,1),0,1),0,1),0,1),0,1),0,1),0,1),0,1)</f>
        <v/>
      </c>
      <c r="BD41" s="443">
        <v>0</v>
      </c>
      <c r="BE41" s="443" t="str">
        <v/>
      </c>
      <c r="BF41" s="443">
        <v>0</v>
      </c>
      <c r="BG41" s="443" t="str">
        <v/>
      </c>
      <c r="BH41" s="443">
        <v>0</v>
      </c>
      <c r="BI41" s="443">
        <v>0</v>
      </c>
      <c r="BJ41" s="443">
        <v>0</v>
      </c>
      <c r="BK41" s="443">
        <v>0</v>
      </c>
      <c r="BL41" s="443">
        <v>0</v>
      </c>
      <c r="BM41" s="443" t="str">
        <v/>
      </c>
      <c r="BN41" s="443" t="str">
        <v/>
      </c>
      <c r="BO41" s="443" t="str">
        <v/>
      </c>
      <c r="BP41" s="443" t="str">
        <v/>
      </c>
      <c r="BQ41" s="443" t="str">
        <v/>
      </c>
      <c r="BR41" s="443" t="str">
        <v/>
      </c>
      <c r="BS41" s="443" t="str">
        <v/>
      </c>
      <c r="BU41" s="244">
        <v>35</v>
      </c>
      <c r="BV41" s="244" t="str">
        <v>013922M</v>
      </c>
      <c r="BW41" s="244" t="str">
        <v>PEYROLE</v>
      </c>
      <c r="BX41" s="244">
        <v>0</v>
      </c>
      <c r="BY41" s="244" t="str">
        <v>PHILIPPE</v>
      </c>
      <c r="BZ41" s="244">
        <v>0</v>
      </c>
      <c r="CA41" s="244" t="str">
        <v>BILLARD CLUB DE LIVRY GARGAN</v>
      </c>
      <c r="CB41" s="244">
        <v>0</v>
      </c>
      <c r="CC41" s="244">
        <v>0</v>
      </c>
      <c r="CD41" s="244">
        <v>0</v>
      </c>
      <c r="CE41" s="244">
        <v>0</v>
      </c>
      <c r="CF41" s="244">
        <v>0</v>
      </c>
      <c r="CG41" s="244">
        <v>0</v>
      </c>
      <c r="CH41" s="244">
        <v>2.0256410256410255</v>
      </c>
      <c r="CI41" s="244" t="str">
        <v>/</v>
      </c>
      <c r="CJ41" s="244">
        <v>14</v>
      </c>
      <c r="CK41" s="244">
        <v>3</v>
      </c>
      <c r="CL41" s="244">
        <v>3</v>
      </c>
      <c r="CM41" s="244">
        <v>2</v>
      </c>
      <c r="CO41" s="244">
        <f t="shared" si="12"/>
        <v>11</v>
      </c>
      <c r="CP41" s="244" t="str">
        <v/>
      </c>
      <c r="CQ41" s="244" t="str">
        <v/>
      </c>
      <c r="CR41" s="244">
        <v>0</v>
      </c>
      <c r="CS41" s="244" t="str">
        <v/>
      </c>
      <c r="CT41" s="244">
        <v>0</v>
      </c>
      <c r="CU41" s="244" t="str">
        <v/>
      </c>
      <c r="CV41" s="244">
        <v>0</v>
      </c>
      <c r="CW41" s="244">
        <v>0</v>
      </c>
      <c r="CX41" s="244">
        <v>0</v>
      </c>
      <c r="CY41" s="244">
        <v>0</v>
      </c>
      <c r="CZ41" s="244">
        <v>0</v>
      </c>
      <c r="DA41" s="244" t="str">
        <v/>
      </c>
      <c r="DB41" s="244" t="str">
        <v/>
      </c>
      <c r="DC41" s="244" t="str">
        <v/>
      </c>
      <c r="DD41" s="244" t="str">
        <v/>
      </c>
      <c r="DE41" s="244" t="str">
        <v/>
      </c>
      <c r="DF41" s="244" t="str">
        <v/>
      </c>
      <c r="DG41" s="244" t="str">
        <v/>
      </c>
      <c r="DH41" s="244" t="str" cm="1">
        <f t="array" ref="DH41">_xlfn.XLOOKUP(CP41,Tableau19[Licence],'GESTION DES JOUEURS'!$O$11:$O$46,"",0,1)</f>
        <v/>
      </c>
      <c r="DI41" s="471" t="str">
        <f>IF('GESTION DES JOUEURS'!$X$8="Libre",_xlfn.XLOOKUP(DH41,Tableau13[Cat.],Tableau13[Libre],"",0,1),IF('GESTION DES JOUEURS'!$X$8="Bande",_xlfn.XLOOKUP(DH41,Tableau13[Cat.],Tableau13[bande],"",0,1),IF('GESTION DES JOUEURS'!$X$8="Cadre",_xlfn.XLOOKUP(DH41,Tableau13[Cat.],Tableau13[Cadre],"",0,1),IF('GESTION DES JOUEURS'!$X$8="3 Bandes",_xlfn.XLOOKUP(DH41,Tableau13[Cat.],Tableau13[3 Bandes],"",0,1),""))))</f>
        <v/>
      </c>
      <c r="DK41" s="443" t="str">
        <v>013922M</v>
      </c>
      <c r="DL41" s="443">
        <f>SUM(SUMIFS($N$9:$N$34,$F$9:$F$34,DK41,$A$9:$A$34,"P"),SUMIFS($P$9:$P$34,$V$9:$V$34,DK41,$A$9:$A$34,"P"),SUMIFS(Consolante!$P$9:$P$34,Consolante!$V$9:$V$34,DK41,Consolante!$A$9:$A$34,"P"),SUMIFS(Consolante!$N$9:$N$34,Consolante!$F$9:$F$34,DK41,Consolante!$A$9:$A$34,"P"))</f>
        <v>0</v>
      </c>
      <c r="DM41" s="443">
        <f>SUM(SUMIFS($O$9:$O$34,$F$9:$F$34,DK41,$A$9:$A$34,"P",$Y$9:$Y$34,FALSE),SUMIFS($O$9:$O$34,$F$9:$F$34,DK41,$A$9:$A$34,"P",$Y$9:$Y$34,TRUE)/_xlfn.XLOOKUP('GESTION DES JOUEURS'!$X$8&amp;RIGHT('GESTION DES JOUEURS'!$Y$8,1),Tableau14[Colonne1],Tableau14[coef. 2,80/3,10],"",0,1),SUMIFS($O$9:$O$34,$V$9:$V$34,DK41,$A$9:$A$34,"P",$Y$9:$Y$34,FALSE),SUMIFS($O$9:$O$34,$V$9:$V$34,DK41,$A$9:$A$34,"P",$Y$9:$Y$34,TRUE)/_xlfn.XLOOKUP('GESTION DES JOUEURS'!$X$8&amp;RIGHT('GESTION DES JOUEURS'!$Y$8,1),Tableau14[Colonne1],Tableau14[coef. 2,80/3,10],"",0,1),_xlfn.XLOOKUP(DK41,Consolante!$CP$7:$CP$22,Consolante!$CR$7:$CR$22,0,0,1))</f>
        <v>0</v>
      </c>
      <c r="DN41" s="447" t="str">
        <f t="shared" si="13"/>
        <v/>
      </c>
      <c r="DO41" s="443"/>
      <c r="DP41" s="443">
        <f>_xlfn.XLOOKUP(DK41,PA!$B$6:$B$11,PA!$P$6:$P$11,_xlfn.XLOOKUP(DK41,PB!$B$6:$B$11,PB!$P$6:$P$11,_xlfn.XLOOKUP(DK41,PC!$B$6:$B$11,PC!$P$6:$P$11,_xlfn.XLOOKUP(DK41,PD!$B$6:$B$11,PD!$P$6:$P$11,_xlfn.XLOOKUP(DK41,PE!$B$6:$B$11,PE!$P$6:$P$11,_xlfn.XLOOKUP(DK41,PF!$B$6:$B$11,PF!$P$6:$P$11,_xlfn.XLOOKUP(DK41,PG!$B$6:$B$11,PG!$P$6:$P$11,_xlfn.XLOOKUP(DK41,PH!$B$6:$B$11,PH!$P$6:$P$11,_xlfn.XLOOKUP(DK41,PI!$B$6:$B$11,PI!$P$6:$P$11,_xlfn.XLOOKUP(DK41,PJ!$B$6:$B$11,PJ!$P$6:$P$11,_xlfn.XLOOKUP(DK41,PK!$B$6:$B$11,PK!$P$6:$P$11,_xlfn.XLOOKUP(DK41,PL!$B$6:$B$11,PL!$P$6:$P$11,"",0,1),0,1),0,1),0,1),0,1),0,1),0,1),0,1),0,1),0,1),0,1),0,1)</f>
        <v>158</v>
      </c>
      <c r="DQ41" s="443">
        <f>_xlfn.XLOOKUP(DK41,PA!$B$6:$B$11,PA!$Q$6:$Q$11,_xlfn.XLOOKUP(DK41,PB!$B$6:$B$11,PB!$Q$6:$Q$11,_xlfn.XLOOKUP(DK41,PC!$B$6:$B$11,PC!$Q$6:$Q$11,_xlfn.XLOOKUP(DK41,PD!$B$6:$B$11,PD!$Q$6:$Q$11,_xlfn.XLOOKUP(DK41,PE!$B$6:$B$11,PE!$Q$6:$Q$11,_xlfn.XLOOKUP(DK41,PF!$B$6:$B$11,PF!$Q$6:$Q$11,_xlfn.XLOOKUP(DK41,PG!$B$6:$B$11,PG!$Q$6:$Q$11,_xlfn.XLOOKUP(DK41,PH!$B$6:$B$11,PH!$Q$6:$Q$11,_xlfn.XLOOKUP(DK41,PI!$B$6:$B$11,PI!$Q$6:$Q$11,_xlfn.XLOOKUP(DK41,PJ!$B$6:$B$11,PJ!$Q$6:$Q$11,_xlfn.XLOOKUP(DK41,PK!$B$6:$B$11,PK!$Q$6:$Q$11,_xlfn.XLOOKUP(DK41,PL!$B$6:$B$11,PL!$Q$6:$Q$11,"",0,1),0,1),0,1),0,1),0,1),0,1),0,1),0,1),0,1),0,1),0,1),0,1)</f>
        <v>78</v>
      </c>
      <c r="DR41" s="244">
        <f>IFERROR(('Phase finale'!DL41+'Phase finale'!DP41)/('Phase finale'!DM41+'Phase finale'!DQ41),"")</f>
        <v>2.0256410256410255</v>
      </c>
      <c r="DW41" s="244">
        <v>2</v>
      </c>
      <c r="DX41" s="244" t="str">
        <f t="shared" ref="DX41:DX46" si="38">F17</f>
        <v/>
      </c>
    </row>
    <row r="42" spans="1:137" ht="14.45" customHeight="1" x14ac:dyDescent="0.25">
      <c r="B42" s="650">
        <v>5</v>
      </c>
      <c r="C42" s="650" t="str">
        <f>IF(AND('Phase finale'!A9="P",'GESTION DES JOUEURS'!$D$8="Open"),AF40,IF(A33="P",(IF(OR($D$33&gt;$X$33,L33=TRUE),F33,IF(OR($X$33&gt;$D$33,R33=TRUE),V33,""))),""))</f>
        <v/>
      </c>
      <c r="D42" s="1160" t="str">
        <f>_xlfn.XLOOKUP(C42,Tableau19[Licence],Tableau19[Nom],"",0,1)</f>
        <v/>
      </c>
      <c r="E42" s="1072"/>
      <c r="F42" s="1072" t="str">
        <f>_xlfn.XLOOKUP(C42,Tableau19[Licence],Tableau19[[prénom ]],"",0,1)</f>
        <v/>
      </c>
      <c r="G42" s="1072"/>
      <c r="H42" s="1072"/>
      <c r="I42" s="1072" t="str">
        <f>_xlfn.XLOOKUP(C42,Tableau19[Licence],Tableau19[Club],"",0,1)</f>
        <v/>
      </c>
      <c r="J42" s="1072"/>
      <c r="K42" s="1072"/>
      <c r="L42" s="1072"/>
      <c r="M42" s="1072" t="str">
        <f t="shared" si="34"/>
        <v/>
      </c>
      <c r="N42" s="657" t="str">
        <f t="shared" si="35"/>
        <v/>
      </c>
      <c r="O42" s="658" t="str" cm="1">
        <f t="array" ref="O42">_xlfn.XLOOKUP(C42,_xlfn.ANCHORARRAY($DK$7),$DR$7:$DR$42,"",0,1)</f>
        <v/>
      </c>
      <c r="P42" s="584" t="str">
        <f t="shared" si="36"/>
        <v/>
      </c>
      <c r="Q42" s="632" t="str">
        <f t="shared" si="37"/>
        <v/>
      </c>
      <c r="R42" s="650" t="str">
        <f>IF(C42="","",5)</f>
        <v/>
      </c>
      <c r="S42" s="581" t="str">
        <f>IF('GESTION DES JOUEURS'!$D$8="Open","",IF(AND(C42&lt;&gt;"",MAX('GESTION DES JOUEURS'!$A$11:$A$46)&gt;6,'GESTION DES JOUEURS'!$Y$8="JDSR"),_xlfn.XLOOKUP(B42,PTSRKMINITOURNOI[Clt],PTSRKMINITOURNOI[PR JDS 9],"",0,1),IF(AND(C42&lt;&gt;"",MAX('GESTION DES JOUEURS'!$A$11:$A$46)&lt;7,'GESTION DES JOUEURS'!$Y$8="JDSR"),_xlfn.XLOOKUP(B42,PTSRKMINITOURNOI[Clt],PTSRKMINITOURNOI[PR JDS],"",0,1),IF(AND(C42&lt;&gt;"",MAX('GESTION DES JOUEURS'!$A$11:$A$46)&lt;7,'GESTION DES JOUEURS'!$Y$8="R"),_xlfn.XLOOKUP(B42,PTSRKMINITOURNOI[Clt],PTSRKMINITOURNOI[PR 3B],"",0,1),IF(AND(C42&lt;&gt;"",MAX('GESTION DES JOUEURS'!$A$11:$A$46)&gt;6,'GESTION DES JOUEURS'!$Y$8="R"),_xlfn.XLOOKUP(B42,PTSRKTOURNOI[Clt],PTSRKTOURNOI[PR 3B],"",0,1),IF(AND(C42&lt;&gt;"",MAX('GESTION DES JOUEURS'!$A$11:$A$46)&gt;6,'GESTION DES JOUEURS'!$Y$8="Dames"),_xlfn.XLOOKUP(B42,PTSRKTOURNOI[Clt],PTSRKTOURNOI[[PR DAMES ]],"",0,1),IF(AND(C42&lt;&gt;"",'GESTION DES JOUEURS'!$Y$8="D"),_xlfn.XLOOKUP(B42,PTSRKMINITOURNOI[Clt],PTSRKMINITOURNOI[PR DISTRICT],"",0,1),"")))))))</f>
        <v/>
      </c>
      <c r="T42" s="585" t="str">
        <f>IF('GESTION DES JOUEURS'!$D$8="Open","",IF(AND(C42&lt;&gt;"",O42&gt;_xlfn.XLOOKUP('GESTION DES JOUEURS'!$D$4,Distances[Mode de jeu et cat.],Distances[M 3],"",0,1)),_xlfn.XLOOKUP('GESTION DES JOUEURS'!$D$4,Distances[Mode de jeu et cat.],Distances[BT3],"",0,1),IF(AND(C42&lt;&gt;"",O42&gt;_xlfn.XLOOKUP('GESTION DES JOUEURS'!$D$4,Distances[Mode de jeu et cat.],Distances[M 2],"",0,1)),_xlfn.XLOOKUP('GESTION DES JOUEURS'!$D$4,Distances[Mode de jeu et cat.],Distances[BT2],"",0,1),IF(AND(C42&lt;&gt;"",O42&gt;_xlfn.XLOOKUP('GESTION DES JOUEURS'!$D$4,Distances[Mode de jeu et cat.],Distances[M 1],"",0,1)),_xlfn.XLOOKUP('GESTION DES JOUEURS'!$D$4,Distances[Mode de jeu et cat.],Distances[BT1],"",0,1),""))))</f>
        <v/>
      </c>
      <c r="V42" s="1149"/>
      <c r="W42" s="1150"/>
      <c r="X42" s="1150"/>
      <c r="Y42" s="1151"/>
      <c r="Z42" s="566"/>
      <c r="AF42" s="371" t="str">
        <v>111337F</v>
      </c>
      <c r="BA42" s="244">
        <v>36</v>
      </c>
      <c r="BB42" s="443" t="str">
        <f>IF('GESTION DES JOUEURS'!B46="","",'GESTION DES JOUEURS'!B46)</f>
        <v/>
      </c>
      <c r="BC42" s="443" t="str" cm="1">
        <f t="array" ref="BC42:BS42">_xlfn.XLOOKUP('Phase finale'!BB42,PA!$B$37:$B$42,PA!$C$37:$S$42,_xlfn.XLOOKUP('Phase finale'!BB42,PB!$B$37:$B$42,PB!$C$37:$S$42,_xlfn.XLOOKUP('Phase finale'!BB42,PC!$B$37:$B$42,PC!$C$37:$S$42,_xlfn.XLOOKUP('Phase finale'!BB42,PD!$B$37:$B$42,PD!$C$37:$S$42,_xlfn.XLOOKUP('Phase finale'!BB42,PE!$B$37:$B$42,PE!$C$37:$S$42,_xlfn.XLOOKUP('Phase finale'!BB42,PF!$B$37:$B$42,PF!$C$37:$S$42,_xlfn.XLOOKUP('Phase finale'!BB42,PG!$B$37:$B$42,PG!$C$37:$S$42,_xlfn.XLOOKUP('Phase finale'!BB42,PH!$B$37:$B$42,PH!$C$37:$S$42,_xlfn.XLOOKUP('Phase finale'!BB42,PI!$B$37:$B$42,PI!$C$37:$S$42,_xlfn.XLOOKUP('Phase finale'!BB42,PJ!$B$37:$B$42,PJ!$C$37:$S$42,_xlfn.XLOOKUP('Phase finale'!BB42,PK!$B$37:$B$42,PK!$C$37:$S$42,_xlfn.XLOOKUP('Phase finale'!BB42,PL!$B$37:$B$42,PL!$C$37:$S$42,"",0,1),0,1),0,1),0,1),0,1),0,1),0,1),0,1),0,1),0,1),0,1),0,1)</f>
        <v/>
      </c>
      <c r="BD42" s="443">
        <v>0</v>
      </c>
      <c r="BE42" s="443" t="str">
        <v/>
      </c>
      <c r="BF42" s="443">
        <v>0</v>
      </c>
      <c r="BG42" s="443" t="str">
        <v/>
      </c>
      <c r="BH42" s="443">
        <v>0</v>
      </c>
      <c r="BI42" s="443">
        <v>0</v>
      </c>
      <c r="BJ42" s="443">
        <v>0</v>
      </c>
      <c r="BK42" s="443">
        <v>0</v>
      </c>
      <c r="BL42" s="443">
        <v>0</v>
      </c>
      <c r="BM42" s="443" t="str">
        <v/>
      </c>
      <c r="BN42" s="443" t="str">
        <v/>
      </c>
      <c r="BO42" s="443" t="str">
        <v/>
      </c>
      <c r="BP42" s="443" t="str">
        <v/>
      </c>
      <c r="BQ42" s="443" t="str">
        <v/>
      </c>
      <c r="BR42" s="443" t="str">
        <v/>
      </c>
      <c r="BS42" s="443" t="str">
        <v/>
      </c>
      <c r="BU42" s="244">
        <v>36</v>
      </c>
      <c r="BV42" s="244" t="str">
        <v>013335x</v>
      </c>
      <c r="BW42" s="244" t="str">
        <v>HANSEL</v>
      </c>
      <c r="BX42" s="244">
        <v>0</v>
      </c>
      <c r="BY42" s="244" t="str">
        <v>GERARD</v>
      </c>
      <c r="BZ42" s="244">
        <v>0</v>
      </c>
      <c r="CA42" s="244" t="str">
        <v>ACADEMIE DE BILLARD DE MAISONS ALFORT</v>
      </c>
      <c r="CB42" s="244">
        <v>0</v>
      </c>
      <c r="CC42" s="244">
        <v>0</v>
      </c>
      <c r="CD42" s="244">
        <v>0</v>
      </c>
      <c r="CE42" s="244">
        <v>0</v>
      </c>
      <c r="CF42" s="244">
        <v>0</v>
      </c>
      <c r="CG42" s="244">
        <v>0</v>
      </c>
      <c r="CH42" s="244">
        <v>1.8266666666666667</v>
      </c>
      <c r="CI42" s="244" t="str">
        <v>/</v>
      </c>
      <c r="CJ42" s="244">
        <v>9</v>
      </c>
      <c r="CK42" s="244">
        <v>3</v>
      </c>
      <c r="CL42" s="244">
        <v>3</v>
      </c>
      <c r="CM42" s="244">
        <v>2</v>
      </c>
      <c r="CO42" s="244">
        <f t="shared" si="12"/>
        <v>11</v>
      </c>
      <c r="CP42" s="244" t="str">
        <v/>
      </c>
      <c r="CQ42" s="244" t="str">
        <v/>
      </c>
      <c r="CR42" s="244">
        <v>0</v>
      </c>
      <c r="CS42" s="244" t="str">
        <v/>
      </c>
      <c r="CT42" s="244">
        <v>0</v>
      </c>
      <c r="CU42" s="244" t="str">
        <v/>
      </c>
      <c r="CV42" s="244">
        <v>0</v>
      </c>
      <c r="CW42" s="244">
        <v>0</v>
      </c>
      <c r="CX42" s="244">
        <v>0</v>
      </c>
      <c r="CY42" s="244">
        <v>0</v>
      </c>
      <c r="CZ42" s="244">
        <v>0</v>
      </c>
      <c r="DA42" s="244" t="str">
        <v/>
      </c>
      <c r="DB42" s="244" t="str">
        <v/>
      </c>
      <c r="DC42" s="244" t="str">
        <v/>
      </c>
      <c r="DD42" s="244" t="str">
        <v/>
      </c>
      <c r="DE42" s="244" t="str">
        <v/>
      </c>
      <c r="DF42" s="244" t="str">
        <v/>
      </c>
      <c r="DG42" s="244" t="str">
        <v/>
      </c>
      <c r="DH42" s="244" t="str" cm="1">
        <f t="array" ref="DH42">_xlfn.XLOOKUP(CP42,Tableau19[Licence],'GESTION DES JOUEURS'!$O$11:$O$46,"",0,1)</f>
        <v/>
      </c>
      <c r="DI42" s="471" t="str">
        <f>IF('GESTION DES JOUEURS'!$X$8="Libre",_xlfn.XLOOKUP(DH42,Tableau13[Cat.],Tableau13[Libre],"",0,1),IF('GESTION DES JOUEURS'!$X$8="Bande",_xlfn.XLOOKUP(DH42,Tableau13[Cat.],Tableau13[bande],"",0,1),IF('GESTION DES JOUEURS'!$X$8="Cadre",_xlfn.XLOOKUP(DH42,Tableau13[Cat.],Tableau13[Cadre],"",0,1),IF('GESTION DES JOUEURS'!$X$8="3 Bandes",_xlfn.XLOOKUP(DH42,Tableau13[Cat.],Tableau13[3 Bandes],"",0,1),""))))</f>
        <v/>
      </c>
      <c r="DK42" s="443" t="str">
        <v>013335x</v>
      </c>
      <c r="DL42" s="443">
        <f>SUM(SUMIFS($N$9:$N$34,$F$9:$F$34,DK42,$A$9:$A$34,"P"),SUMIFS($P$9:$P$34,$V$9:$V$34,DK42,$A$9:$A$34,"P"),SUMIFS(Consolante!$P$9:$P$34,Consolante!$V$9:$V$34,DK42,Consolante!$A$9:$A$34,"P"),SUMIFS(Consolante!$N$9:$N$34,Consolante!$F$9:$F$34,DK42,Consolante!$A$9:$A$34,"P"))</f>
        <v>0</v>
      </c>
      <c r="DM42" s="443">
        <f>SUM(SUMIFS($O$9:$O$34,$F$9:$F$34,DK42,$A$9:$A$34,"P",$Y$9:$Y$34,FALSE),SUMIFS($O$9:$O$34,$F$9:$F$34,DK42,$A$9:$A$34,"P",$Y$9:$Y$34,TRUE)/_xlfn.XLOOKUP('GESTION DES JOUEURS'!$X$8&amp;RIGHT('GESTION DES JOUEURS'!$Y$8,1),Tableau14[Colonne1],Tableau14[coef. 2,80/3,10],"",0,1),SUMIFS($O$9:$O$34,$V$9:$V$34,DK42,$A$9:$A$34,"P",$Y$9:$Y$34,FALSE),SUMIFS($O$9:$O$34,$V$9:$V$34,DK42,$A$9:$A$34,"P",$Y$9:$Y$34,TRUE)/_xlfn.XLOOKUP('GESTION DES JOUEURS'!$X$8&amp;RIGHT('GESTION DES JOUEURS'!$Y$8,1),Tableau14[Colonne1],Tableau14[coef. 2,80/3,10],"",0,1),_xlfn.XLOOKUP(DK42,Consolante!$CP$7:$CP$22,Consolante!$CR$7:$CR$22,0,0,1))</f>
        <v>0</v>
      </c>
      <c r="DN42" s="447" t="str">
        <f t="shared" si="13"/>
        <v/>
      </c>
      <c r="DO42" s="443"/>
      <c r="DP42" s="443">
        <f>_xlfn.XLOOKUP(DK42,PA!$B$6:$B$11,PA!$P$6:$P$11,_xlfn.XLOOKUP(DK42,PB!$B$6:$B$11,PB!$P$6:$P$11,_xlfn.XLOOKUP(DK42,PC!$B$6:$B$11,PC!$P$6:$P$11,_xlfn.XLOOKUP(DK42,PD!$B$6:$B$11,PD!$P$6:$P$11,_xlfn.XLOOKUP(DK42,PE!$B$6:$B$11,PE!$P$6:$P$11,_xlfn.XLOOKUP(DK42,PF!$B$6:$B$11,PF!$P$6:$P$11,_xlfn.XLOOKUP(DK42,PG!$B$6:$B$11,PG!$P$6:$P$11,_xlfn.XLOOKUP(DK42,PH!$B$6:$B$11,PH!$P$6:$P$11,_xlfn.XLOOKUP(DK42,PI!$B$6:$B$11,PI!$P$6:$P$11,_xlfn.XLOOKUP(DK42,PJ!$B$6:$B$11,PJ!$P$6:$P$11,_xlfn.XLOOKUP(DK42,PK!$B$6:$B$11,PK!$P$6:$P$11,_xlfn.XLOOKUP(DK42,PL!$B$6:$B$11,PL!$P$6:$P$11,"",0,1),0,1),0,1),0,1),0,1),0,1),0,1),0,1),0,1),0,1),0,1),0,1)</f>
        <v>137</v>
      </c>
      <c r="DQ42" s="443">
        <f>_xlfn.XLOOKUP(DK42,PA!$B$6:$B$11,PA!$Q$6:$Q$11,_xlfn.XLOOKUP(DK42,PB!$B$6:$B$11,PB!$Q$6:$Q$11,_xlfn.XLOOKUP(DK42,PC!$B$6:$B$11,PC!$Q$6:$Q$11,_xlfn.XLOOKUP(DK42,PD!$B$6:$B$11,PD!$Q$6:$Q$11,_xlfn.XLOOKUP(DK42,PE!$B$6:$B$11,PE!$Q$6:$Q$11,_xlfn.XLOOKUP(DK42,PF!$B$6:$B$11,PF!$Q$6:$Q$11,_xlfn.XLOOKUP(DK42,PG!$B$6:$B$11,PG!$Q$6:$Q$11,_xlfn.XLOOKUP(DK42,PH!$B$6:$B$11,PH!$Q$6:$Q$11,_xlfn.XLOOKUP(DK42,PI!$B$6:$B$11,PI!$Q$6:$Q$11,_xlfn.XLOOKUP(DK42,PJ!$B$6:$B$11,PJ!$Q$6:$Q$11,_xlfn.XLOOKUP(DK42,PK!$B$6:$B$11,PK!$Q$6:$Q$11,_xlfn.XLOOKUP(DK42,PL!$B$6:$B$11,PL!$Q$6:$Q$11,"",0,1),0,1),0,1),0,1),0,1),0,1),0,1),0,1),0,1),0,1),0,1),0,1)</f>
        <v>75</v>
      </c>
      <c r="DR42" s="244">
        <f>IFERROR(('Phase finale'!DL42+'Phase finale'!DP42)/('Phase finale'!DM42+'Phase finale'!DQ42),"")</f>
        <v>1.8266666666666667</v>
      </c>
      <c r="DW42" s="244">
        <v>3</v>
      </c>
      <c r="DX42" s="244" t="str">
        <f t="shared" si="38"/>
        <v/>
      </c>
    </row>
    <row r="43" spans="1:137" ht="14.45" customHeight="1" thickBot="1" x14ac:dyDescent="0.3">
      <c r="B43" s="650">
        <v>6</v>
      </c>
      <c r="C43" s="650" t="str">
        <f>IF(AND('Phase finale'!A9="P",'GESTION DES JOUEURS'!$D$8="Open"),AF41,IF(A33="P",(IF(OR(D33&lt;X33,R33=TRUE),F33,IF(OR(X33&lt;D33,L33=TRUE),V33,""))),""))</f>
        <v/>
      </c>
      <c r="D43" s="1160" t="str">
        <f>_xlfn.XLOOKUP(C43,Tableau19[Licence],Tableau19[Nom],"",0,1)</f>
        <v/>
      </c>
      <c r="E43" s="1072"/>
      <c r="F43" s="1072" t="str">
        <f>_xlfn.XLOOKUP(C43,Tableau19[Licence],Tableau19[[prénom ]],"",0,1)</f>
        <v/>
      </c>
      <c r="G43" s="1072"/>
      <c r="H43" s="1072"/>
      <c r="I43" s="1072" t="str">
        <f>_xlfn.XLOOKUP(C43,Tableau19[Licence],Tableau19[Club],"",0,1)</f>
        <v/>
      </c>
      <c r="J43" s="1072"/>
      <c r="K43" s="1072"/>
      <c r="L43" s="1072"/>
      <c r="M43" s="1072" t="str">
        <f t="shared" si="34"/>
        <v/>
      </c>
      <c r="N43" s="657" t="str">
        <f t="shared" si="35"/>
        <v/>
      </c>
      <c r="O43" s="658" t="str" cm="1">
        <f t="array" ref="O43">_xlfn.XLOOKUP(C43,_xlfn.ANCHORARRAY($DK$7),$DR$7:$DR$42,"",0,1)</f>
        <v/>
      </c>
      <c r="P43" s="584" t="str">
        <f t="shared" si="36"/>
        <v/>
      </c>
      <c r="Q43" s="632" t="str">
        <f t="shared" si="37"/>
        <v/>
      </c>
      <c r="R43" s="650" t="str">
        <f>IF(C43="","",6)</f>
        <v/>
      </c>
      <c r="S43" s="581" t="str">
        <f>IF('GESTION DES JOUEURS'!$D$8="Open","",IF(AND(C43&lt;&gt;"",MAX('GESTION DES JOUEURS'!$A$11:$A$46)&gt;6,'GESTION DES JOUEURS'!$Y$8="JDSR"),_xlfn.XLOOKUP(B43,PTSRKMINITOURNOI[Clt],PTSRKMINITOURNOI[PR JDS 9],"",0,1),IF(AND(C43&lt;&gt;"",MAX('GESTION DES JOUEURS'!$A$11:$A$46)&lt;7,'GESTION DES JOUEURS'!$Y$8="JDSR"),_xlfn.XLOOKUP(B43,PTSRKMINITOURNOI[Clt],PTSRKMINITOURNOI[PR JDS],"",0,1),IF(AND(C43&lt;&gt;"",MAX('GESTION DES JOUEURS'!$A$11:$A$46)&lt;7,'GESTION DES JOUEURS'!$Y$8="R"),_xlfn.XLOOKUP(B43,PTSRKMINITOURNOI[Clt],PTSRKMINITOURNOI[PR 3B],"",0,1),IF(AND(C43&lt;&gt;"",MAX('GESTION DES JOUEURS'!$A$11:$A$46)&gt;6,'GESTION DES JOUEURS'!$Y$8="R"),_xlfn.XLOOKUP(B43,PTSRKTOURNOI[Clt],PTSRKTOURNOI[PR 3B],"",0,1),IF(AND(C43&lt;&gt;"",MAX('GESTION DES JOUEURS'!$A$11:$A$46)&gt;6,'GESTION DES JOUEURS'!$Y$8="Dames"),_xlfn.XLOOKUP(B43,PTSRKTOURNOI[Clt],PTSRKTOURNOI[[PR DAMES ]],"",0,1),IF(AND(C43&lt;&gt;"",'GESTION DES JOUEURS'!$Y$8="D"),_xlfn.XLOOKUP(B43,PTSRKMINITOURNOI[Clt],PTSRKMINITOURNOI[PR DISTRICT],"",0,1),"")))))))</f>
        <v/>
      </c>
      <c r="T43" s="585" t="str">
        <f>IF('GESTION DES JOUEURS'!$D$8="Open","",IF(AND(C43&lt;&gt;"",O43&gt;_xlfn.XLOOKUP('GESTION DES JOUEURS'!$D$4,Distances[Mode de jeu et cat.],Distances[M 3],"",0,1)),_xlfn.XLOOKUP('GESTION DES JOUEURS'!$D$4,Distances[Mode de jeu et cat.],Distances[BT3],"",0,1),IF(AND(C43&lt;&gt;"",O43&gt;_xlfn.XLOOKUP('GESTION DES JOUEURS'!$D$4,Distances[Mode de jeu et cat.],Distances[M 2],"",0,1)),_xlfn.XLOOKUP('GESTION DES JOUEURS'!$D$4,Distances[Mode de jeu et cat.],Distances[BT2],"",0,1),IF(AND(C43&lt;&gt;"",O43&gt;_xlfn.XLOOKUP('GESTION DES JOUEURS'!$D$4,Distances[Mode de jeu et cat.],Distances[M 1],"",0,1)),_xlfn.XLOOKUP('GESTION DES JOUEURS'!$D$4,Distances[Mode de jeu et cat.],Distances[BT1],"",0,1),""))))</f>
        <v/>
      </c>
      <c r="V43" s="1149"/>
      <c r="W43" s="1150"/>
      <c r="X43" s="1150"/>
      <c r="Y43" s="1151"/>
      <c r="Z43" s="566"/>
      <c r="AF43" s="371" t="str">
        <v>154178K</v>
      </c>
      <c r="CO43" s="563">
        <f>CO42/2</f>
        <v>5.5</v>
      </c>
      <c r="DH43" s="244" t="str" cm="1">
        <f t="array" ref="DH43">_xlfn.XLOOKUP(CP43,Tableau19[Licence],'GESTION DES JOUEURS'!$O$11:$O$46,"",0,1)</f>
        <v/>
      </c>
      <c r="DI43" s="471" t="str">
        <f>IF('GESTION DES JOUEURS'!$X$8="Libre",_xlfn.XLOOKUP(DH43,Tableau13[Cat.],Tableau13[Libre],"",0,1),IF('GESTION DES JOUEURS'!$X$8="Bande",_xlfn.XLOOKUP(DH43,Tableau13[Cat.],Tableau13[bande],"",0,1),IF('GESTION DES JOUEURS'!$X$8="Cadre",_xlfn.XLOOKUP(DH43,Tableau13[Cat.],Tableau13[Cadre],"",0,1),IF('GESTION DES JOUEURS'!$X$8="3 Bandes",_xlfn.XLOOKUP(DH43,Tableau13[Cat.],Tableau13[3 Bandes],"",0,1),""))))</f>
        <v/>
      </c>
      <c r="DW43" s="244">
        <v>4</v>
      </c>
      <c r="DX43" s="244" t="str">
        <f t="shared" si="38"/>
        <v/>
      </c>
    </row>
    <row r="44" spans="1:137" ht="14.45" customHeight="1" x14ac:dyDescent="0.25">
      <c r="B44" s="650">
        <v>7</v>
      </c>
      <c r="C44" s="650" t="str">
        <f>IF(AND('Phase finale'!A9="P",'GESTION DES JOUEURS'!$D$8="Open"),AF42,IF(A34="P",(IF(OR($D$34&gt;$X$34,L34=TRUE),F34,IF(OR($X$34&gt;$D$34,R34=TRUE),V34,""))),""))</f>
        <v/>
      </c>
      <c r="D44" s="1160" t="str">
        <f>_xlfn.XLOOKUP(C44,Tableau19[Licence],Tableau19[Nom],"",0,1)</f>
        <v/>
      </c>
      <c r="E44" s="1072"/>
      <c r="F44" s="1072" t="str">
        <f>_xlfn.XLOOKUP(C44,Tableau19[Licence],Tableau19[[prénom ]],"",0,1)</f>
        <v/>
      </c>
      <c r="G44" s="1072"/>
      <c r="H44" s="1072"/>
      <c r="I44" s="1072" t="str">
        <f>_xlfn.XLOOKUP(C44,Tableau19[Licence],Tableau19[Club],"",0,1)</f>
        <v/>
      </c>
      <c r="J44" s="1072"/>
      <c r="K44" s="1072"/>
      <c r="L44" s="1072"/>
      <c r="M44" s="1072" t="str">
        <f t="shared" si="34"/>
        <v/>
      </c>
      <c r="N44" s="657" t="str">
        <f t="shared" si="35"/>
        <v/>
      </c>
      <c r="O44" s="658" t="str" cm="1">
        <f t="array" ref="O44">_xlfn.XLOOKUP(C44,_xlfn.ANCHORARRAY($DK$7),$DR$7:$DR$42,"",0,1)</f>
        <v/>
      </c>
      <c r="P44" s="584" t="str">
        <f t="shared" si="36"/>
        <v/>
      </c>
      <c r="Q44" s="632" t="str">
        <f t="shared" si="37"/>
        <v/>
      </c>
      <c r="R44" s="650" t="str">
        <f>IF(C44="","",7)</f>
        <v/>
      </c>
      <c r="S44" s="581" t="str">
        <f>IF('GESTION DES JOUEURS'!$D$8="Open","",IF(AND(C44&lt;&gt;"",MAX('GESTION DES JOUEURS'!$A$11:$A$46)&gt;6,'GESTION DES JOUEURS'!$Y$8="JDSR"),_xlfn.XLOOKUP(B44,PTSRKMINITOURNOI[Clt],PTSRKMINITOURNOI[PR JDS 9],"",0,1),IF(AND(C44&lt;&gt;"",MAX('GESTION DES JOUEURS'!$A$11:$A$46)&lt;7,'GESTION DES JOUEURS'!$Y$8="JDSR"),_xlfn.XLOOKUP(B44,PTSRKMINITOURNOI[Clt],PTSRKMINITOURNOI[PR JDS],"",0,1),IF(AND(C44&lt;&gt;"",MAX('GESTION DES JOUEURS'!$A$11:$A$46)&lt;7,'GESTION DES JOUEURS'!$Y$8="R"),_xlfn.XLOOKUP(B44,PTSRKMINITOURNOI[Clt],PTSRKMINITOURNOI[PR 3B],"",0,1),IF(AND(C44&lt;&gt;"",MAX('GESTION DES JOUEURS'!$A$11:$A$46)&gt;6,'GESTION DES JOUEURS'!$Y$8="R"),_xlfn.XLOOKUP(B44,PTSRKTOURNOI[Clt],PTSRKTOURNOI[PR 3B],"",0,1),IF(AND(C44&lt;&gt;"",MAX('GESTION DES JOUEURS'!$A$11:$A$46)&gt;6,'GESTION DES JOUEURS'!$Y$8="Dames"),_xlfn.XLOOKUP(B44,PTSRKTOURNOI[Clt],PTSRKTOURNOI[[PR DAMES ]],"",0,1),IF(AND(C44&lt;&gt;"",'GESTION DES JOUEURS'!$Y$8="D"),_xlfn.XLOOKUP(B44,PTSRKMINITOURNOI[Clt],PTSRKMINITOURNOI[PR DISTRICT],"",0,1),"")))))))</f>
        <v/>
      </c>
      <c r="T44" s="585" t="str">
        <f>IF('GESTION DES JOUEURS'!$D$8="Open","",IF(AND(C44&lt;&gt;"",O44&gt;_xlfn.XLOOKUP('GESTION DES JOUEURS'!$D$4,Distances[Mode de jeu et cat.],Distances[M 3],"",0,1)),_xlfn.XLOOKUP('GESTION DES JOUEURS'!$D$4,Distances[Mode de jeu et cat.],Distances[BT3],"",0,1),IF(AND(C44&lt;&gt;"",O44&gt;_xlfn.XLOOKUP('GESTION DES JOUEURS'!$D$4,Distances[Mode de jeu et cat.],Distances[M 2],"",0,1)),_xlfn.XLOOKUP('GESTION DES JOUEURS'!$D$4,Distances[Mode de jeu et cat.],Distances[BT2],"",0,1),IF(AND(C44&lt;&gt;"",O44&gt;_xlfn.XLOOKUP('GESTION DES JOUEURS'!$D$4,Distances[Mode de jeu et cat.],Distances[M 1],"",0,1)),_xlfn.XLOOKUP('GESTION DES JOUEURS'!$D$4,Distances[Mode de jeu et cat.],Distances[BT1],"",0,1),""))))</f>
        <v/>
      </c>
      <c r="V44" s="1149"/>
      <c r="W44" s="1150"/>
      <c r="X44" s="1150"/>
      <c r="Y44" s="1151"/>
      <c r="Z44" s="566"/>
      <c r="AA44" s="926" t="s">
        <v>5447</v>
      </c>
      <c r="AF44" s="371" t="str">
        <v>118031R</v>
      </c>
      <c r="DW44" s="244">
        <v>5</v>
      </c>
      <c r="DX44" s="244" t="str">
        <f t="shared" si="38"/>
        <v/>
      </c>
    </row>
    <row r="45" spans="1:137" ht="14.45" customHeight="1" thickBot="1" x14ac:dyDescent="0.3">
      <c r="B45" s="651">
        <v>8</v>
      </c>
      <c r="C45" s="651" t="str">
        <f>IF(AND('Phase finale'!A9="P",'GESTION DES JOUEURS'!$D$8="Open"),AF43,IF(A34="P",(IF(OR(D34&lt;X34,R34=TRUE),F34,IF(OR(X34&lt;D34,L34=TRUE),V34,""))),""))</f>
        <v/>
      </c>
      <c r="D45" s="1161" t="str">
        <f>_xlfn.XLOOKUP(C45,Tableau19[Licence],Tableau19[Nom],"",0,1)</f>
        <v/>
      </c>
      <c r="E45" s="1073"/>
      <c r="F45" s="1073" t="str">
        <f>_xlfn.XLOOKUP(C45,Tableau19[Licence],Tableau19[[prénom ]],"",0,1)</f>
        <v/>
      </c>
      <c r="G45" s="1073"/>
      <c r="H45" s="1073"/>
      <c r="I45" s="1073" t="str">
        <f>_xlfn.XLOOKUP(C45,Tableau19[Licence],Tableau19[Club],"",0,1)</f>
        <v/>
      </c>
      <c r="J45" s="1073"/>
      <c r="K45" s="1073"/>
      <c r="L45" s="1073"/>
      <c r="M45" s="1073" t="str">
        <f t="shared" si="34"/>
        <v/>
      </c>
      <c r="N45" s="673" t="str">
        <f t="shared" si="35"/>
        <v/>
      </c>
      <c r="O45" s="674" t="str" cm="1">
        <f t="array" ref="O45">_xlfn.XLOOKUP(C45,_xlfn.ANCHORARRAY($DK$7),$DR$7:$DR$42,"",0,1)</f>
        <v/>
      </c>
      <c r="P45" s="588" t="str">
        <f t="shared" si="36"/>
        <v/>
      </c>
      <c r="Q45" s="633" t="str">
        <f t="shared" si="37"/>
        <v/>
      </c>
      <c r="R45" s="651" t="str">
        <f>IF(C45="","",8)</f>
        <v/>
      </c>
      <c r="S45" s="586" t="str">
        <f>IF('GESTION DES JOUEURS'!$D$8="Open","",IF(AND(C45&lt;&gt;"",MAX('GESTION DES JOUEURS'!$A$11:$A$46)&gt;6,'GESTION DES JOUEURS'!$Y$8="JDSR"),_xlfn.XLOOKUP(B45,PTSRKMINITOURNOI[Clt],PTSRKMINITOURNOI[PR JDS 9],"",0,1),IF(AND(C45&lt;&gt;"",MAX('GESTION DES JOUEURS'!$A$11:$A$46)&lt;7,'GESTION DES JOUEURS'!$Y$8="JDSR"),_xlfn.XLOOKUP(B45,PTSRKMINITOURNOI[Clt],PTSRKMINITOURNOI[PR JDS],"",0,1),IF(AND(C45&lt;&gt;"",MAX('GESTION DES JOUEURS'!$A$11:$A$46)&lt;7,'GESTION DES JOUEURS'!$Y$8="R"),_xlfn.XLOOKUP(B45,PTSRKMINITOURNOI[Clt],PTSRKMINITOURNOI[PR 3B],"",0,1),IF(AND(C45&lt;&gt;"",MAX('GESTION DES JOUEURS'!$A$11:$A$46)&gt;6,'GESTION DES JOUEURS'!$Y$8="R"),_xlfn.XLOOKUP(B45,PTSRKTOURNOI[Clt],PTSRKTOURNOI[PR 3B],"",0,1),IF(AND(C45&lt;&gt;"",MAX('GESTION DES JOUEURS'!$A$11:$A$46)&gt;6,'GESTION DES JOUEURS'!$Y$8="Dames"),_xlfn.XLOOKUP(B45,PTSRKTOURNOI[Clt],PTSRKTOURNOI[[PR DAMES ]],"",0,1),IF(AND(C45&lt;&gt;"",'GESTION DES JOUEURS'!$Y$8="D"),_xlfn.XLOOKUP(B45,PTSRKMINITOURNOI[Clt],PTSRKMINITOURNOI[PR DISTRICT],"",0,1),"")))))))</f>
        <v/>
      </c>
      <c r="T45" s="589" t="str">
        <f>IF('GESTION DES JOUEURS'!$D$8="Open","",IF(AND(C45&lt;&gt;"",O45&gt;_xlfn.XLOOKUP('GESTION DES JOUEURS'!$D$4,Distances[Mode de jeu et cat.],Distances[M 3],"",0,1)),_xlfn.XLOOKUP('GESTION DES JOUEURS'!$D$4,Distances[Mode de jeu et cat.],Distances[BT3],"",0,1),IF(AND(C45&lt;&gt;"",O45&gt;_xlfn.XLOOKUP('GESTION DES JOUEURS'!$D$4,Distances[Mode de jeu et cat.],Distances[M 2],"",0,1)),_xlfn.XLOOKUP('GESTION DES JOUEURS'!$D$4,Distances[Mode de jeu et cat.],Distances[BT2],"",0,1),IF(AND(C45&lt;&gt;"",O45&gt;_xlfn.XLOOKUP('GESTION DES JOUEURS'!$D$4,Distances[Mode de jeu et cat.],Distances[M 1],"",0,1)),_xlfn.XLOOKUP('GESTION DES JOUEURS'!$D$4,Distances[Mode de jeu et cat.],Distances[BT1],"",0,1),""))))</f>
        <v/>
      </c>
      <c r="V45" s="1149"/>
      <c r="W45" s="1150"/>
      <c r="X45" s="1150"/>
      <c r="Y45" s="1151"/>
      <c r="Z45" s="566"/>
      <c r="AA45" s="927"/>
      <c r="AF45" s="371" t="str">
        <v>183133H</v>
      </c>
      <c r="DW45" s="244">
        <v>6</v>
      </c>
      <c r="DX45" s="244" t="str">
        <f t="shared" si="38"/>
        <v/>
      </c>
    </row>
    <row r="46" spans="1:137" ht="14.45" customHeight="1" thickBot="1" x14ac:dyDescent="0.3">
      <c r="B46" s="652">
        <v>9</v>
      </c>
      <c r="C46" s="652" t="str">
        <f>IF(AND('Phase finale'!A9="P",'GESTION DES JOUEURS'!$D$8="Open"),AF44,IF('GESTION DES JOUEURS'!$D$8="Tournoi",BV15,""))</f>
        <v/>
      </c>
      <c r="D46" s="1061" t="str">
        <f>_xlfn.XLOOKUP(C46,Tableau19[Licence],Tableau19[Nom],"",0,1)</f>
        <v/>
      </c>
      <c r="E46" s="1062"/>
      <c r="F46" s="1062" t="str">
        <f>_xlfn.XLOOKUP(C46,Tableau19[Licence],Tableau19[[prénom ]],"",0,1)</f>
        <v/>
      </c>
      <c r="G46" s="1062"/>
      <c r="H46" s="1062"/>
      <c r="I46" s="1062" t="str">
        <f>_xlfn.XLOOKUP(C46,Tableau19[Licence],Tableau19[Club],"",0,1)</f>
        <v/>
      </c>
      <c r="J46" s="1062"/>
      <c r="K46" s="1062"/>
      <c r="L46" s="1062"/>
      <c r="M46" s="1062" t="str">
        <f t="shared" si="34"/>
        <v/>
      </c>
      <c r="N46" s="604" t="str">
        <f t="shared" si="35"/>
        <v/>
      </c>
      <c r="O46" s="603" t="str" cm="1">
        <f t="array" ref="O46">_xlfn.XLOOKUP(C46,_xlfn.ANCHORARRAY($DK$7),$DR$7:$DR$42,"",0,1)</f>
        <v/>
      </c>
      <c r="P46" s="603" t="str">
        <f t="shared" si="36"/>
        <v/>
      </c>
      <c r="Q46" s="634" t="str">
        <f t="shared" si="37"/>
        <v/>
      </c>
      <c r="R46" s="652" t="str">
        <f>IF(C46="","",9)</f>
        <v/>
      </c>
      <c r="S46" s="671" t="str">
        <f>IF('GESTION DES JOUEURS'!$D$8="Open","",IF(AND(C46&lt;&gt;"",MAX('GESTION DES JOUEURS'!$A$11:$A$46)&gt;6,'GESTION DES JOUEURS'!$Y$8="JDSR"),_xlfn.XLOOKUP(B46,PTSRKMINITOURNOI[Clt],PTSRKMINITOURNOI[PR JDS 9],"",0,1),IF(AND(C46&lt;&gt;"",MAX('GESTION DES JOUEURS'!$A$11:$A$46)&lt;7,'GESTION DES JOUEURS'!$Y$8="JDSR"),_xlfn.XLOOKUP(B46,PTSRKMINITOURNOI[Clt],PTSRKMINITOURNOI[PR JDS],"",0,1),IF(AND(C46&lt;&gt;"",MAX('GESTION DES JOUEURS'!$A$11:$A$46)&lt;7,'GESTION DES JOUEURS'!$Y$8="R"),_xlfn.XLOOKUP(B46,PTSRKMINITOURNOI[Clt],PTSRKMINITOURNOI[PR 3B],"",0,1),IF(AND(C46&lt;&gt;"",MAX('GESTION DES JOUEURS'!$A$11:$A$46)&gt;6,'GESTION DES JOUEURS'!$Y$8="R"),_xlfn.XLOOKUP(B46,PTSRKTOURNOI[Clt],PTSRKTOURNOI[PR 3B],"",0,1),IF(AND(C46&lt;&gt;"",MAX('GESTION DES JOUEURS'!$A$11:$A$46)&gt;6,'GESTION DES JOUEURS'!$Y$8="Dames"),_xlfn.XLOOKUP(B46,PTSRKTOURNOI[Clt],PTSRKTOURNOI[[PR DAMES ]],"",0,1),IF(AND(C46&lt;&gt;"",'GESTION DES JOUEURS'!$Y$8="D"),_xlfn.XLOOKUP(B46,PTSRKMINITOURNOI[Clt],PTSRKMINITOURNOI[PR DISTRICT],"",0,1),"")))))))</f>
        <v/>
      </c>
      <c r="T46" s="672" t="str">
        <f>IF('GESTION DES JOUEURS'!$D$8="Open","",IF(AND(C46&lt;&gt;"",O46&gt;_xlfn.XLOOKUP('GESTION DES JOUEURS'!$D$4,Distances[Mode de jeu et cat.],Distances[M 3],"",0,1)),_xlfn.XLOOKUP('GESTION DES JOUEURS'!$D$4,Distances[Mode de jeu et cat.],Distances[BT3],"",0,1),IF(AND(C46&lt;&gt;"",O46&gt;_xlfn.XLOOKUP('GESTION DES JOUEURS'!$D$4,Distances[Mode de jeu et cat.],Distances[M 2],"",0,1)),_xlfn.XLOOKUP('GESTION DES JOUEURS'!$D$4,Distances[Mode de jeu et cat.],Distances[BT2],"",0,1),IF(AND(C46&lt;&gt;"",O46&gt;_xlfn.XLOOKUP('GESTION DES JOUEURS'!$D$4,Distances[Mode de jeu et cat.],Distances[M 1],"",0,1)),_xlfn.XLOOKUP('GESTION DES JOUEURS'!$D$4,Distances[Mode de jeu et cat.],Distances[BT1],"",0,1),""))))</f>
        <v/>
      </c>
      <c r="V46" s="1152"/>
      <c r="W46" s="1153"/>
      <c r="X46" s="1153"/>
      <c r="Y46" s="1154"/>
      <c r="Z46" s="566"/>
      <c r="AA46" s="928"/>
      <c r="AF46" s="371" t="str">
        <v>157535J</v>
      </c>
      <c r="DW46" s="244">
        <v>7</v>
      </c>
      <c r="DX46" s="244" t="str">
        <f t="shared" si="38"/>
        <v/>
      </c>
    </row>
    <row r="47" spans="1:137" ht="14.45" customHeight="1" x14ac:dyDescent="0.25">
      <c r="B47" s="653" t="str">
        <f>IF(AND('Phase finale'!$A$9="P",'GESTION DES JOUEURS'!$D$8="Open"),B46+1,"")</f>
        <v/>
      </c>
      <c r="C47" s="653" t="str">
        <f>IF(AND('Phase finale'!$A$9="P",'GESTION DES JOUEURS'!$D$8="Open"),AF45,"")</f>
        <v/>
      </c>
      <c r="D47" s="1155" t="str">
        <f>_xlfn.XLOOKUP(C47,Tableau19[Licence],Tableau19[Nom],"",0,1)</f>
        <v/>
      </c>
      <c r="E47" s="1156"/>
      <c r="F47" s="1156" t="str">
        <f>_xlfn.XLOOKUP(C47,Tableau19[Licence],Tableau19[[prénom ]],"",0,1)</f>
        <v/>
      </c>
      <c r="G47" s="1156"/>
      <c r="H47" s="1156"/>
      <c r="I47" s="1156" t="str">
        <f>_xlfn.XLOOKUP(C47,Tableau19[Licence],Tableau19[Club],"",0,1)</f>
        <v/>
      </c>
      <c r="J47" s="1156"/>
      <c r="K47" s="1156"/>
      <c r="L47" s="1156"/>
      <c r="M47" s="1156" t="str">
        <f t="shared" ref="M47:M53" si="39">IF(C47="","",_xlfn.XLOOKUP(C47,$B$6:$B$11,$V$6:$V$23,"",0,1))</f>
        <v/>
      </c>
      <c r="N47" s="609" t="str">
        <f t="shared" si="35"/>
        <v/>
      </c>
      <c r="O47" s="608" t="str" cm="1">
        <f t="array" ref="O47">_xlfn.XLOOKUP(C47,_xlfn.ANCHORARRAY($DK$7),$DR$7:$DR$42,"",0,1)</f>
        <v/>
      </c>
      <c r="P47" s="608" t="str">
        <f t="shared" si="36"/>
        <v/>
      </c>
      <c r="Q47" s="635" t="str">
        <f t="shared" si="37"/>
        <v/>
      </c>
      <c r="R47" s="653" t="str">
        <f>IF(C47="","",10)</f>
        <v/>
      </c>
      <c r="S47" s="606"/>
      <c r="T47" s="610"/>
      <c r="AF47" s="371" t="str">
        <v>154522J</v>
      </c>
      <c r="DW47" s="244">
        <v>8</v>
      </c>
      <c r="DX47" s="244" t="str">
        <f>F23</f>
        <v/>
      </c>
    </row>
    <row r="48" spans="1:137" ht="14.45" customHeight="1" x14ac:dyDescent="0.25">
      <c r="B48" s="653" t="str">
        <f>IF(AND('Phase finale'!$A$9="P",'GESTION DES JOUEURS'!$D$8="Open"),B47+1,"")</f>
        <v/>
      </c>
      <c r="C48" s="653" t="str">
        <f>IF(AND('Phase finale'!$A$9="P",'GESTION DES JOUEURS'!$D$8="Open"),AF46,"")</f>
        <v/>
      </c>
      <c r="D48" s="1155" t="str">
        <f>_xlfn.XLOOKUP(C48,Tableau19[Licence],Tableau19[Nom],"",0,1)</f>
        <v/>
      </c>
      <c r="E48" s="1156"/>
      <c r="F48" s="1156" t="str">
        <f>_xlfn.XLOOKUP(C48,Tableau19[Licence],Tableau19[[prénom ]],"",0,1)</f>
        <v/>
      </c>
      <c r="G48" s="1156"/>
      <c r="H48" s="1156"/>
      <c r="I48" s="1156" t="str">
        <f>_xlfn.XLOOKUP(C48,Tableau19[Licence],Tableau19[Club],"",0,1)</f>
        <v/>
      </c>
      <c r="J48" s="1156"/>
      <c r="K48" s="1156"/>
      <c r="L48" s="1156"/>
      <c r="M48" s="1156" t="str">
        <f t="shared" si="39"/>
        <v/>
      </c>
      <c r="N48" s="609" t="str">
        <f t="shared" si="35"/>
        <v/>
      </c>
      <c r="O48" s="608" t="str" cm="1">
        <f t="array" ref="O48">_xlfn.XLOOKUP(C48,_xlfn.ANCHORARRAY($DK$7),$DR$7:$DR$42,"",0,1)</f>
        <v/>
      </c>
      <c r="P48" s="608" t="str">
        <f t="shared" si="36"/>
        <v/>
      </c>
      <c r="Q48" s="635" t="str">
        <f t="shared" si="37"/>
        <v/>
      </c>
      <c r="R48" s="653" t="str">
        <f>IF(C48="","",11)</f>
        <v/>
      </c>
      <c r="S48" s="606"/>
      <c r="T48" s="610"/>
      <c r="AF48" s="371" t="str">
        <v>013428M</v>
      </c>
      <c r="DW48" s="244">
        <v>9</v>
      </c>
      <c r="DX48" s="244" t="str">
        <f>V16</f>
        <v/>
      </c>
    </row>
    <row r="49" spans="2:128" ht="14.45" customHeight="1" x14ac:dyDescent="0.25">
      <c r="B49" s="653" t="str">
        <f>IF(AND('Phase finale'!$A$9="P",'GESTION DES JOUEURS'!$D$8="Open"),B48+1,"")</f>
        <v/>
      </c>
      <c r="C49" s="653" t="str">
        <f>IF(AND('Phase finale'!$A$9="P",'GESTION DES JOUEURS'!$D$8="Open"),AF47,"")</f>
        <v/>
      </c>
      <c r="D49" s="1155" t="str">
        <f>_xlfn.XLOOKUP(C49,Tableau19[Licence],Tableau19[Nom],"",0,1)</f>
        <v/>
      </c>
      <c r="E49" s="1156"/>
      <c r="F49" s="1156" t="str">
        <f>_xlfn.XLOOKUP(C49,Tableau19[Licence],Tableau19[[prénom ]],"",0,1)</f>
        <v/>
      </c>
      <c r="G49" s="1156"/>
      <c r="H49" s="1156"/>
      <c r="I49" s="1156" t="str">
        <f>_xlfn.XLOOKUP(C49,Tableau19[Licence],Tableau19[Club],"",0,1)</f>
        <v/>
      </c>
      <c r="J49" s="1156"/>
      <c r="K49" s="1156"/>
      <c r="L49" s="1156"/>
      <c r="M49" s="1156" t="str">
        <f t="shared" si="39"/>
        <v/>
      </c>
      <c r="N49" s="609" t="str">
        <f t="shared" si="35"/>
        <v/>
      </c>
      <c r="O49" s="608" t="str" cm="1">
        <f t="array" ref="O49">_xlfn.XLOOKUP(C49,_xlfn.ANCHORARRAY($DK$7),$DR$7:$DR$42,"",0,1)</f>
        <v/>
      </c>
      <c r="P49" s="608" t="str">
        <f t="shared" si="36"/>
        <v/>
      </c>
      <c r="Q49" s="635" t="str">
        <f t="shared" si="37"/>
        <v/>
      </c>
      <c r="R49" s="653" t="str">
        <f>IF(C49="","",12)</f>
        <v/>
      </c>
      <c r="S49" s="606"/>
      <c r="T49" s="610"/>
      <c r="AF49" s="371" t="str">
        <v>156543F</v>
      </c>
      <c r="DW49" s="244">
        <v>10</v>
      </c>
      <c r="DX49" s="244" t="str">
        <f t="shared" ref="DX49:DX55" si="40">V17</f>
        <v/>
      </c>
    </row>
    <row r="50" spans="2:128" ht="14.45" customHeight="1" x14ac:dyDescent="0.25">
      <c r="B50" s="653" t="str">
        <f>IF(AND('Phase finale'!$A$9="P",'GESTION DES JOUEURS'!$D$8="Open"),B49+1,"")</f>
        <v/>
      </c>
      <c r="C50" s="653" t="str">
        <f>IF(AND('Phase finale'!$A$9="P",'GESTION DES JOUEURS'!$D$8="Open"),AF48,"")</f>
        <v/>
      </c>
      <c r="D50" s="1155" t="str">
        <f>_xlfn.XLOOKUP(C50,Tableau19[Licence],Tableau19[Nom],"",0,1)</f>
        <v/>
      </c>
      <c r="E50" s="1156"/>
      <c r="F50" s="1156" t="str">
        <f>_xlfn.XLOOKUP(C50,Tableau19[Licence],Tableau19[[prénom ]],"",0,1)</f>
        <v/>
      </c>
      <c r="G50" s="1156"/>
      <c r="H50" s="1156"/>
      <c r="I50" s="1156" t="str">
        <f>_xlfn.XLOOKUP(C50,Tableau19[Licence],Tableau19[Club],"",0,1)</f>
        <v/>
      </c>
      <c r="J50" s="1156"/>
      <c r="K50" s="1156"/>
      <c r="L50" s="1156"/>
      <c r="M50" s="1156" t="str">
        <f t="shared" si="39"/>
        <v/>
      </c>
      <c r="N50" s="609" t="str">
        <f t="shared" si="35"/>
        <v/>
      </c>
      <c r="O50" s="608" t="str" cm="1">
        <f t="array" ref="O50">_xlfn.XLOOKUP(C50,_xlfn.ANCHORARRAY($DK$7),$DR$7:$DR$42,"",0,1)</f>
        <v/>
      </c>
      <c r="P50" s="608" t="str">
        <f t="shared" si="36"/>
        <v/>
      </c>
      <c r="Q50" s="635" t="str">
        <f t="shared" si="37"/>
        <v/>
      </c>
      <c r="R50" s="653" t="str">
        <f>IF(C50="","",13)</f>
        <v/>
      </c>
      <c r="S50" s="606"/>
      <c r="T50" s="610"/>
      <c r="AF50" s="371" t="str">
        <v>013922M</v>
      </c>
      <c r="DW50" s="244">
        <v>11</v>
      </c>
      <c r="DX50" s="244" t="str">
        <f t="shared" si="40"/>
        <v/>
      </c>
    </row>
    <row r="51" spans="2:128" ht="14.45" customHeight="1" x14ac:dyDescent="0.25">
      <c r="B51" s="653" t="str">
        <f>IF(AND('Phase finale'!$A$9="P",'GESTION DES JOUEURS'!$D$8="Open"),B50+1,"")</f>
        <v/>
      </c>
      <c r="C51" s="653" t="str">
        <f>IF(AND('Phase finale'!$A$9="P",'GESTION DES JOUEURS'!$D$8="Open"),AF49,"")</f>
        <v/>
      </c>
      <c r="D51" s="1155" t="str">
        <f>_xlfn.XLOOKUP(C51,Tableau19[Licence],Tableau19[Nom],"",0,1)</f>
        <v/>
      </c>
      <c r="E51" s="1156"/>
      <c r="F51" s="1156" t="str">
        <f>_xlfn.XLOOKUP(C51,Tableau19[Licence],Tableau19[[prénom ]],"",0,1)</f>
        <v/>
      </c>
      <c r="G51" s="1156"/>
      <c r="H51" s="1156"/>
      <c r="I51" s="1156" t="str">
        <f>_xlfn.XLOOKUP(C51,Tableau19[Licence],Tableau19[Club],"",0,1)</f>
        <v/>
      </c>
      <c r="J51" s="1156"/>
      <c r="K51" s="1156"/>
      <c r="L51" s="1156"/>
      <c r="M51" s="1156" t="str">
        <f t="shared" si="39"/>
        <v/>
      </c>
      <c r="N51" s="609" t="str">
        <f t="shared" si="35"/>
        <v/>
      </c>
      <c r="O51" s="608" t="str" cm="1">
        <f t="array" ref="O51">_xlfn.XLOOKUP(C51,_xlfn.ANCHORARRAY($DK$7),$DR$7:$DR$42,"",0,1)</f>
        <v/>
      </c>
      <c r="P51" s="608" t="str">
        <f t="shared" si="36"/>
        <v/>
      </c>
      <c r="Q51" s="635" t="str">
        <f t="shared" si="37"/>
        <v/>
      </c>
      <c r="R51" s="653" t="str">
        <f>IF(C51="","",14)</f>
        <v/>
      </c>
      <c r="S51" s="606"/>
      <c r="T51" s="610"/>
      <c r="AF51" s="371" t="str">
        <v>013335x</v>
      </c>
      <c r="DW51" s="244">
        <v>12</v>
      </c>
      <c r="DX51" s="244" t="str">
        <f t="shared" si="40"/>
        <v/>
      </c>
    </row>
    <row r="52" spans="2:128" ht="14.45" customHeight="1" x14ac:dyDescent="0.25">
      <c r="B52" s="653" t="str">
        <f>IF(AND('Phase finale'!$A$9="P",'GESTION DES JOUEURS'!$D$8="Open"),B51+1,"")</f>
        <v/>
      </c>
      <c r="C52" s="653" t="str">
        <f>IF(AND('Phase finale'!$A$9="P",'GESTION DES JOUEURS'!$D$8="Open"),AF50,"")</f>
        <v/>
      </c>
      <c r="D52" s="1155" t="str">
        <f>_xlfn.XLOOKUP(C52,Tableau19[Licence],Tableau19[Nom],"",0,1)</f>
        <v/>
      </c>
      <c r="E52" s="1156"/>
      <c r="F52" s="1156" t="str">
        <f>_xlfn.XLOOKUP(C52,Tableau19[Licence],Tableau19[[prénom ]],"",0,1)</f>
        <v/>
      </c>
      <c r="G52" s="1156"/>
      <c r="H52" s="1156"/>
      <c r="I52" s="1156" t="str">
        <f>_xlfn.XLOOKUP(C52,Tableau19[Licence],Tableau19[Club],"",0,1)</f>
        <v/>
      </c>
      <c r="J52" s="1156"/>
      <c r="K52" s="1156"/>
      <c r="L52" s="1156"/>
      <c r="M52" s="1156" t="str">
        <f t="shared" si="39"/>
        <v/>
      </c>
      <c r="N52" s="609" t="str">
        <f t="shared" si="35"/>
        <v/>
      </c>
      <c r="O52" s="608" t="str" cm="1">
        <f t="array" ref="O52">_xlfn.XLOOKUP(C52,_xlfn.ANCHORARRAY($DK$7),$DR$7:$DR$42,"",0,1)</f>
        <v/>
      </c>
      <c r="P52" s="608" t="str">
        <f t="shared" si="36"/>
        <v/>
      </c>
      <c r="Q52" s="635" t="str">
        <f t="shared" si="37"/>
        <v/>
      </c>
      <c r="R52" s="653" t="str">
        <f>IF(C52="","",15)</f>
        <v/>
      </c>
      <c r="S52" s="606"/>
      <c r="T52" s="610"/>
      <c r="DW52" s="244">
        <v>13</v>
      </c>
      <c r="DX52" s="244" t="str">
        <f t="shared" si="40"/>
        <v/>
      </c>
    </row>
    <row r="53" spans="2:128" ht="14.45" customHeight="1" thickBot="1" x14ac:dyDescent="0.3">
      <c r="B53" s="654" t="str">
        <f>IF(AND('Phase finale'!$A$9="P",'GESTION DES JOUEURS'!$D$8="Open"),B52+1,"")</f>
        <v/>
      </c>
      <c r="C53" s="654" t="str">
        <f>IF(AND('Phase finale'!$A$9="P",'GESTION DES JOUEURS'!$D$8="Open"),AF51,"")</f>
        <v/>
      </c>
      <c r="D53" s="1163" t="str">
        <f>_xlfn.XLOOKUP(C53,Tableau19[Licence],Tableau19[Nom],"",0,1)</f>
        <v/>
      </c>
      <c r="E53" s="1162"/>
      <c r="F53" s="1162" t="str">
        <f>_xlfn.XLOOKUP(C53,Tableau19[Licence],Tableau19[[prénom ]],"",0,1)</f>
        <v/>
      </c>
      <c r="G53" s="1162"/>
      <c r="H53" s="1162"/>
      <c r="I53" s="1162" t="str">
        <f>_xlfn.XLOOKUP(C53,Tableau19[Licence],Tableau19[Club],"",0,1)</f>
        <v/>
      </c>
      <c r="J53" s="1162"/>
      <c r="K53" s="1162"/>
      <c r="L53" s="1162"/>
      <c r="M53" s="1162" t="str">
        <f t="shared" si="39"/>
        <v/>
      </c>
      <c r="N53" s="614" t="str">
        <f t="shared" si="35"/>
        <v/>
      </c>
      <c r="O53" s="613" t="str" cm="1">
        <f t="array" ref="O53">_xlfn.XLOOKUP(C53,_xlfn.ANCHORARRAY($DK$7),$DR$7:$DR$42,"",0,1)</f>
        <v/>
      </c>
      <c r="P53" s="613" t="str">
        <f t="shared" si="36"/>
        <v/>
      </c>
      <c r="Q53" s="636" t="str">
        <f t="shared" si="37"/>
        <v/>
      </c>
      <c r="R53" s="654" t="str">
        <f>IF(C53="","",16)</f>
        <v/>
      </c>
      <c r="S53" s="611"/>
      <c r="T53" s="615"/>
      <c r="DW53" s="244">
        <v>14</v>
      </c>
      <c r="DX53" s="244" t="str">
        <f t="shared" si="40"/>
        <v/>
      </c>
    </row>
    <row r="54" spans="2:128" ht="23.1" customHeight="1" x14ac:dyDescent="0.25">
      <c r="DW54" s="244">
        <v>15</v>
      </c>
      <c r="DX54" s="244" t="str">
        <f t="shared" si="40"/>
        <v/>
      </c>
    </row>
    <row r="55" spans="2:128" ht="23.1" customHeight="1" x14ac:dyDescent="0.25">
      <c r="DW55" s="244">
        <v>16</v>
      </c>
      <c r="DX55" s="244" t="str">
        <f t="shared" si="40"/>
        <v/>
      </c>
    </row>
    <row r="58" spans="2:128" ht="23.1" customHeight="1" x14ac:dyDescent="0.25">
      <c r="Z58" s="247"/>
    </row>
    <row r="59" spans="2:128" ht="23.1" customHeight="1" x14ac:dyDescent="0.25">
      <c r="Z59" s="247"/>
    </row>
    <row r="60" spans="2:128" ht="23.1" customHeight="1" x14ac:dyDescent="0.25">
      <c r="Z60" s="247"/>
    </row>
    <row r="61" spans="2:128" ht="23.1" customHeight="1" x14ac:dyDescent="0.25">
      <c r="Z61" s="247"/>
    </row>
    <row r="62" spans="2:128" ht="23.1" customHeight="1" x14ac:dyDescent="0.25">
      <c r="Z62" s="247"/>
    </row>
  </sheetData>
  <sheetProtection algorithmName="SHA-512" hashValue="B12XBQS5wLgOUWxTousdWV3GFiYGX1M2L8sGwHrUKO1Gthuy0aptF4TvAKkoZr6+zpNk6Y/pZ7mUdSZOYFPq1A==" saltValue="GcLPz4kLgrBjqLe46gF6oA==" spinCount="100000" sheet="1" objects="1" scenarios="1"/>
  <mergeCells count="178">
    <mergeCell ref="I47:M47"/>
    <mergeCell ref="I48:M48"/>
    <mergeCell ref="I49:M49"/>
    <mergeCell ref="I50:M50"/>
    <mergeCell ref="I51:M51"/>
    <mergeCell ref="I52:M52"/>
    <mergeCell ref="I53:M53"/>
    <mergeCell ref="D53:E53"/>
    <mergeCell ref="F48:H48"/>
    <mergeCell ref="F49:H49"/>
    <mergeCell ref="F47:H47"/>
    <mergeCell ref="F50:H50"/>
    <mergeCell ref="F51:H51"/>
    <mergeCell ref="F52:H52"/>
    <mergeCell ref="F53:H53"/>
    <mergeCell ref="D37:E37"/>
    <mergeCell ref="G15:I15"/>
    <mergeCell ref="J15:K15"/>
    <mergeCell ref="D47:E47"/>
    <mergeCell ref="D48:E48"/>
    <mergeCell ref="D49:E49"/>
    <mergeCell ref="D50:E50"/>
    <mergeCell ref="D51:E51"/>
    <mergeCell ref="D52:E52"/>
    <mergeCell ref="D38:E38"/>
    <mergeCell ref="D39:E39"/>
    <mergeCell ref="D40:E40"/>
    <mergeCell ref="D41:E41"/>
    <mergeCell ref="D42:E42"/>
    <mergeCell ref="D43:E43"/>
    <mergeCell ref="D44:E44"/>
    <mergeCell ref="D45:E45"/>
    <mergeCell ref="F38:H38"/>
    <mergeCell ref="F39:H39"/>
    <mergeCell ref="F40:H40"/>
    <mergeCell ref="F41:H41"/>
    <mergeCell ref="F42:H42"/>
    <mergeCell ref="F43:H43"/>
    <mergeCell ref="F44:H44"/>
    <mergeCell ref="F45:H45"/>
    <mergeCell ref="AA39:AA41"/>
    <mergeCell ref="J30:K31"/>
    <mergeCell ref="L30:L31"/>
    <mergeCell ref="M30:M31"/>
    <mergeCell ref="N30:N31"/>
    <mergeCell ref="O30:O31"/>
    <mergeCell ref="P30:P31"/>
    <mergeCell ref="Q30:Q31"/>
    <mergeCell ref="R30:R31"/>
    <mergeCell ref="S30:T31"/>
    <mergeCell ref="J34:K34"/>
    <mergeCell ref="I37:M37"/>
    <mergeCell ref="I38:M38"/>
    <mergeCell ref="I39:M39"/>
    <mergeCell ref="I40:M40"/>
    <mergeCell ref="J33:K33"/>
    <mergeCell ref="AA36:AA37"/>
    <mergeCell ref="AA31:AA32"/>
    <mergeCell ref="AA29:AA30"/>
    <mergeCell ref="V38:Y46"/>
    <mergeCell ref="I41:M41"/>
    <mergeCell ref="AA44:AA46"/>
    <mergeCell ref="I43:M43"/>
    <mergeCell ref="B2:X2"/>
    <mergeCell ref="AA4:AA5"/>
    <mergeCell ref="B4:E4"/>
    <mergeCell ref="F4:I4"/>
    <mergeCell ref="M4:Q4"/>
    <mergeCell ref="T4:X4"/>
    <mergeCell ref="B5:D5"/>
    <mergeCell ref="I5:J5"/>
    <mergeCell ref="U5:X5"/>
    <mergeCell ref="J4:L4"/>
    <mergeCell ref="B6:C6"/>
    <mergeCell ref="D6:X6"/>
    <mergeCell ref="G8:I8"/>
    <mergeCell ref="J8:K8"/>
    <mergeCell ref="S8:T8"/>
    <mergeCell ref="AA9:AA10"/>
    <mergeCell ref="AA7:AA8"/>
    <mergeCell ref="B7:B8"/>
    <mergeCell ref="C7:C8"/>
    <mergeCell ref="D7:N7"/>
    <mergeCell ref="P7:X7"/>
    <mergeCell ref="Y7:Y8"/>
    <mergeCell ref="F30:F31"/>
    <mergeCell ref="G30:I31"/>
    <mergeCell ref="G32:I32"/>
    <mergeCell ref="G33:I33"/>
    <mergeCell ref="G34:I34"/>
    <mergeCell ref="J32:K32"/>
    <mergeCell ref="G9:I9"/>
    <mergeCell ref="J9:K9"/>
    <mergeCell ref="S9:T9"/>
    <mergeCell ref="G11:I11"/>
    <mergeCell ref="J11:K11"/>
    <mergeCell ref="S11:T11"/>
    <mergeCell ref="S10:T10"/>
    <mergeCell ref="G12:I12"/>
    <mergeCell ref="J12:K12"/>
    <mergeCell ref="S12:T12"/>
    <mergeCell ref="G10:I10"/>
    <mergeCell ref="J10:K10"/>
    <mergeCell ref="G13:I13"/>
    <mergeCell ref="J13:K13"/>
    <mergeCell ref="S13:T13"/>
    <mergeCell ref="AA15:AA16"/>
    <mergeCell ref="G14:I14"/>
    <mergeCell ref="J14:K14"/>
    <mergeCell ref="G22:I22"/>
    <mergeCell ref="J22:K22"/>
    <mergeCell ref="S22:T22"/>
    <mergeCell ref="S15:T15"/>
    <mergeCell ref="P29:X29"/>
    <mergeCell ref="F37:H37"/>
    <mergeCell ref="J23:K23"/>
    <mergeCell ref="G23:I23"/>
    <mergeCell ref="Y30:Y31"/>
    <mergeCell ref="X36:Y36"/>
    <mergeCell ref="S23:T23"/>
    <mergeCell ref="U30:U31"/>
    <mergeCell ref="V30:V31"/>
    <mergeCell ref="W30:W31"/>
    <mergeCell ref="S32:T32"/>
    <mergeCell ref="S33:T33"/>
    <mergeCell ref="S34:T34"/>
    <mergeCell ref="B25:X28"/>
    <mergeCell ref="D29:N29"/>
    <mergeCell ref="D30:D31"/>
    <mergeCell ref="E30:E31"/>
    <mergeCell ref="CP5:DG5"/>
    <mergeCell ref="M5:S5"/>
    <mergeCell ref="CA6:CF6"/>
    <mergeCell ref="BC6:BD6"/>
    <mergeCell ref="BE6:BF6"/>
    <mergeCell ref="BG6:BL6"/>
    <mergeCell ref="BW6:BX6"/>
    <mergeCell ref="BY6:BZ6"/>
    <mergeCell ref="AA27:AA28"/>
    <mergeCell ref="AA25:AA26"/>
    <mergeCell ref="S20:T20"/>
    <mergeCell ref="S21:T21"/>
    <mergeCell ref="S16:T16"/>
    <mergeCell ref="S17:T17"/>
    <mergeCell ref="S18:T18"/>
    <mergeCell ref="S14:T14"/>
    <mergeCell ref="AA19:AA20"/>
    <mergeCell ref="CQ6:CR6"/>
    <mergeCell ref="CS6:CT6"/>
    <mergeCell ref="CU6:CZ6"/>
    <mergeCell ref="AA11:AA12"/>
    <mergeCell ref="AA23:AA24"/>
    <mergeCell ref="AA21:AA22"/>
    <mergeCell ref="AA13:AA14"/>
    <mergeCell ref="DW6:DX6"/>
    <mergeCell ref="D46:E46"/>
    <mergeCell ref="F46:H46"/>
    <mergeCell ref="I46:M46"/>
    <mergeCell ref="G20:I20"/>
    <mergeCell ref="J20:K20"/>
    <mergeCell ref="G21:I21"/>
    <mergeCell ref="J21:K21"/>
    <mergeCell ref="G16:I16"/>
    <mergeCell ref="J16:K16"/>
    <mergeCell ref="G17:I17"/>
    <mergeCell ref="J17:K17"/>
    <mergeCell ref="G18:I18"/>
    <mergeCell ref="J18:K18"/>
    <mergeCell ref="G19:I19"/>
    <mergeCell ref="J19:K19"/>
    <mergeCell ref="X30:X31"/>
    <mergeCell ref="B36:T36"/>
    <mergeCell ref="I42:M42"/>
    <mergeCell ref="I44:M44"/>
    <mergeCell ref="I45:M45"/>
    <mergeCell ref="V36:W36"/>
    <mergeCell ref="S19:T19"/>
    <mergeCell ref="AA17:AA18"/>
  </mergeCells>
  <phoneticPr fontId="13" type="noConversion"/>
  <conditionalFormatting sqref="B12:Y15">
    <cfRule type="expression" dxfId="2542" priority="19">
      <formula>$C$15=""</formula>
    </cfRule>
  </conditionalFormatting>
  <conditionalFormatting sqref="B16:Y23">
    <cfRule type="expression" dxfId="2541" priority="4">
      <formula>$C$23=""</formula>
    </cfRule>
  </conditionalFormatting>
  <conditionalFormatting sqref="E9:E24 W9:W24 E32:E34 W32:W34">
    <cfRule type="expression" dxfId="2540" priority="36">
      <formula>LEFT($B$6)="3"</formula>
    </cfRule>
  </conditionalFormatting>
  <conditionalFormatting sqref="N46:N53">
    <cfRule type="expression" dxfId="2539" priority="5">
      <formula>LEFT($B$15)="3"</formula>
    </cfRule>
  </conditionalFormatting>
  <conditionalFormatting sqref="O38:Q53">
    <cfRule type="expression" dxfId="2538" priority="15">
      <formula>LEFT($B$15)="3"</formula>
    </cfRule>
  </conditionalFormatting>
  <dataValidations count="2">
    <dataValidation type="list" allowBlank="1" showInputMessage="1" showErrorMessage="1" sqref="O24" xr:uid="{95BE2054-13A5-4985-BE8D-DF4F3F69C417}">
      <formula1>$D$46</formula1>
    </dataValidation>
    <dataValidation type="list" allowBlank="1" showInputMessage="1" showErrorMessage="1" sqref="X36" xr:uid="{42DD3B3D-5FC7-4EA1-B6AE-341A0A95696B}">
      <formula1>"OUI,NON"</formula1>
    </dataValidation>
  </dataValidations>
  <hyperlinks>
    <hyperlink ref="AA9:AA10" location="PA!N18" display="PA!N18" xr:uid="{DB2D1D09-A822-4E6F-B1BC-D92AB9CDF08D}"/>
    <hyperlink ref="AA11:AA12" location="PB!N18" display="Poule B" xr:uid="{39094DE9-74FB-4C52-8EA9-BE3F56DF3876}"/>
    <hyperlink ref="AA13:AA14" location="PC!N18" display="Poule C" xr:uid="{0E5EA1B2-710B-4FB2-9CAE-0AF39C9FF2A4}"/>
    <hyperlink ref="AA15:AA16" location="PD!N18" display="Poule D" xr:uid="{3A67A780-51E5-4756-9AB7-A8798C0F4E75}"/>
    <hyperlink ref="AA17:AA18" location="PE!N18" display="Poule E" xr:uid="{7C6F0635-8427-4D14-B66C-32968A1CB95D}"/>
    <hyperlink ref="AA19:AA20" location="PF!N18" display="Poule F" xr:uid="{1E871F2F-72B7-427C-9B9D-6E53BEE1F28C}"/>
    <hyperlink ref="AA21:AA22" location="PG!N18" display="Poule G" xr:uid="{C80CA471-7EC1-487D-9DA9-3E496423107A}"/>
    <hyperlink ref="AA23:AA24" location="PH!N18" display="Poule H" xr:uid="{EB5454ED-C1AC-45F4-AEF8-0A2BFB026860}"/>
    <hyperlink ref="AA25:AA26" location="PI!N18" display="Poule I" xr:uid="{6CA66464-3303-445C-99D4-A8DEC5F32B07}"/>
    <hyperlink ref="AA27:AA28" location="PJ!N18" display="Poule J" xr:uid="{3CCB7212-9AB4-44C8-A95D-D9709F9A08CC}"/>
    <hyperlink ref="AA29:AA30" location="PK!N18" display="Poule K" xr:uid="{8414F667-6E85-4607-9F99-E7E763ADDCF7}"/>
    <hyperlink ref="AA31:AA32" location="PL!N18" display="Poule L" xr:uid="{FA14A6EE-F52D-4D82-8F48-1665D3CBFC45}"/>
    <hyperlink ref="AA4:AA5" location="'GESTION DES JOUEURS'!D4" display="GESTION DES JOUEURS" xr:uid="{3B2C0C27-E146-43DD-9354-1728176C8506}"/>
    <hyperlink ref="AA36" location="'Phase finale'!A1" display="Phase Finale" xr:uid="{0C6A748F-8C97-4AB2-8025-399DA6B45D51}"/>
    <hyperlink ref="AA44:AA46" location="RESULTATS!A1" display="RESULTATS" xr:uid="{9F1FFD28-2E41-40CA-B865-7DB45247890A}"/>
    <hyperlink ref="AA39:AA41" location="Consolante!A1" display="Consolante" xr:uid="{5BA54182-D5DE-43A2-AC32-91B5101B8BF6}"/>
    <hyperlink ref="V38:Y46" location="'T Phase finale'!A1" display="'T Phase finale'!A1" xr:uid="{591691BB-C2C2-4EB2-B07F-DBB49973EAAC}"/>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A11029D6-9C8D-43EF-AD71-D6A1728A60DD}">
            <xm:f>'GESTION DES JOUEURS'!$D$8&lt;&gt;"Open"</xm:f>
            <x14:dxf>
              <fill>
                <patternFill>
                  <bgColor theme="0" tint="-0.24994659260841701"/>
                </patternFill>
              </fill>
              <border>
                <left/>
                <right/>
                <top/>
                <bottom/>
                <vertical/>
                <horizontal/>
              </border>
            </x14:dxf>
          </x14:cfRule>
          <xm:sqref>B47:T53</xm:sqref>
        </x14:conditionalFormatting>
        <x14:conditionalFormatting xmlns:xm="http://schemas.microsoft.com/office/excel/2006/main">
          <x14:cfRule type="expression" priority="12" id="{F5F177F1-4DF7-4A61-9BA2-AA9029C02D97}">
            <xm:f>AND($C$15="",MAX('GESTION DES JOUEURS'!$A$11:$A$46)&lt;7)</xm:f>
            <x14:dxf>
              <font>
                <color theme="0" tint="-0.14996795556505021"/>
              </font>
              <fill>
                <patternFill patternType="solid">
                  <fgColor auto="1"/>
                  <bgColor theme="0" tint="-0.14996795556505021"/>
                </patternFill>
              </fill>
            </x14:dxf>
          </x14:cfRule>
          <xm:sqref>B34:Y34</xm:sqref>
        </x14:conditionalFormatting>
        <x14:conditionalFormatting xmlns:xm="http://schemas.microsoft.com/office/excel/2006/main">
          <x14:cfRule type="expression" priority="34" id="{A912CD5B-F381-4E15-A8F7-020EA6848492}">
            <xm:f>'GESTION DES JOUEURS'!$D$8="Finale"</xm:f>
            <x14:dxf>
              <font>
                <color theme="0" tint="-0.24994659260841701"/>
              </font>
              <fill>
                <patternFill>
                  <bgColor theme="0" tint="-0.24994659260841701"/>
                </patternFill>
              </fill>
            </x14:dxf>
          </x14:cfRule>
          <xm:sqref>AA11:AA32 AA39</xm:sqref>
        </x14:conditionalFormatting>
        <x14:conditionalFormatting xmlns:xm="http://schemas.microsoft.com/office/excel/2006/main">
          <x14:cfRule type="expression" priority="33" id="{72487874-D677-4A98-9AD0-31114DE5B89E}">
            <xm:f>'GESTION DES JOUEURS'!$T$8&lt;2</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32" id="{14BE323C-67E4-40FE-8EDC-21C91EE500DE}">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1" id="{99C34BA2-968B-42A3-BED9-C33566D7E472}">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0" id="{26D3EDC8-8327-419F-BD54-018B1327E639}">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29" id="{EA16B377-C5A8-4593-8BBD-25EFA20DC4C8}">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28" id="{1BA1A9BF-0B71-4FF7-AB47-794DFBF526F4}">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27" id="{3D560BE7-1AFA-4455-88EA-A443B23AA3D2}">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26" id="{0CD84F14-8417-41D0-B7EA-2FE61F4FEE59}">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25" id="{C14DADF2-098A-41BC-81F4-D2299E3D85B2}">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6" id="{A9FD071F-3567-43E7-9EF5-9D3636D4F583}">
            <xm:f>'GESTION DES JOUEURS'!$T$8=1</xm:f>
            <x14:dxf>
              <font>
                <color theme="0" tint="-0.24994659260841701"/>
              </font>
              <fill>
                <patternFill>
                  <bgColor theme="0" tint="-0.24994659260841701"/>
                </patternFill>
              </fill>
            </x14:dxf>
          </x14:cfRule>
          <x14:cfRule type="expression" priority="7" id="{F9423EE7-9333-4E40-AF90-B37EC3184DC4}">
            <xm:f>OR('GESTION DES JOUEURS'!$D$8="poules",'GESTION DES JOUEURS'!$D$8="Finale")</xm:f>
            <x14:dxf>
              <font>
                <color theme="0" tint="-0.24994659260841701"/>
              </font>
              <fill>
                <patternFill>
                  <fgColor auto="1"/>
                  <bgColor theme="0" tint="-0.24994659260841701"/>
                </patternFill>
              </fill>
            </x14:dxf>
          </x14:cfRule>
          <x14:cfRule type="expression" priority="8" id="{9DF3EEFA-9B69-4546-852B-874922B4A791}">
            <xm:f>'GESTION DES JOUEURS'!$D$8="Finale"</xm:f>
            <x14:dxf>
              <font>
                <color theme="0" tint="-0.24994659260841701"/>
              </font>
              <fill>
                <patternFill>
                  <bgColor theme="0" tint="-0.24994659260841701"/>
                </patternFill>
              </fill>
            </x14:dxf>
          </x14:cfRule>
          <xm:sqref>AA36</xm:sqref>
        </x14:conditionalFormatting>
        <x14:conditionalFormatting xmlns:xm="http://schemas.microsoft.com/office/excel/2006/main">
          <x14:cfRule type="expression" priority="22" id="{B562EDAB-64C5-4ED0-85DF-0F56906EE1FA}">
            <xm:f>'GESTION DES JOUEURS'!$T$8=1</xm:f>
            <x14:dxf>
              <font>
                <color theme="0" tint="-0.24994659260841701"/>
              </font>
              <fill>
                <patternFill>
                  <bgColor theme="0" tint="-0.24994659260841701"/>
                </patternFill>
              </fill>
            </x14:dxf>
          </x14:cfRule>
          <x14:cfRule type="expression" priority="23" id="{D50AC8E5-2D37-4C28-A709-3BE9F06DE0AC}">
            <xm:f>OR('GESTION DES JOUEURS'!$D$8="Poules",'GESTION DES JOUEURS'!$D$8="Finale",'GESTION DES JOUEURS'!$D$8="Tournoi")</xm:f>
            <x14:dxf>
              <font>
                <color theme="0" tint="-0.24994659260841701"/>
              </font>
              <fill>
                <patternFill>
                  <bgColor theme="0" tint="-0.24994659260841701"/>
                </patternFill>
              </fill>
            </x14:dxf>
          </x14:cfRule>
          <xm:sqref>AA39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80C3364-2DF7-4187-94B3-32352EE366AA}">
          <x14:formula1>
            <xm:f>IF($AC9=TRUE,Distances!$B$82:$KQ$82,Distances!$B$80:$KQ$80)</xm:f>
          </x14:formula1>
          <xm:sqref>O9:O23 O32:O34</xm:sqref>
        </x14:dataValidation>
        <x14:dataValidation type="list" allowBlank="1" showInputMessage="1" showErrorMessage="1" xr:uid="{2E97E1D5-B97B-4D26-BD84-85F6FE7A4E87}">
          <x14:formula1>
            <xm:f>IF($AC9=TRUE,Distances!$B$81:$KQ$81,Distances!$B$79:$KQ$79)</xm:f>
          </x14:formula1>
          <xm:sqref>P9:P23 P32:P34 N9:N23 N32:N34</xm:sqref>
        </x14:dataValidation>
        <x14:dataValidation type="list" allowBlank="1" showInputMessage="1" showErrorMessage="1" xr:uid="{3C937911-947C-4024-9F92-163DC33CB3B8}">
          <x14:formula1>
            <xm:f>Distances!$F$2:$F$76</xm:f>
          </x14:formula1>
          <xm:sqref>B5:D5</xm:sqref>
        </x14:dataValidation>
        <x14:dataValidation type="list" allowBlank="1" showInputMessage="1" showErrorMessage="1" xr:uid="{2E6CDCBA-3ACE-4804-91EA-58FEA00F12A7}">
          <x14:formula1>
            <xm:f>IF(AND(_xlfn.XLOOKUP(#REF!,#REF!,#REF!,"",0,1)="N2",_xlfn.XLOOKUP(#REF!,#REF!,#REF!,"",0,1)="N2",$B$6="Cadre"),Distances!$U$15:$EL$15,Distances!$B$85:$KQ$85)</xm:f>
          </x14:formula1>
          <xm:sqref>N24 P24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6CC8-F84C-45F7-B66B-0B886F069128}">
  <sheetPr>
    <tabColor rgb="FF2F75B5"/>
  </sheetPr>
  <dimension ref="A1:AS52"/>
  <sheetViews>
    <sheetView topLeftCell="O1" zoomScale="70" zoomScaleNormal="70" workbookViewId="0">
      <selection activeCell="H1" sqref="H1:AL3"/>
    </sheetView>
  </sheetViews>
  <sheetFormatPr baseColWidth="10" defaultColWidth="7.42578125" defaultRowHeight="14.45" customHeight="1" x14ac:dyDescent="0.25"/>
  <cols>
    <col min="1" max="7" width="7.42578125" style="244"/>
    <col min="8" max="8" width="5.7109375" style="244" customWidth="1"/>
    <col min="9" max="9" width="16.42578125" style="244" customWidth="1"/>
    <col min="10" max="15" width="7.42578125" style="244"/>
    <col min="16" max="16" width="8" style="244" customWidth="1"/>
    <col min="17" max="17" width="15.85546875" style="244" customWidth="1"/>
    <col min="18" max="25" width="7.42578125" style="244"/>
    <col min="26" max="26" width="7.42578125" style="244" customWidth="1"/>
    <col min="27" max="42" width="7.42578125" style="244"/>
    <col min="43" max="43" width="1.85546875" style="244" customWidth="1"/>
    <col min="44" max="44" width="17.5703125" style="244" customWidth="1"/>
    <col min="45" max="45" width="10.85546875" style="244" hidden="1" customWidth="1"/>
    <col min="46" max="46" width="2.85546875" style="244" customWidth="1"/>
    <col min="47" max="16384" width="7.42578125" style="244"/>
  </cols>
  <sheetData>
    <row r="1" spans="1:45" ht="14.45" customHeight="1" thickTop="1" x14ac:dyDescent="0.25">
      <c r="A1" s="855" t="s">
        <v>7073</v>
      </c>
      <c r="B1" s="856"/>
      <c r="C1" s="856"/>
      <c r="D1" s="856"/>
      <c r="E1" s="856"/>
      <c r="F1" s="856"/>
      <c r="G1" s="856"/>
      <c r="H1" s="857" t="str">
        <f ca="1">IF(PL!F13="FINALE","District 93-94"&amp;" - "&amp;IF(MONTH(AS5)&gt;8,YEAR(AS5)&amp;"/"&amp;YEAR(AS5)+1,YEAR(AS5)-1&amp;"/"&amp;YEAR(AS5))&amp;CHAR(10)&amp;PL!F13&amp;CHAR(10)&amp;PL!B15&amp;AS2,"District 93-94"&amp;" - "&amp;IF(MONTH(AS5)&gt;8,YEAR(AS5)&amp;"/"&amp;YEAR(AS5)+1,YEAR(AS5)-1&amp;"/"&amp;YEAR(AS5))&amp;CHAR(10)&amp;'GESTION DES JOUEURS'!C2&amp;CHAR(10)&amp;"Phase finale")</f>
        <v>District 93-94 - 2024/2025
Journée 3 -  Libre R2
Phase finale</v>
      </c>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60" t="e" vm="1">
        <v>#VALUE!</v>
      </c>
      <c r="AN1" s="860"/>
      <c r="AO1" s="860"/>
      <c r="AP1" s="861"/>
    </row>
    <row r="2" spans="1:45" ht="98.1" customHeight="1" x14ac:dyDescent="0.25">
      <c r="A2" s="866" t="str">
        <f>IF(PL!M14="","",PL!M14)</f>
        <v>9031 - ACADEMIE DE BILLARD DE MAISONS ALFORT</v>
      </c>
      <c r="B2" s="867"/>
      <c r="C2" s="867"/>
      <c r="D2" s="867"/>
      <c r="E2" s="867"/>
      <c r="F2" s="867"/>
      <c r="G2" s="867"/>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62"/>
      <c r="AN2" s="862"/>
      <c r="AO2" s="862"/>
      <c r="AP2" s="863"/>
      <c r="AR2" s="371" t="e" vm="1">
        <v>#VALUE!</v>
      </c>
      <c r="AS2" s="244" t="str">
        <f>IF(LEFT(PA!$B$15)="C","   -   "&amp;_xlfn.XLOOKUP(PA!B15,Distances!D2:D77,Distances!K2:K77,"",0,1),"")</f>
        <v/>
      </c>
    </row>
    <row r="3" spans="1:45" ht="19.5" customHeight="1" thickBot="1" x14ac:dyDescent="0.3">
      <c r="A3" s="868" t="str">
        <f>IF('GESTION DES JOUEURS'!$F$6="","","Directeur de jeu : "&amp;PL!S13)</f>
        <v>Directeur de jeu : LEMONIER THIERY</v>
      </c>
      <c r="B3" s="869"/>
      <c r="C3" s="869"/>
      <c r="D3" s="869"/>
      <c r="E3" s="869"/>
      <c r="F3" s="869"/>
      <c r="G3" s="86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c r="AM3" s="864"/>
      <c r="AN3" s="864"/>
      <c r="AO3" s="864"/>
      <c r="AP3" s="865"/>
    </row>
    <row r="4" spans="1:45" ht="6"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R4" s="809" t="s">
        <v>8128</v>
      </c>
    </row>
    <row r="5" spans="1:45" ht="42.6" customHeight="1" thickTop="1" thickBot="1" x14ac:dyDescent="0.3">
      <c r="A5" s="1173" t="str">
        <f>"Mode de jeu : "&amp;_xlfn.XLOOKUP(PL!B15,Distances!D2:D77,Distances!A2:A77,"",0,1)&amp;AS2</f>
        <v>Mode de jeu : Libre</v>
      </c>
      <c r="B5" s="1174"/>
      <c r="C5" s="1174"/>
      <c r="D5" s="1174"/>
      <c r="E5" s="1174"/>
      <c r="F5" s="1173" t="str">
        <f>"Catégorie : "&amp;_xlfn.XLOOKUP(PL!B15,Distances!D2:D77,Distances!B2:B77,"",0,1)</f>
        <v>Catégorie : R2</v>
      </c>
      <c r="G5" s="1174"/>
      <c r="H5" s="1174"/>
      <c r="I5" s="1174"/>
      <c r="J5" s="1174"/>
      <c r="K5" s="1174"/>
      <c r="L5" s="1174"/>
      <c r="M5" s="1175"/>
      <c r="N5" s="1176" t="str">
        <f>IF(F5="Catégorie : N1/N2","Distance réduite : 150 pts"&amp;CHAR(10)&amp;"si N2 Vs N2 120pts",PL!B14&amp;" "&amp;PL!E14&amp;" "&amp;PL!F14)</f>
        <v>Distance : 100 Pts</v>
      </c>
      <c r="O5" s="1177"/>
      <c r="P5" s="1177"/>
      <c r="Q5" s="1177"/>
      <c r="R5" s="1177"/>
      <c r="S5" s="1177"/>
      <c r="T5" s="1178"/>
      <c r="U5" s="1176" t="str">
        <f>IFERROR(IF(F5="Catégorie : N1/N2","Reprises : 15"&amp;CHAR(10)&amp;"si N2 Vs N2 Reprises : 20 ",PL!G14&amp;" "&amp;PL!J14),"")</f>
        <v>Reprises : 40</v>
      </c>
      <c r="V5" s="1177"/>
      <c r="W5" s="1177"/>
      <c r="X5" s="1177"/>
      <c r="Y5" s="1177"/>
      <c r="Z5" s="1177"/>
      <c r="AA5" s="1177"/>
      <c r="AB5" s="1178"/>
      <c r="AC5" s="1179" t="str">
        <f>_xlfn.XLOOKUP(PL!B15,Distances!D2:D77,Distances!J2:J77,"",0,1)&amp;" "&amp;_xlfn.XLOOKUP(PL!B15,Distances!D2:D77,Distances!I2:I77,"",0,1)&amp;"0 m"</f>
        <v>PC 2,80 m</v>
      </c>
      <c r="AD5" s="1180"/>
      <c r="AE5" s="1180"/>
      <c r="AF5" s="1180"/>
      <c r="AG5" s="1180"/>
      <c r="AH5" s="1181"/>
      <c r="AI5" s="1185">
        <f>IF(PL!T14=0,"DATE",PL!T14)</f>
        <v>45633</v>
      </c>
      <c r="AJ5" s="1186"/>
      <c r="AK5" s="1186"/>
      <c r="AL5" s="1186"/>
      <c r="AM5" s="1186"/>
      <c r="AN5" s="1186"/>
      <c r="AO5" s="1186"/>
      <c r="AP5" s="1187"/>
      <c r="AR5" s="810"/>
      <c r="AS5" s="244">
        <f ca="1">IF(PA!T14&gt;1,AI5,TODAY())</f>
        <v>45633</v>
      </c>
    </row>
    <row r="6" spans="1:45" ht="14.45" customHeight="1" thickTop="1" thickBot="1" x14ac:dyDescent="0.3">
      <c r="A6" s="445"/>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6"/>
      <c r="AG6" s="446"/>
      <c r="AH6" s="446"/>
      <c r="AI6" s="446"/>
      <c r="AJ6" s="446"/>
      <c r="AK6" s="446"/>
      <c r="AL6" s="446"/>
      <c r="AM6" s="446"/>
      <c r="AN6" s="446"/>
      <c r="AO6" s="446"/>
      <c r="AP6" s="446"/>
    </row>
    <row r="7" spans="1:45" ht="23.25" x14ac:dyDescent="0.35">
      <c r="A7" s="445"/>
      <c r="B7" s="1188">
        <v>0.125</v>
      </c>
      <c r="C7" s="1189"/>
      <c r="D7" s="1189"/>
      <c r="E7" s="1189"/>
      <c r="F7" s="1189"/>
      <c r="G7" s="1190"/>
      <c r="H7" s="448"/>
      <c r="I7" s="448"/>
      <c r="J7" s="1188">
        <v>0.25</v>
      </c>
      <c r="K7" s="1189"/>
      <c r="L7" s="1189"/>
      <c r="M7" s="1189"/>
      <c r="N7" s="1189"/>
      <c r="O7" s="1190"/>
      <c r="P7" s="448"/>
      <c r="Q7" s="448"/>
      <c r="R7" s="1188">
        <v>0.5</v>
      </c>
      <c r="S7" s="1189"/>
      <c r="T7" s="1189"/>
      <c r="U7" s="1189"/>
      <c r="V7" s="1189"/>
      <c r="W7" s="1190"/>
      <c r="X7" s="448"/>
      <c r="Y7" s="448"/>
      <c r="Z7" s="449"/>
      <c r="AA7" s="449"/>
      <c r="AB7" s="1191" t="s">
        <v>9869</v>
      </c>
      <c r="AC7" s="1192"/>
      <c r="AD7" s="1192"/>
      <c r="AE7" s="1192"/>
      <c r="AF7" s="1192"/>
      <c r="AG7" s="1193"/>
      <c r="AH7" s="449"/>
      <c r="AI7" s="449"/>
      <c r="AJ7" s="1191" t="s">
        <v>10266</v>
      </c>
      <c r="AK7" s="1192"/>
      <c r="AL7" s="1192"/>
      <c r="AM7" s="1192"/>
      <c r="AN7" s="1192"/>
      <c r="AO7" s="1193"/>
      <c r="AP7" s="446"/>
      <c r="AR7" s="684" t="s">
        <v>8129</v>
      </c>
    </row>
    <row r="8" spans="1:45" ht="14.45" customHeight="1" x14ac:dyDescent="0.2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6"/>
      <c r="AA8" s="446"/>
      <c r="AB8" s="445"/>
      <c r="AC8" s="445"/>
      <c r="AD8" s="445"/>
      <c r="AE8" s="445"/>
      <c r="AF8" s="445"/>
      <c r="AG8" s="445"/>
      <c r="AH8" s="446"/>
      <c r="AI8" s="446"/>
      <c r="AJ8" s="446"/>
      <c r="AK8" s="446"/>
      <c r="AL8" s="446"/>
      <c r="AM8" s="446"/>
      <c r="AN8" s="446"/>
      <c r="AO8" s="446"/>
      <c r="AP8" s="446"/>
      <c r="AR8" s="685"/>
    </row>
    <row r="9" spans="1:45" ht="14.45" customHeight="1" x14ac:dyDescent="0.25">
      <c r="A9" s="446"/>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R9" s="704" t="str">
        <f>IF('GESTION DES JOUEURS'!$D$8="Finale","Poule Finale","Poule A")</f>
        <v>Poule A</v>
      </c>
    </row>
    <row r="10" spans="1:45" ht="22.5" customHeight="1" thickBot="1" x14ac:dyDescent="0.35">
      <c r="A10" s="446">
        <v>1</v>
      </c>
      <c r="B10" s="485" t="str">
        <f>IF('GESTION DES JOUEURS'!$D$8="Open",'Phase finale'!F16,"")</f>
        <v/>
      </c>
      <c r="C10" s="1164" t="str">
        <f>IF('GESTION DES JOUEURS'!$D$8="Open",'Phase finale'!G16,"")</f>
        <v/>
      </c>
      <c r="D10" s="1164"/>
      <c r="E10" s="1164"/>
      <c r="F10" s="1165" t="str">
        <f>IF('GESTION DES JOUEURS'!$D$8="Open",'Phase finale'!J16,"")</f>
        <v/>
      </c>
      <c r="G10" s="1166"/>
      <c r="H10" s="446" t="str">
        <f>_xlfn.XLOOKUP(B10,Tableau19[Licence],Tableau19[Catégorie],"",0,1)</f>
        <v/>
      </c>
      <c r="I10" s="446" t="str">
        <f>IF('GESTION DES JOUEURS'!$D$8="Open",'Phase finale'!N16&amp;"Pts en "&amp;'Phase finale'!O16&amp;" Rep.","")</f>
        <v/>
      </c>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R10" s="704"/>
    </row>
    <row r="11" spans="1:45" ht="22.5" customHeight="1" thickTop="1" thickBot="1" x14ac:dyDescent="0.35">
      <c r="A11" s="446"/>
      <c r="B11" s="1167" t="str">
        <f>_xlfn.XLOOKUP(B10,Tableau19[Licence],Tableau19[Club],"",0,1)</f>
        <v/>
      </c>
      <c r="C11" s="1167"/>
      <c r="D11" s="1167"/>
      <c r="E11" s="1167"/>
      <c r="F11" s="1167"/>
      <c r="G11" s="1167"/>
      <c r="H11" s="446"/>
      <c r="I11" s="486"/>
      <c r="J11" s="485" t="str">
        <f>'Phase finale'!F12</f>
        <v/>
      </c>
      <c r="K11" s="1164" t="str">
        <f>'Phase finale'!G12</f>
        <v/>
      </c>
      <c r="L11" s="1164"/>
      <c r="M11" s="1164"/>
      <c r="N11" s="1165" t="str">
        <f>'Phase finale'!J12</f>
        <v/>
      </c>
      <c r="O11" s="1166"/>
      <c r="P11" s="446" t="str">
        <f>_xlfn.XLOOKUP(J11,Tableau19[Licence],Tableau19[Catégorie],"",0,1)</f>
        <v/>
      </c>
      <c r="Q11" s="446" t="str">
        <f>IF(AND(OR('GESTION DES JOUEURS'!$D$8="Open",'GESTION DES JOUEURS'!$D$8="Tournoi"),MAX('GESTION DES JOUEURS'!$A$11:$A$46)&gt;13),'Phase finale'!N12&amp;"Pts en "&amp;'Phase finale'!O12&amp;" Rep.","")</f>
        <v/>
      </c>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R11" s="705" t="s">
        <v>8113</v>
      </c>
    </row>
    <row r="12" spans="1:45" ht="22.5" customHeight="1" thickTop="1" thickBot="1" x14ac:dyDescent="0.35">
      <c r="A12" s="446">
        <v>16</v>
      </c>
      <c r="B12" s="485" t="str">
        <f>IF('GESTION DES JOUEURS'!$D$8="Open",'Phase finale'!V16,"")</f>
        <v/>
      </c>
      <c r="C12" s="1164" t="str">
        <f>IF('GESTION DES JOUEURS'!$D$8="Open",'Phase finale'!S16,"")</f>
        <v/>
      </c>
      <c r="D12" s="1164"/>
      <c r="E12" s="1164"/>
      <c r="F12" s="1165" t="str">
        <f>IF('GESTION DES JOUEURS'!$D$8="Open",'Phase finale'!U16,"")</f>
        <v/>
      </c>
      <c r="G12" s="1166"/>
      <c r="H12" s="446" t="str">
        <f>_xlfn.XLOOKUP(B12,Tableau19[Licence],Tableau19[Catégorie],"",0,1)</f>
        <v/>
      </c>
      <c r="I12" s="446" t="str">
        <f>IF('GESTION DES JOUEURS'!$D$8="Open",'Phase finale'!P16&amp;"Pts en "&amp;'Phase finale'!O16&amp;" Rep.","")</f>
        <v/>
      </c>
      <c r="J12" s="1167" t="str">
        <f>_xlfn.XLOOKUP(J11,Tableau19[Licence],Tableau19[Club],"",0,1)</f>
        <v/>
      </c>
      <c r="K12" s="1167"/>
      <c r="L12" s="1167"/>
      <c r="M12" s="1167"/>
      <c r="N12" s="1167"/>
      <c r="O12" s="1167"/>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R12" s="705"/>
    </row>
    <row r="13" spans="1:45" ht="22.5" customHeight="1" thickTop="1" thickBot="1" x14ac:dyDescent="0.35">
      <c r="A13" s="446"/>
      <c r="B13" s="1167" t="str">
        <f>_xlfn.XLOOKUP(B12,Tableau19[Licence],Tableau19[Club],"",0,1)</f>
        <v/>
      </c>
      <c r="C13" s="1167"/>
      <c r="D13" s="1167"/>
      <c r="E13" s="1167"/>
      <c r="F13" s="1167"/>
      <c r="G13" s="1167"/>
      <c r="H13" s="446"/>
      <c r="I13" s="446"/>
      <c r="J13" s="446"/>
      <c r="K13" s="446"/>
      <c r="L13" s="446"/>
      <c r="M13" s="446"/>
      <c r="N13" s="446"/>
      <c r="O13" s="446"/>
      <c r="P13" s="446"/>
      <c r="Q13" s="487"/>
      <c r="R13" s="485" t="str">
        <f>'Phase finale'!F10</f>
        <v/>
      </c>
      <c r="S13" s="1164" t="str">
        <f>'Phase finale'!G10</f>
        <v/>
      </c>
      <c r="T13" s="1164"/>
      <c r="U13" s="1164"/>
      <c r="V13" s="1165" t="str">
        <f>'Phase finale'!J10</f>
        <v/>
      </c>
      <c r="W13" s="1166"/>
      <c r="X13" s="446" t="str">
        <f>_xlfn.XLOOKUP(R13,Tableau19[Licence],Tableau19[Catégorie],"",0,1)</f>
        <v/>
      </c>
      <c r="Y13" s="446" t="str">
        <f>'Phase finale'!N10&amp;"Pts en "&amp;'Phase finale'!O10&amp;" Rep."</f>
        <v>Pts en  Rep.</v>
      </c>
      <c r="Z13" s="446"/>
      <c r="AA13" s="446"/>
      <c r="AB13" s="446"/>
      <c r="AC13" s="446"/>
      <c r="AD13" s="446"/>
      <c r="AE13" s="446"/>
      <c r="AF13" s="446"/>
      <c r="AG13" s="446"/>
      <c r="AH13" s="446"/>
      <c r="AI13" s="446"/>
      <c r="AJ13" s="446"/>
      <c r="AK13" s="446"/>
      <c r="AL13" s="446"/>
      <c r="AM13" s="446"/>
      <c r="AN13" s="446"/>
      <c r="AO13" s="446"/>
      <c r="AP13" s="446"/>
      <c r="AR13" s="706" t="s">
        <v>8114</v>
      </c>
    </row>
    <row r="14" spans="1:45" ht="22.5" customHeight="1" thickTop="1" thickBot="1" x14ac:dyDescent="0.35">
      <c r="A14" s="446">
        <v>8</v>
      </c>
      <c r="B14" s="485" t="str">
        <f>IF('GESTION DES JOUEURS'!$D$8="Open",'Phase finale'!F23,"")</f>
        <v/>
      </c>
      <c r="C14" s="1164" t="str">
        <f>IF('GESTION DES JOUEURS'!$D$8="Open",'Phase finale'!G23,"")</f>
        <v/>
      </c>
      <c r="D14" s="1164"/>
      <c r="E14" s="1164"/>
      <c r="F14" s="1165" t="str">
        <f>IF('GESTION DES JOUEURS'!$D$8="Open",'Phase finale'!J23,"")</f>
        <v/>
      </c>
      <c r="G14" s="1166"/>
      <c r="H14" s="446" t="str">
        <f>_xlfn.XLOOKUP(B14,Tableau19[Licence],Tableau19[Catégorie],"",0,1)</f>
        <v/>
      </c>
      <c r="I14" s="446" t="str">
        <f>IF('GESTION DES JOUEURS'!$D$8="Open",'Phase finale'!N23&amp;"Pts en "&amp;'Phase finale'!O23&amp;" Rep.","")</f>
        <v/>
      </c>
      <c r="J14" s="446"/>
      <c r="K14" s="446"/>
      <c r="L14" s="446"/>
      <c r="M14" s="446"/>
      <c r="N14" s="446"/>
      <c r="O14" s="446"/>
      <c r="P14" s="446"/>
      <c r="Q14" s="488"/>
      <c r="R14" s="1167" t="str">
        <f>_xlfn.XLOOKUP(R13,Tableau19[Licence],Tableau19[Club],"",0,1)</f>
        <v/>
      </c>
      <c r="S14" s="1167"/>
      <c r="T14" s="1167"/>
      <c r="U14" s="1167"/>
      <c r="V14" s="1167"/>
      <c r="W14" s="1167"/>
      <c r="X14" s="446"/>
      <c r="Y14" s="446"/>
      <c r="Z14" s="446"/>
      <c r="AA14" s="446"/>
      <c r="AB14" s="446"/>
      <c r="AC14" s="446"/>
      <c r="AD14" s="446"/>
      <c r="AE14" s="446"/>
      <c r="AF14" s="446"/>
      <c r="AG14" s="446"/>
      <c r="AH14" s="446"/>
      <c r="AI14" s="446"/>
      <c r="AJ14" s="446"/>
      <c r="AK14" s="446"/>
      <c r="AL14" s="446"/>
      <c r="AM14" s="446"/>
      <c r="AN14" s="446"/>
      <c r="AO14" s="446"/>
      <c r="AP14" s="446"/>
      <c r="AR14" s="706"/>
    </row>
    <row r="15" spans="1:45" ht="22.5" customHeight="1" thickTop="1" thickBot="1" x14ac:dyDescent="0.35">
      <c r="A15" s="446"/>
      <c r="B15" s="1167" t="str">
        <f>_xlfn.XLOOKUP(B14,Tableau19[Licence],Tableau19[Club],"",0,1)</f>
        <v/>
      </c>
      <c r="C15" s="1167"/>
      <c r="D15" s="1167"/>
      <c r="E15" s="1167"/>
      <c r="F15" s="1167"/>
      <c r="G15" s="1167"/>
      <c r="H15" s="446"/>
      <c r="I15" s="486"/>
      <c r="J15" s="485" t="str">
        <f>'Phase finale'!V12</f>
        <v/>
      </c>
      <c r="K15" s="1164" t="str">
        <f>'Phase finale'!S12</f>
        <v/>
      </c>
      <c r="L15" s="1164"/>
      <c r="M15" s="1164"/>
      <c r="N15" s="1165" t="str">
        <f>'Phase finale'!U12</f>
        <v/>
      </c>
      <c r="O15" s="1166"/>
      <c r="P15" s="446" t="str">
        <f>_xlfn.XLOOKUP(J15,Tableau19[Licence],Tableau19[Catégorie],"",0,1)</f>
        <v/>
      </c>
      <c r="Q15" s="446" t="str">
        <f>IF(AND(OR('GESTION DES JOUEURS'!$D$8="Open",'GESTION DES JOUEURS'!$D$8="Tournoi"),MAX('GESTION DES JOUEURS'!$A$11:$A$46)&gt;13),'Phase finale'!P12&amp;"Pts en "&amp;'Phase finale'!O12&amp;" Rep.","")</f>
        <v/>
      </c>
      <c r="R15" s="446"/>
      <c r="S15" s="446"/>
      <c r="T15" s="446"/>
      <c r="U15" s="446"/>
      <c r="V15" s="446"/>
      <c r="W15" s="446"/>
      <c r="X15" s="446"/>
      <c r="Y15" s="489"/>
      <c r="Z15" s="446"/>
      <c r="AA15" s="446"/>
      <c r="AB15" s="446"/>
      <c r="AC15" s="446"/>
      <c r="AD15" s="446"/>
      <c r="AE15" s="446"/>
      <c r="AF15" s="446"/>
      <c r="AG15" s="446"/>
      <c r="AH15" s="446"/>
      <c r="AI15" s="446"/>
      <c r="AJ15" s="446"/>
      <c r="AK15" s="446"/>
      <c r="AL15" s="446"/>
      <c r="AM15" s="446"/>
      <c r="AN15" s="446"/>
      <c r="AO15" s="446"/>
      <c r="AP15" s="446"/>
      <c r="AR15" s="707" t="s">
        <v>8115</v>
      </c>
    </row>
    <row r="16" spans="1:45" ht="22.5" customHeight="1" thickTop="1" thickBot="1" x14ac:dyDescent="0.35">
      <c r="A16" s="446">
        <v>9</v>
      </c>
      <c r="B16" s="485" t="str">
        <f>IF('GESTION DES JOUEURS'!$D$8="Open",'Phase finale'!V23,"")</f>
        <v/>
      </c>
      <c r="C16" s="1164" t="str">
        <f>IF('GESTION DES JOUEURS'!$D$8="Open",'Phase finale'!S23,"")</f>
        <v/>
      </c>
      <c r="D16" s="1164"/>
      <c r="E16" s="1164"/>
      <c r="F16" s="1165" t="str">
        <f>IF('GESTION DES JOUEURS'!$D$8="Open",'Phase finale'!U23,"")</f>
        <v/>
      </c>
      <c r="G16" s="1166"/>
      <c r="H16" s="446" t="str">
        <f>_xlfn.XLOOKUP(B16,Tableau19[Licence],Tableau19[Catégorie],"",0,1)</f>
        <v/>
      </c>
      <c r="I16" s="446" t="str">
        <f>IF('GESTION DES JOUEURS'!$D$8="Open",'Phase finale'!P23&amp;"Pts en "&amp;'Phase finale'!O23&amp;" Rep.","")</f>
        <v/>
      </c>
      <c r="J16" s="1167" t="str">
        <f>_xlfn.XLOOKUP(J15,Tableau19[Licence],Tableau19[Club],"",0,1)</f>
        <v/>
      </c>
      <c r="K16" s="1167"/>
      <c r="L16" s="1167"/>
      <c r="M16" s="1167"/>
      <c r="N16" s="1167"/>
      <c r="O16" s="1167"/>
      <c r="P16" s="446"/>
      <c r="Q16" s="446"/>
      <c r="R16" s="446"/>
      <c r="S16" s="446"/>
      <c r="T16" s="446"/>
      <c r="U16" s="446"/>
      <c r="V16" s="446"/>
      <c r="W16" s="446"/>
      <c r="X16" s="446"/>
      <c r="Y16" s="446"/>
      <c r="Z16" s="489"/>
      <c r="AA16" s="446"/>
      <c r="AB16" s="446"/>
      <c r="AC16" s="446"/>
      <c r="AD16" s="446"/>
      <c r="AE16" s="446"/>
      <c r="AF16" s="446"/>
      <c r="AG16" s="446"/>
      <c r="AH16" s="446"/>
      <c r="AI16" s="446"/>
      <c r="AJ16" s="446"/>
      <c r="AK16" s="446"/>
      <c r="AL16" s="446"/>
      <c r="AM16" s="446"/>
      <c r="AN16" s="446"/>
      <c r="AO16" s="446"/>
      <c r="AP16" s="446"/>
      <c r="AR16" s="707"/>
    </row>
    <row r="17" spans="1:44" ht="22.5" customHeight="1" thickTop="1" thickBot="1" x14ac:dyDescent="0.35">
      <c r="A17" s="446"/>
      <c r="B17" s="1167" t="str">
        <f>_xlfn.XLOOKUP(B16,Tableau19[Licence],Tableau19[Club],"",0,1)</f>
        <v/>
      </c>
      <c r="C17" s="1167"/>
      <c r="D17" s="1167"/>
      <c r="E17" s="1167"/>
      <c r="F17" s="1167"/>
      <c r="G17" s="1167"/>
      <c r="H17" s="446"/>
      <c r="I17" s="446"/>
      <c r="J17" s="446"/>
      <c r="K17" s="446"/>
      <c r="L17" s="446"/>
      <c r="M17" s="446"/>
      <c r="N17" s="446"/>
      <c r="O17" s="446"/>
      <c r="P17" s="446"/>
      <c r="Q17" s="446"/>
      <c r="R17" s="446"/>
      <c r="S17" s="446"/>
      <c r="T17" s="446"/>
      <c r="U17" s="446"/>
      <c r="V17" s="446"/>
      <c r="W17" s="446"/>
      <c r="X17" s="446"/>
      <c r="Y17" s="446"/>
      <c r="Z17" s="446"/>
      <c r="AA17" s="489"/>
      <c r="AB17" s="485" t="str">
        <f>'Phase finale'!F9</f>
        <v/>
      </c>
      <c r="AC17" s="1164" t="str">
        <f>'Phase finale'!G9</f>
        <v/>
      </c>
      <c r="AD17" s="1164"/>
      <c r="AE17" s="1164"/>
      <c r="AF17" s="1165" t="str">
        <f>'Phase finale'!J9</f>
        <v/>
      </c>
      <c r="AG17" s="1166"/>
      <c r="AH17" s="446" t="str">
        <f>_xlfn.XLOOKUP(AB17,Tableau19[Licence],Tableau19[Catégorie],"",0,1)</f>
        <v/>
      </c>
      <c r="AI17" s="446" t="str">
        <f>'Phase finale'!N9&amp;"Pts en "&amp;'Phase finale'!O9&amp;" Rep."</f>
        <v>Pts en  Rep.</v>
      </c>
      <c r="AJ17" s="446"/>
      <c r="AK17" s="446"/>
      <c r="AL17" s="446"/>
      <c r="AM17" s="446"/>
      <c r="AN17" s="446"/>
      <c r="AO17" s="446"/>
      <c r="AP17" s="446"/>
      <c r="AR17" s="686" t="s">
        <v>8116</v>
      </c>
    </row>
    <row r="18" spans="1:44" ht="22.5" customHeight="1" thickTop="1" thickBot="1" x14ac:dyDescent="0.35">
      <c r="A18" s="446">
        <v>5</v>
      </c>
      <c r="B18" s="485" t="str">
        <f>IF('GESTION DES JOUEURS'!$D$8="Open",'Phase finale'!F20,"")</f>
        <v/>
      </c>
      <c r="C18" s="1164" t="str">
        <f>IF('GESTION DES JOUEURS'!$D$8="Open",'Phase finale'!G20,"")</f>
        <v/>
      </c>
      <c r="D18" s="1164"/>
      <c r="E18" s="1164"/>
      <c r="F18" s="1165" t="str">
        <f>IF('GESTION DES JOUEURS'!$D$8="Open",'Phase finale'!J20,"")</f>
        <v/>
      </c>
      <c r="G18" s="1166"/>
      <c r="H18" s="446" t="str">
        <f>_xlfn.XLOOKUP(B18,Tableau19[Licence],Tableau19[Catégorie],"",0,1)</f>
        <v/>
      </c>
      <c r="I18" s="446" t="str">
        <f>IF('GESTION DES JOUEURS'!$D$8="Open",'Phase finale'!N20&amp;"Pts en "&amp;'Phase finale'!O20&amp;" Rep.","")</f>
        <v/>
      </c>
      <c r="J18" s="446"/>
      <c r="K18" s="446"/>
      <c r="L18" s="446"/>
      <c r="M18" s="446"/>
      <c r="N18" s="446"/>
      <c r="O18" s="446"/>
      <c r="P18" s="446"/>
      <c r="Q18" s="446"/>
      <c r="R18" s="446"/>
      <c r="S18" s="446"/>
      <c r="T18" s="446"/>
      <c r="U18" s="446"/>
      <c r="V18" s="446"/>
      <c r="W18" s="446"/>
      <c r="X18" s="446"/>
      <c r="Y18" s="446"/>
      <c r="Z18" s="446"/>
      <c r="AA18" s="490"/>
      <c r="AB18" s="1167" t="str">
        <f>_xlfn.XLOOKUP(AB17,Tableau19[Licence],Tableau19[Club],"",0,1)</f>
        <v/>
      </c>
      <c r="AC18" s="1167"/>
      <c r="AD18" s="1167"/>
      <c r="AE18" s="1167"/>
      <c r="AF18" s="1167"/>
      <c r="AG18" s="1167"/>
      <c r="AH18" s="446"/>
      <c r="AI18" s="446"/>
      <c r="AJ18" s="446"/>
      <c r="AK18" s="446"/>
      <c r="AL18" s="446"/>
      <c r="AM18" s="446"/>
      <c r="AN18" s="446"/>
      <c r="AO18" s="446"/>
      <c r="AP18" s="446"/>
      <c r="AR18" s="686"/>
    </row>
    <row r="19" spans="1:44" ht="22.5" customHeight="1" thickTop="1" thickBot="1" x14ac:dyDescent="0.35">
      <c r="A19" s="446"/>
      <c r="B19" s="1167" t="str">
        <f>_xlfn.XLOOKUP(B18,Tableau19[Licence],Tableau19[Club],"",0,1)</f>
        <v/>
      </c>
      <c r="C19" s="1167"/>
      <c r="D19" s="1167"/>
      <c r="E19" s="1167"/>
      <c r="F19" s="1167"/>
      <c r="G19" s="1167"/>
      <c r="H19" s="446"/>
      <c r="I19" s="486"/>
      <c r="J19" s="485" t="str">
        <f>'Phase finale'!V15</f>
        <v/>
      </c>
      <c r="K19" s="1164" t="str">
        <f>'Phase finale'!S15</f>
        <v/>
      </c>
      <c r="L19" s="1164"/>
      <c r="M19" s="1164"/>
      <c r="N19" s="1165" t="str">
        <f>'Phase finale'!U15</f>
        <v/>
      </c>
      <c r="O19" s="1166"/>
      <c r="P19" s="446" t="str">
        <f>_xlfn.XLOOKUP(J19,Tableau19[Licence],Tableau19[Catégorie],"",0,1)</f>
        <v/>
      </c>
      <c r="Q19" s="446" t="str">
        <f>IF(AND(OR('GESTION DES JOUEURS'!$D$8="Open",'GESTION DES JOUEURS'!$D$8="Tournoi"),MAX('GESTION DES JOUEURS'!$A$11:$A$46)&gt;13),'Phase finale'!P15&amp;"Pts en "&amp;'Phase finale'!O15&amp;" Rep.","")</f>
        <v/>
      </c>
      <c r="R19" s="446"/>
      <c r="S19" s="446"/>
      <c r="T19" s="446"/>
      <c r="U19" s="446"/>
      <c r="V19" s="446"/>
      <c r="W19" s="446"/>
      <c r="X19" s="446"/>
      <c r="Y19" s="446"/>
      <c r="Z19" s="490"/>
      <c r="AA19" s="446"/>
      <c r="AB19" s="446"/>
      <c r="AC19" s="446"/>
      <c r="AD19" s="446"/>
      <c r="AE19" s="446"/>
      <c r="AF19" s="446"/>
      <c r="AG19" s="446"/>
      <c r="AH19" s="446"/>
      <c r="AI19" s="446"/>
      <c r="AJ19" s="446"/>
      <c r="AK19" s="446"/>
      <c r="AL19" s="446"/>
      <c r="AM19" s="446"/>
      <c r="AN19" s="446"/>
      <c r="AO19" s="446"/>
      <c r="AP19" s="446"/>
      <c r="AR19" s="713" t="s">
        <v>8117</v>
      </c>
    </row>
    <row r="20" spans="1:44" ht="22.5" customHeight="1" thickTop="1" thickBot="1" x14ac:dyDescent="0.35">
      <c r="A20" s="446">
        <v>12</v>
      </c>
      <c r="B20" s="485" t="str">
        <f>IF('GESTION DES JOUEURS'!$D$8="Open",'Phase finale'!V20,"")</f>
        <v/>
      </c>
      <c r="C20" s="1164" t="str">
        <f>IF('GESTION DES JOUEURS'!$D$8="Open",'Phase finale'!S20,"")</f>
        <v/>
      </c>
      <c r="D20" s="1164"/>
      <c r="E20" s="1164"/>
      <c r="F20" s="1165" t="str">
        <f>IF('GESTION DES JOUEURS'!$D$8="Open",'Phase finale'!U20,"")</f>
        <v/>
      </c>
      <c r="G20" s="1166"/>
      <c r="H20" s="446" t="str">
        <f>_xlfn.XLOOKUP(B20,Tableau19[Licence],Tableau19[Catégorie],"",0,1)</f>
        <v/>
      </c>
      <c r="I20" s="446" t="str">
        <f>IF('GESTION DES JOUEURS'!$D$8="Open",'Phase finale'!P20&amp;"Pts en "&amp;'Phase finale'!O20&amp;" Rep.","")</f>
        <v/>
      </c>
      <c r="J20" s="1167" t="str">
        <f>_xlfn.XLOOKUP(J19,Tableau19[Licence],Tableau19[Club],"",0,1)</f>
        <v/>
      </c>
      <c r="K20" s="1167"/>
      <c r="L20" s="1167"/>
      <c r="M20" s="1167"/>
      <c r="N20" s="1167"/>
      <c r="O20" s="1167"/>
      <c r="P20" s="446"/>
      <c r="Q20" s="446"/>
      <c r="R20" s="446"/>
      <c r="S20" s="446"/>
      <c r="T20" s="446"/>
      <c r="U20" s="446"/>
      <c r="V20" s="446"/>
      <c r="W20" s="446"/>
      <c r="X20" s="446"/>
      <c r="Y20" s="490"/>
      <c r="Z20" s="446"/>
      <c r="AA20" s="446"/>
      <c r="AB20" s="446"/>
      <c r="AC20" s="446"/>
      <c r="AD20" s="446"/>
      <c r="AE20" s="446"/>
      <c r="AF20" s="446"/>
      <c r="AG20" s="446"/>
      <c r="AH20" s="446"/>
      <c r="AI20" s="446"/>
      <c r="AJ20" s="446"/>
      <c r="AK20" s="446"/>
      <c r="AL20" s="446"/>
      <c r="AM20" s="446"/>
      <c r="AN20" s="446"/>
      <c r="AO20" s="446"/>
      <c r="AP20" s="446"/>
      <c r="AR20" s="713"/>
    </row>
    <row r="21" spans="1:44" ht="22.5" customHeight="1" thickTop="1" thickBot="1" x14ac:dyDescent="0.35">
      <c r="A21" s="446"/>
      <c r="B21" s="1167" t="str">
        <f>_xlfn.XLOOKUP(B20,Tableau19[Licence],Tableau19[Club],"",0,1)</f>
        <v/>
      </c>
      <c r="C21" s="1167"/>
      <c r="D21" s="1167"/>
      <c r="E21" s="1167"/>
      <c r="F21" s="1167"/>
      <c r="G21" s="1167"/>
      <c r="H21" s="446"/>
      <c r="I21" s="446"/>
      <c r="J21" s="446"/>
      <c r="K21" s="446"/>
      <c r="L21" s="446"/>
      <c r="M21" s="446"/>
      <c r="N21" s="446"/>
      <c r="O21" s="446"/>
      <c r="P21" s="446"/>
      <c r="Q21" s="487"/>
      <c r="R21" s="485" t="str">
        <f>'Phase finale'!V10</f>
        <v/>
      </c>
      <c r="S21" s="1164" t="str">
        <f>'Phase finale'!S10</f>
        <v/>
      </c>
      <c r="T21" s="1164"/>
      <c r="U21" s="1164"/>
      <c r="V21" s="1165" t="str">
        <f>'Phase finale'!U10</f>
        <v/>
      </c>
      <c r="W21" s="1166"/>
      <c r="X21" s="446" t="str">
        <f>_xlfn.XLOOKUP(R21,Tableau19[Licence],Tableau19[Catégorie],"",0,1)</f>
        <v/>
      </c>
      <c r="Y21" s="446" t="str">
        <f>'Phase finale'!P10&amp;"Pts en "&amp;'Phase finale'!O10&amp;" Rep."</f>
        <v>Pts en  Rep.</v>
      </c>
      <c r="Z21" s="446"/>
      <c r="AA21" s="446"/>
      <c r="AB21" s="446"/>
      <c r="AC21" s="446"/>
      <c r="AD21" s="446"/>
      <c r="AE21" s="446"/>
      <c r="AF21" s="446"/>
      <c r="AG21" s="446"/>
      <c r="AH21" s="446"/>
      <c r="AI21" s="446"/>
      <c r="AJ21" s="446"/>
      <c r="AK21" s="446"/>
      <c r="AL21" s="446"/>
      <c r="AM21" s="446"/>
      <c r="AN21" s="446"/>
      <c r="AO21" s="446"/>
      <c r="AP21" s="446"/>
      <c r="AR21" s="714" t="s">
        <v>8118</v>
      </c>
    </row>
    <row r="22" spans="1:44" ht="22.5" customHeight="1" thickTop="1" thickBot="1" x14ac:dyDescent="0.35">
      <c r="A22" s="446">
        <v>13</v>
      </c>
      <c r="B22" s="485" t="str">
        <f>IF('GESTION DES JOUEURS'!$D$8="Open",'Phase finale'!V19,"")</f>
        <v/>
      </c>
      <c r="C22" s="1164" t="str">
        <f>IF('GESTION DES JOUEURS'!$D$8="Open",'Phase finale'!S19,"")</f>
        <v/>
      </c>
      <c r="D22" s="1164"/>
      <c r="E22" s="1164"/>
      <c r="F22" s="1165" t="str">
        <f>IF('GESTION DES JOUEURS'!$D$8="Open",'Phase finale'!U19,"")</f>
        <v/>
      </c>
      <c r="G22" s="1166"/>
      <c r="H22" s="446" t="str">
        <f>_xlfn.XLOOKUP(B22,Tableau19[Licence],Tableau19[Catégorie],"",0,1)</f>
        <v/>
      </c>
      <c r="I22" s="446" t="str">
        <f>IF('GESTION DES JOUEURS'!$D$8="Open",'Phase finale'!P19&amp;"Pts en "&amp;'Phase finale'!O19&amp;" Rep.","")</f>
        <v/>
      </c>
      <c r="J22" s="446"/>
      <c r="K22" s="446"/>
      <c r="L22" s="446"/>
      <c r="M22" s="446"/>
      <c r="N22" s="446"/>
      <c r="O22" s="446"/>
      <c r="P22" s="446"/>
      <c r="Q22" s="488"/>
      <c r="R22" s="1167" t="str">
        <f>_xlfn.XLOOKUP(R21,Tableau19[Licence],Tableau19[Club],"",0,1)</f>
        <v/>
      </c>
      <c r="S22" s="1167"/>
      <c r="T22" s="1167"/>
      <c r="U22" s="1167"/>
      <c r="V22" s="1167"/>
      <c r="W22" s="1167"/>
      <c r="X22" s="446"/>
      <c r="Y22" s="446"/>
      <c r="Z22" s="446"/>
      <c r="AA22" s="446"/>
      <c r="AB22" s="446"/>
      <c r="AC22" s="446"/>
      <c r="AD22" s="446"/>
      <c r="AE22" s="446"/>
      <c r="AF22" s="446"/>
      <c r="AG22" s="446"/>
      <c r="AH22" s="446"/>
      <c r="AI22" s="446"/>
      <c r="AJ22" s="446"/>
      <c r="AK22" s="446"/>
      <c r="AL22" s="446"/>
      <c r="AM22" s="446"/>
      <c r="AN22" s="446"/>
      <c r="AO22" s="446"/>
      <c r="AP22" s="446"/>
      <c r="AR22" s="714"/>
    </row>
    <row r="23" spans="1:44" ht="22.5" customHeight="1" thickTop="1" thickBot="1" x14ac:dyDescent="0.35">
      <c r="A23" s="446"/>
      <c r="B23" s="1167" t="str">
        <f>_xlfn.XLOOKUP(B22,Tableau19[Licence],Tableau19[Club],"",0,1)</f>
        <v/>
      </c>
      <c r="C23" s="1167"/>
      <c r="D23" s="1167"/>
      <c r="E23" s="1167"/>
      <c r="F23" s="1167"/>
      <c r="G23" s="1167"/>
      <c r="H23" s="446"/>
      <c r="I23" s="486"/>
      <c r="J23" s="485" t="str">
        <f>'Phase finale'!F15</f>
        <v/>
      </c>
      <c r="K23" s="1164" t="str">
        <f>'Phase finale'!G15</f>
        <v/>
      </c>
      <c r="L23" s="1164"/>
      <c r="M23" s="1164"/>
      <c r="N23" s="1165" t="str">
        <f>'Phase finale'!J15</f>
        <v/>
      </c>
      <c r="O23" s="1166"/>
      <c r="P23" s="446" t="str">
        <f>_xlfn.XLOOKUP(J23,Tableau19[Licence],Tableau19[Catégorie],"",0,1)</f>
        <v/>
      </c>
      <c r="Q23" s="446" t="str">
        <f>IF(AND(OR('GESTION DES JOUEURS'!$D$8="Open",'GESTION DES JOUEURS'!$D$8="Tournoi"),MAX('GESTION DES JOUEURS'!$A$11:$A$46)&gt;13),'Phase finale'!N15&amp;"Pts en "&amp;'Phase finale'!O15&amp;" Rep.","")</f>
        <v/>
      </c>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R23" s="715" t="s">
        <v>8119</v>
      </c>
    </row>
    <row r="24" spans="1:44" ht="22.5" customHeight="1" thickTop="1" thickBot="1" x14ac:dyDescent="0.35">
      <c r="A24" s="446">
        <v>4</v>
      </c>
      <c r="B24" s="485" t="str">
        <f>IF('GESTION DES JOUEURS'!$D$8="Open",'Phase finale'!F19,"")</f>
        <v/>
      </c>
      <c r="C24" s="1164" t="str">
        <f>IF('GESTION DES JOUEURS'!$D$8="Open",'Phase finale'!G19,"")</f>
        <v/>
      </c>
      <c r="D24" s="1164"/>
      <c r="E24" s="1164"/>
      <c r="F24" s="1165" t="str">
        <f>IF('GESTION DES JOUEURS'!$D$8="Open",'Phase finale'!J19,"")</f>
        <v/>
      </c>
      <c r="G24" s="1166"/>
      <c r="H24" s="446" t="str">
        <f>_xlfn.XLOOKUP(B24,Tableau19[Licence],Tableau19[Catégorie],"",0,1)</f>
        <v/>
      </c>
      <c r="I24" s="446" t="str">
        <f>IF('GESTION DES JOUEURS'!$D$8="Open",'Phase finale'!N19&amp;"Pts en "&amp;'Phase finale'!O19&amp;" Rep.","")</f>
        <v/>
      </c>
      <c r="J24" s="1167" t="str">
        <f>_xlfn.XLOOKUP(J23,Tableau19[Licence],Tableau19[Club],"",0,1)</f>
        <v/>
      </c>
      <c r="K24" s="1167"/>
      <c r="L24" s="1167"/>
      <c r="M24" s="1167"/>
      <c r="N24" s="1167"/>
      <c r="O24" s="1167"/>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R24" s="715"/>
    </row>
    <row r="25" spans="1:44" ht="22.5" customHeight="1" thickTop="1" thickBot="1" x14ac:dyDescent="0.35">
      <c r="A25" s="446"/>
      <c r="B25" s="1167" t="str">
        <f>_xlfn.XLOOKUP(B24,Tableau19[Licence],Tableau19[Club],"",0,1)</f>
        <v/>
      </c>
      <c r="C25" s="1167"/>
      <c r="D25" s="1167"/>
      <c r="E25" s="1167"/>
      <c r="F25" s="1167"/>
      <c r="G25" s="1167"/>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91" t="str">
        <f>'Phase finale'!C38</f>
        <v/>
      </c>
      <c r="AK25" s="1194" t="str">
        <f>'Phase finale'!D38</f>
        <v/>
      </c>
      <c r="AL25" s="1194"/>
      <c r="AM25" s="1194"/>
      <c r="AN25" s="1195" t="str">
        <f>'Phase finale'!F38</f>
        <v/>
      </c>
      <c r="AO25" s="1196"/>
      <c r="AP25" s="446" t="str">
        <f>_xlfn.XLOOKUP(AJ25,Tableau19[Licence],Tableau19[Catégorie],"",0,1)</f>
        <v/>
      </c>
      <c r="AR25" s="716" t="s">
        <v>8120</v>
      </c>
    </row>
    <row r="26" spans="1:44" ht="22.5" customHeight="1" thickTop="1" thickBot="1" x14ac:dyDescent="0.35">
      <c r="A26" s="446">
        <v>3</v>
      </c>
      <c r="B26" s="485" t="str">
        <f>IF('GESTION DES JOUEURS'!$D$8="Open",'Phase finale'!F18,"")</f>
        <v/>
      </c>
      <c r="C26" s="1164" t="str">
        <f>IF('GESTION DES JOUEURS'!$D$8="Open",'Phase finale'!G18,"")</f>
        <v/>
      </c>
      <c r="D26" s="1164"/>
      <c r="E26" s="1164"/>
      <c r="F26" s="1165" t="str">
        <f>IF('GESTION DES JOUEURS'!$D$8="Open",'Phase finale'!J18,"")</f>
        <v/>
      </c>
      <c r="G26" s="1166"/>
      <c r="H26" s="446" t="str">
        <f>_xlfn.XLOOKUP(B26,Tableau19[Licence],Tableau19[Catégorie],"",0,1)</f>
        <v/>
      </c>
      <c r="I26" s="446" t="str">
        <f>IF('GESTION DES JOUEURS'!$D$8="Open",'Phase finale'!N18&amp;"Pts en "&amp;'Phase finale'!O18&amp;" Rep.","")</f>
        <v/>
      </c>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1167" t="str">
        <f>_xlfn.XLOOKUP(AJ25,Tableau19[Licence],Tableau19[Club],"",0,1)</f>
        <v/>
      </c>
      <c r="AK26" s="1167"/>
      <c r="AL26" s="1167"/>
      <c r="AM26" s="1167"/>
      <c r="AN26" s="1167"/>
      <c r="AO26" s="1167"/>
      <c r="AP26" s="446"/>
      <c r="AR26" s="716"/>
    </row>
    <row r="27" spans="1:44" ht="22.5" customHeight="1" thickTop="1" thickBot="1" x14ac:dyDescent="0.35">
      <c r="A27" s="446"/>
      <c r="B27" s="1167" t="str">
        <f>_xlfn.XLOOKUP(B26,Tableau19[Licence],Tableau19[Club],"",0,1)</f>
        <v/>
      </c>
      <c r="C27" s="1167"/>
      <c r="D27" s="1167"/>
      <c r="E27" s="1167"/>
      <c r="F27" s="1167"/>
      <c r="G27" s="1167"/>
      <c r="H27" s="446"/>
      <c r="I27" s="486"/>
      <c r="J27" s="485" t="str">
        <f>'Phase finale'!F14</f>
        <v/>
      </c>
      <c r="K27" s="1164" t="str">
        <f>'Phase finale'!G14</f>
        <v/>
      </c>
      <c r="L27" s="1164"/>
      <c r="M27" s="1164"/>
      <c r="N27" s="1165" t="str">
        <f>'Phase finale'!J14</f>
        <v/>
      </c>
      <c r="O27" s="1166"/>
      <c r="P27" s="446" t="str">
        <f>_xlfn.XLOOKUP(J27,Tableau19[Licence],Tableau19[Catégorie],"",0,1)</f>
        <v/>
      </c>
      <c r="Q27" s="446" t="str">
        <f>IF(AND(OR('GESTION DES JOUEURS'!$D$8="Open",'GESTION DES JOUEURS'!$D$8="Tournoi"),MAX('GESTION DES JOUEURS'!$A$11:$A$46)&gt;13),'Phase finale'!N14&amp;"Pts en "&amp;'Phase finale'!O14&amp;" Rep.","")</f>
        <v/>
      </c>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R27" s="717" t="s">
        <v>8121</v>
      </c>
    </row>
    <row r="28" spans="1:44" ht="22.5" customHeight="1" thickTop="1" thickBot="1" x14ac:dyDescent="0.35">
      <c r="A28" s="446">
        <v>14</v>
      </c>
      <c r="B28" s="485" t="str">
        <f>IF('GESTION DES JOUEURS'!$D$8="Open",'Phase finale'!V18,"")</f>
        <v/>
      </c>
      <c r="C28" s="1164" t="str">
        <f>IF('GESTION DES JOUEURS'!$D$8="Open",'Phase finale'!S18,"")</f>
        <v/>
      </c>
      <c r="D28" s="1164"/>
      <c r="E28" s="1164"/>
      <c r="F28" s="1165" t="str">
        <f>IF('GESTION DES JOUEURS'!$D$8="Open",'Phase finale'!U18,"")</f>
        <v/>
      </c>
      <c r="G28" s="1166"/>
      <c r="H28" s="446" t="str">
        <f>_xlfn.XLOOKUP(B28,Tableau19[Licence],Tableau19[Catégorie],"",0,1)</f>
        <v/>
      </c>
      <c r="I28" s="446" t="str">
        <f>IF('GESTION DES JOUEURS'!$D$8="Open",'Phase finale'!P18&amp;"Pts en "&amp;'Phase finale'!O18&amp;" Rep.","")</f>
        <v/>
      </c>
      <c r="J28" s="1167" t="str">
        <f>_xlfn.XLOOKUP(J27,Tableau19[Licence],Tableau19[Club],"",0,1)</f>
        <v/>
      </c>
      <c r="K28" s="1167"/>
      <c r="L28" s="1167"/>
      <c r="M28" s="1167"/>
      <c r="N28" s="1167"/>
      <c r="O28" s="1167"/>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c r="AP28" s="446"/>
      <c r="AR28" s="717"/>
    </row>
    <row r="29" spans="1:44" ht="22.5" customHeight="1" thickTop="1" thickBot="1" x14ac:dyDescent="0.35">
      <c r="A29" s="446"/>
      <c r="B29" s="1167" t="str">
        <f>_xlfn.XLOOKUP(B28,Tableau19[Licence],Tableau19[Club],"",0,1)</f>
        <v/>
      </c>
      <c r="C29" s="1167"/>
      <c r="D29" s="1167"/>
      <c r="E29" s="1167"/>
      <c r="F29" s="1167"/>
      <c r="G29" s="1167"/>
      <c r="H29" s="446"/>
      <c r="I29" s="446"/>
      <c r="J29" s="446"/>
      <c r="K29" s="446"/>
      <c r="L29" s="446"/>
      <c r="M29" s="446"/>
      <c r="N29" s="446"/>
      <c r="O29" s="446"/>
      <c r="P29" s="446"/>
      <c r="Q29" s="487"/>
      <c r="R29" s="485" t="str">
        <f>'Phase finale'!V11</f>
        <v/>
      </c>
      <c r="S29" s="1164" t="str">
        <f>'Phase finale'!S11</f>
        <v/>
      </c>
      <c r="T29" s="1164"/>
      <c r="U29" s="1164"/>
      <c r="V29" s="1165" t="str">
        <f>'Phase finale'!U11</f>
        <v/>
      </c>
      <c r="W29" s="1166"/>
      <c r="X29" s="446" t="str">
        <f>_xlfn.XLOOKUP(R29,Tableau19[Licence],Tableau19[Catégorie],"",0,1)</f>
        <v/>
      </c>
      <c r="Y29" s="446" t="str">
        <f>'Phase finale'!P11&amp;"Pts en "&amp;'Phase finale'!O11&amp;" Rep."</f>
        <v>Pts en  Rep.</v>
      </c>
      <c r="Z29" s="446"/>
      <c r="AA29" s="446"/>
      <c r="AB29" s="446"/>
      <c r="AC29" s="446"/>
      <c r="AD29" s="446"/>
      <c r="AE29" s="446"/>
      <c r="AF29" s="446"/>
      <c r="AG29" s="446"/>
      <c r="AH29" s="446"/>
      <c r="AI29" s="446"/>
      <c r="AJ29" s="446"/>
      <c r="AK29" s="446"/>
      <c r="AL29" s="446"/>
      <c r="AM29" s="446"/>
      <c r="AN29" s="446"/>
      <c r="AO29" s="446"/>
      <c r="AP29" s="446"/>
      <c r="AR29" s="720" t="s">
        <v>8124</v>
      </c>
    </row>
    <row r="30" spans="1:44" ht="22.5" customHeight="1" thickTop="1" thickBot="1" x14ac:dyDescent="0.35">
      <c r="A30" s="446">
        <v>11</v>
      </c>
      <c r="B30" s="485" t="str">
        <f>IF('GESTION DES JOUEURS'!$D$8="Open",'Phase finale'!V21,"")</f>
        <v/>
      </c>
      <c r="C30" s="1164" t="str">
        <f>IF('GESTION DES JOUEURS'!$D$8="Open",'Phase finale'!S21,"")</f>
        <v/>
      </c>
      <c r="D30" s="1164"/>
      <c r="E30" s="1164"/>
      <c r="F30" s="1165" t="str">
        <f>IF('GESTION DES JOUEURS'!$D$8="Open",'Phase finale'!U21,"")</f>
        <v/>
      </c>
      <c r="G30" s="1166"/>
      <c r="H30" s="446" t="str">
        <f>_xlfn.XLOOKUP(B30,Tableau19[Licence],Tableau19[Catégorie],"",0,1)</f>
        <v/>
      </c>
      <c r="I30" s="446" t="str">
        <f>IF('GESTION DES JOUEURS'!$D$8="Open",'Phase finale'!P21&amp;"Pts en "&amp;'Phase finale'!O21&amp;" Rep.","")</f>
        <v/>
      </c>
      <c r="J30" s="446"/>
      <c r="K30" s="446"/>
      <c r="L30" s="446"/>
      <c r="M30" s="446"/>
      <c r="N30" s="446"/>
      <c r="O30" s="446"/>
      <c r="P30" s="446"/>
      <c r="Q30" s="488"/>
      <c r="R30" s="1167" t="str">
        <f>_xlfn.XLOOKUP(R29,Tableau19[Licence],Tableau19[Club],"",0,1)</f>
        <v/>
      </c>
      <c r="S30" s="1167"/>
      <c r="T30" s="1167"/>
      <c r="U30" s="1167"/>
      <c r="V30" s="1167"/>
      <c r="W30" s="1167"/>
      <c r="X30" s="446"/>
      <c r="Y30" s="446"/>
      <c r="Z30" s="446"/>
      <c r="AA30" s="446"/>
      <c r="AB30" s="446"/>
      <c r="AC30" s="446"/>
      <c r="AD30" s="446"/>
      <c r="AE30" s="446"/>
      <c r="AF30" s="446"/>
      <c r="AG30" s="446"/>
      <c r="AH30" s="446"/>
      <c r="AI30" s="446"/>
      <c r="AJ30" s="446"/>
      <c r="AK30" s="446"/>
      <c r="AL30" s="446"/>
      <c r="AM30" s="446"/>
      <c r="AN30" s="446"/>
      <c r="AO30" s="446"/>
      <c r="AP30" s="446"/>
      <c r="AR30" s="720"/>
    </row>
    <row r="31" spans="1:44" ht="22.5" customHeight="1" thickTop="1" thickBot="1" x14ac:dyDescent="0.35">
      <c r="A31" s="446"/>
      <c r="B31" s="1167" t="str">
        <f>_xlfn.XLOOKUP(B30,Tableau19[Licence],Tableau19[Club],"",0,1)</f>
        <v/>
      </c>
      <c r="C31" s="1167"/>
      <c r="D31" s="1167"/>
      <c r="E31" s="1167"/>
      <c r="F31" s="1167"/>
      <c r="G31" s="1167"/>
      <c r="H31" s="446"/>
      <c r="I31" s="486"/>
      <c r="J31" s="485" t="str">
        <f>'Phase finale'!V14</f>
        <v/>
      </c>
      <c r="K31" s="1164" t="str">
        <f>'Phase finale'!S14</f>
        <v/>
      </c>
      <c r="L31" s="1164"/>
      <c r="M31" s="1164"/>
      <c r="N31" s="1165" t="str">
        <f>'Phase finale'!U14</f>
        <v/>
      </c>
      <c r="O31" s="1166"/>
      <c r="P31" s="446" t="str">
        <f>_xlfn.XLOOKUP(J31,Tableau19[Licence],Tableau19[Catégorie],"",0,1)</f>
        <v/>
      </c>
      <c r="Q31" s="446" t="str">
        <f>IF(AND(OR('GESTION DES JOUEURS'!$D$8="Open",'GESTION DES JOUEURS'!$D$8="Tournoi"),MAX('GESTION DES JOUEURS'!$A$11:$A$46)&gt;13),'Phase finale'!P14&amp;"Pts en "&amp;'Phase finale'!O14&amp;" Rep.","")</f>
        <v/>
      </c>
      <c r="R31" s="446"/>
      <c r="S31" s="446"/>
      <c r="T31" s="446"/>
      <c r="U31" s="446"/>
      <c r="V31" s="446"/>
      <c r="W31" s="446"/>
      <c r="X31" s="446"/>
      <c r="Y31" s="489"/>
      <c r="Z31" s="446"/>
      <c r="AA31" s="446"/>
      <c r="AB31" s="446"/>
      <c r="AC31" s="446"/>
      <c r="AD31" s="446"/>
      <c r="AE31" s="446"/>
      <c r="AF31" s="446"/>
      <c r="AG31" s="446"/>
      <c r="AH31" s="446"/>
      <c r="AI31" s="446"/>
      <c r="AJ31" s="446"/>
      <c r="AK31" s="446"/>
      <c r="AL31" s="446"/>
      <c r="AM31" s="446"/>
      <c r="AN31" s="446"/>
      <c r="AO31" s="446"/>
      <c r="AP31" s="446"/>
      <c r="AR31" s="721" t="s">
        <v>8125</v>
      </c>
    </row>
    <row r="32" spans="1:44" ht="22.5" customHeight="1" thickTop="1" thickBot="1" x14ac:dyDescent="0.35">
      <c r="A32" s="446">
        <v>6</v>
      </c>
      <c r="B32" s="485" t="str">
        <f>IF('GESTION DES JOUEURS'!$D$8="Open",'Phase finale'!F21,"")</f>
        <v/>
      </c>
      <c r="C32" s="1164" t="str">
        <f>IF('GESTION DES JOUEURS'!$D$8="Open",'Phase finale'!G21,"")</f>
        <v/>
      </c>
      <c r="D32" s="1164"/>
      <c r="E32" s="1164"/>
      <c r="F32" s="1165" t="str">
        <f>IF('GESTION DES JOUEURS'!$D$8="Open",'Phase finale'!J21,"")</f>
        <v/>
      </c>
      <c r="G32" s="1166"/>
      <c r="H32" s="446" t="str">
        <f>_xlfn.XLOOKUP(B32,Tableau19[Licence],Tableau19[Catégorie],"",0,1)</f>
        <v/>
      </c>
      <c r="I32" s="446" t="str">
        <f>IF('GESTION DES JOUEURS'!$D$8="Open",'Phase finale'!N21&amp;"Pts en "&amp;'Phase finale'!O21&amp;" Rep.","")</f>
        <v/>
      </c>
      <c r="J32" s="1167" t="str">
        <f>_xlfn.XLOOKUP(J31,Tableau19[Licence],Tableau19[Club],"",0,1)</f>
        <v/>
      </c>
      <c r="K32" s="1167"/>
      <c r="L32" s="1167"/>
      <c r="M32" s="1167"/>
      <c r="N32" s="1167"/>
      <c r="O32" s="1167"/>
      <c r="P32" s="446"/>
      <c r="Q32" s="446"/>
      <c r="R32" s="446"/>
      <c r="S32" s="446"/>
      <c r="T32" s="446"/>
      <c r="U32" s="446"/>
      <c r="V32" s="446"/>
      <c r="W32" s="446"/>
      <c r="X32" s="446"/>
      <c r="Y32" s="446"/>
      <c r="Z32" s="489"/>
      <c r="AA32" s="446"/>
      <c r="AB32" s="446"/>
      <c r="AC32" s="446"/>
      <c r="AD32" s="446"/>
      <c r="AE32" s="446"/>
      <c r="AF32" s="446"/>
      <c r="AG32" s="446"/>
      <c r="AH32" s="446"/>
      <c r="AI32" s="446"/>
      <c r="AJ32" s="446"/>
      <c r="AK32" s="446"/>
      <c r="AL32" s="446"/>
      <c r="AM32" s="446"/>
      <c r="AN32" s="446"/>
      <c r="AO32" s="446"/>
      <c r="AP32" s="446"/>
      <c r="AR32" s="722"/>
    </row>
    <row r="33" spans="1:44" ht="22.5" customHeight="1" thickTop="1" thickBot="1" x14ac:dyDescent="0.35">
      <c r="A33" s="446"/>
      <c r="B33" s="1167" t="str">
        <f>_xlfn.XLOOKUP(B32,Tableau19[Licence],Tableau19[Club],"",0,1)</f>
        <v/>
      </c>
      <c r="C33" s="1167"/>
      <c r="D33" s="1167"/>
      <c r="E33" s="1167"/>
      <c r="F33" s="1167"/>
      <c r="G33" s="1167"/>
      <c r="H33" s="446"/>
      <c r="I33" s="446"/>
      <c r="J33" s="446"/>
      <c r="K33" s="446"/>
      <c r="L33" s="446"/>
      <c r="M33" s="446"/>
      <c r="N33" s="446"/>
      <c r="O33" s="446"/>
      <c r="P33" s="446"/>
      <c r="Q33" s="446"/>
      <c r="R33" s="446"/>
      <c r="S33" s="446"/>
      <c r="T33" s="446"/>
      <c r="U33" s="446"/>
      <c r="V33" s="446"/>
      <c r="W33" s="446"/>
      <c r="X33" s="446"/>
      <c r="Y33" s="446"/>
      <c r="Z33" s="446"/>
      <c r="AA33" s="489"/>
      <c r="AB33" s="485" t="str">
        <f>'Phase finale'!V9</f>
        <v/>
      </c>
      <c r="AC33" s="1164" t="str">
        <f>'Phase finale'!S9</f>
        <v/>
      </c>
      <c r="AD33" s="1164"/>
      <c r="AE33" s="1164"/>
      <c r="AF33" s="1165" t="str">
        <f>'Phase finale'!U9</f>
        <v/>
      </c>
      <c r="AG33" s="1166"/>
      <c r="AH33" s="446" t="str">
        <f>_xlfn.XLOOKUP(AB33,Tableau19[Licence],Tableau19[Catégorie],"",0,1)</f>
        <v/>
      </c>
      <c r="AI33" s="492" t="str">
        <f>'Phase finale'!P9&amp;"Pts en "&amp;'Phase finale'!O9&amp;" Rep."</f>
        <v>Pts en  Rep.</v>
      </c>
      <c r="AJ33" s="446"/>
      <c r="AK33" s="446"/>
      <c r="AL33" s="446"/>
      <c r="AM33" s="446"/>
      <c r="AN33" s="446"/>
      <c r="AO33" s="446"/>
      <c r="AP33" s="446"/>
    </row>
    <row r="34" spans="1:44" ht="22.5" customHeight="1" thickTop="1" thickBot="1" x14ac:dyDescent="0.35">
      <c r="A34" s="446">
        <v>10</v>
      </c>
      <c r="B34" s="485" t="str">
        <f>IF('GESTION DES JOUEURS'!$D$8="Open",'Phase finale'!V22,"")</f>
        <v/>
      </c>
      <c r="C34" s="1164" t="str">
        <f>IF('GESTION DES JOUEURS'!$D$8="Open",'Phase finale'!S22,"")</f>
        <v/>
      </c>
      <c r="D34" s="1164"/>
      <c r="E34" s="1164"/>
      <c r="F34" s="1165" t="str">
        <f>IF('GESTION DES JOUEURS'!$D$8="Open",'Phase finale'!U22,"")</f>
        <v/>
      </c>
      <c r="G34" s="1166"/>
      <c r="H34" s="446" t="str">
        <f>_xlfn.XLOOKUP(B34,Tableau19[Licence],Tableau19[Catégorie],"",0,1)</f>
        <v/>
      </c>
      <c r="I34" s="446" t="str">
        <f>IF('GESTION DES JOUEURS'!$D$8="Open",'Phase finale'!P22&amp;"Pts en "&amp;'Phase finale'!O22&amp;" Rep.","")</f>
        <v/>
      </c>
      <c r="J34" s="446"/>
      <c r="K34" s="446"/>
      <c r="L34" s="446"/>
      <c r="M34" s="446"/>
      <c r="N34" s="446"/>
      <c r="O34" s="446"/>
      <c r="P34" s="446"/>
      <c r="Q34" s="446"/>
      <c r="R34" s="446"/>
      <c r="S34" s="446"/>
      <c r="T34" s="446"/>
      <c r="U34" s="446"/>
      <c r="V34" s="446"/>
      <c r="W34" s="446"/>
      <c r="X34" s="446"/>
      <c r="Y34" s="446"/>
      <c r="Z34" s="446"/>
      <c r="AA34" s="490"/>
      <c r="AB34" s="1167" t="str">
        <f>_xlfn.XLOOKUP(AB33,Tableau19[Licence],Tableau19[Club],"",0,1)</f>
        <v/>
      </c>
      <c r="AC34" s="1167"/>
      <c r="AD34" s="1167"/>
      <c r="AE34" s="1167"/>
      <c r="AF34" s="1167"/>
      <c r="AG34" s="1167"/>
      <c r="AH34" s="446"/>
      <c r="AI34" s="446"/>
      <c r="AJ34" s="446"/>
      <c r="AK34" s="446"/>
      <c r="AL34" s="446"/>
      <c r="AM34" s="446"/>
      <c r="AN34" s="446"/>
      <c r="AO34" s="446"/>
      <c r="AP34" s="446"/>
      <c r="AR34" s="718" t="s">
        <v>8130</v>
      </c>
    </row>
    <row r="35" spans="1:44" ht="22.5" customHeight="1" thickTop="1" thickBot="1" x14ac:dyDescent="0.35">
      <c r="A35" s="446"/>
      <c r="B35" s="1167" t="str">
        <f>_xlfn.XLOOKUP(B34,Tableau19[Licence],Tableau19[Club],"",0,1)</f>
        <v/>
      </c>
      <c r="C35" s="1167"/>
      <c r="D35" s="1167"/>
      <c r="E35" s="1167"/>
      <c r="F35" s="1167"/>
      <c r="G35" s="1167"/>
      <c r="H35" s="446"/>
      <c r="I35" s="486"/>
      <c r="J35" s="485" t="str">
        <f>'Phase finale'!V13</f>
        <v/>
      </c>
      <c r="K35" s="1164" t="str">
        <f>'Phase finale'!S13</f>
        <v/>
      </c>
      <c r="L35" s="1164"/>
      <c r="M35" s="1164"/>
      <c r="N35" s="1165" t="str">
        <f>'Phase finale'!U13</f>
        <v/>
      </c>
      <c r="O35" s="1166"/>
      <c r="P35" s="446" t="str">
        <f>_xlfn.XLOOKUP(J35,Tableau19[Licence],Tableau19[Catégorie],"",0,1)</f>
        <v/>
      </c>
      <c r="Q35" s="446" t="str">
        <f>IF(AND(OR('GESTION DES JOUEURS'!$D$8="Open",'GESTION DES JOUEURS'!$D$8="Tournoi"),MAX('GESTION DES JOUEURS'!$A$11:$A$46)&gt;13),'Phase finale'!P13&amp;"Pts en "&amp;'Phase finale'!O13&amp;" Rep.","")</f>
        <v/>
      </c>
      <c r="R35" s="446"/>
      <c r="S35" s="446"/>
      <c r="T35" s="446"/>
      <c r="U35" s="446"/>
      <c r="V35" s="446"/>
      <c r="W35" s="446"/>
      <c r="X35" s="446"/>
      <c r="Y35" s="446"/>
      <c r="Z35" s="490"/>
      <c r="AA35" s="446"/>
      <c r="AB35" s="446"/>
      <c r="AC35" s="446"/>
      <c r="AD35" s="446"/>
      <c r="AE35" s="446"/>
      <c r="AF35" s="446"/>
      <c r="AG35" s="446"/>
      <c r="AH35" s="446"/>
      <c r="AI35" s="446"/>
      <c r="AJ35" s="446"/>
      <c r="AK35" s="446"/>
      <c r="AL35" s="446"/>
      <c r="AM35" s="446"/>
      <c r="AN35" s="446"/>
      <c r="AO35" s="446"/>
      <c r="AP35" s="446"/>
      <c r="AR35" s="719"/>
    </row>
    <row r="36" spans="1:44" ht="22.5" customHeight="1" thickTop="1" thickBot="1" x14ac:dyDescent="0.35">
      <c r="A36" s="446">
        <v>7</v>
      </c>
      <c r="B36" s="485" t="str">
        <f>IF('GESTION DES JOUEURS'!$D$8="Open",'Phase finale'!F22,"")</f>
        <v/>
      </c>
      <c r="C36" s="1164" t="str">
        <f>IF('GESTION DES JOUEURS'!$D$8="Open",'Phase finale'!G22,"")</f>
        <v/>
      </c>
      <c r="D36" s="1164"/>
      <c r="E36" s="1164"/>
      <c r="F36" s="1165" t="str">
        <f>IF('GESTION DES JOUEURS'!$D$8="Open",'Phase finale'!J22,"")</f>
        <v/>
      </c>
      <c r="G36" s="1166"/>
      <c r="H36" s="446" t="str">
        <f>_xlfn.XLOOKUP(B36,Tableau19[Licence],Tableau19[Catégorie],"",0,1)</f>
        <v/>
      </c>
      <c r="I36" s="446" t="str">
        <f>IF('GESTION DES JOUEURS'!$D$8="Open",'Phase finale'!N22&amp;"Pts en "&amp;'Phase finale'!O22&amp;" Rep.","")</f>
        <v/>
      </c>
      <c r="J36" s="1167" t="str">
        <f>_xlfn.XLOOKUP(J35,Tableau19[Licence],Tableau19[Club],"",0,1)</f>
        <v/>
      </c>
      <c r="K36" s="1167"/>
      <c r="L36" s="1167"/>
      <c r="M36" s="1167"/>
      <c r="N36" s="1167"/>
      <c r="O36" s="1167"/>
      <c r="P36" s="446"/>
      <c r="Q36" s="446"/>
      <c r="R36" s="446"/>
      <c r="S36" s="446"/>
      <c r="T36" s="446"/>
      <c r="U36" s="446"/>
      <c r="V36" s="446"/>
      <c r="W36" s="446"/>
      <c r="X36" s="446"/>
      <c r="Y36" s="490"/>
      <c r="Z36" s="446"/>
      <c r="AA36" s="446"/>
      <c r="AB36" s="446"/>
      <c r="AC36" s="446"/>
      <c r="AD36" s="446"/>
      <c r="AE36" s="446"/>
      <c r="AF36" s="446"/>
      <c r="AG36" s="446"/>
      <c r="AH36" s="446"/>
      <c r="AI36" s="446"/>
      <c r="AJ36" s="446"/>
      <c r="AK36" s="446"/>
      <c r="AL36" s="446"/>
      <c r="AM36" s="446"/>
      <c r="AN36" s="446"/>
      <c r="AO36" s="446"/>
      <c r="AP36" s="446"/>
    </row>
    <row r="37" spans="1:44" ht="22.5" customHeight="1" thickTop="1" thickBot="1" x14ac:dyDescent="0.35">
      <c r="A37" s="446"/>
      <c r="B37" s="1167" t="str">
        <f>_xlfn.XLOOKUP(B36,Tableau19[Licence],Tableau19[Club],"",0,1)</f>
        <v/>
      </c>
      <c r="C37" s="1167"/>
      <c r="D37" s="1167"/>
      <c r="E37" s="1167"/>
      <c r="F37" s="1167"/>
      <c r="G37" s="1167"/>
      <c r="H37" s="446"/>
      <c r="I37" s="446"/>
      <c r="J37" s="446"/>
      <c r="K37" s="446"/>
      <c r="L37" s="446"/>
      <c r="M37" s="446"/>
      <c r="N37" s="446"/>
      <c r="O37" s="446"/>
      <c r="P37" s="446"/>
      <c r="Q37" s="487"/>
      <c r="R37" s="485" t="str">
        <f>'Phase finale'!F11</f>
        <v/>
      </c>
      <c r="S37" s="1164" t="str">
        <f>'Phase finale'!G11</f>
        <v/>
      </c>
      <c r="T37" s="1164"/>
      <c r="U37" s="1164"/>
      <c r="V37" s="1165" t="str">
        <f>'Phase finale'!J11</f>
        <v/>
      </c>
      <c r="W37" s="1166"/>
      <c r="X37" s="446" t="str">
        <f>_xlfn.XLOOKUP(R37,Tableau19[Licence],Tableau19[Catégorie],"",0,1)</f>
        <v/>
      </c>
      <c r="Y37" s="446" t="str">
        <f>'Phase finale'!N11&amp;"Pts en "&amp;'Phase finale'!O11&amp;" Rep."</f>
        <v>Pts en  Rep.</v>
      </c>
      <c r="Z37" s="446"/>
      <c r="AA37" s="446"/>
      <c r="AB37" s="446"/>
      <c r="AC37" s="446"/>
      <c r="AD37" s="446"/>
      <c r="AE37" s="446"/>
      <c r="AF37" s="446"/>
      <c r="AG37" s="446"/>
      <c r="AH37" s="446"/>
      <c r="AI37" s="446"/>
      <c r="AJ37" s="446"/>
      <c r="AK37" s="446"/>
      <c r="AL37" s="446"/>
      <c r="AM37" s="446"/>
      <c r="AN37" s="446"/>
      <c r="AO37" s="446"/>
      <c r="AP37" s="446"/>
      <c r="AR37" s="733" t="s">
        <v>9888</v>
      </c>
    </row>
    <row r="38" spans="1:44" ht="22.5" customHeight="1" thickTop="1" thickBot="1" x14ac:dyDescent="0.35">
      <c r="A38" s="446">
        <v>15</v>
      </c>
      <c r="B38" s="485" t="str">
        <f>IF('GESTION DES JOUEURS'!$D$8="Open",'Phase finale'!V17,"")</f>
        <v/>
      </c>
      <c r="C38" s="1164" t="str">
        <f>IF('GESTION DES JOUEURS'!$D$8="Open",'Phase finale'!S17,"")</f>
        <v/>
      </c>
      <c r="D38" s="1164"/>
      <c r="E38" s="1164"/>
      <c r="F38" s="1165" t="str">
        <f>IF('GESTION DES JOUEURS'!$D$8="Open",'Phase finale'!U17,"")</f>
        <v/>
      </c>
      <c r="G38" s="1166"/>
      <c r="H38" s="446" t="str">
        <f>_xlfn.XLOOKUP(B38,Tableau19[Licence],Tableau19[Catégorie],"",0,1)</f>
        <v/>
      </c>
      <c r="I38" s="446" t="str">
        <f>IF('GESTION DES JOUEURS'!$D$8="Open",'Phase finale'!P17&amp;"Pts en "&amp;'Phase finale'!O17&amp;" Rep.","")</f>
        <v/>
      </c>
      <c r="J38" s="446"/>
      <c r="K38" s="446"/>
      <c r="L38" s="446"/>
      <c r="M38" s="446"/>
      <c r="N38" s="446"/>
      <c r="O38" s="446"/>
      <c r="P38" s="446"/>
      <c r="Q38" s="488"/>
      <c r="R38" s="1167" t="str">
        <f>_xlfn.XLOOKUP(R37,Tableau19[Licence],Tableau19[Club],"",0,1)</f>
        <v/>
      </c>
      <c r="S38" s="1167"/>
      <c r="T38" s="1167"/>
      <c r="U38" s="1167"/>
      <c r="V38" s="1167"/>
      <c r="W38" s="1167"/>
      <c r="X38" s="446"/>
      <c r="Y38" s="446"/>
      <c r="Z38" s="446"/>
      <c r="AA38" s="446"/>
      <c r="AB38" s="446"/>
      <c r="AC38" s="446"/>
      <c r="AD38" s="446"/>
      <c r="AE38" s="446"/>
      <c r="AF38" s="446"/>
      <c r="AG38" s="446"/>
      <c r="AH38" s="446"/>
      <c r="AI38" s="446"/>
      <c r="AJ38" s="446"/>
      <c r="AK38" s="446"/>
      <c r="AL38" s="446"/>
      <c r="AM38" s="446"/>
      <c r="AN38" s="446"/>
      <c r="AO38" s="446"/>
      <c r="AP38" s="446"/>
      <c r="AR38" s="734"/>
    </row>
    <row r="39" spans="1:44" ht="22.5" customHeight="1" thickTop="1" thickBot="1" x14ac:dyDescent="0.35">
      <c r="A39" s="446"/>
      <c r="B39" s="1167" t="str">
        <f>_xlfn.XLOOKUP(B38,Tableau19[Licence],Tableau19[Club],"",0,1)</f>
        <v/>
      </c>
      <c r="C39" s="1167"/>
      <c r="D39" s="1167"/>
      <c r="E39" s="1167"/>
      <c r="F39" s="1167"/>
      <c r="G39" s="1167"/>
      <c r="H39" s="446"/>
      <c r="I39" s="486"/>
      <c r="J39" s="485" t="str">
        <f>'Phase finale'!F13</f>
        <v/>
      </c>
      <c r="K39" s="1164" t="str">
        <f>'Phase finale'!G13</f>
        <v/>
      </c>
      <c r="L39" s="1164"/>
      <c r="M39" s="1164"/>
      <c r="N39" s="1165" t="str">
        <f>'Phase finale'!J13</f>
        <v/>
      </c>
      <c r="O39" s="1166"/>
      <c r="P39" s="446" t="str">
        <f>_xlfn.XLOOKUP(J39,Tableau19[Licence],Tableau19[Catégorie],"",0,1)</f>
        <v/>
      </c>
      <c r="Q39" s="446" t="str">
        <f>IF(AND(OR('GESTION DES JOUEURS'!$D$8="Open",'GESTION DES JOUEURS'!$D$8="Tournoi"),MAX('GESTION DES JOUEURS'!$A$11:$A$46)&gt;13),'Phase finale'!N13&amp;"Pts en "&amp;'Phase finale'!O13&amp;" Rep.","")</f>
        <v/>
      </c>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row>
    <row r="40" spans="1:44" ht="22.5" customHeight="1" thickTop="1" thickBot="1" x14ac:dyDescent="0.35">
      <c r="A40" s="446">
        <v>2</v>
      </c>
      <c r="B40" s="485" t="str">
        <f>IF('GESTION DES JOUEURS'!$D$8="Open",'Phase finale'!F17,"")</f>
        <v/>
      </c>
      <c r="C40" s="1164" t="str">
        <f>IF('GESTION DES JOUEURS'!$D$8="Open",'Phase finale'!G17,"")</f>
        <v/>
      </c>
      <c r="D40" s="1164"/>
      <c r="E40" s="1164"/>
      <c r="F40" s="1165" t="str">
        <f>IF('GESTION DES JOUEURS'!$D$8="Open",'Phase finale'!J17,"")</f>
        <v/>
      </c>
      <c r="G40" s="1166"/>
      <c r="H40" s="446" t="str">
        <f>_xlfn.XLOOKUP(B40,Tableau19[Licence],Tableau19[Catégorie],"",0,1)</f>
        <v/>
      </c>
      <c r="I40" s="446" t="str">
        <f>IF('GESTION DES JOUEURS'!$D$8="Open",'Phase finale'!N17&amp;"Pts en "&amp;'Phase finale'!O17&amp;" Rep.","")</f>
        <v/>
      </c>
      <c r="J40" s="1167" t="str">
        <f>_xlfn.XLOOKUP(J39,Tableau19[Licence],Tableau19[Club],"",0,1)</f>
        <v/>
      </c>
      <c r="K40" s="1167"/>
      <c r="L40" s="1167"/>
      <c r="M40" s="1167"/>
      <c r="N40" s="1167"/>
      <c r="O40" s="1167"/>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c r="AP40" s="446"/>
      <c r="AR40" s="710" t="s">
        <v>5447</v>
      </c>
    </row>
    <row r="41" spans="1:44" ht="22.5" customHeight="1" thickTop="1" thickBot="1" x14ac:dyDescent="0.3">
      <c r="A41" s="446"/>
      <c r="B41" s="1167" t="str">
        <f>_xlfn.XLOOKUP(B40,Tableau19[Licence],Tableau19[Club],"",0,1)</f>
        <v/>
      </c>
      <c r="C41" s="1167"/>
      <c r="D41" s="1167"/>
      <c r="E41" s="1167"/>
      <c r="F41" s="1167"/>
      <c r="G41" s="1167"/>
      <c r="H41" s="446"/>
      <c r="I41" s="446"/>
      <c r="J41" s="446"/>
      <c r="K41" s="446"/>
      <c r="L41" s="446"/>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c r="AP41" s="446"/>
      <c r="AR41" s="711"/>
    </row>
    <row r="42" spans="1:44" ht="19.5" thickBot="1" x14ac:dyDescent="0.35">
      <c r="A42" s="1182" t="s">
        <v>10267</v>
      </c>
      <c r="B42" s="1183"/>
      <c r="C42" s="1183"/>
      <c r="D42" s="1183"/>
      <c r="E42" s="1183"/>
      <c r="F42" s="1183"/>
      <c r="G42" s="1183"/>
      <c r="H42" s="1183"/>
      <c r="I42" s="1183"/>
      <c r="J42" s="1183"/>
      <c r="K42" s="1183"/>
      <c r="L42" s="1183"/>
      <c r="M42" s="1183"/>
      <c r="N42" s="1184"/>
      <c r="O42" s="1182" t="s">
        <v>10268</v>
      </c>
      <c r="P42" s="1183"/>
      <c r="Q42" s="1183"/>
      <c r="R42" s="1183"/>
      <c r="S42" s="1183"/>
      <c r="T42" s="1183"/>
      <c r="U42" s="1183"/>
      <c r="V42" s="1183"/>
      <c r="W42" s="1183"/>
      <c r="X42" s="1183"/>
      <c r="Y42" s="1183"/>
      <c r="Z42" s="1183"/>
      <c r="AA42" s="1183"/>
      <c r="AB42" s="1184"/>
      <c r="AC42" s="1182" t="s">
        <v>10269</v>
      </c>
      <c r="AD42" s="1183"/>
      <c r="AE42" s="1183"/>
      <c r="AF42" s="1183"/>
      <c r="AG42" s="1183"/>
      <c r="AH42" s="1183"/>
      <c r="AI42" s="1183"/>
      <c r="AJ42" s="1183"/>
      <c r="AK42" s="1183"/>
      <c r="AL42" s="1183"/>
      <c r="AM42" s="1183"/>
      <c r="AN42" s="1183"/>
      <c r="AO42" s="1183"/>
      <c r="AP42" s="1184"/>
      <c r="AR42" s="712"/>
    </row>
    <row r="43" spans="1:44" ht="14.45" customHeight="1" x14ac:dyDescent="0.25">
      <c r="A43" s="493"/>
      <c r="B43" s="494"/>
      <c r="C43" s="494"/>
      <c r="D43" s="494"/>
      <c r="E43" s="494"/>
      <c r="F43" s="494"/>
      <c r="G43" s="494"/>
      <c r="H43" s="494"/>
      <c r="I43" s="494"/>
      <c r="J43" s="494"/>
      <c r="K43" s="494"/>
      <c r="L43" s="494"/>
      <c r="M43" s="494"/>
      <c r="N43" s="495"/>
      <c r="O43" s="493"/>
      <c r="P43" s="494"/>
      <c r="Q43" s="494"/>
      <c r="R43" s="494"/>
      <c r="S43" s="494"/>
      <c r="T43" s="494"/>
      <c r="U43" s="494"/>
      <c r="V43" s="494"/>
      <c r="W43" s="494"/>
      <c r="X43" s="494"/>
      <c r="Y43" s="494"/>
      <c r="Z43" s="494"/>
      <c r="AA43" s="494"/>
      <c r="AB43" s="495"/>
      <c r="AC43" s="493"/>
      <c r="AD43" s="494"/>
      <c r="AE43" s="494"/>
      <c r="AF43" s="494"/>
      <c r="AG43" s="494"/>
      <c r="AH43" s="494"/>
      <c r="AI43" s="494"/>
      <c r="AJ43" s="494"/>
      <c r="AK43" s="494"/>
      <c r="AL43" s="494"/>
      <c r="AM43" s="494"/>
      <c r="AN43" s="494"/>
      <c r="AO43" s="494"/>
      <c r="AP43" s="495"/>
    </row>
    <row r="44" spans="1:44" ht="14.45" customHeight="1" thickBot="1" x14ac:dyDescent="0.35">
      <c r="A44" s="496"/>
      <c r="B44" s="485" t="str">
        <f>'Phase finale'!F34</f>
        <v/>
      </c>
      <c r="C44" s="1164" t="str">
        <f>'Phase finale'!G34</f>
        <v/>
      </c>
      <c r="D44" s="1164"/>
      <c r="E44" s="1164"/>
      <c r="F44" s="1165" t="str">
        <f>'Phase finale'!J34</f>
        <v/>
      </c>
      <c r="G44" s="1166"/>
      <c r="H44" s="446" t="str">
        <f>_xlfn.XLOOKUP(B44,Tableau19[Licence],Tableau19[Catégorie],"",0,1)</f>
        <v/>
      </c>
      <c r="I44" s="492" t="str">
        <f>'Phase finale'!N34&amp;"Pts en "&amp;'Phase finale'!O34&amp;" Rep."</f>
        <v>Pts en  Rep.</v>
      </c>
      <c r="J44" s="446"/>
      <c r="K44" s="446"/>
      <c r="L44" s="446"/>
      <c r="M44" s="446"/>
      <c r="N44" s="497"/>
      <c r="O44" s="496"/>
      <c r="P44" s="485" t="str">
        <f>'Phase finale'!F33</f>
        <v/>
      </c>
      <c r="Q44" s="1164" t="str">
        <f>'Phase finale'!G33</f>
        <v/>
      </c>
      <c r="R44" s="1164"/>
      <c r="S44" s="1164"/>
      <c r="T44" s="1165" t="str">
        <f>'Phase finale'!J33</f>
        <v/>
      </c>
      <c r="U44" s="1166"/>
      <c r="V44" s="446" t="str">
        <f>_xlfn.XLOOKUP(P44,Tableau19[Licence],Tableau19[Catégorie],"",0,1)</f>
        <v/>
      </c>
      <c r="W44" s="492" t="str">
        <f>'Phase finale'!N33&amp;"Pts en "&amp;'Phase finale'!O33&amp;" Rep."</f>
        <v>Pts en  Rep.</v>
      </c>
      <c r="X44" s="446"/>
      <c r="Y44" s="446"/>
      <c r="Z44" s="446"/>
      <c r="AA44" s="446"/>
      <c r="AB44" s="497"/>
      <c r="AC44" s="496"/>
      <c r="AD44" s="485" t="str">
        <f>'Phase finale'!F32</f>
        <v/>
      </c>
      <c r="AE44" s="1164" t="str">
        <f>'Phase finale'!G32</f>
        <v/>
      </c>
      <c r="AF44" s="1164"/>
      <c r="AG44" s="1164"/>
      <c r="AH44" s="1165" t="str">
        <f>'Phase finale'!J32</f>
        <v/>
      </c>
      <c r="AI44" s="1166"/>
      <c r="AJ44" s="446" t="str">
        <f>_xlfn.XLOOKUP(AD44,Tableau19[Licence],Tableau19[Catégorie],"",0,1)</f>
        <v/>
      </c>
      <c r="AK44" s="446" t="str">
        <f>'Phase finale'!N32&amp;"Pts en "&amp;'Phase finale'!O32&amp;" Rep."</f>
        <v>Pts en  Rep.</v>
      </c>
      <c r="AL44" s="446"/>
      <c r="AM44" s="446"/>
      <c r="AN44" s="446"/>
      <c r="AO44" s="446"/>
      <c r="AP44" s="497"/>
    </row>
    <row r="45" spans="1:44" ht="14.45" customHeight="1" thickTop="1" x14ac:dyDescent="0.25">
      <c r="A45" s="496"/>
      <c r="B45" s="1168" t="str">
        <f>_xlfn.XLOOKUP(B44,Tableau19[Licence],Tableau19[Club],"",0,1)</f>
        <v/>
      </c>
      <c r="C45" s="1168"/>
      <c r="D45" s="1168"/>
      <c r="E45" s="1168"/>
      <c r="F45" s="1168"/>
      <c r="G45" s="1168"/>
      <c r="H45" s="446"/>
      <c r="I45" s="446"/>
      <c r="J45" s="446"/>
      <c r="K45" s="446"/>
      <c r="L45" s="446"/>
      <c r="M45" s="446"/>
      <c r="N45" s="497"/>
      <c r="O45" s="496"/>
      <c r="P45" s="1168" t="str">
        <f>_xlfn.XLOOKUP(P44,Tableau19[Licence],Tableau19[Club],"",0,1)</f>
        <v/>
      </c>
      <c r="Q45" s="1168"/>
      <c r="R45" s="1168"/>
      <c r="S45" s="1168"/>
      <c r="T45" s="1168"/>
      <c r="U45" s="1168"/>
      <c r="V45" s="446"/>
      <c r="W45" s="446"/>
      <c r="X45" s="446"/>
      <c r="Y45" s="446"/>
      <c r="Z45" s="446"/>
      <c r="AA45" s="446"/>
      <c r="AB45" s="497"/>
      <c r="AC45" s="496"/>
      <c r="AD45" s="1168" t="str">
        <f>_xlfn.XLOOKUP(AD44,Tableau19[Licence],Tableau19[Club],"",0,1)</f>
        <v/>
      </c>
      <c r="AE45" s="1168"/>
      <c r="AF45" s="1168"/>
      <c r="AG45" s="1168"/>
      <c r="AH45" s="1168"/>
      <c r="AI45" s="1168"/>
      <c r="AJ45" s="446"/>
      <c r="AK45" s="446"/>
      <c r="AL45" s="446"/>
      <c r="AM45" s="446"/>
      <c r="AN45" s="446"/>
      <c r="AO45" s="446"/>
      <c r="AP45" s="497"/>
    </row>
    <row r="46" spans="1:44" ht="14.45" customHeight="1" x14ac:dyDescent="0.25">
      <c r="A46" s="496"/>
      <c r="B46" s="498"/>
      <c r="C46" s="498"/>
      <c r="D46" s="498"/>
      <c r="E46" s="498"/>
      <c r="F46" s="498"/>
      <c r="G46" s="498"/>
      <c r="H46" s="446"/>
      <c r="I46" s="446"/>
      <c r="J46" s="446"/>
      <c r="K46" s="446"/>
      <c r="L46" s="446"/>
      <c r="M46" s="446"/>
      <c r="N46" s="497"/>
      <c r="O46" s="496"/>
      <c r="P46" s="498"/>
      <c r="Q46" s="498"/>
      <c r="R46" s="498"/>
      <c r="S46" s="498"/>
      <c r="T46" s="498"/>
      <c r="U46" s="498"/>
      <c r="V46" s="446"/>
      <c r="W46" s="446"/>
      <c r="X46" s="446"/>
      <c r="Y46" s="446"/>
      <c r="Z46" s="446"/>
      <c r="AA46" s="446"/>
      <c r="AB46" s="497"/>
      <c r="AC46" s="496"/>
      <c r="AD46" s="498"/>
      <c r="AE46" s="498"/>
      <c r="AF46" s="498"/>
      <c r="AG46" s="498"/>
      <c r="AH46" s="498"/>
      <c r="AI46" s="498"/>
      <c r="AJ46" s="446"/>
      <c r="AK46" s="446"/>
      <c r="AL46" s="446"/>
      <c r="AM46" s="446"/>
      <c r="AN46" s="446"/>
      <c r="AO46" s="446"/>
      <c r="AP46" s="497"/>
    </row>
    <row r="47" spans="1:44" ht="14.45" customHeight="1" thickBot="1" x14ac:dyDescent="0.35">
      <c r="A47" s="496"/>
      <c r="B47" s="446"/>
      <c r="C47" s="446"/>
      <c r="D47" s="446"/>
      <c r="E47" s="446"/>
      <c r="F47" s="446"/>
      <c r="G47" s="446"/>
      <c r="H47" s="499" t="str">
        <f>'Phase finale'!C44</f>
        <v/>
      </c>
      <c r="I47" s="1170" t="str">
        <f>'Phase finale'!D44</f>
        <v/>
      </c>
      <c r="J47" s="1170"/>
      <c r="K47" s="1170"/>
      <c r="L47" s="1171" t="str">
        <f>'Phase finale'!F44</f>
        <v/>
      </c>
      <c r="M47" s="1172"/>
      <c r="N47" s="497" t="str">
        <f>_xlfn.XLOOKUP(H47,Tableau19[Licence],Tableau19[Catégorie],"",0,1)</f>
        <v/>
      </c>
      <c r="O47" s="496"/>
      <c r="P47" s="446"/>
      <c r="Q47" s="446"/>
      <c r="R47" s="446"/>
      <c r="S47" s="446"/>
      <c r="T47" s="446"/>
      <c r="U47" s="446"/>
      <c r="V47" s="499" t="str">
        <f>'Phase finale'!C42</f>
        <v/>
      </c>
      <c r="W47" s="1170" t="str">
        <f>'Phase finale'!D42</f>
        <v/>
      </c>
      <c r="X47" s="1170"/>
      <c r="Y47" s="1170"/>
      <c r="Z47" s="1171" t="str">
        <f>'Phase finale'!F42</f>
        <v/>
      </c>
      <c r="AA47" s="1172"/>
      <c r="AB47" s="497" t="str">
        <f>_xlfn.XLOOKUP(V47,Tableau19[Licence],Tableau19[Catégorie],"",0,1)</f>
        <v/>
      </c>
      <c r="AC47" s="496"/>
      <c r="AD47" s="446"/>
      <c r="AE47" s="446"/>
      <c r="AF47" s="446"/>
      <c r="AG47" s="446"/>
      <c r="AH47" s="446"/>
      <c r="AI47" s="446"/>
      <c r="AJ47" s="499" t="str">
        <f>'Phase finale'!C40</f>
        <v/>
      </c>
      <c r="AK47" s="1170" t="str">
        <f>'Phase finale'!D40</f>
        <v/>
      </c>
      <c r="AL47" s="1170"/>
      <c r="AM47" s="1170"/>
      <c r="AN47" s="1171" t="str">
        <f>'Phase finale'!F40</f>
        <v/>
      </c>
      <c r="AO47" s="1172"/>
      <c r="AP47" s="497" t="str">
        <f>_xlfn.XLOOKUP(AJ47,Tableau19[Licence],Tableau19[Catégorie],"",0,1)</f>
        <v/>
      </c>
    </row>
    <row r="48" spans="1:44" ht="14.45" customHeight="1" thickTop="1" x14ac:dyDescent="0.25">
      <c r="A48" s="496"/>
      <c r="B48" s="446"/>
      <c r="C48" s="446"/>
      <c r="D48" s="446"/>
      <c r="E48" s="446"/>
      <c r="F48" s="446"/>
      <c r="G48" s="446"/>
      <c r="H48" s="1168" t="str">
        <f>_xlfn.XLOOKUP(H47,Tableau19[Licence],Tableau19[Club],"",0,1)</f>
        <v/>
      </c>
      <c r="I48" s="1168"/>
      <c r="J48" s="1168"/>
      <c r="K48" s="1168"/>
      <c r="L48" s="1168"/>
      <c r="M48" s="1168"/>
      <c r="N48" s="497"/>
      <c r="O48" s="496"/>
      <c r="P48" s="446"/>
      <c r="Q48" s="446"/>
      <c r="R48" s="446"/>
      <c r="S48" s="446"/>
      <c r="T48" s="446"/>
      <c r="U48" s="446"/>
      <c r="V48" s="1168"/>
      <c r="W48" s="1168"/>
      <c r="X48" s="1168"/>
      <c r="Y48" s="1168"/>
      <c r="Z48" s="1168"/>
      <c r="AA48" s="1168"/>
      <c r="AB48" s="497"/>
      <c r="AC48" s="496"/>
      <c r="AD48" s="446"/>
      <c r="AE48" s="446"/>
      <c r="AF48" s="446"/>
      <c r="AG48" s="446"/>
      <c r="AH48" s="446"/>
      <c r="AI48" s="446"/>
      <c r="AJ48" s="1168" t="str">
        <f>_xlfn.XLOOKUP(AJ47,Tableau19[Licence],Tableau19[Club],"",0,1)</f>
        <v/>
      </c>
      <c r="AK48" s="1168"/>
      <c r="AL48" s="1168"/>
      <c r="AM48" s="1168"/>
      <c r="AN48" s="1168"/>
      <c r="AO48" s="1168"/>
      <c r="AP48" s="497"/>
    </row>
    <row r="49" spans="1:42" ht="14.45" customHeight="1" x14ac:dyDescent="0.25">
      <c r="A49" s="496"/>
      <c r="B49" s="446"/>
      <c r="C49" s="446"/>
      <c r="D49" s="446"/>
      <c r="E49" s="446"/>
      <c r="F49" s="446"/>
      <c r="G49" s="446"/>
      <c r="H49" s="498"/>
      <c r="I49" s="498"/>
      <c r="J49" s="498"/>
      <c r="K49" s="498"/>
      <c r="L49" s="498"/>
      <c r="M49" s="498"/>
      <c r="N49" s="497"/>
      <c r="O49" s="496"/>
      <c r="P49" s="446"/>
      <c r="Q49" s="446"/>
      <c r="R49" s="446"/>
      <c r="S49" s="446"/>
      <c r="T49" s="446"/>
      <c r="U49" s="446"/>
      <c r="V49" s="498"/>
      <c r="W49" s="498"/>
      <c r="X49" s="498"/>
      <c r="Y49" s="498"/>
      <c r="Z49" s="498"/>
      <c r="AA49" s="498"/>
      <c r="AB49" s="497"/>
      <c r="AC49" s="496"/>
      <c r="AD49" s="446"/>
      <c r="AE49" s="446"/>
      <c r="AF49" s="446"/>
      <c r="AG49" s="446"/>
      <c r="AH49" s="446"/>
      <c r="AI49" s="446"/>
      <c r="AJ49" s="498"/>
      <c r="AK49" s="498"/>
      <c r="AL49" s="498"/>
      <c r="AM49" s="498"/>
      <c r="AN49" s="498"/>
      <c r="AO49" s="498"/>
      <c r="AP49" s="497"/>
    </row>
    <row r="50" spans="1:42" ht="14.45" customHeight="1" thickBot="1" x14ac:dyDescent="0.35">
      <c r="A50" s="496"/>
      <c r="B50" s="485" t="str">
        <f>'Phase finale'!V34</f>
        <v/>
      </c>
      <c r="C50" s="1164" t="str">
        <f>'Phase finale'!S34</f>
        <v/>
      </c>
      <c r="D50" s="1164"/>
      <c r="E50" s="1164"/>
      <c r="F50" s="1165" t="str">
        <f>'Phase finale'!U34</f>
        <v/>
      </c>
      <c r="G50" s="1166"/>
      <c r="H50" s="446" t="str">
        <f>_xlfn.XLOOKUP(B50,Tableau19[Licence],Tableau19[Catégorie],"",0,1)</f>
        <v/>
      </c>
      <c r="I50" s="492" t="str">
        <f>'Phase finale'!P34&amp;"Pts en "&amp;'Phase finale'!O34&amp;" Rep."</f>
        <v>Pts en  Rep.</v>
      </c>
      <c r="J50" s="446"/>
      <c r="K50" s="446"/>
      <c r="L50" s="446"/>
      <c r="M50" s="446"/>
      <c r="N50" s="497"/>
      <c r="O50" s="496"/>
      <c r="P50" s="485" t="str">
        <f>'Phase finale'!V33</f>
        <v/>
      </c>
      <c r="Q50" s="1164" t="str">
        <f>'Phase finale'!S33</f>
        <v/>
      </c>
      <c r="R50" s="1164"/>
      <c r="S50" s="1164"/>
      <c r="T50" s="1165" t="str">
        <f>'Phase finale'!U33</f>
        <v/>
      </c>
      <c r="U50" s="1166"/>
      <c r="V50" s="446" t="str">
        <f>_xlfn.XLOOKUP(P50,Tableau19[Licence],Tableau19[Catégorie],"",0,1)</f>
        <v/>
      </c>
      <c r="W50" s="446" t="str">
        <f>'Phase finale'!P33&amp;"Pts en "&amp;'Phase finale'!O33&amp;" Rep."</f>
        <v>Pts en  Rep.</v>
      </c>
      <c r="X50" s="446"/>
      <c r="Y50" s="446"/>
      <c r="Z50" s="446"/>
      <c r="AA50" s="446"/>
      <c r="AB50" s="497"/>
      <c r="AC50" s="496"/>
      <c r="AD50" s="485" t="str">
        <f>'Phase finale'!V32</f>
        <v/>
      </c>
      <c r="AE50" s="1164" t="str">
        <f>'Phase finale'!S32</f>
        <v/>
      </c>
      <c r="AF50" s="1164"/>
      <c r="AG50" s="1164"/>
      <c r="AH50" s="1165" t="str">
        <f>'Phase finale'!U32</f>
        <v/>
      </c>
      <c r="AI50" s="1166"/>
      <c r="AJ50" s="446" t="str">
        <f>_xlfn.XLOOKUP(AD50,Tableau19[Licence],Tableau19[Catégorie],"",0,1)</f>
        <v/>
      </c>
      <c r="AK50" s="446" t="str">
        <f>'Phase finale'!P32&amp;"Pts en "&amp;'Phase finale'!O32&amp;" Rep."</f>
        <v>Pts en  Rep.</v>
      </c>
      <c r="AL50" s="446"/>
      <c r="AM50" s="446"/>
      <c r="AN50" s="446"/>
      <c r="AO50" s="446"/>
      <c r="AP50" s="497"/>
    </row>
    <row r="51" spans="1:42" ht="14.45" customHeight="1" thickTop="1" thickBot="1" x14ac:dyDescent="0.3">
      <c r="A51" s="500"/>
      <c r="B51" s="1169" t="str">
        <f>_xlfn.XLOOKUP(B50,Tableau19[Licence],Tableau19[Club],"",0,1)</f>
        <v/>
      </c>
      <c r="C51" s="1169"/>
      <c r="D51" s="1169"/>
      <c r="E51" s="1169"/>
      <c r="F51" s="1169"/>
      <c r="G51" s="1169"/>
      <c r="H51" s="501"/>
      <c r="I51" s="501"/>
      <c r="J51" s="501"/>
      <c r="K51" s="501"/>
      <c r="L51" s="501"/>
      <c r="M51" s="501"/>
      <c r="N51" s="502"/>
      <c r="O51" s="500"/>
      <c r="P51" s="1169" t="str">
        <f>_xlfn.XLOOKUP(P50,Tableau19[Licence],Tableau19[Club],"",0,1)</f>
        <v/>
      </c>
      <c r="Q51" s="1169"/>
      <c r="R51" s="1169"/>
      <c r="S51" s="1169"/>
      <c r="T51" s="1169"/>
      <c r="U51" s="1169"/>
      <c r="V51" s="501"/>
      <c r="W51" s="501"/>
      <c r="X51" s="501"/>
      <c r="Y51" s="501"/>
      <c r="Z51" s="501"/>
      <c r="AA51" s="501"/>
      <c r="AB51" s="502"/>
      <c r="AC51" s="500"/>
      <c r="AD51" s="1169" t="str">
        <f>_xlfn.XLOOKUP(AD50,Tableau19[Licence],Tableau19[Club],"",0,1)</f>
        <v/>
      </c>
      <c r="AE51" s="1169"/>
      <c r="AF51" s="1169"/>
      <c r="AG51" s="1169"/>
      <c r="AH51" s="1169"/>
      <c r="AI51" s="1169"/>
      <c r="AJ51" s="501"/>
      <c r="AK51" s="501"/>
      <c r="AL51" s="501"/>
      <c r="AM51" s="501"/>
      <c r="AN51" s="501"/>
      <c r="AO51" s="501"/>
      <c r="AP51" s="502"/>
    </row>
    <row r="52" spans="1:42" ht="14.45" customHeight="1" x14ac:dyDescent="0.25">
      <c r="A52" s="446"/>
      <c r="B52" s="446"/>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c r="AJ52" s="446"/>
      <c r="AK52" s="446"/>
      <c r="AL52" s="446"/>
      <c r="AM52" s="446"/>
      <c r="AN52" s="446"/>
      <c r="AO52" s="446"/>
      <c r="AP52" s="446"/>
    </row>
  </sheetData>
  <sheetProtection algorithmName="SHA-512" hashValue="KNQ4Lvn4lPuVVgs9LtXVFP6iCRrZhLN4mxBztpQ4F/TmNUlyh7V+mBZ4oXMtz3YmRyMBENQ7dWZKktZokgC/JA==" saltValue="TmqATA3zQxzycBN7Yw+fMA==" spinCount="100000" sheet="1" objects="1" scenarios="1"/>
  <mergeCells count="156">
    <mergeCell ref="A1:G1"/>
    <mergeCell ref="A2:G2"/>
    <mergeCell ref="A3:G3"/>
    <mergeCell ref="A5:E5"/>
    <mergeCell ref="F5:M5"/>
    <mergeCell ref="N5:T5"/>
    <mergeCell ref="U5:AB5"/>
    <mergeCell ref="AC5:AH5"/>
    <mergeCell ref="A42:N42"/>
    <mergeCell ref="O42:AB42"/>
    <mergeCell ref="AC42:AP42"/>
    <mergeCell ref="AI5:AP5"/>
    <mergeCell ref="B7:G7"/>
    <mergeCell ref="J7:O7"/>
    <mergeCell ref="R7:W7"/>
    <mergeCell ref="AB7:AG7"/>
    <mergeCell ref="AJ7:AO7"/>
    <mergeCell ref="AJ26:AO26"/>
    <mergeCell ref="AK25:AM25"/>
    <mergeCell ref="AN25:AO25"/>
    <mergeCell ref="AB34:AG34"/>
    <mergeCell ref="AC33:AE33"/>
    <mergeCell ref="AF33:AG33"/>
    <mergeCell ref="AC17:AE17"/>
    <mergeCell ref="H48:M48"/>
    <mergeCell ref="P45:U45"/>
    <mergeCell ref="L47:M47"/>
    <mergeCell ref="I47:K47"/>
    <mergeCell ref="T44:U44"/>
    <mergeCell ref="Q44:S44"/>
    <mergeCell ref="B45:G45"/>
    <mergeCell ref="B51:G51"/>
    <mergeCell ref="F50:G50"/>
    <mergeCell ref="F44:G44"/>
    <mergeCell ref="C44:E44"/>
    <mergeCell ref="C50:E50"/>
    <mergeCell ref="AD51:AI51"/>
    <mergeCell ref="AJ48:AO48"/>
    <mergeCell ref="AK47:AM47"/>
    <mergeCell ref="AN47:AO47"/>
    <mergeCell ref="AE50:AG50"/>
    <mergeCell ref="AH50:AI50"/>
    <mergeCell ref="P51:U51"/>
    <mergeCell ref="Q50:S50"/>
    <mergeCell ref="T50:U50"/>
    <mergeCell ref="W47:Y47"/>
    <mergeCell ref="Z47:AA47"/>
    <mergeCell ref="V48:AA48"/>
    <mergeCell ref="AD45:AI45"/>
    <mergeCell ref="AE44:AG44"/>
    <mergeCell ref="AH44:AI44"/>
    <mergeCell ref="S29:U29"/>
    <mergeCell ref="V29:W29"/>
    <mergeCell ref="R30:W30"/>
    <mergeCell ref="S37:U37"/>
    <mergeCell ref="V37:W37"/>
    <mergeCell ref="R38:W38"/>
    <mergeCell ref="AF17:AG17"/>
    <mergeCell ref="AB18:AG18"/>
    <mergeCell ref="R22:W22"/>
    <mergeCell ref="S21:U21"/>
    <mergeCell ref="V21:W21"/>
    <mergeCell ref="N19:O19"/>
    <mergeCell ref="J20:O20"/>
    <mergeCell ref="K23:M23"/>
    <mergeCell ref="N23:O23"/>
    <mergeCell ref="AM1:AP3"/>
    <mergeCell ref="H1:AL3"/>
    <mergeCell ref="K11:M11"/>
    <mergeCell ref="N11:O11"/>
    <mergeCell ref="J12:O12"/>
    <mergeCell ref="K15:M15"/>
    <mergeCell ref="N15:O15"/>
    <mergeCell ref="R14:W14"/>
    <mergeCell ref="S13:U13"/>
    <mergeCell ref="V13:W13"/>
    <mergeCell ref="J40:O40"/>
    <mergeCell ref="C10:E10"/>
    <mergeCell ref="F10:G10"/>
    <mergeCell ref="B11:G11"/>
    <mergeCell ref="C12:E12"/>
    <mergeCell ref="F12:G12"/>
    <mergeCell ref="B13:G13"/>
    <mergeCell ref="C14:E14"/>
    <mergeCell ref="F14:G14"/>
    <mergeCell ref="B15:G15"/>
    <mergeCell ref="J32:O32"/>
    <mergeCell ref="K35:M35"/>
    <mergeCell ref="N35:O35"/>
    <mergeCell ref="J36:O36"/>
    <mergeCell ref="K39:M39"/>
    <mergeCell ref="N39:O39"/>
    <mergeCell ref="J24:O24"/>
    <mergeCell ref="K27:M27"/>
    <mergeCell ref="N27:O27"/>
    <mergeCell ref="J28:O28"/>
    <mergeCell ref="K31:M31"/>
    <mergeCell ref="N31:O31"/>
    <mergeCell ref="J16:O16"/>
    <mergeCell ref="K19:M19"/>
    <mergeCell ref="C20:E20"/>
    <mergeCell ref="F20:G20"/>
    <mergeCell ref="B21:G21"/>
    <mergeCell ref="C22:E22"/>
    <mergeCell ref="F22:G22"/>
    <mergeCell ref="B23:G23"/>
    <mergeCell ref="C16:E16"/>
    <mergeCell ref="F16:G16"/>
    <mergeCell ref="B17:G17"/>
    <mergeCell ref="C18:E18"/>
    <mergeCell ref="F18:G18"/>
    <mergeCell ref="B19:G19"/>
    <mergeCell ref="B29:G29"/>
    <mergeCell ref="C30:E30"/>
    <mergeCell ref="F30:G30"/>
    <mergeCell ref="B31:G31"/>
    <mergeCell ref="C24:E24"/>
    <mergeCell ref="F24:G24"/>
    <mergeCell ref="B25:G25"/>
    <mergeCell ref="C26:E26"/>
    <mergeCell ref="F26:G26"/>
    <mergeCell ref="B27:G27"/>
    <mergeCell ref="C40:E40"/>
    <mergeCell ref="F40:G40"/>
    <mergeCell ref="B41:G41"/>
    <mergeCell ref="AR4:AR5"/>
    <mergeCell ref="AR7:AR8"/>
    <mergeCell ref="AR9:AR10"/>
    <mergeCell ref="AR11:AR12"/>
    <mergeCell ref="AR13:AR14"/>
    <mergeCell ref="AR15:AR16"/>
    <mergeCell ref="AR17:AR18"/>
    <mergeCell ref="C36:E36"/>
    <mergeCell ref="F36:G36"/>
    <mergeCell ref="B37:G37"/>
    <mergeCell ref="C38:E38"/>
    <mergeCell ref="F38:G38"/>
    <mergeCell ref="B39:G39"/>
    <mergeCell ref="C32:E32"/>
    <mergeCell ref="F32:G32"/>
    <mergeCell ref="B33:G33"/>
    <mergeCell ref="C34:E34"/>
    <mergeCell ref="F34:G34"/>
    <mergeCell ref="B35:G35"/>
    <mergeCell ref="C28:E28"/>
    <mergeCell ref="F28:G28"/>
    <mergeCell ref="AR31:AR32"/>
    <mergeCell ref="AR34:AR35"/>
    <mergeCell ref="AR37:AR38"/>
    <mergeCell ref="AR40:AR42"/>
    <mergeCell ref="AR19:AR20"/>
    <mergeCell ref="AR21:AR22"/>
    <mergeCell ref="AR23:AR24"/>
    <mergeCell ref="AR25:AR26"/>
    <mergeCell ref="AR27:AR28"/>
    <mergeCell ref="AR29:AR30"/>
  </mergeCells>
  <hyperlinks>
    <hyperlink ref="AR4:AR5" location="'GESTION DES JOUEURS'!D4" display="GESTION DES JOUEURS" xr:uid="{32F4B226-9EA6-4339-95B9-85FE7AA8BE34}"/>
    <hyperlink ref="AR9:AR10" location="PA!N18" display="PA!N18" xr:uid="{98E8FFF2-99B1-404F-A408-B66404F56D0F}"/>
    <hyperlink ref="AR11:AR12" location="PB!N18" display="Poule B" xr:uid="{5E0E76D6-CC45-4B39-A9AF-ADC21740B173}"/>
    <hyperlink ref="AR13:AR14" location="PC!N18" display="Poule C" xr:uid="{AADCECB9-522E-4B71-9649-F8CAB91D2A30}"/>
    <hyperlink ref="AR15:AR16" location="PD!N18" display="Poule D" xr:uid="{18A75958-54C0-4D26-BA2F-389FD88E7966}"/>
    <hyperlink ref="AR17:AR18" location="PE!N18" display="Poule E" xr:uid="{6A61D392-93C9-475F-A461-A3B50E1B7DA1}"/>
    <hyperlink ref="AR19:AR20" location="PF!N18" display="Poule F" xr:uid="{8C1FA40B-1998-44C5-AAFB-30BB280555A6}"/>
    <hyperlink ref="AR21:AR22" location="PG!N18" display="Poule G" xr:uid="{2F8084EC-D63E-4808-A7FF-31895F90E7E6}"/>
    <hyperlink ref="AR23:AR24" location="PH!N18" display="Poule H" xr:uid="{7D5A8F9A-837F-4ACB-8CC0-6A102CEEF727}"/>
    <hyperlink ref="AR25:AR26" location="PI!N18" display="Poule I" xr:uid="{BF79F047-5676-4A57-8600-3CAE55EE2598}"/>
    <hyperlink ref="AR27:AR28" location="PJ!N18" display="Poule J" xr:uid="{AD33782A-62BF-4C89-AE9A-4C3E88B69038}"/>
    <hyperlink ref="AR29:AR30" location="PK!N18" display="Poule K" xr:uid="{BEA4BEE8-6D88-4907-B716-3C439B405DB2}"/>
    <hyperlink ref="AR31:AR32" location="PL!N18" display="Poule L" xr:uid="{223FC7E6-79A6-439D-8D36-DE6461949089}"/>
    <hyperlink ref="AR34:AR35" location="'Phase finale'!A1" display="Phase Finale" xr:uid="{92F7FA65-EDAF-4509-A3A9-F352F4A85E37}"/>
    <hyperlink ref="AR37:AR38" location="Consolante!A1" display="Consolante" xr:uid="{03134431-B4DC-41BD-8013-139EBF4CBCE4}"/>
    <hyperlink ref="AR40:AR42" location="RESULTATS!A1" display="RESULTATS" xr:uid="{51F39086-D338-45B2-BC3A-43BA3311EBF7}"/>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8" id="{BF8A6CB7-2211-4B33-A054-45D3F13DFF34}">
            <xm:f>'GESTION DES JOUEURS'!$T$8&lt;2</xm:f>
            <x14:dxf>
              <font>
                <color theme="0" tint="-0.24994659260841701"/>
              </font>
              <fill>
                <patternFill>
                  <bgColor theme="0" tint="-0.24994659260841701"/>
                </patternFill>
              </fill>
            </x14:dxf>
          </x14:cfRule>
          <x14:cfRule type="expression" priority="19" id="{6D4FF8B0-5F1B-422A-A980-72628C15F906}">
            <xm:f>'GESTION DES JOUEURS'!$D$8="Finale"</xm:f>
            <x14:dxf>
              <font>
                <color theme="0" tint="-0.24994659260841701"/>
              </font>
              <fill>
                <patternFill>
                  <bgColor theme="0" tint="-0.24994659260841701"/>
                </patternFill>
              </fill>
            </x14:dxf>
          </x14:cfRule>
          <xm:sqref>AR11:AR32</xm:sqref>
        </x14:conditionalFormatting>
        <x14:conditionalFormatting xmlns:xm="http://schemas.microsoft.com/office/excel/2006/main">
          <x14:cfRule type="expression" priority="17" id="{64145E10-984C-4D6C-9D83-F0B258548CB2}">
            <xm:f>'GESTION DES JOUEURS'!$T$8&lt;3</xm:f>
            <x14:dxf>
              <font>
                <color theme="0" tint="-0.24994659260841701"/>
              </font>
              <fill>
                <patternFill>
                  <bgColor theme="0" tint="-0.24994659260841701"/>
                </patternFill>
              </fill>
            </x14:dxf>
          </x14:cfRule>
          <xm:sqref>AR13:AR32</xm:sqref>
        </x14:conditionalFormatting>
        <x14:conditionalFormatting xmlns:xm="http://schemas.microsoft.com/office/excel/2006/main">
          <x14:cfRule type="expression" priority="16" id="{E5DE32D8-BA6E-45E6-BDBF-FB697B381490}">
            <xm:f>'GESTION DES JOUEURS'!$T$8&lt;4</xm:f>
            <x14:dxf>
              <font>
                <color theme="0" tint="-0.24994659260841701"/>
              </font>
              <fill>
                <patternFill>
                  <bgColor theme="0" tint="-0.24994659260841701"/>
                </patternFill>
              </fill>
            </x14:dxf>
          </x14:cfRule>
          <xm:sqref>AR15:AR32</xm:sqref>
        </x14:conditionalFormatting>
        <x14:conditionalFormatting xmlns:xm="http://schemas.microsoft.com/office/excel/2006/main">
          <x14:cfRule type="expression" priority="15" id="{236E8629-A240-4503-A7D6-A7FEA92E0F3B}">
            <xm:f>'GESTION DES JOUEURS'!$T$8&lt;5</xm:f>
            <x14:dxf>
              <font>
                <color theme="0" tint="-0.24994659260841701"/>
              </font>
              <fill>
                <patternFill>
                  <bgColor theme="0" tint="-0.24994659260841701"/>
                </patternFill>
              </fill>
            </x14:dxf>
          </x14:cfRule>
          <xm:sqref>AR17:AR32</xm:sqref>
        </x14:conditionalFormatting>
        <x14:conditionalFormatting xmlns:xm="http://schemas.microsoft.com/office/excel/2006/main">
          <x14:cfRule type="expression" priority="14" id="{4556EDA1-345F-430F-8ED0-0C76FBF12F69}">
            <xm:f>'GESTION DES JOUEURS'!$T$8&lt;6</xm:f>
            <x14:dxf>
              <font>
                <color theme="0" tint="-0.24994659260841701"/>
              </font>
              <fill>
                <patternFill>
                  <fgColor auto="1"/>
                  <bgColor theme="0" tint="-0.24994659260841701"/>
                </patternFill>
              </fill>
            </x14:dxf>
          </x14:cfRule>
          <xm:sqref>AR19:AR32</xm:sqref>
        </x14:conditionalFormatting>
        <x14:conditionalFormatting xmlns:xm="http://schemas.microsoft.com/office/excel/2006/main">
          <x14:cfRule type="expression" priority="13" id="{BDA30493-8626-46E1-B699-98F17F065F1D}">
            <xm:f>'GESTION DES JOUEURS'!$T$8&lt;7</xm:f>
            <x14:dxf>
              <font>
                <color theme="0" tint="-0.24994659260841701"/>
              </font>
              <fill>
                <patternFill>
                  <bgColor theme="0" tint="-0.24994659260841701"/>
                </patternFill>
              </fill>
            </x14:dxf>
          </x14:cfRule>
          <xm:sqref>AR21:AR32</xm:sqref>
        </x14:conditionalFormatting>
        <x14:conditionalFormatting xmlns:xm="http://schemas.microsoft.com/office/excel/2006/main">
          <x14:cfRule type="expression" priority="12" id="{CAB6E209-3AEB-4685-AC7C-F18FFCE3E204}">
            <xm:f>'GESTION DES JOUEURS'!$T$8&lt;8</xm:f>
            <x14:dxf>
              <font>
                <color theme="0" tint="-0.24994659260841701"/>
              </font>
              <fill>
                <patternFill>
                  <bgColor theme="0" tint="-0.24994659260841701"/>
                </patternFill>
              </fill>
            </x14:dxf>
          </x14:cfRule>
          <xm:sqref>AR23:AR32</xm:sqref>
        </x14:conditionalFormatting>
        <x14:conditionalFormatting xmlns:xm="http://schemas.microsoft.com/office/excel/2006/main">
          <x14:cfRule type="expression" priority="11" id="{2C4C5132-6C60-4A60-8807-A302BA49B11F}">
            <xm:f>'GESTION DES JOUEURS'!$T$8&lt;9</xm:f>
            <x14:dxf>
              <font>
                <color theme="0" tint="-0.24994659260841701"/>
              </font>
              <fill>
                <patternFill>
                  <bgColor theme="0" tint="-0.24994659260841701"/>
                </patternFill>
              </fill>
            </x14:dxf>
          </x14:cfRule>
          <xm:sqref>AR25:AR32</xm:sqref>
        </x14:conditionalFormatting>
        <x14:conditionalFormatting xmlns:xm="http://schemas.microsoft.com/office/excel/2006/main">
          <x14:cfRule type="expression" priority="10" id="{A8BEFF4B-0A6E-4320-94B7-EE5678A454BC}">
            <xm:f>'GESTION DES JOUEURS'!$T$8&lt;10</xm:f>
            <x14:dxf>
              <font>
                <color theme="0" tint="-0.24994659260841701"/>
              </font>
              <fill>
                <patternFill>
                  <bgColor theme="0" tint="-0.24994659260841701"/>
                </patternFill>
              </fill>
            </x14:dxf>
          </x14:cfRule>
          <xm:sqref>AR27:AR32</xm:sqref>
        </x14:conditionalFormatting>
        <x14:conditionalFormatting xmlns:xm="http://schemas.microsoft.com/office/excel/2006/main">
          <x14:cfRule type="expression" priority="2" id="{667B99AC-794D-4777-986A-A321F67D40C7}">
            <xm:f>OR('GESTION DES JOUEURS'!$D$8="poules",'GESTION DES JOUEURS'!$D$8="Finale")</xm:f>
            <x14:dxf>
              <font>
                <color theme="0" tint="-0.24994659260841701"/>
              </font>
              <fill>
                <patternFill>
                  <fgColor auto="1"/>
                  <bgColor theme="0" tint="-0.24994659260841701"/>
                </patternFill>
              </fill>
            </x14:dxf>
          </x14:cfRule>
          <xm:sqref>AR34:AR35</xm:sqref>
        </x14:conditionalFormatting>
        <x14:conditionalFormatting xmlns:xm="http://schemas.microsoft.com/office/excel/2006/main">
          <x14:cfRule type="expression" priority="1" id="{11441518-4D1F-484F-969F-67B1C37E12B5}">
            <xm:f>'GESTION DES JOUEURS'!$T$8=1</xm:f>
            <x14:dxf>
              <font>
                <color theme="0" tint="-0.24994659260841701"/>
              </font>
              <fill>
                <patternFill>
                  <bgColor theme="0" tint="-0.24994659260841701"/>
                </patternFill>
              </fill>
            </x14:dxf>
          </x14:cfRule>
          <x14:cfRule type="expression" priority="3" id="{2C0FFAE8-E145-4FF8-85F0-26A9A5325D39}">
            <xm:f>'GESTION DES JOUEURS'!$D$8="Finale"</xm:f>
            <x14:dxf>
              <font>
                <color theme="0" tint="-0.24994659260841701"/>
              </font>
              <fill>
                <patternFill>
                  <bgColor theme="0" tint="-0.24994659260841701"/>
                </patternFill>
              </fill>
            </x14:dxf>
          </x14:cfRule>
          <xm:sqref>AR34:AR38</xm:sqref>
        </x14:conditionalFormatting>
        <x14:conditionalFormatting xmlns:xm="http://schemas.microsoft.com/office/excel/2006/main">
          <x14:cfRule type="expression" priority="5" id="{01D568A2-25F7-451F-A6E5-078348D88621}">
            <xm:f>OR('GESTION DES JOUEURS'!$D$8="Poules",'GESTION DES JOUEURS'!$D$8="Finale",'GESTION DES JOUEURS'!$D$8="Tournoi")</xm:f>
            <x14:dxf>
              <font>
                <color theme="0" tint="-0.24994659260841701"/>
              </font>
              <fill>
                <patternFill>
                  <bgColor theme="0" tint="-0.24994659260841701"/>
                </patternFill>
              </fill>
            </x14:dxf>
          </x14:cfRule>
          <xm:sqref>AR37:AR38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26D67-125D-44F4-8FDC-748149E1CDC5}">
  <sheetPr>
    <tabColor theme="5" tint="-0.249977111117893"/>
  </sheetPr>
  <dimension ref="A1:DJ62"/>
  <sheetViews>
    <sheetView topLeftCell="M1" zoomScaleNormal="100" workbookViewId="0">
      <selection activeCell="AA44" sqref="AA44:AA46"/>
    </sheetView>
  </sheetViews>
  <sheetFormatPr baseColWidth="10" defaultColWidth="10.85546875" defaultRowHeight="23.1" customHeight="1" x14ac:dyDescent="0.25"/>
  <cols>
    <col min="1" max="1" width="5.140625" style="244" bestFit="1" customWidth="1"/>
    <col min="2" max="2" width="14.85546875" style="244" bestFit="1" customWidth="1"/>
    <col min="3" max="5" width="10.85546875" style="244" customWidth="1"/>
    <col min="6" max="7" width="8.28515625" style="244" customWidth="1"/>
    <col min="8" max="8" width="4.85546875" style="244" bestFit="1" customWidth="1"/>
    <col min="9" max="9" width="11.140625" style="244" customWidth="1"/>
    <col min="10" max="10" width="6.28515625" style="244" customWidth="1"/>
    <col min="11" max="12" width="10.85546875" style="244" customWidth="1"/>
    <col min="13" max="13" width="5.5703125" style="244" customWidth="1"/>
    <col min="14" max="16" width="10.85546875" style="244" customWidth="1"/>
    <col min="17" max="17" width="5.5703125" style="244" customWidth="1"/>
    <col min="18" max="18" width="10.85546875" style="244" customWidth="1"/>
    <col min="19" max="19" width="8.7109375" style="244" customWidth="1"/>
    <col min="20" max="20" width="16.5703125" style="244" customWidth="1"/>
    <col min="21" max="21" width="17.140625" style="244" customWidth="1"/>
    <col min="22" max="22" width="8.28515625" style="244" customWidth="1"/>
    <col min="23" max="24" width="10.85546875" style="244" customWidth="1"/>
    <col min="25" max="25" width="13.85546875" style="244" bestFit="1" customWidth="1"/>
    <col min="26" max="26" width="0.85546875" style="244" customWidth="1"/>
    <col min="27" max="27" width="15.140625" style="241" customWidth="1"/>
    <col min="28" max="28" width="0.85546875" style="244" customWidth="1"/>
    <col min="29" max="29" width="12.85546875" style="244" hidden="1" customWidth="1"/>
    <col min="30" max="30" width="10.85546875" style="244" hidden="1" customWidth="1"/>
    <col min="31" max="31" width="10.85546875" style="371" hidden="1" customWidth="1"/>
    <col min="32" max="32" width="8.5703125" style="371" hidden="1" customWidth="1"/>
    <col min="33" max="33" width="4" style="371" hidden="1" customWidth="1"/>
    <col min="34" max="34" width="7.85546875" style="371" hidden="1" customWidth="1"/>
    <col min="35" max="35" width="9.140625" style="371" hidden="1" customWidth="1"/>
    <col min="36" max="36" width="6.7109375" style="244" hidden="1" customWidth="1"/>
    <col min="37" max="44" width="10.85546875" style="244" hidden="1" customWidth="1"/>
    <col min="45" max="46" width="10.85546875" style="578" hidden="1" customWidth="1"/>
    <col min="47" max="47" width="10.85546875" style="244" hidden="1" customWidth="1"/>
    <col min="48" max="49" width="10.85546875" style="575" hidden="1" customWidth="1"/>
    <col min="50" max="50" width="10.85546875" style="576" hidden="1" customWidth="1"/>
    <col min="51" max="114" width="10.85546875" style="244" hidden="1" customWidth="1"/>
    <col min="115" max="16384" width="10.85546875" style="244"/>
  </cols>
  <sheetData>
    <row r="1" spans="1:107" ht="5.0999999999999996" customHeight="1" thickBot="1" x14ac:dyDescent="0.3"/>
    <row r="2" spans="1:107" ht="69.599999999999994" customHeight="1" thickBot="1" x14ac:dyDescent="0.3">
      <c r="B2" s="1212" t="str">
        <f>IF('GESTION DES JOUEURS'!$D$8="Tournoi",'GESTION DES JOUEURS'!$C$2&amp;CHAR(10)&amp;"Phase finale",IF('GESTION DES JOUEURS'!$D$8="Open",'GESTION DES JOUEURS'!$C$2&amp;CHAR(10)&amp;"Phase finale consolante",""))</f>
        <v/>
      </c>
      <c r="C2" s="1213"/>
      <c r="D2" s="1213"/>
      <c r="E2" s="1213"/>
      <c r="F2" s="1213"/>
      <c r="G2" s="1213"/>
      <c r="H2" s="1213"/>
      <c r="I2" s="1213"/>
      <c r="J2" s="1213"/>
      <c r="K2" s="1213"/>
      <c r="L2" s="1213"/>
      <c r="M2" s="1213"/>
      <c r="N2" s="1213"/>
      <c r="O2" s="1213"/>
      <c r="P2" s="1213"/>
      <c r="Q2" s="1213"/>
      <c r="R2" s="1213"/>
      <c r="S2" s="1213"/>
      <c r="T2" s="1213"/>
      <c r="U2" s="1213"/>
      <c r="V2" s="1213"/>
      <c r="W2" s="1213"/>
      <c r="X2" s="1214"/>
      <c r="Y2" s="524"/>
      <c r="AA2" s="371" t="e" vm="1">
        <v>#VALUE!</v>
      </c>
      <c r="AS2" s="579"/>
      <c r="AT2" s="579"/>
      <c r="AU2" s="579"/>
      <c r="AV2" s="580"/>
      <c r="AW2" s="580"/>
      <c r="AX2" s="578"/>
    </row>
    <row r="3" spans="1:107" ht="5.0999999999999996" customHeight="1" thickBot="1" x14ac:dyDescent="0.3"/>
    <row r="4" spans="1:107" ht="19.5" thickBot="1" x14ac:dyDescent="0.35">
      <c r="B4" s="895" t="s">
        <v>5528</v>
      </c>
      <c r="C4" s="896"/>
      <c r="D4" s="896"/>
      <c r="E4" s="896"/>
      <c r="F4" s="897" t="str">
        <f>'GESTION DES JOUEURS'!$D$8</f>
        <v>Poules</v>
      </c>
      <c r="G4" s="897"/>
      <c r="H4" s="897"/>
      <c r="I4" s="897"/>
      <c r="J4" s="896" t="str">
        <f>IF(F4="Tournoi","PHASE FINALE",IF(F4="Open","Phase finale principale",""))</f>
        <v/>
      </c>
      <c r="K4" s="896"/>
      <c r="L4" s="896"/>
      <c r="M4" s="898" t="s">
        <v>5529</v>
      </c>
      <c r="N4" s="898"/>
      <c r="O4" s="898"/>
      <c r="P4" s="898"/>
      <c r="Q4" s="898"/>
      <c r="R4" s="339"/>
      <c r="S4" s="339"/>
      <c r="T4" s="794" t="str">
        <f>'GESTION DES JOUEURS'!$G$6&amp;" "&amp;'GESTION DES JOUEURS'!$J$6</f>
        <v>LEMONIER THIERY</v>
      </c>
      <c r="U4" s="794"/>
      <c r="V4" s="794"/>
      <c r="W4" s="794"/>
      <c r="X4" s="795"/>
      <c r="Y4" s="525"/>
      <c r="Z4" s="246"/>
      <c r="AA4" s="891" t="s">
        <v>8128</v>
      </c>
      <c r="AO4" s="244" t="s">
        <v>21</v>
      </c>
      <c r="AP4" s="244" t="s">
        <v>11530</v>
      </c>
      <c r="AQ4" s="244" t="s">
        <v>14</v>
      </c>
      <c r="AR4" s="244" t="s">
        <v>11529</v>
      </c>
      <c r="AS4" s="578" t="s">
        <v>11528</v>
      </c>
      <c r="AT4" s="578" t="s">
        <v>11527</v>
      </c>
      <c r="AU4" s="244" t="s">
        <v>17</v>
      </c>
      <c r="AV4" s="575" t="s">
        <v>11513</v>
      </c>
      <c r="AW4" s="575" t="s">
        <v>11514</v>
      </c>
      <c r="AX4" s="576" t="s">
        <v>11526</v>
      </c>
    </row>
    <row r="5" spans="1:107" ht="19.5" thickBot="1" x14ac:dyDescent="0.3">
      <c r="B5" s="797" t="str">
        <f>IF(F4="FINALE","Distance :","Distance réduite :")</f>
        <v>Distance réduite :</v>
      </c>
      <c r="C5" s="798"/>
      <c r="D5" s="798"/>
      <c r="E5" s="107">
        <f>'GESTION DES JOUEURS'!$I$4</f>
        <v>100</v>
      </c>
      <c r="F5" s="107" t="s">
        <v>2</v>
      </c>
      <c r="G5" s="107"/>
      <c r="H5" s="107"/>
      <c r="I5" s="798">
        <f>'GESTION DES JOUEURS'!$K$4</f>
        <v>40</v>
      </c>
      <c r="J5" s="798"/>
      <c r="K5" s="108" t="s">
        <v>5453</v>
      </c>
      <c r="L5" s="108"/>
      <c r="M5" s="897" t="str">
        <f>'GESTION DES JOUEURS'!$B$6</f>
        <v>9031 - ACADEMIE DE BILLARD DE MAISONS ALFORT</v>
      </c>
      <c r="N5" s="897"/>
      <c r="O5" s="897"/>
      <c r="P5" s="897"/>
      <c r="Q5" s="897"/>
      <c r="R5" s="897"/>
      <c r="S5" s="897"/>
      <c r="T5" s="107" t="s">
        <v>5497</v>
      </c>
      <c r="U5" s="903">
        <f>'GESTION DES JOUEURS'!$K$2</f>
        <v>45633</v>
      </c>
      <c r="V5" s="903"/>
      <c r="W5" s="903"/>
      <c r="X5" s="904"/>
      <c r="Y5" s="526"/>
      <c r="AA5" s="892"/>
      <c r="AE5" s="371">
        <v>1</v>
      </c>
      <c r="AF5" s="371" t="str">
        <f>F9</f>
        <v/>
      </c>
      <c r="AG5" s="371" t="str">
        <f>D9</f>
        <v/>
      </c>
      <c r="AH5" s="371" t="b">
        <f>L9</f>
        <v>0</v>
      </c>
      <c r="AI5" s="371" t="e">
        <f>N9/_xlfn.XLOOKUP(AF5,$BU$7:$BU$33,$CN$7:$CN$33,"",0,1)</f>
        <v>#VALUE!</v>
      </c>
      <c r="AJ5" s="244" t="e">
        <f>P9/_xlfn.XLOOKUP(V9,$BU$7:$BU$33,$CN$7:$CN$33,"",0,1)</f>
        <v>#VALUE!</v>
      </c>
      <c r="AK5" s="244">
        <f>M9</f>
        <v>0</v>
      </c>
      <c r="AL5" s="573" t="str">
        <f>E9</f>
        <v/>
      </c>
      <c r="AM5" s="244" t="e">
        <f>P9/AJ5</f>
        <v>#VALUE!</v>
      </c>
      <c r="AN5" s="244">
        <v>1</v>
      </c>
      <c r="AO5" s="244" t="str">
        <f>BU7</f>
        <v/>
      </c>
      <c r="AP5" s="244">
        <f>_xlfn.XLOOKUP(AO5,$AF$5:$AF$34,$AE$5:$AE$34,"",0,1)</f>
        <v>1</v>
      </c>
      <c r="AQ5" s="244" t="str">
        <f>_xlfn.XLOOKUP(AO5,$AF$5:$AF$34,$AG$5:$AG$34,"",0,1)</f>
        <v/>
      </c>
      <c r="AR5" s="244" t="b">
        <f>_xlfn.XLOOKUP(AO5,$AF$5:$AF$34,$AH$5:$AH$34,"",0,1)</f>
        <v>0</v>
      </c>
      <c r="AS5" s="578" t="e">
        <f>_xlfn.XLOOKUP(AO5,$AF$5:$AF$34,$AI$5:$AI$34,"",0,1)</f>
        <v>#VALUE!</v>
      </c>
      <c r="AT5" s="578" t="e">
        <f>_xlfn.XLOOKUP(AO5,$AF$5:$AF$34,$AJ$5:$AJ$34,"",0,1)</f>
        <v>#VALUE!</v>
      </c>
      <c r="AU5" s="244">
        <f>_xlfn.MAXIFS($AK$5:$AK$34,$AF$5:$AF$34,AO5)</f>
        <v>0</v>
      </c>
      <c r="AV5" s="575">
        <f>IFERROR(SUM(SUMIFS($N$9:$N$23,$F$9:$F$23,AO5,$A$9:$A$23,"P"),SUMIFS($P$9:$P$23,$V$9:$V$23,AO5,$A$9:$A$23,"P"))/(SUM(COUNTIF($F$9:$F$23,AO5),COUNTIF($V$9:$V$23,AO5))*_xlfn.XLOOKUP(AO5,$BU$7:$BU$26,$CN$7:$CN$26,"",0,1)),0)</f>
        <v>0</v>
      </c>
      <c r="AW5" s="575">
        <f>IFERROR(SUM(SUMIFS($P$9:$P$23,$F$9:$F$23,AO5,$A$9:$A$23,"P"),SUMIFS($N$9:$N$23,$V$9:$V$23,AO5,$A$9:$A$23,"P"))/SUMIF($AF$5:$AF$34,AO5,$AM$5:$AM$34),0)</f>
        <v>0</v>
      </c>
      <c r="AX5" s="577">
        <f>IFERROR(SUM(SUMIFS($N$9:$N$23,$F$9:$F$23,AO5,$A$9:$A$23,"P"),SUMIFS($P$9:$P$23,$V$9:$V$23,AO5,$A$9:$A$23,"P"))/SUM(SUMIFS($O$9:$O$23,$F$9:$F$23,AO5,$A$9:$A$23,"P"),SUMIFS($O$9:$O$23,$V$9:$V$23,AO5,$A$9:$A$23,"P")),0)</f>
        <v>0</v>
      </c>
      <c r="BU5" s="1075" t="s">
        <v>9889</v>
      </c>
      <c r="BV5" s="1075"/>
      <c r="BW5" s="1075"/>
      <c r="BX5" s="1075"/>
      <c r="BY5" s="1075"/>
      <c r="BZ5" s="1075"/>
      <c r="CA5" s="1075"/>
      <c r="CB5" s="1075"/>
      <c r="CC5" s="1075"/>
      <c r="CD5" s="1075"/>
      <c r="CE5" s="1075"/>
      <c r="CF5" s="1075"/>
      <c r="CG5" s="1075"/>
      <c r="CH5" s="1075"/>
      <c r="CI5" s="1075"/>
      <c r="CJ5" s="1075"/>
      <c r="CK5" s="1075"/>
      <c r="CL5" s="1075"/>
    </row>
    <row r="6" spans="1:107" ht="27" thickBot="1" x14ac:dyDescent="0.45">
      <c r="B6" s="908" t="str">
        <f>'GESTION DES JOUEURS'!$D$4</f>
        <v>Libre R2</v>
      </c>
      <c r="C6" s="1114"/>
      <c r="D6" s="789" t="s">
        <v>5455</v>
      </c>
      <c r="E6" s="790"/>
      <c r="F6" s="790"/>
      <c r="G6" s="790"/>
      <c r="H6" s="790"/>
      <c r="I6" s="790"/>
      <c r="J6" s="790"/>
      <c r="K6" s="790"/>
      <c r="L6" s="790"/>
      <c r="M6" s="790"/>
      <c r="N6" s="790"/>
      <c r="O6" s="790"/>
      <c r="P6" s="790"/>
      <c r="Q6" s="790"/>
      <c r="R6" s="790"/>
      <c r="S6" s="790"/>
      <c r="T6" s="790"/>
      <c r="U6" s="790"/>
      <c r="V6" s="790"/>
      <c r="W6" s="790"/>
      <c r="X6" s="791"/>
      <c r="Y6" s="527"/>
      <c r="AE6" s="371">
        <v>1</v>
      </c>
      <c r="AF6" s="371" t="str">
        <f>V9</f>
        <v/>
      </c>
      <c r="AG6" s="371" t="str">
        <f>X9</f>
        <v/>
      </c>
      <c r="AH6" s="371" t="b">
        <f>R9</f>
        <v>0</v>
      </c>
      <c r="AI6" s="371" t="e">
        <f>P9/_xlfn.XLOOKUP(AF6,$BU$7:$BU$33,$CN$7:$CN$33,"",0,1)</f>
        <v>#VALUE!</v>
      </c>
      <c r="AJ6" s="244" t="e">
        <f>N9/_xlfn.XLOOKUP(F9,$BU$7:$BU$33,$CN$7:$CN$33,"",0,1)</f>
        <v>#VALUE!</v>
      </c>
      <c r="AK6" s="572">
        <f>Q9</f>
        <v>0</v>
      </c>
      <c r="AL6" s="574" t="str">
        <f>W9</f>
        <v/>
      </c>
      <c r="AM6" s="572" t="e">
        <f>N9/AJ6</f>
        <v>#VALUE!</v>
      </c>
      <c r="AN6" s="572">
        <v>2</v>
      </c>
      <c r="AO6" s="244" t="str">
        <f t="shared" ref="AO6:AO20" si="0">BU8</f>
        <v/>
      </c>
      <c r="AP6" s="244">
        <f t="shared" ref="AP6:AP20" si="1">_xlfn.XLOOKUP(AO6,$AF$5:$AF$34,$AE$5:$AE$34,"",0,1)</f>
        <v>1</v>
      </c>
      <c r="AQ6" s="244" t="str">
        <f t="shared" ref="AQ6:AQ20" si="2">_xlfn.XLOOKUP(AO6,$AF$5:$AF$34,$AG$5:$AG$34,"",0,1)</f>
        <v/>
      </c>
      <c r="AR6" s="244" t="b">
        <f t="shared" ref="AR6:AR20" si="3">_xlfn.XLOOKUP(AO6,$AF$5:$AF$34,$AH$5:$AH$34,"",0,1)</f>
        <v>0</v>
      </c>
      <c r="AS6" s="578" t="e">
        <f t="shared" ref="AS6:AS20" si="4">_xlfn.XLOOKUP(AO6,$AF$5:$AF$34,$AI$5:$AI$34,"",0,1)</f>
        <v>#VALUE!</v>
      </c>
      <c r="AT6" s="578" t="e">
        <f t="shared" ref="AT6:AT20" si="5">_xlfn.XLOOKUP(AO6,$AF$5:$AF$34,$AJ$5:$AJ$34,"",0,1)</f>
        <v>#VALUE!</v>
      </c>
      <c r="AU6" s="244">
        <f t="shared" ref="AU6:AU20" si="6">_xlfn.MAXIFS($AK$5:$AK$34,$AF$5:$AF$34,AO6)</f>
        <v>0</v>
      </c>
      <c r="AV6" s="575">
        <f t="shared" ref="AV6:AV20" si="7">IFERROR(SUM(SUMIFS($N$9:$N$23,$F$9:$F$23,AO6,$A$9:$A$23,"P"),SUMIFS($P$9:$P$23,$V$9:$V$23,AO6,$A$9:$A$23,"P"))/(SUM(COUNTIF($F$9:$F$23,AO6),COUNTIF($V$9:$V$23,AO6))*_xlfn.XLOOKUP(AO6,$BU$7:$BU$26,$CN$7:$CN$26,"",0,1)),0)</f>
        <v>0</v>
      </c>
      <c r="AW6" s="575">
        <f t="shared" ref="AW6:AW20" si="8">IFERROR(SUM(SUMIFS($P$9:$P$23,$F$9:$F$23,AO6,$A$9:$A$23,"P"),SUMIFS($N$9:$N$23,$V$9:$V$23,AO6,$A$9:$A$23,"P"))/SUMIF($AF$5:$AF$34,AO6,$AM$5:$AM$34),0)</f>
        <v>0</v>
      </c>
      <c r="AX6" s="577">
        <f t="shared" ref="AX6:AX20" si="9">IFERROR(SUM(SUMIFS($N$9:$N$23,$F$9:$F$23,AO6,$A$9:$A$23,"P"),SUMIFS($P$9:$P$23,$V$9:$V$23,AO6,$A$9:$A$23,"P"))/SUM(SUMIFS($O$9:$O$23,$F$9:$F$23,AO6,$A$9:$A$23,"P"),SUMIFS($O$9:$O$23,$V$9:$V$23,AO6,$A$9:$A$23,"P")),0)</f>
        <v>0</v>
      </c>
      <c r="BA6" s="34" t="s">
        <v>27</v>
      </c>
      <c r="BB6" s="754" t="s">
        <v>28</v>
      </c>
      <c r="BC6" s="755"/>
      <c r="BD6" s="754" t="s">
        <v>29</v>
      </c>
      <c r="BE6" s="755"/>
      <c r="BF6" s="763" t="s">
        <v>30</v>
      </c>
      <c r="BG6" s="763"/>
      <c r="BH6" s="763"/>
      <c r="BI6" s="763"/>
      <c r="BJ6" s="763"/>
      <c r="BK6" s="763"/>
      <c r="BL6" s="350" t="s">
        <v>14</v>
      </c>
      <c r="BM6" s="350" t="s">
        <v>20</v>
      </c>
      <c r="BN6" s="349" t="s">
        <v>19</v>
      </c>
      <c r="BO6" s="349" t="s">
        <v>17</v>
      </c>
      <c r="BP6" s="354" t="s">
        <v>5451</v>
      </c>
      <c r="BQ6" s="35" t="s">
        <v>5527</v>
      </c>
      <c r="BR6" s="243" t="s">
        <v>9866</v>
      </c>
      <c r="BU6" s="34" t="s">
        <v>27</v>
      </c>
      <c r="BV6" s="754" t="s">
        <v>28</v>
      </c>
      <c r="BW6" s="755"/>
      <c r="BX6" s="754" t="s">
        <v>29</v>
      </c>
      <c r="BY6" s="755"/>
      <c r="BZ6" s="763" t="s">
        <v>30</v>
      </c>
      <c r="CA6" s="763"/>
      <c r="CB6" s="763"/>
      <c r="CC6" s="763"/>
      <c r="CD6" s="763"/>
      <c r="CE6" s="763"/>
      <c r="CF6" s="350" t="s">
        <v>14</v>
      </c>
      <c r="CG6" s="350" t="s">
        <v>20</v>
      </c>
      <c r="CH6" s="349" t="s">
        <v>19</v>
      </c>
      <c r="CI6" s="349" t="s">
        <v>17</v>
      </c>
      <c r="CJ6" s="354" t="s">
        <v>5451</v>
      </c>
      <c r="CK6" s="35" t="s">
        <v>5527</v>
      </c>
      <c r="CL6" s="243" t="s">
        <v>9866</v>
      </c>
      <c r="CQ6" s="244" t="s">
        <v>11531</v>
      </c>
      <c r="CR6" s="244" t="s">
        <v>11532</v>
      </c>
      <c r="CS6" s="244" t="s">
        <v>11533</v>
      </c>
      <c r="CU6" s="244" t="s">
        <v>11534</v>
      </c>
      <c r="CV6" s="244" t="s">
        <v>11535</v>
      </c>
      <c r="CW6" s="244" t="s">
        <v>20</v>
      </c>
      <c r="DC6" s="244" t="s">
        <v>10262</v>
      </c>
    </row>
    <row r="7" spans="1:107" ht="19.5" thickBot="1" x14ac:dyDescent="0.3">
      <c r="B7" s="1120"/>
      <c r="C7" s="771" t="s">
        <v>5457</v>
      </c>
      <c r="D7" s="787" t="s">
        <v>5458</v>
      </c>
      <c r="E7" s="787"/>
      <c r="F7" s="787"/>
      <c r="G7" s="787"/>
      <c r="H7" s="787"/>
      <c r="I7" s="787"/>
      <c r="J7" s="787"/>
      <c r="K7" s="787"/>
      <c r="L7" s="787"/>
      <c r="M7" s="787"/>
      <c r="N7" s="788"/>
      <c r="O7" s="49" t="s">
        <v>5459</v>
      </c>
      <c r="P7" s="773" t="s">
        <v>5460</v>
      </c>
      <c r="Q7" s="774"/>
      <c r="R7" s="774"/>
      <c r="S7" s="774"/>
      <c r="T7" s="774"/>
      <c r="U7" s="774"/>
      <c r="V7" s="774"/>
      <c r="W7" s="774"/>
      <c r="X7" s="775"/>
      <c r="Y7" s="1082" t="str">
        <f>IF('GESTION DES JOUEURS'!$W$8=3.1,"cocher si match"&amp;CHAR(10)&amp;"sur 2,80m",IF('GESTION DES JOUEURS'!$W$8=2.8,"cocher si match"&amp;CHAR(10)&amp;"sur 3,10m",""))</f>
        <v>cocher si match
sur 3,10m</v>
      </c>
      <c r="AA7" s="901" t="s">
        <v>8129</v>
      </c>
      <c r="AE7" s="371">
        <v>2</v>
      </c>
      <c r="AF7" s="371" t="str">
        <f>F10</f>
        <v/>
      </c>
      <c r="AG7" s="371" t="str">
        <f>D10</f>
        <v/>
      </c>
      <c r="AH7" s="371" t="b">
        <f>L10</f>
        <v>0</v>
      </c>
      <c r="AI7" s="371" t="e">
        <f>N10/_xlfn.XLOOKUP(AF7,$BU$7:$BU$33,$CN$7:$CN$33,"",0,1)</f>
        <v>#VALUE!</v>
      </c>
      <c r="AJ7" s="244" t="e">
        <f>P10/_xlfn.XLOOKUP(V10,$BU$7:$BU$33,$CN$7:$CN$33,"",0,1)</f>
        <v>#VALUE!</v>
      </c>
      <c r="AK7" s="244">
        <f>M10</f>
        <v>0</v>
      </c>
      <c r="AL7" s="573" t="str">
        <f>E10</f>
        <v/>
      </c>
      <c r="AM7" s="244" t="e">
        <f>P10/AJ7</f>
        <v>#VALUE!</v>
      </c>
      <c r="AN7" s="244">
        <v>3</v>
      </c>
      <c r="AO7" s="244" t="str">
        <f t="shared" si="0"/>
        <v/>
      </c>
      <c r="AP7" s="244">
        <f t="shared" si="1"/>
        <v>1</v>
      </c>
      <c r="AQ7" s="244" t="str">
        <f t="shared" si="2"/>
        <v/>
      </c>
      <c r="AR7" s="244" t="b">
        <f t="shared" si="3"/>
        <v>0</v>
      </c>
      <c r="AS7" s="578" t="e">
        <f t="shared" si="4"/>
        <v>#VALUE!</v>
      </c>
      <c r="AT7" s="578" t="e">
        <f t="shared" si="5"/>
        <v>#VALUE!</v>
      </c>
      <c r="AU7" s="244">
        <f t="shared" si="6"/>
        <v>0</v>
      </c>
      <c r="AV7" s="575">
        <f t="shared" si="7"/>
        <v>0</v>
      </c>
      <c r="AW7" s="575">
        <f t="shared" si="8"/>
        <v>0</v>
      </c>
      <c r="AX7" s="577">
        <f t="shared" si="9"/>
        <v>0</v>
      </c>
      <c r="AZ7" s="244">
        <v>1</v>
      </c>
      <c r="BA7" s="244" t="e" cm="1" vm="5">
        <f t="array" aca="1" ref="BA7" ca="1">_xlfn.SORTBY($AE$7:$AX$42,$AT$7:$AT$42,1,$AP$7:$AP$42,-1,$AQ$7:$AQ$42,-1,$AR$7:$AR$42,-1,$AS$7:$AS$42,-1)</f>
        <v>#VALUE!</v>
      </c>
      <c r="BT7" s="244">
        <v>1</v>
      </c>
      <c r="BU7" s="244" t="str">
        <f>'Phase finale'!CP23</f>
        <v/>
      </c>
      <c r="BV7" s="244" t="str">
        <f>'Phase finale'!CQ23</f>
        <v/>
      </c>
      <c r="BW7" s="244">
        <f>'Phase finale'!CR23</f>
        <v>0</v>
      </c>
      <c r="BX7" s="244" t="str">
        <f>'Phase finale'!CS23</f>
        <v/>
      </c>
      <c r="BY7" s="244">
        <f>'Phase finale'!CT23</f>
        <v>0</v>
      </c>
      <c r="BZ7" s="244" t="str">
        <f>'Phase finale'!CU23</f>
        <v/>
      </c>
      <c r="CA7" s="244">
        <f>'Phase finale'!CV23</f>
        <v>0</v>
      </c>
      <c r="CB7" s="244">
        <f>'Phase finale'!CW23</f>
        <v>0</v>
      </c>
      <c r="CC7" s="244">
        <f>'Phase finale'!CX23</f>
        <v>0</v>
      </c>
      <c r="CD7" s="244">
        <f>'Phase finale'!CY23</f>
        <v>0</v>
      </c>
      <c r="CE7" s="244">
        <f>'Phase finale'!CZ23</f>
        <v>0</v>
      </c>
      <c r="CF7" s="244" t="str">
        <f>'Phase finale'!DA23</f>
        <v/>
      </c>
      <c r="CG7" s="244" t="str">
        <f>'Phase finale'!DB23</f>
        <v/>
      </c>
      <c r="CH7" s="244" t="str">
        <f>'Phase finale'!DC23</f>
        <v/>
      </c>
      <c r="CI7" s="244" t="str">
        <f>'Phase finale'!DD23</f>
        <v/>
      </c>
      <c r="CJ7" s="244" t="str">
        <f>'Phase finale'!DE23</f>
        <v/>
      </c>
      <c r="CK7" s="244" t="str">
        <f>'Phase finale'!DF23</f>
        <v/>
      </c>
      <c r="CL7" s="244" t="str">
        <f>'Phase finale'!DG23</f>
        <v/>
      </c>
      <c r="CM7" s="244" t="str">
        <f>'Phase finale'!DH23</f>
        <v/>
      </c>
      <c r="CN7" s="244" t="str">
        <f>'Phase finale'!DI23</f>
        <v/>
      </c>
      <c r="CP7" s="443" t="str" cm="1">
        <f t="array" ref="CP7:CP22">BU7:BU22</f>
        <v/>
      </c>
      <c r="CQ7" s="443">
        <f>SUM(SUMIFS($N$9:$N$23,$F$9:$F$23,CP7,$A$9:$A$23,"P"),SUMIFS($P$9:$P$23,$V$9:$V$23,CP7,$A$9:$A$23,"P"))</f>
        <v>0</v>
      </c>
      <c r="CR7" s="443">
        <f>SUM(SUMIFS($O$9:$O$23,$F$9:$F$23,CP7,$A$9:$A$23,"P"),SUMIFS($O$9:$O$23,$V$9:$V$23,CP7,$A$9:$A$23,"P"))</f>
        <v>0</v>
      </c>
      <c r="CS7" s="447" t="str">
        <f>IFERROR(CQ7/CR7,"")</f>
        <v/>
      </c>
      <c r="CT7" s="443"/>
      <c r="CU7" s="443">
        <f>_xlfn.XLOOKUP(CP7,PA!$B$6:$B$11,PA!$P$6:$P$11,_xlfn.XLOOKUP(CP7,PB!$B$6:$B$11,PB!$P$6:$P$11,_xlfn.XLOOKUP(CP7,PC!$B$6:$B$11,PC!$P$6:$P$11,_xlfn.XLOOKUP(CP7,PD!$B$6:$B$11,PD!$P$6:$P$11,_xlfn.XLOOKUP(CP7,PE!$B$6:$B$11,PE!$P$6:$P$11,_xlfn.XLOOKUP(CP7,PF!$B$6:$B$11,PF!$P$6:$P$11,_xlfn.XLOOKUP(CP7,PG!$B$6:$B$11,PG!$P$6:$P$11,_xlfn.XLOOKUP(CP7,PH!$B$6:$B$11,PH!$P$6:$P$11,_xlfn.XLOOKUP(CP7,PI!$B$6:$B$11,PI!$P$6:$P$11,_xlfn.XLOOKUP(CP7,PJ!$B$6:$B$11,PJ!$P$6:$P$11,_xlfn.XLOOKUP(CP7,PK!$B$6:$B$11,PK!$P$6:$P$11,_xlfn.XLOOKUP(CP7,PL!$B$6:$B$11,PL!$P$6:$P$11,"",0,1),0,1),0,1),0,1),0,1),0,1),0,1),0,1),0,1),0,1),0,1),0,1)</f>
        <v>0</v>
      </c>
      <c r="CV7" s="443">
        <f>_xlfn.XLOOKUP(CP7,PA!$B$6:$B$11,PA!$Q$6:$Q$11,_xlfn.XLOOKUP(CP7,PB!$B$6:$B$11,PB!$Q$6:$Q$11,_xlfn.XLOOKUP(CP7,PC!$B$6:$B$11,PC!$Q$6:$Q$11,_xlfn.XLOOKUP(CP7,PD!$B$6:$B$11,PD!$Q$6:$Q$11,_xlfn.XLOOKUP(CP7,PE!$B$6:$B$11,PE!$Q$6:$Q$11,_xlfn.XLOOKUP(CP7,PF!$B$6:$B$11,PF!$Q$6:$Q$11,_xlfn.XLOOKUP(CP7,PG!$B$6:$B$11,PG!$Q$6:$Q$11,_xlfn.XLOOKUP(CP7,PH!$B$6:$B$11,PH!$Q$6:$Q$11,_xlfn.XLOOKUP(CP7,PI!$B$6:$B$11,PI!$Q$6:$Q$11,_xlfn.XLOOKUP(CP7,PJ!$B$6:$B$11,PJ!$Q$6:$Q$11,_xlfn.XLOOKUP(CP7,PK!$B$6:$B$11,PK!$Q$6:$Q$11,_xlfn.XLOOKUP(CP7,PL!$B$6:$B$11,PL!$Q$6:$Q$11,"",0,1),0,1),0,1),0,1),0,1),0,1),0,1),0,1),0,1),0,1),0,1),0,1)</f>
        <v>0</v>
      </c>
      <c r="CW7" s="244" t="e">
        <f>(CQ7+CU7)/(CR7+CV7)</f>
        <v>#DIV/0!</v>
      </c>
      <c r="DB7" s="244">
        <v>1</v>
      </c>
      <c r="DC7" s="244" t="str" cm="1">
        <f t="array" ref="DC7:DC14">_xlfn.SORTBY($DC$23:$DC$30,$DD$23:$DD$30,-1,$DE$23:$DE$30,-1,$DH$23:$DH$30,-1,$DI$23:$DI$30,-1)</f>
        <v/>
      </c>
    </row>
    <row r="8" spans="1:107" ht="30.95" customHeight="1" thickBot="1" x14ac:dyDescent="0.3">
      <c r="B8" s="1121"/>
      <c r="C8" s="772"/>
      <c r="D8" s="406" t="s">
        <v>14</v>
      </c>
      <c r="E8" s="392" t="s">
        <v>5521</v>
      </c>
      <c r="F8" s="393" t="s">
        <v>21</v>
      </c>
      <c r="G8" s="1115" t="s">
        <v>8</v>
      </c>
      <c r="H8" s="1116"/>
      <c r="I8" s="1116"/>
      <c r="J8" s="1115" t="s">
        <v>9</v>
      </c>
      <c r="K8" s="1117"/>
      <c r="L8" s="439" t="s">
        <v>9890</v>
      </c>
      <c r="M8" s="409" t="s">
        <v>17</v>
      </c>
      <c r="N8" s="394" t="s">
        <v>23</v>
      </c>
      <c r="O8" s="395" t="s">
        <v>18</v>
      </c>
      <c r="P8" s="415" t="s">
        <v>23</v>
      </c>
      <c r="Q8" s="409" t="s">
        <v>17</v>
      </c>
      <c r="R8" s="440" t="s">
        <v>9890</v>
      </c>
      <c r="S8" s="1118" t="s">
        <v>8</v>
      </c>
      <c r="T8" s="1119"/>
      <c r="U8" s="396" t="s">
        <v>9</v>
      </c>
      <c r="V8" s="396" t="s">
        <v>21</v>
      </c>
      <c r="W8" s="397" t="s">
        <v>5521</v>
      </c>
      <c r="X8" s="398" t="s">
        <v>14</v>
      </c>
      <c r="Y8" s="1083"/>
      <c r="AA8" s="902"/>
      <c r="AE8" s="371">
        <v>2</v>
      </c>
      <c r="AF8" s="371" t="str">
        <f>F11</f>
        <v/>
      </c>
      <c r="AG8" s="371" t="str">
        <f>D11</f>
        <v/>
      </c>
      <c r="AH8" s="371" t="b">
        <f>L11</f>
        <v>0</v>
      </c>
      <c r="AI8" s="371" t="e">
        <f>N11/_xlfn.XLOOKUP(AF8,$BU$7:$BU$33,$CN$7:$CN$33,"",0,1)</f>
        <v>#VALUE!</v>
      </c>
      <c r="AJ8" s="244" t="e">
        <f>P11/_xlfn.XLOOKUP(V11,$BU$7:$BU$33,$CN$7:$CN$33,"",0,1)</f>
        <v>#VALUE!</v>
      </c>
      <c r="AK8" s="244">
        <f>M11</f>
        <v>0</v>
      </c>
      <c r="AL8" s="573" t="str">
        <f>E11</f>
        <v/>
      </c>
      <c r="AM8" s="244" t="e">
        <f>P11/AJ8</f>
        <v>#VALUE!</v>
      </c>
      <c r="AN8" s="244">
        <v>4</v>
      </c>
      <c r="AO8" s="244" t="str">
        <f t="shared" si="0"/>
        <v/>
      </c>
      <c r="AP8" s="244">
        <f t="shared" si="1"/>
        <v>1</v>
      </c>
      <c r="AQ8" s="244" t="str">
        <f t="shared" si="2"/>
        <v/>
      </c>
      <c r="AR8" s="244" t="b">
        <f t="shared" si="3"/>
        <v>0</v>
      </c>
      <c r="AS8" s="578" t="e">
        <f t="shared" si="4"/>
        <v>#VALUE!</v>
      </c>
      <c r="AT8" s="578" t="e">
        <f t="shared" si="5"/>
        <v>#VALUE!</v>
      </c>
      <c r="AU8" s="244">
        <f t="shared" si="6"/>
        <v>0</v>
      </c>
      <c r="AV8" s="575">
        <f t="shared" si="7"/>
        <v>0</v>
      </c>
      <c r="AW8" s="575">
        <f t="shared" si="8"/>
        <v>0</v>
      </c>
      <c r="AX8" s="577">
        <f t="shared" si="9"/>
        <v>0</v>
      </c>
      <c r="AZ8" s="244">
        <v>2</v>
      </c>
      <c r="BT8" s="244">
        <v>2</v>
      </c>
      <c r="BU8" s="244" t="str">
        <f>'Phase finale'!CP24</f>
        <v/>
      </c>
      <c r="BV8" s="244" t="str">
        <f>'Phase finale'!CQ24</f>
        <v/>
      </c>
      <c r="BW8" s="244">
        <f>'Phase finale'!CR24</f>
        <v>0</v>
      </c>
      <c r="BX8" s="244" t="str">
        <f>'Phase finale'!CS24</f>
        <v/>
      </c>
      <c r="BY8" s="244">
        <f>'Phase finale'!CT24</f>
        <v>0</v>
      </c>
      <c r="BZ8" s="244" t="str">
        <f>'Phase finale'!CU24</f>
        <v/>
      </c>
      <c r="CA8" s="244">
        <f>'Phase finale'!CV24</f>
        <v>0</v>
      </c>
      <c r="CB8" s="244">
        <f>'Phase finale'!CW24</f>
        <v>0</v>
      </c>
      <c r="CC8" s="244">
        <f>'Phase finale'!CX24</f>
        <v>0</v>
      </c>
      <c r="CD8" s="244">
        <f>'Phase finale'!CY24</f>
        <v>0</v>
      </c>
      <c r="CE8" s="244">
        <f>'Phase finale'!CZ24</f>
        <v>0</v>
      </c>
      <c r="CF8" s="244" t="str">
        <f>'Phase finale'!DA24</f>
        <v/>
      </c>
      <c r="CG8" s="244" t="str">
        <f>'Phase finale'!DB24</f>
        <v/>
      </c>
      <c r="CH8" s="244" t="str">
        <f>'Phase finale'!DC24</f>
        <v/>
      </c>
      <c r="CI8" s="244" t="str">
        <f>'Phase finale'!DD24</f>
        <v/>
      </c>
      <c r="CJ8" s="244" t="str">
        <f>'Phase finale'!DE24</f>
        <v/>
      </c>
      <c r="CK8" s="244" t="str">
        <f>'Phase finale'!DF24</f>
        <v/>
      </c>
      <c r="CL8" s="244" t="str">
        <f>'Phase finale'!DG24</f>
        <v/>
      </c>
      <c r="CM8" s="244" t="str">
        <f>'Phase finale'!DH24</f>
        <v/>
      </c>
      <c r="CN8" s="244" t="str">
        <f>'Phase finale'!DI24</f>
        <v/>
      </c>
      <c r="CP8" s="443" t="str">
        <v/>
      </c>
      <c r="CQ8" s="443">
        <f t="shared" ref="CQ8:CQ22" si="10">SUM(SUMIFS($N$9:$N$23,$F$9:$F$23,CP8,$A$9:$A$23,"P"),SUMIFS($P$9:$P$23,$V$9:$V$23,CP8,$A$9:$A$23,"P"))</f>
        <v>0</v>
      </c>
      <c r="CR8" s="443">
        <f t="shared" ref="CR8:CR22" si="11">SUM(SUMIFS($O$9:$O$23,$F$9:$F$23,CP8,$A$9:$A$23,"P"),SUMIFS($O$9:$O$23,$V$9:$V$23,CP8,$A$9:$A$23,"P"))</f>
        <v>0</v>
      </c>
      <c r="CS8" s="447" t="str">
        <f t="shared" ref="CS8:CS22" si="12">IFERROR(CQ8/CR8,"")</f>
        <v/>
      </c>
      <c r="CT8" s="443"/>
      <c r="CU8" s="443">
        <f>_xlfn.XLOOKUP(CP8,PA!$B$6:$B$11,PA!$P$6:$P$11,_xlfn.XLOOKUP(CP8,PB!$B$6:$B$11,PB!$P$6:$P$11,_xlfn.XLOOKUP(CP8,PC!$B$6:$B$11,PC!$P$6:$P$11,_xlfn.XLOOKUP(CP8,PD!$B$6:$B$11,PD!$P$6:$P$11,_xlfn.XLOOKUP(CP8,PE!$B$6:$B$11,PE!$P$6:$P$11,_xlfn.XLOOKUP(CP8,PF!$B$6:$B$11,PF!$P$6:$P$11,_xlfn.XLOOKUP(CP8,PG!$B$6:$B$11,PG!$P$6:$P$11,_xlfn.XLOOKUP(CP8,PH!$B$6:$B$11,PH!$P$6:$P$11,_xlfn.XLOOKUP(CP8,PI!$B$6:$B$11,PI!$P$6:$P$11,_xlfn.XLOOKUP(CP8,PJ!$B$6:$B$11,PJ!$P$6:$P$11,_xlfn.XLOOKUP(CP8,PK!$B$6:$B$11,PK!$P$6:$P$11,_xlfn.XLOOKUP(CP8,PL!$B$6:$B$11,PL!$P$6:$P$11,"",0,1),0,1),0,1),0,1),0,1),0,1),0,1),0,1),0,1),0,1),0,1),0,1)</f>
        <v>0</v>
      </c>
      <c r="CV8" s="443">
        <f>_xlfn.XLOOKUP(CP8,PA!$B$6:$B$11,PA!$Q$6:$Q$11,_xlfn.XLOOKUP(CP8,PB!$B$6:$B$11,PB!$Q$6:$Q$11,_xlfn.XLOOKUP(CP8,PC!$B$6:$B$11,PC!$Q$6:$Q$11,_xlfn.XLOOKUP(CP8,PD!$B$6:$B$11,PD!$Q$6:$Q$11,_xlfn.XLOOKUP(CP8,PE!$B$6:$B$11,PE!$Q$6:$Q$11,_xlfn.XLOOKUP(CP8,PF!$B$6:$B$11,PF!$Q$6:$Q$11,_xlfn.XLOOKUP(CP8,PG!$B$6:$B$11,PG!$Q$6:$Q$11,_xlfn.XLOOKUP(CP8,PH!$B$6:$B$11,PH!$Q$6:$Q$11,_xlfn.XLOOKUP(CP8,PI!$B$6:$B$11,PI!$Q$6:$Q$11,_xlfn.XLOOKUP(CP8,PJ!$B$6:$B$11,PJ!$Q$6:$Q$11,_xlfn.XLOOKUP(CP8,PK!$B$6:$B$11,PK!$Q$6:$Q$11,_xlfn.XLOOKUP(CP8,PL!$B$6:$B$11,PL!$Q$6:$Q$11,"",0,1),0,1),0,1),0,1),0,1),0,1),0,1),0,1),0,1),0,1),0,1),0,1)</f>
        <v>0</v>
      </c>
      <c r="CW8" s="244" t="e">
        <f t="shared" ref="CW8:CW22" si="13">(CQ8+CU8)/(CR8+CV8)</f>
        <v>#DIV/0!</v>
      </c>
      <c r="DB8" s="244">
        <v>2</v>
      </c>
      <c r="DC8" s="244" t="str">
        <v/>
      </c>
    </row>
    <row r="9" spans="1:107" ht="15.6" customHeight="1" thickBot="1" x14ac:dyDescent="0.3">
      <c r="A9" s="245" t="str">
        <f t="shared" ref="A9:A14" si="14">IF(O9&lt;&gt;"","P","")</f>
        <v/>
      </c>
      <c r="B9" s="415" t="s">
        <v>9869</v>
      </c>
      <c r="C9" s="408" t="str">
        <f>IF('GESTION DES JOUEURS'!$D$8="Open",15,IF(AND('GESTION DES JOUEURS'!$D$8="Tournoi",MAX('GESTION DES JOUEURS'!$A$11:$A$46)&gt;9),7,IF('GESTION DES JOUEURS'!$D$8="Tournoi",3,"")))</f>
        <v/>
      </c>
      <c r="D9" s="419" t="str">
        <f>IF(A9="","",IF(N9="ab.",0,IF(P9="ab.",2,IF(AND('GESTION DES JOUEURS'!$D$8&lt;&gt;"Open",O9&gt;0,N9&gt;P9),2,IF(AND('GESTION DES JOUEURS'!$D$8&lt;&gt;"Open",O9&gt;0,N9&lt;P9),0,IF(AND('GESTION DES JOUEURS'!$D$8&lt;&gt;"Open",O9&gt;0,N9=P9),1,IF(AND('GESTION DES JOUEURS'!$D$8="Open",(N9/_xlfn.XLOOKUP(F9,$BU$7:$BU$42,$CN$7:$CN$42,"",0,1))&gt;(P9/_xlfn.XLOOKUP(V9,$BU$7:$BU$42,$CN$7:$CN$42,"",0,1))),2,IF(AND('GESTION DES JOUEURS'!$D$8="Open",(N9/_xlfn.XLOOKUP(F9,$BU$7:$BU$42,$CN$7:$CN$42,"",0,1))=(P9/_xlfn.XLOOKUP(V9,$BU$7:$BU$42,$CN$7:$CN$42,"",0,1))),1,IF(AND('GESTION DES JOUEURS'!$D$8="Open",(N9/_xlfn.XLOOKUP(F9,$BU$7:$BU$42,$CN$7:$CN$42,"",0,1))&lt;(P9/_xlfn.XLOOKUP(V9,$BU$7:$BU$42,$CN$7:$CN$42,"",0,1))),0,"")))))))))</f>
        <v/>
      </c>
      <c r="E9" s="420" t="str">
        <f>IFERROR(IF(AND(D9&gt;=0,Y9=FALSE),N9/O9,IF(AND(D9&gt;=0,Y9=TRUE),(N9/O9)*_xlfn.XLOOKUP('GESTION DES JOUEURS'!$X$8&amp;RIGHT('GESTION DES JOUEURS'!$Y$8,1),Tableau14[Colonne1],Tableau14[coef. 2,80/3,10],"",0,1),"")),"")</f>
        <v/>
      </c>
      <c r="F9" s="421" t="str">
        <f>IF(A11="P",(IF(OR($D$10&gt;$X$10,L10=TRUE),F10,IF(OR($X$10&gt;$D$10,R10=TRUE),V10,""))),"")</f>
        <v/>
      </c>
      <c r="G9" s="1108" t="str">
        <f>IFERROR(VLOOKUP(F9,'GESTION DES JOUEURS'!$B$11:$E$46,2,FALSE),"")</f>
        <v/>
      </c>
      <c r="H9" s="1109"/>
      <c r="I9" s="1109"/>
      <c r="J9" s="1108" t="str">
        <f>IFERROR(VLOOKUP(F9,'GESTION DES JOUEURS'!$B$11:$E$46,3,FALSE),"")</f>
        <v/>
      </c>
      <c r="K9" s="1110"/>
      <c r="L9" s="479" t="b">
        <v>0</v>
      </c>
      <c r="M9" s="422"/>
      <c r="N9" s="416"/>
      <c r="O9" s="423"/>
      <c r="P9" s="417"/>
      <c r="Q9" s="422"/>
      <c r="R9" s="424" t="b">
        <v>0</v>
      </c>
      <c r="S9" s="1111" t="str">
        <f>IFERROR(VLOOKUP(V9,'GESTION DES JOUEURS'!$B$11:$E$46,2,FALSE),"")</f>
        <v/>
      </c>
      <c r="T9" s="1112"/>
      <c r="U9" s="425" t="str">
        <f>IFERROR(VLOOKUP(V9,'GESTION DES JOUEURS'!$B$11:$E$46,3,FALSE),"")</f>
        <v/>
      </c>
      <c r="V9" s="425" t="str">
        <f>IF(A10="P",(IF(OR(D11&gt;X11,L11=TRUE),F11,IF(OR(X11&gt;D11,R11=TRUE),V11,""))),"")</f>
        <v/>
      </c>
      <c r="W9" s="426" t="str">
        <f>IFERROR(IF(AND(X9&gt;=0,Y9=FALSE),P9/O9,IF(AND(X9&gt;=0,Y9=TRUE),(P9/O9)*_xlfn.XLOOKUP('GESTION DES JOUEURS'!$X$8&amp;RIGHT('GESTION DES JOUEURS'!$Y$8,1),Tableau14[Colonne1],Tableau14[coef. 2,80/3,10],"",0,1),"")),"")</f>
        <v/>
      </c>
      <c r="X9" s="427" t="str">
        <f>IF(A9="","",IF(P9="ab.",0,IF(N9="ab.",2,IF(AND('GESTION DES JOUEURS'!$D$8&lt;&gt;"Open",O9&gt;0,P9&gt;N9),2,IF(AND('GESTION DES JOUEURS'!$D$8&lt;&gt;"Open",O9&gt;0,P9&lt;N9),0,IF(AND('GESTION DES JOUEURS'!$D$8&lt;&gt;"Open",O9&gt;0,P9=N9),1,IF(AND('GESTION DES JOUEURS'!$D$8="Open",(P9/_xlfn.XLOOKUP(V9,$BU$7:$BU$42,$CN$7:$CN$42,"",0,1))&gt;(N9/_xlfn.XLOOKUP(F9,$BU$7:$BU$42,$CN$7:$CN$42,"",0,1))),2,IF(AND('GESTION DES JOUEURS'!$D$8="Open",(P9/_xlfn.XLOOKUP(V9,$BU$7:$BU$42,$CN$7:$CN$42,"",0,1))=(N9/_xlfn.XLOOKUP(F9,$BU$7:$BU$42,$CN$7:$CN$42,"",0,1))),1,IF(AND('GESTION DES JOUEURS'!$D$8="Open",(P9/_xlfn.XLOOKUP(V9,$BU$7:$BU$42,$CN$7:$CN$42,"",0,1))&lt;(N9/_xlfn.XLOOKUP(F9,$BU$7:$BU$42,$CN$7:$CN$42,"",0,1))),0,"")))))))))</f>
        <v/>
      </c>
      <c r="Y9" s="543" t="b">
        <v>0</v>
      </c>
      <c r="AA9" s="894" t="str">
        <f>IF('GESTION DES JOUEURS'!$D$8="Finale","Poule Finale","Poule A")</f>
        <v>Poule A</v>
      </c>
      <c r="AE9" s="371">
        <v>2</v>
      </c>
      <c r="AF9" s="371" t="str">
        <f>V10</f>
        <v/>
      </c>
      <c r="AG9" s="371" t="str">
        <f>X10</f>
        <v/>
      </c>
      <c r="AH9" s="371" t="b">
        <f>R10</f>
        <v>0</v>
      </c>
      <c r="AI9" s="371" t="e">
        <f>P10/_xlfn.XLOOKUP(AF9,$BU$7:$BU$33,$CN$7:$CN$33,"",0,1)</f>
        <v>#VALUE!</v>
      </c>
      <c r="AJ9" s="244" t="e">
        <f>N10/_xlfn.XLOOKUP(F10,$BU$7:$BU$33,$CN$7:$CN$33,"",0,1)</f>
        <v>#VALUE!</v>
      </c>
      <c r="AK9" s="244">
        <f>Q10</f>
        <v>0</v>
      </c>
      <c r="AL9" s="573" t="str">
        <f>W10</f>
        <v/>
      </c>
      <c r="AM9" s="244" t="e">
        <f>N10/AJ9</f>
        <v>#VALUE!</v>
      </c>
      <c r="AN9" s="244">
        <v>5</v>
      </c>
      <c r="AO9" s="244" t="str">
        <f t="shared" si="0"/>
        <v/>
      </c>
      <c r="AP9" s="244">
        <f t="shared" si="1"/>
        <v>1</v>
      </c>
      <c r="AQ9" s="244" t="str">
        <f t="shared" si="2"/>
        <v/>
      </c>
      <c r="AR9" s="244" t="b">
        <f t="shared" si="3"/>
        <v>0</v>
      </c>
      <c r="AS9" s="578" t="e">
        <f t="shared" si="4"/>
        <v>#VALUE!</v>
      </c>
      <c r="AT9" s="578" t="e">
        <f t="shared" si="5"/>
        <v>#VALUE!</v>
      </c>
      <c r="AU9" s="244">
        <f t="shared" si="6"/>
        <v>0</v>
      </c>
      <c r="AV9" s="575">
        <f t="shared" si="7"/>
        <v>0</v>
      </c>
      <c r="AW9" s="575">
        <f t="shared" si="8"/>
        <v>0</v>
      </c>
      <c r="AX9" s="577">
        <f t="shared" si="9"/>
        <v>0</v>
      </c>
      <c r="AZ9" s="244">
        <v>3</v>
      </c>
      <c r="BT9" s="244">
        <v>3</v>
      </c>
      <c r="BU9" s="244" t="str">
        <f>'Phase finale'!CP25</f>
        <v/>
      </c>
      <c r="BV9" s="244" t="str">
        <f>'Phase finale'!CQ25</f>
        <v/>
      </c>
      <c r="BW9" s="244">
        <f>'Phase finale'!CR25</f>
        <v>0</v>
      </c>
      <c r="BX9" s="244" t="str">
        <f>'Phase finale'!CS25</f>
        <v/>
      </c>
      <c r="BY9" s="244">
        <f>'Phase finale'!CT25</f>
        <v>0</v>
      </c>
      <c r="BZ9" s="244" t="str">
        <f>'Phase finale'!CU25</f>
        <v/>
      </c>
      <c r="CA9" s="244">
        <f>'Phase finale'!CV25</f>
        <v>0</v>
      </c>
      <c r="CB9" s="244">
        <f>'Phase finale'!CW25</f>
        <v>0</v>
      </c>
      <c r="CC9" s="244">
        <f>'Phase finale'!CX25</f>
        <v>0</v>
      </c>
      <c r="CD9" s="244">
        <f>'Phase finale'!CY25</f>
        <v>0</v>
      </c>
      <c r="CE9" s="244">
        <f>'Phase finale'!CZ25</f>
        <v>0</v>
      </c>
      <c r="CF9" s="244" t="str">
        <f>'Phase finale'!DA25</f>
        <v/>
      </c>
      <c r="CG9" s="244" t="str">
        <f>'Phase finale'!DB25</f>
        <v/>
      </c>
      <c r="CH9" s="244" t="str">
        <f>'Phase finale'!DC25</f>
        <v/>
      </c>
      <c r="CI9" s="244" t="str">
        <f>'Phase finale'!DD25</f>
        <v/>
      </c>
      <c r="CJ9" s="244" t="str">
        <f>'Phase finale'!DE25</f>
        <v/>
      </c>
      <c r="CK9" s="244" t="str">
        <f>'Phase finale'!DF25</f>
        <v/>
      </c>
      <c r="CL9" s="244" t="str">
        <f>'Phase finale'!DG25</f>
        <v/>
      </c>
      <c r="CM9" s="244" t="str">
        <f>'Phase finale'!DH25</f>
        <v/>
      </c>
      <c r="CN9" s="244" t="str">
        <f>'Phase finale'!DI25</f>
        <v/>
      </c>
      <c r="CP9" s="443" t="str">
        <v/>
      </c>
      <c r="CQ9" s="443">
        <f t="shared" si="10"/>
        <v>0</v>
      </c>
      <c r="CR9" s="443">
        <f t="shared" si="11"/>
        <v>0</v>
      </c>
      <c r="CS9" s="447" t="str">
        <f t="shared" si="12"/>
        <v/>
      </c>
      <c r="CT9" s="443"/>
      <c r="CU9" s="443">
        <f>_xlfn.XLOOKUP(CP9,PA!$B$6:$B$11,PA!$P$6:$P$11,_xlfn.XLOOKUP(CP9,PB!$B$6:$B$11,PB!$P$6:$P$11,_xlfn.XLOOKUP(CP9,PC!$B$6:$B$11,PC!$P$6:$P$11,_xlfn.XLOOKUP(CP9,PD!$B$6:$B$11,PD!$P$6:$P$11,_xlfn.XLOOKUP(CP9,PE!$B$6:$B$11,PE!$P$6:$P$11,_xlfn.XLOOKUP(CP9,PF!$B$6:$B$11,PF!$P$6:$P$11,_xlfn.XLOOKUP(CP9,PG!$B$6:$B$11,PG!$P$6:$P$11,_xlfn.XLOOKUP(CP9,PH!$B$6:$B$11,PH!$P$6:$P$11,_xlfn.XLOOKUP(CP9,PI!$B$6:$B$11,PI!$P$6:$P$11,_xlfn.XLOOKUP(CP9,PJ!$B$6:$B$11,PJ!$P$6:$P$11,_xlfn.XLOOKUP(CP9,PK!$B$6:$B$11,PK!$P$6:$P$11,_xlfn.XLOOKUP(CP9,PL!$B$6:$B$11,PL!$P$6:$P$11,"",0,1),0,1),0,1),0,1),0,1),0,1),0,1),0,1),0,1),0,1),0,1),0,1)</f>
        <v>0</v>
      </c>
      <c r="CV9" s="443">
        <f>_xlfn.XLOOKUP(CP9,PA!$B$6:$B$11,PA!$Q$6:$Q$11,_xlfn.XLOOKUP(CP9,PB!$B$6:$B$11,PB!$Q$6:$Q$11,_xlfn.XLOOKUP(CP9,PC!$B$6:$B$11,PC!$Q$6:$Q$11,_xlfn.XLOOKUP(CP9,PD!$B$6:$B$11,PD!$Q$6:$Q$11,_xlfn.XLOOKUP(CP9,PE!$B$6:$B$11,PE!$Q$6:$Q$11,_xlfn.XLOOKUP(CP9,PF!$B$6:$B$11,PF!$Q$6:$Q$11,_xlfn.XLOOKUP(CP9,PG!$B$6:$B$11,PG!$Q$6:$Q$11,_xlfn.XLOOKUP(CP9,PH!$B$6:$B$11,PH!$Q$6:$Q$11,_xlfn.XLOOKUP(CP9,PI!$B$6:$B$11,PI!$Q$6:$Q$11,_xlfn.XLOOKUP(CP9,PJ!$B$6:$B$11,PJ!$Q$6:$Q$11,_xlfn.XLOOKUP(CP9,PK!$B$6:$B$11,PK!$Q$6:$Q$11,_xlfn.XLOOKUP(CP9,PL!$B$6:$B$11,PL!$Q$6:$Q$11,"",0,1),0,1),0,1),0,1),0,1),0,1),0,1),0,1),0,1),0,1),0,1),0,1)</f>
        <v>0</v>
      </c>
      <c r="CW9" s="244" t="e">
        <f t="shared" si="13"/>
        <v>#DIV/0!</v>
      </c>
      <c r="DB9" s="244">
        <v>3</v>
      </c>
      <c r="DC9" s="244" t="str">
        <v/>
      </c>
    </row>
    <row r="10" spans="1:107" ht="15.6" customHeight="1" x14ac:dyDescent="0.25">
      <c r="A10" s="245" t="str">
        <f t="shared" si="14"/>
        <v/>
      </c>
      <c r="B10" s="52" t="s">
        <v>9882</v>
      </c>
      <c r="C10" s="408" t="str">
        <f>IF('GESTION DES JOUEURS'!$D$8="Open",14,IF(AND('GESTION DES JOUEURS'!$D$8="Tournoi",MAX('GESTION DES JOUEURS'!$A$11:$A$46)&gt;9),6,IF('GESTION DES JOUEURS'!$D$8="Tournoi",2,"")))</f>
        <v/>
      </c>
      <c r="D10" s="74" t="str">
        <f>IF(A10="","",IF(N10="ab.",0,IF(P10="ab.",2,IF(AND('GESTION DES JOUEURS'!$D$8&lt;&gt;"Open",O10&gt;0,N10&gt;P10),2,IF(AND('GESTION DES JOUEURS'!$D$8&lt;&gt;"Open",O10&gt;0,N10&lt;P10),0,IF(AND('GESTION DES JOUEURS'!$D$8&lt;&gt;"Open",O10&gt;0,N10=P10),1,IF(AND('GESTION DES JOUEURS'!$D$8="Open",(N10/_xlfn.XLOOKUP(F10,$BU$7:$BU$42,$CN$7:$CN$42,"",0,1))&gt;(P10/_xlfn.XLOOKUP(V10,$BU$7:$BU$42,$CN$7:$CN$42,"",0,1))),2,IF(AND('GESTION DES JOUEURS'!$D$8="Open",(N10/_xlfn.XLOOKUP(F10,$BU$7:$BU$42,$CN$7:$CN$42,"",0,1))=(P10/_xlfn.XLOOKUP(V10,$BU$7:$BU$42,$CN$7:$CN$42,"",0,1))),1,IF(AND('GESTION DES JOUEURS'!$D$8="Open",(N10/_xlfn.XLOOKUP(F10,$BU$7:$BU$42,$CN$7:$CN$42,"",0,1))&lt;(P10/_xlfn.XLOOKUP(V10,$BU$7:$BU$42,$CN$7:$CN$42,"",0,1))),0,"")))))))))</f>
        <v/>
      </c>
      <c r="E10" s="109" t="str">
        <f>IFERROR(IF(AND(D10&gt;=0,Y10=FALSE),N10/O10,IF(AND(D10&gt;=0,Y10=TRUE),(N10/O10)*_xlfn.XLOOKUP('GESTION DES JOUEURS'!$X$8&amp;RIGHT('GESTION DES JOUEURS'!$Y$8,1),Tableau14[Colonne1],Tableau14[coef. 2,80/3,10],"",0,1),"")),"")</f>
        <v/>
      </c>
      <c r="F10" s="549" t="str">
        <f>IF(AND(C10&gt;1,A12="P",OR($D$12&gt;$X$12,$L$12=TRUE)),$F$12,IF(AND(C10&gt;1,A12="P",OR($X$12&gt;$D$12,$R$12=TRUE)),$V$12,IF(AND('GESTION DES JOUEURS'!$D$8="Tournoi",MAX('GESTION DES JOUEURS'!$A$11:$A$46)&gt;6,'Phase finale'!C11=1),'Phase finale'!BV10,IF(AND('GESTION DES JOUEURS'!$D$8="Tournoi",MAX('GESTION DES JOUEURS'!$A$11:$A$46)&lt;7),PB!$B$38,""))))</f>
        <v/>
      </c>
      <c r="G10" s="776" t="str">
        <f>IFERROR(VLOOKUP(F10,'GESTION DES JOUEURS'!$B$11:$E$46,2,FALSE),"")</f>
        <v/>
      </c>
      <c r="H10" s="777"/>
      <c r="I10" s="1211"/>
      <c r="J10" s="777" t="str">
        <f>IFERROR(VLOOKUP(F10,'GESTION DES JOUEURS'!$B$11:$E$46,3,FALSE),"")</f>
        <v/>
      </c>
      <c r="K10" s="778"/>
      <c r="L10" s="480" t="b">
        <v>0</v>
      </c>
      <c r="M10" s="410"/>
      <c r="N10" s="410"/>
      <c r="O10" s="110"/>
      <c r="P10" s="410"/>
      <c r="Q10" s="410"/>
      <c r="R10" s="399" t="b">
        <v>0</v>
      </c>
      <c r="S10" s="768" t="str">
        <f>IFERROR(VLOOKUP(V10,'GESTION DES JOUEURS'!$B$11:$E$46,2,FALSE),"")</f>
        <v/>
      </c>
      <c r="T10" s="769"/>
      <c r="U10" s="78" t="str">
        <f>IFERROR(VLOOKUP(V10,'GESTION DES JOUEURS'!$B$11:$E$46,3,FALSE),"")</f>
        <v/>
      </c>
      <c r="V10" s="425" t="str">
        <f>IF(AND(C10&gt;1,A15="P",OR($D$15&gt;$X$15,$L$15=TRUE)),$F$15,IF(AND(C10&gt;1,A15="P",OR($X$15&gt;$D$15,$R$15=TRUE)),$V$15,IF(AND('GESTION DES JOUEURS'!$D$8="Tournoi",OR(MAX('GESTION DES JOUEURS'!$A$11:$A$46)&lt;6,MAX('GESTION DES JOUEURS'!$A$11:$A$46)&gt;6),'Phase finale'!C10=1),'Phase finale'!BV7,IF(AND('GESTION DES JOUEURS'!$D$8="Tournoi",MAX('GESTION DES JOUEURS'!$A$11:$A$46)&lt;7),PA!$B$37,""))))</f>
        <v/>
      </c>
      <c r="W10" s="111" t="str">
        <f>IFERROR(IF(AND(X10&gt;=0,Y10=FALSE),P10/O10,IF(AND(X10&gt;=0,Y10=TRUE),(P10/O10)*_xlfn.XLOOKUP('GESTION DES JOUEURS'!$X$8&amp;RIGHT('GESTION DES JOUEURS'!$Y$8,1),Tableau14[Colonne1],Tableau14[coef. 2,80/3,10],"",0,1),"")),"")</f>
        <v/>
      </c>
      <c r="X10" s="55" t="str">
        <f>IF(A10="","",IF(P10="ab.",0,IF(N10="ab.",2,IF(AND('GESTION DES JOUEURS'!$D$8&lt;&gt;"Open",O10&gt;0,P10&gt;N10),2,IF(AND('GESTION DES JOUEURS'!$D$8&lt;&gt;"Open",O10&gt;0,P10&lt;N10),0,IF(AND('GESTION DES JOUEURS'!$D$8&lt;&gt;"Open",O10&gt;0,P10=N10),1,IF(AND('GESTION DES JOUEURS'!$D$8="Open",(P10/_xlfn.XLOOKUP(V10,$BU$7:$BU$42,$CN$7:$CN$42,"",0,1))&gt;(N10/_xlfn.XLOOKUP(F10,$BU$7:$BU$42,$CN$7:$CN$42,"",0,1))),2,IF(AND('GESTION DES JOUEURS'!$D$8="Open",(P10/_xlfn.XLOOKUP(V10,$BU$7:$BU$42,$CN$7:$CN$42,"",0,1))=(N10/_xlfn.XLOOKUP(F10,$BU$7:$BU$42,$CN$7:$CN$42,"",0,1))),1,IF(AND('GESTION DES JOUEURS'!$D$8="Open",(P10/_xlfn.XLOOKUP(V10,$BU$7:$BU$42,$CN$7:$CN$42,"",0,1))&lt;(N10/_xlfn.XLOOKUP(F10,$BU$7:$BU$42,$CN$7:$CN$42,"",0,1))),0,"")))))))))</f>
        <v/>
      </c>
      <c r="Y10" s="544" t="b">
        <v>0</v>
      </c>
      <c r="AA10" s="894"/>
      <c r="AE10" s="371">
        <v>2</v>
      </c>
      <c r="AF10" s="371" t="str">
        <f>V11</f>
        <v/>
      </c>
      <c r="AG10" s="371" t="str">
        <f>X11</f>
        <v/>
      </c>
      <c r="AH10" s="371" t="b">
        <f>R11</f>
        <v>0</v>
      </c>
      <c r="AI10" s="371" t="e">
        <f>P11/_xlfn.XLOOKUP(AF10,$BU$7:$BU$33,$CN$7:$CN$33,"",0,1)</f>
        <v>#VALUE!</v>
      </c>
      <c r="AJ10" s="244" t="e">
        <f>N11/_xlfn.XLOOKUP(F11,$BU$7:$BU$33,$CN$7:$CN$33,"",0,1)</f>
        <v>#VALUE!</v>
      </c>
      <c r="AK10" s="244">
        <f>Q11</f>
        <v>0</v>
      </c>
      <c r="AL10" s="573" t="str">
        <f>W11</f>
        <v/>
      </c>
      <c r="AM10" s="244" t="e">
        <f>N11/AJ10</f>
        <v>#VALUE!</v>
      </c>
      <c r="AN10" s="572">
        <v>6</v>
      </c>
      <c r="AO10" s="244" t="str">
        <f t="shared" si="0"/>
        <v/>
      </c>
      <c r="AP10" s="244">
        <f t="shared" si="1"/>
        <v>1</v>
      </c>
      <c r="AQ10" s="244" t="str">
        <f t="shared" si="2"/>
        <v/>
      </c>
      <c r="AR10" s="244" t="b">
        <f t="shared" si="3"/>
        <v>0</v>
      </c>
      <c r="AS10" s="578" t="e">
        <f t="shared" si="4"/>
        <v>#VALUE!</v>
      </c>
      <c r="AT10" s="578" t="e">
        <f t="shared" si="5"/>
        <v>#VALUE!</v>
      </c>
      <c r="AU10" s="244">
        <f t="shared" si="6"/>
        <v>0</v>
      </c>
      <c r="AV10" s="575">
        <f t="shared" si="7"/>
        <v>0</v>
      </c>
      <c r="AW10" s="575">
        <f t="shared" si="8"/>
        <v>0</v>
      </c>
      <c r="AX10" s="577">
        <f t="shared" si="9"/>
        <v>0</v>
      </c>
      <c r="AZ10" s="244">
        <v>4</v>
      </c>
      <c r="BT10" s="244">
        <v>4</v>
      </c>
      <c r="BU10" s="244" t="str">
        <f>'Phase finale'!CP26</f>
        <v/>
      </c>
      <c r="BV10" s="244" t="str">
        <f>'Phase finale'!CQ26</f>
        <v/>
      </c>
      <c r="BW10" s="244">
        <f>'Phase finale'!CR26</f>
        <v>0</v>
      </c>
      <c r="BX10" s="244" t="str">
        <f>'Phase finale'!CS26</f>
        <v/>
      </c>
      <c r="BY10" s="244">
        <f>'Phase finale'!CT26</f>
        <v>0</v>
      </c>
      <c r="BZ10" s="244" t="str">
        <f>'Phase finale'!CU26</f>
        <v/>
      </c>
      <c r="CA10" s="244">
        <f>'Phase finale'!CV26</f>
        <v>0</v>
      </c>
      <c r="CB10" s="244">
        <f>'Phase finale'!CW26</f>
        <v>0</v>
      </c>
      <c r="CC10" s="244">
        <f>'Phase finale'!CX26</f>
        <v>0</v>
      </c>
      <c r="CD10" s="244">
        <f>'Phase finale'!CY26</f>
        <v>0</v>
      </c>
      <c r="CE10" s="244">
        <f>'Phase finale'!CZ26</f>
        <v>0</v>
      </c>
      <c r="CF10" s="244" t="str">
        <f>'Phase finale'!DA26</f>
        <v/>
      </c>
      <c r="CG10" s="244" t="str">
        <f>'Phase finale'!DB26</f>
        <v/>
      </c>
      <c r="CH10" s="244" t="str">
        <f>'Phase finale'!DC26</f>
        <v/>
      </c>
      <c r="CI10" s="244" t="str">
        <f>'Phase finale'!DD26</f>
        <v/>
      </c>
      <c r="CJ10" s="244" t="str">
        <f>'Phase finale'!DE26</f>
        <v/>
      </c>
      <c r="CK10" s="244" t="str">
        <f>'Phase finale'!DF26</f>
        <v/>
      </c>
      <c r="CL10" s="244" t="str">
        <f>'Phase finale'!DG26</f>
        <v/>
      </c>
      <c r="CM10" s="244" t="str">
        <f>'Phase finale'!DH26</f>
        <v/>
      </c>
      <c r="CN10" s="244" t="str">
        <f>'Phase finale'!DI26</f>
        <v/>
      </c>
      <c r="CP10" s="443" t="str">
        <v/>
      </c>
      <c r="CQ10" s="443">
        <f t="shared" si="10"/>
        <v>0</v>
      </c>
      <c r="CR10" s="443">
        <f t="shared" si="11"/>
        <v>0</v>
      </c>
      <c r="CS10" s="447" t="str">
        <f t="shared" si="12"/>
        <v/>
      </c>
      <c r="CT10" s="443"/>
      <c r="CU10" s="443">
        <f>_xlfn.XLOOKUP(CP10,PA!$B$6:$B$11,PA!$P$6:$P$11,_xlfn.XLOOKUP(CP10,PB!$B$6:$B$11,PB!$P$6:$P$11,_xlfn.XLOOKUP(CP10,PC!$B$6:$B$11,PC!$P$6:$P$11,_xlfn.XLOOKUP(CP10,PD!$B$6:$B$11,PD!$P$6:$P$11,_xlfn.XLOOKUP(CP10,PE!$B$6:$B$11,PE!$P$6:$P$11,_xlfn.XLOOKUP(CP10,PF!$B$6:$B$11,PF!$P$6:$P$11,_xlfn.XLOOKUP(CP10,PG!$B$6:$B$11,PG!$P$6:$P$11,_xlfn.XLOOKUP(CP10,PH!$B$6:$B$11,PH!$P$6:$P$11,_xlfn.XLOOKUP(CP10,PI!$B$6:$B$11,PI!$P$6:$P$11,_xlfn.XLOOKUP(CP10,PJ!$B$6:$B$11,PJ!$P$6:$P$11,_xlfn.XLOOKUP(CP10,PK!$B$6:$B$11,PK!$P$6:$P$11,_xlfn.XLOOKUP(CP10,PL!$B$6:$B$11,PL!$P$6:$P$11,"",0,1),0,1),0,1),0,1),0,1),0,1),0,1),0,1),0,1),0,1),0,1),0,1)</f>
        <v>0</v>
      </c>
      <c r="CV10" s="443">
        <f>_xlfn.XLOOKUP(CP10,PA!$B$6:$B$11,PA!$Q$6:$Q$11,_xlfn.XLOOKUP(CP10,PB!$B$6:$B$11,PB!$Q$6:$Q$11,_xlfn.XLOOKUP(CP10,PC!$B$6:$B$11,PC!$Q$6:$Q$11,_xlfn.XLOOKUP(CP10,PD!$B$6:$B$11,PD!$Q$6:$Q$11,_xlfn.XLOOKUP(CP10,PE!$B$6:$B$11,PE!$Q$6:$Q$11,_xlfn.XLOOKUP(CP10,PF!$B$6:$B$11,PF!$Q$6:$Q$11,_xlfn.XLOOKUP(CP10,PG!$B$6:$B$11,PG!$Q$6:$Q$11,_xlfn.XLOOKUP(CP10,PH!$B$6:$B$11,PH!$Q$6:$Q$11,_xlfn.XLOOKUP(CP10,PI!$B$6:$B$11,PI!$Q$6:$Q$11,_xlfn.XLOOKUP(CP10,PJ!$B$6:$B$11,PJ!$Q$6:$Q$11,_xlfn.XLOOKUP(CP10,PK!$B$6:$B$11,PK!$Q$6:$Q$11,_xlfn.XLOOKUP(CP10,PL!$B$6:$B$11,PL!$Q$6:$Q$11,"",0,1),0,1),0,1),0,1),0,1),0,1),0,1),0,1),0,1),0,1),0,1),0,1)</f>
        <v>0</v>
      </c>
      <c r="CW10" s="244" t="e">
        <f t="shared" si="13"/>
        <v>#DIV/0!</v>
      </c>
      <c r="DB10" s="244">
        <v>4</v>
      </c>
      <c r="DC10" s="244" t="str">
        <v/>
      </c>
    </row>
    <row r="11" spans="1:107" ht="15.6" customHeight="1" thickBot="1" x14ac:dyDescent="0.3">
      <c r="A11" s="245" t="str">
        <f t="shared" si="14"/>
        <v/>
      </c>
      <c r="B11" s="375" t="s">
        <v>9883</v>
      </c>
      <c r="C11" s="391" t="str">
        <f>IF('GESTION DES JOUEURS'!$D$8="Open",13,IF(AND('GESTION DES JOUEURS'!$D$8="Tournoi",MAX('GESTION DES JOUEURS'!$A$11:$A$46)&gt;9),5,IF('GESTION DES JOUEURS'!$D$8="Tournoi",1,"")))</f>
        <v/>
      </c>
      <c r="D11" s="376" t="str">
        <f>IF(A11="","",IF(N11="ab.",0,IF(P11="ab.",2,IF(AND('GESTION DES JOUEURS'!$D$8&lt;&gt;"Open",O11&gt;0,N11&gt;P11),2,IF(AND('GESTION DES JOUEURS'!$D$8&lt;&gt;"Open",O11&gt;0,N11&lt;P11),0,IF(AND('GESTION DES JOUEURS'!$D$8&lt;&gt;"Open",O11&gt;0,N11=P11),1,IF(AND('GESTION DES JOUEURS'!$D$8="Open",(N11/_xlfn.XLOOKUP(F11,$BU$7:$BU$42,$CN$7:$CN$42,"",0,1))&gt;(P11/_xlfn.XLOOKUP(V11,$BU$7:$BU$42,$CN$7:$CN$42,"",0,1))),2,IF(AND('GESTION DES JOUEURS'!$D$8="Open",(N11/_xlfn.XLOOKUP(F11,$BU$7:$BU$42,$CN$7:$CN$42,"",0,1))=(P11/_xlfn.XLOOKUP(V11,$BU$7:$BU$42,$CN$7:$CN$42,"",0,1))),1,IF(AND('GESTION DES JOUEURS'!$D$8="Open",(N11/_xlfn.XLOOKUP(F11,$BU$7:$BU$42,$CN$7:$CN$42,"",0,1))&lt;(P11/_xlfn.XLOOKUP(V11,$BU$7:$BU$42,$CN$7:$CN$42,"",0,1))),0,"")))))))))</f>
        <v/>
      </c>
      <c r="E11" s="377" t="str">
        <f>IFERROR(IF(AND(D11&gt;=0,Y11=FALSE),N11/O11,IF(AND(D11&gt;=0,Y11=TRUE),(N11/O11)*_xlfn.XLOOKUP('GESTION DES JOUEURS'!$X$8&amp;RIGHT('GESTION DES JOUEURS'!$Y$8,1),Tableau14[Colonne1],Tableau14[coef. 2,80/3,10],"",0,1),"")),"")</f>
        <v/>
      </c>
      <c r="F11" s="567" t="str">
        <f>IF(AND(C11&gt;1,A13="P",OR($D$13&gt;$X$13,$L$13=TRUE)),$F$13,IF(AND(C11&gt;1,A13="P",OR($X$13&gt;$D$13,$R$13=TRUE)),$V$13,IF(AND('GESTION DES JOUEURS'!$D$8="Tournoi",MAX('GESTION DES JOUEURS'!$A$11:$A$46)&gt;6,'Phase finale'!C11=2),'Phase finale'!BV9,IF(AND('GESTION DES JOUEURS'!$D$8="Tournoi",MAX('GESTION DES JOUEURS'!$A$11:$A$46)&lt;7),PA!$B$38,""))))</f>
        <v/>
      </c>
      <c r="G11" s="738" t="str">
        <f>IFERROR(VLOOKUP(F11,'GESTION DES JOUEURS'!$B$11:$E$46,2,FALSE),"")</f>
        <v/>
      </c>
      <c r="H11" s="739"/>
      <c r="I11" s="740"/>
      <c r="J11" s="739" t="str">
        <f>IFERROR(VLOOKUP(F11,'GESTION DES JOUEURS'!$B$11:$E$46,3,FALSE),"")</f>
        <v/>
      </c>
      <c r="K11" s="779"/>
      <c r="L11" s="481" t="b">
        <v>0</v>
      </c>
      <c r="M11" s="411"/>
      <c r="N11" s="411"/>
      <c r="O11" s="379"/>
      <c r="P11" s="411"/>
      <c r="Q11" s="411"/>
      <c r="R11" s="400" t="b">
        <v>0</v>
      </c>
      <c r="S11" s="757" t="str">
        <f>IFERROR(VLOOKUP(V11,'GESTION DES JOUEURS'!$B$11:$E$46,2,FALSE),"")</f>
        <v/>
      </c>
      <c r="T11" s="758"/>
      <c r="U11" s="355" t="str">
        <f>IFERROR(VLOOKUP(V11,'GESTION DES JOUEURS'!$B$11:$E$46,3,FALSE),"")</f>
        <v/>
      </c>
      <c r="V11" s="355" t="str">
        <f>IF(AND(C11&gt;1,A14="P",OR($D$14&gt;$X$14,$L$14=TRUE)),$F$14,IF(AND(C11&gt;1,A14="P",OR($X$14&gt;$D$14,$R$14=TRUE)),$V$14,IF(AND('GESTION DES JOUEURS'!$D$8="Tournoi",OR(MAX('GESTION DES JOUEURS'!$A$11:$A$46)&lt;6,MAX('GESTION DES JOUEURS'!$A$11:$A$46)&gt;6),'Phase finale'!C11=2),'Phase finale'!BV8,IF(AND('GESTION DES JOUEURS'!$D$8="Tournoi",MAX('GESTION DES JOUEURS'!$A$11:$A$46)&lt;7),PB!$B$37,""))))</f>
        <v/>
      </c>
      <c r="W11" s="380" t="str">
        <f>IFERROR(IF(AND(X11&gt;=0,Y11=FALSE),P11/O11,IF(AND(X11&gt;=0,Y11=TRUE),(P11/O11)*_xlfn.XLOOKUP('GESTION DES JOUEURS'!$X$8&amp;RIGHT('GESTION DES JOUEURS'!$Y$8,1),Tableau14[Colonne1],Tableau14[coef. 2,80/3,10],"",0,1),"")),"")</f>
        <v/>
      </c>
      <c r="X11" s="381" t="str">
        <f>IF(A11="","",IF(P11="ab.",0,IF(N11="ab.",2,IF(AND('GESTION DES JOUEURS'!$D$8&lt;&gt;"Open",O11&gt;0,P11&gt;N11),2,IF(AND('GESTION DES JOUEURS'!$D$8&lt;&gt;"Open",O11&gt;0,P11&lt;N11),0,IF(AND('GESTION DES JOUEURS'!$D$8&lt;&gt;"Open",O11&gt;0,P11=N11),1,IF(AND('GESTION DES JOUEURS'!$D$8="Open",(P11/_xlfn.XLOOKUP(V11,$BU$7:$BU$42,$CN$7:$CN$42,"",0,1))&gt;(N11/_xlfn.XLOOKUP(F11,$BU$7:$BU$42,$CN$7:$CN$42,"",0,1))),2,IF(AND('GESTION DES JOUEURS'!$D$8="Open",(P11/_xlfn.XLOOKUP(V11,$BU$7:$BU$42,$CN$7:$CN$42,"",0,1))=(N11/_xlfn.XLOOKUP(F11,$BU$7:$BU$42,$CN$7:$CN$42,"",0,1))),1,IF(AND('GESTION DES JOUEURS'!$D$8="Open",(P11/_xlfn.XLOOKUP(V11,$BU$7:$BU$42,$CN$7:$CN$42,"",0,1))&lt;(N11/_xlfn.XLOOKUP(F11,$BU$7:$BU$42,$CN$7:$CN$42,"",0,1))),0,"")))))))))</f>
        <v/>
      </c>
      <c r="Y11" s="545" t="b">
        <v>0</v>
      </c>
      <c r="AA11" s="893" t="s">
        <v>8113</v>
      </c>
      <c r="AE11" s="371">
        <v>3</v>
      </c>
      <c r="AF11" s="371" t="str">
        <f>F12</f>
        <v/>
      </c>
      <c r="AG11" s="371" t="str">
        <f>D12</f>
        <v/>
      </c>
      <c r="AH11" s="371" t="b">
        <f>L12</f>
        <v>0</v>
      </c>
      <c r="AI11" s="371" t="e">
        <f>N12/_xlfn.XLOOKUP(AF11,$BU$7:$BU$33,$CN$7:$CN$33,"",0,1)</f>
        <v>#VALUE!</v>
      </c>
      <c r="AJ11" s="244" t="e">
        <f>P12/_xlfn.XLOOKUP(V12,$BU$7:$BU$33,$CN$7:$CN$33,"",0,1)</f>
        <v>#VALUE!</v>
      </c>
      <c r="AK11" s="244">
        <f>M12</f>
        <v>0</v>
      </c>
      <c r="AL11" s="573" t="str">
        <f>E12</f>
        <v/>
      </c>
      <c r="AM11" s="244" t="e">
        <f>P12/AJ11</f>
        <v>#VALUE!</v>
      </c>
      <c r="AN11" s="244">
        <v>7</v>
      </c>
      <c r="AO11" s="244" t="str">
        <f t="shared" si="0"/>
        <v/>
      </c>
      <c r="AP11" s="244">
        <f t="shared" si="1"/>
        <v>1</v>
      </c>
      <c r="AQ11" s="244" t="str">
        <f t="shared" si="2"/>
        <v/>
      </c>
      <c r="AR11" s="244" t="b">
        <f t="shared" si="3"/>
        <v>0</v>
      </c>
      <c r="AS11" s="578" t="e">
        <f t="shared" si="4"/>
        <v>#VALUE!</v>
      </c>
      <c r="AT11" s="578" t="e">
        <f t="shared" si="5"/>
        <v>#VALUE!</v>
      </c>
      <c r="AU11" s="244">
        <f t="shared" si="6"/>
        <v>0</v>
      </c>
      <c r="AV11" s="575">
        <f t="shared" si="7"/>
        <v>0</v>
      </c>
      <c r="AW11" s="575">
        <f t="shared" si="8"/>
        <v>0</v>
      </c>
      <c r="AX11" s="577">
        <f t="shared" si="9"/>
        <v>0</v>
      </c>
      <c r="AZ11" s="244">
        <v>5</v>
      </c>
      <c r="BT11" s="244">
        <v>5</v>
      </c>
      <c r="BU11" s="244" t="str">
        <f>'Phase finale'!CP27</f>
        <v/>
      </c>
      <c r="BV11" s="244" t="str">
        <f>'Phase finale'!CQ27</f>
        <v/>
      </c>
      <c r="BW11" s="244">
        <f>'Phase finale'!CR27</f>
        <v>0</v>
      </c>
      <c r="BX11" s="244" t="str">
        <f>'Phase finale'!CS27</f>
        <v/>
      </c>
      <c r="BY11" s="244">
        <f>'Phase finale'!CT27</f>
        <v>0</v>
      </c>
      <c r="BZ11" s="244" t="str">
        <f>'Phase finale'!CU27</f>
        <v/>
      </c>
      <c r="CA11" s="244">
        <f>'Phase finale'!CV27</f>
        <v>0</v>
      </c>
      <c r="CB11" s="244">
        <f>'Phase finale'!CW27</f>
        <v>0</v>
      </c>
      <c r="CC11" s="244">
        <f>'Phase finale'!CX27</f>
        <v>0</v>
      </c>
      <c r="CD11" s="244">
        <f>'Phase finale'!CY27</f>
        <v>0</v>
      </c>
      <c r="CE11" s="244">
        <f>'Phase finale'!CZ27</f>
        <v>0</v>
      </c>
      <c r="CF11" s="244" t="str">
        <f>'Phase finale'!DA27</f>
        <v/>
      </c>
      <c r="CG11" s="244" t="str">
        <f>'Phase finale'!DB27</f>
        <v/>
      </c>
      <c r="CH11" s="244" t="str">
        <f>'Phase finale'!DC27</f>
        <v/>
      </c>
      <c r="CI11" s="244" t="str">
        <f>'Phase finale'!DD27</f>
        <v/>
      </c>
      <c r="CJ11" s="244" t="str">
        <f>'Phase finale'!DE27</f>
        <v/>
      </c>
      <c r="CK11" s="244" t="str">
        <f>'Phase finale'!DF27</f>
        <v/>
      </c>
      <c r="CL11" s="244" t="str">
        <f>'Phase finale'!DG27</f>
        <v/>
      </c>
      <c r="CM11" s="244" t="str">
        <f>'Phase finale'!DH27</f>
        <v/>
      </c>
      <c r="CN11" s="244" t="str">
        <f>'Phase finale'!DI27</f>
        <v/>
      </c>
      <c r="CP11" s="443" t="str">
        <v/>
      </c>
      <c r="CQ11" s="443">
        <f t="shared" si="10"/>
        <v>0</v>
      </c>
      <c r="CR11" s="443">
        <f t="shared" si="11"/>
        <v>0</v>
      </c>
      <c r="CS11" s="447" t="str">
        <f t="shared" si="12"/>
        <v/>
      </c>
      <c r="CT11" s="443"/>
      <c r="CU11" s="443">
        <f>_xlfn.XLOOKUP(CP11,PA!$B$6:$B$11,PA!$P$6:$P$11,_xlfn.XLOOKUP(CP11,PB!$B$6:$B$11,PB!$P$6:$P$11,_xlfn.XLOOKUP(CP11,PC!$B$6:$B$11,PC!$P$6:$P$11,_xlfn.XLOOKUP(CP11,PD!$B$6:$B$11,PD!$P$6:$P$11,_xlfn.XLOOKUP(CP11,PE!$B$6:$B$11,PE!$P$6:$P$11,_xlfn.XLOOKUP(CP11,PF!$B$6:$B$11,PF!$P$6:$P$11,_xlfn.XLOOKUP(CP11,PG!$B$6:$B$11,PG!$P$6:$P$11,_xlfn.XLOOKUP(CP11,PH!$B$6:$B$11,PH!$P$6:$P$11,_xlfn.XLOOKUP(CP11,PI!$B$6:$B$11,PI!$P$6:$P$11,_xlfn.XLOOKUP(CP11,PJ!$B$6:$B$11,PJ!$P$6:$P$11,_xlfn.XLOOKUP(CP11,PK!$B$6:$B$11,PK!$P$6:$P$11,_xlfn.XLOOKUP(CP11,PL!$B$6:$B$11,PL!$P$6:$P$11,"",0,1),0,1),0,1),0,1),0,1),0,1),0,1),0,1),0,1),0,1),0,1),0,1)</f>
        <v>0</v>
      </c>
      <c r="CV11" s="443">
        <f>_xlfn.XLOOKUP(CP11,PA!$B$6:$B$11,PA!$Q$6:$Q$11,_xlfn.XLOOKUP(CP11,PB!$B$6:$B$11,PB!$Q$6:$Q$11,_xlfn.XLOOKUP(CP11,PC!$B$6:$B$11,PC!$Q$6:$Q$11,_xlfn.XLOOKUP(CP11,PD!$B$6:$B$11,PD!$Q$6:$Q$11,_xlfn.XLOOKUP(CP11,PE!$B$6:$B$11,PE!$Q$6:$Q$11,_xlfn.XLOOKUP(CP11,PF!$B$6:$B$11,PF!$Q$6:$Q$11,_xlfn.XLOOKUP(CP11,PG!$B$6:$B$11,PG!$Q$6:$Q$11,_xlfn.XLOOKUP(CP11,PH!$B$6:$B$11,PH!$Q$6:$Q$11,_xlfn.XLOOKUP(CP11,PI!$B$6:$B$11,PI!$Q$6:$Q$11,_xlfn.XLOOKUP(CP11,PJ!$B$6:$B$11,PJ!$Q$6:$Q$11,_xlfn.XLOOKUP(CP11,PK!$B$6:$B$11,PK!$Q$6:$Q$11,_xlfn.XLOOKUP(CP11,PL!$B$6:$B$11,PL!$Q$6:$Q$11,"",0,1),0,1),0,1),0,1),0,1),0,1),0,1),0,1),0,1),0,1),0,1),0,1)</f>
        <v>0</v>
      </c>
      <c r="CW11" s="244" t="e">
        <f t="shared" si="13"/>
        <v>#DIV/0!</v>
      </c>
      <c r="DB11" s="244">
        <v>5</v>
      </c>
      <c r="DC11" s="244" t="str">
        <v/>
      </c>
    </row>
    <row r="12" spans="1:107" ht="15.6" customHeight="1" x14ac:dyDescent="0.25">
      <c r="A12" s="245" t="str">
        <f t="shared" si="14"/>
        <v/>
      </c>
      <c r="B12" s="60" t="s">
        <v>9878</v>
      </c>
      <c r="C12" s="407" t="str">
        <f>IF('GESTION DES JOUEURS'!$D$8="Open",12,IF(AND('GESTION DES JOUEURS'!$D$8="Tournoi",MAX('GESTION DES JOUEURS'!$A$11:$A$46)&gt;9),4,""))</f>
        <v/>
      </c>
      <c r="D12" s="84" t="str">
        <f>IF(A12="","",IF(N12="ab.",0,IF(P12="ab.",2,IF(AND('GESTION DES JOUEURS'!$D$8&lt;&gt;"Open",O12&gt;0,N12&gt;P12),2,IF(AND('GESTION DES JOUEURS'!$D$8&lt;&gt;"Open",O12&gt;0,N12&lt;P12),0,IF(AND('GESTION DES JOUEURS'!$D$8&lt;&gt;"Open",O12&gt;0,N12=P12),1,IF(AND('GESTION DES JOUEURS'!$D$8="Open",(N12/_xlfn.XLOOKUP(F12,$BU$7:$BU$42,$CN$7:$CN$42,"",0,1))&gt;(P12/_xlfn.XLOOKUP(V12,$BU$7:$BU$42,$CN$7:$CN$42,"",0,1))),2,IF(AND('GESTION DES JOUEURS'!$D$8="Open",(N12/_xlfn.XLOOKUP(F12,$BU$7:$BU$42,$CN$7:$CN$42,"",0,1))=(P12/_xlfn.XLOOKUP(V12,$BU$7:$BU$42,$CN$7:$CN$42,"",0,1))),1,IF(AND('GESTION DES JOUEURS'!$D$8="Open",(N12/_xlfn.XLOOKUP(F12,$BU$7:$BU$42,$CN$7:$CN$42,"",0,1))&lt;(P12/_xlfn.XLOOKUP(V12,$BU$7:$BU$42,$CN$7:$CN$42,"",0,1))),0,"")))))))))</f>
        <v/>
      </c>
      <c r="E12" s="109" t="str">
        <f>IFERROR(IF(AND(D12&gt;=0,Y12=FALSE),N12/O12,IF(AND(D12&gt;=0,Y12=TRUE),(N12/O12)*_xlfn.XLOOKUP('GESTION DES JOUEURS'!$X$8&amp;RIGHT('GESTION DES JOUEURS'!$Y$8,1),Tableau14[Colonne1],Tableau14[coef. 2,80/3,10],"",0,1),"")),"")</f>
        <v/>
      </c>
      <c r="F12" s="549" t="str">
        <f>IF(C12=4,BB7,IF(AND(C12=12,OR(D16&gt;X16,L16=TRUE)),F16,IF(AND(C12=12,OR(X16&gt;D16,R16=TRUE)),V16,"")))</f>
        <v/>
      </c>
      <c r="G12" s="1063" t="str">
        <f>IFERROR(VLOOKUP(F12,'GESTION DES JOUEURS'!$B$11:$E$46,2,FALSE),"")</f>
        <v/>
      </c>
      <c r="H12" s="1064"/>
      <c r="I12" s="1065"/>
      <c r="J12" s="1064" t="str">
        <f>IFERROR(VLOOKUP(F12,'GESTION DES JOUEURS'!$B$11:$E$46,3,FALSE),"")</f>
        <v/>
      </c>
      <c r="K12" s="1066"/>
      <c r="L12" s="482" t="b">
        <v>0</v>
      </c>
      <c r="M12" s="414"/>
      <c r="N12" s="410"/>
      <c r="O12" s="110"/>
      <c r="P12" s="410"/>
      <c r="Q12" s="414"/>
      <c r="R12" s="403" t="b">
        <v>0</v>
      </c>
      <c r="S12" s="1076" t="str">
        <f>IFERROR(VLOOKUP(V12,'GESTION DES JOUEURS'!$B$11:$E$46,2,FALSE),"")</f>
        <v/>
      </c>
      <c r="T12" s="1077"/>
      <c r="U12" s="88" t="str">
        <f>IFERROR(VLOOKUP(V12,'GESTION DES JOUEURS'!$B$11:$E$46,3,FALSE),"")</f>
        <v/>
      </c>
      <c r="V12" s="78" t="str">
        <f>IF(C12=4,BB14,IF(AND(C12=12,OR(D23&gt;X23,L23=TRUE)),F23,IF(AND(C12=12,OR(X23&gt;D23,R23=TRUE)),V23,"")))</f>
        <v/>
      </c>
      <c r="W12" s="111" t="str">
        <f>IFERROR(IF(AND(X12&gt;=0,Y12=FALSE),P12/O12,IF(AND(X12&gt;=0,Y12=TRUE),(P12/O12)*_xlfn.XLOOKUP('GESTION DES JOUEURS'!$X$8&amp;RIGHT('GESTION DES JOUEURS'!$Y$8,1),Tableau14[Colonne1],Tableau14[coef. 2,80/3,10],"",0,1),"")),"")</f>
        <v/>
      </c>
      <c r="X12" s="63" t="str">
        <f>IF(A12="","",IF(P12="ab.",0,IF(N12="ab.",2,IF(AND('GESTION DES JOUEURS'!$D$8&lt;&gt;"Open",O12&gt;0,P12&gt;N12),2,IF(AND('GESTION DES JOUEURS'!$D$8&lt;&gt;"Open",O12&gt;0,P12&lt;N12),0,IF(AND('GESTION DES JOUEURS'!$D$8&lt;&gt;"Open",O12&gt;0,P12=N12),1,IF(AND('GESTION DES JOUEURS'!$D$8="Open",(P12/_xlfn.XLOOKUP(V12,$BU$7:$BU$42,$CN$7:$CN$42,"",0,1))&gt;(N12/_xlfn.XLOOKUP(F12,$BU$7:$BU$42,$CN$7:$CN$42,"",0,1))),2,IF(AND('GESTION DES JOUEURS'!$D$8="Open",(P12/_xlfn.XLOOKUP(V12,$BU$7:$BU$42,$CN$7:$CN$42,"",0,1))=(N12/_xlfn.XLOOKUP(F12,$BU$7:$BU$42,$CN$7:$CN$42,"",0,1))),1,IF(AND('GESTION DES JOUEURS'!$D$8="Open",(P12/_xlfn.XLOOKUP(V12,$BU$7:$BU$42,$CN$7:$CN$42,"",0,1))&lt;(N12/_xlfn.XLOOKUP(F12,$BU$7:$BU$42,$CN$7:$CN$42,"",0,1))),0,"")))))))))</f>
        <v/>
      </c>
      <c r="Y12" s="544" t="b">
        <v>0</v>
      </c>
      <c r="AA12" s="893"/>
      <c r="AE12" s="371">
        <v>3</v>
      </c>
      <c r="AF12" s="371" t="str">
        <f>F13</f>
        <v/>
      </c>
      <c r="AG12" s="371" t="str">
        <f>D13</f>
        <v/>
      </c>
      <c r="AH12" s="371" t="b">
        <f>L13</f>
        <v>0</v>
      </c>
      <c r="AI12" s="371" t="e">
        <f>N13/_xlfn.XLOOKUP(AF12,$BU$7:$BU$33,$CN$7:$CN$33,"",0,1)</f>
        <v>#VALUE!</v>
      </c>
      <c r="AJ12" s="244" t="e">
        <f>P13/_xlfn.XLOOKUP(V13,$BU$7:$BU$33,$CN$7:$CN$33,"",0,1)</f>
        <v>#VALUE!</v>
      </c>
      <c r="AK12" s="244">
        <f t="shared" ref="AK12:AK14" si="15">M13</f>
        <v>0</v>
      </c>
      <c r="AL12" s="573" t="str">
        <f t="shared" ref="AL12:AL14" si="16">E13</f>
        <v/>
      </c>
      <c r="AM12" s="244" t="e">
        <f t="shared" ref="AM12:AM14" si="17">P13/AJ12</f>
        <v>#VALUE!</v>
      </c>
      <c r="AN12" s="244">
        <v>8</v>
      </c>
      <c r="AO12" s="244" t="str">
        <f t="shared" si="0"/>
        <v/>
      </c>
      <c r="AP12" s="244">
        <f t="shared" si="1"/>
        <v>1</v>
      </c>
      <c r="AQ12" s="244" t="str">
        <f t="shared" si="2"/>
        <v/>
      </c>
      <c r="AR12" s="244" t="b">
        <f t="shared" si="3"/>
        <v>0</v>
      </c>
      <c r="AS12" s="578" t="e">
        <f t="shared" si="4"/>
        <v>#VALUE!</v>
      </c>
      <c r="AT12" s="578" t="e">
        <f t="shared" si="5"/>
        <v>#VALUE!</v>
      </c>
      <c r="AU12" s="244">
        <f t="shared" si="6"/>
        <v>0</v>
      </c>
      <c r="AV12" s="575">
        <f t="shared" si="7"/>
        <v>0</v>
      </c>
      <c r="AW12" s="575">
        <f t="shared" si="8"/>
        <v>0</v>
      </c>
      <c r="AX12" s="577">
        <f t="shared" si="9"/>
        <v>0</v>
      </c>
      <c r="AZ12" s="244">
        <v>6</v>
      </c>
      <c r="BT12" s="244">
        <v>6</v>
      </c>
      <c r="BU12" s="244" t="str">
        <f>'Phase finale'!CP28</f>
        <v/>
      </c>
      <c r="BV12" s="244" t="str">
        <f>'Phase finale'!CQ28</f>
        <v/>
      </c>
      <c r="BW12" s="244">
        <f>'Phase finale'!CR28</f>
        <v>0</v>
      </c>
      <c r="BX12" s="244" t="str">
        <f>'Phase finale'!CS28</f>
        <v/>
      </c>
      <c r="BY12" s="244">
        <f>'Phase finale'!CT28</f>
        <v>0</v>
      </c>
      <c r="BZ12" s="244" t="str">
        <f>'Phase finale'!CU28</f>
        <v/>
      </c>
      <c r="CA12" s="244">
        <f>'Phase finale'!CV28</f>
        <v>0</v>
      </c>
      <c r="CB12" s="244">
        <f>'Phase finale'!CW28</f>
        <v>0</v>
      </c>
      <c r="CC12" s="244">
        <f>'Phase finale'!CX28</f>
        <v>0</v>
      </c>
      <c r="CD12" s="244">
        <f>'Phase finale'!CY28</f>
        <v>0</v>
      </c>
      <c r="CE12" s="244">
        <f>'Phase finale'!CZ28</f>
        <v>0</v>
      </c>
      <c r="CF12" s="244" t="str">
        <f>'Phase finale'!DA28</f>
        <v/>
      </c>
      <c r="CG12" s="244" t="str">
        <f>'Phase finale'!DB28</f>
        <v/>
      </c>
      <c r="CH12" s="244" t="str">
        <f>'Phase finale'!DC28</f>
        <v/>
      </c>
      <c r="CI12" s="244" t="str">
        <f>'Phase finale'!DD28</f>
        <v/>
      </c>
      <c r="CJ12" s="244" t="str">
        <f>'Phase finale'!DE28</f>
        <v/>
      </c>
      <c r="CK12" s="244" t="str">
        <f>'Phase finale'!DF28</f>
        <v/>
      </c>
      <c r="CL12" s="244" t="str">
        <f>'Phase finale'!DG28</f>
        <v/>
      </c>
      <c r="CM12" s="244" t="str">
        <f>'Phase finale'!DH28</f>
        <v/>
      </c>
      <c r="CN12" s="244" t="str">
        <f>'Phase finale'!DI28</f>
        <v/>
      </c>
      <c r="CP12" s="443" t="str">
        <v/>
      </c>
      <c r="CQ12" s="443">
        <f t="shared" si="10"/>
        <v>0</v>
      </c>
      <c r="CR12" s="443">
        <f t="shared" si="11"/>
        <v>0</v>
      </c>
      <c r="CS12" s="447" t="str">
        <f t="shared" si="12"/>
        <v/>
      </c>
      <c r="CT12" s="443"/>
      <c r="CU12" s="443">
        <f>_xlfn.XLOOKUP(CP12,PA!$B$6:$B$11,PA!$P$6:$P$11,_xlfn.XLOOKUP(CP12,PB!$B$6:$B$11,PB!$P$6:$P$11,_xlfn.XLOOKUP(CP12,PC!$B$6:$B$11,PC!$P$6:$P$11,_xlfn.XLOOKUP(CP12,PD!$B$6:$B$11,PD!$P$6:$P$11,_xlfn.XLOOKUP(CP12,PE!$B$6:$B$11,PE!$P$6:$P$11,_xlfn.XLOOKUP(CP12,PF!$B$6:$B$11,PF!$P$6:$P$11,_xlfn.XLOOKUP(CP12,PG!$B$6:$B$11,PG!$P$6:$P$11,_xlfn.XLOOKUP(CP12,PH!$B$6:$B$11,PH!$P$6:$P$11,_xlfn.XLOOKUP(CP12,PI!$B$6:$B$11,PI!$P$6:$P$11,_xlfn.XLOOKUP(CP12,PJ!$B$6:$B$11,PJ!$P$6:$P$11,_xlfn.XLOOKUP(CP12,PK!$B$6:$B$11,PK!$P$6:$P$11,_xlfn.XLOOKUP(CP12,PL!$B$6:$B$11,PL!$P$6:$P$11,"",0,1),0,1),0,1),0,1),0,1),0,1),0,1),0,1),0,1),0,1),0,1),0,1)</f>
        <v>0</v>
      </c>
      <c r="CV12" s="443">
        <f>_xlfn.XLOOKUP(CP12,PA!$B$6:$B$11,PA!$Q$6:$Q$11,_xlfn.XLOOKUP(CP12,PB!$B$6:$B$11,PB!$Q$6:$Q$11,_xlfn.XLOOKUP(CP12,PC!$B$6:$B$11,PC!$Q$6:$Q$11,_xlfn.XLOOKUP(CP12,PD!$B$6:$B$11,PD!$Q$6:$Q$11,_xlfn.XLOOKUP(CP12,PE!$B$6:$B$11,PE!$Q$6:$Q$11,_xlfn.XLOOKUP(CP12,PF!$B$6:$B$11,PF!$Q$6:$Q$11,_xlfn.XLOOKUP(CP12,PG!$B$6:$B$11,PG!$Q$6:$Q$11,_xlfn.XLOOKUP(CP12,PH!$B$6:$B$11,PH!$Q$6:$Q$11,_xlfn.XLOOKUP(CP12,PI!$B$6:$B$11,PI!$Q$6:$Q$11,_xlfn.XLOOKUP(CP12,PJ!$B$6:$B$11,PJ!$Q$6:$Q$11,_xlfn.XLOOKUP(CP12,PK!$B$6:$B$11,PK!$Q$6:$Q$11,_xlfn.XLOOKUP(CP12,PL!$B$6:$B$11,PL!$Q$6:$Q$11,"",0,1),0,1),0,1),0,1),0,1),0,1),0,1),0,1),0,1),0,1),0,1),0,1)</f>
        <v>0</v>
      </c>
      <c r="CW12" s="244" t="e">
        <f t="shared" si="13"/>
        <v>#DIV/0!</v>
      </c>
      <c r="DB12" s="244">
        <v>6</v>
      </c>
      <c r="DC12" s="244" t="str">
        <v/>
      </c>
    </row>
    <row r="13" spans="1:107" ht="15.6" customHeight="1" x14ac:dyDescent="0.25">
      <c r="A13" s="245" t="str">
        <f t="shared" si="14"/>
        <v/>
      </c>
      <c r="B13" s="56" t="s">
        <v>9879</v>
      </c>
      <c r="C13" s="390" t="str">
        <f>IF('GESTION DES JOUEURS'!$D$8="Open",11,IF(AND('GESTION DES JOUEURS'!$D$8="Tournoi",MAX('GESTION DES JOUEURS'!$A$11:$A$46)&gt;9),3,""))</f>
        <v/>
      </c>
      <c r="D13" s="79" t="str">
        <f>IF(A13="","",IF(N13="ab.",0,IF(P13="ab.",2,IF(AND('GESTION DES JOUEURS'!$D$8&lt;&gt;"Open",O13&gt;0,N13&gt;P13),2,IF(AND('GESTION DES JOUEURS'!$D$8&lt;&gt;"Open",O13&gt;0,N13&lt;P13),0,IF(AND('GESTION DES JOUEURS'!$D$8&lt;&gt;"Open",O13&gt;0,N13=P13),1,IF(AND('GESTION DES JOUEURS'!$D$8="Open",(N13/_xlfn.XLOOKUP(F13,$BU$7:$BU$42,$CN$7:$CN$42,"",0,1))&gt;(P13/_xlfn.XLOOKUP(V13,$BU$7:$BU$42,$CN$7:$CN$42,"",0,1))),2,IF(AND('GESTION DES JOUEURS'!$D$8="Open",(N13/_xlfn.XLOOKUP(F13,$BU$7:$BU$42,$CN$7:$CN$42,"",0,1))=(P13/_xlfn.XLOOKUP(V13,$BU$7:$BU$42,$CN$7:$CN$42,"",0,1))),1,IF(AND('GESTION DES JOUEURS'!$D$8="Open",(N13/_xlfn.XLOOKUP(F13,$BU$7:$BU$42,$CN$7:$CN$42,"",0,1))&lt;(P13/_xlfn.XLOOKUP(V13,$BU$7:$BU$42,$CN$7:$CN$42,"",0,1))),0,"")))))))))</f>
        <v/>
      </c>
      <c r="E13" s="113" t="str">
        <f>IFERROR(IF(AND(D13&gt;=0,Y13=FALSE),N13/O13,IF(AND(D13&gt;=0,Y13=TRUE),(N13/O13)*_xlfn.XLOOKUP('GESTION DES JOUEURS'!$X$8&amp;RIGHT('GESTION DES JOUEURS'!$Y$8,1),Tableau14[Colonne1],Tableau14[coef. 2,80/3,10],"",0,1),"")),"")</f>
        <v/>
      </c>
      <c r="F13" s="552" t="str">
        <f>IF(C13=3,BB8,IF(AND(C13=11,OR(D17&gt;X17,L17=TRUE)),F17,IF(AND(C13=11,OR(X17&gt;D17,R17=TRUE)),V17,"")))</f>
        <v/>
      </c>
      <c r="G13" s="729" t="str">
        <f>IFERROR(VLOOKUP(F13,'GESTION DES JOUEURS'!$B$11:$E$46,2,FALSE),"")</f>
        <v/>
      </c>
      <c r="H13" s="726"/>
      <c r="I13" s="730"/>
      <c r="J13" s="726" t="str">
        <f>IFERROR(VLOOKUP(F13,'GESTION DES JOUEURS'!$B$11:$E$46,3,FALSE),"")</f>
        <v/>
      </c>
      <c r="K13" s="727"/>
      <c r="L13" s="483" t="b">
        <v>0</v>
      </c>
      <c r="M13" s="412"/>
      <c r="N13" s="412"/>
      <c r="O13" s="114"/>
      <c r="P13" s="412"/>
      <c r="Q13" s="412"/>
      <c r="R13" s="401" t="b">
        <v>0</v>
      </c>
      <c r="S13" s="731" t="str">
        <f>IFERROR(VLOOKUP(V13,'GESTION DES JOUEURS'!$B$11:$E$46,2,FALSE),"")</f>
        <v/>
      </c>
      <c r="T13" s="732"/>
      <c r="U13" s="83" t="str">
        <f>IFERROR(VLOOKUP(V13,'GESTION DES JOUEURS'!$B$11:$E$46,3,FALSE),"")</f>
        <v/>
      </c>
      <c r="V13" s="83" t="str">
        <f>IF(C13=3,BB13,IF(AND(C13=11,OR(D22&gt;X22,L22=TRUE)),F22,IF(AND(C13=11,OR(X22&gt;D22,R22=TRUE)),V22,"")))</f>
        <v/>
      </c>
      <c r="W13" s="115" t="str">
        <f>IFERROR(IF(AND(X13&gt;=0,Y13=FALSE),P13/O13,IF(AND(X13&gt;=0,Y13=TRUE),(P13/O13)*_xlfn.XLOOKUP('GESTION DES JOUEURS'!$X$8&amp;RIGHT('GESTION DES JOUEURS'!$Y$8,1),Tableau14[Colonne1],Tableau14[coef. 2,80/3,10],"",0,1),"")),"")</f>
        <v/>
      </c>
      <c r="X13" s="59" t="str">
        <f>IF(A13="","",IF(P13="ab.",0,IF(N13="ab.",2,IF(AND('GESTION DES JOUEURS'!$D$8&lt;&gt;"Open",O13&gt;0,P13&gt;N13),2,IF(AND('GESTION DES JOUEURS'!$D$8&lt;&gt;"Open",O13&gt;0,P13&lt;N13),0,IF(AND('GESTION DES JOUEURS'!$D$8&lt;&gt;"Open",O13&gt;0,P13=N13),1,IF(AND('GESTION DES JOUEURS'!$D$8="Open",(P13/_xlfn.XLOOKUP(V13,$BU$7:$BU$42,$CN$7:$CN$42,"",0,1))&gt;(N13/_xlfn.XLOOKUP(F13,$BU$7:$BU$42,$CN$7:$CN$42,"",0,1))),2,IF(AND('GESTION DES JOUEURS'!$D$8="Open",(P13/_xlfn.XLOOKUP(V13,$BU$7:$BU$42,$CN$7:$CN$42,"",0,1))=(N13/_xlfn.XLOOKUP(F13,$BU$7:$BU$42,$CN$7:$CN$42,"",0,1))),1,IF(AND('GESTION DES JOUEURS'!$D$8="Open",(P13/_xlfn.XLOOKUP(V13,$BU$7:$BU$42,$CN$7:$CN$42,"",0,1))&lt;(N13/_xlfn.XLOOKUP(F13,$BU$7:$BU$42,$CN$7:$CN$42,"",0,1))),0,"")))))))))</f>
        <v/>
      </c>
      <c r="Y13" s="546" t="b">
        <v>0</v>
      </c>
      <c r="AA13" s="899" t="s">
        <v>8114</v>
      </c>
      <c r="AE13" s="371">
        <v>3</v>
      </c>
      <c r="AF13" s="371" t="str">
        <f>F14</f>
        <v/>
      </c>
      <c r="AG13" s="371" t="str">
        <f>D14</f>
        <v/>
      </c>
      <c r="AH13" s="371" t="b">
        <f>L14</f>
        <v>0</v>
      </c>
      <c r="AI13" s="371" t="e">
        <f>N14/_xlfn.XLOOKUP(AF13,$BU$7:$BU$33,$CN$7:$CN$33,"",0,1)</f>
        <v>#VALUE!</v>
      </c>
      <c r="AJ13" s="244" t="e">
        <f>P14/_xlfn.XLOOKUP(V14,$BU$7:$BU$33,$CN$7:$CN$33,"",0,1)</f>
        <v>#VALUE!</v>
      </c>
      <c r="AK13" s="244">
        <f t="shared" si="15"/>
        <v>0</v>
      </c>
      <c r="AL13" s="573" t="str">
        <f t="shared" si="16"/>
        <v/>
      </c>
      <c r="AM13" s="244" t="e">
        <f t="shared" si="17"/>
        <v>#VALUE!</v>
      </c>
      <c r="AN13" s="244">
        <v>9</v>
      </c>
      <c r="AO13" s="244" t="str">
        <f t="shared" si="0"/>
        <v/>
      </c>
      <c r="AP13" s="244">
        <f t="shared" si="1"/>
        <v>1</v>
      </c>
      <c r="AQ13" s="244" t="str">
        <f t="shared" si="2"/>
        <v/>
      </c>
      <c r="AR13" s="244" t="b">
        <f t="shared" si="3"/>
        <v>0</v>
      </c>
      <c r="AS13" s="578" t="e">
        <f t="shared" si="4"/>
        <v>#VALUE!</v>
      </c>
      <c r="AT13" s="578" t="e">
        <f t="shared" si="5"/>
        <v>#VALUE!</v>
      </c>
      <c r="AU13" s="244">
        <f t="shared" si="6"/>
        <v>0</v>
      </c>
      <c r="AV13" s="575">
        <f t="shared" si="7"/>
        <v>0</v>
      </c>
      <c r="AW13" s="575">
        <f t="shared" si="8"/>
        <v>0</v>
      </c>
      <c r="AX13" s="577">
        <f t="shared" si="9"/>
        <v>0</v>
      </c>
      <c r="AZ13" s="244">
        <v>7</v>
      </c>
      <c r="BT13" s="244">
        <v>7</v>
      </c>
      <c r="BU13" s="244" t="str">
        <f>'Phase finale'!CP29</f>
        <v/>
      </c>
      <c r="BV13" s="244" t="str">
        <f>'Phase finale'!CQ29</f>
        <v/>
      </c>
      <c r="BW13" s="244">
        <f>'Phase finale'!CR29</f>
        <v>0</v>
      </c>
      <c r="BX13" s="244" t="str">
        <f>'Phase finale'!CS29</f>
        <v/>
      </c>
      <c r="BY13" s="244">
        <f>'Phase finale'!CT29</f>
        <v>0</v>
      </c>
      <c r="BZ13" s="244" t="str">
        <f>'Phase finale'!CU29</f>
        <v/>
      </c>
      <c r="CA13" s="244">
        <f>'Phase finale'!CV29</f>
        <v>0</v>
      </c>
      <c r="CB13" s="244">
        <f>'Phase finale'!CW29</f>
        <v>0</v>
      </c>
      <c r="CC13" s="244">
        <f>'Phase finale'!CX29</f>
        <v>0</v>
      </c>
      <c r="CD13" s="244">
        <f>'Phase finale'!CY29</f>
        <v>0</v>
      </c>
      <c r="CE13" s="244">
        <f>'Phase finale'!CZ29</f>
        <v>0</v>
      </c>
      <c r="CF13" s="244" t="str">
        <f>'Phase finale'!DA29</f>
        <v/>
      </c>
      <c r="CG13" s="244" t="str">
        <f>'Phase finale'!DB29</f>
        <v/>
      </c>
      <c r="CH13" s="244" t="str">
        <f>'Phase finale'!DC29</f>
        <v/>
      </c>
      <c r="CI13" s="244" t="str">
        <f>'Phase finale'!DD29</f>
        <v/>
      </c>
      <c r="CJ13" s="244" t="str">
        <f>'Phase finale'!DE29</f>
        <v/>
      </c>
      <c r="CK13" s="244" t="str">
        <f>'Phase finale'!DF29</f>
        <v/>
      </c>
      <c r="CL13" s="244" t="str">
        <f>'Phase finale'!DG29</f>
        <v/>
      </c>
      <c r="CM13" s="244" t="str">
        <f>'Phase finale'!DH29</f>
        <v/>
      </c>
      <c r="CN13" s="244" t="str">
        <f>'Phase finale'!DI29</f>
        <v/>
      </c>
      <c r="CP13" s="443" t="str">
        <v/>
      </c>
      <c r="CQ13" s="443">
        <f t="shared" si="10"/>
        <v>0</v>
      </c>
      <c r="CR13" s="443">
        <f t="shared" si="11"/>
        <v>0</v>
      </c>
      <c r="CS13" s="447" t="str">
        <f t="shared" si="12"/>
        <v/>
      </c>
      <c r="CT13" s="443"/>
      <c r="CU13" s="443">
        <f>_xlfn.XLOOKUP(CP13,PA!$B$6:$B$11,PA!$P$6:$P$11,_xlfn.XLOOKUP(CP13,PB!$B$6:$B$11,PB!$P$6:$P$11,_xlfn.XLOOKUP(CP13,PC!$B$6:$B$11,PC!$P$6:$P$11,_xlfn.XLOOKUP(CP13,PD!$B$6:$B$11,PD!$P$6:$P$11,_xlfn.XLOOKUP(CP13,PE!$B$6:$B$11,PE!$P$6:$P$11,_xlfn.XLOOKUP(CP13,PF!$B$6:$B$11,PF!$P$6:$P$11,_xlfn.XLOOKUP(CP13,PG!$B$6:$B$11,PG!$P$6:$P$11,_xlfn.XLOOKUP(CP13,PH!$B$6:$B$11,PH!$P$6:$P$11,_xlfn.XLOOKUP(CP13,PI!$B$6:$B$11,PI!$P$6:$P$11,_xlfn.XLOOKUP(CP13,PJ!$B$6:$B$11,PJ!$P$6:$P$11,_xlfn.XLOOKUP(CP13,PK!$B$6:$B$11,PK!$P$6:$P$11,_xlfn.XLOOKUP(CP13,PL!$B$6:$B$11,PL!$P$6:$P$11,"",0,1),0,1),0,1),0,1),0,1),0,1),0,1),0,1),0,1),0,1),0,1),0,1)</f>
        <v>0</v>
      </c>
      <c r="CV13" s="443">
        <f>_xlfn.XLOOKUP(CP13,PA!$B$6:$B$11,PA!$Q$6:$Q$11,_xlfn.XLOOKUP(CP13,PB!$B$6:$B$11,PB!$Q$6:$Q$11,_xlfn.XLOOKUP(CP13,PC!$B$6:$B$11,PC!$Q$6:$Q$11,_xlfn.XLOOKUP(CP13,PD!$B$6:$B$11,PD!$Q$6:$Q$11,_xlfn.XLOOKUP(CP13,PE!$B$6:$B$11,PE!$Q$6:$Q$11,_xlfn.XLOOKUP(CP13,PF!$B$6:$B$11,PF!$Q$6:$Q$11,_xlfn.XLOOKUP(CP13,PG!$B$6:$B$11,PG!$Q$6:$Q$11,_xlfn.XLOOKUP(CP13,PH!$B$6:$B$11,PH!$Q$6:$Q$11,_xlfn.XLOOKUP(CP13,PI!$B$6:$B$11,PI!$Q$6:$Q$11,_xlfn.XLOOKUP(CP13,PJ!$B$6:$B$11,PJ!$Q$6:$Q$11,_xlfn.XLOOKUP(CP13,PK!$B$6:$B$11,PK!$Q$6:$Q$11,_xlfn.XLOOKUP(CP13,PL!$B$6:$B$11,PL!$Q$6:$Q$11,"",0,1),0,1),0,1),0,1),0,1),0,1),0,1),0,1),0,1),0,1),0,1),0,1)</f>
        <v>0</v>
      </c>
      <c r="CW13" s="244" t="e">
        <f t="shared" si="13"/>
        <v>#DIV/0!</v>
      </c>
      <c r="DB13" s="244">
        <v>7</v>
      </c>
      <c r="DC13" s="244" t="str">
        <v/>
      </c>
    </row>
    <row r="14" spans="1:107" ht="15.6" customHeight="1" x14ac:dyDescent="0.25">
      <c r="A14" s="245" t="str">
        <f t="shared" si="14"/>
        <v/>
      </c>
      <c r="B14" s="56" t="s">
        <v>9880</v>
      </c>
      <c r="C14" s="390" t="str">
        <f>IF('GESTION DES JOUEURS'!$D$8="Open",10,IF(AND('GESTION DES JOUEURS'!$D$8="Tournoi",MAX('GESTION DES JOUEURS'!$A$11:$A$46)&gt;9),2,""))</f>
        <v/>
      </c>
      <c r="D14" s="79" t="str">
        <f>IF(A14="","",IF(N14="ab.",0,IF(P14="ab.",2,IF(AND('GESTION DES JOUEURS'!$D$8&lt;&gt;"Open",O14&gt;0,N14&gt;P14),2,IF(AND('GESTION DES JOUEURS'!$D$8&lt;&gt;"Open",O14&gt;0,N14&lt;P14),0,IF(AND('GESTION DES JOUEURS'!$D$8&lt;&gt;"Open",O14&gt;0,N14=P14),1,IF(AND('GESTION DES JOUEURS'!$D$8="Open",(N14/_xlfn.XLOOKUP(F14,$BU$7:$BU$42,$CN$7:$CN$42,"",0,1))&gt;(P14/_xlfn.XLOOKUP(V14,$BU$7:$BU$42,$CN$7:$CN$42,"",0,1))),2,IF(AND('GESTION DES JOUEURS'!$D$8="Open",(N14/_xlfn.XLOOKUP(F14,$BU$7:$BU$42,$CN$7:$CN$42,"",0,1))=(P14/_xlfn.XLOOKUP(V14,$BU$7:$BU$42,$CN$7:$CN$42,"",0,1))),1,IF(AND('GESTION DES JOUEURS'!$D$8="Open",(N14/_xlfn.XLOOKUP(F14,$BU$7:$BU$42,$CN$7:$CN$42,"",0,1))&lt;(P14/_xlfn.XLOOKUP(V14,$BU$7:$BU$42,$CN$7:$CN$42,"",0,1))),0,"")))))))))</f>
        <v/>
      </c>
      <c r="E14" s="113" t="str">
        <f>IFERROR(IF(AND(D14&gt;=0,Y14=FALSE),N14/O14,IF(AND(D14&gt;=0,Y14=TRUE),(N14/O14)*_xlfn.XLOOKUP('GESTION DES JOUEURS'!$X$8&amp;RIGHT('GESTION DES JOUEURS'!$Y$8,1),Tableau14[Colonne1],Tableau14[coef. 2,80/3,10],"",0,1),"")),"")</f>
        <v/>
      </c>
      <c r="F14" s="552" t="str">
        <f>IF(C14=2,BB9,IF(AND(C14=10,OR(D18&gt;X18,L18=TRUE)),F18,IF(AND(C14=10,OR(X18&gt;D18,R18=TRUE)),V18,"")))</f>
        <v/>
      </c>
      <c r="G14" s="729" t="str">
        <f>IFERROR(VLOOKUP(F14,'GESTION DES JOUEURS'!$B$11:$E$46,2,FALSE),"")</f>
        <v/>
      </c>
      <c r="H14" s="726"/>
      <c r="I14" s="730"/>
      <c r="J14" s="726" t="str">
        <f>IFERROR(VLOOKUP(F14,'GESTION DES JOUEURS'!$B$11:$E$46,3,FALSE),"")</f>
        <v/>
      </c>
      <c r="K14" s="727"/>
      <c r="L14" s="483" t="b">
        <v>0</v>
      </c>
      <c r="M14" s="412"/>
      <c r="N14" s="412"/>
      <c r="O14" s="114"/>
      <c r="P14" s="412"/>
      <c r="Q14" s="412"/>
      <c r="R14" s="401" t="b">
        <v>0</v>
      </c>
      <c r="S14" s="731" t="str">
        <f>IFERROR(VLOOKUP(V14,'GESTION DES JOUEURS'!$B$11:$E$46,2,FALSE),"")</f>
        <v/>
      </c>
      <c r="T14" s="732"/>
      <c r="U14" s="83" t="str">
        <f>IFERROR(VLOOKUP(V14,'GESTION DES JOUEURS'!$B$11:$E$46,3,FALSE),"")</f>
        <v/>
      </c>
      <c r="V14" s="83" t="str">
        <f>IF(C14=2,BB12,IF(AND(C14=10,OR(D21&gt;X21,L21=TRUE)),F21,IF(AND(C14=10,OR(X21&gt;D21,R21=TRUE)),V21,"")))</f>
        <v/>
      </c>
      <c r="W14" s="115" t="str">
        <f>IFERROR(IF(AND(X14&gt;=0,Y14=FALSE),P14/O14,IF(AND(X14&gt;=0,Y14=TRUE),(P14/O14)*_xlfn.XLOOKUP('GESTION DES JOUEURS'!$X$8&amp;RIGHT('GESTION DES JOUEURS'!$Y$8,1),Tableau14[Colonne1],Tableau14[coef. 2,80/3,10],"",0,1),"")),"")</f>
        <v/>
      </c>
      <c r="X14" s="59" t="str">
        <f>IF(A14="","",IF(P14="ab.",0,IF(N14="ab.",2,IF(AND('GESTION DES JOUEURS'!$D$8&lt;&gt;"Open",O14&gt;0,P14&gt;N14),2,IF(AND('GESTION DES JOUEURS'!$D$8&lt;&gt;"Open",O14&gt;0,P14&lt;N14),0,IF(AND('GESTION DES JOUEURS'!$D$8&lt;&gt;"Open",O14&gt;0,P14=N14),1,IF(AND('GESTION DES JOUEURS'!$D$8="Open",(P14/_xlfn.XLOOKUP(V14,$BU$7:$BU$42,$CN$7:$CN$42,"",0,1))&gt;(N14/_xlfn.XLOOKUP(F14,$BU$7:$BU$42,$CN$7:$CN$42,"",0,1))),2,IF(AND('GESTION DES JOUEURS'!$D$8="Open",(P14/_xlfn.XLOOKUP(V14,$BU$7:$BU$42,$CN$7:$CN$42,"",0,1))=(N14/_xlfn.XLOOKUP(F14,$BU$7:$BU$42,$CN$7:$CN$42,"",0,1))),1,IF(AND('GESTION DES JOUEURS'!$D$8="Open",(P14/_xlfn.XLOOKUP(V14,$BU$7:$BU$42,$CN$7:$CN$42,"",0,1))&lt;(N14/_xlfn.XLOOKUP(F14,$BU$7:$BU$42,$CN$7:$CN$42,"",0,1))),0,"")))))))))</f>
        <v/>
      </c>
      <c r="Y14" s="546" t="b">
        <v>0</v>
      </c>
      <c r="AA14" s="899"/>
      <c r="AE14" s="371">
        <v>3</v>
      </c>
      <c r="AF14" s="371" t="str">
        <f>F15</f>
        <v/>
      </c>
      <c r="AG14" s="371" t="str">
        <f>D15</f>
        <v/>
      </c>
      <c r="AH14" s="371" t="b">
        <f>L15</f>
        <v>0</v>
      </c>
      <c r="AI14" s="371" t="e">
        <f>N15/_xlfn.XLOOKUP(AF14,$BU$7:$BU$33,$CN$7:$CN$33,"",0,1)</f>
        <v>#VALUE!</v>
      </c>
      <c r="AJ14" s="244" t="e">
        <f>P15/_xlfn.XLOOKUP(V15,$BU$7:$BU$33,$CN$7:$CN$33,"",0,1)</f>
        <v>#VALUE!</v>
      </c>
      <c r="AK14" s="244">
        <f t="shared" si="15"/>
        <v>0</v>
      </c>
      <c r="AL14" s="573" t="str">
        <f t="shared" si="16"/>
        <v/>
      </c>
      <c r="AM14" s="244" t="e">
        <f t="shared" si="17"/>
        <v>#VALUE!</v>
      </c>
      <c r="AN14" s="572">
        <v>10</v>
      </c>
      <c r="AO14" s="244" t="str">
        <f t="shared" si="0"/>
        <v/>
      </c>
      <c r="AP14" s="244">
        <f t="shared" si="1"/>
        <v>1</v>
      </c>
      <c r="AQ14" s="244" t="str">
        <f t="shared" si="2"/>
        <v/>
      </c>
      <c r="AR14" s="244" t="b">
        <f t="shared" si="3"/>
        <v>0</v>
      </c>
      <c r="AS14" s="578" t="e">
        <f t="shared" si="4"/>
        <v>#VALUE!</v>
      </c>
      <c r="AT14" s="578" t="e">
        <f t="shared" si="5"/>
        <v>#VALUE!</v>
      </c>
      <c r="AU14" s="244">
        <f t="shared" si="6"/>
        <v>0</v>
      </c>
      <c r="AV14" s="575">
        <f t="shared" si="7"/>
        <v>0</v>
      </c>
      <c r="AW14" s="575">
        <f t="shared" si="8"/>
        <v>0</v>
      </c>
      <c r="AX14" s="577">
        <f t="shared" si="9"/>
        <v>0</v>
      </c>
      <c r="AZ14" s="244">
        <v>8</v>
      </c>
      <c r="BT14" s="244">
        <v>8</v>
      </c>
      <c r="BU14" s="244" t="str">
        <f>'Phase finale'!CP30</f>
        <v/>
      </c>
      <c r="BV14" s="244" t="str">
        <f>'Phase finale'!CQ30</f>
        <v/>
      </c>
      <c r="BW14" s="244">
        <f>'Phase finale'!CR30</f>
        <v>0</v>
      </c>
      <c r="BX14" s="244" t="str">
        <f>'Phase finale'!CS30</f>
        <v/>
      </c>
      <c r="BY14" s="244">
        <f>'Phase finale'!CT30</f>
        <v>0</v>
      </c>
      <c r="BZ14" s="244" t="str">
        <f>'Phase finale'!CU30</f>
        <v/>
      </c>
      <c r="CA14" s="244">
        <f>'Phase finale'!CV30</f>
        <v>0</v>
      </c>
      <c r="CB14" s="244">
        <f>'Phase finale'!CW30</f>
        <v>0</v>
      </c>
      <c r="CC14" s="244">
        <f>'Phase finale'!CX30</f>
        <v>0</v>
      </c>
      <c r="CD14" s="244">
        <f>'Phase finale'!CY30</f>
        <v>0</v>
      </c>
      <c r="CE14" s="244">
        <f>'Phase finale'!CZ30</f>
        <v>0</v>
      </c>
      <c r="CF14" s="244" t="str">
        <f>'Phase finale'!DA30</f>
        <v/>
      </c>
      <c r="CG14" s="244" t="str">
        <f>'Phase finale'!DB30</f>
        <v/>
      </c>
      <c r="CH14" s="244" t="str">
        <f>'Phase finale'!DC30</f>
        <v/>
      </c>
      <c r="CI14" s="244" t="str">
        <f>'Phase finale'!DD30</f>
        <v/>
      </c>
      <c r="CJ14" s="244" t="str">
        <f>'Phase finale'!DE30</f>
        <v/>
      </c>
      <c r="CK14" s="244" t="str">
        <f>'Phase finale'!DF30</f>
        <v/>
      </c>
      <c r="CL14" s="244" t="str">
        <f>'Phase finale'!DG30</f>
        <v/>
      </c>
      <c r="CM14" s="244" t="str">
        <f>'Phase finale'!DH30</f>
        <v/>
      </c>
      <c r="CN14" s="244" t="str">
        <f>'Phase finale'!DI30</f>
        <v/>
      </c>
      <c r="CP14" s="443" t="str">
        <v/>
      </c>
      <c r="CQ14" s="443">
        <f t="shared" si="10"/>
        <v>0</v>
      </c>
      <c r="CR14" s="443">
        <f t="shared" si="11"/>
        <v>0</v>
      </c>
      <c r="CS14" s="447" t="str">
        <f t="shared" si="12"/>
        <v/>
      </c>
      <c r="CT14" s="443"/>
      <c r="CU14" s="443">
        <f>_xlfn.XLOOKUP(CP14,PA!$B$6:$B$11,PA!$P$6:$P$11,_xlfn.XLOOKUP(CP14,PB!$B$6:$B$11,PB!$P$6:$P$11,_xlfn.XLOOKUP(CP14,PC!$B$6:$B$11,PC!$P$6:$P$11,_xlfn.XLOOKUP(CP14,PD!$B$6:$B$11,PD!$P$6:$P$11,_xlfn.XLOOKUP(CP14,PE!$B$6:$B$11,PE!$P$6:$P$11,_xlfn.XLOOKUP(CP14,PF!$B$6:$B$11,PF!$P$6:$P$11,_xlfn.XLOOKUP(CP14,PG!$B$6:$B$11,PG!$P$6:$P$11,_xlfn.XLOOKUP(CP14,PH!$B$6:$B$11,PH!$P$6:$P$11,_xlfn.XLOOKUP(CP14,PI!$B$6:$B$11,PI!$P$6:$P$11,_xlfn.XLOOKUP(CP14,PJ!$B$6:$B$11,PJ!$P$6:$P$11,_xlfn.XLOOKUP(CP14,PK!$B$6:$B$11,PK!$P$6:$P$11,_xlfn.XLOOKUP(CP14,PL!$B$6:$B$11,PL!$P$6:$P$11,"",0,1),0,1),0,1),0,1),0,1),0,1),0,1),0,1),0,1),0,1),0,1),0,1)</f>
        <v>0</v>
      </c>
      <c r="CV14" s="443">
        <f>_xlfn.XLOOKUP(CP14,PA!$B$6:$B$11,PA!$Q$6:$Q$11,_xlfn.XLOOKUP(CP14,PB!$B$6:$B$11,PB!$Q$6:$Q$11,_xlfn.XLOOKUP(CP14,PC!$B$6:$B$11,PC!$Q$6:$Q$11,_xlfn.XLOOKUP(CP14,PD!$B$6:$B$11,PD!$Q$6:$Q$11,_xlfn.XLOOKUP(CP14,PE!$B$6:$B$11,PE!$Q$6:$Q$11,_xlfn.XLOOKUP(CP14,PF!$B$6:$B$11,PF!$Q$6:$Q$11,_xlfn.XLOOKUP(CP14,PG!$B$6:$B$11,PG!$Q$6:$Q$11,_xlfn.XLOOKUP(CP14,PH!$B$6:$B$11,PH!$Q$6:$Q$11,_xlfn.XLOOKUP(CP14,PI!$B$6:$B$11,PI!$Q$6:$Q$11,_xlfn.XLOOKUP(CP14,PJ!$B$6:$B$11,PJ!$Q$6:$Q$11,_xlfn.XLOOKUP(CP14,PK!$B$6:$B$11,PK!$Q$6:$Q$11,_xlfn.XLOOKUP(CP14,PL!$B$6:$B$11,PL!$Q$6:$Q$11,"",0,1),0,1),0,1),0,1),0,1),0,1),0,1),0,1),0,1),0,1),0,1),0,1)</f>
        <v>0</v>
      </c>
      <c r="CW14" s="244" t="e">
        <f t="shared" si="13"/>
        <v>#DIV/0!</v>
      </c>
      <c r="DB14" s="244">
        <v>8</v>
      </c>
      <c r="DC14" s="244" t="str">
        <v/>
      </c>
    </row>
    <row r="15" spans="1:107" ht="15.6" customHeight="1" thickBot="1" x14ac:dyDescent="0.3">
      <c r="A15" s="245" t="str">
        <f>IF(O15&lt;&gt;"","P","")</f>
        <v/>
      </c>
      <c r="B15" s="375" t="s">
        <v>9881</v>
      </c>
      <c r="C15" s="391" t="str">
        <f>IF('GESTION DES JOUEURS'!$D$8="Open",9,IF(AND('GESTION DES JOUEURS'!$D$8="Tournoi",MAX('GESTION DES JOUEURS'!$A$11:$A$46)&gt;9),1,""))</f>
        <v/>
      </c>
      <c r="D15" s="89" t="str">
        <f>IF(A15="","",IF(N15="ab.",0,IF(P15="ab.",2,IF(AND('GESTION DES JOUEURS'!$D$8&lt;&gt;"Open",O15&gt;0,N15&gt;P15),2,IF(AND('GESTION DES JOUEURS'!$D$8&lt;&gt;"Open",O15&gt;0,N15&lt;P15),0,IF(AND('GESTION DES JOUEURS'!$D$8&lt;&gt;"Open",O15&gt;0,N15=P15),1,IF(AND('GESTION DES JOUEURS'!$D$8="Open",(N15/_xlfn.XLOOKUP(F15,$BU$7:$BU$42,$CN$7:$CN$42,"",0,1))&gt;(P15/_xlfn.XLOOKUP(V15,$BU$7:$BU$42,$CN$7:$CN$42,"",0,1))),2,IF(AND('GESTION DES JOUEURS'!$D$8="Open",(N15/_xlfn.XLOOKUP(F15,$BU$7:$BU$42,$CN$7:$CN$42,"",0,1))=(P15/_xlfn.XLOOKUP(V15,$BU$7:$BU$42,$CN$7:$CN$42,"",0,1))),1,IF(AND('GESTION DES JOUEURS'!$D$8="Open",(N15/_xlfn.XLOOKUP(F15,$BU$7:$BU$42,$CN$7:$CN$42,"",0,1))&lt;(P15/_xlfn.XLOOKUP(V15,$BU$7:$BU$42,$CN$7:$CN$42,"",0,1))),0,"")))))))))</f>
        <v/>
      </c>
      <c r="E15" s="120" t="str">
        <f>IFERROR(IF(AND(D15&gt;=0,Y15=FALSE),N15/O15,IF(AND(D15&gt;=0,Y15=TRUE),(N15/O15)*_xlfn.XLOOKUP('GESTION DES JOUEURS'!$X$8&amp;RIGHT('GESTION DES JOUEURS'!$Y$8,1),Tableau14[Colonne1],Tableau14[coef. 2,80/3,10],"",0,1),"")),"")</f>
        <v/>
      </c>
      <c r="F15" s="567" t="str">
        <f>IF(C15=1,BB10,IF(AND(C15=9,OR(D19&gt;X19,L19=TRUE)),F19,IF(AND(C15=9,OR(X19&gt;D19,R19=TRUE)),V19,"")))</f>
        <v/>
      </c>
      <c r="G15" s="738" t="str">
        <f>IFERROR(VLOOKUP(F15,'GESTION DES JOUEURS'!$B$11:$E$46,2,FALSE),"")</f>
        <v/>
      </c>
      <c r="H15" s="739"/>
      <c r="I15" s="740"/>
      <c r="J15" s="739" t="str">
        <f>IFERROR(VLOOKUP(F15,'GESTION DES JOUEURS'!$B$11:$E$46,3,FALSE),"")</f>
        <v/>
      </c>
      <c r="K15" s="779"/>
      <c r="L15" s="484" t="b">
        <v>0</v>
      </c>
      <c r="M15" s="413"/>
      <c r="N15" s="411"/>
      <c r="O15" s="379"/>
      <c r="P15" s="411"/>
      <c r="Q15" s="413"/>
      <c r="R15" s="402" t="b">
        <v>0</v>
      </c>
      <c r="S15" s="757" t="str">
        <f>IFERROR(VLOOKUP(V15,'GESTION DES JOUEURS'!$B$11:$E$46,2,FALSE),"")</f>
        <v/>
      </c>
      <c r="T15" s="758"/>
      <c r="U15" s="355" t="str">
        <f>IFERROR(VLOOKUP(V15,'GESTION DES JOUEURS'!$B$11:$E$46,3,FALSE),"")</f>
        <v/>
      </c>
      <c r="V15" s="355" t="str">
        <f>IF(C15=1,BB11,IF(AND(C15=9,OR(D20&gt;X20,L20=TRUE)),F20,IF(AND(C15=9,OR(X20&gt;D20,R20=TRUE)),V20,"")))</f>
        <v/>
      </c>
      <c r="W15" s="122" t="str">
        <f>IFERROR(IF(AND(X15&gt;=0,Y15=FALSE),P15/O15,IF(AND(X15&gt;=0,Y15=TRUE),(P15/O15)*_xlfn.XLOOKUP('GESTION DES JOUEURS'!$X$8&amp;RIGHT('GESTION DES JOUEURS'!$Y$8,1),Tableau14[Colonne1],Tableau14[coef. 2,80/3,10],"",0,1),"")),"")</f>
        <v/>
      </c>
      <c r="X15" s="67" t="str">
        <f>IF(A15="","",IF(P15="ab.",0,IF(N15="ab.",2,IF(AND('GESTION DES JOUEURS'!$D$8&lt;&gt;"Open",O15&gt;0,P15&gt;N15),2,IF(AND('GESTION DES JOUEURS'!$D$8&lt;&gt;"Open",O15&gt;0,P15&lt;N15),0,IF(AND('GESTION DES JOUEURS'!$D$8&lt;&gt;"Open",O15&gt;0,P15=N15),1,IF(AND('GESTION DES JOUEURS'!$D$8="Open",(P15/_xlfn.XLOOKUP(V15,$BU$7:$BU$42,$CN$7:$CN$42,"",0,1))&gt;(N15/_xlfn.XLOOKUP(F15,$BU$7:$BU$42,$CN$7:$CN$42,"",0,1))),2,IF(AND('GESTION DES JOUEURS'!$D$8="Open",(P15/_xlfn.XLOOKUP(V15,$BU$7:$BU$42,$CN$7:$CN$42,"",0,1))=(N15/_xlfn.XLOOKUP(F15,$BU$7:$BU$42,$CN$7:$CN$42,"",0,1))),1,IF(AND('GESTION DES JOUEURS'!$D$8="Open",(P15/_xlfn.XLOOKUP(V15,$BU$7:$BU$42,$CN$7:$CN$42,"",0,1))&lt;(N15/_xlfn.XLOOKUP(F15,$BU$7:$BU$42,$CN$7:$CN$42,"",0,1))),0,"")))))))))</f>
        <v/>
      </c>
      <c r="Y15" s="545" t="b">
        <v>0</v>
      </c>
      <c r="AA15" s="907" t="s">
        <v>8115</v>
      </c>
      <c r="AE15" s="371">
        <v>3</v>
      </c>
      <c r="AF15" s="371" t="str">
        <f>V12</f>
        <v/>
      </c>
      <c r="AG15" s="371" t="str">
        <f>X12</f>
        <v/>
      </c>
      <c r="AH15" s="371" t="b">
        <f>R12</f>
        <v>0</v>
      </c>
      <c r="AI15" s="371" t="e">
        <f>P12/_xlfn.XLOOKUP(AF15,$BU$7:$BU$33,$CN$7:$CN$33,"",0,1)</f>
        <v>#VALUE!</v>
      </c>
      <c r="AJ15" s="244" t="e">
        <f>N12/_xlfn.XLOOKUP(F12,$BU$7:$BU$33,$CN$7:$CN$33,"",0,1)</f>
        <v>#VALUE!</v>
      </c>
      <c r="AK15" s="244">
        <f>Q12</f>
        <v>0</v>
      </c>
      <c r="AL15" s="573" t="str">
        <f>W12</f>
        <v/>
      </c>
      <c r="AM15" s="244" t="e">
        <f>N12/AJ15</f>
        <v>#VALUE!</v>
      </c>
      <c r="AN15" s="244">
        <v>11</v>
      </c>
      <c r="AO15" s="244" t="str">
        <f t="shared" si="0"/>
        <v/>
      </c>
      <c r="AP15" s="244">
        <f t="shared" si="1"/>
        <v>1</v>
      </c>
      <c r="AQ15" s="244" t="str">
        <f t="shared" si="2"/>
        <v/>
      </c>
      <c r="AR15" s="244" t="b">
        <f t="shared" si="3"/>
        <v>0</v>
      </c>
      <c r="AS15" s="578" t="e">
        <f t="shared" si="4"/>
        <v>#VALUE!</v>
      </c>
      <c r="AT15" s="578" t="e">
        <f t="shared" si="5"/>
        <v>#VALUE!</v>
      </c>
      <c r="AU15" s="244">
        <f t="shared" si="6"/>
        <v>0</v>
      </c>
      <c r="AV15" s="575">
        <f t="shared" si="7"/>
        <v>0</v>
      </c>
      <c r="AW15" s="575">
        <f t="shared" si="8"/>
        <v>0</v>
      </c>
      <c r="AX15" s="577">
        <f t="shared" si="9"/>
        <v>0</v>
      </c>
      <c r="AZ15" s="244">
        <v>9</v>
      </c>
      <c r="BT15" s="244">
        <v>9</v>
      </c>
      <c r="BU15" s="244" t="str">
        <f>'Phase finale'!CP31</f>
        <v/>
      </c>
      <c r="BV15" s="244" t="str">
        <f>'Phase finale'!CQ31</f>
        <v/>
      </c>
      <c r="BW15" s="244">
        <f>'Phase finale'!CR31</f>
        <v>0</v>
      </c>
      <c r="BX15" s="244" t="str">
        <f>'Phase finale'!CS31</f>
        <v/>
      </c>
      <c r="BY15" s="244">
        <f>'Phase finale'!CT31</f>
        <v>0</v>
      </c>
      <c r="BZ15" s="244" t="str">
        <f>'Phase finale'!CU31</f>
        <v/>
      </c>
      <c r="CA15" s="244">
        <f>'Phase finale'!CV31</f>
        <v>0</v>
      </c>
      <c r="CB15" s="244">
        <f>'Phase finale'!CW31</f>
        <v>0</v>
      </c>
      <c r="CC15" s="244">
        <f>'Phase finale'!CX31</f>
        <v>0</v>
      </c>
      <c r="CD15" s="244">
        <f>'Phase finale'!CY31</f>
        <v>0</v>
      </c>
      <c r="CE15" s="244">
        <f>'Phase finale'!CZ31</f>
        <v>0</v>
      </c>
      <c r="CF15" s="244" t="str">
        <f>'Phase finale'!DA31</f>
        <v/>
      </c>
      <c r="CG15" s="244" t="str">
        <f>'Phase finale'!DB31</f>
        <v/>
      </c>
      <c r="CH15" s="244" t="str">
        <f>'Phase finale'!DC31</f>
        <v/>
      </c>
      <c r="CI15" s="244" t="str">
        <f>'Phase finale'!DD31</f>
        <v/>
      </c>
      <c r="CJ15" s="244" t="str">
        <f>'Phase finale'!DE31</f>
        <v/>
      </c>
      <c r="CK15" s="244" t="str">
        <f>'Phase finale'!DF31</f>
        <v/>
      </c>
      <c r="CL15" s="244" t="str">
        <f>'Phase finale'!DG31</f>
        <v/>
      </c>
      <c r="CM15" s="244" t="str">
        <f>'Phase finale'!DH31</f>
        <v/>
      </c>
      <c r="CN15" s="244" t="str">
        <f>'Phase finale'!DI31</f>
        <v/>
      </c>
      <c r="CP15" s="443" t="str">
        <v/>
      </c>
      <c r="CQ15" s="443">
        <f t="shared" si="10"/>
        <v>0</v>
      </c>
      <c r="CR15" s="443">
        <f t="shared" si="11"/>
        <v>0</v>
      </c>
      <c r="CS15" s="447" t="str">
        <f t="shared" si="12"/>
        <v/>
      </c>
      <c r="CT15" s="443"/>
      <c r="CU15" s="443">
        <f>_xlfn.XLOOKUP(CP15,PA!$B$6:$B$11,PA!$P$6:$P$11,_xlfn.XLOOKUP(CP15,PB!$B$6:$B$11,PB!$P$6:$P$11,_xlfn.XLOOKUP(CP15,PC!$B$6:$B$11,PC!$P$6:$P$11,_xlfn.XLOOKUP(CP15,PD!$B$6:$B$11,PD!$P$6:$P$11,_xlfn.XLOOKUP(CP15,PE!$B$6:$B$11,PE!$P$6:$P$11,_xlfn.XLOOKUP(CP15,PF!$B$6:$B$11,PF!$P$6:$P$11,_xlfn.XLOOKUP(CP15,PG!$B$6:$B$11,PG!$P$6:$P$11,_xlfn.XLOOKUP(CP15,PH!$B$6:$B$11,PH!$P$6:$P$11,_xlfn.XLOOKUP(CP15,PI!$B$6:$B$11,PI!$P$6:$P$11,_xlfn.XLOOKUP(CP15,PJ!$B$6:$B$11,PJ!$P$6:$P$11,_xlfn.XLOOKUP(CP15,PK!$B$6:$B$11,PK!$P$6:$P$11,_xlfn.XLOOKUP(CP15,PL!$B$6:$B$11,PL!$P$6:$P$11,"",0,1),0,1),0,1),0,1),0,1),0,1),0,1),0,1),0,1),0,1),0,1),0,1)</f>
        <v>0</v>
      </c>
      <c r="CV15" s="443">
        <f>_xlfn.XLOOKUP(CP15,PA!$B$6:$B$11,PA!$Q$6:$Q$11,_xlfn.XLOOKUP(CP15,PB!$B$6:$B$11,PB!$Q$6:$Q$11,_xlfn.XLOOKUP(CP15,PC!$B$6:$B$11,PC!$Q$6:$Q$11,_xlfn.XLOOKUP(CP15,PD!$B$6:$B$11,PD!$Q$6:$Q$11,_xlfn.XLOOKUP(CP15,PE!$B$6:$B$11,PE!$Q$6:$Q$11,_xlfn.XLOOKUP(CP15,PF!$B$6:$B$11,PF!$Q$6:$Q$11,_xlfn.XLOOKUP(CP15,PG!$B$6:$B$11,PG!$Q$6:$Q$11,_xlfn.XLOOKUP(CP15,PH!$B$6:$B$11,PH!$Q$6:$Q$11,_xlfn.XLOOKUP(CP15,PI!$B$6:$B$11,PI!$Q$6:$Q$11,_xlfn.XLOOKUP(CP15,PJ!$B$6:$B$11,PJ!$Q$6:$Q$11,_xlfn.XLOOKUP(CP15,PK!$B$6:$B$11,PK!$Q$6:$Q$11,_xlfn.XLOOKUP(CP15,PL!$B$6:$B$11,PL!$Q$6:$Q$11,"",0,1),0,1),0,1),0,1),0,1),0,1),0,1),0,1),0,1),0,1),0,1),0,1)</f>
        <v>0</v>
      </c>
      <c r="CW15" s="244" t="e">
        <f t="shared" si="13"/>
        <v>#DIV/0!</v>
      </c>
    </row>
    <row r="16" spans="1:107" ht="15.6" customHeight="1" x14ac:dyDescent="0.25">
      <c r="A16" s="245" t="str">
        <f t="shared" ref="A16:A23" si="18">IF(O16&lt;&gt;"","P","")</f>
        <v/>
      </c>
      <c r="B16" s="418" t="s">
        <v>9870</v>
      </c>
      <c r="C16" s="389" t="str">
        <f>IF('GESTION DES JOUEURS'!$D$8="Open",8,"")</f>
        <v/>
      </c>
      <c r="D16" s="74" t="str">
        <f>IF(A16="","",IF(N16="ab.",0,IF(P16="ab.",2,IF(AND('GESTION DES JOUEURS'!$D$8&lt;&gt;"Open",O16&gt;0,N16&gt;P16),2,IF(AND('GESTION DES JOUEURS'!$D$8&lt;&gt;"Open",O16&gt;0,N16&lt;P16),0,IF(AND('GESTION DES JOUEURS'!$D$8&lt;&gt;"Open",O16&gt;0,N16=P16),1,IF(AND('GESTION DES JOUEURS'!$D$8="Open",(N16/_xlfn.XLOOKUP(F16,$BU$7:$BU$42,$CN$7:$CN$42,"",0,1))&gt;(P16/_xlfn.XLOOKUP(V16,$BU$7:$BU$42,$CN$7:$CN$42,"",0,1))),2,IF(AND('GESTION DES JOUEURS'!$D$8="Open",(N16/_xlfn.XLOOKUP(F16,$BU$7:$BU$42,$CN$7:$CN$42,"",0,1))=(P16/_xlfn.XLOOKUP(V16,$BU$7:$BU$42,$CN$7:$CN$42,"",0,1))),1,IF(AND('GESTION DES JOUEURS'!$D$8="Open",(N16/_xlfn.XLOOKUP(F16,$BU$7:$BU$42,$CN$7:$CN$42,"",0,1))&lt;(P16/_xlfn.XLOOKUP(V16,$BU$7:$BU$42,$CN$7:$CN$42,"",0,1))),0,"")))))))))</f>
        <v/>
      </c>
      <c r="E16" s="117" t="str">
        <f>IFERROR(IF(AND(D16&gt;=0,Y16=FALSE),N16/O16,IF(AND(D16&gt;=0,Y16=TRUE),(N16/O16)*_xlfn.XLOOKUP('GESTION DES JOUEURS'!$X$8&amp;RIGHT('GESTION DES JOUEURS'!$Y$8,1),Tableau14[Colonne1],Tableau14[coef. 2,80/3,10],"",0,1),"")),"")</f>
        <v/>
      </c>
      <c r="F16" s="85" t="str">
        <f>IF(AND('GESTION DES JOUEURS'!$D$8="Open",'Phase finale'!$CO$43&gt;8),BU7,"")</f>
        <v/>
      </c>
      <c r="G16" s="776" t="str">
        <f>IFERROR(VLOOKUP(F16,'GESTION DES JOUEURS'!$B$11:$E$46,2,FALSE),"")</f>
        <v/>
      </c>
      <c r="H16" s="777"/>
      <c r="I16" s="1211"/>
      <c r="J16" s="777" t="str">
        <f>IFERROR(VLOOKUP(F16,'GESTION DES JOUEURS'!$B$11:$E$46,3,FALSE),"")</f>
        <v/>
      </c>
      <c r="K16" s="778"/>
      <c r="L16" s="480" t="b">
        <v>0</v>
      </c>
      <c r="M16" s="410"/>
      <c r="N16" s="414"/>
      <c r="O16" s="118"/>
      <c r="P16" s="414"/>
      <c r="Q16" s="410"/>
      <c r="R16" s="399" t="b">
        <v>0</v>
      </c>
      <c r="S16" s="768" t="str">
        <f>IFERROR(VLOOKUP(V16,'GESTION DES JOUEURS'!$B$11:$E$46,2,FALSE),"")</f>
        <v/>
      </c>
      <c r="T16" s="769"/>
      <c r="U16" s="78" t="str">
        <f>IFERROR(VLOOKUP(V16,'GESTION DES JOUEURS'!$B$11:$E$46,3,FALSE),"")</f>
        <v/>
      </c>
      <c r="V16" s="88" t="str">
        <f>IF(AND('GESTION DES JOUEURS'!$D$8="Open",'Phase finale'!$CO$43&gt;8),BU22,"")</f>
        <v/>
      </c>
      <c r="W16" s="119" t="str">
        <f>IFERROR(IF(AND(X16&gt;=0,Y16=FALSE),P16/O16,IF(AND(X16&gt;=0,Y16=TRUE),(P16/O16)*_xlfn.XLOOKUP('GESTION DES JOUEURS'!$X$8&amp;RIGHT('GESTION DES JOUEURS'!$Y$8,1),Tableau14[Colonne1],Tableau14[coef. 2,80/3,10],"",0,1),"")),"")</f>
        <v/>
      </c>
      <c r="X16" s="568" t="str">
        <f>IF(A16="","",IF(P16="ab.",0,IF(N16="ab.",2,IF(AND('GESTION DES JOUEURS'!$D$8&lt;&gt;"Open",O16&gt;0,P16&gt;N16),2,IF(AND('GESTION DES JOUEURS'!$D$8&lt;&gt;"Open",O16&gt;0,P16&lt;N16),0,IF(AND('GESTION DES JOUEURS'!$D$8&lt;&gt;"Open",O16&gt;0,P16=N16),1,IF(AND('GESTION DES JOUEURS'!$D$8="Open",(P16/_xlfn.XLOOKUP(V16,$BU$7:$BU$42,$CN$7:$CN$42,"",0,1))&gt;(N16/_xlfn.XLOOKUP(F16,$BU$7:$BU$42,$CN$7:$CN$42,"",0,1))),2,IF(AND('GESTION DES JOUEURS'!$D$8="Open",(P16/_xlfn.XLOOKUP(V16,$BU$7:$BU$42,$CN$7:$CN$42,"",0,1))=(N16/_xlfn.XLOOKUP(F16,$BU$7:$BU$42,$CN$7:$CN$42,"",0,1))),1,IF(AND('GESTION DES JOUEURS'!$D$8="Open",(P16/_xlfn.XLOOKUP(V16,$BU$7:$BU$42,$CN$7:$CN$42,"",0,1))&lt;(N16/_xlfn.XLOOKUP(F16,$BU$7:$BU$42,$CN$7:$CN$42,"",0,1))),0,"")))))))))</f>
        <v/>
      </c>
      <c r="Y16" s="544" t="b">
        <v>0</v>
      </c>
      <c r="AA16" s="907"/>
      <c r="AE16" s="371">
        <v>3</v>
      </c>
      <c r="AF16" s="371" t="str">
        <f>V13</f>
        <v/>
      </c>
      <c r="AG16" s="371" t="str">
        <f>X13</f>
        <v/>
      </c>
      <c r="AH16" s="371" t="b">
        <f>R13</f>
        <v>0</v>
      </c>
      <c r="AI16" s="371" t="e">
        <f>P13/_xlfn.XLOOKUP(AF16,$BU$7:$BU$33,$CN$7:$CN$33,"",0,1)</f>
        <v>#VALUE!</v>
      </c>
      <c r="AJ16" s="244" t="e">
        <f>N13/_xlfn.XLOOKUP(F13,$BU$7:$BU$33,$CN$7:$CN$33,"",0,1)</f>
        <v>#VALUE!</v>
      </c>
      <c r="AK16" s="244">
        <f t="shared" ref="AK16:AK18" si="19">Q13</f>
        <v>0</v>
      </c>
      <c r="AL16" s="573" t="str">
        <f t="shared" ref="AL16:AL18" si="20">W13</f>
        <v/>
      </c>
      <c r="AM16" s="244" t="e">
        <f t="shared" ref="AM16:AM18" si="21">N13/AJ16</f>
        <v>#VALUE!</v>
      </c>
      <c r="AN16" s="244">
        <v>12</v>
      </c>
      <c r="AO16" s="244" t="str">
        <f t="shared" si="0"/>
        <v/>
      </c>
      <c r="AP16" s="244">
        <f t="shared" si="1"/>
        <v>1</v>
      </c>
      <c r="AQ16" s="244" t="str">
        <f t="shared" si="2"/>
        <v/>
      </c>
      <c r="AR16" s="244" t="b">
        <f t="shared" si="3"/>
        <v>0</v>
      </c>
      <c r="AS16" s="578" t="e">
        <f t="shared" si="4"/>
        <v>#VALUE!</v>
      </c>
      <c r="AT16" s="578" t="e">
        <f t="shared" si="5"/>
        <v>#VALUE!</v>
      </c>
      <c r="AU16" s="244">
        <f t="shared" si="6"/>
        <v>0</v>
      </c>
      <c r="AV16" s="575">
        <f t="shared" si="7"/>
        <v>0</v>
      </c>
      <c r="AW16" s="575">
        <f t="shared" si="8"/>
        <v>0</v>
      </c>
      <c r="AX16" s="577">
        <f t="shared" si="9"/>
        <v>0</v>
      </c>
      <c r="AZ16" s="244">
        <v>10</v>
      </c>
      <c r="BT16" s="244">
        <v>10</v>
      </c>
      <c r="BU16" s="244" t="str">
        <f>'Phase finale'!CP32</f>
        <v/>
      </c>
      <c r="BV16" s="244" t="str">
        <f>'Phase finale'!CQ32</f>
        <v/>
      </c>
      <c r="BW16" s="244">
        <f>'Phase finale'!CR32</f>
        <v>0</v>
      </c>
      <c r="BX16" s="244" t="str">
        <f>'Phase finale'!CS32</f>
        <v/>
      </c>
      <c r="BY16" s="244">
        <f>'Phase finale'!CT32</f>
        <v>0</v>
      </c>
      <c r="BZ16" s="244" t="str">
        <f>'Phase finale'!CU32</f>
        <v/>
      </c>
      <c r="CA16" s="244">
        <f>'Phase finale'!CV32</f>
        <v>0</v>
      </c>
      <c r="CB16" s="244">
        <f>'Phase finale'!CW32</f>
        <v>0</v>
      </c>
      <c r="CC16" s="244">
        <f>'Phase finale'!CX32</f>
        <v>0</v>
      </c>
      <c r="CD16" s="244">
        <f>'Phase finale'!CY32</f>
        <v>0</v>
      </c>
      <c r="CE16" s="244">
        <f>'Phase finale'!CZ32</f>
        <v>0</v>
      </c>
      <c r="CF16" s="244" t="str">
        <f>'Phase finale'!DA32</f>
        <v/>
      </c>
      <c r="CG16" s="244" t="str">
        <f>'Phase finale'!DB32</f>
        <v/>
      </c>
      <c r="CH16" s="244" t="str">
        <f>'Phase finale'!DC32</f>
        <v/>
      </c>
      <c r="CI16" s="244" t="str">
        <f>'Phase finale'!DD32</f>
        <v/>
      </c>
      <c r="CJ16" s="244" t="str">
        <f>'Phase finale'!DE32</f>
        <v/>
      </c>
      <c r="CK16" s="244" t="str">
        <f>'Phase finale'!DF32</f>
        <v/>
      </c>
      <c r="CL16" s="244" t="str">
        <f>'Phase finale'!DG32</f>
        <v/>
      </c>
      <c r="CM16" s="244" t="str">
        <f>'Phase finale'!DH32</f>
        <v/>
      </c>
      <c r="CN16" s="244" t="str">
        <f>'Phase finale'!DI32</f>
        <v/>
      </c>
      <c r="CP16" s="443" t="str">
        <v/>
      </c>
      <c r="CQ16" s="443">
        <f t="shared" si="10"/>
        <v>0</v>
      </c>
      <c r="CR16" s="443">
        <f t="shared" si="11"/>
        <v>0</v>
      </c>
      <c r="CS16" s="447" t="str">
        <f t="shared" si="12"/>
        <v/>
      </c>
      <c r="CT16" s="443"/>
      <c r="CU16" s="443">
        <f>_xlfn.XLOOKUP(CP16,PA!$B$6:$B$11,PA!$P$6:$P$11,_xlfn.XLOOKUP(CP16,PB!$B$6:$B$11,PB!$P$6:$P$11,_xlfn.XLOOKUP(CP16,PC!$B$6:$B$11,PC!$P$6:$P$11,_xlfn.XLOOKUP(CP16,PD!$B$6:$B$11,PD!$P$6:$P$11,_xlfn.XLOOKUP(CP16,PE!$B$6:$B$11,PE!$P$6:$P$11,_xlfn.XLOOKUP(CP16,PF!$B$6:$B$11,PF!$P$6:$P$11,_xlfn.XLOOKUP(CP16,PG!$B$6:$B$11,PG!$P$6:$P$11,_xlfn.XLOOKUP(CP16,PH!$B$6:$B$11,PH!$P$6:$P$11,_xlfn.XLOOKUP(CP16,PI!$B$6:$B$11,PI!$P$6:$P$11,_xlfn.XLOOKUP(CP16,PJ!$B$6:$B$11,PJ!$P$6:$P$11,_xlfn.XLOOKUP(CP16,PK!$B$6:$B$11,PK!$P$6:$P$11,_xlfn.XLOOKUP(CP16,PL!$B$6:$B$11,PL!$P$6:$P$11,"",0,1),0,1),0,1),0,1),0,1),0,1),0,1),0,1),0,1),0,1),0,1),0,1)</f>
        <v>0</v>
      </c>
      <c r="CV16" s="443">
        <f>_xlfn.XLOOKUP(CP16,PA!$B$6:$B$11,PA!$Q$6:$Q$11,_xlfn.XLOOKUP(CP16,PB!$B$6:$B$11,PB!$Q$6:$Q$11,_xlfn.XLOOKUP(CP16,PC!$B$6:$B$11,PC!$Q$6:$Q$11,_xlfn.XLOOKUP(CP16,PD!$B$6:$B$11,PD!$Q$6:$Q$11,_xlfn.XLOOKUP(CP16,PE!$B$6:$B$11,PE!$Q$6:$Q$11,_xlfn.XLOOKUP(CP16,PF!$B$6:$B$11,PF!$Q$6:$Q$11,_xlfn.XLOOKUP(CP16,PG!$B$6:$B$11,PG!$Q$6:$Q$11,_xlfn.XLOOKUP(CP16,PH!$B$6:$B$11,PH!$Q$6:$Q$11,_xlfn.XLOOKUP(CP16,PI!$B$6:$B$11,PI!$Q$6:$Q$11,_xlfn.XLOOKUP(CP16,PJ!$B$6:$B$11,PJ!$Q$6:$Q$11,_xlfn.XLOOKUP(CP16,PK!$B$6:$B$11,PK!$Q$6:$Q$11,_xlfn.XLOOKUP(CP16,PL!$B$6:$B$11,PL!$Q$6:$Q$11,"",0,1),0,1),0,1),0,1),0,1),0,1),0,1),0,1),0,1),0,1),0,1),0,1)</f>
        <v>0</v>
      </c>
      <c r="CW16" s="244" t="e">
        <f t="shared" si="13"/>
        <v>#DIV/0!</v>
      </c>
    </row>
    <row r="17" spans="1:114" ht="15.6" customHeight="1" x14ac:dyDescent="0.25">
      <c r="A17" s="245" t="str">
        <f t="shared" si="18"/>
        <v/>
      </c>
      <c r="B17" s="369" t="s">
        <v>9871</v>
      </c>
      <c r="C17" s="390" t="str">
        <f>IF('GESTION DES JOUEURS'!$D$8="Open",7,"")</f>
        <v/>
      </c>
      <c r="D17" s="79" t="str">
        <f>IF(A17="","",IF(N17="ab.",0,IF(P17="ab.",2,IF(AND('GESTION DES JOUEURS'!$D$8&lt;&gt;"Open",O17&gt;0,N17&gt;P17),2,IF(AND('GESTION DES JOUEURS'!$D$8&lt;&gt;"Open",O17&gt;0,N17&lt;P17),0,IF(AND('GESTION DES JOUEURS'!$D$8&lt;&gt;"Open",O17&gt;0,N17=P17),1,IF(AND('GESTION DES JOUEURS'!$D$8="Open",(N17/_xlfn.XLOOKUP(F17,$BU$7:$BU$42,$CN$7:$CN$42,"",0,1))&gt;(P17/_xlfn.XLOOKUP(V17,$BU$7:$BU$42,$CN$7:$CN$42,"",0,1))),2,IF(AND('GESTION DES JOUEURS'!$D$8="Open",(N17/_xlfn.XLOOKUP(F17,$BU$7:$BU$42,$CN$7:$CN$42,"",0,1))=(P17/_xlfn.XLOOKUP(V17,$BU$7:$BU$42,$CN$7:$CN$42,"",0,1))),1,IF(AND('GESTION DES JOUEURS'!$D$8="Open",(N17/_xlfn.XLOOKUP(F17,$BU$7:$BU$42,$CN$7:$CN$42,"",0,1))&lt;(P17/_xlfn.XLOOKUP(V17,$BU$7:$BU$42,$CN$7:$CN$42,"",0,1))),0,"")))))))))</f>
        <v/>
      </c>
      <c r="E17" s="113" t="str">
        <f>IFERROR(IF(AND(D17&gt;=0,Y17=FALSE),N17/O17,IF(AND(D17&gt;=0,Y17=TRUE),(N17/O17)*_xlfn.XLOOKUP('GESTION DES JOUEURS'!$X$8&amp;RIGHT('GESTION DES JOUEURS'!$Y$8,1),Tableau14[Colonne1],Tableau14[coef. 2,80/3,10],"",0,1),"")),"")</f>
        <v/>
      </c>
      <c r="F17" s="80" t="str">
        <f>IF(AND('GESTION DES JOUEURS'!$D$8="Open",'Phase finale'!$CO$43&gt;8),BU8,"")</f>
        <v/>
      </c>
      <c r="G17" s="729" t="str">
        <f>IFERROR(VLOOKUP(F17,'GESTION DES JOUEURS'!$B$11:$E$46,2,FALSE),"")</f>
        <v/>
      </c>
      <c r="H17" s="726"/>
      <c r="I17" s="730"/>
      <c r="J17" s="726" t="str">
        <f>IFERROR(VLOOKUP(F17,'GESTION DES JOUEURS'!$B$11:$E$46,3,FALSE),"")</f>
        <v/>
      </c>
      <c r="K17" s="727"/>
      <c r="L17" s="483" t="b">
        <v>0</v>
      </c>
      <c r="M17" s="412"/>
      <c r="N17" s="412"/>
      <c r="O17" s="114"/>
      <c r="P17" s="412"/>
      <c r="Q17" s="412"/>
      <c r="R17" s="401" t="b">
        <v>0</v>
      </c>
      <c r="S17" s="731" t="str">
        <f>IFERROR(VLOOKUP(V17,'GESTION DES JOUEURS'!$B$11:$E$46,2,FALSE),"")</f>
        <v/>
      </c>
      <c r="T17" s="732"/>
      <c r="U17" s="83" t="str">
        <f>IFERROR(VLOOKUP(V17,'GESTION DES JOUEURS'!$B$11:$E$46,3,FALSE),"")</f>
        <v/>
      </c>
      <c r="V17" s="83" t="str">
        <f>IF(AND('GESTION DES JOUEURS'!$D$8="Open",'Phase finale'!$CO$43&gt;8),BU21,"")</f>
        <v/>
      </c>
      <c r="W17" s="115" t="str">
        <f>IFERROR(IF(AND(X17&gt;=0,Y17=FALSE),P17/O17,IF(AND(X17&gt;=0,Y17=TRUE),(P17/O17)*_xlfn.XLOOKUP('GESTION DES JOUEURS'!$X$8&amp;RIGHT('GESTION DES JOUEURS'!$Y$8,1),Tableau14[Colonne1],Tableau14[coef. 2,80/3,10],"",0,1),"")),"")</f>
        <v/>
      </c>
      <c r="X17" s="569" t="str">
        <f>IF(A17="","",IF(P17="ab.",0,IF(N17="ab.",2,IF(AND('GESTION DES JOUEURS'!$D$8&lt;&gt;"Open",O17&gt;0,P17&gt;N17),2,IF(AND('GESTION DES JOUEURS'!$D$8&lt;&gt;"Open",O17&gt;0,P17&lt;N17),0,IF(AND('GESTION DES JOUEURS'!$D$8&lt;&gt;"Open",O17&gt;0,P17=N17),1,IF(AND('GESTION DES JOUEURS'!$D$8="Open",(P17/_xlfn.XLOOKUP(V17,$BU$7:$BU$42,$CN$7:$CN$42,"",0,1))&gt;(N17/_xlfn.XLOOKUP(F17,$BU$7:$BU$42,$CN$7:$CN$42,"",0,1))),2,IF(AND('GESTION DES JOUEURS'!$D$8="Open",(P17/_xlfn.XLOOKUP(V17,$BU$7:$BU$42,$CN$7:$CN$42,"",0,1))=(N17/_xlfn.XLOOKUP(F17,$BU$7:$BU$42,$CN$7:$CN$42,"",0,1))),1,IF(AND('GESTION DES JOUEURS'!$D$8="Open",(P17/_xlfn.XLOOKUP(V17,$BU$7:$BU$42,$CN$7:$CN$42,"",0,1))&lt;(N17/_xlfn.XLOOKUP(F17,$BU$7:$BU$42,$CN$7:$CN$42,"",0,1))),0,"")))))))))</f>
        <v/>
      </c>
      <c r="Y17" s="546" t="b">
        <v>0</v>
      </c>
      <c r="AA17" s="906" t="s">
        <v>8116</v>
      </c>
      <c r="AE17" s="371">
        <v>3</v>
      </c>
      <c r="AF17" s="371" t="str">
        <f>V14</f>
        <v/>
      </c>
      <c r="AG17" s="371" t="str">
        <f>X14</f>
        <v/>
      </c>
      <c r="AH17" s="371" t="b">
        <f>R14</f>
        <v>0</v>
      </c>
      <c r="AI17" s="371" t="e">
        <f>P14/_xlfn.XLOOKUP(AF17,$BU$7:$BU$33,$CN$7:$CN$33,"",0,1)</f>
        <v>#VALUE!</v>
      </c>
      <c r="AJ17" s="244" t="e">
        <f>N14/_xlfn.XLOOKUP(F14,$BU$7:$BU$33,$CN$7:$CN$33,"",0,1)</f>
        <v>#VALUE!</v>
      </c>
      <c r="AK17" s="244">
        <f t="shared" si="19"/>
        <v>0</v>
      </c>
      <c r="AL17" s="573" t="str">
        <f t="shared" si="20"/>
        <v/>
      </c>
      <c r="AM17" s="244" t="e">
        <f t="shared" si="21"/>
        <v>#VALUE!</v>
      </c>
      <c r="AN17" s="244">
        <v>13</v>
      </c>
      <c r="AO17" s="244" t="str">
        <f t="shared" si="0"/>
        <v/>
      </c>
      <c r="AP17" s="244">
        <f t="shared" si="1"/>
        <v>1</v>
      </c>
      <c r="AQ17" s="244" t="str">
        <f t="shared" si="2"/>
        <v/>
      </c>
      <c r="AR17" s="244" t="b">
        <f t="shared" si="3"/>
        <v>0</v>
      </c>
      <c r="AS17" s="578" t="e">
        <f t="shared" si="4"/>
        <v>#VALUE!</v>
      </c>
      <c r="AT17" s="578" t="e">
        <f t="shared" si="5"/>
        <v>#VALUE!</v>
      </c>
      <c r="AU17" s="244">
        <f t="shared" si="6"/>
        <v>0</v>
      </c>
      <c r="AV17" s="575">
        <f t="shared" si="7"/>
        <v>0</v>
      </c>
      <c r="AW17" s="575">
        <f t="shared" si="8"/>
        <v>0</v>
      </c>
      <c r="AX17" s="577">
        <f t="shared" si="9"/>
        <v>0</v>
      </c>
      <c r="AZ17" s="244">
        <v>11</v>
      </c>
      <c r="BT17" s="244">
        <v>11</v>
      </c>
      <c r="BU17" s="244" t="str">
        <f>'Phase finale'!CP33</f>
        <v/>
      </c>
      <c r="BV17" s="244" t="str">
        <f>'Phase finale'!CQ33</f>
        <v/>
      </c>
      <c r="BW17" s="244">
        <f>'Phase finale'!CR33</f>
        <v>0</v>
      </c>
      <c r="BX17" s="244" t="str">
        <f>'Phase finale'!CS33</f>
        <v/>
      </c>
      <c r="BY17" s="244">
        <f>'Phase finale'!CT33</f>
        <v>0</v>
      </c>
      <c r="BZ17" s="244" t="str">
        <f>'Phase finale'!CU33</f>
        <v/>
      </c>
      <c r="CA17" s="244">
        <f>'Phase finale'!CV33</f>
        <v>0</v>
      </c>
      <c r="CB17" s="244">
        <f>'Phase finale'!CW33</f>
        <v>0</v>
      </c>
      <c r="CC17" s="244">
        <f>'Phase finale'!CX33</f>
        <v>0</v>
      </c>
      <c r="CD17" s="244">
        <f>'Phase finale'!CY33</f>
        <v>0</v>
      </c>
      <c r="CE17" s="244">
        <f>'Phase finale'!CZ33</f>
        <v>0</v>
      </c>
      <c r="CF17" s="244" t="str">
        <f>'Phase finale'!DA33</f>
        <v/>
      </c>
      <c r="CG17" s="244" t="str">
        <f>'Phase finale'!DB33</f>
        <v/>
      </c>
      <c r="CH17" s="244" t="str">
        <f>'Phase finale'!DC33</f>
        <v/>
      </c>
      <c r="CI17" s="244" t="str">
        <f>'Phase finale'!DD33</f>
        <v/>
      </c>
      <c r="CJ17" s="244" t="str">
        <f>'Phase finale'!DE33</f>
        <v/>
      </c>
      <c r="CK17" s="244" t="str">
        <f>'Phase finale'!DF33</f>
        <v/>
      </c>
      <c r="CL17" s="244" t="str">
        <f>'Phase finale'!DG33</f>
        <v/>
      </c>
      <c r="CM17" s="244" t="str">
        <f>'Phase finale'!DH33</f>
        <v/>
      </c>
      <c r="CN17" s="244" t="str">
        <f>'Phase finale'!DI33</f>
        <v/>
      </c>
      <c r="CP17" s="443" t="str">
        <v/>
      </c>
      <c r="CQ17" s="443">
        <f t="shared" si="10"/>
        <v>0</v>
      </c>
      <c r="CR17" s="443">
        <f t="shared" si="11"/>
        <v>0</v>
      </c>
      <c r="CS17" s="447" t="str">
        <f t="shared" si="12"/>
        <v/>
      </c>
      <c r="CT17" s="443"/>
      <c r="CU17" s="443">
        <f>_xlfn.XLOOKUP(CP17,PA!$B$6:$B$11,PA!$P$6:$P$11,_xlfn.XLOOKUP(CP17,PB!$B$6:$B$11,PB!$P$6:$P$11,_xlfn.XLOOKUP(CP17,PC!$B$6:$B$11,PC!$P$6:$P$11,_xlfn.XLOOKUP(CP17,PD!$B$6:$B$11,PD!$P$6:$P$11,_xlfn.XLOOKUP(CP17,PE!$B$6:$B$11,PE!$P$6:$P$11,_xlfn.XLOOKUP(CP17,PF!$B$6:$B$11,PF!$P$6:$P$11,_xlfn.XLOOKUP(CP17,PG!$B$6:$B$11,PG!$P$6:$P$11,_xlfn.XLOOKUP(CP17,PH!$B$6:$B$11,PH!$P$6:$P$11,_xlfn.XLOOKUP(CP17,PI!$B$6:$B$11,PI!$P$6:$P$11,_xlfn.XLOOKUP(CP17,PJ!$B$6:$B$11,PJ!$P$6:$P$11,_xlfn.XLOOKUP(CP17,PK!$B$6:$B$11,PK!$P$6:$P$11,_xlfn.XLOOKUP(CP17,PL!$B$6:$B$11,PL!$P$6:$P$11,"",0,1),0,1),0,1),0,1),0,1),0,1),0,1),0,1),0,1),0,1),0,1),0,1)</f>
        <v>0</v>
      </c>
      <c r="CV17" s="443">
        <f>_xlfn.XLOOKUP(CP17,PA!$B$6:$B$11,PA!$Q$6:$Q$11,_xlfn.XLOOKUP(CP17,PB!$B$6:$B$11,PB!$Q$6:$Q$11,_xlfn.XLOOKUP(CP17,PC!$B$6:$B$11,PC!$Q$6:$Q$11,_xlfn.XLOOKUP(CP17,PD!$B$6:$B$11,PD!$Q$6:$Q$11,_xlfn.XLOOKUP(CP17,PE!$B$6:$B$11,PE!$Q$6:$Q$11,_xlfn.XLOOKUP(CP17,PF!$B$6:$B$11,PF!$Q$6:$Q$11,_xlfn.XLOOKUP(CP17,PG!$B$6:$B$11,PG!$Q$6:$Q$11,_xlfn.XLOOKUP(CP17,PH!$B$6:$B$11,PH!$Q$6:$Q$11,_xlfn.XLOOKUP(CP17,PI!$B$6:$B$11,PI!$Q$6:$Q$11,_xlfn.XLOOKUP(CP17,PJ!$B$6:$B$11,PJ!$Q$6:$Q$11,_xlfn.XLOOKUP(CP17,PK!$B$6:$B$11,PK!$Q$6:$Q$11,_xlfn.XLOOKUP(CP17,PL!$B$6:$B$11,PL!$Q$6:$Q$11,"",0,1),0,1),0,1),0,1),0,1),0,1),0,1),0,1),0,1),0,1),0,1),0,1)</f>
        <v>0</v>
      </c>
      <c r="CW17" s="244" t="e">
        <f t="shared" si="13"/>
        <v>#DIV/0!</v>
      </c>
    </row>
    <row r="18" spans="1:114" ht="15.6" customHeight="1" x14ac:dyDescent="0.25">
      <c r="A18" s="245" t="str">
        <f t="shared" si="18"/>
        <v/>
      </c>
      <c r="B18" s="369" t="s">
        <v>9872</v>
      </c>
      <c r="C18" s="390" t="str">
        <f>IF('GESTION DES JOUEURS'!$D$8="Open",6,"")</f>
        <v/>
      </c>
      <c r="D18" s="79" t="str">
        <f>IF(A18="","",IF(N18="ab.",0,IF(P18="ab.",2,IF(AND('GESTION DES JOUEURS'!$D$8&lt;&gt;"Open",O18&gt;0,N18&gt;P18),2,IF(AND('GESTION DES JOUEURS'!$D$8&lt;&gt;"Open",O18&gt;0,N18&lt;P18),0,IF(AND('GESTION DES JOUEURS'!$D$8&lt;&gt;"Open",O18&gt;0,N18=P18),1,IF(AND('GESTION DES JOUEURS'!$D$8="Open",(N18/_xlfn.XLOOKUP(F18,$BU$7:$BU$42,$CN$7:$CN$42,"",0,1))&gt;(P18/_xlfn.XLOOKUP(V18,$BU$7:$BU$42,$CN$7:$CN$42,"",0,1))),2,IF(AND('GESTION DES JOUEURS'!$D$8="Open",(N18/_xlfn.XLOOKUP(F18,$BU$7:$BU$42,$CN$7:$CN$42,"",0,1))=(P18/_xlfn.XLOOKUP(V18,$BU$7:$BU$42,$CN$7:$CN$42,"",0,1))),1,IF(AND('GESTION DES JOUEURS'!$D$8="Open",(N18/_xlfn.XLOOKUP(F18,$BU$7:$BU$42,$CN$7:$CN$42,"",0,1))&lt;(P18/_xlfn.XLOOKUP(V18,$BU$7:$BU$42,$CN$7:$CN$42,"",0,1))),0,"")))))))))</f>
        <v/>
      </c>
      <c r="E18" s="113" t="str">
        <f>IFERROR(IF(AND(D18&gt;=0,Y18=FALSE),N18/O18,IF(AND(D18&gt;=0,Y18=TRUE),(N18/O18)*_xlfn.XLOOKUP('GESTION DES JOUEURS'!$X$8&amp;RIGHT('GESTION DES JOUEURS'!$Y$8,1),Tableau14[Colonne1],Tableau14[coef. 2,80/3,10],"",0,1),"")),"")</f>
        <v/>
      </c>
      <c r="F18" s="80" t="str">
        <f>IF(AND('GESTION DES JOUEURS'!$D$8="Open",'Phase finale'!$CO$43&gt;8),BU9,"")</f>
        <v/>
      </c>
      <c r="G18" s="729" t="str">
        <f>IFERROR(VLOOKUP(F18,'GESTION DES JOUEURS'!$B$11:$E$46,2,FALSE),"")</f>
        <v/>
      </c>
      <c r="H18" s="726"/>
      <c r="I18" s="730"/>
      <c r="J18" s="726" t="str">
        <f>IFERROR(VLOOKUP(F18,'GESTION DES JOUEURS'!$B$11:$E$46,3,FALSE),"")</f>
        <v/>
      </c>
      <c r="K18" s="727"/>
      <c r="L18" s="483" t="b">
        <v>0</v>
      </c>
      <c r="M18" s="412"/>
      <c r="N18" s="412"/>
      <c r="O18" s="114"/>
      <c r="P18" s="412"/>
      <c r="Q18" s="412"/>
      <c r="R18" s="401" t="b">
        <v>0</v>
      </c>
      <c r="S18" s="731" t="str">
        <f>IFERROR(VLOOKUP(V18,'GESTION DES JOUEURS'!$B$11:$E$46,2,FALSE),"")</f>
        <v/>
      </c>
      <c r="T18" s="732"/>
      <c r="U18" s="83" t="str">
        <f>IFERROR(VLOOKUP(V18,'GESTION DES JOUEURS'!$B$11:$E$46,3,FALSE),"")</f>
        <v/>
      </c>
      <c r="V18" s="83" t="str">
        <f>IF(AND('GESTION DES JOUEURS'!$D$8="Open",'Phase finale'!$CO$43&gt;8),BU20,"")</f>
        <v/>
      </c>
      <c r="W18" s="115" t="str">
        <f>IFERROR(IF(AND(X18&gt;=0,Y18=FALSE),P18/O18,IF(AND(X18&gt;=0,Y18=TRUE),(P18/O18)*_xlfn.XLOOKUP('GESTION DES JOUEURS'!$X$8&amp;RIGHT('GESTION DES JOUEURS'!$Y$8,1),Tableau14[Colonne1],Tableau14[coef. 2,80/3,10],"",0,1),"")),"")</f>
        <v/>
      </c>
      <c r="X18" s="569" t="str">
        <f>IF(A18="","",IF(P18="ab.",0,IF(N18="ab.",2,IF(AND('GESTION DES JOUEURS'!$D$8&lt;&gt;"Open",O18&gt;0,P18&gt;N18),2,IF(AND('GESTION DES JOUEURS'!$D$8&lt;&gt;"Open",O18&gt;0,P18&lt;N18),0,IF(AND('GESTION DES JOUEURS'!$D$8&lt;&gt;"Open",O18&gt;0,P18=N18),1,IF(AND('GESTION DES JOUEURS'!$D$8="Open",(P18/_xlfn.XLOOKUP(V18,$BU$7:$BU$42,$CN$7:$CN$42,"",0,1))&gt;(N18/_xlfn.XLOOKUP(F18,$BU$7:$BU$42,$CN$7:$CN$42,"",0,1))),2,IF(AND('GESTION DES JOUEURS'!$D$8="Open",(P18/_xlfn.XLOOKUP(V18,$BU$7:$BU$42,$CN$7:$CN$42,"",0,1))=(N18/_xlfn.XLOOKUP(F18,$BU$7:$BU$42,$CN$7:$CN$42,"",0,1))),1,IF(AND('GESTION DES JOUEURS'!$D$8="Open",(P18/_xlfn.XLOOKUP(V18,$BU$7:$BU$42,$CN$7:$CN$42,"",0,1))&lt;(N18/_xlfn.XLOOKUP(F18,$BU$7:$BU$42,$CN$7:$CN$42,"",0,1))),0,"")))))))))</f>
        <v/>
      </c>
      <c r="Y18" s="546" t="b">
        <v>0</v>
      </c>
      <c r="AA18" s="906"/>
      <c r="AE18" s="371">
        <v>3</v>
      </c>
      <c r="AF18" s="371" t="str">
        <f>V15</f>
        <v/>
      </c>
      <c r="AG18" s="371" t="str">
        <f>X15</f>
        <v/>
      </c>
      <c r="AH18" s="371" t="b">
        <f>R15</f>
        <v>0</v>
      </c>
      <c r="AI18" s="371" t="e">
        <f>P15/_xlfn.XLOOKUP(AF18,$BU$7:$BU$33,$CN$7:$CN$33,"",0,1)</f>
        <v>#VALUE!</v>
      </c>
      <c r="AJ18" s="244" t="e">
        <f>N15/_xlfn.XLOOKUP(F15,$BU$7:$BU$33,$CN$7:$CN$33,"",0,1)</f>
        <v>#VALUE!</v>
      </c>
      <c r="AK18" s="244">
        <f t="shared" si="19"/>
        <v>0</v>
      </c>
      <c r="AL18" s="573" t="str">
        <f t="shared" si="20"/>
        <v/>
      </c>
      <c r="AM18" s="244" t="e">
        <f t="shared" si="21"/>
        <v>#VALUE!</v>
      </c>
      <c r="AN18" s="572">
        <v>14</v>
      </c>
      <c r="AO18" s="244" t="str">
        <f t="shared" si="0"/>
        <v/>
      </c>
      <c r="AP18" s="244">
        <f t="shared" si="1"/>
        <v>1</v>
      </c>
      <c r="AQ18" s="244" t="str">
        <f t="shared" si="2"/>
        <v/>
      </c>
      <c r="AR18" s="244" t="b">
        <f t="shared" si="3"/>
        <v>0</v>
      </c>
      <c r="AS18" s="578" t="e">
        <f t="shared" si="4"/>
        <v>#VALUE!</v>
      </c>
      <c r="AT18" s="578" t="e">
        <f t="shared" si="5"/>
        <v>#VALUE!</v>
      </c>
      <c r="AU18" s="244">
        <f t="shared" si="6"/>
        <v>0</v>
      </c>
      <c r="AV18" s="575">
        <f t="shared" si="7"/>
        <v>0</v>
      </c>
      <c r="AW18" s="575">
        <f t="shared" si="8"/>
        <v>0</v>
      </c>
      <c r="AX18" s="577">
        <f t="shared" si="9"/>
        <v>0</v>
      </c>
      <c r="AZ18" s="244">
        <v>12</v>
      </c>
      <c r="BT18" s="244">
        <v>12</v>
      </c>
      <c r="BU18" s="244" t="str">
        <f>'Phase finale'!CP34</f>
        <v/>
      </c>
      <c r="BV18" s="244" t="str">
        <f>'Phase finale'!CQ34</f>
        <v/>
      </c>
      <c r="BW18" s="244">
        <f>'Phase finale'!CR34</f>
        <v>0</v>
      </c>
      <c r="BX18" s="244" t="str">
        <f>'Phase finale'!CS34</f>
        <v/>
      </c>
      <c r="BY18" s="244">
        <f>'Phase finale'!CT34</f>
        <v>0</v>
      </c>
      <c r="BZ18" s="244" t="str">
        <f>'Phase finale'!CU34</f>
        <v/>
      </c>
      <c r="CA18" s="244">
        <f>'Phase finale'!CV34</f>
        <v>0</v>
      </c>
      <c r="CB18" s="244">
        <f>'Phase finale'!CW34</f>
        <v>0</v>
      </c>
      <c r="CC18" s="244">
        <f>'Phase finale'!CX34</f>
        <v>0</v>
      </c>
      <c r="CD18" s="244">
        <f>'Phase finale'!CY34</f>
        <v>0</v>
      </c>
      <c r="CE18" s="244">
        <f>'Phase finale'!CZ34</f>
        <v>0</v>
      </c>
      <c r="CF18" s="244" t="str">
        <f>'Phase finale'!DA34</f>
        <v/>
      </c>
      <c r="CG18" s="244" t="str">
        <f>'Phase finale'!DB34</f>
        <v/>
      </c>
      <c r="CH18" s="244" t="str">
        <f>'Phase finale'!DC34</f>
        <v/>
      </c>
      <c r="CI18" s="244" t="str">
        <f>'Phase finale'!DD34</f>
        <v/>
      </c>
      <c r="CJ18" s="244" t="str">
        <f>'Phase finale'!DE34</f>
        <v/>
      </c>
      <c r="CK18" s="244" t="str">
        <f>'Phase finale'!DF34</f>
        <v/>
      </c>
      <c r="CL18" s="244" t="str">
        <f>'Phase finale'!DG34</f>
        <v/>
      </c>
      <c r="CM18" s="244" t="str">
        <f>'Phase finale'!DH34</f>
        <v/>
      </c>
      <c r="CN18" s="244" t="str">
        <f>'Phase finale'!DI34</f>
        <v/>
      </c>
      <c r="CP18" s="443" t="str">
        <v/>
      </c>
      <c r="CQ18" s="443">
        <f t="shared" si="10"/>
        <v>0</v>
      </c>
      <c r="CR18" s="443">
        <f t="shared" si="11"/>
        <v>0</v>
      </c>
      <c r="CS18" s="447" t="str">
        <f t="shared" si="12"/>
        <v/>
      </c>
      <c r="CT18" s="443"/>
      <c r="CU18" s="443">
        <f>_xlfn.XLOOKUP(CP18,PA!$B$6:$B$11,PA!$P$6:$P$11,_xlfn.XLOOKUP(CP18,PB!$B$6:$B$11,PB!$P$6:$P$11,_xlfn.XLOOKUP(CP18,PC!$B$6:$B$11,PC!$P$6:$P$11,_xlfn.XLOOKUP(CP18,PD!$B$6:$B$11,PD!$P$6:$P$11,_xlfn.XLOOKUP(CP18,PE!$B$6:$B$11,PE!$P$6:$P$11,_xlfn.XLOOKUP(CP18,PF!$B$6:$B$11,PF!$P$6:$P$11,_xlfn.XLOOKUP(CP18,PG!$B$6:$B$11,PG!$P$6:$P$11,_xlfn.XLOOKUP(CP18,PH!$B$6:$B$11,PH!$P$6:$P$11,_xlfn.XLOOKUP(CP18,PI!$B$6:$B$11,PI!$P$6:$P$11,_xlfn.XLOOKUP(CP18,PJ!$B$6:$B$11,PJ!$P$6:$P$11,_xlfn.XLOOKUP(CP18,PK!$B$6:$B$11,PK!$P$6:$P$11,_xlfn.XLOOKUP(CP18,PL!$B$6:$B$11,PL!$P$6:$P$11,"",0,1),0,1),0,1),0,1),0,1),0,1),0,1),0,1),0,1),0,1),0,1),0,1)</f>
        <v>0</v>
      </c>
      <c r="CV18" s="443">
        <f>_xlfn.XLOOKUP(CP18,PA!$B$6:$B$11,PA!$Q$6:$Q$11,_xlfn.XLOOKUP(CP18,PB!$B$6:$B$11,PB!$Q$6:$Q$11,_xlfn.XLOOKUP(CP18,PC!$B$6:$B$11,PC!$Q$6:$Q$11,_xlfn.XLOOKUP(CP18,PD!$B$6:$B$11,PD!$Q$6:$Q$11,_xlfn.XLOOKUP(CP18,PE!$B$6:$B$11,PE!$Q$6:$Q$11,_xlfn.XLOOKUP(CP18,PF!$B$6:$B$11,PF!$Q$6:$Q$11,_xlfn.XLOOKUP(CP18,PG!$B$6:$B$11,PG!$Q$6:$Q$11,_xlfn.XLOOKUP(CP18,PH!$B$6:$B$11,PH!$Q$6:$Q$11,_xlfn.XLOOKUP(CP18,PI!$B$6:$B$11,PI!$Q$6:$Q$11,_xlfn.XLOOKUP(CP18,PJ!$B$6:$B$11,PJ!$Q$6:$Q$11,_xlfn.XLOOKUP(CP18,PK!$B$6:$B$11,PK!$Q$6:$Q$11,_xlfn.XLOOKUP(CP18,PL!$B$6:$B$11,PL!$Q$6:$Q$11,"",0,1),0,1),0,1),0,1),0,1),0,1),0,1),0,1),0,1),0,1),0,1),0,1)</f>
        <v>0</v>
      </c>
      <c r="CW18" s="244" t="e">
        <f t="shared" si="13"/>
        <v>#DIV/0!</v>
      </c>
    </row>
    <row r="19" spans="1:114" ht="15.6" customHeight="1" x14ac:dyDescent="0.25">
      <c r="A19" s="245" t="str">
        <f t="shared" si="18"/>
        <v/>
      </c>
      <c r="B19" s="369" t="s">
        <v>9873</v>
      </c>
      <c r="C19" s="390" t="str">
        <f>IF('GESTION DES JOUEURS'!$D$8="Open",5,"")</f>
        <v/>
      </c>
      <c r="D19" s="79" t="str">
        <f>IF(A19="","",IF(N19="ab.",0,IF(P19="ab.",2,IF(AND('GESTION DES JOUEURS'!$D$8&lt;&gt;"Open",O19&gt;0,N19&gt;P19),2,IF(AND('GESTION DES JOUEURS'!$D$8&lt;&gt;"Open",O19&gt;0,N19&lt;P19),0,IF(AND('GESTION DES JOUEURS'!$D$8&lt;&gt;"Open",O19&gt;0,N19=P19),1,IF(AND('GESTION DES JOUEURS'!$D$8="Open",(N19/_xlfn.XLOOKUP(F19,$BU$7:$BU$42,$CN$7:$CN$42,"",0,1))&gt;(P19/_xlfn.XLOOKUP(V19,$BU$7:$BU$42,$CN$7:$CN$42,"",0,1))),2,IF(AND('GESTION DES JOUEURS'!$D$8="Open",(N19/_xlfn.XLOOKUP(F19,$BU$7:$BU$42,$CN$7:$CN$42,"",0,1))=(P19/_xlfn.XLOOKUP(V19,$BU$7:$BU$42,$CN$7:$CN$42,"",0,1))),1,IF(AND('GESTION DES JOUEURS'!$D$8="Open",(N19/_xlfn.XLOOKUP(F19,$BU$7:$BU$42,$CN$7:$CN$42,"",0,1))&lt;(P19/_xlfn.XLOOKUP(V19,$BU$7:$BU$42,$CN$7:$CN$42,"",0,1))),0,"")))))))))</f>
        <v/>
      </c>
      <c r="E19" s="113" t="str">
        <f>IFERROR(IF(AND(D19&gt;=0,Y19=FALSE),N19/O19,IF(AND(D19&gt;=0,Y19=TRUE),(N19/O19)*_xlfn.XLOOKUP('GESTION DES JOUEURS'!$X$8&amp;RIGHT('GESTION DES JOUEURS'!$Y$8,1),Tableau14[Colonne1],Tableau14[coef. 2,80/3,10],"",0,1),"")),"")</f>
        <v/>
      </c>
      <c r="F19" s="80" t="str">
        <f>IF(AND('GESTION DES JOUEURS'!$D$8="Open",'Phase finale'!$CO$43&gt;8),BU10,"")</f>
        <v/>
      </c>
      <c r="G19" s="729" t="str">
        <f>IFERROR(VLOOKUP(F19,'GESTION DES JOUEURS'!$B$11:$E$46,2,FALSE),"")</f>
        <v/>
      </c>
      <c r="H19" s="726"/>
      <c r="I19" s="730"/>
      <c r="J19" s="726" t="str">
        <f>IFERROR(VLOOKUP(F19,'GESTION DES JOUEURS'!$B$11:$E$46,3,FALSE),"")</f>
        <v/>
      </c>
      <c r="K19" s="727"/>
      <c r="L19" s="483" t="b">
        <v>0</v>
      </c>
      <c r="M19" s="412"/>
      <c r="N19" s="412"/>
      <c r="O19" s="114"/>
      <c r="P19" s="412"/>
      <c r="Q19" s="412"/>
      <c r="R19" s="401" t="b">
        <v>0</v>
      </c>
      <c r="S19" s="731" t="str">
        <f>IFERROR(VLOOKUP(V19,'GESTION DES JOUEURS'!$B$11:$E$46,2,FALSE),"")</f>
        <v/>
      </c>
      <c r="T19" s="732"/>
      <c r="U19" s="83" t="str">
        <f>IFERROR(VLOOKUP(V19,'GESTION DES JOUEURS'!$B$11:$E$46,3,FALSE),"")</f>
        <v/>
      </c>
      <c r="V19" s="83" t="str">
        <f>IF(AND('GESTION DES JOUEURS'!$D$8="Open",'Phase finale'!$CO$43&gt;8),BU19,"")</f>
        <v/>
      </c>
      <c r="W19" s="115" t="str">
        <f>IFERROR(IF(AND(X19&gt;=0,Y19=FALSE),P19/O19,IF(AND(X19&gt;=0,Y19=TRUE),(P19/O19)*_xlfn.XLOOKUP('GESTION DES JOUEURS'!$X$8&amp;RIGHT('GESTION DES JOUEURS'!$Y$8,1),Tableau14[Colonne1],Tableau14[coef. 2,80/3,10],"",0,1),"")),"")</f>
        <v/>
      </c>
      <c r="X19" s="569" t="str">
        <f>IF(A19="","",IF(P19="ab.",0,IF(N19="ab.",2,IF(AND('GESTION DES JOUEURS'!$D$8&lt;&gt;"Open",O19&gt;0,P19&gt;N19),2,IF(AND('GESTION DES JOUEURS'!$D$8&lt;&gt;"Open",O19&gt;0,P19&lt;N19),0,IF(AND('GESTION DES JOUEURS'!$D$8&lt;&gt;"Open",O19&gt;0,P19=N19),1,IF(AND('GESTION DES JOUEURS'!$D$8="Open",(P19/_xlfn.XLOOKUP(V19,$BU$7:$BU$42,$CN$7:$CN$42,"",0,1))&gt;(N19/_xlfn.XLOOKUP(F19,$BU$7:$BU$42,$CN$7:$CN$42,"",0,1))),2,IF(AND('GESTION DES JOUEURS'!$D$8="Open",(P19/_xlfn.XLOOKUP(V19,$BU$7:$BU$42,$CN$7:$CN$42,"",0,1))=(N19/_xlfn.XLOOKUP(F19,$BU$7:$BU$42,$CN$7:$CN$42,"",0,1))),1,IF(AND('GESTION DES JOUEURS'!$D$8="Open",(P19/_xlfn.XLOOKUP(V19,$BU$7:$BU$42,$CN$7:$CN$42,"",0,1))&lt;(N19/_xlfn.XLOOKUP(F19,$BU$7:$BU$42,$CN$7:$CN$42,"",0,1))),0,"")))))))))</f>
        <v/>
      </c>
      <c r="Y19" s="546" t="b">
        <v>0</v>
      </c>
      <c r="AA19" s="905" t="s">
        <v>8117</v>
      </c>
      <c r="AE19" s="371">
        <v>4</v>
      </c>
      <c r="AF19" s="371" t="str">
        <f>F16</f>
        <v/>
      </c>
      <c r="AG19" s="371" t="str">
        <f>D16</f>
        <v/>
      </c>
      <c r="AH19" s="371" t="b">
        <f>L16</f>
        <v>0</v>
      </c>
      <c r="AI19" s="371" t="e">
        <f>N16/_xlfn.XLOOKUP(AF19,$BU$7:$BU$33,$CN$7:$CN$33,"",0,1)</f>
        <v>#VALUE!</v>
      </c>
      <c r="AJ19" s="244" t="e">
        <f>P16/_xlfn.XLOOKUP(V16,$BU$7:$BU$33,$CN$7:$CN$33,"",0,1)</f>
        <v>#VALUE!</v>
      </c>
      <c r="AK19" s="244">
        <f>M16</f>
        <v>0</v>
      </c>
      <c r="AL19" s="573" t="str">
        <f>E16</f>
        <v/>
      </c>
      <c r="AM19" s="244" t="e">
        <f>P16/AJ19</f>
        <v>#VALUE!</v>
      </c>
      <c r="AN19" s="244">
        <v>15</v>
      </c>
      <c r="AO19" s="244" t="str">
        <f t="shared" si="0"/>
        <v/>
      </c>
      <c r="AP19" s="244">
        <f t="shared" si="1"/>
        <v>1</v>
      </c>
      <c r="AQ19" s="244" t="str">
        <f t="shared" si="2"/>
        <v/>
      </c>
      <c r="AR19" s="244" t="b">
        <f t="shared" si="3"/>
        <v>0</v>
      </c>
      <c r="AS19" s="578" t="e">
        <f t="shared" si="4"/>
        <v>#VALUE!</v>
      </c>
      <c r="AT19" s="578" t="e">
        <f t="shared" si="5"/>
        <v>#VALUE!</v>
      </c>
      <c r="AU19" s="244">
        <f t="shared" si="6"/>
        <v>0</v>
      </c>
      <c r="AV19" s="575">
        <f t="shared" si="7"/>
        <v>0</v>
      </c>
      <c r="AW19" s="575">
        <f t="shared" si="8"/>
        <v>0</v>
      </c>
      <c r="AX19" s="577">
        <f t="shared" si="9"/>
        <v>0</v>
      </c>
      <c r="AZ19" s="244">
        <v>13</v>
      </c>
      <c r="BT19" s="244">
        <v>13</v>
      </c>
      <c r="BU19" s="244" t="str">
        <f>'Phase finale'!CP35</f>
        <v/>
      </c>
      <c r="BV19" s="244" t="str">
        <f>'Phase finale'!CQ35</f>
        <v/>
      </c>
      <c r="BW19" s="244">
        <f>'Phase finale'!CR35</f>
        <v>0</v>
      </c>
      <c r="BX19" s="244" t="str">
        <f>'Phase finale'!CS35</f>
        <v/>
      </c>
      <c r="BY19" s="244">
        <f>'Phase finale'!CT35</f>
        <v>0</v>
      </c>
      <c r="BZ19" s="244" t="str">
        <f>'Phase finale'!CU35</f>
        <v/>
      </c>
      <c r="CA19" s="244">
        <f>'Phase finale'!CV35</f>
        <v>0</v>
      </c>
      <c r="CB19" s="244">
        <f>'Phase finale'!CW35</f>
        <v>0</v>
      </c>
      <c r="CC19" s="244">
        <f>'Phase finale'!CX35</f>
        <v>0</v>
      </c>
      <c r="CD19" s="244">
        <f>'Phase finale'!CY35</f>
        <v>0</v>
      </c>
      <c r="CE19" s="244">
        <f>'Phase finale'!CZ35</f>
        <v>0</v>
      </c>
      <c r="CF19" s="244" t="str">
        <f>'Phase finale'!DA35</f>
        <v/>
      </c>
      <c r="CG19" s="244" t="str">
        <f>'Phase finale'!DB35</f>
        <v/>
      </c>
      <c r="CH19" s="244" t="str">
        <f>'Phase finale'!DC35</f>
        <v/>
      </c>
      <c r="CI19" s="244" t="str">
        <f>'Phase finale'!DD35</f>
        <v/>
      </c>
      <c r="CJ19" s="244" t="str">
        <f>'Phase finale'!DE35</f>
        <v/>
      </c>
      <c r="CK19" s="244" t="str">
        <f>'Phase finale'!DF35</f>
        <v/>
      </c>
      <c r="CL19" s="244" t="str">
        <f>'Phase finale'!DG35</f>
        <v/>
      </c>
      <c r="CM19" s="244" t="str">
        <f>'Phase finale'!DH35</f>
        <v/>
      </c>
      <c r="CN19" s="244" t="str">
        <f>'Phase finale'!DI35</f>
        <v/>
      </c>
      <c r="CP19" s="443" t="str">
        <v/>
      </c>
      <c r="CQ19" s="443">
        <f t="shared" si="10"/>
        <v>0</v>
      </c>
      <c r="CR19" s="443">
        <f t="shared" si="11"/>
        <v>0</v>
      </c>
      <c r="CS19" s="447" t="str">
        <f t="shared" si="12"/>
        <v/>
      </c>
      <c r="CT19" s="443"/>
      <c r="CU19" s="443">
        <f>_xlfn.XLOOKUP(CP19,PA!$B$6:$B$11,PA!$P$6:$P$11,_xlfn.XLOOKUP(CP19,PB!$B$6:$B$11,PB!$P$6:$P$11,_xlfn.XLOOKUP(CP19,PC!$B$6:$B$11,PC!$P$6:$P$11,_xlfn.XLOOKUP(CP19,PD!$B$6:$B$11,PD!$P$6:$P$11,_xlfn.XLOOKUP(CP19,PE!$B$6:$B$11,PE!$P$6:$P$11,_xlfn.XLOOKUP(CP19,PF!$B$6:$B$11,PF!$P$6:$P$11,_xlfn.XLOOKUP(CP19,PG!$B$6:$B$11,PG!$P$6:$P$11,_xlfn.XLOOKUP(CP19,PH!$B$6:$B$11,PH!$P$6:$P$11,_xlfn.XLOOKUP(CP19,PI!$B$6:$B$11,PI!$P$6:$P$11,_xlfn.XLOOKUP(CP19,PJ!$B$6:$B$11,PJ!$P$6:$P$11,_xlfn.XLOOKUP(CP19,PK!$B$6:$B$11,PK!$P$6:$P$11,_xlfn.XLOOKUP(CP19,PL!$B$6:$B$11,PL!$P$6:$P$11,"",0,1),0,1),0,1),0,1),0,1),0,1),0,1),0,1),0,1),0,1),0,1),0,1)</f>
        <v>0</v>
      </c>
      <c r="CV19" s="443">
        <f>_xlfn.XLOOKUP(CP19,PA!$B$6:$B$11,PA!$Q$6:$Q$11,_xlfn.XLOOKUP(CP19,PB!$B$6:$B$11,PB!$Q$6:$Q$11,_xlfn.XLOOKUP(CP19,PC!$B$6:$B$11,PC!$Q$6:$Q$11,_xlfn.XLOOKUP(CP19,PD!$B$6:$B$11,PD!$Q$6:$Q$11,_xlfn.XLOOKUP(CP19,PE!$B$6:$B$11,PE!$Q$6:$Q$11,_xlfn.XLOOKUP(CP19,PF!$B$6:$B$11,PF!$Q$6:$Q$11,_xlfn.XLOOKUP(CP19,PG!$B$6:$B$11,PG!$Q$6:$Q$11,_xlfn.XLOOKUP(CP19,PH!$B$6:$B$11,PH!$Q$6:$Q$11,_xlfn.XLOOKUP(CP19,PI!$B$6:$B$11,PI!$Q$6:$Q$11,_xlfn.XLOOKUP(CP19,PJ!$B$6:$B$11,PJ!$Q$6:$Q$11,_xlfn.XLOOKUP(CP19,PK!$B$6:$B$11,PK!$Q$6:$Q$11,_xlfn.XLOOKUP(CP19,PL!$B$6:$B$11,PL!$Q$6:$Q$11,"",0,1),0,1),0,1),0,1),0,1),0,1),0,1),0,1),0,1),0,1),0,1),0,1)</f>
        <v>0</v>
      </c>
      <c r="CW19" s="244" t="e">
        <f t="shared" si="13"/>
        <v>#DIV/0!</v>
      </c>
    </row>
    <row r="20" spans="1:114" ht="15.6" customHeight="1" x14ac:dyDescent="0.25">
      <c r="A20" s="245" t="str">
        <f t="shared" si="18"/>
        <v/>
      </c>
      <c r="B20" s="369" t="s">
        <v>9874</v>
      </c>
      <c r="C20" s="390" t="str">
        <f>IF('GESTION DES JOUEURS'!$D$8="Open",4,"")</f>
        <v/>
      </c>
      <c r="D20" s="79" t="str">
        <f>IF(A20="","",IF(N20="ab.",0,IF(P20="ab.",2,IF(AND('GESTION DES JOUEURS'!$D$8&lt;&gt;"Open",O20&gt;0,N20&gt;P20),2,IF(AND('GESTION DES JOUEURS'!$D$8&lt;&gt;"Open",O20&gt;0,N20&lt;P20),0,IF(AND('GESTION DES JOUEURS'!$D$8&lt;&gt;"Open",O20&gt;0,N20=P20),1,IF(AND('GESTION DES JOUEURS'!$D$8="Open",(N20/_xlfn.XLOOKUP(F20,$BU$7:$BU$42,$CN$7:$CN$42,"",0,1))&gt;(P20/_xlfn.XLOOKUP(V20,$BU$7:$BU$42,$CN$7:$CN$42,"",0,1))),2,IF(AND('GESTION DES JOUEURS'!$D$8="Open",(N20/_xlfn.XLOOKUP(F20,$BU$7:$BU$42,$CN$7:$CN$42,"",0,1))=(P20/_xlfn.XLOOKUP(V20,$BU$7:$BU$42,$CN$7:$CN$42,"",0,1))),1,IF(AND('GESTION DES JOUEURS'!$D$8="Open",(N20/_xlfn.XLOOKUP(F20,$BU$7:$BU$42,$CN$7:$CN$42,"",0,1))&lt;(P20/_xlfn.XLOOKUP(V20,$BU$7:$BU$42,$CN$7:$CN$42,"",0,1))),0,"")))))))))</f>
        <v/>
      </c>
      <c r="E20" s="113" t="str">
        <f>IFERROR(IF(AND(D20&gt;=0,Y20=FALSE),N20/O20,IF(AND(D20&gt;=0,Y20=TRUE),(N20/O20)*_xlfn.XLOOKUP('GESTION DES JOUEURS'!$X$8&amp;RIGHT('GESTION DES JOUEURS'!$Y$8,1),Tableau14[Colonne1],Tableau14[coef. 2,80/3,10],"",0,1),"")),"")</f>
        <v/>
      </c>
      <c r="F20" s="80" t="str">
        <f>IF(AND('GESTION DES JOUEURS'!$D$8="Open",'Phase finale'!$CO$43&gt;8),BU11,"")</f>
        <v/>
      </c>
      <c r="G20" s="729" t="str">
        <f>IFERROR(VLOOKUP(F20,'GESTION DES JOUEURS'!$B$11:$E$46,2,FALSE),"")</f>
        <v/>
      </c>
      <c r="H20" s="726"/>
      <c r="I20" s="730"/>
      <c r="J20" s="726" t="str">
        <f>IFERROR(VLOOKUP(F20,'GESTION DES JOUEURS'!$B$11:$E$46,3,FALSE),"")</f>
        <v/>
      </c>
      <c r="K20" s="727"/>
      <c r="L20" s="483" t="b">
        <v>0</v>
      </c>
      <c r="M20" s="412"/>
      <c r="N20" s="412"/>
      <c r="O20" s="114"/>
      <c r="P20" s="412"/>
      <c r="Q20" s="412"/>
      <c r="R20" s="401" t="b">
        <v>0</v>
      </c>
      <c r="S20" s="731" t="str">
        <f>IFERROR(VLOOKUP(V20,'GESTION DES JOUEURS'!$B$11:$E$46,2,FALSE),"")</f>
        <v/>
      </c>
      <c r="T20" s="732"/>
      <c r="U20" s="83" t="str">
        <f>IFERROR(VLOOKUP(V20,'GESTION DES JOUEURS'!$B$11:$E$46,3,FALSE),"")</f>
        <v/>
      </c>
      <c r="V20" s="83" t="str">
        <f>IF(AND('GESTION DES JOUEURS'!$D$8="Open",'Phase finale'!$CO$43&gt;8),BU18,"")</f>
        <v/>
      </c>
      <c r="W20" s="115" t="str">
        <f>IFERROR(IF(AND(X20&gt;=0,Y20=FALSE),P20/O20,IF(AND(X20&gt;=0,Y20=TRUE),(P20/O20)*_xlfn.XLOOKUP('GESTION DES JOUEURS'!$X$8&amp;RIGHT('GESTION DES JOUEURS'!$Y$8,1),Tableau14[Colonne1],Tableau14[coef. 2,80/3,10],"",0,1),"")),"")</f>
        <v/>
      </c>
      <c r="X20" s="569" t="str">
        <f>IF(A20="","",IF(P20="ab.",0,IF(N20="ab.",2,IF(AND('GESTION DES JOUEURS'!$D$8&lt;&gt;"Open",O20&gt;0,P20&gt;N20),2,IF(AND('GESTION DES JOUEURS'!$D$8&lt;&gt;"Open",O20&gt;0,P20&lt;N20),0,IF(AND('GESTION DES JOUEURS'!$D$8&lt;&gt;"Open",O20&gt;0,P20=N20),1,IF(AND('GESTION DES JOUEURS'!$D$8="Open",(P20/_xlfn.XLOOKUP(V20,$BU$7:$BU$42,$CN$7:$CN$42,"",0,1))&gt;(N20/_xlfn.XLOOKUP(F20,$BU$7:$BU$42,$CN$7:$CN$42,"",0,1))),2,IF(AND('GESTION DES JOUEURS'!$D$8="Open",(P20/_xlfn.XLOOKUP(V20,$BU$7:$BU$42,$CN$7:$CN$42,"",0,1))=(N20/_xlfn.XLOOKUP(F20,$BU$7:$BU$42,$CN$7:$CN$42,"",0,1))),1,IF(AND('GESTION DES JOUEURS'!$D$8="Open",(P20/_xlfn.XLOOKUP(V20,$BU$7:$BU$42,$CN$7:$CN$42,"",0,1))&lt;(N20/_xlfn.XLOOKUP(F20,$BU$7:$BU$42,$CN$7:$CN$42,"",0,1))),0,"")))))))))</f>
        <v/>
      </c>
      <c r="Y20" s="546" t="b">
        <v>0</v>
      </c>
      <c r="AA20" s="905"/>
      <c r="AE20" s="371">
        <v>4</v>
      </c>
      <c r="AF20" s="371" t="str">
        <f t="shared" ref="AF20:AF26" si="22">F17</f>
        <v/>
      </c>
      <c r="AG20" s="371" t="str">
        <f t="shared" ref="AG20:AG26" si="23">D17</f>
        <v/>
      </c>
      <c r="AH20" s="371" t="b">
        <f t="shared" ref="AH20:AH26" si="24">L17</f>
        <v>0</v>
      </c>
      <c r="AI20" s="371" t="e">
        <f t="shared" ref="AI20:AI26" si="25">N17/_xlfn.XLOOKUP(AF20,$BU$7:$BU$33,$CN$7:$CN$33,"",0,1)</f>
        <v>#VALUE!</v>
      </c>
      <c r="AJ20" s="244" t="e">
        <f t="shared" ref="AJ20:AJ26" si="26">P17/_xlfn.XLOOKUP(V17,$BU$7:$BU$33,$CN$7:$CN$33,"",0,1)</f>
        <v>#VALUE!</v>
      </c>
      <c r="AK20" s="244">
        <f t="shared" ref="AK20:AK26" si="27">M17</f>
        <v>0</v>
      </c>
      <c r="AL20" s="573" t="str">
        <f t="shared" ref="AL20:AL26" si="28">E17</f>
        <v/>
      </c>
      <c r="AM20" s="244" t="e">
        <f t="shared" ref="AM20:AM26" si="29">P17/AJ20</f>
        <v>#VALUE!</v>
      </c>
      <c r="AN20" s="244">
        <v>16</v>
      </c>
      <c r="AO20" s="244" t="str">
        <f t="shared" si="0"/>
        <v/>
      </c>
      <c r="AP20" s="244">
        <f t="shared" si="1"/>
        <v>1</v>
      </c>
      <c r="AQ20" s="244" t="str">
        <f t="shared" si="2"/>
        <v/>
      </c>
      <c r="AR20" s="244" t="b">
        <f t="shared" si="3"/>
        <v>0</v>
      </c>
      <c r="AS20" s="578" t="e">
        <f t="shared" si="4"/>
        <v>#VALUE!</v>
      </c>
      <c r="AT20" s="578" t="e">
        <f t="shared" si="5"/>
        <v>#VALUE!</v>
      </c>
      <c r="AU20" s="244">
        <f t="shared" si="6"/>
        <v>0</v>
      </c>
      <c r="AV20" s="575">
        <f t="shared" si="7"/>
        <v>0</v>
      </c>
      <c r="AW20" s="575">
        <f t="shared" si="8"/>
        <v>0</v>
      </c>
      <c r="AX20" s="577">
        <f t="shared" si="9"/>
        <v>0</v>
      </c>
      <c r="AZ20" s="244">
        <v>14</v>
      </c>
      <c r="BT20" s="244">
        <v>14</v>
      </c>
      <c r="BU20" s="244" t="str">
        <f>'Phase finale'!CP36</f>
        <v/>
      </c>
      <c r="BV20" s="244" t="str">
        <f>'Phase finale'!CQ36</f>
        <v/>
      </c>
      <c r="BW20" s="244">
        <f>'Phase finale'!CR36</f>
        <v>0</v>
      </c>
      <c r="BX20" s="244" t="str">
        <f>'Phase finale'!CS36</f>
        <v/>
      </c>
      <c r="BY20" s="244">
        <f>'Phase finale'!CT36</f>
        <v>0</v>
      </c>
      <c r="BZ20" s="244" t="str">
        <f>'Phase finale'!CU36</f>
        <v/>
      </c>
      <c r="CA20" s="244">
        <f>'Phase finale'!CV36</f>
        <v>0</v>
      </c>
      <c r="CB20" s="244">
        <f>'Phase finale'!CW36</f>
        <v>0</v>
      </c>
      <c r="CC20" s="244">
        <f>'Phase finale'!CX36</f>
        <v>0</v>
      </c>
      <c r="CD20" s="244">
        <f>'Phase finale'!CY36</f>
        <v>0</v>
      </c>
      <c r="CE20" s="244">
        <f>'Phase finale'!CZ36</f>
        <v>0</v>
      </c>
      <c r="CF20" s="244" t="str">
        <f>'Phase finale'!DA36</f>
        <v/>
      </c>
      <c r="CG20" s="244" t="str">
        <f>'Phase finale'!DB36</f>
        <v/>
      </c>
      <c r="CH20" s="244" t="str">
        <f>'Phase finale'!DC36</f>
        <v/>
      </c>
      <c r="CI20" s="244" t="str">
        <f>'Phase finale'!DD36</f>
        <v/>
      </c>
      <c r="CJ20" s="244" t="str">
        <f>'Phase finale'!DE36</f>
        <v/>
      </c>
      <c r="CK20" s="244" t="str">
        <f>'Phase finale'!DF36</f>
        <v/>
      </c>
      <c r="CL20" s="244" t="str">
        <f>'Phase finale'!DG36</f>
        <v/>
      </c>
      <c r="CM20" s="244" t="str">
        <f>'Phase finale'!DH36</f>
        <v/>
      </c>
      <c r="CN20" s="244" t="str">
        <f>'Phase finale'!DI36</f>
        <v/>
      </c>
      <c r="CP20" s="443" t="str">
        <v/>
      </c>
      <c r="CQ20" s="443">
        <f t="shared" si="10"/>
        <v>0</v>
      </c>
      <c r="CR20" s="443">
        <f t="shared" si="11"/>
        <v>0</v>
      </c>
      <c r="CS20" s="447" t="str">
        <f t="shared" si="12"/>
        <v/>
      </c>
      <c r="CT20" s="443"/>
      <c r="CU20" s="443">
        <f>_xlfn.XLOOKUP(CP20,PA!$B$6:$B$11,PA!$P$6:$P$11,_xlfn.XLOOKUP(CP20,PB!$B$6:$B$11,PB!$P$6:$P$11,_xlfn.XLOOKUP(CP20,PC!$B$6:$B$11,PC!$P$6:$P$11,_xlfn.XLOOKUP(CP20,PD!$B$6:$B$11,PD!$P$6:$P$11,_xlfn.XLOOKUP(CP20,PE!$B$6:$B$11,PE!$P$6:$P$11,_xlfn.XLOOKUP(CP20,PF!$B$6:$B$11,PF!$P$6:$P$11,_xlfn.XLOOKUP(CP20,PG!$B$6:$B$11,PG!$P$6:$P$11,_xlfn.XLOOKUP(CP20,PH!$B$6:$B$11,PH!$P$6:$P$11,_xlfn.XLOOKUP(CP20,PI!$B$6:$B$11,PI!$P$6:$P$11,_xlfn.XLOOKUP(CP20,PJ!$B$6:$B$11,PJ!$P$6:$P$11,_xlfn.XLOOKUP(CP20,PK!$B$6:$B$11,PK!$P$6:$P$11,_xlfn.XLOOKUP(CP20,PL!$B$6:$B$11,PL!$P$6:$P$11,"",0,1),0,1),0,1),0,1),0,1),0,1),0,1),0,1),0,1),0,1),0,1),0,1)</f>
        <v>0</v>
      </c>
      <c r="CV20" s="443">
        <f>_xlfn.XLOOKUP(CP20,PA!$B$6:$B$11,PA!$Q$6:$Q$11,_xlfn.XLOOKUP(CP20,PB!$B$6:$B$11,PB!$Q$6:$Q$11,_xlfn.XLOOKUP(CP20,PC!$B$6:$B$11,PC!$Q$6:$Q$11,_xlfn.XLOOKUP(CP20,PD!$B$6:$B$11,PD!$Q$6:$Q$11,_xlfn.XLOOKUP(CP20,PE!$B$6:$B$11,PE!$Q$6:$Q$11,_xlfn.XLOOKUP(CP20,PF!$B$6:$B$11,PF!$Q$6:$Q$11,_xlfn.XLOOKUP(CP20,PG!$B$6:$B$11,PG!$Q$6:$Q$11,_xlfn.XLOOKUP(CP20,PH!$B$6:$B$11,PH!$Q$6:$Q$11,_xlfn.XLOOKUP(CP20,PI!$B$6:$B$11,PI!$Q$6:$Q$11,_xlfn.XLOOKUP(CP20,PJ!$B$6:$B$11,PJ!$Q$6:$Q$11,_xlfn.XLOOKUP(CP20,PK!$B$6:$B$11,PK!$Q$6:$Q$11,_xlfn.XLOOKUP(CP20,PL!$B$6:$B$11,PL!$Q$6:$Q$11,"",0,1),0,1),0,1),0,1),0,1),0,1),0,1),0,1),0,1),0,1),0,1),0,1)</f>
        <v>0</v>
      </c>
      <c r="CW20" s="244" t="e">
        <f t="shared" si="13"/>
        <v>#DIV/0!</v>
      </c>
    </row>
    <row r="21" spans="1:114" ht="15.6" customHeight="1" x14ac:dyDescent="0.25">
      <c r="A21" s="245" t="str">
        <f t="shared" si="18"/>
        <v/>
      </c>
      <c r="B21" s="369" t="s">
        <v>9875</v>
      </c>
      <c r="C21" s="390" t="str">
        <f>IF('GESTION DES JOUEURS'!$D$8="Open",3,"")</f>
        <v/>
      </c>
      <c r="D21" s="84" t="str">
        <f>IF(A21="","",IF(N21="ab.",0,IF(P21="ab.",2,IF(AND('GESTION DES JOUEURS'!$D$8&lt;&gt;"Open",O21&gt;0,N21&gt;P21),2,IF(AND('GESTION DES JOUEURS'!$D$8&lt;&gt;"Open",O21&gt;0,N21&lt;P21),0,IF(AND('GESTION DES JOUEURS'!$D$8&lt;&gt;"Open",O21&gt;0,N21=P21),1,IF(AND('GESTION DES JOUEURS'!$D$8="Open",(N21/_xlfn.XLOOKUP(F21,$BU$7:$BU$42,$CN$7:$CN$42,"",0,1))&gt;(P21/_xlfn.XLOOKUP(V21,$BU$7:$BU$42,$CN$7:$CN$42,"",0,1))),2,IF(AND('GESTION DES JOUEURS'!$D$8="Open",(N21/_xlfn.XLOOKUP(F21,$BU$7:$BU$42,$CN$7:$CN$42,"",0,1))=(P21/_xlfn.XLOOKUP(V21,$BU$7:$BU$42,$CN$7:$CN$42,"",0,1))),1,IF(AND('GESTION DES JOUEURS'!$D$8="Open",(N21/_xlfn.XLOOKUP(F21,$BU$7:$BU$42,$CN$7:$CN$42,"",0,1))&lt;(P21/_xlfn.XLOOKUP(V21,$BU$7:$BU$42,$CN$7:$CN$42,"",0,1))),0,"")))))))))</f>
        <v/>
      </c>
      <c r="E21" s="117" t="str">
        <f>IFERROR(IF(AND(D21&gt;=0,Y21=FALSE),N21/O21,IF(AND(D21&gt;=0,Y21=TRUE),(N21/O21)*_xlfn.XLOOKUP('GESTION DES JOUEURS'!$X$8&amp;RIGHT('GESTION DES JOUEURS'!$Y$8,1),Tableau14[Colonne1],Tableau14[coef. 2,80/3,10],"",0,1),"")),"")</f>
        <v/>
      </c>
      <c r="F21" s="85" t="str">
        <f>IF(AND('GESTION DES JOUEURS'!$D$8="Open",'Phase finale'!$CO$43&gt;8),BU12,"")</f>
        <v/>
      </c>
      <c r="G21" s="729" t="str">
        <f>IFERROR(VLOOKUP(F21,'GESTION DES JOUEURS'!$B$11:$E$46,2,FALSE),"")</f>
        <v/>
      </c>
      <c r="H21" s="726"/>
      <c r="I21" s="730"/>
      <c r="J21" s="726" t="str">
        <f>IFERROR(VLOOKUP(F21,'GESTION DES JOUEURS'!$B$11:$E$46,3,FALSE),"")</f>
        <v/>
      </c>
      <c r="K21" s="727"/>
      <c r="L21" s="482" t="b">
        <v>0</v>
      </c>
      <c r="M21" s="414"/>
      <c r="N21" s="412"/>
      <c r="O21" s="114"/>
      <c r="P21" s="412"/>
      <c r="Q21" s="414"/>
      <c r="R21" s="403" t="b">
        <v>0</v>
      </c>
      <c r="S21" s="731" t="str">
        <f>IFERROR(VLOOKUP(V21,'GESTION DES JOUEURS'!$B$11:$E$46,2,FALSE),"")</f>
        <v/>
      </c>
      <c r="T21" s="732"/>
      <c r="U21" s="83" t="str">
        <f>IFERROR(VLOOKUP(V21,'GESTION DES JOUEURS'!$B$11:$E$46,3,FALSE),"")</f>
        <v/>
      </c>
      <c r="V21" s="88" t="str">
        <f>IF(AND('GESTION DES JOUEURS'!$D$8="Open",'Phase finale'!$CO$43&gt;8),BU17,"")</f>
        <v/>
      </c>
      <c r="W21" s="119" t="str">
        <f>IFERROR(IF(AND(X21&gt;=0,Y21=FALSE),P21/O21,IF(AND(X21&gt;=0,Y21=TRUE),(P21/O21)*_xlfn.XLOOKUP('GESTION DES JOUEURS'!$X$8&amp;RIGHT('GESTION DES JOUEURS'!$Y$8,1),Tableau14[Colonne1],Tableau14[coef. 2,80/3,10],"",0,1),"")),"")</f>
        <v/>
      </c>
      <c r="X21" s="570" t="str">
        <f>IF(A21="","",IF(P21="ab.",0,IF(N21="ab.",2,IF(AND('GESTION DES JOUEURS'!$D$8&lt;&gt;"Open",O21&gt;0,P21&gt;N21),2,IF(AND('GESTION DES JOUEURS'!$D$8&lt;&gt;"Open",O21&gt;0,P21&lt;N21),0,IF(AND('GESTION DES JOUEURS'!$D$8&lt;&gt;"Open",O21&gt;0,P21=N21),1,IF(AND('GESTION DES JOUEURS'!$D$8="Open",(P21/_xlfn.XLOOKUP(V21,$BU$7:$BU$42,$CN$7:$CN$42,"",0,1))&gt;(N21/_xlfn.XLOOKUP(F21,$BU$7:$BU$42,$CN$7:$CN$42,"",0,1))),2,IF(AND('GESTION DES JOUEURS'!$D$8="Open",(P21/_xlfn.XLOOKUP(V21,$BU$7:$BU$42,$CN$7:$CN$42,"",0,1))=(N21/_xlfn.XLOOKUP(F21,$BU$7:$BU$42,$CN$7:$CN$42,"",0,1))),1,IF(AND('GESTION DES JOUEURS'!$D$8="Open",(P21/_xlfn.XLOOKUP(V21,$BU$7:$BU$42,$CN$7:$CN$42,"",0,1))&lt;(N21/_xlfn.XLOOKUP(F21,$BU$7:$BU$42,$CN$7:$CN$42,"",0,1))),0,"")))))))))</f>
        <v/>
      </c>
      <c r="Y21" s="546" t="b">
        <v>0</v>
      </c>
      <c r="AA21" s="911" t="s">
        <v>8118</v>
      </c>
      <c r="AE21" s="371">
        <v>4</v>
      </c>
      <c r="AF21" s="371" t="str">
        <f t="shared" si="22"/>
        <v/>
      </c>
      <c r="AG21" s="371" t="str">
        <f t="shared" si="23"/>
        <v/>
      </c>
      <c r="AH21" s="371" t="b">
        <f t="shared" si="24"/>
        <v>0</v>
      </c>
      <c r="AI21" s="371" t="e">
        <f t="shared" si="25"/>
        <v>#VALUE!</v>
      </c>
      <c r="AJ21" s="244" t="e">
        <f t="shared" si="26"/>
        <v>#VALUE!</v>
      </c>
      <c r="AK21" s="244">
        <f t="shared" si="27"/>
        <v>0</v>
      </c>
      <c r="AL21" s="573" t="str">
        <f t="shared" si="28"/>
        <v/>
      </c>
      <c r="AM21" s="244" t="e">
        <f t="shared" si="29"/>
        <v>#VALUE!</v>
      </c>
      <c r="AZ21" s="244">
        <v>15</v>
      </c>
      <c r="BT21" s="244">
        <v>15</v>
      </c>
      <c r="BU21" s="244" t="str">
        <f>'Phase finale'!CP37</f>
        <v/>
      </c>
      <c r="BV21" s="244" t="str">
        <f>'Phase finale'!CQ37</f>
        <v/>
      </c>
      <c r="BW21" s="244">
        <f>'Phase finale'!CR37</f>
        <v>0</v>
      </c>
      <c r="BX21" s="244" t="str">
        <f>'Phase finale'!CS37</f>
        <v/>
      </c>
      <c r="BY21" s="244">
        <f>'Phase finale'!CT37</f>
        <v>0</v>
      </c>
      <c r="BZ21" s="244" t="str">
        <f>'Phase finale'!CU37</f>
        <v/>
      </c>
      <c r="CA21" s="244">
        <f>'Phase finale'!CV37</f>
        <v>0</v>
      </c>
      <c r="CB21" s="244">
        <f>'Phase finale'!CW37</f>
        <v>0</v>
      </c>
      <c r="CC21" s="244">
        <f>'Phase finale'!CX37</f>
        <v>0</v>
      </c>
      <c r="CD21" s="244">
        <f>'Phase finale'!CY37</f>
        <v>0</v>
      </c>
      <c r="CE21" s="244">
        <f>'Phase finale'!CZ37</f>
        <v>0</v>
      </c>
      <c r="CF21" s="244" t="str">
        <f>'Phase finale'!DA37</f>
        <v/>
      </c>
      <c r="CG21" s="244" t="str">
        <f>'Phase finale'!DB37</f>
        <v/>
      </c>
      <c r="CH21" s="244" t="str">
        <f>'Phase finale'!DC37</f>
        <v/>
      </c>
      <c r="CI21" s="244" t="str">
        <f>'Phase finale'!DD37</f>
        <v/>
      </c>
      <c r="CJ21" s="244" t="str">
        <f>'Phase finale'!DE37</f>
        <v/>
      </c>
      <c r="CK21" s="244" t="str">
        <f>'Phase finale'!DF37</f>
        <v/>
      </c>
      <c r="CL21" s="244" t="str">
        <f>'Phase finale'!DG37</f>
        <v/>
      </c>
      <c r="CM21" s="244" t="str">
        <f>'Phase finale'!DH37</f>
        <v/>
      </c>
      <c r="CN21" s="244" t="str">
        <f>'Phase finale'!DI37</f>
        <v/>
      </c>
      <c r="CP21" s="443" t="str">
        <v/>
      </c>
      <c r="CQ21" s="443">
        <f t="shared" si="10"/>
        <v>0</v>
      </c>
      <c r="CR21" s="443">
        <f t="shared" si="11"/>
        <v>0</v>
      </c>
      <c r="CS21" s="447" t="str">
        <f t="shared" si="12"/>
        <v/>
      </c>
      <c r="CT21" s="443"/>
      <c r="CU21" s="443">
        <f>_xlfn.XLOOKUP(CP21,PA!$B$6:$B$11,PA!$P$6:$P$11,_xlfn.XLOOKUP(CP21,PB!$B$6:$B$11,PB!$P$6:$P$11,_xlfn.XLOOKUP(CP21,PC!$B$6:$B$11,PC!$P$6:$P$11,_xlfn.XLOOKUP(CP21,PD!$B$6:$B$11,PD!$P$6:$P$11,_xlfn.XLOOKUP(CP21,PE!$B$6:$B$11,PE!$P$6:$P$11,_xlfn.XLOOKUP(CP21,PF!$B$6:$B$11,PF!$P$6:$P$11,_xlfn.XLOOKUP(CP21,PG!$B$6:$B$11,PG!$P$6:$P$11,_xlfn.XLOOKUP(CP21,PH!$B$6:$B$11,PH!$P$6:$P$11,_xlfn.XLOOKUP(CP21,PI!$B$6:$B$11,PI!$P$6:$P$11,_xlfn.XLOOKUP(CP21,PJ!$B$6:$B$11,PJ!$P$6:$P$11,_xlfn.XLOOKUP(CP21,PK!$B$6:$B$11,PK!$P$6:$P$11,_xlfn.XLOOKUP(CP21,PL!$B$6:$B$11,PL!$P$6:$P$11,"",0,1),0,1),0,1),0,1),0,1),0,1),0,1),0,1),0,1),0,1),0,1),0,1)</f>
        <v>0</v>
      </c>
      <c r="CV21" s="443">
        <f>_xlfn.XLOOKUP(CP21,PA!$B$6:$B$11,PA!$Q$6:$Q$11,_xlfn.XLOOKUP(CP21,PB!$B$6:$B$11,PB!$Q$6:$Q$11,_xlfn.XLOOKUP(CP21,PC!$B$6:$B$11,PC!$Q$6:$Q$11,_xlfn.XLOOKUP(CP21,PD!$B$6:$B$11,PD!$Q$6:$Q$11,_xlfn.XLOOKUP(CP21,PE!$B$6:$B$11,PE!$Q$6:$Q$11,_xlfn.XLOOKUP(CP21,PF!$B$6:$B$11,PF!$Q$6:$Q$11,_xlfn.XLOOKUP(CP21,PG!$B$6:$B$11,PG!$Q$6:$Q$11,_xlfn.XLOOKUP(CP21,PH!$B$6:$B$11,PH!$Q$6:$Q$11,_xlfn.XLOOKUP(CP21,PI!$B$6:$B$11,PI!$Q$6:$Q$11,_xlfn.XLOOKUP(CP21,PJ!$B$6:$B$11,PJ!$Q$6:$Q$11,_xlfn.XLOOKUP(CP21,PK!$B$6:$B$11,PK!$Q$6:$Q$11,_xlfn.XLOOKUP(CP21,PL!$B$6:$B$11,PL!$Q$6:$Q$11,"",0,1),0,1),0,1),0,1),0,1),0,1),0,1),0,1),0,1),0,1),0,1),0,1)</f>
        <v>0</v>
      </c>
      <c r="CW21" s="244" t="e">
        <f t="shared" si="13"/>
        <v>#DIV/0!</v>
      </c>
    </row>
    <row r="22" spans="1:114" ht="15.6" customHeight="1" x14ac:dyDescent="0.25">
      <c r="A22" s="245" t="str">
        <f t="shared" si="18"/>
        <v/>
      </c>
      <c r="B22" s="369" t="s">
        <v>9876</v>
      </c>
      <c r="C22" s="390" t="str">
        <f>IF('GESTION DES JOUEURS'!$D$8="Open",2,"")</f>
        <v/>
      </c>
      <c r="D22" s="79" t="str">
        <f>IF(A22="","",IF(N22="ab.",0,IF(P22="ab.",2,IF(AND('GESTION DES JOUEURS'!$D$8&lt;&gt;"Open",O22&gt;0,N22&gt;P22),2,IF(AND('GESTION DES JOUEURS'!$D$8&lt;&gt;"Open",O22&gt;0,N22&lt;P22),0,IF(AND('GESTION DES JOUEURS'!$D$8&lt;&gt;"Open",O22&gt;0,N22=P22),1,IF(AND('GESTION DES JOUEURS'!$D$8="Open",(N22/_xlfn.XLOOKUP(F22,$BU$7:$BU$42,$CN$7:$CN$42,"",0,1))&gt;(P22/_xlfn.XLOOKUP(V22,$BU$7:$BU$42,$CN$7:$CN$42,"",0,1))),2,IF(AND('GESTION DES JOUEURS'!$D$8="Open",(N22/_xlfn.XLOOKUP(F22,$BU$7:$BU$42,$CN$7:$CN$42,"",0,1))=(P22/_xlfn.XLOOKUP(V22,$BU$7:$BU$42,$CN$7:$CN$42,"",0,1))),1,IF(AND('GESTION DES JOUEURS'!$D$8="Open",(N22/_xlfn.XLOOKUP(F22,$BU$7:$BU$42,$CN$7:$CN$42,"",0,1))&lt;(P22/_xlfn.XLOOKUP(V22,$BU$7:$BU$42,$CN$7:$CN$42,"",0,1))),0,"")))))))))</f>
        <v/>
      </c>
      <c r="E22" s="113" t="str">
        <f>IFERROR(IF(AND(D22&gt;=0,Y22=FALSE),N22/O22,IF(AND(D22&gt;=0,Y22=TRUE),(N22/O22)*_xlfn.XLOOKUP('GESTION DES JOUEURS'!$X$8&amp;RIGHT('GESTION DES JOUEURS'!$Y$8,1),Tableau14[Colonne1],Tableau14[coef. 2,80/3,10],"",0,1),"")),"")</f>
        <v/>
      </c>
      <c r="F22" s="80" t="str">
        <f>IF(AND('GESTION DES JOUEURS'!$D$8="Open",'Phase finale'!$CO$43&gt;8),BU13,"")</f>
        <v/>
      </c>
      <c r="G22" s="729" t="str">
        <f>IFERROR(VLOOKUP(F22,'GESTION DES JOUEURS'!$B$11:$E$46,2,FALSE),"")</f>
        <v/>
      </c>
      <c r="H22" s="726"/>
      <c r="I22" s="730"/>
      <c r="J22" s="726" t="str">
        <f>IFERROR(VLOOKUP(F22,'GESTION DES JOUEURS'!$B$11:$E$46,3,FALSE),"")</f>
        <v/>
      </c>
      <c r="K22" s="727"/>
      <c r="L22" s="483" t="b">
        <v>0</v>
      </c>
      <c r="M22" s="412"/>
      <c r="N22" s="412"/>
      <c r="O22" s="114"/>
      <c r="P22" s="412"/>
      <c r="Q22" s="412"/>
      <c r="R22" s="401" t="b">
        <v>0</v>
      </c>
      <c r="S22" s="731" t="str">
        <f>IFERROR(VLOOKUP(V22,'GESTION DES JOUEURS'!$B$11:$E$46,2,FALSE),"")</f>
        <v/>
      </c>
      <c r="T22" s="732"/>
      <c r="U22" s="83" t="str">
        <f>IFERROR(VLOOKUP(V22,'GESTION DES JOUEURS'!$B$11:$E$46,3,FALSE),"")</f>
        <v/>
      </c>
      <c r="V22" s="83" t="str">
        <f>IF(AND('GESTION DES JOUEURS'!$D$8="Open",'Phase finale'!$CO$43&gt;8),BU16,"")</f>
        <v/>
      </c>
      <c r="W22" s="115" t="str">
        <f>IFERROR(IF(AND(X22&gt;=0,Y22=FALSE),P22/O22,IF(AND(X22&gt;=0,Y22=TRUE),(P22/O22)*_xlfn.XLOOKUP('GESTION DES JOUEURS'!$X$8&amp;RIGHT('GESTION DES JOUEURS'!$Y$8,1),Tableau14[Colonne1],Tableau14[coef. 2,80/3,10],"",0,1),"")),"")</f>
        <v/>
      </c>
      <c r="X22" s="569" t="str">
        <f>IF(A22="","",IF(P22="ab.",0,IF(N22="ab.",2,IF(AND('GESTION DES JOUEURS'!$D$8&lt;&gt;"Open",O22&gt;0,P22&gt;N22),2,IF(AND('GESTION DES JOUEURS'!$D$8&lt;&gt;"Open",O22&gt;0,P22&lt;N22),0,IF(AND('GESTION DES JOUEURS'!$D$8&lt;&gt;"Open",O22&gt;0,P22=N22),1,IF(AND('GESTION DES JOUEURS'!$D$8="Open",(P22/_xlfn.XLOOKUP(V22,$BU$7:$BU$42,$CN$7:$CN$42,"",0,1))&gt;(N22/_xlfn.XLOOKUP(F22,$BU$7:$BU$42,$CN$7:$CN$42,"",0,1))),2,IF(AND('GESTION DES JOUEURS'!$D$8="Open",(P22/_xlfn.XLOOKUP(V22,$BU$7:$BU$42,$CN$7:$CN$42,"",0,1))=(N22/_xlfn.XLOOKUP(F22,$BU$7:$BU$42,$CN$7:$CN$42,"",0,1))),1,IF(AND('GESTION DES JOUEURS'!$D$8="Open",(P22/_xlfn.XLOOKUP(V22,$BU$7:$BU$42,$CN$7:$CN$42,"",0,1))&lt;(N22/_xlfn.XLOOKUP(F22,$BU$7:$BU$42,$CN$7:$CN$42,"",0,1))),0,"")))))))))</f>
        <v/>
      </c>
      <c r="Y22" s="546" t="b">
        <v>0</v>
      </c>
      <c r="AA22" s="911"/>
      <c r="AE22" s="371">
        <v>4</v>
      </c>
      <c r="AF22" s="371" t="str">
        <f t="shared" si="22"/>
        <v/>
      </c>
      <c r="AG22" s="371" t="str">
        <f t="shared" si="23"/>
        <v/>
      </c>
      <c r="AH22" s="371" t="b">
        <f t="shared" si="24"/>
        <v>0</v>
      </c>
      <c r="AI22" s="371" t="e">
        <f t="shared" si="25"/>
        <v>#VALUE!</v>
      </c>
      <c r="AJ22" s="244" t="e">
        <f t="shared" si="26"/>
        <v>#VALUE!</v>
      </c>
      <c r="AK22" s="244">
        <f t="shared" si="27"/>
        <v>0</v>
      </c>
      <c r="AL22" s="573" t="str">
        <f t="shared" si="28"/>
        <v/>
      </c>
      <c r="AM22" s="244" t="e">
        <f t="shared" si="29"/>
        <v>#VALUE!</v>
      </c>
      <c r="AZ22" s="244">
        <v>16</v>
      </c>
      <c r="BT22" s="244">
        <v>16</v>
      </c>
      <c r="BU22" s="244" t="str">
        <f>'Phase finale'!CP38</f>
        <v/>
      </c>
      <c r="BV22" s="244" t="str">
        <f>'Phase finale'!CQ38</f>
        <v/>
      </c>
      <c r="BW22" s="244">
        <f>'Phase finale'!CR38</f>
        <v>0</v>
      </c>
      <c r="BX22" s="244" t="str">
        <f>'Phase finale'!CS38</f>
        <v/>
      </c>
      <c r="BY22" s="244">
        <f>'Phase finale'!CT38</f>
        <v>0</v>
      </c>
      <c r="BZ22" s="244" t="str">
        <f>'Phase finale'!CU38</f>
        <v/>
      </c>
      <c r="CA22" s="244">
        <f>'Phase finale'!CV38</f>
        <v>0</v>
      </c>
      <c r="CB22" s="244">
        <f>'Phase finale'!CW38</f>
        <v>0</v>
      </c>
      <c r="CC22" s="244">
        <f>'Phase finale'!CX38</f>
        <v>0</v>
      </c>
      <c r="CD22" s="244">
        <f>'Phase finale'!CY38</f>
        <v>0</v>
      </c>
      <c r="CE22" s="244">
        <f>'Phase finale'!CZ38</f>
        <v>0</v>
      </c>
      <c r="CF22" s="244" t="str">
        <f>'Phase finale'!DA38</f>
        <v/>
      </c>
      <c r="CG22" s="244" t="str">
        <f>'Phase finale'!DB38</f>
        <v/>
      </c>
      <c r="CH22" s="244" t="str">
        <f>'Phase finale'!DC38</f>
        <v/>
      </c>
      <c r="CI22" s="244" t="str">
        <f>'Phase finale'!DD38</f>
        <v/>
      </c>
      <c r="CJ22" s="244" t="str">
        <f>'Phase finale'!DE38</f>
        <v/>
      </c>
      <c r="CK22" s="244" t="str">
        <f>'Phase finale'!DF38</f>
        <v/>
      </c>
      <c r="CL22" s="244" t="str">
        <f>'Phase finale'!DG38</f>
        <v/>
      </c>
      <c r="CM22" s="244" t="str">
        <f>'Phase finale'!DH38</f>
        <v/>
      </c>
      <c r="CN22" s="244" t="str">
        <f>'Phase finale'!DI38</f>
        <v/>
      </c>
      <c r="CP22" s="443" t="str">
        <v/>
      </c>
      <c r="CQ22" s="443">
        <f t="shared" si="10"/>
        <v>0</v>
      </c>
      <c r="CR22" s="443">
        <f t="shared" si="11"/>
        <v>0</v>
      </c>
      <c r="CS22" s="447" t="str">
        <f t="shared" si="12"/>
        <v/>
      </c>
      <c r="CT22" s="443"/>
      <c r="CU22" s="443">
        <f>_xlfn.XLOOKUP(CP22,PA!$B$6:$B$11,PA!$P$6:$P$11,_xlfn.XLOOKUP(CP22,PB!$B$6:$B$11,PB!$P$6:$P$11,_xlfn.XLOOKUP(CP22,PC!$B$6:$B$11,PC!$P$6:$P$11,_xlfn.XLOOKUP(CP22,PD!$B$6:$B$11,PD!$P$6:$P$11,_xlfn.XLOOKUP(CP22,PE!$B$6:$B$11,PE!$P$6:$P$11,_xlfn.XLOOKUP(CP22,PF!$B$6:$B$11,PF!$P$6:$P$11,_xlfn.XLOOKUP(CP22,PG!$B$6:$B$11,PG!$P$6:$P$11,_xlfn.XLOOKUP(CP22,PH!$B$6:$B$11,PH!$P$6:$P$11,_xlfn.XLOOKUP(CP22,PI!$B$6:$B$11,PI!$P$6:$P$11,_xlfn.XLOOKUP(CP22,PJ!$B$6:$B$11,PJ!$P$6:$P$11,_xlfn.XLOOKUP(CP22,PK!$B$6:$B$11,PK!$P$6:$P$11,_xlfn.XLOOKUP(CP22,PL!$B$6:$B$11,PL!$P$6:$P$11,"",0,1),0,1),0,1),0,1),0,1),0,1),0,1),0,1),0,1),0,1),0,1),0,1)</f>
        <v>0</v>
      </c>
      <c r="CV22" s="443">
        <f>_xlfn.XLOOKUP(CP22,PA!$B$6:$B$11,PA!$Q$6:$Q$11,_xlfn.XLOOKUP(CP22,PB!$B$6:$B$11,PB!$Q$6:$Q$11,_xlfn.XLOOKUP(CP22,PC!$B$6:$B$11,PC!$Q$6:$Q$11,_xlfn.XLOOKUP(CP22,PD!$B$6:$B$11,PD!$Q$6:$Q$11,_xlfn.XLOOKUP(CP22,PE!$B$6:$B$11,PE!$Q$6:$Q$11,_xlfn.XLOOKUP(CP22,PF!$B$6:$B$11,PF!$Q$6:$Q$11,_xlfn.XLOOKUP(CP22,PG!$B$6:$B$11,PG!$Q$6:$Q$11,_xlfn.XLOOKUP(CP22,PH!$B$6:$B$11,PH!$Q$6:$Q$11,_xlfn.XLOOKUP(CP22,PI!$B$6:$B$11,PI!$Q$6:$Q$11,_xlfn.XLOOKUP(CP22,PJ!$B$6:$B$11,PJ!$Q$6:$Q$11,_xlfn.XLOOKUP(CP22,PK!$B$6:$B$11,PK!$Q$6:$Q$11,_xlfn.XLOOKUP(CP22,PL!$B$6:$B$11,PL!$Q$6:$Q$11,"",0,1),0,1),0,1),0,1),0,1),0,1),0,1),0,1),0,1),0,1),0,1),0,1)</f>
        <v>0</v>
      </c>
      <c r="CW22" s="244" t="e">
        <f t="shared" si="13"/>
        <v>#DIV/0!</v>
      </c>
    </row>
    <row r="23" spans="1:114" ht="15.6" customHeight="1" thickBot="1" x14ac:dyDescent="0.3">
      <c r="A23" s="245" t="str">
        <f t="shared" si="18"/>
        <v/>
      </c>
      <c r="B23" s="370" t="s">
        <v>9877</v>
      </c>
      <c r="C23" s="391" t="str">
        <f>IF('GESTION DES JOUEURS'!$D$8="Open",1,"")</f>
        <v/>
      </c>
      <c r="D23" s="89" t="str">
        <f>IF(A23="","",IF(N23="ab.",0,IF(P23="ab.",2,IF(AND('GESTION DES JOUEURS'!$D$8&lt;&gt;"Open",O23&gt;0,N23&gt;P23),2,IF(AND('GESTION DES JOUEURS'!$D$8&lt;&gt;"Open",O23&gt;0,N23&lt;P23),0,IF(AND('GESTION DES JOUEURS'!$D$8&lt;&gt;"Open",O23&gt;0,N23=P23),1,IF(AND('GESTION DES JOUEURS'!$D$8="Open",(N23/_xlfn.XLOOKUP(F23,$BU$7:$BU$42,$CN$7:$CN$42,"",0,1))&gt;(P23/_xlfn.XLOOKUP(V23,$BU$7:$BU$42,$CN$7:$CN$42,"",0,1))),2,IF(AND('GESTION DES JOUEURS'!$D$8="Open",(N23/_xlfn.XLOOKUP(F23,$BU$7:$BU$42,$CN$7:$CN$42,"",0,1))=(P23/_xlfn.XLOOKUP(V23,$BU$7:$BU$42,$CN$7:$CN$42,"",0,1))),1,IF(AND('GESTION DES JOUEURS'!$D$8="Open",(N23/_xlfn.XLOOKUP(F23,$BU$7:$BU$42,$CN$7:$CN$42,"",0,1))&lt;(P23/_xlfn.XLOOKUP(V23,$BU$7:$BU$42,$CN$7:$CN$42,"",0,1))),0,"")))))))))</f>
        <v/>
      </c>
      <c r="E23" s="120" t="str">
        <f>IFERROR(IF(AND(D23&gt;=0,Y23=FALSE),N23/O23,IF(AND(D23&gt;=0,Y23=TRUE),(N23/O23)*_xlfn.XLOOKUP('GESTION DES JOUEURS'!$X$8&amp;RIGHT('GESTION DES JOUEURS'!$Y$8,1),Tableau14[Colonne1],Tableau14[coef. 2,80/3,10],"",0,1),"")),"")</f>
        <v/>
      </c>
      <c r="F23" s="90" t="str">
        <f>IF(AND('GESTION DES JOUEURS'!$D$8="Open",'Phase finale'!$CO$43&gt;8),BU14,"")</f>
        <v/>
      </c>
      <c r="G23" s="738" t="str">
        <f>IFERROR(VLOOKUP(F23,'GESTION DES JOUEURS'!$B$11:$E$46,2,FALSE),"")</f>
        <v/>
      </c>
      <c r="H23" s="739"/>
      <c r="I23" s="740"/>
      <c r="J23" s="738" t="str">
        <f>IFERROR(VLOOKUP(F23,'GESTION DES JOUEURS'!$B$11:$E$46,3,FALSE),"")</f>
        <v/>
      </c>
      <c r="K23" s="779"/>
      <c r="L23" s="484" t="b">
        <v>0</v>
      </c>
      <c r="M23" s="413"/>
      <c r="N23" s="411"/>
      <c r="O23" s="379"/>
      <c r="P23" s="411"/>
      <c r="Q23" s="413"/>
      <c r="R23" s="402" t="b">
        <v>0</v>
      </c>
      <c r="S23" s="1079" t="str">
        <f>IFERROR(VLOOKUP(V23,'GESTION DES JOUEURS'!$B$11:$E$46,2,FALSE),"")</f>
        <v/>
      </c>
      <c r="T23" s="757"/>
      <c r="U23" s="355" t="str">
        <f>IFERROR(VLOOKUP(V23,'GESTION DES JOUEURS'!$B$11:$E$46,3,FALSE),"")</f>
        <v/>
      </c>
      <c r="V23" s="93" t="str">
        <f>IF(AND('GESTION DES JOUEURS'!$D$8="Open",'Phase finale'!$CO$43&gt;8),BU15,"")</f>
        <v/>
      </c>
      <c r="W23" s="122" t="str">
        <f>IFERROR(IF(AND(X23&gt;=0,Y23=FALSE),P23/O23,IF(AND(X23&gt;=0,Y23=TRUE),(P23/O23)*_xlfn.XLOOKUP('GESTION DES JOUEURS'!$X$8&amp;RIGHT('GESTION DES JOUEURS'!$Y$8,1),Tableau14[Colonne1],Tableau14[coef. 2,80/3,10],"",0,1),"")),"")</f>
        <v/>
      </c>
      <c r="X23" s="571" t="str">
        <f>IF(A23="","",IF(P23="ab.",0,IF(N23="ab.",2,IF(AND('GESTION DES JOUEURS'!$D$8&lt;&gt;"Open",O23&gt;0,P23&gt;N23),2,IF(AND('GESTION DES JOUEURS'!$D$8&lt;&gt;"Open",O23&gt;0,P23&lt;N23),0,IF(AND('GESTION DES JOUEURS'!$D$8&lt;&gt;"Open",O23&gt;0,P23=N23),1,IF(AND('GESTION DES JOUEURS'!$D$8="Open",(P23/_xlfn.XLOOKUP(V23,$BU$7:$BU$42,$CN$7:$CN$42,"",0,1))&gt;(N23/_xlfn.XLOOKUP(F23,$BU$7:$BU$42,$CN$7:$CN$42,"",0,1))),2,IF(AND('GESTION DES JOUEURS'!$D$8="Open",(P23/_xlfn.XLOOKUP(V23,$BU$7:$BU$42,$CN$7:$CN$42,"",0,1))=(N23/_xlfn.XLOOKUP(F23,$BU$7:$BU$42,$CN$7:$CN$42,"",0,1))),1,IF(AND('GESTION DES JOUEURS'!$D$8="Open",(P23/_xlfn.XLOOKUP(V23,$BU$7:$BU$42,$CN$7:$CN$42,"",0,1))&lt;(N23/_xlfn.XLOOKUP(F23,$BU$7:$BU$42,$CN$7:$CN$42,"",0,1))),0,"")))))))))</f>
        <v/>
      </c>
      <c r="Y23" s="545" t="b">
        <v>0</v>
      </c>
      <c r="AA23" s="910" t="s">
        <v>8119</v>
      </c>
      <c r="AE23" s="371">
        <v>4</v>
      </c>
      <c r="AF23" s="371" t="str">
        <f t="shared" si="22"/>
        <v/>
      </c>
      <c r="AG23" s="371" t="str">
        <f t="shared" si="23"/>
        <v/>
      </c>
      <c r="AH23" s="371" t="b">
        <f t="shared" si="24"/>
        <v>0</v>
      </c>
      <c r="AI23" s="371" t="e">
        <f t="shared" si="25"/>
        <v>#VALUE!</v>
      </c>
      <c r="AJ23" s="244" t="e">
        <f t="shared" si="26"/>
        <v>#VALUE!</v>
      </c>
      <c r="AK23" s="244">
        <f t="shared" si="27"/>
        <v>0</v>
      </c>
      <c r="AL23" s="573" t="str">
        <f t="shared" si="28"/>
        <v/>
      </c>
      <c r="AM23" s="244" t="e">
        <f t="shared" si="29"/>
        <v>#VALUE!</v>
      </c>
      <c r="AZ23" s="244">
        <v>17</v>
      </c>
      <c r="BU23" s="244" t="str">
        <f>'Phase finale'!CP39</f>
        <v/>
      </c>
      <c r="BV23" s="244" t="str">
        <f>'Phase finale'!CQ39</f>
        <v/>
      </c>
      <c r="BW23" s="244">
        <f>'Phase finale'!CR39</f>
        <v>0</v>
      </c>
      <c r="BX23" s="244" t="str">
        <f>'Phase finale'!CS39</f>
        <v/>
      </c>
      <c r="BY23" s="244">
        <f>'Phase finale'!CT39</f>
        <v>0</v>
      </c>
      <c r="BZ23" s="244" t="str">
        <f>'Phase finale'!CU39</f>
        <v/>
      </c>
      <c r="CA23" s="244">
        <f>'Phase finale'!CV39</f>
        <v>0</v>
      </c>
      <c r="CB23" s="244">
        <f>'Phase finale'!CW39</f>
        <v>0</v>
      </c>
      <c r="CC23" s="244">
        <f>'Phase finale'!CX39</f>
        <v>0</v>
      </c>
      <c r="CD23" s="244">
        <f>'Phase finale'!CY39</f>
        <v>0</v>
      </c>
      <c r="CE23" s="244">
        <f>'Phase finale'!CZ39</f>
        <v>0</v>
      </c>
      <c r="CF23" s="244" t="str">
        <f>'Phase finale'!DA39</f>
        <v/>
      </c>
      <c r="CG23" s="244" t="str">
        <f>'Phase finale'!DB39</f>
        <v/>
      </c>
      <c r="CH23" s="244" t="str">
        <f>'Phase finale'!DC39</f>
        <v/>
      </c>
      <c r="CI23" s="244" t="str">
        <f>'Phase finale'!DD39</f>
        <v/>
      </c>
      <c r="CJ23" s="244" t="str">
        <f>'Phase finale'!DE39</f>
        <v/>
      </c>
      <c r="CK23" s="244" t="str">
        <f>'Phase finale'!DF39</f>
        <v/>
      </c>
      <c r="CL23" s="244" t="str">
        <f>'Phase finale'!DG39</f>
        <v/>
      </c>
      <c r="CM23" s="244" t="str">
        <f>'Phase finale'!DH39</f>
        <v/>
      </c>
      <c r="CN23" s="244" t="str">
        <f>'Phase finale'!DI39</f>
        <v/>
      </c>
      <c r="CP23" s="443"/>
      <c r="CQ23" s="443"/>
      <c r="CR23" s="443"/>
      <c r="CS23" s="447"/>
      <c r="CT23" s="443"/>
      <c r="CU23" s="443"/>
      <c r="CV23" s="443"/>
      <c r="DC23" s="244" t="str">
        <f>F10</f>
        <v/>
      </c>
      <c r="DD23" s="443" t="str">
        <f>D12</f>
        <v/>
      </c>
      <c r="DE23" s="443" t="b">
        <f>L12</f>
        <v>0</v>
      </c>
      <c r="DF23" s="443">
        <f>N12</f>
        <v>0</v>
      </c>
      <c r="DG23" s="443" cm="1">
        <f t="array" ref="DG23">_xlfn.XLOOKUP(DC23,Tableau19[Licence],'GESTION DES JOUEURS'!$O$11:$O$46,0,0,1)</f>
        <v>0</v>
      </c>
      <c r="DH23" s="443" t="str">
        <f>IFERROR(IF('GESTION DES JOUEURS'!$D$4="3 Bandes",DF23/_xlfn.XLOOKUP(DG23,Tableau13[Cat.],Tableau13[3 Bandes],"",0,1),IF('GESTION DES JOUEURS'!$D$4="Bande",DF23/_xlfn.XLOOKUP(DG23,Tableau13[Cat.],Tableau13[bande],"",0,1),IF('GESTION DES JOUEURS'!$D$4="Cadre",DF23/_xlfn.XLOOKUP(DG23,Tableau13[Cat.],Tableau13[Cadre],"",0,1),IF('GESTION DES JOUEURS'!$D$4="Libre",DF23/_xlfn.XLOOKUP(DG23,Tableau13[Cat.],Tableau13[Libre],"",0,1),"")))),0)</f>
        <v/>
      </c>
      <c r="DI23" s="443">
        <f>M12</f>
        <v>0</v>
      </c>
      <c r="DJ23" s="244" t="str">
        <f>IF(DJ19="3 Bandes",DF23/_xlfn.XLOOKUP(DG23,Tableau13[Cat.],Tableau13[3 Bandes],"",0,1),"")</f>
        <v/>
      </c>
    </row>
    <row r="24" spans="1:114" ht="15.6" customHeight="1" x14ac:dyDescent="0.25">
      <c r="B24" s="372"/>
      <c r="C24" s="371"/>
      <c r="D24" s="371"/>
      <c r="E24" s="373"/>
      <c r="F24" s="371"/>
      <c r="G24" s="371"/>
      <c r="H24" s="371"/>
      <c r="I24" s="371"/>
      <c r="J24" s="371"/>
      <c r="K24" s="371"/>
      <c r="L24" s="371"/>
      <c r="M24" s="374"/>
      <c r="N24" s="374"/>
      <c r="O24" s="374"/>
      <c r="P24" s="374"/>
      <c r="Q24" s="374"/>
      <c r="R24" s="374"/>
      <c r="S24" s="371"/>
      <c r="T24" s="371"/>
      <c r="U24" s="371"/>
      <c r="V24" s="371"/>
      <c r="W24" s="373"/>
      <c r="X24" s="371"/>
      <c r="Y24" s="371"/>
      <c r="AA24" s="910"/>
      <c r="AE24" s="371">
        <v>4</v>
      </c>
      <c r="AF24" s="371" t="str">
        <f t="shared" si="22"/>
        <v/>
      </c>
      <c r="AG24" s="371" t="str">
        <f t="shared" si="23"/>
        <v/>
      </c>
      <c r="AH24" s="371" t="b">
        <f t="shared" si="24"/>
        <v>0</v>
      </c>
      <c r="AI24" s="371" t="e">
        <f t="shared" si="25"/>
        <v>#VALUE!</v>
      </c>
      <c r="AJ24" s="244" t="e">
        <f t="shared" si="26"/>
        <v>#VALUE!</v>
      </c>
      <c r="AK24" s="244">
        <f t="shared" si="27"/>
        <v>0</v>
      </c>
      <c r="AL24" s="573" t="str">
        <f t="shared" si="28"/>
        <v/>
      </c>
      <c r="AM24" s="244" t="e">
        <f t="shared" si="29"/>
        <v>#VALUE!</v>
      </c>
      <c r="AZ24" s="244">
        <v>18</v>
      </c>
      <c r="BU24" s="244" t="str">
        <f>'Phase finale'!CP40</f>
        <v/>
      </c>
      <c r="BV24" s="244" t="str">
        <f>'Phase finale'!CQ40</f>
        <v/>
      </c>
      <c r="BW24" s="244">
        <f>'Phase finale'!CR40</f>
        <v>0</v>
      </c>
      <c r="BX24" s="244" t="str">
        <f>'Phase finale'!CS40</f>
        <v/>
      </c>
      <c r="BY24" s="244">
        <f>'Phase finale'!CT40</f>
        <v>0</v>
      </c>
      <c r="BZ24" s="244" t="str">
        <f>'Phase finale'!CU40</f>
        <v/>
      </c>
      <c r="CA24" s="244">
        <f>'Phase finale'!CV40</f>
        <v>0</v>
      </c>
      <c r="CB24" s="244">
        <f>'Phase finale'!CW40</f>
        <v>0</v>
      </c>
      <c r="CC24" s="244">
        <f>'Phase finale'!CX40</f>
        <v>0</v>
      </c>
      <c r="CD24" s="244">
        <f>'Phase finale'!CY40</f>
        <v>0</v>
      </c>
      <c r="CE24" s="244">
        <f>'Phase finale'!CZ40</f>
        <v>0</v>
      </c>
      <c r="CF24" s="244" t="str">
        <f>'Phase finale'!DA40</f>
        <v/>
      </c>
      <c r="CG24" s="244" t="str">
        <f>'Phase finale'!DB40</f>
        <v/>
      </c>
      <c r="CH24" s="244" t="str">
        <f>'Phase finale'!DC40</f>
        <v/>
      </c>
      <c r="CI24" s="244" t="str">
        <f>'Phase finale'!DD40</f>
        <v/>
      </c>
      <c r="CJ24" s="244" t="str">
        <f>'Phase finale'!DE40</f>
        <v/>
      </c>
      <c r="CK24" s="244" t="str">
        <f>'Phase finale'!DF40</f>
        <v/>
      </c>
      <c r="CL24" s="244" t="str">
        <f>'Phase finale'!DG40</f>
        <v/>
      </c>
      <c r="CM24" s="244" t="str">
        <f>'Phase finale'!DH40</f>
        <v/>
      </c>
      <c r="CN24" s="244" t="str">
        <f>'Phase finale'!DI40</f>
        <v/>
      </c>
      <c r="CP24" s="443"/>
      <c r="CQ24" s="443"/>
      <c r="CR24" s="443"/>
      <c r="CS24" s="447"/>
      <c r="CT24" s="443"/>
      <c r="CU24" s="443"/>
      <c r="CV24" s="443"/>
      <c r="DC24" s="244" t="str">
        <f>F11</f>
        <v/>
      </c>
      <c r="DD24" s="443" t="str">
        <f>D13</f>
        <v/>
      </c>
      <c r="DE24" s="443" t="b">
        <f>L13</f>
        <v>0</v>
      </c>
      <c r="DF24" s="443">
        <f>N13</f>
        <v>0</v>
      </c>
      <c r="DG24" s="443" cm="1">
        <f t="array" ref="DG24">_xlfn.XLOOKUP(DC24,Tableau19[Licence],'GESTION DES JOUEURS'!$O$11:$O$46,0,0,1)</f>
        <v>0</v>
      </c>
      <c r="DH24" s="443" t="str">
        <f>IF('GESTION DES JOUEURS'!$D$4="3 Bandes",DF24/_xlfn.XLOOKUP(DG24,Tableau13[Cat.],Tableau13[3 Bandes],"",0,1),IF('GESTION DES JOUEURS'!$D$4="Bande",DF24/_xlfn.XLOOKUP(DG24,Tableau13[Cat.],Tableau13[bande],"",0,1),IF('GESTION DES JOUEURS'!$D$4="Cadre",DF24/_xlfn.XLOOKUP(DG24,Tableau13[Cat.],Tableau13[Cadre],"",0,1),IF('GESTION DES JOUEURS'!$D$4="Libre",DF24/_xlfn.XLOOKUP(DG24,Tableau13[Cat.],Tableau13[Libre],"",0,1),""))))</f>
        <v/>
      </c>
      <c r="DI24" s="443">
        <f>M13</f>
        <v>0</v>
      </c>
    </row>
    <row r="25" spans="1:114" ht="15.6" customHeight="1" x14ac:dyDescent="0.25">
      <c r="Y25" s="522"/>
      <c r="AA25" s="912" t="s">
        <v>8120</v>
      </c>
      <c r="AE25" s="371">
        <v>4</v>
      </c>
      <c r="AF25" s="371" t="str">
        <f t="shared" si="22"/>
        <v/>
      </c>
      <c r="AG25" s="371" t="str">
        <f t="shared" si="23"/>
        <v/>
      </c>
      <c r="AH25" s="371" t="b">
        <f t="shared" si="24"/>
        <v>0</v>
      </c>
      <c r="AI25" s="371" t="e">
        <f t="shared" si="25"/>
        <v>#VALUE!</v>
      </c>
      <c r="AJ25" s="244" t="e">
        <f t="shared" si="26"/>
        <v>#VALUE!</v>
      </c>
      <c r="AK25" s="244">
        <f t="shared" si="27"/>
        <v>0</v>
      </c>
      <c r="AL25" s="573" t="str">
        <f t="shared" si="28"/>
        <v/>
      </c>
      <c r="AM25" s="244" t="e">
        <f t="shared" si="29"/>
        <v>#VALUE!</v>
      </c>
      <c r="AZ25" s="244">
        <v>19</v>
      </c>
      <c r="BU25" s="244" t="str">
        <f>'Phase finale'!CP41</f>
        <v/>
      </c>
      <c r="BV25" s="244" t="str">
        <f>'Phase finale'!CQ41</f>
        <v/>
      </c>
      <c r="BW25" s="244">
        <f>'Phase finale'!CR41</f>
        <v>0</v>
      </c>
      <c r="BX25" s="244" t="str">
        <f>'Phase finale'!CS41</f>
        <v/>
      </c>
      <c r="BY25" s="244">
        <f>'Phase finale'!CT41</f>
        <v>0</v>
      </c>
      <c r="BZ25" s="244" t="str">
        <f>'Phase finale'!CU41</f>
        <v/>
      </c>
      <c r="CA25" s="244">
        <f>'Phase finale'!CV41</f>
        <v>0</v>
      </c>
      <c r="CB25" s="244">
        <f>'Phase finale'!CW41</f>
        <v>0</v>
      </c>
      <c r="CC25" s="244">
        <f>'Phase finale'!CX41</f>
        <v>0</v>
      </c>
      <c r="CD25" s="244">
        <f>'Phase finale'!CY41</f>
        <v>0</v>
      </c>
      <c r="CE25" s="244">
        <f>'Phase finale'!CZ41</f>
        <v>0</v>
      </c>
      <c r="CF25" s="244" t="str">
        <f>'Phase finale'!DA41</f>
        <v/>
      </c>
      <c r="CG25" s="244" t="str">
        <f>'Phase finale'!DB41</f>
        <v/>
      </c>
      <c r="CH25" s="244" t="str">
        <f>'Phase finale'!DC41</f>
        <v/>
      </c>
      <c r="CI25" s="244" t="str">
        <f>'Phase finale'!DD41</f>
        <v/>
      </c>
      <c r="CJ25" s="244" t="str">
        <f>'Phase finale'!DE41</f>
        <v/>
      </c>
      <c r="CK25" s="244" t="str">
        <f>'Phase finale'!DF41</f>
        <v/>
      </c>
      <c r="CL25" s="244" t="str">
        <f>'Phase finale'!DG41</f>
        <v/>
      </c>
      <c r="CM25" s="244" t="str">
        <f>'Phase finale'!DH41</f>
        <v/>
      </c>
      <c r="CN25" s="244" t="str">
        <f>'Phase finale'!DI41</f>
        <v/>
      </c>
      <c r="CP25" s="443"/>
      <c r="CQ25" s="443"/>
      <c r="CR25" s="443"/>
      <c r="CS25" s="447"/>
      <c r="CT25" s="443"/>
      <c r="CU25" s="443"/>
      <c r="CV25" s="443"/>
      <c r="DC25" s="244" t="str">
        <f t="shared" ref="DC25:DC30" si="30">V10</f>
        <v/>
      </c>
      <c r="DD25" s="443" t="str">
        <f>D14</f>
        <v/>
      </c>
      <c r="DE25" s="443" t="b">
        <f>L14</f>
        <v>0</v>
      </c>
      <c r="DF25" s="443">
        <f>N14</f>
        <v>0</v>
      </c>
      <c r="DG25" s="443" cm="1">
        <f t="array" ref="DG25">_xlfn.XLOOKUP(DC25,Tableau19[Licence],'GESTION DES JOUEURS'!$O$11:$O$46,0,0,1)</f>
        <v>0</v>
      </c>
      <c r="DH25" s="443" t="str">
        <f>IF('GESTION DES JOUEURS'!$D$4="3 Bandes",DF25/_xlfn.XLOOKUP(DG25,Tableau13[Cat.],Tableau13[3 Bandes],"",0,1),IF('GESTION DES JOUEURS'!$D$4="Bande",DF25/_xlfn.XLOOKUP(DG25,Tableau13[Cat.],Tableau13[bande],"",0,1),IF('GESTION DES JOUEURS'!$D$4="Cadre",DF25/_xlfn.XLOOKUP(DG25,Tableau13[Cat.],Tableau13[Cadre],"",0,1),IF('GESTION DES JOUEURS'!$D$4="Libre",DF25/_xlfn.XLOOKUP(DG25,Tableau13[Cat.],Tableau13[Libre],"",0,1),""))))</f>
        <v/>
      </c>
      <c r="DI25" s="443">
        <f>M14</f>
        <v>0</v>
      </c>
    </row>
    <row r="26" spans="1:114" ht="15.6" customHeight="1" x14ac:dyDescent="0.25">
      <c r="Y26" s="522"/>
      <c r="AA26" s="912"/>
      <c r="AE26" s="371">
        <v>4</v>
      </c>
      <c r="AF26" s="371" t="str">
        <f t="shared" si="22"/>
        <v/>
      </c>
      <c r="AG26" s="371" t="str">
        <f t="shared" si="23"/>
        <v/>
      </c>
      <c r="AH26" s="371" t="b">
        <f t="shared" si="24"/>
        <v>0</v>
      </c>
      <c r="AI26" s="371" t="e">
        <f t="shared" si="25"/>
        <v>#VALUE!</v>
      </c>
      <c r="AJ26" s="244" t="e">
        <f t="shared" si="26"/>
        <v>#VALUE!</v>
      </c>
      <c r="AK26" s="244">
        <f t="shared" si="27"/>
        <v>0</v>
      </c>
      <c r="AL26" s="573" t="str">
        <f t="shared" si="28"/>
        <v/>
      </c>
      <c r="AM26" s="244" t="e">
        <f t="shared" si="29"/>
        <v>#VALUE!</v>
      </c>
      <c r="AZ26" s="244">
        <v>20</v>
      </c>
      <c r="BU26" s="244" t="str">
        <f>'Phase finale'!CP42</f>
        <v/>
      </c>
      <c r="BV26" s="244" t="str">
        <f>'Phase finale'!CQ42</f>
        <v/>
      </c>
      <c r="BW26" s="244">
        <f>'Phase finale'!CR42</f>
        <v>0</v>
      </c>
      <c r="BX26" s="244" t="str">
        <f>'Phase finale'!CS42</f>
        <v/>
      </c>
      <c r="BY26" s="244">
        <f>'Phase finale'!CT42</f>
        <v>0</v>
      </c>
      <c r="BZ26" s="244" t="str">
        <f>'Phase finale'!CU42</f>
        <v/>
      </c>
      <c r="CA26" s="244">
        <f>'Phase finale'!CV42</f>
        <v>0</v>
      </c>
      <c r="CB26" s="244">
        <f>'Phase finale'!CW42</f>
        <v>0</v>
      </c>
      <c r="CC26" s="244">
        <f>'Phase finale'!CX42</f>
        <v>0</v>
      </c>
      <c r="CD26" s="244">
        <f>'Phase finale'!CY42</f>
        <v>0</v>
      </c>
      <c r="CE26" s="244">
        <f>'Phase finale'!CZ42</f>
        <v>0</v>
      </c>
      <c r="CF26" s="244" t="str">
        <f>'Phase finale'!DA42</f>
        <v/>
      </c>
      <c r="CG26" s="244" t="str">
        <f>'Phase finale'!DB42</f>
        <v/>
      </c>
      <c r="CH26" s="244" t="str">
        <f>'Phase finale'!DC42</f>
        <v/>
      </c>
      <c r="CI26" s="244" t="str">
        <f>'Phase finale'!DD42</f>
        <v/>
      </c>
      <c r="CJ26" s="244" t="str">
        <f>'Phase finale'!DE42</f>
        <v/>
      </c>
      <c r="CK26" s="244" t="str">
        <f>'Phase finale'!DF42</f>
        <v/>
      </c>
      <c r="CL26" s="244" t="str">
        <f>'Phase finale'!DG42</f>
        <v/>
      </c>
      <c r="CM26" s="244" t="str">
        <f>'Phase finale'!DH42</f>
        <v/>
      </c>
      <c r="CN26" s="244" t="str">
        <f>'Phase finale'!DI42</f>
        <v/>
      </c>
      <c r="CP26" s="443"/>
      <c r="CQ26" s="443"/>
      <c r="CR26" s="443"/>
      <c r="CS26" s="447"/>
      <c r="CT26" s="443"/>
      <c r="CU26" s="443"/>
      <c r="CV26" s="443"/>
      <c r="DC26" s="244" t="str">
        <f t="shared" si="30"/>
        <v/>
      </c>
      <c r="DD26" s="443" t="str">
        <f>D15</f>
        <v/>
      </c>
      <c r="DE26" s="443" t="b">
        <f>L15</f>
        <v>0</v>
      </c>
      <c r="DF26" s="443">
        <f>N15</f>
        <v>0</v>
      </c>
      <c r="DG26" s="443" cm="1">
        <f t="array" ref="DG26">_xlfn.XLOOKUP(DC26,Tableau19[Licence],'GESTION DES JOUEURS'!$O$11:$O$46,0,0,1)</f>
        <v>0</v>
      </c>
      <c r="DH26" s="443" t="str">
        <f>IF('GESTION DES JOUEURS'!$D$4="3 Bandes",DF26/_xlfn.XLOOKUP(DG26,Tableau13[Cat.],Tableau13[3 Bandes],"",0,1),IF('GESTION DES JOUEURS'!$D$4="Bande",DF26/_xlfn.XLOOKUP(DG26,Tableau13[Cat.],Tableau13[bande],"",0,1),IF('GESTION DES JOUEURS'!$D$4="Cadre",DF26/_xlfn.XLOOKUP(DG26,Tableau13[Cat.],Tableau13[Cadre],"",0,1),IF('GESTION DES JOUEURS'!$D$4="Libre",DF26/_xlfn.XLOOKUP(DG26,Tableau13[Cat.],Tableau13[Libre],"",0,1),""))))</f>
        <v/>
      </c>
      <c r="DI26" s="443">
        <f>M15</f>
        <v>0</v>
      </c>
    </row>
    <row r="27" spans="1:114" ht="15.6" customHeight="1" x14ac:dyDescent="0.25">
      <c r="Y27" s="522"/>
      <c r="AA27" s="914" t="s">
        <v>8121</v>
      </c>
      <c r="AE27" s="371">
        <v>4</v>
      </c>
      <c r="AF27" s="371" t="str">
        <f>V16</f>
        <v/>
      </c>
      <c r="AG27" s="371" t="str">
        <f>X16</f>
        <v/>
      </c>
      <c r="AH27" s="371" t="b">
        <f>R16</f>
        <v>0</v>
      </c>
      <c r="AI27" s="371" t="e">
        <f>P16/_xlfn.XLOOKUP(AF27,$BU$7:$BU$33,$CN$7:$CN$33,"",0,1)</f>
        <v>#VALUE!</v>
      </c>
      <c r="AJ27" s="244" t="e">
        <f>N16/_xlfn.XLOOKUP(F16,$BU$7:$BU$33,$CN$7:$CN$33,"",0,1)</f>
        <v>#VALUE!</v>
      </c>
      <c r="AK27" s="244">
        <f>Q16</f>
        <v>0</v>
      </c>
      <c r="AL27" s="573" t="str">
        <f>W16</f>
        <v/>
      </c>
      <c r="AM27" s="244" t="e">
        <f>N16/AJ27</f>
        <v>#VALUE!</v>
      </c>
      <c r="AZ27" s="244">
        <v>21</v>
      </c>
      <c r="BU27" s="244">
        <f>'Phase finale'!CP43</f>
        <v>0</v>
      </c>
      <c r="BV27" s="244">
        <f>'Phase finale'!CQ43</f>
        <v>0</v>
      </c>
      <c r="BW27" s="244">
        <f>'Phase finale'!CR43</f>
        <v>0</v>
      </c>
      <c r="BX27" s="244">
        <f>'Phase finale'!CS43</f>
        <v>0</v>
      </c>
      <c r="BY27" s="244">
        <f>'Phase finale'!CT43</f>
        <v>0</v>
      </c>
      <c r="BZ27" s="244">
        <f>'Phase finale'!CU43</f>
        <v>0</v>
      </c>
      <c r="CA27" s="244">
        <f>'Phase finale'!CV43</f>
        <v>0</v>
      </c>
      <c r="CB27" s="244">
        <f>'Phase finale'!CW43</f>
        <v>0</v>
      </c>
      <c r="CC27" s="244">
        <f>'Phase finale'!CX43</f>
        <v>0</v>
      </c>
      <c r="CD27" s="244">
        <f>'Phase finale'!CY43</f>
        <v>0</v>
      </c>
      <c r="CE27" s="244">
        <f>'Phase finale'!CZ43</f>
        <v>0</v>
      </c>
      <c r="CF27" s="244">
        <f>'Phase finale'!DA43</f>
        <v>0</v>
      </c>
      <c r="CG27" s="244">
        <f>'Phase finale'!DB43</f>
        <v>0</v>
      </c>
      <c r="CH27" s="244">
        <f>'Phase finale'!DC43</f>
        <v>0</v>
      </c>
      <c r="CI27" s="244">
        <f>'Phase finale'!DD43</f>
        <v>0</v>
      </c>
      <c r="CJ27" s="244">
        <f>'Phase finale'!DE43</f>
        <v>0</v>
      </c>
      <c r="CK27" s="244">
        <f>'Phase finale'!DF43</f>
        <v>0</v>
      </c>
      <c r="CL27" s="244">
        <f>'Phase finale'!DG43</f>
        <v>0</v>
      </c>
      <c r="CM27" s="244" t="str">
        <f>'Phase finale'!DH43</f>
        <v/>
      </c>
      <c r="CN27" s="244" t="str">
        <f>'Phase finale'!DI43</f>
        <v/>
      </c>
      <c r="CP27" s="443"/>
      <c r="CQ27" s="443"/>
      <c r="CR27" s="443"/>
      <c r="CS27" s="447"/>
      <c r="CT27" s="443"/>
      <c r="CU27" s="443"/>
      <c r="CV27" s="443"/>
      <c r="DC27" s="443" t="str">
        <f t="shared" si="30"/>
        <v/>
      </c>
      <c r="DD27" s="244" t="str">
        <f>X12</f>
        <v/>
      </c>
      <c r="DE27" s="443" t="b">
        <f>R12</f>
        <v>0</v>
      </c>
      <c r="DF27" s="443">
        <f>P12</f>
        <v>0</v>
      </c>
      <c r="DG27" s="443" cm="1">
        <f t="array" ref="DG27">_xlfn.XLOOKUP(DC27,Tableau19[Licence],'GESTION DES JOUEURS'!$O$11:$O$46,0,0,1)</f>
        <v>0</v>
      </c>
      <c r="DH27" s="443" t="str">
        <f>IFERROR(IF('GESTION DES JOUEURS'!$D$4="3 Bandes",DF27/_xlfn.XLOOKUP(DG27,Tableau13[Cat.],Tableau13[3 Bandes],"",0,1),IF('GESTION DES JOUEURS'!$D$4="Bande",DF27/_xlfn.XLOOKUP(DG27,Tableau13[Cat.],Tableau13[bande],"",0,1),IF('GESTION DES JOUEURS'!$D$4="Cadre",DF27/_xlfn.XLOOKUP(DG27,Tableau13[Cat.],Tableau13[Cadre],"",0,1),IF('GESTION DES JOUEURS'!$D$4="Libre",DF27/_xlfn.XLOOKUP(DG27,Tableau13[Cat.],Tableau13[Libre],"",0,1),"")))),0)</f>
        <v/>
      </c>
      <c r="DI27" s="443">
        <f>Q12</f>
        <v>0</v>
      </c>
    </row>
    <row r="28" spans="1:114" ht="15.6" customHeight="1" thickBot="1" x14ac:dyDescent="0.3">
      <c r="Y28" s="522"/>
      <c r="AA28" s="914"/>
      <c r="AE28" s="371">
        <v>4</v>
      </c>
      <c r="AF28" s="371" t="str">
        <f t="shared" ref="AF28:AF34" si="31">V17</f>
        <v/>
      </c>
      <c r="AG28" s="371" t="str">
        <f t="shared" ref="AG28:AG34" si="32">X17</f>
        <v/>
      </c>
      <c r="AH28" s="371" t="b">
        <f t="shared" ref="AH28:AH34" si="33">R17</f>
        <v>0</v>
      </c>
      <c r="AI28" s="371" t="e">
        <f t="shared" ref="AI28:AI34" si="34">P17/_xlfn.XLOOKUP(AF28,$BU$7:$BU$33,$CN$7:$CN$33,"",0,1)</f>
        <v>#VALUE!</v>
      </c>
      <c r="AJ28" s="244" t="e">
        <f t="shared" ref="AJ28:AJ34" si="35">N17/_xlfn.XLOOKUP(F17,$BU$7:$BU$33,$CN$7:$CN$33,"",0,1)</f>
        <v>#VALUE!</v>
      </c>
      <c r="AK28" s="244">
        <f t="shared" ref="AK28:AK34" si="36">Q17</f>
        <v>0</v>
      </c>
      <c r="AL28" s="573" t="str">
        <f t="shared" ref="AL28:AL34" si="37">W17</f>
        <v/>
      </c>
      <c r="AM28" s="244" t="e">
        <f t="shared" ref="AM28:AM34" si="38">N17/AJ28</f>
        <v>#VALUE!</v>
      </c>
      <c r="AZ28" s="244">
        <v>22</v>
      </c>
      <c r="BU28" s="244">
        <f>'Phase finale'!CP44</f>
        <v>0</v>
      </c>
      <c r="BV28" s="244">
        <f>'Phase finale'!CQ44</f>
        <v>0</v>
      </c>
      <c r="BW28" s="244">
        <f>'Phase finale'!CR44</f>
        <v>0</v>
      </c>
      <c r="BX28" s="244">
        <f>'Phase finale'!CS44</f>
        <v>0</v>
      </c>
      <c r="BY28" s="244">
        <f>'Phase finale'!CT44</f>
        <v>0</v>
      </c>
      <c r="BZ28" s="244">
        <f>'Phase finale'!CU44</f>
        <v>0</v>
      </c>
      <c r="CA28" s="244">
        <f>'Phase finale'!CV44</f>
        <v>0</v>
      </c>
      <c r="CB28" s="244">
        <f>'Phase finale'!CW44</f>
        <v>0</v>
      </c>
      <c r="CC28" s="244">
        <f>'Phase finale'!CX44</f>
        <v>0</v>
      </c>
      <c r="CD28" s="244">
        <f>'Phase finale'!CY44</f>
        <v>0</v>
      </c>
      <c r="CE28" s="244">
        <f>'Phase finale'!CZ44</f>
        <v>0</v>
      </c>
      <c r="CF28" s="244">
        <f>'Phase finale'!DA44</f>
        <v>0</v>
      </c>
      <c r="CG28" s="244">
        <f>'Phase finale'!DB44</f>
        <v>0</v>
      </c>
      <c r="CH28" s="244">
        <f>'Phase finale'!DC44</f>
        <v>0</v>
      </c>
      <c r="CI28" s="244">
        <f>'Phase finale'!DD44</f>
        <v>0</v>
      </c>
      <c r="CJ28" s="244">
        <f>'Phase finale'!DE44</f>
        <v>0</v>
      </c>
      <c r="CK28" s="244">
        <f>'Phase finale'!DF44</f>
        <v>0</v>
      </c>
      <c r="CL28" s="244">
        <f>'Phase finale'!DG44</f>
        <v>0</v>
      </c>
      <c r="CM28" s="244">
        <f>'Phase finale'!DH44</f>
        <v>0</v>
      </c>
      <c r="CN28" s="244">
        <f>'Phase finale'!DI44</f>
        <v>0</v>
      </c>
      <c r="CP28" s="443"/>
      <c r="CQ28" s="443"/>
      <c r="CR28" s="443"/>
      <c r="CS28" s="447"/>
      <c r="CT28" s="443"/>
      <c r="CU28" s="443"/>
      <c r="CV28" s="443"/>
      <c r="DC28" s="443" t="str">
        <f t="shared" si="30"/>
        <v/>
      </c>
      <c r="DD28" s="244" t="str">
        <f>X13</f>
        <v/>
      </c>
      <c r="DE28" s="443" t="b">
        <f>R13</f>
        <v>0</v>
      </c>
      <c r="DF28" s="443">
        <f>P13</f>
        <v>0</v>
      </c>
      <c r="DG28" s="443" cm="1">
        <f t="array" ref="DG28">_xlfn.XLOOKUP(DC28,Tableau19[Licence],'GESTION DES JOUEURS'!$O$11:$O$46,0,0,1)</f>
        <v>0</v>
      </c>
      <c r="DH28" s="443" t="str">
        <f>IFERROR(IF('GESTION DES JOUEURS'!$D$4="3 Bandes",DF28/_xlfn.XLOOKUP(DG28,Tableau13[Cat.],Tableau13[3 Bandes],"",0,1),IF('GESTION DES JOUEURS'!$D$4="Bande",DF28/_xlfn.XLOOKUP(DG28,Tableau13[Cat.],Tableau13[bande],"",0,1),IF('GESTION DES JOUEURS'!$D$4="Cadre",DF28/_xlfn.XLOOKUP(DG28,Tableau13[Cat.],Tableau13[Cadre],"",0,1),IF('GESTION DES JOUEURS'!$D$4="Libre",DF28/_xlfn.XLOOKUP(DG28,Tableau13[Cat.],Tableau13[Libre],"",0,1),"")))),0)</f>
        <v/>
      </c>
      <c r="DI28" s="443">
        <f>Q13</f>
        <v>0</v>
      </c>
    </row>
    <row r="29" spans="1:114" ht="15.6" customHeight="1" thickBot="1" x14ac:dyDescent="0.3">
      <c r="B29" s="1069" t="str">
        <f>"CLASSEMENT OPEN CONSOLANTE"</f>
        <v>CLASSEMENT OPEN CONSOLANTE</v>
      </c>
      <c r="C29" s="1070"/>
      <c r="D29" s="1070"/>
      <c r="E29" s="1070"/>
      <c r="F29" s="1070"/>
      <c r="G29" s="1070"/>
      <c r="H29" s="1070"/>
      <c r="I29" s="1070"/>
      <c r="J29" s="1070"/>
      <c r="K29" s="1070"/>
      <c r="L29" s="1070"/>
      <c r="M29" s="1070"/>
      <c r="N29" s="1070"/>
      <c r="O29" s="1070"/>
      <c r="P29" s="1070"/>
      <c r="Q29" s="1070"/>
      <c r="R29" s="1070"/>
      <c r="S29" s="1070"/>
      <c r="T29" s="1071"/>
      <c r="Y29" s="523"/>
      <c r="AA29" s="913" t="s">
        <v>8124</v>
      </c>
      <c r="AE29" s="371">
        <v>4</v>
      </c>
      <c r="AF29" s="371" t="str">
        <f t="shared" si="31"/>
        <v/>
      </c>
      <c r="AG29" s="371" t="str">
        <f t="shared" si="32"/>
        <v/>
      </c>
      <c r="AH29" s="371" t="b">
        <f t="shared" si="33"/>
        <v>0</v>
      </c>
      <c r="AI29" s="371" t="e">
        <f t="shared" si="34"/>
        <v>#VALUE!</v>
      </c>
      <c r="AJ29" s="244" t="e">
        <f t="shared" si="35"/>
        <v>#VALUE!</v>
      </c>
      <c r="AK29" s="244">
        <f t="shared" si="36"/>
        <v>0</v>
      </c>
      <c r="AL29" s="573" t="str">
        <f t="shared" si="37"/>
        <v/>
      </c>
      <c r="AM29" s="244" t="e">
        <f t="shared" si="38"/>
        <v>#VALUE!</v>
      </c>
      <c r="AZ29" s="244">
        <v>23</v>
      </c>
      <c r="BU29" s="244">
        <f>'Phase finale'!CP45</f>
        <v>0</v>
      </c>
      <c r="BV29" s="244">
        <f>'Phase finale'!CQ45</f>
        <v>0</v>
      </c>
      <c r="BW29" s="244">
        <f>'Phase finale'!CR45</f>
        <v>0</v>
      </c>
      <c r="BX29" s="244">
        <f>'Phase finale'!CS45</f>
        <v>0</v>
      </c>
      <c r="BY29" s="244">
        <f>'Phase finale'!CT45</f>
        <v>0</v>
      </c>
      <c r="BZ29" s="244">
        <f>'Phase finale'!CU45</f>
        <v>0</v>
      </c>
      <c r="CA29" s="244">
        <f>'Phase finale'!CV45</f>
        <v>0</v>
      </c>
      <c r="CB29" s="244">
        <f>'Phase finale'!CW45</f>
        <v>0</v>
      </c>
      <c r="CC29" s="244">
        <f>'Phase finale'!CX45</f>
        <v>0</v>
      </c>
      <c r="CD29" s="244">
        <f>'Phase finale'!CY45</f>
        <v>0</v>
      </c>
      <c r="CE29" s="244">
        <f>'Phase finale'!CZ45</f>
        <v>0</v>
      </c>
      <c r="CF29" s="244">
        <f>'Phase finale'!DA45</f>
        <v>0</v>
      </c>
      <c r="CG29" s="244">
        <f>'Phase finale'!DB45</f>
        <v>0</v>
      </c>
      <c r="CH29" s="244">
        <f>'Phase finale'!DC45</f>
        <v>0</v>
      </c>
      <c r="CI29" s="244">
        <f>'Phase finale'!DD45</f>
        <v>0</v>
      </c>
      <c r="CJ29" s="244">
        <f>'Phase finale'!DE45</f>
        <v>0</v>
      </c>
      <c r="CK29" s="244">
        <f>'Phase finale'!DF45</f>
        <v>0</v>
      </c>
      <c r="CL29" s="244">
        <f>'Phase finale'!DG45</f>
        <v>0</v>
      </c>
      <c r="CM29" s="244">
        <f>'Phase finale'!DH45</f>
        <v>0</v>
      </c>
      <c r="CN29" s="244">
        <f>'Phase finale'!DI45</f>
        <v>0</v>
      </c>
      <c r="CP29" s="443"/>
      <c r="CQ29" s="443"/>
      <c r="CR29" s="443"/>
      <c r="CS29" s="447"/>
      <c r="CT29" s="443"/>
      <c r="CU29" s="443"/>
      <c r="CV29" s="443"/>
      <c r="DC29" s="443" t="str">
        <f t="shared" si="30"/>
        <v/>
      </c>
      <c r="DD29" s="244" t="str">
        <f>X14</f>
        <v/>
      </c>
      <c r="DE29" s="443" t="b">
        <f>R14</f>
        <v>0</v>
      </c>
      <c r="DF29" s="443">
        <f>P14</f>
        <v>0</v>
      </c>
      <c r="DG29" s="443" cm="1">
        <f t="array" ref="DG29">_xlfn.XLOOKUP(DC29,Tableau19[Licence],'GESTION DES JOUEURS'!$O$11:$O$46,0,0,1)</f>
        <v>0</v>
      </c>
      <c r="DH29" s="443" t="str">
        <f>IFERROR(IF('GESTION DES JOUEURS'!$D$4="3 Bandes",DF29/_xlfn.XLOOKUP(DG29,Tableau13[Cat.],Tableau13[3 Bandes],"",0,1),IF('GESTION DES JOUEURS'!$D$4="Bande",DF29/_xlfn.XLOOKUP(DG29,Tableau13[Cat.],Tableau13[bande],"",0,1),IF('GESTION DES JOUEURS'!$D$4="Cadre",DF29/_xlfn.XLOOKUP(DG29,Tableau13[Cat.],Tableau13[Cadre],"",0,1),IF('GESTION DES JOUEURS'!$D$4="Libre",DF29/_xlfn.XLOOKUP(DG29,Tableau13[Cat.],Tableau13[Libre],"",0,1),"")))),0)</f>
        <v/>
      </c>
      <c r="DI29" s="443">
        <f>Q14</f>
        <v>0</v>
      </c>
    </row>
    <row r="30" spans="1:114" ht="15.6" customHeight="1" thickBot="1" x14ac:dyDescent="0.3">
      <c r="B30" s="444"/>
      <c r="C30" s="35" t="s">
        <v>27</v>
      </c>
      <c r="D30" s="1081" t="s">
        <v>28</v>
      </c>
      <c r="E30" s="1081"/>
      <c r="F30" s="1081" t="s">
        <v>29</v>
      </c>
      <c r="G30" s="1081"/>
      <c r="H30" s="1081"/>
      <c r="I30" s="761" t="s">
        <v>30</v>
      </c>
      <c r="J30" s="1142"/>
      <c r="K30" s="1142"/>
      <c r="L30" s="1142"/>
      <c r="M30" s="762"/>
      <c r="N30" s="404" t="s">
        <v>14</v>
      </c>
      <c r="O30" s="35" t="s">
        <v>20</v>
      </c>
      <c r="P30" s="35" t="s">
        <v>19</v>
      </c>
      <c r="Q30" s="100" t="s">
        <v>17</v>
      </c>
      <c r="R30" s="408" t="s">
        <v>5451</v>
      </c>
      <c r="S30" s="404"/>
      <c r="T30" s="243"/>
      <c r="AA30" s="913"/>
      <c r="AE30" s="371">
        <v>4</v>
      </c>
      <c r="AF30" s="371" t="str">
        <f t="shared" si="31"/>
        <v/>
      </c>
      <c r="AG30" s="371" t="str">
        <f t="shared" si="32"/>
        <v/>
      </c>
      <c r="AH30" s="371" t="b">
        <f t="shared" si="33"/>
        <v>0</v>
      </c>
      <c r="AI30" s="371" t="e">
        <f t="shared" si="34"/>
        <v>#VALUE!</v>
      </c>
      <c r="AJ30" s="244" t="e">
        <f t="shared" si="35"/>
        <v>#VALUE!</v>
      </c>
      <c r="AK30" s="244">
        <f t="shared" si="36"/>
        <v>0</v>
      </c>
      <c r="AL30" s="573" t="str">
        <f t="shared" si="37"/>
        <v/>
      </c>
      <c r="AM30" s="244" t="e">
        <f t="shared" si="38"/>
        <v>#VALUE!</v>
      </c>
      <c r="AZ30" s="244">
        <v>24</v>
      </c>
      <c r="BU30" s="244">
        <f>'Phase finale'!CP46</f>
        <v>0</v>
      </c>
      <c r="BV30" s="244">
        <f>'Phase finale'!CQ46</f>
        <v>0</v>
      </c>
      <c r="BW30" s="244">
        <f>'Phase finale'!CR46</f>
        <v>0</v>
      </c>
      <c r="BX30" s="244">
        <f>'Phase finale'!CS46</f>
        <v>0</v>
      </c>
      <c r="BY30" s="244">
        <f>'Phase finale'!CT46</f>
        <v>0</v>
      </c>
      <c r="BZ30" s="244">
        <f>'Phase finale'!CU46</f>
        <v>0</v>
      </c>
      <c r="CA30" s="244">
        <f>'Phase finale'!CV46</f>
        <v>0</v>
      </c>
      <c r="CB30" s="244">
        <f>'Phase finale'!CW46</f>
        <v>0</v>
      </c>
      <c r="CC30" s="244">
        <f>'Phase finale'!CX46</f>
        <v>0</v>
      </c>
      <c r="CD30" s="244">
        <f>'Phase finale'!CY46</f>
        <v>0</v>
      </c>
      <c r="CE30" s="244">
        <f>'Phase finale'!CZ46</f>
        <v>0</v>
      </c>
      <c r="CF30" s="244">
        <f>'Phase finale'!DA46</f>
        <v>0</v>
      </c>
      <c r="CG30" s="244">
        <f>'Phase finale'!DB46</f>
        <v>0</v>
      </c>
      <c r="CH30" s="244">
        <f>'Phase finale'!DC46</f>
        <v>0</v>
      </c>
      <c r="CI30" s="244">
        <f>'Phase finale'!DD46</f>
        <v>0</v>
      </c>
      <c r="CJ30" s="244">
        <f>'Phase finale'!DE46</f>
        <v>0</v>
      </c>
      <c r="CK30" s="244">
        <f>'Phase finale'!DF46</f>
        <v>0</v>
      </c>
      <c r="CL30" s="244">
        <f>'Phase finale'!DG46</f>
        <v>0</v>
      </c>
      <c r="CM30" s="244">
        <f>'Phase finale'!DH46</f>
        <v>0</v>
      </c>
      <c r="CN30" s="244">
        <f>'Phase finale'!DI46</f>
        <v>0</v>
      </c>
      <c r="CP30" s="443"/>
      <c r="CQ30" s="443"/>
      <c r="CR30" s="443"/>
      <c r="CS30" s="447"/>
      <c r="CT30" s="443"/>
      <c r="CU30" s="443"/>
      <c r="CV30" s="443"/>
      <c r="DC30" s="443" t="str">
        <f t="shared" si="30"/>
        <v/>
      </c>
      <c r="DD30" s="244" t="str">
        <f>X15</f>
        <v/>
      </c>
      <c r="DE30" s="443" t="b">
        <f>R15</f>
        <v>0</v>
      </c>
      <c r="DF30" s="443">
        <f>P15</f>
        <v>0</v>
      </c>
      <c r="DG30" s="443" cm="1">
        <f t="array" ref="DG30">_xlfn.XLOOKUP(DC30,Tableau19[Licence],'GESTION DES JOUEURS'!$O$11:$O$46,0,0,1)</f>
        <v>0</v>
      </c>
      <c r="DH30" s="443" t="str">
        <f>IFERROR(IF('GESTION DES JOUEURS'!$D$4="3 Bandes",DF30/_xlfn.XLOOKUP(DG30,Tableau13[Cat.],Tableau13[3 Bandes],"",0,1),IF('GESTION DES JOUEURS'!$D$4="Bande",DF30/_xlfn.XLOOKUP(DG30,Tableau13[Cat.],Tableau13[bande],"",0,1),IF('GESTION DES JOUEURS'!$D$4="Cadre",DF30/_xlfn.XLOOKUP(DG30,Tableau13[Cat.],Tableau13[Cadre],"",0,1),IF('GESTION DES JOUEURS'!$D$4="Libre",DF30/_xlfn.XLOOKUP(DG30,Tableau13[Cat.],Tableau13[Libre],"",0,1),"")))),0)</f>
        <v/>
      </c>
      <c r="DI30" s="443">
        <f>Q15</f>
        <v>0</v>
      </c>
    </row>
    <row r="31" spans="1:114" ht="15.6" customHeight="1" thickBot="1" x14ac:dyDescent="0.3">
      <c r="B31" s="360">
        <v>1</v>
      </c>
      <c r="C31" s="535" t="str" cm="1">
        <f t="array" ref="C31:C46">_xlfn.SORTBY(AO5:AO20,AP5:AP20,1,AQ5:AQ20,-1,AR5:AR20,-1,AU5:AU20,-1,AV5:AV20,-1,AW5:AW20,1,AS5:AS20,-1,AT5:AT20,1,AX5:AX20,-1)</f>
        <v/>
      </c>
      <c r="D31" s="1199" t="str">
        <f>_xlfn.XLOOKUP(C31,Tableau19[Licence],Tableau19[Nom],"",0,1)</f>
        <v/>
      </c>
      <c r="E31" s="1199"/>
      <c r="F31" s="1199" t="str">
        <f>_xlfn.XLOOKUP(C31,Tableau19[Licence],Tableau19[[prénom ]],"",0,1)</f>
        <v/>
      </c>
      <c r="G31" s="1199"/>
      <c r="H31" s="1199"/>
      <c r="I31" s="1199" t="str">
        <f>_xlfn.XLOOKUP(C31,Tableau19[Licence],Tableau19[Club],"",0,1)</f>
        <v/>
      </c>
      <c r="J31" s="1199"/>
      <c r="K31" s="1199"/>
      <c r="L31" s="1199"/>
      <c r="M31" s="1199" t="str">
        <f t="shared" ref="M31" si="39">IF(C31="","",_xlfn.XLOOKUP(C31,$B$6:$B$11,$V$6:$V$23,"",0,1))</f>
        <v/>
      </c>
      <c r="N31" s="535">
        <f>IFERROR(IF(C30="","",SUM(SUMIFS($D$9:$D$23,$F$9:$F$23,C31,$A$9:$A$23,"P"),SUMIFS($X$9:$X$23,$V$9:$V$23,C31,$A$9:$A$23,"P"),_xlfn.XLOOKUP(C31,$BU$7:$BU$42,$CF$7:$CF$42,0,0,1))),"")</f>
        <v>0</v>
      </c>
      <c r="O31" s="617" t="e" cm="1">
        <f t="array" ref="O31">_xlfn.XLOOKUP(C31,_xlfn.ANCHORARRAY($CP$7),$CW$7:$CW$22,"",0,1)</f>
        <v>#DIV/0!</v>
      </c>
      <c r="P31" s="617">
        <f>MAX(_xlfn.MAXIFS($E$9:$E$23,$F$9:$F$23,C31),_xlfn.MAXIFS($W$9:$W$23,$V$9:$V$23,C31))</f>
        <v>0</v>
      </c>
      <c r="Q31" s="627">
        <f>IFERROR(MAX(_xlfn.MAXIFS($M$9:$M$23,$F$9:$F$23,C31),_xlfn.MAXIFS($Q$9:$Q$23,$V$9:$V$23,C31)),"")</f>
        <v>0</v>
      </c>
      <c r="R31" s="536" t="str">
        <f>IF(C31="","",1)</f>
        <v/>
      </c>
      <c r="S31" s="361"/>
      <c r="T31" s="363"/>
      <c r="AA31" s="929" t="s">
        <v>8125</v>
      </c>
      <c r="AE31" s="371">
        <v>4</v>
      </c>
      <c r="AF31" s="371" t="str">
        <f t="shared" si="31"/>
        <v/>
      </c>
      <c r="AG31" s="371" t="str">
        <f t="shared" si="32"/>
        <v/>
      </c>
      <c r="AH31" s="371" t="b">
        <f t="shared" si="33"/>
        <v>0</v>
      </c>
      <c r="AI31" s="371" t="e">
        <f t="shared" si="34"/>
        <v>#VALUE!</v>
      </c>
      <c r="AJ31" s="244" t="e">
        <f t="shared" si="35"/>
        <v>#VALUE!</v>
      </c>
      <c r="AK31" s="244">
        <f t="shared" si="36"/>
        <v>0</v>
      </c>
      <c r="AL31" s="573" t="str">
        <f t="shared" si="37"/>
        <v/>
      </c>
      <c r="AM31" s="244" t="e">
        <f t="shared" si="38"/>
        <v>#VALUE!</v>
      </c>
      <c r="AZ31" s="244">
        <v>25</v>
      </c>
      <c r="BU31" s="244">
        <f>'Phase finale'!CP47</f>
        <v>0</v>
      </c>
      <c r="BV31" s="244">
        <f>'Phase finale'!CQ47</f>
        <v>0</v>
      </c>
      <c r="BW31" s="244">
        <f>'Phase finale'!CR47</f>
        <v>0</v>
      </c>
      <c r="BX31" s="244">
        <f>'Phase finale'!CS47</f>
        <v>0</v>
      </c>
      <c r="BY31" s="244">
        <f>'Phase finale'!CT47</f>
        <v>0</v>
      </c>
      <c r="BZ31" s="244">
        <f>'Phase finale'!CU47</f>
        <v>0</v>
      </c>
      <c r="CA31" s="244">
        <f>'Phase finale'!CV47</f>
        <v>0</v>
      </c>
      <c r="CB31" s="244">
        <f>'Phase finale'!CW47</f>
        <v>0</v>
      </c>
      <c r="CC31" s="244">
        <f>'Phase finale'!CX47</f>
        <v>0</v>
      </c>
      <c r="CD31" s="244">
        <f>'Phase finale'!CY47</f>
        <v>0</v>
      </c>
      <c r="CE31" s="244">
        <f>'Phase finale'!CZ47</f>
        <v>0</v>
      </c>
      <c r="CF31" s="244">
        <f>'Phase finale'!DA47</f>
        <v>0</v>
      </c>
      <c r="CG31" s="244">
        <f>'Phase finale'!DB47</f>
        <v>0</v>
      </c>
      <c r="CH31" s="244">
        <f>'Phase finale'!DC47</f>
        <v>0</v>
      </c>
      <c r="CI31" s="244">
        <f>'Phase finale'!DD47</f>
        <v>0</v>
      </c>
      <c r="CJ31" s="244">
        <f>'Phase finale'!DE47</f>
        <v>0</v>
      </c>
      <c r="CK31" s="244">
        <f>'Phase finale'!DF47</f>
        <v>0</v>
      </c>
      <c r="CL31" s="244">
        <f>'Phase finale'!DG47</f>
        <v>0</v>
      </c>
      <c r="CM31" s="244">
        <f>'Phase finale'!DH47</f>
        <v>0</v>
      </c>
      <c r="CN31" s="244">
        <f>'Phase finale'!DI47</f>
        <v>0</v>
      </c>
      <c r="CP31" s="443"/>
      <c r="CQ31" s="443"/>
      <c r="CR31" s="443"/>
      <c r="CS31" s="447"/>
      <c r="CT31" s="443"/>
      <c r="CU31" s="443"/>
      <c r="CV31" s="443"/>
    </row>
    <row r="32" spans="1:114" ht="15.6" customHeight="1" thickBot="1" x14ac:dyDescent="0.3">
      <c r="A32" s="245"/>
      <c r="B32" s="598">
        <v>2</v>
      </c>
      <c r="C32" s="599" t="str">
        <v/>
      </c>
      <c r="D32" s="1197" t="str">
        <f>_xlfn.XLOOKUP(C32,Tableau19[Licence],Tableau19[Nom],"",0,1)</f>
        <v/>
      </c>
      <c r="E32" s="1197"/>
      <c r="F32" s="1197" t="str">
        <f>_xlfn.XLOOKUP(C32,Tableau19[Licence],Tableau19[[prénom ]],"",0,1)</f>
        <v/>
      </c>
      <c r="G32" s="1197"/>
      <c r="H32" s="1197"/>
      <c r="I32" s="1197" t="str">
        <f>_xlfn.XLOOKUP(C32,Tableau19[Licence],Tableau19[Club],"",0,1)</f>
        <v/>
      </c>
      <c r="J32" s="1197"/>
      <c r="K32" s="1197"/>
      <c r="L32" s="1197"/>
      <c r="M32" s="1197" t="str">
        <f t="shared" ref="M32:M46" si="40">IF(C32="","",_xlfn.XLOOKUP(C32,$B$6:$B$11,$V$6:$V$23,"",0,1))</f>
        <v/>
      </c>
      <c r="N32" s="628" t="str">
        <f t="shared" ref="N32:N46" si="41">IFERROR(IF(C31="","",SUM(SUMIFS($D$9:$D$23,$F$9:$F$23,C32,$A$9:$A$23,"P"),SUMIFS($X$9:$X$23,$V$9:$V$23,C32,$A$9:$A$23,"P"),_xlfn.XLOOKUP(C32,$BU$7:$BU$42,$CF$7:$CF$42,0,0,1))),"")</f>
        <v/>
      </c>
      <c r="O32" s="618" t="e" cm="1">
        <f t="array" ref="O32">_xlfn.XLOOKUP(C32,_xlfn.ANCHORARRAY($CP$7),$CW$7:$CW$22,"",0,1)</f>
        <v>#DIV/0!</v>
      </c>
      <c r="P32" s="618">
        <f t="shared" ref="P32:P46" si="42">MAX(_xlfn.MAXIFS($E$9:$E$23,$F$9:$F$23,C32),_xlfn.MAXIFS($W$9:$W$23,$V$9:$V$23,C32))</f>
        <v>0</v>
      </c>
      <c r="Q32" s="628">
        <f t="shared" ref="Q32:Q46" si="43">IFERROR(MAX(_xlfn.MAXIFS($M$9:$M$23,$F$9:$F$23,C32),_xlfn.MAXIFS($Q$9:$Q$23,$V$9:$V$23,C32)),"")</f>
        <v>0</v>
      </c>
      <c r="R32" s="646" t="str">
        <f>IF(C32="","",2)</f>
        <v/>
      </c>
      <c r="S32" s="637"/>
      <c r="T32" s="600"/>
      <c r="AA32" s="930"/>
      <c r="AE32" s="371">
        <v>4</v>
      </c>
      <c r="AF32" s="371" t="str">
        <f t="shared" si="31"/>
        <v/>
      </c>
      <c r="AG32" s="371" t="str">
        <f t="shared" si="32"/>
        <v/>
      </c>
      <c r="AH32" s="371" t="b">
        <f t="shared" si="33"/>
        <v>0</v>
      </c>
      <c r="AI32" s="371" t="e">
        <f t="shared" si="34"/>
        <v>#VALUE!</v>
      </c>
      <c r="AJ32" s="244" t="e">
        <f t="shared" si="35"/>
        <v>#VALUE!</v>
      </c>
      <c r="AK32" s="244">
        <f t="shared" si="36"/>
        <v>0</v>
      </c>
      <c r="AL32" s="573" t="str">
        <f t="shared" si="37"/>
        <v/>
      </c>
      <c r="AM32" s="244" t="e">
        <f t="shared" si="38"/>
        <v>#VALUE!</v>
      </c>
      <c r="AZ32" s="244">
        <v>26</v>
      </c>
      <c r="BU32" s="244">
        <f>'Phase finale'!CP48</f>
        <v>0</v>
      </c>
      <c r="BV32" s="244">
        <f>'Phase finale'!CQ48</f>
        <v>0</v>
      </c>
      <c r="BW32" s="244">
        <f>'Phase finale'!CR48</f>
        <v>0</v>
      </c>
      <c r="BX32" s="244">
        <f>'Phase finale'!CS48</f>
        <v>0</v>
      </c>
      <c r="BY32" s="244">
        <f>'Phase finale'!CT48</f>
        <v>0</v>
      </c>
      <c r="BZ32" s="244">
        <f>'Phase finale'!CU48</f>
        <v>0</v>
      </c>
      <c r="CA32" s="244">
        <f>'Phase finale'!CV48</f>
        <v>0</v>
      </c>
      <c r="CB32" s="244">
        <f>'Phase finale'!CW48</f>
        <v>0</v>
      </c>
      <c r="CC32" s="244">
        <f>'Phase finale'!CX48</f>
        <v>0</v>
      </c>
      <c r="CD32" s="244">
        <f>'Phase finale'!CY48</f>
        <v>0</v>
      </c>
      <c r="CE32" s="244">
        <f>'Phase finale'!CZ48</f>
        <v>0</v>
      </c>
      <c r="CF32" s="244">
        <f>'Phase finale'!DA48</f>
        <v>0</v>
      </c>
      <c r="CG32" s="244">
        <f>'Phase finale'!DB48</f>
        <v>0</v>
      </c>
      <c r="CH32" s="244">
        <f>'Phase finale'!DC48</f>
        <v>0</v>
      </c>
      <c r="CI32" s="244">
        <f>'Phase finale'!DD48</f>
        <v>0</v>
      </c>
      <c r="CJ32" s="244">
        <f>'Phase finale'!DE48</f>
        <v>0</v>
      </c>
      <c r="CK32" s="244">
        <f>'Phase finale'!DF48</f>
        <v>0</v>
      </c>
      <c r="CL32" s="244">
        <f>'Phase finale'!DG48</f>
        <v>0</v>
      </c>
      <c r="CM32" s="244">
        <f>'Phase finale'!DH48</f>
        <v>0</v>
      </c>
      <c r="CN32" s="244">
        <f>'Phase finale'!DI48</f>
        <v>0</v>
      </c>
      <c r="CP32" s="443"/>
      <c r="CQ32" s="443"/>
      <c r="CR32" s="443"/>
      <c r="CS32" s="447"/>
      <c r="CT32" s="443"/>
      <c r="CU32" s="443"/>
      <c r="CV32" s="443"/>
    </row>
    <row r="33" spans="1:100" ht="15.6" customHeight="1" x14ac:dyDescent="0.25">
      <c r="A33" s="245"/>
      <c r="B33" s="594">
        <v>3</v>
      </c>
      <c r="C33" s="590" t="str">
        <v/>
      </c>
      <c r="D33" s="1209" t="str">
        <f>_xlfn.XLOOKUP(C33,Tableau19[Licence],Tableau19[Nom],"",0,1)</f>
        <v/>
      </c>
      <c r="E33" s="1209"/>
      <c r="F33" s="1209" t="str">
        <f>_xlfn.XLOOKUP(C33,Tableau19[Licence],Tableau19[[prénom ]],"",0,1)</f>
        <v/>
      </c>
      <c r="G33" s="1209"/>
      <c r="H33" s="1209"/>
      <c r="I33" s="1209" t="str">
        <f>_xlfn.XLOOKUP(C33,Tableau19[Licence],Tableau19[Club],"",0,1)</f>
        <v/>
      </c>
      <c r="J33" s="1209"/>
      <c r="K33" s="1209"/>
      <c r="L33" s="1209"/>
      <c r="M33" s="1209" t="str">
        <f t="shared" si="40"/>
        <v/>
      </c>
      <c r="N33" s="629" t="str">
        <f t="shared" si="41"/>
        <v/>
      </c>
      <c r="O33" s="619" t="e" cm="1">
        <f t="array" ref="O33">_xlfn.XLOOKUP(C33,_xlfn.ANCHORARRAY($CP$7),$CW$7:$CW$22,"",0,1)</f>
        <v>#DIV/0!</v>
      </c>
      <c r="P33" s="619">
        <f t="shared" si="42"/>
        <v>0</v>
      </c>
      <c r="Q33" s="629">
        <f t="shared" si="43"/>
        <v>0</v>
      </c>
      <c r="R33" s="647" t="str">
        <f>IF(C33="","",3)</f>
        <v/>
      </c>
      <c r="S33" s="638"/>
      <c r="T33" s="595"/>
      <c r="AE33" s="371">
        <v>4</v>
      </c>
      <c r="AF33" s="371" t="str">
        <f t="shared" si="31"/>
        <v/>
      </c>
      <c r="AG33" s="371" t="str">
        <f t="shared" si="32"/>
        <v/>
      </c>
      <c r="AH33" s="371" t="b">
        <f t="shared" si="33"/>
        <v>0</v>
      </c>
      <c r="AI33" s="371" t="e">
        <f t="shared" si="34"/>
        <v>#VALUE!</v>
      </c>
      <c r="AJ33" s="244" t="e">
        <f t="shared" si="35"/>
        <v>#VALUE!</v>
      </c>
      <c r="AK33" s="244">
        <f t="shared" si="36"/>
        <v>0</v>
      </c>
      <c r="AL33" s="573" t="str">
        <f t="shared" si="37"/>
        <v/>
      </c>
      <c r="AM33" s="244" t="e">
        <f t="shared" si="38"/>
        <v>#VALUE!</v>
      </c>
      <c r="AZ33" s="244">
        <v>27</v>
      </c>
      <c r="BU33" s="244">
        <f>'Phase finale'!CP49</f>
        <v>0</v>
      </c>
      <c r="BV33" s="244">
        <f>'Phase finale'!CQ49</f>
        <v>0</v>
      </c>
      <c r="BW33" s="244">
        <f>'Phase finale'!CR49</f>
        <v>0</v>
      </c>
      <c r="BX33" s="244">
        <f>'Phase finale'!CS49</f>
        <v>0</v>
      </c>
      <c r="BY33" s="244">
        <f>'Phase finale'!CT49</f>
        <v>0</v>
      </c>
      <c r="BZ33" s="244">
        <f>'Phase finale'!CU49</f>
        <v>0</v>
      </c>
      <c r="CA33" s="244">
        <f>'Phase finale'!CV49</f>
        <v>0</v>
      </c>
      <c r="CB33" s="244">
        <f>'Phase finale'!CW49</f>
        <v>0</v>
      </c>
      <c r="CC33" s="244">
        <f>'Phase finale'!CX49</f>
        <v>0</v>
      </c>
      <c r="CD33" s="244">
        <f>'Phase finale'!CY49</f>
        <v>0</v>
      </c>
      <c r="CE33" s="244">
        <f>'Phase finale'!CZ49</f>
        <v>0</v>
      </c>
      <c r="CF33" s="244">
        <f>'Phase finale'!DA49</f>
        <v>0</v>
      </c>
      <c r="CG33" s="244">
        <f>'Phase finale'!DB49</f>
        <v>0</v>
      </c>
      <c r="CH33" s="244">
        <f>'Phase finale'!DC49</f>
        <v>0</v>
      </c>
      <c r="CI33" s="244">
        <f>'Phase finale'!DD49</f>
        <v>0</v>
      </c>
      <c r="CJ33" s="244">
        <f>'Phase finale'!DE49</f>
        <v>0</v>
      </c>
      <c r="CK33" s="244">
        <f>'Phase finale'!DF49</f>
        <v>0</v>
      </c>
      <c r="CL33" s="244">
        <f>'Phase finale'!DG49</f>
        <v>0</v>
      </c>
      <c r="CM33" s="244">
        <f>'Phase finale'!DH49</f>
        <v>0</v>
      </c>
      <c r="CN33" s="244">
        <f>'Phase finale'!DI49</f>
        <v>0</v>
      </c>
      <c r="CP33" s="443"/>
      <c r="CQ33" s="443"/>
      <c r="CR33" s="443"/>
      <c r="CS33" s="447"/>
      <c r="CT33" s="443"/>
      <c r="CU33" s="443"/>
      <c r="CV33" s="443"/>
    </row>
    <row r="34" spans="1:100" ht="15.6" customHeight="1" thickBot="1" x14ac:dyDescent="0.3">
      <c r="A34" s="245"/>
      <c r="B34" s="591">
        <v>4</v>
      </c>
      <c r="C34" s="592" t="str">
        <v/>
      </c>
      <c r="D34" s="1210" t="str">
        <f>_xlfn.XLOOKUP(C34,Tableau19[Licence],Tableau19[Nom],"",0,1)</f>
        <v/>
      </c>
      <c r="E34" s="1210"/>
      <c r="F34" s="1210" t="str">
        <f>_xlfn.XLOOKUP(C34,Tableau19[Licence],Tableau19[[prénom ]],"",0,1)</f>
        <v/>
      </c>
      <c r="G34" s="1210"/>
      <c r="H34" s="1210"/>
      <c r="I34" s="1210" t="str">
        <f>_xlfn.XLOOKUP(C34,Tableau19[Licence],Tableau19[Club],"",0,1)</f>
        <v/>
      </c>
      <c r="J34" s="1210"/>
      <c r="K34" s="1210"/>
      <c r="L34" s="1210"/>
      <c r="M34" s="1210" t="str">
        <f t="shared" si="40"/>
        <v/>
      </c>
      <c r="N34" s="630" t="str">
        <f t="shared" si="41"/>
        <v/>
      </c>
      <c r="O34" s="620" t="e" cm="1">
        <f t="array" ref="O34">_xlfn.XLOOKUP(C34,_xlfn.ANCHORARRAY($CP$7),$CW$7:$CW$22,"",0,1)</f>
        <v>#DIV/0!</v>
      </c>
      <c r="P34" s="620">
        <f t="shared" si="42"/>
        <v>0</v>
      </c>
      <c r="Q34" s="630">
        <f t="shared" si="43"/>
        <v>0</v>
      </c>
      <c r="R34" s="648" t="str">
        <f>IF(C34="","",4)</f>
        <v/>
      </c>
      <c r="S34" s="639"/>
      <c r="T34" s="593"/>
      <c r="AE34" s="371">
        <v>4</v>
      </c>
      <c r="AF34" s="371" t="str">
        <f t="shared" si="31"/>
        <v/>
      </c>
      <c r="AG34" s="371" t="str">
        <f t="shared" si="32"/>
        <v/>
      </c>
      <c r="AH34" s="371" t="b">
        <f t="shared" si="33"/>
        <v>0</v>
      </c>
      <c r="AI34" s="371" t="e">
        <f t="shared" si="34"/>
        <v>#VALUE!</v>
      </c>
      <c r="AJ34" s="244" t="e">
        <f t="shared" si="35"/>
        <v>#VALUE!</v>
      </c>
      <c r="AK34" s="244">
        <f t="shared" si="36"/>
        <v>0</v>
      </c>
      <c r="AL34" s="573" t="str">
        <f t="shared" si="37"/>
        <v/>
      </c>
      <c r="AM34" s="244" t="e">
        <f t="shared" si="38"/>
        <v>#VALUE!</v>
      </c>
      <c r="AZ34" s="244">
        <v>28</v>
      </c>
      <c r="CP34" s="443"/>
      <c r="CQ34" s="443"/>
      <c r="CR34" s="443"/>
      <c r="CS34" s="447"/>
      <c r="CT34" s="443"/>
      <c r="CU34" s="443"/>
      <c r="CV34" s="443"/>
    </row>
    <row r="35" spans="1:100" ht="15.6" customHeight="1" thickBot="1" x14ac:dyDescent="0.3">
      <c r="B35" s="596">
        <v>5</v>
      </c>
      <c r="C35" s="582" t="str">
        <v/>
      </c>
      <c r="D35" s="1198" t="str">
        <f>_xlfn.XLOOKUP(C35,Tableau19[Licence],Tableau19[Nom],"",0,1)</f>
        <v/>
      </c>
      <c r="E35" s="1198"/>
      <c r="F35" s="1198" t="str">
        <f>_xlfn.XLOOKUP(C35,Tableau19[Licence],Tableau19[[prénom ]],"",0,1)</f>
        <v/>
      </c>
      <c r="G35" s="1198"/>
      <c r="H35" s="1198"/>
      <c r="I35" s="1198" t="str">
        <f>_xlfn.XLOOKUP(C35,Tableau19[Licence],Tableau19[Club],"",0,1)</f>
        <v/>
      </c>
      <c r="J35" s="1198"/>
      <c r="K35" s="1198"/>
      <c r="L35" s="1198"/>
      <c r="M35" s="1198" t="str">
        <f t="shared" si="40"/>
        <v/>
      </c>
      <c r="N35" s="631" t="str">
        <f t="shared" si="41"/>
        <v/>
      </c>
      <c r="O35" s="621" t="e" cm="1">
        <f t="array" ref="O35">_xlfn.XLOOKUP(C35,_xlfn.ANCHORARRAY($CP$7),$CW$7:$CW$22,"",0,1)</f>
        <v>#DIV/0!</v>
      </c>
      <c r="P35" s="621">
        <f t="shared" si="42"/>
        <v>0</v>
      </c>
      <c r="Q35" s="631">
        <f t="shared" si="43"/>
        <v>0</v>
      </c>
      <c r="R35" s="649" t="str">
        <f>IF(C35="","",5)</f>
        <v/>
      </c>
      <c r="S35" s="640"/>
      <c r="T35" s="597"/>
      <c r="AZ35" s="244">
        <v>29</v>
      </c>
      <c r="CP35" s="443"/>
      <c r="CQ35" s="443"/>
      <c r="CR35" s="443"/>
      <c r="CS35" s="447"/>
      <c r="CT35" s="443"/>
      <c r="CU35" s="443"/>
      <c r="CV35" s="443"/>
    </row>
    <row r="36" spans="1:100" ht="15.6" customHeight="1" thickBot="1" x14ac:dyDescent="0.3">
      <c r="B36" s="581">
        <v>6</v>
      </c>
      <c r="C36" s="583" t="str">
        <v/>
      </c>
      <c r="D36" s="1072" t="str">
        <f>_xlfn.XLOOKUP(C36,Tableau19[Licence],Tableau19[Nom],"",0,1)</f>
        <v/>
      </c>
      <c r="E36" s="1072"/>
      <c r="F36" s="1072" t="str">
        <f>_xlfn.XLOOKUP(C36,Tableau19[Licence],Tableau19[[prénom ]],"",0,1)</f>
        <v/>
      </c>
      <c r="G36" s="1072"/>
      <c r="H36" s="1072"/>
      <c r="I36" s="1072" t="str">
        <f>_xlfn.XLOOKUP(C36,Tableau19[Licence],Tableau19[Club],"",0,1)</f>
        <v/>
      </c>
      <c r="J36" s="1072"/>
      <c r="K36" s="1072"/>
      <c r="L36" s="1072"/>
      <c r="M36" s="1072" t="str">
        <f t="shared" si="40"/>
        <v/>
      </c>
      <c r="N36" s="632" t="str">
        <f t="shared" si="41"/>
        <v/>
      </c>
      <c r="O36" s="622" t="e" cm="1">
        <f t="array" ref="O36">_xlfn.XLOOKUP(C36,_xlfn.ANCHORARRAY($CP$7),$CW$7:$CW$22,"",0,1)</f>
        <v>#DIV/0!</v>
      </c>
      <c r="P36" s="622">
        <f t="shared" si="42"/>
        <v>0</v>
      </c>
      <c r="Q36" s="632">
        <f t="shared" si="43"/>
        <v>0</v>
      </c>
      <c r="R36" s="650" t="str">
        <f>IF(C36="","",6)</f>
        <v/>
      </c>
      <c r="S36" s="641"/>
      <c r="T36" s="585"/>
      <c r="V36" s="813" t="s">
        <v>8105</v>
      </c>
      <c r="W36" s="814"/>
      <c r="X36" s="1074"/>
      <c r="Y36" s="438" t="s">
        <v>63</v>
      </c>
      <c r="AA36" s="718" t="s">
        <v>8130</v>
      </c>
      <c r="AZ36" s="244">
        <v>30</v>
      </c>
      <c r="CP36" s="443"/>
      <c r="CQ36" s="443"/>
      <c r="CR36" s="443"/>
      <c r="CS36" s="447"/>
      <c r="CT36" s="443"/>
      <c r="CU36" s="443"/>
      <c r="CV36" s="443"/>
    </row>
    <row r="37" spans="1:100" ht="15.6" customHeight="1" thickBot="1" x14ac:dyDescent="0.3">
      <c r="B37" s="581">
        <v>7</v>
      </c>
      <c r="C37" s="583" t="str">
        <v/>
      </c>
      <c r="D37" s="1072" t="str">
        <f>_xlfn.XLOOKUP(C37,Tableau19[Licence],Tableau19[Nom],"",0,1)</f>
        <v/>
      </c>
      <c r="E37" s="1072"/>
      <c r="F37" s="1072" t="str">
        <f>_xlfn.XLOOKUP(C37,Tableau19[Licence],Tableau19[[prénom ]],"",0,1)</f>
        <v/>
      </c>
      <c r="G37" s="1072"/>
      <c r="H37" s="1072"/>
      <c r="I37" s="1072" t="str">
        <f>_xlfn.XLOOKUP(C37,Tableau19[Licence],Tableau19[Club],"",0,1)</f>
        <v/>
      </c>
      <c r="J37" s="1072"/>
      <c r="K37" s="1072"/>
      <c r="L37" s="1072"/>
      <c r="M37" s="1072" t="str">
        <f t="shared" si="40"/>
        <v/>
      </c>
      <c r="N37" s="632" t="str">
        <f t="shared" si="41"/>
        <v/>
      </c>
      <c r="O37" s="622" t="e" cm="1">
        <f t="array" ref="O37">_xlfn.XLOOKUP(C37,_xlfn.ANCHORARRAY($CP$7),$CW$7:$CW$22,"",0,1)</f>
        <v>#DIV/0!</v>
      </c>
      <c r="P37" s="622">
        <f t="shared" si="42"/>
        <v>0</v>
      </c>
      <c r="Q37" s="632">
        <f t="shared" si="43"/>
        <v>0</v>
      </c>
      <c r="R37" s="650" t="str">
        <f>IF(C37="","",7)</f>
        <v/>
      </c>
      <c r="S37" s="641"/>
      <c r="T37" s="585"/>
      <c r="AA37" s="719"/>
      <c r="AZ37" s="244">
        <v>31</v>
      </c>
      <c r="CP37" s="443"/>
      <c r="CQ37" s="443"/>
      <c r="CR37" s="443"/>
      <c r="CS37" s="447"/>
      <c r="CT37" s="443"/>
      <c r="CU37" s="443"/>
      <c r="CV37" s="443"/>
    </row>
    <row r="38" spans="1:100" ht="15.6" customHeight="1" thickBot="1" x14ac:dyDescent="0.3">
      <c r="B38" s="586">
        <v>8</v>
      </c>
      <c r="C38" s="587" t="str">
        <v/>
      </c>
      <c r="D38" s="1073" t="str">
        <f>_xlfn.XLOOKUP(C38,Tableau19[Licence],Tableau19[Nom],"",0,1)</f>
        <v/>
      </c>
      <c r="E38" s="1073"/>
      <c r="F38" s="1073" t="str">
        <f>_xlfn.XLOOKUP(C38,Tableau19[Licence],Tableau19[[prénom ]],"",0,1)</f>
        <v/>
      </c>
      <c r="G38" s="1073"/>
      <c r="H38" s="1073"/>
      <c r="I38" s="1073" t="str">
        <f>_xlfn.XLOOKUP(C38,Tableau19[Licence],Tableau19[Club],"",0,1)</f>
        <v/>
      </c>
      <c r="J38" s="1073"/>
      <c r="K38" s="1073"/>
      <c r="L38" s="1073"/>
      <c r="M38" s="1073" t="str">
        <f t="shared" si="40"/>
        <v/>
      </c>
      <c r="N38" s="633" t="str">
        <f t="shared" si="41"/>
        <v/>
      </c>
      <c r="O38" s="623" t="e" cm="1">
        <f t="array" ref="O38">_xlfn.XLOOKUP(C38,_xlfn.ANCHORARRAY($CP$7),$CW$7:$CW$22,"",0,1)</f>
        <v>#DIV/0!</v>
      </c>
      <c r="P38" s="623">
        <f t="shared" si="42"/>
        <v>0</v>
      </c>
      <c r="Q38" s="633">
        <f t="shared" si="43"/>
        <v>0</v>
      </c>
      <c r="R38" s="651" t="str">
        <f>IF(C38="","",8)</f>
        <v/>
      </c>
      <c r="S38" s="642"/>
      <c r="T38" s="589"/>
      <c r="V38" s="1200" t="str">
        <f>"TABLEAU "&amp;CHAR(10)&amp;B2</f>
        <v xml:space="preserve">TABLEAU 
</v>
      </c>
      <c r="W38" s="1201"/>
      <c r="X38" s="1201"/>
      <c r="Y38" s="1202"/>
      <c r="AZ38" s="244">
        <v>32</v>
      </c>
      <c r="CP38" s="443"/>
      <c r="CQ38" s="443"/>
      <c r="CR38" s="443"/>
      <c r="CS38" s="447"/>
      <c r="CT38" s="443"/>
      <c r="CU38" s="443"/>
      <c r="CV38" s="443"/>
    </row>
    <row r="39" spans="1:100" ht="15.6" customHeight="1" x14ac:dyDescent="0.25">
      <c r="B39" s="601">
        <v>9</v>
      </c>
      <c r="C39" s="602" t="str">
        <v/>
      </c>
      <c r="D39" s="1062" t="str">
        <f>_xlfn.XLOOKUP(C39,Tableau19[Licence],Tableau19[Nom],"",0,1)</f>
        <v/>
      </c>
      <c r="E39" s="1062"/>
      <c r="F39" s="1062" t="str">
        <f>_xlfn.XLOOKUP(C39,Tableau19[Licence],Tableau19[[prénom ]],"",0,1)</f>
        <v/>
      </c>
      <c r="G39" s="1062"/>
      <c r="H39" s="1062"/>
      <c r="I39" s="1062" t="str">
        <f>_xlfn.XLOOKUP(C39,Tableau19[Licence],Tableau19[Club],"",0,1)</f>
        <v/>
      </c>
      <c r="J39" s="1062"/>
      <c r="K39" s="1062"/>
      <c r="L39" s="1062"/>
      <c r="M39" s="1062" t="str">
        <f t="shared" si="40"/>
        <v/>
      </c>
      <c r="N39" s="634" t="str">
        <f t="shared" si="41"/>
        <v/>
      </c>
      <c r="O39" s="624" t="e" cm="1">
        <f t="array" ref="O39">_xlfn.XLOOKUP(C39,_xlfn.ANCHORARRAY($CP$7),$CW$7:$CW$22,"",0,1)</f>
        <v>#DIV/0!</v>
      </c>
      <c r="P39" s="624">
        <f t="shared" si="42"/>
        <v>0</v>
      </c>
      <c r="Q39" s="634">
        <f t="shared" si="43"/>
        <v>0</v>
      </c>
      <c r="R39" s="652" t="str">
        <f>IF(C39="","",9)</f>
        <v/>
      </c>
      <c r="S39" s="643"/>
      <c r="T39" s="605"/>
      <c r="V39" s="1203"/>
      <c r="W39" s="1204"/>
      <c r="X39" s="1204"/>
      <c r="Y39" s="1205"/>
      <c r="AA39" s="1126" t="s">
        <v>9888</v>
      </c>
      <c r="AZ39" s="244">
        <v>33</v>
      </c>
      <c r="CP39" s="443"/>
      <c r="CQ39" s="443"/>
      <c r="CR39" s="443"/>
      <c r="CS39" s="447"/>
      <c r="CT39" s="443"/>
      <c r="CU39" s="443"/>
      <c r="CV39" s="443"/>
    </row>
    <row r="40" spans="1:100" ht="15.6" customHeight="1" x14ac:dyDescent="0.25">
      <c r="B40" s="606">
        <v>10</v>
      </c>
      <c r="C40" s="607" t="str">
        <v/>
      </c>
      <c r="D40" s="1156" t="str">
        <f>_xlfn.XLOOKUP(C40,Tableau19[Licence],Tableau19[Nom],"",0,1)</f>
        <v/>
      </c>
      <c r="E40" s="1156"/>
      <c r="F40" s="1156" t="str">
        <f>_xlfn.XLOOKUP(C40,Tableau19[Licence],Tableau19[[prénom ]],"",0,1)</f>
        <v/>
      </c>
      <c r="G40" s="1156"/>
      <c r="H40" s="1156"/>
      <c r="I40" s="1156" t="str">
        <f>_xlfn.XLOOKUP(C40,Tableau19[Licence],Tableau19[Club],"",0,1)</f>
        <v/>
      </c>
      <c r="J40" s="1156"/>
      <c r="K40" s="1156"/>
      <c r="L40" s="1156"/>
      <c r="M40" s="1156" t="str">
        <f t="shared" si="40"/>
        <v/>
      </c>
      <c r="N40" s="635" t="str">
        <f t="shared" si="41"/>
        <v/>
      </c>
      <c r="O40" s="625" t="e" cm="1">
        <f t="array" ref="O40">_xlfn.XLOOKUP(C40,_xlfn.ANCHORARRAY($CP$7),$CW$7:$CW$22,"",0,1)</f>
        <v>#DIV/0!</v>
      </c>
      <c r="P40" s="625">
        <f t="shared" si="42"/>
        <v>0</v>
      </c>
      <c r="Q40" s="635">
        <f t="shared" si="43"/>
        <v>0</v>
      </c>
      <c r="R40" s="653" t="str">
        <f>IF(C40="","",10)</f>
        <v/>
      </c>
      <c r="S40" s="644"/>
      <c r="T40" s="610"/>
      <c r="V40" s="1203"/>
      <c r="W40" s="1204"/>
      <c r="X40" s="1204"/>
      <c r="Y40" s="1205"/>
      <c r="AA40" s="1127"/>
      <c r="AZ40" s="244">
        <v>34</v>
      </c>
      <c r="CP40" s="443"/>
      <c r="CQ40" s="443"/>
      <c r="CR40" s="443"/>
      <c r="CS40" s="447"/>
      <c r="CT40" s="443"/>
      <c r="CU40" s="443"/>
      <c r="CV40" s="443"/>
    </row>
    <row r="41" spans="1:100" ht="15.6" customHeight="1" thickBot="1" x14ac:dyDescent="0.3">
      <c r="B41" s="606">
        <v>11</v>
      </c>
      <c r="C41" s="607" t="str">
        <v/>
      </c>
      <c r="D41" s="1156" t="str">
        <f>_xlfn.XLOOKUP(C41,Tableau19[Licence],Tableau19[Nom],"",0,1)</f>
        <v/>
      </c>
      <c r="E41" s="1156"/>
      <c r="F41" s="1156" t="str">
        <f>_xlfn.XLOOKUP(C41,Tableau19[Licence],Tableau19[[prénom ]],"",0,1)</f>
        <v/>
      </c>
      <c r="G41" s="1156"/>
      <c r="H41" s="1156"/>
      <c r="I41" s="1156" t="str">
        <f>_xlfn.XLOOKUP(C41,Tableau19[Licence],Tableau19[Club],"",0,1)</f>
        <v/>
      </c>
      <c r="J41" s="1156"/>
      <c r="K41" s="1156"/>
      <c r="L41" s="1156"/>
      <c r="M41" s="1156" t="str">
        <f t="shared" si="40"/>
        <v/>
      </c>
      <c r="N41" s="635" t="str">
        <f t="shared" si="41"/>
        <v/>
      </c>
      <c r="O41" s="625" t="e" cm="1">
        <f t="array" ref="O41">_xlfn.XLOOKUP(C41,_xlfn.ANCHORARRAY($CP$7),$CW$7:$CW$22,"",0,1)</f>
        <v>#DIV/0!</v>
      </c>
      <c r="P41" s="625">
        <f t="shared" si="42"/>
        <v>0</v>
      </c>
      <c r="Q41" s="635">
        <f t="shared" si="43"/>
        <v>0</v>
      </c>
      <c r="R41" s="653" t="str">
        <f>IF(C41="","",11)</f>
        <v/>
      </c>
      <c r="S41" s="644"/>
      <c r="T41" s="610"/>
      <c r="V41" s="1203"/>
      <c r="W41" s="1204"/>
      <c r="X41" s="1204"/>
      <c r="Y41" s="1205"/>
      <c r="AA41" s="1128"/>
      <c r="AZ41" s="244">
        <v>35</v>
      </c>
      <c r="CP41" s="443"/>
      <c r="CQ41" s="443"/>
      <c r="CR41" s="443"/>
      <c r="CS41" s="447"/>
      <c r="CT41" s="443"/>
      <c r="CU41" s="443"/>
      <c r="CV41" s="443"/>
    </row>
    <row r="42" spans="1:100" ht="15.6" customHeight="1" x14ac:dyDescent="0.25">
      <c r="B42" s="606">
        <v>12</v>
      </c>
      <c r="C42" s="607" t="str">
        <v/>
      </c>
      <c r="D42" s="1156" t="str">
        <f>_xlfn.XLOOKUP(C42,Tableau19[Licence],Tableau19[Nom],"",0,1)</f>
        <v/>
      </c>
      <c r="E42" s="1156"/>
      <c r="F42" s="1156" t="str">
        <f>_xlfn.XLOOKUP(C42,Tableau19[Licence],Tableau19[[prénom ]],"",0,1)</f>
        <v/>
      </c>
      <c r="G42" s="1156"/>
      <c r="H42" s="1156"/>
      <c r="I42" s="1156" t="str">
        <f>_xlfn.XLOOKUP(C42,Tableau19[Licence],Tableau19[Club],"",0,1)</f>
        <v/>
      </c>
      <c r="J42" s="1156"/>
      <c r="K42" s="1156"/>
      <c r="L42" s="1156"/>
      <c r="M42" s="1156" t="str">
        <f t="shared" si="40"/>
        <v/>
      </c>
      <c r="N42" s="635" t="str">
        <f t="shared" si="41"/>
        <v/>
      </c>
      <c r="O42" s="625" t="e" cm="1">
        <f t="array" ref="O42">_xlfn.XLOOKUP(C42,_xlfn.ANCHORARRAY($CP$7),$CW$7:$CW$22,"",0,1)</f>
        <v>#DIV/0!</v>
      </c>
      <c r="P42" s="625">
        <f t="shared" si="42"/>
        <v>0</v>
      </c>
      <c r="Q42" s="635">
        <f t="shared" si="43"/>
        <v>0</v>
      </c>
      <c r="R42" s="653" t="str">
        <f>IF(C42="","",12)</f>
        <v/>
      </c>
      <c r="S42" s="644"/>
      <c r="T42" s="610"/>
      <c r="V42" s="1203"/>
      <c r="W42" s="1204"/>
      <c r="X42" s="1204"/>
      <c r="Y42" s="1205"/>
      <c r="AZ42" s="244">
        <v>36</v>
      </c>
      <c r="CP42" s="443"/>
      <c r="CQ42" s="443"/>
      <c r="CR42" s="443"/>
      <c r="CS42" s="447"/>
      <c r="CT42" s="443"/>
      <c r="CU42" s="443"/>
      <c r="CV42" s="443"/>
    </row>
    <row r="43" spans="1:100" ht="15.6" customHeight="1" thickBot="1" x14ac:dyDescent="0.3">
      <c r="B43" s="606">
        <v>13</v>
      </c>
      <c r="C43" s="607" t="str">
        <v/>
      </c>
      <c r="D43" s="1156" t="str">
        <f>_xlfn.XLOOKUP(C43,Tableau19[Licence],Tableau19[Nom],"",0,1)</f>
        <v/>
      </c>
      <c r="E43" s="1156"/>
      <c r="F43" s="1156" t="str">
        <f>_xlfn.XLOOKUP(C43,Tableau19[Licence],Tableau19[[prénom ]],"",0,1)</f>
        <v/>
      </c>
      <c r="G43" s="1156"/>
      <c r="H43" s="1156"/>
      <c r="I43" s="1156" t="str">
        <f>_xlfn.XLOOKUP(C43,Tableau19[Licence],Tableau19[Club],"",0,1)</f>
        <v/>
      </c>
      <c r="J43" s="1156"/>
      <c r="K43" s="1156"/>
      <c r="L43" s="1156"/>
      <c r="M43" s="1156" t="str">
        <f t="shared" si="40"/>
        <v/>
      </c>
      <c r="N43" s="635" t="str">
        <f t="shared" si="41"/>
        <v/>
      </c>
      <c r="O43" s="625" t="e" cm="1">
        <f t="array" ref="O43">_xlfn.XLOOKUP(C43,_xlfn.ANCHORARRAY($CP$7),$CW$7:$CW$22,"",0,1)</f>
        <v>#DIV/0!</v>
      </c>
      <c r="P43" s="625">
        <f t="shared" si="42"/>
        <v>0</v>
      </c>
      <c r="Q43" s="635">
        <f t="shared" si="43"/>
        <v>0</v>
      </c>
      <c r="R43" s="653" t="str">
        <f>IF(C43="","",13)</f>
        <v/>
      </c>
      <c r="S43" s="644"/>
      <c r="T43" s="610"/>
      <c r="V43" s="1203"/>
      <c r="W43" s="1204"/>
      <c r="X43" s="1204"/>
      <c r="Y43" s="1205"/>
    </row>
    <row r="44" spans="1:100" ht="15.6" customHeight="1" x14ac:dyDescent="0.25">
      <c r="B44" s="606">
        <v>14</v>
      </c>
      <c r="C44" s="607" t="str">
        <v/>
      </c>
      <c r="D44" s="1156" t="str">
        <f>_xlfn.XLOOKUP(C44,Tableau19[Licence],Tableau19[Nom],"",0,1)</f>
        <v/>
      </c>
      <c r="E44" s="1156"/>
      <c r="F44" s="1156" t="str">
        <f>_xlfn.XLOOKUP(C44,Tableau19[Licence],Tableau19[[prénom ]],"",0,1)</f>
        <v/>
      </c>
      <c r="G44" s="1156"/>
      <c r="H44" s="1156"/>
      <c r="I44" s="1156" t="str">
        <f>_xlfn.XLOOKUP(C44,Tableau19[Licence],Tableau19[Club],"",0,1)</f>
        <v/>
      </c>
      <c r="J44" s="1156"/>
      <c r="K44" s="1156"/>
      <c r="L44" s="1156"/>
      <c r="M44" s="1156" t="str">
        <f t="shared" si="40"/>
        <v/>
      </c>
      <c r="N44" s="635" t="str">
        <f t="shared" si="41"/>
        <v/>
      </c>
      <c r="O44" s="625" t="e" cm="1">
        <f t="array" ref="O44">_xlfn.XLOOKUP(C44,_xlfn.ANCHORARRAY($CP$7),$CW$7:$CW$22,"",0,1)</f>
        <v>#DIV/0!</v>
      </c>
      <c r="P44" s="625">
        <f t="shared" si="42"/>
        <v>0</v>
      </c>
      <c r="Q44" s="635">
        <f t="shared" si="43"/>
        <v>0</v>
      </c>
      <c r="R44" s="653" t="str">
        <f>IF(C44="","",14)</f>
        <v/>
      </c>
      <c r="S44" s="644"/>
      <c r="T44" s="610"/>
      <c r="V44" s="1203"/>
      <c r="W44" s="1204"/>
      <c r="X44" s="1204"/>
      <c r="Y44" s="1205"/>
      <c r="AA44" s="926" t="s">
        <v>5447</v>
      </c>
    </row>
    <row r="45" spans="1:100" ht="15.6" customHeight="1" x14ac:dyDescent="0.25">
      <c r="B45" s="606">
        <v>15</v>
      </c>
      <c r="C45" s="607" t="str">
        <v/>
      </c>
      <c r="D45" s="1156" t="str">
        <f>_xlfn.XLOOKUP(C45,Tableau19[Licence],Tableau19[Nom],"",0,1)</f>
        <v/>
      </c>
      <c r="E45" s="1156"/>
      <c r="F45" s="1156" t="str">
        <f>_xlfn.XLOOKUP(C45,Tableau19[Licence],Tableau19[[prénom ]],"",0,1)</f>
        <v/>
      </c>
      <c r="G45" s="1156"/>
      <c r="H45" s="1156"/>
      <c r="I45" s="1156" t="str">
        <f>_xlfn.XLOOKUP(C45,Tableau19[Licence],Tableau19[Club],"",0,1)</f>
        <v/>
      </c>
      <c r="J45" s="1156"/>
      <c r="K45" s="1156"/>
      <c r="L45" s="1156"/>
      <c r="M45" s="1156" t="str">
        <f t="shared" si="40"/>
        <v/>
      </c>
      <c r="N45" s="635" t="str">
        <f t="shared" si="41"/>
        <v/>
      </c>
      <c r="O45" s="625" t="e" cm="1">
        <f t="array" ref="O45">_xlfn.XLOOKUP(C45,_xlfn.ANCHORARRAY($CP$7),$CW$7:$CW$22,"",0,1)</f>
        <v>#DIV/0!</v>
      </c>
      <c r="P45" s="625">
        <f t="shared" si="42"/>
        <v>0</v>
      </c>
      <c r="Q45" s="635">
        <f t="shared" si="43"/>
        <v>0</v>
      </c>
      <c r="R45" s="653" t="str">
        <f>IF(C45="","",15)</f>
        <v/>
      </c>
      <c r="S45" s="644"/>
      <c r="T45" s="610"/>
      <c r="V45" s="1203"/>
      <c r="W45" s="1204"/>
      <c r="X45" s="1204"/>
      <c r="Y45" s="1205"/>
      <c r="AA45" s="927"/>
    </row>
    <row r="46" spans="1:100" ht="15.6" customHeight="1" thickBot="1" x14ac:dyDescent="0.3">
      <c r="B46" s="611">
        <v>16</v>
      </c>
      <c r="C46" s="612" t="str">
        <v/>
      </c>
      <c r="D46" s="1162" t="str">
        <f>_xlfn.XLOOKUP(C46,Tableau19[Licence],Tableau19[Nom],"",0,1)</f>
        <v/>
      </c>
      <c r="E46" s="1162"/>
      <c r="F46" s="1162" t="str">
        <f>_xlfn.XLOOKUP(C46,Tableau19[Licence],Tableau19[[prénom ]],"",0,1)</f>
        <v/>
      </c>
      <c r="G46" s="1162"/>
      <c r="H46" s="1162"/>
      <c r="I46" s="1162" t="str">
        <f>_xlfn.XLOOKUP(C46,Tableau19[Licence],Tableau19[Club],"",0,1)</f>
        <v/>
      </c>
      <c r="J46" s="1162"/>
      <c r="K46" s="1162"/>
      <c r="L46" s="1162"/>
      <c r="M46" s="1162" t="str">
        <f t="shared" si="40"/>
        <v/>
      </c>
      <c r="N46" s="636" t="str">
        <f t="shared" si="41"/>
        <v/>
      </c>
      <c r="O46" s="626" t="e" cm="1">
        <f t="array" ref="O46">_xlfn.XLOOKUP(C46,_xlfn.ANCHORARRAY($CP$7),$CW$7:$CW$22,"",0,1)</f>
        <v>#DIV/0!</v>
      </c>
      <c r="P46" s="626">
        <f t="shared" si="42"/>
        <v>0</v>
      </c>
      <c r="Q46" s="636">
        <f t="shared" si="43"/>
        <v>0</v>
      </c>
      <c r="R46" s="654" t="str">
        <f>IF(C46="","",16)</f>
        <v/>
      </c>
      <c r="S46" s="645"/>
      <c r="T46" s="615"/>
      <c r="V46" s="1206"/>
      <c r="W46" s="1207"/>
      <c r="X46" s="1207"/>
      <c r="Y46" s="1208"/>
      <c r="AA46" s="928"/>
    </row>
    <row r="58" spans="26:26" ht="23.1" customHeight="1" x14ac:dyDescent="0.25">
      <c r="Z58" s="247"/>
    </row>
    <row r="59" spans="26:26" ht="23.1" customHeight="1" x14ac:dyDescent="0.25">
      <c r="Z59" s="247"/>
    </row>
    <row r="60" spans="26:26" ht="23.1" customHeight="1" x14ac:dyDescent="0.25">
      <c r="Z60" s="247"/>
    </row>
    <row r="61" spans="26:26" ht="23.1" customHeight="1" x14ac:dyDescent="0.25">
      <c r="Z61" s="247"/>
    </row>
    <row r="62" spans="26:26" ht="23.1" customHeight="1" x14ac:dyDescent="0.25">
      <c r="Z62" s="247"/>
    </row>
  </sheetData>
  <sheetProtection algorithmName="SHA-512" hashValue="epj7su3zR9zZkg2uOe716pMtKQ8NnleNXHSan2WmWw3M30Cwj0s9wWtw9GfzRhsoceANsGEQ4oAshxfZ46RhSA==" saltValue="jOFD6ZpfsOGi6u3jdhpT8Q==" spinCount="100000" sheet="1" objects="1" scenarios="1"/>
  <mergeCells count="143">
    <mergeCell ref="D44:E44"/>
    <mergeCell ref="F44:H44"/>
    <mergeCell ref="I44:M44"/>
    <mergeCell ref="D45:E45"/>
    <mergeCell ref="F45:H45"/>
    <mergeCell ref="I45:M45"/>
    <mergeCell ref="D46:E46"/>
    <mergeCell ref="F46:H46"/>
    <mergeCell ref="I46:M46"/>
    <mergeCell ref="D41:E41"/>
    <mergeCell ref="F41:H41"/>
    <mergeCell ref="I41:M41"/>
    <mergeCell ref="D42:E42"/>
    <mergeCell ref="F42:H42"/>
    <mergeCell ref="I42:M42"/>
    <mergeCell ref="D43:E43"/>
    <mergeCell ref="F43:H43"/>
    <mergeCell ref="I43:M43"/>
    <mergeCell ref="J23:K23"/>
    <mergeCell ref="G23:I23"/>
    <mergeCell ref="V36:X36"/>
    <mergeCell ref="B29:T29"/>
    <mergeCell ref="D40:E40"/>
    <mergeCell ref="F40:H40"/>
    <mergeCell ref="I40:M40"/>
    <mergeCell ref="AA4:AA5"/>
    <mergeCell ref="B5:D5"/>
    <mergeCell ref="I5:J5"/>
    <mergeCell ref="M5:S5"/>
    <mergeCell ref="U5:X5"/>
    <mergeCell ref="B7:B8"/>
    <mergeCell ref="C7:C8"/>
    <mergeCell ref="D7:N7"/>
    <mergeCell ref="P7:X7"/>
    <mergeCell ref="AA7:AA8"/>
    <mergeCell ref="G8:I8"/>
    <mergeCell ref="J8:K8"/>
    <mergeCell ref="S8:T8"/>
    <mergeCell ref="Y7:Y8"/>
    <mergeCell ref="G9:I9"/>
    <mergeCell ref="J9:K9"/>
    <mergeCell ref="S9:T9"/>
    <mergeCell ref="BU5:CL5"/>
    <mergeCell ref="B2:X2"/>
    <mergeCell ref="B4:E4"/>
    <mergeCell ref="F4:I4"/>
    <mergeCell ref="J4:L4"/>
    <mergeCell ref="M4:Q4"/>
    <mergeCell ref="T4:X4"/>
    <mergeCell ref="BX6:BY6"/>
    <mergeCell ref="BZ6:CE6"/>
    <mergeCell ref="B6:C6"/>
    <mergeCell ref="D6:X6"/>
    <mergeCell ref="BB6:BC6"/>
    <mergeCell ref="BD6:BE6"/>
    <mergeCell ref="BF6:BK6"/>
    <mergeCell ref="BV6:BW6"/>
    <mergeCell ref="S12:T12"/>
    <mergeCell ref="G13:I13"/>
    <mergeCell ref="J13:K13"/>
    <mergeCell ref="S13:T13"/>
    <mergeCell ref="AA13:AA14"/>
    <mergeCell ref="G14:I14"/>
    <mergeCell ref="J14:K14"/>
    <mergeCell ref="S14:T14"/>
    <mergeCell ref="AA9:AA10"/>
    <mergeCell ref="G10:I10"/>
    <mergeCell ref="J10:K10"/>
    <mergeCell ref="S10:T10"/>
    <mergeCell ref="G11:I11"/>
    <mergeCell ref="J11:K11"/>
    <mergeCell ref="S11:T11"/>
    <mergeCell ref="AA11:AA12"/>
    <mergeCell ref="G12:I12"/>
    <mergeCell ref="J12:K12"/>
    <mergeCell ref="G17:I17"/>
    <mergeCell ref="J17:K17"/>
    <mergeCell ref="S17:T17"/>
    <mergeCell ref="AA17:AA18"/>
    <mergeCell ref="G18:I18"/>
    <mergeCell ref="J18:K18"/>
    <mergeCell ref="S18:T18"/>
    <mergeCell ref="G15:I15"/>
    <mergeCell ref="J15:K15"/>
    <mergeCell ref="S15:T15"/>
    <mergeCell ref="AA15:AA16"/>
    <mergeCell ref="G16:I16"/>
    <mergeCell ref="J16:K16"/>
    <mergeCell ref="S16:T16"/>
    <mergeCell ref="G21:I21"/>
    <mergeCell ref="J21:K21"/>
    <mergeCell ref="S21:T21"/>
    <mergeCell ref="AA21:AA22"/>
    <mergeCell ref="G22:I22"/>
    <mergeCell ref="J22:K22"/>
    <mergeCell ref="S22:T22"/>
    <mergeCell ref="G19:I19"/>
    <mergeCell ref="J19:K19"/>
    <mergeCell ref="S19:T19"/>
    <mergeCell ref="AA19:AA20"/>
    <mergeCell ref="G20:I20"/>
    <mergeCell ref="J20:K20"/>
    <mergeCell ref="S20:T20"/>
    <mergeCell ref="AA44:AA46"/>
    <mergeCell ref="D31:E31"/>
    <mergeCell ref="F31:H31"/>
    <mergeCell ref="I31:M31"/>
    <mergeCell ref="V38:Y46"/>
    <mergeCell ref="AA31:AA32"/>
    <mergeCell ref="S23:T23"/>
    <mergeCell ref="AA23:AA24"/>
    <mergeCell ref="AA25:AA26"/>
    <mergeCell ref="AA27:AA28"/>
    <mergeCell ref="AA29:AA30"/>
    <mergeCell ref="AA36:AA37"/>
    <mergeCell ref="D30:E30"/>
    <mergeCell ref="F30:H30"/>
    <mergeCell ref="I30:M30"/>
    <mergeCell ref="AA39:AA41"/>
    <mergeCell ref="D33:E33"/>
    <mergeCell ref="F33:H33"/>
    <mergeCell ref="I33:M33"/>
    <mergeCell ref="D34:E34"/>
    <mergeCell ref="F34:H34"/>
    <mergeCell ref="I34:M34"/>
    <mergeCell ref="D39:E39"/>
    <mergeCell ref="F39:H39"/>
    <mergeCell ref="I39:M39"/>
    <mergeCell ref="D32:E32"/>
    <mergeCell ref="F32:H32"/>
    <mergeCell ref="I32:M32"/>
    <mergeCell ref="D35:E35"/>
    <mergeCell ref="F35:H35"/>
    <mergeCell ref="I35:M35"/>
    <mergeCell ref="D38:E38"/>
    <mergeCell ref="F38:H38"/>
    <mergeCell ref="I38:M38"/>
    <mergeCell ref="D36:E36"/>
    <mergeCell ref="F36:H36"/>
    <mergeCell ref="I36:M36"/>
    <mergeCell ref="D37:E37"/>
    <mergeCell ref="F37:H37"/>
    <mergeCell ref="I37:M37"/>
  </mergeCells>
  <conditionalFormatting sqref="B12:Y15">
    <cfRule type="expression" dxfId="2506" priority="6">
      <formula>$C$15=""</formula>
    </cfRule>
  </conditionalFormatting>
  <conditionalFormatting sqref="B16:Y23">
    <cfRule type="expression" dxfId="2505" priority="7">
      <formula>$C$23=""</formula>
    </cfRule>
  </conditionalFormatting>
  <conditionalFormatting sqref="E9:E24">
    <cfRule type="expression" dxfId="2504" priority="10">
      <formula>LEFT($B$6)="3"</formula>
    </cfRule>
  </conditionalFormatting>
  <conditionalFormatting sqref="N32:N46">
    <cfRule type="expression" dxfId="2503" priority="1">
      <formula>LEFT($B$15)="3"</formula>
    </cfRule>
  </conditionalFormatting>
  <conditionalFormatting sqref="O31:Q31 P32:Q46">
    <cfRule type="expression" dxfId="2502" priority="41">
      <formula>LEFT($B$15)="3"</formula>
    </cfRule>
  </conditionalFormatting>
  <conditionalFormatting sqref="W9:W24">
    <cfRule type="expression" dxfId="2501" priority="14">
      <formula>LEFT($B$6)="3"</formula>
    </cfRule>
  </conditionalFormatting>
  <dataValidations count="2">
    <dataValidation type="list" allowBlank="1" showInputMessage="1" showErrorMessage="1" sqref="Y36" xr:uid="{07E372DA-0FDC-4CDB-96A6-58012BF2CD2E}">
      <formula1>"OUI,NON"</formula1>
    </dataValidation>
    <dataValidation type="list" allowBlank="1" showInputMessage="1" showErrorMessage="1" sqref="O24" xr:uid="{14BE4D9C-6CA0-40A9-8B65-4C89D23ADC7C}">
      <formula1>$D$39</formula1>
    </dataValidation>
  </dataValidations>
  <hyperlinks>
    <hyperlink ref="AA9:AA10" location="PA!N18" display="PA!N18" xr:uid="{ABC005B5-C064-4826-84AA-BEEE85C10B3B}"/>
    <hyperlink ref="AA11:AA12" location="PB!N18" display="Poule B" xr:uid="{87AA4365-0575-4DCD-8F6F-7453CC297B41}"/>
    <hyperlink ref="AA13:AA14" location="PC!N18" display="Poule C" xr:uid="{0CABE25B-B375-42E3-9067-C296B38E39BF}"/>
    <hyperlink ref="AA15:AA16" location="PD!N18" display="Poule D" xr:uid="{194AF574-2F1B-4738-BCF5-1C84F4FEDCC0}"/>
    <hyperlink ref="AA17:AA18" location="PE!N18" display="Poule E" xr:uid="{992EE01E-CB75-49B7-A1AA-59E790EA9593}"/>
    <hyperlink ref="AA19:AA20" location="PF!N18" display="Poule F" xr:uid="{5A3A9DEB-113E-42ED-A248-0FEB329F092D}"/>
    <hyperlink ref="AA21:AA22" location="PG!N18" display="Poule G" xr:uid="{514509AD-A55A-42AE-836A-40D2E110C74A}"/>
    <hyperlink ref="AA23:AA24" location="PH!N18" display="Poule H" xr:uid="{F3818364-92A5-4AF3-BFCB-66C0F50B4BE2}"/>
    <hyperlink ref="AA25:AA26" location="PI!N18" display="Poule I" xr:uid="{197B8A9F-F95D-4695-9D23-65D9FF911C36}"/>
    <hyperlink ref="AA27:AA28" location="PJ!N18" display="Poule J" xr:uid="{FB1C396F-6058-491F-BD15-30E83B674289}"/>
    <hyperlink ref="AA29:AA30" location="PK!N18" display="Poule K" xr:uid="{581C22E5-5A40-4817-9565-7A9A71A7DFEC}"/>
    <hyperlink ref="AA31:AA32" location="PL!N18" display="Poule L" xr:uid="{56E0F2C9-B6BF-4E3E-A2EC-F916DB8E200A}"/>
    <hyperlink ref="AA4:AA5" location="'GESTION DES JOUEURS'!D4" display="GESTION DES JOUEURS" xr:uid="{73CD3D66-04E5-4B9F-94F5-72D65AE08321}"/>
    <hyperlink ref="AA39:AA41" location="Consolante!A1" display="Consolante" xr:uid="{B3B9144D-450E-41DF-A142-48E62169A8EF}"/>
    <hyperlink ref="AA36" location="'Phase finale'!A1" display="Phase Finale" xr:uid="{4B4B9ABB-DAA5-4BBE-80C4-AF28548B4460}"/>
    <hyperlink ref="AA44:AA46" location="RESULTATS!A1" display="RESULTATS" xr:uid="{33F7D309-5666-449E-9796-870FFAB6837A}"/>
    <hyperlink ref="Y33:Y41" location="'T Phase finale'!A1" display="'T Phase finale'!A1" xr:uid="{88C581D4-C336-4294-BAE9-78EB5386FDDE}"/>
    <hyperlink ref="V38:Y46" location="'T Consolante'!A1" display="'T Consolante'!A1" xr:uid="{5558C80C-8E59-4559-AA25-5CF816C01E5D}"/>
  </hyperlinks>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5" id="{E5DD11F7-E410-4EE4-8E00-E8A1580E154C}">
            <xm:f>'GESTION DES JOUEURS'!$T$8&lt;2</xm:f>
            <x14:dxf>
              <font>
                <color theme="0" tint="-0.24994659260841701"/>
              </font>
              <fill>
                <patternFill>
                  <bgColor theme="0" tint="-0.24994659260841701"/>
                </patternFill>
              </fill>
            </x14:dxf>
          </x14:cfRule>
          <x14:cfRule type="expression" priority="56" id="{587E8770-8FE0-4EC3-A0C1-54A4406367DC}">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54" id="{98EB1389-22F2-4104-9FE0-68CA39256FA7}">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53" id="{09222E4A-4FD9-49C7-98E5-3BD5D1BEA684}">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52" id="{D060E572-561C-4571-B4CC-0F0A46C82009}">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51" id="{73776D8C-230D-48A9-BF98-1BEAD9461287}">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50" id="{A55820A1-9EAD-45B2-8337-9B55C0D1EBDB}">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49" id="{03B9EF8C-CAD1-49A0-86C3-74B4DD2BE758}">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48" id="{6FDD2726-21F6-48FF-82F4-CCACADFBEDAE}">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47" id="{8D896246-1345-4A11-A1DF-8066099C40E2}">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31" id="{127BCAF3-0C76-48B4-A58F-2B3AC8C88D6E}">
            <xm:f>'GESTION DES JOUEURS'!$T$8=1</xm:f>
            <x14:dxf>
              <font>
                <color theme="0" tint="-0.24994659260841701"/>
              </font>
              <fill>
                <patternFill>
                  <bgColor theme="0" tint="-0.24994659260841701"/>
                </patternFill>
              </fill>
            </x14:dxf>
          </x14:cfRule>
          <x14:cfRule type="expression" priority="32" id="{572DFBFB-B6B9-49EB-A506-40B546CCCFA2}">
            <xm:f>OR('GESTION DES JOUEURS'!$D$8="poules",'GESTION DES JOUEURS'!$D$8="Finale")</xm:f>
            <x14:dxf>
              <font>
                <color theme="0" tint="-0.24994659260841701"/>
              </font>
              <fill>
                <patternFill>
                  <fgColor auto="1"/>
                  <bgColor theme="0" tint="-0.24994659260841701"/>
                </patternFill>
              </fill>
            </x14:dxf>
          </x14:cfRule>
          <x14:cfRule type="expression" priority="33" id="{BCF7A4D5-9086-43F8-8507-6C81A2A34E67}">
            <xm:f>'GESTION DES JOUEURS'!$D$8="Finale"</xm:f>
            <x14:dxf>
              <font>
                <color theme="0" tint="-0.24994659260841701"/>
              </font>
              <fill>
                <patternFill>
                  <bgColor theme="0" tint="-0.24994659260841701"/>
                </patternFill>
              </fill>
            </x14:dxf>
          </x14:cfRule>
          <xm:sqref>AA36</xm:sqref>
        </x14:conditionalFormatting>
        <x14:conditionalFormatting xmlns:xm="http://schemas.microsoft.com/office/excel/2006/main">
          <x14:cfRule type="expression" priority="34" id="{A9F26E2D-9D75-474B-B594-0B374CCF62BC}">
            <xm:f>'GESTION DES JOUEURS'!$T$8=1</xm:f>
            <x14:dxf>
              <font>
                <color theme="0" tint="-0.24994659260841701"/>
              </font>
              <fill>
                <patternFill>
                  <bgColor theme="0" tint="-0.24994659260841701"/>
                </patternFill>
              </fill>
            </x14:dxf>
          </x14:cfRule>
          <x14:cfRule type="expression" priority="35" id="{4914DD2E-B83B-4B31-8CDF-B955D877599F}">
            <xm:f>OR('GESTION DES JOUEURS'!$D$8="Poules",'GESTION DES JOUEURS'!$D$8="Finale",'GESTION DES JOUEURS'!$D$8="Tournoi")</xm:f>
            <x14:dxf>
              <font>
                <color theme="0" tint="-0.24994659260841701"/>
              </font>
              <fill>
                <patternFill>
                  <bgColor theme="0" tint="-0.24994659260841701"/>
                </patternFill>
              </fill>
            </x14:dxf>
          </x14:cfRule>
          <x14:cfRule type="expression" priority="36" id="{F6629B5A-6AB6-493D-A73F-242F1DB64149}">
            <xm:f>'GESTION DES JOUEURS'!$D$8="Finale"</xm:f>
            <x14:dxf>
              <font>
                <color theme="0" tint="-0.24994659260841701"/>
              </font>
              <fill>
                <patternFill>
                  <bgColor theme="0" tint="-0.24994659260841701"/>
                </patternFill>
              </fill>
            </x14:dxf>
          </x14:cfRule>
          <xm:sqref>AA39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1F8CDF2-4B61-4AB1-8B06-2EE4AAAF3D13}">
          <x14:formula1>
            <xm:f>IF(AND(_xlfn.XLOOKUP($F24,#REF!,#REF!,"",0,1)="N2",_xlfn.XLOOKUP($V24,#REF!,#REF!,"",0,1)="N2",$B$6="Cadre"),Distances!$U$15:$EL$15,Distances!$B$85:$KQ$85)</xm:f>
          </x14:formula1>
          <xm:sqref>N24 P24</xm:sqref>
        </x14:dataValidation>
        <x14:dataValidation type="list" allowBlank="1" showInputMessage="1" showErrorMessage="1" xr:uid="{8F21BA21-3787-4F93-BEFA-E295A121F09B}">
          <x14:formula1>
            <xm:f>IF($AC9=TRUE,Distances!$B$81:$KQ$81,Distances!$B$79:$KQ$79)</xm:f>
          </x14:formula1>
          <xm:sqref>P9:P23 N9:N23</xm:sqref>
        </x14:dataValidation>
        <x14:dataValidation type="list" allowBlank="1" showInputMessage="1" showErrorMessage="1" xr:uid="{571AFBA1-6FC7-47CE-B29D-FB816D2A38F4}">
          <x14:formula1>
            <xm:f>IF($AC9=TRUE,Distances!$B$82:$KQ$82,Distances!$B$80:$KQ$80)</xm:f>
          </x14:formula1>
          <xm:sqref>O9:O23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88491-6857-4823-9CCC-E909D1BD020D}">
  <sheetPr>
    <tabColor theme="5" tint="-0.249977111117893"/>
  </sheetPr>
  <dimension ref="A1:AS51"/>
  <sheetViews>
    <sheetView zoomScale="70" zoomScaleNormal="70" workbookViewId="0">
      <selection activeCell="H1" sqref="H1:AL3"/>
    </sheetView>
  </sheetViews>
  <sheetFormatPr baseColWidth="10" defaultColWidth="7.42578125" defaultRowHeight="14.45" customHeight="1" x14ac:dyDescent="0.25"/>
  <cols>
    <col min="1" max="8" width="7.42578125" style="244"/>
    <col min="9" max="9" width="7.42578125" style="244" customWidth="1"/>
    <col min="10" max="15" width="7.42578125" style="244"/>
    <col min="16" max="16" width="7.42578125" style="244" customWidth="1"/>
    <col min="17" max="25" width="7.42578125" style="244"/>
    <col min="26" max="26" width="7.42578125" style="244" customWidth="1"/>
    <col min="27" max="42" width="7.42578125" style="244"/>
    <col min="43" max="43" width="1.85546875" style="244" customWidth="1"/>
    <col min="44" max="44" width="17.5703125" style="244" customWidth="1"/>
    <col min="45" max="45" width="10.85546875" style="244" hidden="1" customWidth="1"/>
    <col min="46" max="46" width="2.85546875" style="244" customWidth="1"/>
    <col min="47" max="16384" width="7.42578125" style="244"/>
  </cols>
  <sheetData>
    <row r="1" spans="1:45" ht="14.45" customHeight="1" thickTop="1" x14ac:dyDescent="0.25">
      <c r="A1" s="855" t="s">
        <v>7073</v>
      </c>
      <c r="B1" s="856"/>
      <c r="C1" s="856"/>
      <c r="D1" s="856"/>
      <c r="E1" s="856"/>
      <c r="F1" s="856"/>
      <c r="G1" s="856"/>
      <c r="H1" s="857" t="s">
        <v>11537</v>
      </c>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60" t="e" vm="1">
        <v>#VALUE!</v>
      </c>
      <c r="AN1" s="860"/>
      <c r="AO1" s="860"/>
      <c r="AP1" s="861"/>
    </row>
    <row r="2" spans="1:45" ht="98.1" customHeight="1" x14ac:dyDescent="0.25">
      <c r="A2" s="866" t="str">
        <f>IF(PL!M14="","",PL!M14)</f>
        <v>9031 - ACADEMIE DE BILLARD DE MAISONS ALFORT</v>
      </c>
      <c r="B2" s="867"/>
      <c r="C2" s="867"/>
      <c r="D2" s="867"/>
      <c r="E2" s="867"/>
      <c r="F2" s="867"/>
      <c r="G2" s="867"/>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62"/>
      <c r="AN2" s="862"/>
      <c r="AO2" s="862"/>
      <c r="AP2" s="863"/>
      <c r="AR2" s="371" t="e" vm="1">
        <v>#VALUE!</v>
      </c>
      <c r="AS2" s="244" t="str">
        <f>IF(LEFT(PA!$B$15)="C","   -   "&amp;_xlfn.XLOOKUP(PA!B15,Distances!D2:D77,Distances!K2:K77,"",0,1),"")</f>
        <v/>
      </c>
    </row>
    <row r="3" spans="1:45" ht="19.5" customHeight="1" thickBot="1" x14ac:dyDescent="0.3">
      <c r="A3" s="868" t="str">
        <f>IF('GESTION DES JOUEURS'!$F$6="","","Directeur de jeu : "&amp;PL!S13)</f>
        <v>Directeur de jeu : LEMONIER THIERY</v>
      </c>
      <c r="B3" s="869"/>
      <c r="C3" s="869"/>
      <c r="D3" s="869"/>
      <c r="E3" s="869"/>
      <c r="F3" s="869"/>
      <c r="G3" s="86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c r="AM3" s="864"/>
      <c r="AN3" s="864"/>
      <c r="AO3" s="864"/>
      <c r="AP3" s="865"/>
    </row>
    <row r="4" spans="1:45" ht="6"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R4" s="809" t="s">
        <v>8128</v>
      </c>
    </row>
    <row r="5" spans="1:45" ht="42.6" customHeight="1" thickTop="1" thickBot="1" x14ac:dyDescent="0.3">
      <c r="A5" s="1173" t="str">
        <f>"Mode de jeu : "&amp;_xlfn.XLOOKUP(PL!B15,Distances!D2:D77,Distances!A2:A77,"",0,1)&amp;AS2</f>
        <v>Mode de jeu : Libre</v>
      </c>
      <c r="B5" s="1174"/>
      <c r="C5" s="1174"/>
      <c r="D5" s="1174"/>
      <c r="E5" s="1174"/>
      <c r="F5" s="1173" t="str">
        <f>"Catégorie : "&amp;_xlfn.XLOOKUP(PL!B15,Distances!D2:D77,Distances!B2:B77,"",0,1)</f>
        <v>Catégorie : R2</v>
      </c>
      <c r="G5" s="1174"/>
      <c r="H5" s="1174"/>
      <c r="I5" s="1174"/>
      <c r="J5" s="1174"/>
      <c r="K5" s="1174"/>
      <c r="L5" s="1174"/>
      <c r="M5" s="1175"/>
      <c r="N5" s="1176" t="str">
        <f>IF(F5="Catégorie : N1/N2","Distance réduite : 150 pts"&amp;CHAR(10)&amp;"si N2 Vs N2 120pts",PL!B14&amp;" "&amp;PL!E14&amp;" "&amp;PL!F14)</f>
        <v>Distance : 100 Pts</v>
      </c>
      <c r="O5" s="1177"/>
      <c r="P5" s="1177"/>
      <c r="Q5" s="1177"/>
      <c r="R5" s="1177"/>
      <c r="S5" s="1177"/>
      <c r="T5" s="1178"/>
      <c r="U5" s="1176" t="str">
        <f>IFERROR(IF(F5="Catégorie : N1/N2","Reprises : 15"&amp;CHAR(10)&amp;"si N2 Vs N2 Reprises : 20 ",PL!G14&amp;" "&amp;PL!J14),"")</f>
        <v>Reprises : 40</v>
      </c>
      <c r="V5" s="1177"/>
      <c r="W5" s="1177"/>
      <c r="X5" s="1177"/>
      <c r="Y5" s="1177"/>
      <c r="Z5" s="1177"/>
      <c r="AA5" s="1177"/>
      <c r="AB5" s="1178"/>
      <c r="AC5" s="1179" t="str">
        <f>_xlfn.XLOOKUP(PL!B15,Distances!D2:D77,Distances!J2:J77,"",0,1)&amp;" "&amp;_xlfn.XLOOKUP(PL!B15,Distances!D2:D77,Distances!I2:I77,"",0,1)&amp;"0 m"</f>
        <v>PC 2,80 m</v>
      </c>
      <c r="AD5" s="1180"/>
      <c r="AE5" s="1180"/>
      <c r="AF5" s="1180"/>
      <c r="AG5" s="1180"/>
      <c r="AH5" s="1181"/>
      <c r="AI5" s="1185">
        <f>IF(PL!T14=0,"DATE",PL!T14)</f>
        <v>45633</v>
      </c>
      <c r="AJ5" s="1186"/>
      <c r="AK5" s="1186"/>
      <c r="AL5" s="1186"/>
      <c r="AM5" s="1186"/>
      <c r="AN5" s="1186"/>
      <c r="AO5" s="1186"/>
      <c r="AP5" s="1187"/>
      <c r="AR5" s="810"/>
      <c r="AS5" s="244">
        <f ca="1">IF(PA!T14&gt;1,AI5,TODAY())</f>
        <v>45633</v>
      </c>
    </row>
    <row r="6" spans="1:45" ht="14.45" customHeight="1" thickTop="1" thickBot="1" x14ac:dyDescent="0.3">
      <c r="A6" s="445"/>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6"/>
      <c r="AG6" s="446"/>
      <c r="AH6" s="446"/>
      <c r="AI6" s="446"/>
      <c r="AJ6" s="446"/>
      <c r="AK6" s="446"/>
      <c r="AL6" s="446"/>
      <c r="AM6" s="446"/>
      <c r="AN6" s="446"/>
      <c r="AO6" s="446"/>
      <c r="AP6" s="446"/>
    </row>
    <row r="7" spans="1:45" ht="23.25" x14ac:dyDescent="0.35">
      <c r="A7" s="445"/>
      <c r="B7" s="1188">
        <v>0.125</v>
      </c>
      <c r="C7" s="1189"/>
      <c r="D7" s="1189"/>
      <c r="E7" s="1189"/>
      <c r="F7" s="1189"/>
      <c r="G7" s="1190"/>
      <c r="H7" s="448"/>
      <c r="I7" s="448"/>
      <c r="J7" s="1188">
        <v>0.25</v>
      </c>
      <c r="K7" s="1189"/>
      <c r="L7" s="1189"/>
      <c r="M7" s="1189"/>
      <c r="N7" s="1189"/>
      <c r="O7" s="1190"/>
      <c r="P7" s="448"/>
      <c r="Q7" s="448"/>
      <c r="R7" s="1188">
        <v>0.5</v>
      </c>
      <c r="S7" s="1189"/>
      <c r="T7" s="1189"/>
      <c r="U7" s="1189"/>
      <c r="V7" s="1189"/>
      <c r="W7" s="1190"/>
      <c r="X7" s="448"/>
      <c r="Y7" s="448"/>
      <c r="Z7" s="449"/>
      <c r="AA7" s="449"/>
      <c r="AB7" s="1191" t="s">
        <v>9869</v>
      </c>
      <c r="AC7" s="1192"/>
      <c r="AD7" s="1192"/>
      <c r="AE7" s="1192"/>
      <c r="AF7" s="1192"/>
      <c r="AG7" s="1193"/>
      <c r="AH7" s="449"/>
      <c r="AI7" s="449"/>
      <c r="AJ7" s="1191" t="s">
        <v>10266</v>
      </c>
      <c r="AK7" s="1192"/>
      <c r="AL7" s="1192"/>
      <c r="AM7" s="1192"/>
      <c r="AN7" s="1192"/>
      <c r="AO7" s="1193"/>
      <c r="AP7" s="446"/>
      <c r="AR7" s="684" t="s">
        <v>8129</v>
      </c>
    </row>
    <row r="8" spans="1:45" ht="14.45" customHeight="1" x14ac:dyDescent="0.2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6"/>
      <c r="AA8" s="446"/>
      <c r="AB8" s="445"/>
      <c r="AC8" s="445"/>
      <c r="AD8" s="445"/>
      <c r="AE8" s="445"/>
      <c r="AF8" s="445"/>
      <c r="AG8" s="445"/>
      <c r="AH8" s="446"/>
      <c r="AI8" s="446"/>
      <c r="AJ8" s="446"/>
      <c r="AK8" s="446"/>
      <c r="AL8" s="446"/>
      <c r="AM8" s="446"/>
      <c r="AN8" s="446"/>
      <c r="AO8" s="446"/>
      <c r="AP8" s="446"/>
      <c r="AR8" s="685"/>
    </row>
    <row r="9" spans="1:45" ht="14.45" customHeight="1" x14ac:dyDescent="0.25">
      <c r="A9" s="446"/>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R9" s="704" t="str">
        <f>IF('GESTION DES JOUEURS'!$D$8="Finale","Poule Finale","Poule A")</f>
        <v>Poule A</v>
      </c>
    </row>
    <row r="10" spans="1:45" ht="22.5" customHeight="1" thickBot="1" x14ac:dyDescent="0.35">
      <c r="A10" s="446">
        <v>1</v>
      </c>
      <c r="B10" s="485" t="str">
        <f>IF('GESTION DES JOUEURS'!$D$8="Open",Consolante!F16,"")</f>
        <v/>
      </c>
      <c r="C10" s="1164" t="str">
        <f>IF('GESTION DES JOUEURS'!$D$8="Open",Consolante!G16,"")</f>
        <v/>
      </c>
      <c r="D10" s="1164"/>
      <c r="E10" s="1164"/>
      <c r="F10" s="1165" t="str">
        <f>IF('GESTION DES JOUEURS'!$D$8="Open",Consolante!J16,"")</f>
        <v/>
      </c>
      <c r="G10" s="1166"/>
      <c r="H10" s="446" t="str">
        <f>_xlfn.XLOOKUP(B10,Tableau19[Licence],Tableau19[Catégorie],"",0,1)</f>
        <v/>
      </c>
      <c r="I10" s="446" t="str">
        <f>IF('GESTION DES JOUEURS'!$D$8="Open",Consolante!N16&amp;"Pts en "&amp;Consolante!O16&amp;" Rep.","")</f>
        <v/>
      </c>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R10" s="704"/>
    </row>
    <row r="11" spans="1:45" ht="22.5" customHeight="1" thickTop="1" thickBot="1" x14ac:dyDescent="0.35">
      <c r="A11" s="446"/>
      <c r="B11" s="1167" t="str">
        <f>_xlfn.XLOOKUP(B10,Tableau19[Licence],Tableau19[Club],"",0,1)</f>
        <v/>
      </c>
      <c r="C11" s="1167"/>
      <c r="D11" s="1167"/>
      <c r="E11" s="1167"/>
      <c r="F11" s="1167"/>
      <c r="G11" s="1167"/>
      <c r="H11" s="446"/>
      <c r="I11" s="486"/>
      <c r="J11" s="485" t="str">
        <f>Consolante!F12</f>
        <v/>
      </c>
      <c r="K11" s="1164" t="str">
        <f>Consolante!G12</f>
        <v/>
      </c>
      <c r="L11" s="1164"/>
      <c r="M11" s="1164"/>
      <c r="N11" s="1165" t="str">
        <f>Consolante!J12</f>
        <v/>
      </c>
      <c r="O11" s="1166"/>
      <c r="P11" s="446" t="str">
        <f>_xlfn.XLOOKUP(J11,Tableau19[Licence],Tableau19[Catégorie],"",0,1)</f>
        <v/>
      </c>
      <c r="Q11" s="446" t="str">
        <f>IF(AND(OR('GESTION DES JOUEURS'!$D$8="Open",'GESTION DES JOUEURS'!$D$8="Tournoi"),MAX('GESTION DES JOUEURS'!$A$11:$A$46)&gt;13),Consolante!N12&amp;"Pts en "&amp;Consolante!O12&amp;" Rep.","")</f>
        <v/>
      </c>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R11" s="705" t="s">
        <v>8113</v>
      </c>
    </row>
    <row r="12" spans="1:45" ht="22.5" customHeight="1" thickTop="1" thickBot="1" x14ac:dyDescent="0.35">
      <c r="A12" s="446">
        <v>16</v>
      </c>
      <c r="B12" s="485" t="str">
        <f>IF('GESTION DES JOUEURS'!$D$8="Open",Consolante!V16,"")</f>
        <v/>
      </c>
      <c r="C12" s="1164" t="str">
        <f>IF('GESTION DES JOUEURS'!$D$8="Open",Consolante!S16,"")</f>
        <v/>
      </c>
      <c r="D12" s="1164"/>
      <c r="E12" s="1164"/>
      <c r="F12" s="1165" t="str">
        <f>IF('GESTION DES JOUEURS'!$D$8="Open",Consolante!U16,"")</f>
        <v/>
      </c>
      <c r="G12" s="1166"/>
      <c r="H12" s="446" t="str">
        <f>_xlfn.XLOOKUP(B12,Tableau19[Licence],Tableau19[Catégorie],"",0,1)</f>
        <v/>
      </c>
      <c r="I12" s="446" t="str">
        <f>IF('GESTION DES JOUEURS'!$D$8="Open",Consolante!P16&amp;"Pts en "&amp;Consolante!O16&amp;" Rep.","")</f>
        <v/>
      </c>
      <c r="J12" s="1167" t="str">
        <f>_xlfn.XLOOKUP(J11,Tableau19[Licence],Tableau19[Club],"",0,1)</f>
        <v/>
      </c>
      <c r="K12" s="1167"/>
      <c r="L12" s="1167"/>
      <c r="M12" s="1167"/>
      <c r="N12" s="1167"/>
      <c r="O12" s="1167"/>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R12" s="705"/>
    </row>
    <row r="13" spans="1:45" ht="22.5" customHeight="1" thickTop="1" thickBot="1" x14ac:dyDescent="0.35">
      <c r="A13" s="446"/>
      <c r="B13" s="1167" t="str">
        <f>_xlfn.XLOOKUP(B12,Tableau19[Licence],Tableau19[Club],"",0,1)</f>
        <v/>
      </c>
      <c r="C13" s="1167"/>
      <c r="D13" s="1167"/>
      <c r="E13" s="1167"/>
      <c r="F13" s="1167"/>
      <c r="G13" s="1167"/>
      <c r="H13" s="446"/>
      <c r="I13" s="446"/>
      <c r="J13" s="446"/>
      <c r="K13" s="446"/>
      <c r="L13" s="446"/>
      <c r="M13" s="446"/>
      <c r="N13" s="446"/>
      <c r="O13" s="446"/>
      <c r="P13" s="446"/>
      <c r="Q13" s="487"/>
      <c r="R13" s="485" t="str">
        <f>Consolante!F10</f>
        <v/>
      </c>
      <c r="S13" s="1164" t="str">
        <f>Consolante!G10</f>
        <v/>
      </c>
      <c r="T13" s="1164"/>
      <c r="U13" s="1164"/>
      <c r="V13" s="1165" t="str">
        <f>Consolante!J10</f>
        <v/>
      </c>
      <c r="W13" s="1166"/>
      <c r="X13" s="446" t="str">
        <f>_xlfn.XLOOKUP(R13,Tableau19[Licence],Tableau19[Catégorie],"",0,1)</f>
        <v/>
      </c>
      <c r="Y13" s="446" t="str">
        <f>Consolante!N10&amp;"Pts en "&amp;Consolante!O10&amp;" Rep."</f>
        <v>Pts en  Rep.</v>
      </c>
      <c r="Z13" s="446"/>
      <c r="AA13" s="446"/>
      <c r="AB13" s="446"/>
      <c r="AC13" s="446"/>
      <c r="AD13" s="446"/>
      <c r="AE13" s="446"/>
      <c r="AF13" s="446"/>
      <c r="AG13" s="446"/>
      <c r="AH13" s="446"/>
      <c r="AI13" s="446"/>
      <c r="AJ13" s="446"/>
      <c r="AK13" s="446"/>
      <c r="AL13" s="446"/>
      <c r="AM13" s="446"/>
      <c r="AN13" s="446"/>
      <c r="AO13" s="446"/>
      <c r="AP13" s="446"/>
      <c r="AR13" s="706" t="s">
        <v>8114</v>
      </c>
    </row>
    <row r="14" spans="1:45" ht="22.5" customHeight="1" thickTop="1" thickBot="1" x14ac:dyDescent="0.35">
      <c r="A14" s="446">
        <v>8</v>
      </c>
      <c r="B14" s="485" t="str">
        <f>IF('GESTION DES JOUEURS'!$D$8="Open",Consolante!F23,"")</f>
        <v/>
      </c>
      <c r="C14" s="1164" t="str">
        <f>IF('GESTION DES JOUEURS'!$D$8="Open",Consolante!G23,"")</f>
        <v/>
      </c>
      <c r="D14" s="1164"/>
      <c r="E14" s="1164"/>
      <c r="F14" s="1165" t="str">
        <f>IF('GESTION DES JOUEURS'!$D$8="Open",Consolante!J23,"")</f>
        <v/>
      </c>
      <c r="G14" s="1166"/>
      <c r="H14" s="446" t="str">
        <f>_xlfn.XLOOKUP(B14,Tableau19[Licence],Tableau19[Catégorie],"",0,1)</f>
        <v/>
      </c>
      <c r="I14" s="446" t="str">
        <f>IF('GESTION DES JOUEURS'!$D$8="Open",Consolante!N23&amp;"Pts en "&amp;Consolante!O23&amp;" Rep.","")</f>
        <v/>
      </c>
      <c r="J14" s="446"/>
      <c r="K14" s="446"/>
      <c r="L14" s="446"/>
      <c r="M14" s="446"/>
      <c r="N14" s="446"/>
      <c r="O14" s="446"/>
      <c r="P14" s="446"/>
      <c r="Q14" s="488"/>
      <c r="R14" s="1167" t="str">
        <f>_xlfn.XLOOKUP(R13,Tableau19[Licence],Tableau19[Club],"",0,1)</f>
        <v/>
      </c>
      <c r="S14" s="1167"/>
      <c r="T14" s="1167"/>
      <c r="U14" s="1167"/>
      <c r="V14" s="1167"/>
      <c r="W14" s="1167"/>
      <c r="X14" s="446"/>
      <c r="Y14" s="446"/>
      <c r="Z14" s="446"/>
      <c r="AA14" s="446"/>
      <c r="AB14" s="446"/>
      <c r="AC14" s="446"/>
      <c r="AD14" s="446"/>
      <c r="AE14" s="446"/>
      <c r="AF14" s="446"/>
      <c r="AG14" s="446"/>
      <c r="AH14" s="446"/>
      <c r="AI14" s="446"/>
      <c r="AJ14" s="446"/>
      <c r="AK14" s="446"/>
      <c r="AL14" s="446"/>
      <c r="AM14" s="446"/>
      <c r="AN14" s="446"/>
      <c r="AO14" s="446"/>
      <c r="AP14" s="446"/>
      <c r="AR14" s="706"/>
    </row>
    <row r="15" spans="1:45" ht="22.5" customHeight="1" thickTop="1" thickBot="1" x14ac:dyDescent="0.35">
      <c r="A15" s="446"/>
      <c r="B15" s="1167" t="str">
        <f>_xlfn.XLOOKUP(B14,Tableau19[Licence],Tableau19[Club],"",0,1)</f>
        <v/>
      </c>
      <c r="C15" s="1167"/>
      <c r="D15" s="1167"/>
      <c r="E15" s="1167"/>
      <c r="F15" s="1167"/>
      <c r="G15" s="1167"/>
      <c r="H15" s="446"/>
      <c r="I15" s="486"/>
      <c r="J15" s="485" t="str">
        <f>Consolante!V12</f>
        <v/>
      </c>
      <c r="K15" s="1164" t="str">
        <f>Consolante!S12</f>
        <v/>
      </c>
      <c r="L15" s="1164"/>
      <c r="M15" s="1164"/>
      <c r="N15" s="1165" t="str">
        <f>Consolante!U12</f>
        <v/>
      </c>
      <c r="O15" s="1166"/>
      <c r="P15" s="446" t="str">
        <f>_xlfn.XLOOKUP(J15,Tableau19[Licence],Tableau19[Catégorie],"",0,1)</f>
        <v/>
      </c>
      <c r="Q15" s="446" t="str">
        <f>IF(AND(OR('GESTION DES JOUEURS'!$D$8="Open",'GESTION DES JOUEURS'!$D$8="Tournoi"),MAX('GESTION DES JOUEURS'!$A$11:$A$46)&gt;13),Consolante!P12&amp;"Pts en "&amp;Consolante!O12&amp;" Rep.","")</f>
        <v/>
      </c>
      <c r="R15" s="446"/>
      <c r="S15" s="446"/>
      <c r="T15" s="446"/>
      <c r="U15" s="446"/>
      <c r="V15" s="446"/>
      <c r="W15" s="446"/>
      <c r="X15" s="446"/>
      <c r="Y15" s="489"/>
      <c r="Z15" s="446"/>
      <c r="AA15" s="446"/>
      <c r="AB15" s="446"/>
      <c r="AC15" s="446"/>
      <c r="AD15" s="446"/>
      <c r="AE15" s="446"/>
      <c r="AF15" s="446"/>
      <c r="AG15" s="446"/>
      <c r="AH15" s="446"/>
      <c r="AI15" s="446"/>
      <c r="AJ15" s="446"/>
      <c r="AK15" s="446"/>
      <c r="AL15" s="446"/>
      <c r="AM15" s="446"/>
      <c r="AN15" s="446"/>
      <c r="AO15" s="446"/>
      <c r="AP15" s="446"/>
      <c r="AR15" s="707" t="s">
        <v>8115</v>
      </c>
    </row>
    <row r="16" spans="1:45" ht="22.5" customHeight="1" thickTop="1" thickBot="1" x14ac:dyDescent="0.35">
      <c r="A16" s="446">
        <v>9</v>
      </c>
      <c r="B16" s="485" t="str">
        <f>IF('GESTION DES JOUEURS'!$D$8="Open",Consolante!V23,"")</f>
        <v/>
      </c>
      <c r="C16" s="1164" t="str">
        <f>IF('GESTION DES JOUEURS'!$D$8="Open",Consolante!S23,"")</f>
        <v/>
      </c>
      <c r="D16" s="1164"/>
      <c r="E16" s="1164"/>
      <c r="F16" s="1165" t="str">
        <f>IF('GESTION DES JOUEURS'!$D$8="Open",Consolante!U23,"")</f>
        <v/>
      </c>
      <c r="G16" s="1166"/>
      <c r="H16" s="446" t="str">
        <f>_xlfn.XLOOKUP(B16,Tableau19[Licence],Tableau19[Catégorie],"",0,1)</f>
        <v/>
      </c>
      <c r="I16" s="446" t="str">
        <f>IF('GESTION DES JOUEURS'!$D$8="Open",Consolante!P23&amp;"Pts en "&amp;Consolante!O23&amp;" Rep.","")</f>
        <v/>
      </c>
      <c r="J16" s="1167" t="str">
        <f>_xlfn.XLOOKUP(J15,Tableau19[Licence],Tableau19[Club],"",0,1)</f>
        <v/>
      </c>
      <c r="K16" s="1167"/>
      <c r="L16" s="1167"/>
      <c r="M16" s="1167"/>
      <c r="N16" s="1167"/>
      <c r="O16" s="1167"/>
      <c r="P16" s="446"/>
      <c r="Q16" s="446"/>
      <c r="R16" s="446"/>
      <c r="S16" s="446"/>
      <c r="T16" s="446"/>
      <c r="U16" s="446"/>
      <c r="V16" s="446"/>
      <c r="W16" s="446"/>
      <c r="X16" s="446"/>
      <c r="Y16" s="446"/>
      <c r="Z16" s="489"/>
      <c r="AA16" s="446"/>
      <c r="AB16" s="446"/>
      <c r="AC16" s="446"/>
      <c r="AD16" s="446"/>
      <c r="AE16" s="446"/>
      <c r="AF16" s="446"/>
      <c r="AG16" s="446"/>
      <c r="AH16" s="446"/>
      <c r="AI16" s="446"/>
      <c r="AJ16" s="446"/>
      <c r="AK16" s="446"/>
      <c r="AL16" s="446"/>
      <c r="AM16" s="446"/>
      <c r="AN16" s="446"/>
      <c r="AO16" s="446"/>
      <c r="AP16" s="446"/>
      <c r="AR16" s="707"/>
    </row>
    <row r="17" spans="1:44" ht="22.5" customHeight="1" thickTop="1" thickBot="1" x14ac:dyDescent="0.35">
      <c r="A17" s="446"/>
      <c r="B17" s="1167" t="str">
        <f>_xlfn.XLOOKUP(B16,Tableau19[Licence],Tableau19[Club],"",0,1)</f>
        <v/>
      </c>
      <c r="C17" s="1167"/>
      <c r="D17" s="1167"/>
      <c r="E17" s="1167"/>
      <c r="F17" s="1167"/>
      <c r="G17" s="1167"/>
      <c r="H17" s="446"/>
      <c r="I17" s="446"/>
      <c r="J17" s="446"/>
      <c r="K17" s="446"/>
      <c r="L17" s="446"/>
      <c r="M17" s="446"/>
      <c r="N17" s="446"/>
      <c r="O17" s="446"/>
      <c r="P17" s="446"/>
      <c r="Q17" s="446"/>
      <c r="R17" s="446"/>
      <c r="S17" s="446"/>
      <c r="T17" s="446"/>
      <c r="U17" s="446"/>
      <c r="V17" s="446"/>
      <c r="W17" s="446"/>
      <c r="X17" s="446"/>
      <c r="Y17" s="446"/>
      <c r="Z17" s="446"/>
      <c r="AA17" s="489"/>
      <c r="AB17" s="485" t="str">
        <f>Consolante!F9</f>
        <v/>
      </c>
      <c r="AC17" s="1164" t="str">
        <f>Consolante!G9</f>
        <v/>
      </c>
      <c r="AD17" s="1164"/>
      <c r="AE17" s="1164"/>
      <c r="AF17" s="1165" t="str">
        <f>Consolante!J9</f>
        <v/>
      </c>
      <c r="AG17" s="1166"/>
      <c r="AH17" s="446" t="str">
        <f>_xlfn.XLOOKUP(AB17,Tableau19[Licence],Tableau19[Catégorie],"",0,1)</f>
        <v/>
      </c>
      <c r="AI17" s="446" t="str">
        <f>Consolante!N9&amp;"Pts en "&amp;Consolante!O9&amp;" Rep."</f>
        <v>Pts en  Rep.</v>
      </c>
      <c r="AJ17" s="446"/>
      <c r="AK17" s="446"/>
      <c r="AL17" s="446"/>
      <c r="AM17" s="446"/>
      <c r="AN17" s="446"/>
      <c r="AO17" s="446"/>
      <c r="AP17" s="446"/>
      <c r="AR17" s="686" t="s">
        <v>8116</v>
      </c>
    </row>
    <row r="18" spans="1:44" ht="22.5" customHeight="1" thickTop="1" thickBot="1" x14ac:dyDescent="0.35">
      <c r="A18" s="446">
        <v>5</v>
      </c>
      <c r="B18" s="485" t="str">
        <f>IF('GESTION DES JOUEURS'!$D$8="Open",Consolante!F20,"")</f>
        <v/>
      </c>
      <c r="C18" s="1164" t="str">
        <f>IF('GESTION DES JOUEURS'!$D$8="Open",Consolante!G20,"")</f>
        <v/>
      </c>
      <c r="D18" s="1164"/>
      <c r="E18" s="1164"/>
      <c r="F18" s="1165" t="str">
        <f>IF('GESTION DES JOUEURS'!$D$8="Open",Consolante!J20,"")</f>
        <v/>
      </c>
      <c r="G18" s="1166"/>
      <c r="H18" s="446" t="str">
        <f>_xlfn.XLOOKUP(B18,Tableau19[Licence],Tableau19[Catégorie],"",0,1)</f>
        <v/>
      </c>
      <c r="I18" s="446" t="str">
        <f>IF('GESTION DES JOUEURS'!$D$8="Open",Consolante!N20&amp;"Pts en "&amp;Consolante!O20&amp;" Rep.","")</f>
        <v/>
      </c>
      <c r="J18" s="446"/>
      <c r="K18" s="446"/>
      <c r="L18" s="446"/>
      <c r="M18" s="446"/>
      <c r="N18" s="446"/>
      <c r="O18" s="446"/>
      <c r="P18" s="446"/>
      <c r="Q18" s="446"/>
      <c r="R18" s="446"/>
      <c r="S18" s="446"/>
      <c r="T18" s="446"/>
      <c r="U18" s="446"/>
      <c r="V18" s="446"/>
      <c r="W18" s="446"/>
      <c r="X18" s="446"/>
      <c r="Y18" s="446"/>
      <c r="Z18" s="446"/>
      <c r="AA18" s="490"/>
      <c r="AB18" s="1167" t="str">
        <f>_xlfn.XLOOKUP(AB17,Tableau19[Licence],Tableau19[Club],"",0,1)</f>
        <v/>
      </c>
      <c r="AC18" s="1167"/>
      <c r="AD18" s="1167"/>
      <c r="AE18" s="1167"/>
      <c r="AF18" s="1167"/>
      <c r="AG18" s="1167"/>
      <c r="AH18" s="446"/>
      <c r="AI18" s="446"/>
      <c r="AJ18" s="446"/>
      <c r="AK18" s="446"/>
      <c r="AL18" s="446"/>
      <c r="AM18" s="446"/>
      <c r="AN18" s="446"/>
      <c r="AO18" s="446"/>
      <c r="AP18" s="446"/>
      <c r="AR18" s="686"/>
    </row>
    <row r="19" spans="1:44" ht="22.5" customHeight="1" thickTop="1" thickBot="1" x14ac:dyDescent="0.35">
      <c r="A19" s="446"/>
      <c r="B19" s="1167" t="str">
        <f>_xlfn.XLOOKUP(B18,Tableau19[Licence],Tableau19[Club],"",0,1)</f>
        <v/>
      </c>
      <c r="C19" s="1167"/>
      <c r="D19" s="1167"/>
      <c r="E19" s="1167"/>
      <c r="F19" s="1167"/>
      <c r="G19" s="1167"/>
      <c r="H19" s="446"/>
      <c r="I19" s="486"/>
      <c r="J19" s="485" t="str">
        <f>Consolante!V15</f>
        <v/>
      </c>
      <c r="K19" s="1164" t="str">
        <f>Consolante!S15</f>
        <v/>
      </c>
      <c r="L19" s="1164"/>
      <c r="M19" s="1164"/>
      <c r="N19" s="1165" t="str">
        <f>Consolante!U15</f>
        <v/>
      </c>
      <c r="O19" s="1166"/>
      <c r="P19" s="446" t="str">
        <f>_xlfn.XLOOKUP(J19,Tableau19[Licence],Tableau19[Catégorie],"",0,1)</f>
        <v/>
      </c>
      <c r="Q19" s="446" t="str">
        <f>IF(AND(OR('GESTION DES JOUEURS'!$D$8="Open",'GESTION DES JOUEURS'!$D$8="Tournoi"),MAX('GESTION DES JOUEURS'!$A$11:$A$46)&gt;13),Consolante!P15&amp;"Pts en "&amp;Consolante!O15&amp;" Rep.","")</f>
        <v/>
      </c>
      <c r="R19" s="446"/>
      <c r="S19" s="446"/>
      <c r="T19" s="446"/>
      <c r="U19" s="446"/>
      <c r="V19" s="446"/>
      <c r="W19" s="446"/>
      <c r="X19" s="446"/>
      <c r="Y19" s="446"/>
      <c r="Z19" s="490"/>
      <c r="AA19" s="446"/>
      <c r="AB19" s="446"/>
      <c r="AC19" s="446"/>
      <c r="AD19" s="446"/>
      <c r="AE19" s="446"/>
      <c r="AF19" s="446"/>
      <c r="AG19" s="446"/>
      <c r="AH19" s="446"/>
      <c r="AI19" s="446"/>
      <c r="AJ19" s="446"/>
      <c r="AK19" s="446"/>
      <c r="AL19" s="446"/>
      <c r="AM19" s="446"/>
      <c r="AN19" s="446"/>
      <c r="AO19" s="446"/>
      <c r="AP19" s="446"/>
      <c r="AR19" s="713" t="s">
        <v>8117</v>
      </c>
    </row>
    <row r="20" spans="1:44" ht="22.5" customHeight="1" thickTop="1" thickBot="1" x14ac:dyDescent="0.35">
      <c r="A20" s="446">
        <v>12</v>
      </c>
      <c r="B20" s="485" t="str">
        <f>IF('GESTION DES JOUEURS'!$D$8="Open",Consolante!V20,"")</f>
        <v/>
      </c>
      <c r="C20" s="1164" t="str">
        <f>IF('GESTION DES JOUEURS'!$D$8="Open",Consolante!S20,"")</f>
        <v/>
      </c>
      <c r="D20" s="1164"/>
      <c r="E20" s="1164"/>
      <c r="F20" s="1165" t="str">
        <f>IF('GESTION DES JOUEURS'!$D$8="Open",Consolante!U20,"")</f>
        <v/>
      </c>
      <c r="G20" s="1166"/>
      <c r="H20" s="446" t="str">
        <f>_xlfn.XLOOKUP(B20,Tableau19[Licence],Tableau19[Catégorie],"",0,1)</f>
        <v/>
      </c>
      <c r="I20" s="446" t="str">
        <f>IF('GESTION DES JOUEURS'!$D$8="Open",Consolante!P20&amp;"Pts en "&amp;Consolante!O20&amp;" Rep.","")</f>
        <v/>
      </c>
      <c r="J20" s="1167" t="str">
        <f>_xlfn.XLOOKUP(J19,Tableau19[Licence],Tableau19[Club],"",0,1)</f>
        <v/>
      </c>
      <c r="K20" s="1167"/>
      <c r="L20" s="1167"/>
      <c r="M20" s="1167"/>
      <c r="N20" s="1167"/>
      <c r="O20" s="1167"/>
      <c r="P20" s="446"/>
      <c r="Q20" s="446"/>
      <c r="R20" s="446"/>
      <c r="S20" s="446"/>
      <c r="T20" s="446"/>
      <c r="U20" s="446"/>
      <c r="V20" s="446"/>
      <c r="W20" s="446"/>
      <c r="X20" s="446"/>
      <c r="Y20" s="490"/>
      <c r="Z20" s="446"/>
      <c r="AA20" s="446"/>
      <c r="AB20" s="446"/>
      <c r="AC20" s="446"/>
      <c r="AD20" s="446"/>
      <c r="AE20" s="446"/>
      <c r="AF20" s="446"/>
      <c r="AG20" s="446"/>
      <c r="AH20" s="446"/>
      <c r="AI20" s="446"/>
      <c r="AJ20" s="446"/>
      <c r="AK20" s="446"/>
      <c r="AL20" s="446"/>
      <c r="AM20" s="446"/>
      <c r="AN20" s="446"/>
      <c r="AO20" s="446"/>
      <c r="AP20" s="446"/>
      <c r="AR20" s="713"/>
    </row>
    <row r="21" spans="1:44" ht="22.5" customHeight="1" thickTop="1" thickBot="1" x14ac:dyDescent="0.35">
      <c r="A21" s="446"/>
      <c r="B21" s="1167" t="str">
        <f>_xlfn.XLOOKUP(B20,Tableau19[Licence],Tableau19[Club],"",0,1)</f>
        <v/>
      </c>
      <c r="C21" s="1167"/>
      <c r="D21" s="1167"/>
      <c r="E21" s="1167"/>
      <c r="F21" s="1167"/>
      <c r="G21" s="1167"/>
      <c r="H21" s="446"/>
      <c r="I21" s="446"/>
      <c r="J21" s="446"/>
      <c r="K21" s="446"/>
      <c r="L21" s="446"/>
      <c r="M21" s="446"/>
      <c r="N21" s="446"/>
      <c r="O21" s="446"/>
      <c r="P21" s="446"/>
      <c r="Q21" s="487"/>
      <c r="R21" s="485" t="str">
        <f>Consolante!V10</f>
        <v/>
      </c>
      <c r="S21" s="1164" t="str">
        <f>Consolante!S10</f>
        <v/>
      </c>
      <c r="T21" s="1164"/>
      <c r="U21" s="1164"/>
      <c r="V21" s="1165" t="str">
        <f>Consolante!U10</f>
        <v/>
      </c>
      <c r="W21" s="1166"/>
      <c r="X21" s="446" t="str">
        <f>_xlfn.XLOOKUP(R21,Tableau19[Licence],Tableau19[Catégorie],"",0,1)</f>
        <v/>
      </c>
      <c r="Y21" s="446" t="str">
        <f>Consolante!P10&amp;"Pts en "&amp;Consolante!O10&amp;" Rep."</f>
        <v>Pts en  Rep.</v>
      </c>
      <c r="Z21" s="446"/>
      <c r="AA21" s="446"/>
      <c r="AB21" s="446"/>
      <c r="AC21" s="446"/>
      <c r="AD21" s="446"/>
      <c r="AE21" s="446"/>
      <c r="AF21" s="446"/>
      <c r="AG21" s="446"/>
      <c r="AH21" s="446"/>
      <c r="AI21" s="446"/>
      <c r="AJ21" s="446"/>
      <c r="AK21" s="446"/>
      <c r="AL21" s="446"/>
      <c r="AM21" s="446"/>
      <c r="AN21" s="446"/>
      <c r="AO21" s="446"/>
      <c r="AP21" s="446"/>
      <c r="AR21" s="714" t="s">
        <v>8118</v>
      </c>
    </row>
    <row r="22" spans="1:44" ht="22.5" customHeight="1" thickTop="1" thickBot="1" x14ac:dyDescent="0.35">
      <c r="A22" s="446">
        <v>13</v>
      </c>
      <c r="B22" s="485" t="str">
        <f>IF('GESTION DES JOUEURS'!$D$8="Open",Consolante!V19,"")</f>
        <v/>
      </c>
      <c r="C22" s="1164" t="str">
        <f>IF('GESTION DES JOUEURS'!$D$8="Open",Consolante!S19,"")</f>
        <v/>
      </c>
      <c r="D22" s="1164"/>
      <c r="E22" s="1164"/>
      <c r="F22" s="1165" t="str">
        <f>IF('GESTION DES JOUEURS'!$D$8="Open",Consolante!U19,"")</f>
        <v/>
      </c>
      <c r="G22" s="1166"/>
      <c r="H22" s="446" t="str">
        <f>_xlfn.XLOOKUP(B22,Tableau19[Licence],Tableau19[Catégorie],"",0,1)</f>
        <v/>
      </c>
      <c r="I22" s="446" t="str">
        <f>IF('GESTION DES JOUEURS'!$D$8="Open",Consolante!P19&amp;"Pts en "&amp;Consolante!O19&amp;" Rep.","")</f>
        <v/>
      </c>
      <c r="J22" s="446"/>
      <c r="K22" s="446"/>
      <c r="L22" s="446"/>
      <c r="M22" s="446"/>
      <c r="N22" s="446"/>
      <c r="O22" s="446"/>
      <c r="P22" s="446"/>
      <c r="Q22" s="488"/>
      <c r="R22" s="1167" t="str">
        <f>_xlfn.XLOOKUP(R21,Tableau19[Licence],Tableau19[Club],"",0,1)</f>
        <v/>
      </c>
      <c r="S22" s="1167"/>
      <c r="T22" s="1167"/>
      <c r="U22" s="1167"/>
      <c r="V22" s="1167"/>
      <c r="W22" s="1167"/>
      <c r="X22" s="446"/>
      <c r="Y22" s="446"/>
      <c r="Z22" s="446"/>
      <c r="AA22" s="446"/>
      <c r="AB22" s="446"/>
      <c r="AC22" s="446"/>
      <c r="AD22" s="446"/>
      <c r="AE22" s="446"/>
      <c r="AF22" s="446"/>
      <c r="AG22" s="446"/>
      <c r="AH22" s="446"/>
      <c r="AI22" s="446"/>
      <c r="AJ22" s="446"/>
      <c r="AK22" s="446"/>
      <c r="AL22" s="446"/>
      <c r="AM22" s="446"/>
      <c r="AN22" s="446"/>
      <c r="AO22" s="446"/>
      <c r="AP22" s="446"/>
      <c r="AR22" s="714"/>
    </row>
    <row r="23" spans="1:44" ht="22.5" customHeight="1" thickTop="1" thickBot="1" x14ac:dyDescent="0.35">
      <c r="A23" s="446"/>
      <c r="B23" s="1167" t="str">
        <f>_xlfn.XLOOKUP(B22,Tableau19[Licence],Tableau19[Club],"",0,1)</f>
        <v/>
      </c>
      <c r="C23" s="1167"/>
      <c r="D23" s="1167"/>
      <c r="E23" s="1167"/>
      <c r="F23" s="1167"/>
      <c r="G23" s="1167"/>
      <c r="H23" s="446"/>
      <c r="I23" s="486"/>
      <c r="J23" s="485" t="str">
        <f>Consolante!F15</f>
        <v/>
      </c>
      <c r="K23" s="1164" t="str">
        <f>Consolante!G15</f>
        <v/>
      </c>
      <c r="L23" s="1164"/>
      <c r="M23" s="1164"/>
      <c r="N23" s="1165" t="str">
        <f>Consolante!J15</f>
        <v/>
      </c>
      <c r="O23" s="1166"/>
      <c r="P23" s="446" t="str">
        <f>_xlfn.XLOOKUP(J23,Tableau19[Licence],Tableau19[Catégorie],"",0,1)</f>
        <v/>
      </c>
      <c r="Q23" s="446" t="str">
        <f>IF(AND(OR('GESTION DES JOUEURS'!$D$8="Open",'GESTION DES JOUEURS'!$D$8="Tournoi"),MAX('GESTION DES JOUEURS'!$A$11:$A$46)&gt;13),Consolante!N15&amp;"Pts en "&amp;Consolante!O15&amp;" Rep.","")</f>
        <v/>
      </c>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R23" s="715" t="s">
        <v>8119</v>
      </c>
    </row>
    <row r="24" spans="1:44" ht="22.5" customHeight="1" thickTop="1" thickBot="1" x14ac:dyDescent="0.35">
      <c r="A24" s="446">
        <v>4</v>
      </c>
      <c r="B24" s="485" t="str">
        <f>IF('GESTION DES JOUEURS'!$D$8="Open",Consolante!F19,"")</f>
        <v/>
      </c>
      <c r="C24" s="1164" t="str">
        <f>IF('GESTION DES JOUEURS'!$D$8="Open",Consolante!G19,"")</f>
        <v/>
      </c>
      <c r="D24" s="1164"/>
      <c r="E24" s="1164"/>
      <c r="F24" s="1165" t="str">
        <f>IF('GESTION DES JOUEURS'!$D$8="Open",Consolante!J19,"")</f>
        <v/>
      </c>
      <c r="G24" s="1166"/>
      <c r="H24" s="446" t="str">
        <f>_xlfn.XLOOKUP(B24,Tableau19[Licence],Tableau19[Catégorie],"",0,1)</f>
        <v/>
      </c>
      <c r="I24" s="446" t="str">
        <f>IF('GESTION DES JOUEURS'!$D$8="Open",Consolante!N19&amp;"Pts en "&amp;Consolante!O19&amp;" Rep.","")</f>
        <v/>
      </c>
      <c r="J24" s="1167" t="str">
        <f>_xlfn.XLOOKUP(J23,Tableau19[Licence],Tableau19[Club],"",0,1)</f>
        <v/>
      </c>
      <c r="K24" s="1167"/>
      <c r="L24" s="1167"/>
      <c r="M24" s="1167"/>
      <c r="N24" s="1167"/>
      <c r="O24" s="1167"/>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R24" s="715"/>
    </row>
    <row r="25" spans="1:44" ht="22.5" customHeight="1" thickTop="1" thickBot="1" x14ac:dyDescent="0.35">
      <c r="A25" s="446"/>
      <c r="B25" s="1167" t="str">
        <f>_xlfn.XLOOKUP(B24,Tableau19[Licence],Tableau19[Club],"",0,1)</f>
        <v/>
      </c>
      <c r="C25" s="1167"/>
      <c r="D25" s="1167"/>
      <c r="E25" s="1167"/>
      <c r="F25" s="1167"/>
      <c r="G25" s="1167"/>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91" t="str">
        <f>Consolante!C31</f>
        <v/>
      </c>
      <c r="AK25" s="1194" t="str">
        <f>Consolante!D31</f>
        <v/>
      </c>
      <c r="AL25" s="1194"/>
      <c r="AM25" s="1194"/>
      <c r="AN25" s="1195" t="str">
        <f>Consolante!F31</f>
        <v/>
      </c>
      <c r="AO25" s="1196"/>
      <c r="AP25" s="446" t="str">
        <f>_xlfn.XLOOKUP(AJ25,Tableau19[Licence],Tableau19[Catégorie],"",0,1)</f>
        <v/>
      </c>
      <c r="AR25" s="716" t="s">
        <v>8120</v>
      </c>
    </row>
    <row r="26" spans="1:44" ht="22.5" customHeight="1" thickTop="1" thickBot="1" x14ac:dyDescent="0.35">
      <c r="A26" s="446">
        <v>3</v>
      </c>
      <c r="B26" s="485" t="str">
        <f>IF('GESTION DES JOUEURS'!$D$8="Open",Consolante!F18,"")</f>
        <v/>
      </c>
      <c r="C26" s="1164" t="str">
        <f>IF('GESTION DES JOUEURS'!$D$8="Open",Consolante!G18,"")</f>
        <v/>
      </c>
      <c r="D26" s="1164"/>
      <c r="E26" s="1164"/>
      <c r="F26" s="1165" t="str">
        <f>IF('GESTION DES JOUEURS'!$D$8="Open",Consolante!J18,"")</f>
        <v/>
      </c>
      <c r="G26" s="1166"/>
      <c r="H26" s="446" t="str">
        <f>_xlfn.XLOOKUP(B26,Tableau19[Licence],Tableau19[Catégorie],"",0,1)</f>
        <v/>
      </c>
      <c r="I26" s="446" t="str">
        <f>IF('GESTION DES JOUEURS'!$D$8="Open",Consolante!N18&amp;"Pts en "&amp;Consolante!O18&amp;" Rep.","")</f>
        <v/>
      </c>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1167" t="str">
        <f>_xlfn.XLOOKUP(AJ25,Tableau19[Licence],Tableau19[Club],"",0,1)</f>
        <v/>
      </c>
      <c r="AK26" s="1167"/>
      <c r="AL26" s="1167"/>
      <c r="AM26" s="1167"/>
      <c r="AN26" s="1167"/>
      <c r="AO26" s="1167"/>
      <c r="AP26" s="446"/>
      <c r="AR26" s="716"/>
    </row>
    <row r="27" spans="1:44" ht="22.5" customHeight="1" thickTop="1" thickBot="1" x14ac:dyDescent="0.35">
      <c r="A27" s="446"/>
      <c r="B27" s="1167" t="str">
        <f>_xlfn.XLOOKUP(B26,Tableau19[Licence],Tableau19[Club],"",0,1)</f>
        <v/>
      </c>
      <c r="C27" s="1167"/>
      <c r="D27" s="1167"/>
      <c r="E27" s="1167"/>
      <c r="F27" s="1167"/>
      <c r="G27" s="1167"/>
      <c r="H27" s="446"/>
      <c r="I27" s="486"/>
      <c r="J27" s="485" t="str">
        <f>Consolante!F14</f>
        <v/>
      </c>
      <c r="K27" s="1164" t="str">
        <f>Consolante!G14</f>
        <v/>
      </c>
      <c r="L27" s="1164"/>
      <c r="M27" s="1164"/>
      <c r="N27" s="1165" t="str">
        <f>Consolante!J14</f>
        <v/>
      </c>
      <c r="O27" s="1166"/>
      <c r="P27" s="446" t="str">
        <f>_xlfn.XLOOKUP(J27,Tableau19[Licence],Tableau19[Catégorie],"",0,1)</f>
        <v/>
      </c>
      <c r="Q27" s="446" t="str">
        <f>IF(AND(OR('GESTION DES JOUEURS'!$D$8="Open",'GESTION DES JOUEURS'!$D$8="Tournoi"),MAX('GESTION DES JOUEURS'!$A$11:$A$46)&gt;13),Consolante!N14&amp;"Pts en "&amp;Consolante!O14&amp;" Rep.","")</f>
        <v/>
      </c>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R27" s="717" t="s">
        <v>8121</v>
      </c>
    </row>
    <row r="28" spans="1:44" ht="22.5" customHeight="1" thickTop="1" thickBot="1" x14ac:dyDescent="0.35">
      <c r="A28" s="446">
        <v>14</v>
      </c>
      <c r="B28" s="485" t="str">
        <f>IF('GESTION DES JOUEURS'!$D$8="Open",Consolante!V18,"")</f>
        <v/>
      </c>
      <c r="C28" s="1164" t="str">
        <f>IF('GESTION DES JOUEURS'!$D$8="Open",Consolante!S18,"")</f>
        <v/>
      </c>
      <c r="D28" s="1164"/>
      <c r="E28" s="1164"/>
      <c r="F28" s="1165" t="str">
        <f>IF('GESTION DES JOUEURS'!$D$8="Open",Consolante!U18,"")</f>
        <v/>
      </c>
      <c r="G28" s="1166"/>
      <c r="H28" s="446" t="str">
        <f>_xlfn.XLOOKUP(B28,Tableau19[Licence],Tableau19[Catégorie],"",0,1)</f>
        <v/>
      </c>
      <c r="I28" s="446" t="str">
        <f>IF('GESTION DES JOUEURS'!$D$8="Open",Consolante!P18&amp;"Pts en "&amp;Consolante!O18&amp;" Rep.","")</f>
        <v/>
      </c>
      <c r="J28" s="1167" t="str">
        <f>_xlfn.XLOOKUP(J27,Tableau19[Licence],Tableau19[Club],"",0,1)</f>
        <v/>
      </c>
      <c r="K28" s="1167"/>
      <c r="L28" s="1167"/>
      <c r="M28" s="1167"/>
      <c r="N28" s="1167"/>
      <c r="O28" s="1167"/>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c r="AP28" s="446"/>
      <c r="AR28" s="717"/>
    </row>
    <row r="29" spans="1:44" ht="22.5" customHeight="1" thickTop="1" thickBot="1" x14ac:dyDescent="0.35">
      <c r="A29" s="446"/>
      <c r="B29" s="1167" t="str">
        <f>_xlfn.XLOOKUP(B28,Tableau19[Licence],Tableau19[Club],"",0,1)</f>
        <v/>
      </c>
      <c r="C29" s="1167"/>
      <c r="D29" s="1167"/>
      <c r="E29" s="1167"/>
      <c r="F29" s="1167"/>
      <c r="G29" s="1167"/>
      <c r="H29" s="446"/>
      <c r="I29" s="446"/>
      <c r="J29" s="446"/>
      <c r="K29" s="446"/>
      <c r="L29" s="446"/>
      <c r="M29" s="446"/>
      <c r="N29" s="446"/>
      <c r="O29" s="446"/>
      <c r="P29" s="446"/>
      <c r="Q29" s="487"/>
      <c r="R29" s="485" t="str">
        <f>Consolante!V11</f>
        <v/>
      </c>
      <c r="S29" s="1164" t="str">
        <f>Consolante!S11</f>
        <v/>
      </c>
      <c r="T29" s="1164"/>
      <c r="U29" s="1164"/>
      <c r="V29" s="1165" t="str">
        <f>Consolante!U11</f>
        <v/>
      </c>
      <c r="W29" s="1166"/>
      <c r="X29" s="446" t="str">
        <f>_xlfn.XLOOKUP(R29,Tableau19[Licence],Tableau19[Catégorie],"",0,1)</f>
        <v/>
      </c>
      <c r="Y29" s="446" t="str">
        <f>Consolante!P11&amp;"Pts en "&amp;Consolante!O11&amp;" Rep."</f>
        <v>Pts en  Rep.</v>
      </c>
      <c r="Z29" s="446"/>
      <c r="AA29" s="446"/>
      <c r="AB29" s="446"/>
      <c r="AC29" s="446"/>
      <c r="AD29" s="446"/>
      <c r="AE29" s="446"/>
      <c r="AF29" s="446"/>
      <c r="AG29" s="446"/>
      <c r="AH29" s="446"/>
      <c r="AI29" s="446"/>
      <c r="AJ29" s="446"/>
      <c r="AK29" s="446"/>
      <c r="AL29" s="446"/>
      <c r="AM29" s="446"/>
      <c r="AN29" s="446"/>
      <c r="AO29" s="446"/>
      <c r="AP29" s="446"/>
      <c r="AR29" s="720" t="s">
        <v>8124</v>
      </c>
    </row>
    <row r="30" spans="1:44" ht="22.5" customHeight="1" thickTop="1" thickBot="1" x14ac:dyDescent="0.35">
      <c r="A30" s="446">
        <v>11</v>
      </c>
      <c r="B30" s="485" t="str">
        <f>IF('GESTION DES JOUEURS'!$D$8="Open",Consolante!V21,"")</f>
        <v/>
      </c>
      <c r="C30" s="1164" t="str">
        <f>IF('GESTION DES JOUEURS'!$D$8="Open",Consolante!S21,"")</f>
        <v/>
      </c>
      <c r="D30" s="1164"/>
      <c r="E30" s="1164"/>
      <c r="F30" s="1165" t="str">
        <f>IF('GESTION DES JOUEURS'!$D$8="Open",Consolante!U21,"")</f>
        <v/>
      </c>
      <c r="G30" s="1166"/>
      <c r="H30" s="446" t="str">
        <f>_xlfn.XLOOKUP(B30,Tableau19[Licence],Tableau19[Catégorie],"",0,1)</f>
        <v/>
      </c>
      <c r="I30" s="446" t="str">
        <f>IF('GESTION DES JOUEURS'!$D$8="Open",Consolante!P21&amp;"Pts en "&amp;Consolante!O21&amp;" Rep.","")</f>
        <v/>
      </c>
      <c r="J30" s="446"/>
      <c r="K30" s="446"/>
      <c r="L30" s="446"/>
      <c r="M30" s="446"/>
      <c r="N30" s="446"/>
      <c r="O30" s="446"/>
      <c r="P30" s="446"/>
      <c r="Q30" s="488"/>
      <c r="R30" s="1167" t="str">
        <f>_xlfn.XLOOKUP(R29,Tableau19[Licence],Tableau19[Club],"",0,1)</f>
        <v/>
      </c>
      <c r="S30" s="1167"/>
      <c r="T30" s="1167"/>
      <c r="U30" s="1167"/>
      <c r="V30" s="1167"/>
      <c r="W30" s="1167"/>
      <c r="X30" s="446"/>
      <c r="Y30" s="446"/>
      <c r="Z30" s="446"/>
      <c r="AA30" s="446"/>
      <c r="AB30" s="446"/>
      <c r="AC30" s="446"/>
      <c r="AD30" s="446"/>
      <c r="AE30" s="446"/>
      <c r="AF30" s="446"/>
      <c r="AG30" s="446"/>
      <c r="AH30" s="446"/>
      <c r="AI30" s="446"/>
      <c r="AJ30" s="446"/>
      <c r="AK30" s="446"/>
      <c r="AL30" s="446"/>
      <c r="AM30" s="446"/>
      <c r="AN30" s="446"/>
      <c r="AO30" s="446"/>
      <c r="AP30" s="446"/>
      <c r="AR30" s="720"/>
    </row>
    <row r="31" spans="1:44" ht="22.5" customHeight="1" thickTop="1" thickBot="1" x14ac:dyDescent="0.35">
      <c r="A31" s="446"/>
      <c r="B31" s="1167" t="str">
        <f>_xlfn.XLOOKUP(B30,Tableau19[Licence],Tableau19[Club],"",0,1)</f>
        <v/>
      </c>
      <c r="C31" s="1167"/>
      <c r="D31" s="1167"/>
      <c r="E31" s="1167"/>
      <c r="F31" s="1167"/>
      <c r="G31" s="1167"/>
      <c r="H31" s="446"/>
      <c r="I31" s="486"/>
      <c r="J31" s="485" t="str">
        <f>Consolante!V14</f>
        <v/>
      </c>
      <c r="K31" s="1164" t="str">
        <f>Consolante!S14</f>
        <v/>
      </c>
      <c r="L31" s="1164"/>
      <c r="M31" s="1164"/>
      <c r="N31" s="1165" t="str">
        <f>Consolante!U14</f>
        <v/>
      </c>
      <c r="O31" s="1166"/>
      <c r="P31" s="446" t="str">
        <f>_xlfn.XLOOKUP(J31,Tableau19[Licence],Tableau19[Catégorie],"",0,1)</f>
        <v/>
      </c>
      <c r="Q31" s="446" t="str">
        <f>IF(AND(OR('GESTION DES JOUEURS'!$D$8="Open",'GESTION DES JOUEURS'!$D$8="Tournoi"),MAX('GESTION DES JOUEURS'!$A$11:$A$46)&gt;13),Consolante!P14&amp;"Pts en "&amp;Consolante!O14&amp;" Rep.","")</f>
        <v/>
      </c>
      <c r="R31" s="446"/>
      <c r="S31" s="446"/>
      <c r="T31" s="446"/>
      <c r="U31" s="446"/>
      <c r="V31" s="446"/>
      <c r="W31" s="446"/>
      <c r="X31" s="446"/>
      <c r="Y31" s="489"/>
      <c r="Z31" s="446"/>
      <c r="AA31" s="446"/>
      <c r="AB31" s="446"/>
      <c r="AC31" s="446"/>
      <c r="AD31" s="446"/>
      <c r="AE31" s="446"/>
      <c r="AF31" s="446"/>
      <c r="AG31" s="446"/>
      <c r="AH31" s="446"/>
      <c r="AI31" s="446"/>
      <c r="AJ31" s="446"/>
      <c r="AK31" s="446"/>
      <c r="AL31" s="446"/>
      <c r="AM31" s="446"/>
      <c r="AN31" s="446"/>
      <c r="AO31" s="446"/>
      <c r="AP31" s="446"/>
      <c r="AR31" s="721" t="s">
        <v>8125</v>
      </c>
    </row>
    <row r="32" spans="1:44" ht="22.5" customHeight="1" thickTop="1" thickBot="1" x14ac:dyDescent="0.35">
      <c r="A32" s="446">
        <v>6</v>
      </c>
      <c r="B32" s="485" t="str">
        <f>IF('GESTION DES JOUEURS'!$D$8="Open",Consolante!F21,"")</f>
        <v/>
      </c>
      <c r="C32" s="1164" t="str">
        <f>IF('GESTION DES JOUEURS'!$D$8="Open",Consolante!G21,"")</f>
        <v/>
      </c>
      <c r="D32" s="1164"/>
      <c r="E32" s="1164"/>
      <c r="F32" s="1165" t="str">
        <f>IF('GESTION DES JOUEURS'!$D$8="Open",Consolante!J21,"")</f>
        <v/>
      </c>
      <c r="G32" s="1166"/>
      <c r="H32" s="446" t="str">
        <f>_xlfn.XLOOKUP(B32,Tableau19[Licence],Tableau19[Catégorie],"",0,1)</f>
        <v/>
      </c>
      <c r="I32" s="446" t="str">
        <f>IF('GESTION DES JOUEURS'!$D$8="Open",Consolante!N21&amp;"Pts en "&amp;Consolante!O21&amp;" Rep.","")</f>
        <v/>
      </c>
      <c r="J32" s="1167" t="str">
        <f>_xlfn.XLOOKUP(J31,Tableau19[Licence],Tableau19[Club],"",0,1)</f>
        <v/>
      </c>
      <c r="K32" s="1167"/>
      <c r="L32" s="1167"/>
      <c r="M32" s="1167"/>
      <c r="N32" s="1167"/>
      <c r="O32" s="1167"/>
      <c r="P32" s="446"/>
      <c r="Q32" s="446"/>
      <c r="R32" s="446"/>
      <c r="S32" s="446"/>
      <c r="T32" s="446"/>
      <c r="U32" s="446"/>
      <c r="V32" s="446"/>
      <c r="W32" s="446"/>
      <c r="X32" s="446"/>
      <c r="Y32" s="446"/>
      <c r="Z32" s="489"/>
      <c r="AA32" s="446"/>
      <c r="AB32" s="446"/>
      <c r="AC32" s="446"/>
      <c r="AD32" s="446"/>
      <c r="AE32" s="446"/>
      <c r="AF32" s="446"/>
      <c r="AG32" s="446"/>
      <c r="AH32" s="446"/>
      <c r="AI32" s="446"/>
      <c r="AJ32" s="446"/>
      <c r="AK32" s="446"/>
      <c r="AL32" s="446"/>
      <c r="AM32" s="446"/>
      <c r="AN32" s="446"/>
      <c r="AO32" s="446"/>
      <c r="AP32" s="446"/>
      <c r="AR32" s="722"/>
    </row>
    <row r="33" spans="1:44" ht="22.5" customHeight="1" thickTop="1" thickBot="1" x14ac:dyDescent="0.35">
      <c r="A33" s="446"/>
      <c r="B33" s="1167" t="str">
        <f>_xlfn.XLOOKUP(B32,Tableau19[Licence],Tableau19[Club],"",0,1)</f>
        <v/>
      </c>
      <c r="C33" s="1167"/>
      <c r="D33" s="1167"/>
      <c r="E33" s="1167"/>
      <c r="F33" s="1167"/>
      <c r="G33" s="1167"/>
      <c r="H33" s="446"/>
      <c r="I33" s="446"/>
      <c r="J33" s="446"/>
      <c r="K33" s="446"/>
      <c r="L33" s="446"/>
      <c r="M33" s="446"/>
      <c r="N33" s="446"/>
      <c r="O33" s="446"/>
      <c r="P33" s="446"/>
      <c r="Q33" s="446"/>
      <c r="R33" s="446"/>
      <c r="S33" s="446"/>
      <c r="T33" s="446"/>
      <c r="U33" s="446"/>
      <c r="V33" s="446"/>
      <c r="W33" s="446"/>
      <c r="X33" s="446"/>
      <c r="Y33" s="446"/>
      <c r="Z33" s="446"/>
      <c r="AA33" s="489"/>
      <c r="AB33" s="485" t="str">
        <f>Consolante!V9</f>
        <v/>
      </c>
      <c r="AC33" s="1164" t="str">
        <f>Consolante!S9</f>
        <v/>
      </c>
      <c r="AD33" s="1164"/>
      <c r="AE33" s="1164"/>
      <c r="AF33" s="1165" t="str">
        <f>Consolante!U9</f>
        <v/>
      </c>
      <c r="AG33" s="1166"/>
      <c r="AH33" s="446" t="str">
        <f>_xlfn.XLOOKUP(AB33,Tableau19[Licence],Tableau19[Catégorie],"",0,1)</f>
        <v/>
      </c>
      <c r="AI33" s="492" t="str">
        <f>Consolante!P9&amp;"Pts en "&amp;Consolante!O9&amp;" Rep."</f>
        <v>Pts en  Rep.</v>
      </c>
      <c r="AJ33" s="446"/>
      <c r="AK33" s="446"/>
      <c r="AL33" s="446"/>
      <c r="AM33" s="446"/>
      <c r="AN33" s="446"/>
      <c r="AO33" s="446"/>
      <c r="AP33" s="446"/>
    </row>
    <row r="34" spans="1:44" ht="22.5" customHeight="1" thickTop="1" thickBot="1" x14ac:dyDescent="0.35">
      <c r="A34" s="446">
        <v>10</v>
      </c>
      <c r="B34" s="485" t="str">
        <f>IF('GESTION DES JOUEURS'!$D$8="Open",Consolante!V22,"")</f>
        <v/>
      </c>
      <c r="C34" s="1164" t="str">
        <f>IF('GESTION DES JOUEURS'!$D$8="Open",Consolante!S22,"")</f>
        <v/>
      </c>
      <c r="D34" s="1164"/>
      <c r="E34" s="1164"/>
      <c r="F34" s="1165" t="str">
        <f>IF('GESTION DES JOUEURS'!$D$8="Open",Consolante!U22,"")</f>
        <v/>
      </c>
      <c r="G34" s="1166"/>
      <c r="H34" s="446" t="str">
        <f>_xlfn.XLOOKUP(B34,Tableau19[Licence],Tableau19[Catégorie],"",0,1)</f>
        <v/>
      </c>
      <c r="I34" s="446" t="str">
        <f>IF('GESTION DES JOUEURS'!$D$8="Open",Consolante!P22&amp;"Pts en "&amp;Consolante!O22&amp;" Rep.","")</f>
        <v/>
      </c>
      <c r="J34" s="446"/>
      <c r="K34" s="446"/>
      <c r="L34" s="446"/>
      <c r="M34" s="446"/>
      <c r="N34" s="446"/>
      <c r="O34" s="446"/>
      <c r="P34" s="446"/>
      <c r="Q34" s="446"/>
      <c r="R34" s="446"/>
      <c r="S34" s="446"/>
      <c r="T34" s="446"/>
      <c r="U34" s="446"/>
      <c r="V34" s="446"/>
      <c r="W34" s="446"/>
      <c r="X34" s="446"/>
      <c r="Y34" s="446"/>
      <c r="Z34" s="446"/>
      <c r="AA34" s="490"/>
      <c r="AB34" s="1167" t="str">
        <f>_xlfn.XLOOKUP(AB33,Tableau19[Licence],Tableau19[Club],"",0,1)</f>
        <v/>
      </c>
      <c r="AC34" s="1167"/>
      <c r="AD34" s="1167"/>
      <c r="AE34" s="1167"/>
      <c r="AF34" s="1167"/>
      <c r="AG34" s="1167"/>
      <c r="AH34" s="446"/>
      <c r="AI34" s="446"/>
      <c r="AJ34" s="446"/>
      <c r="AK34" s="446"/>
      <c r="AL34" s="446"/>
      <c r="AM34" s="446"/>
      <c r="AN34" s="446"/>
      <c r="AO34" s="446"/>
      <c r="AP34" s="446"/>
      <c r="AR34" s="718" t="s">
        <v>8130</v>
      </c>
    </row>
    <row r="35" spans="1:44" ht="22.5" customHeight="1" thickTop="1" thickBot="1" x14ac:dyDescent="0.35">
      <c r="A35" s="446"/>
      <c r="B35" s="1167" t="str">
        <f>_xlfn.XLOOKUP(B34,Tableau19[Licence],Tableau19[Club],"",0,1)</f>
        <v/>
      </c>
      <c r="C35" s="1167"/>
      <c r="D35" s="1167"/>
      <c r="E35" s="1167"/>
      <c r="F35" s="1167"/>
      <c r="G35" s="1167"/>
      <c r="H35" s="446"/>
      <c r="I35" s="486"/>
      <c r="J35" s="485" t="str">
        <f>Consolante!V13</f>
        <v/>
      </c>
      <c r="K35" s="1164" t="str">
        <f>Consolante!S13</f>
        <v/>
      </c>
      <c r="L35" s="1164"/>
      <c r="M35" s="1164"/>
      <c r="N35" s="1165" t="str">
        <f>Consolante!U13</f>
        <v/>
      </c>
      <c r="O35" s="1166"/>
      <c r="P35" s="446" t="str">
        <f>_xlfn.XLOOKUP(J35,Tableau19[Licence],Tableau19[Catégorie],"",0,1)</f>
        <v/>
      </c>
      <c r="Q35" s="446" t="str">
        <f>IF(AND(OR('GESTION DES JOUEURS'!$D$8="Open",'GESTION DES JOUEURS'!$D$8="Tournoi"),MAX('GESTION DES JOUEURS'!$A$11:$A$46)&gt;13),Consolante!P13&amp;"Pts en "&amp;Consolante!O13&amp;" Rep.","")</f>
        <v/>
      </c>
      <c r="R35" s="446"/>
      <c r="S35" s="446"/>
      <c r="T35" s="446"/>
      <c r="U35" s="446"/>
      <c r="V35" s="446"/>
      <c r="W35" s="446"/>
      <c r="X35" s="446"/>
      <c r="Y35" s="446"/>
      <c r="Z35" s="490"/>
      <c r="AA35" s="446"/>
      <c r="AB35" s="446"/>
      <c r="AC35" s="446"/>
      <c r="AD35" s="446"/>
      <c r="AE35" s="446"/>
      <c r="AF35" s="446"/>
      <c r="AG35" s="446"/>
      <c r="AH35" s="446"/>
      <c r="AI35" s="446"/>
      <c r="AJ35" s="446"/>
      <c r="AK35" s="446"/>
      <c r="AL35" s="446"/>
      <c r="AM35" s="446"/>
      <c r="AN35" s="446"/>
      <c r="AO35" s="446"/>
      <c r="AP35" s="446"/>
      <c r="AR35" s="719"/>
    </row>
    <row r="36" spans="1:44" ht="22.5" customHeight="1" thickTop="1" thickBot="1" x14ac:dyDescent="0.35">
      <c r="A36" s="446">
        <v>7</v>
      </c>
      <c r="B36" s="485" t="str">
        <f>IF('GESTION DES JOUEURS'!$D$8="Open",Consolante!F22,"")</f>
        <v/>
      </c>
      <c r="C36" s="1164" t="str">
        <f>IF('GESTION DES JOUEURS'!$D$8="Open",Consolante!G22,"")</f>
        <v/>
      </c>
      <c r="D36" s="1164"/>
      <c r="E36" s="1164"/>
      <c r="F36" s="1165" t="str">
        <f>IF('GESTION DES JOUEURS'!$D$8="Open",Consolante!J22,"")</f>
        <v/>
      </c>
      <c r="G36" s="1166"/>
      <c r="H36" s="446" t="str">
        <f>_xlfn.XLOOKUP(B36,Tableau19[Licence],Tableau19[Catégorie],"",0,1)</f>
        <v/>
      </c>
      <c r="I36" s="446" t="str">
        <f>IF('GESTION DES JOUEURS'!$D$8="Open",Consolante!N22&amp;"Pts en "&amp;Consolante!O22&amp;" Rep.","")</f>
        <v/>
      </c>
      <c r="J36" s="1167" t="str">
        <f>_xlfn.XLOOKUP(J35,Tableau19[Licence],Tableau19[Club],"",0,1)</f>
        <v/>
      </c>
      <c r="K36" s="1167"/>
      <c r="L36" s="1167"/>
      <c r="M36" s="1167"/>
      <c r="N36" s="1167"/>
      <c r="O36" s="1167"/>
      <c r="P36" s="446"/>
      <c r="Q36" s="446"/>
      <c r="R36" s="446"/>
      <c r="S36" s="446"/>
      <c r="T36" s="446"/>
      <c r="U36" s="446"/>
      <c r="V36" s="446"/>
      <c r="W36" s="446"/>
      <c r="X36" s="446"/>
      <c r="Y36" s="490"/>
      <c r="Z36" s="446"/>
      <c r="AA36" s="446"/>
      <c r="AB36" s="446"/>
      <c r="AC36" s="446"/>
      <c r="AD36" s="446"/>
      <c r="AE36" s="446"/>
      <c r="AF36" s="446"/>
      <c r="AG36" s="446"/>
      <c r="AH36" s="446"/>
      <c r="AI36" s="446"/>
      <c r="AJ36" s="446"/>
      <c r="AK36" s="446"/>
      <c r="AL36" s="446"/>
      <c r="AM36" s="446"/>
      <c r="AN36" s="446"/>
      <c r="AO36" s="446"/>
      <c r="AP36" s="446"/>
    </row>
    <row r="37" spans="1:44" ht="22.5" customHeight="1" thickTop="1" thickBot="1" x14ac:dyDescent="0.35">
      <c r="A37" s="446"/>
      <c r="B37" s="1167" t="str">
        <f>_xlfn.XLOOKUP(B36,Tableau19[Licence],Tableau19[Club],"",0,1)</f>
        <v/>
      </c>
      <c r="C37" s="1167"/>
      <c r="D37" s="1167"/>
      <c r="E37" s="1167"/>
      <c r="F37" s="1167"/>
      <c r="G37" s="1167"/>
      <c r="H37" s="446"/>
      <c r="I37" s="446"/>
      <c r="J37" s="446"/>
      <c r="K37" s="446"/>
      <c r="L37" s="446"/>
      <c r="M37" s="446"/>
      <c r="N37" s="446"/>
      <c r="O37" s="446"/>
      <c r="P37" s="446"/>
      <c r="Q37" s="487"/>
      <c r="R37" s="485" t="str">
        <f>Consolante!F11</f>
        <v/>
      </c>
      <c r="S37" s="1164" t="str">
        <f>Consolante!G11</f>
        <v/>
      </c>
      <c r="T37" s="1164"/>
      <c r="U37" s="1164"/>
      <c r="V37" s="1165" t="str">
        <f>Consolante!J11</f>
        <v/>
      </c>
      <c r="W37" s="1166"/>
      <c r="X37" s="446" t="str">
        <f>_xlfn.XLOOKUP(R37,Tableau19[Licence],Tableau19[Catégorie],"",0,1)</f>
        <v/>
      </c>
      <c r="Y37" s="446" t="str">
        <f>Consolante!N11&amp;"Pts en "&amp;Consolante!O11&amp;" Rep."</f>
        <v>Pts en  Rep.</v>
      </c>
      <c r="Z37" s="446"/>
      <c r="AA37" s="446"/>
      <c r="AB37" s="446"/>
      <c r="AC37" s="446"/>
      <c r="AD37" s="446"/>
      <c r="AE37" s="446"/>
      <c r="AF37" s="446"/>
      <c r="AG37" s="446"/>
      <c r="AH37" s="446"/>
      <c r="AI37" s="446"/>
      <c r="AJ37" s="446"/>
      <c r="AK37" s="446"/>
      <c r="AL37" s="446"/>
      <c r="AM37" s="446"/>
      <c r="AN37" s="446"/>
      <c r="AO37" s="446"/>
      <c r="AP37" s="446"/>
      <c r="AR37" s="733" t="s">
        <v>9888</v>
      </c>
    </row>
    <row r="38" spans="1:44" ht="22.5" customHeight="1" thickTop="1" thickBot="1" x14ac:dyDescent="0.35">
      <c r="A38" s="446">
        <v>15</v>
      </c>
      <c r="B38" s="485" t="str">
        <f>IF('GESTION DES JOUEURS'!$D$8="Open",Consolante!V17,"")</f>
        <v/>
      </c>
      <c r="C38" s="1164" t="str">
        <f>IF('GESTION DES JOUEURS'!$D$8="Open",Consolante!S17,"")</f>
        <v/>
      </c>
      <c r="D38" s="1164"/>
      <c r="E38" s="1164"/>
      <c r="F38" s="1165" t="str">
        <f>IF('GESTION DES JOUEURS'!$D$8="Open",Consolante!U17,"")</f>
        <v/>
      </c>
      <c r="G38" s="1166"/>
      <c r="H38" s="446" t="str">
        <f>_xlfn.XLOOKUP(B38,Tableau19[Licence],Tableau19[Catégorie],"",0,1)</f>
        <v/>
      </c>
      <c r="I38" s="446" t="str">
        <f>IF('GESTION DES JOUEURS'!$D$8="Open",Consolante!P17&amp;"Pts en "&amp;Consolante!O17&amp;" Rep.","")</f>
        <v/>
      </c>
      <c r="J38" s="446"/>
      <c r="K38" s="446"/>
      <c r="L38" s="446"/>
      <c r="M38" s="446"/>
      <c r="N38" s="446"/>
      <c r="O38" s="446"/>
      <c r="P38" s="446"/>
      <c r="Q38" s="488"/>
      <c r="R38" s="1167" t="str">
        <f>_xlfn.XLOOKUP(R37,Tableau19[Licence],Tableau19[Club],"",0,1)</f>
        <v/>
      </c>
      <c r="S38" s="1167"/>
      <c r="T38" s="1167"/>
      <c r="U38" s="1167"/>
      <c r="V38" s="1167"/>
      <c r="W38" s="1167"/>
      <c r="X38" s="446"/>
      <c r="Y38" s="446"/>
      <c r="Z38" s="446"/>
      <c r="AA38" s="446"/>
      <c r="AB38" s="446"/>
      <c r="AC38" s="446"/>
      <c r="AD38" s="446"/>
      <c r="AE38" s="446"/>
      <c r="AF38" s="446"/>
      <c r="AG38" s="446"/>
      <c r="AH38" s="446"/>
      <c r="AI38" s="446"/>
      <c r="AJ38" s="446"/>
      <c r="AK38" s="446"/>
      <c r="AL38" s="446"/>
      <c r="AM38" s="446"/>
      <c r="AN38" s="446"/>
      <c r="AO38" s="446"/>
      <c r="AP38" s="446"/>
      <c r="AR38" s="734"/>
    </row>
    <row r="39" spans="1:44" ht="22.5" customHeight="1" thickTop="1" thickBot="1" x14ac:dyDescent="0.35">
      <c r="A39" s="446"/>
      <c r="B39" s="1167" t="str">
        <f>_xlfn.XLOOKUP(B38,Tableau19[Licence],Tableau19[Club],"",0,1)</f>
        <v/>
      </c>
      <c r="C39" s="1167"/>
      <c r="D39" s="1167"/>
      <c r="E39" s="1167"/>
      <c r="F39" s="1167"/>
      <c r="G39" s="1167"/>
      <c r="H39" s="446"/>
      <c r="I39" s="486"/>
      <c r="J39" s="485" t="str">
        <f>Consolante!F13</f>
        <v/>
      </c>
      <c r="K39" s="1164" t="str">
        <f>Consolante!G13</f>
        <v/>
      </c>
      <c r="L39" s="1164"/>
      <c r="M39" s="1164"/>
      <c r="N39" s="1165" t="str">
        <f>Consolante!J13</f>
        <v/>
      </c>
      <c r="O39" s="1166"/>
      <c r="P39" s="446" t="str">
        <f>_xlfn.XLOOKUP(J39,Tableau19[Licence],Tableau19[Catégorie],"",0,1)</f>
        <v/>
      </c>
      <c r="Q39" s="446" t="str">
        <f>IF(AND(OR('GESTION DES JOUEURS'!$D$8="Open",'GESTION DES JOUEURS'!$D$8="Tournoi"),MAX('GESTION DES JOUEURS'!$A$11:$A$46)&gt;13),Consolante!N13&amp;"Pts en "&amp;Consolante!O13&amp;" Rep.","")</f>
        <v/>
      </c>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row>
    <row r="40" spans="1:44" ht="22.5" customHeight="1" thickTop="1" thickBot="1" x14ac:dyDescent="0.35">
      <c r="A40" s="446">
        <v>2</v>
      </c>
      <c r="B40" s="485" t="str">
        <f>IF('GESTION DES JOUEURS'!$D$8="Open",Consolante!F17,"")</f>
        <v/>
      </c>
      <c r="C40" s="1164" t="str">
        <f>IF('GESTION DES JOUEURS'!$D$8="Open",Consolante!G17,"")</f>
        <v/>
      </c>
      <c r="D40" s="1164"/>
      <c r="E40" s="1164"/>
      <c r="F40" s="1165" t="str">
        <f>IF('GESTION DES JOUEURS'!$D$8="Open",Consolante!J17,"")</f>
        <v/>
      </c>
      <c r="G40" s="1166"/>
      <c r="H40" s="446" t="str">
        <f>_xlfn.XLOOKUP(B40,Tableau19[Licence],Tableau19[Catégorie],"",0,1)</f>
        <v/>
      </c>
      <c r="I40" s="446" t="str">
        <f>IF('GESTION DES JOUEURS'!$D$8="Open",Consolante!N17&amp;"Pts en "&amp;Consolante!O17&amp;" Rep.","")</f>
        <v/>
      </c>
      <c r="J40" s="1167" t="str">
        <f>_xlfn.XLOOKUP(J39,Tableau19[Licence],Tableau19[Club],"",0,1)</f>
        <v/>
      </c>
      <c r="K40" s="1167"/>
      <c r="L40" s="1167"/>
      <c r="M40" s="1167"/>
      <c r="N40" s="1167"/>
      <c r="O40" s="1167"/>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c r="AP40" s="446"/>
      <c r="AR40" s="710" t="s">
        <v>5447</v>
      </c>
    </row>
    <row r="41" spans="1:44" ht="22.5" customHeight="1" thickTop="1" x14ac:dyDescent="0.25">
      <c r="A41" s="446"/>
      <c r="B41" s="1167" t="str">
        <f>_xlfn.XLOOKUP(B40,Tableau19[Licence],Tableau19[Club],"",0,1)</f>
        <v/>
      </c>
      <c r="C41" s="1167"/>
      <c r="D41" s="1167"/>
      <c r="E41" s="1167"/>
      <c r="F41" s="1167"/>
      <c r="G41" s="1167"/>
      <c r="H41" s="446"/>
      <c r="I41" s="446"/>
      <c r="J41" s="446"/>
      <c r="K41" s="446"/>
      <c r="L41" s="446"/>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c r="AP41" s="446"/>
      <c r="AR41" s="711"/>
    </row>
    <row r="42" spans="1:44" ht="19.5" thickBot="1" x14ac:dyDescent="0.35">
      <c r="A42" s="1217"/>
      <c r="B42" s="1217"/>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c r="AB42" s="1217"/>
      <c r="AC42" s="1217"/>
      <c r="AD42" s="1217"/>
      <c r="AE42" s="1217"/>
      <c r="AF42" s="1217"/>
      <c r="AG42" s="1217"/>
      <c r="AH42" s="1217"/>
      <c r="AI42" s="1217"/>
      <c r="AJ42" s="1217"/>
      <c r="AK42" s="1217"/>
      <c r="AL42" s="1217"/>
      <c r="AM42" s="1217"/>
      <c r="AN42" s="1217"/>
      <c r="AO42" s="1217"/>
      <c r="AP42" s="1217"/>
      <c r="AR42" s="712"/>
    </row>
    <row r="44" spans="1:44" ht="14.45" customHeight="1" x14ac:dyDescent="0.3">
      <c r="C44" s="1216"/>
      <c r="D44" s="1216"/>
      <c r="E44" s="1216"/>
      <c r="F44" s="1215"/>
      <c r="G44" s="1215"/>
      <c r="I44" s="505"/>
      <c r="Q44" s="1216"/>
      <c r="R44" s="1216"/>
      <c r="S44" s="1216"/>
      <c r="T44" s="1215"/>
      <c r="U44" s="1215"/>
      <c r="W44" s="505"/>
      <c r="AE44" s="1216"/>
      <c r="AF44" s="1216"/>
      <c r="AG44" s="1216"/>
      <c r="AH44" s="1215"/>
      <c r="AI44" s="1215"/>
    </row>
    <row r="45" spans="1:44" ht="14.45" customHeight="1" x14ac:dyDescent="0.25">
      <c r="B45" s="1075"/>
      <c r="C45" s="1075"/>
      <c r="D45" s="1075"/>
      <c r="E45" s="1075"/>
      <c r="F45" s="1075"/>
      <c r="G45" s="1075"/>
      <c r="P45" s="1075"/>
      <c r="Q45" s="1075"/>
      <c r="R45" s="1075"/>
      <c r="S45" s="1075"/>
      <c r="T45" s="1075"/>
      <c r="U45" s="1075"/>
      <c r="AD45" s="1075"/>
      <c r="AE45" s="1075"/>
      <c r="AF45" s="1075"/>
      <c r="AG45" s="1075"/>
      <c r="AH45" s="1075"/>
      <c r="AI45" s="1075"/>
    </row>
    <row r="46" spans="1:44" ht="14.45" customHeight="1" x14ac:dyDescent="0.25">
      <c r="B46" s="365"/>
      <c r="C46" s="365"/>
      <c r="D46" s="365"/>
      <c r="E46" s="365"/>
      <c r="F46" s="365"/>
      <c r="G46" s="365"/>
      <c r="P46" s="365"/>
      <c r="Q46" s="365"/>
      <c r="R46" s="365"/>
      <c r="S46" s="365"/>
      <c r="T46" s="365"/>
      <c r="U46" s="365"/>
      <c r="AD46" s="365"/>
      <c r="AE46" s="365"/>
      <c r="AF46" s="365"/>
      <c r="AG46" s="365"/>
      <c r="AH46" s="365"/>
      <c r="AI46" s="365"/>
    </row>
    <row r="47" spans="1:44" ht="14.45" customHeight="1" x14ac:dyDescent="0.3">
      <c r="I47" s="1216"/>
      <c r="J47" s="1216"/>
      <c r="K47" s="1216"/>
      <c r="L47" s="1215"/>
      <c r="M47" s="1215"/>
      <c r="W47" s="1216"/>
      <c r="X47" s="1216"/>
      <c r="Y47" s="1216"/>
      <c r="Z47" s="1215"/>
      <c r="AA47" s="1215"/>
      <c r="AK47" s="1216"/>
      <c r="AL47" s="1216"/>
      <c r="AM47" s="1216"/>
      <c r="AN47" s="1215"/>
      <c r="AO47" s="1215"/>
    </row>
    <row r="48" spans="1:44" ht="14.45" customHeight="1" x14ac:dyDescent="0.25">
      <c r="H48" s="1075"/>
      <c r="I48" s="1075"/>
      <c r="J48" s="1075"/>
      <c r="K48" s="1075"/>
      <c r="L48" s="1075"/>
      <c r="M48" s="1075"/>
      <c r="V48" s="1075"/>
      <c r="W48" s="1075"/>
      <c r="X48" s="1075"/>
      <c r="Y48" s="1075"/>
      <c r="Z48" s="1075"/>
      <c r="AA48" s="1075"/>
      <c r="AJ48" s="1075"/>
      <c r="AK48" s="1075"/>
      <c r="AL48" s="1075"/>
      <c r="AM48" s="1075"/>
      <c r="AN48" s="1075"/>
      <c r="AO48" s="1075"/>
    </row>
    <row r="49" spans="2:41" ht="14.45" customHeight="1" x14ac:dyDescent="0.25">
      <c r="H49" s="365"/>
      <c r="I49" s="365"/>
      <c r="J49" s="365"/>
      <c r="K49" s="365"/>
      <c r="L49" s="365"/>
      <c r="M49" s="365"/>
      <c r="V49" s="365"/>
      <c r="W49" s="365"/>
      <c r="X49" s="365"/>
      <c r="Y49" s="365"/>
      <c r="Z49" s="365"/>
      <c r="AA49" s="365"/>
      <c r="AJ49" s="365"/>
      <c r="AK49" s="365"/>
      <c r="AL49" s="365"/>
      <c r="AM49" s="365"/>
      <c r="AN49" s="365"/>
      <c r="AO49" s="365"/>
    </row>
    <row r="50" spans="2:41" ht="14.45" customHeight="1" x14ac:dyDescent="0.3">
      <c r="C50" s="1216"/>
      <c r="D50" s="1216"/>
      <c r="E50" s="1216"/>
      <c r="F50" s="1215"/>
      <c r="G50" s="1215"/>
      <c r="I50" s="505"/>
      <c r="Q50" s="1216"/>
      <c r="R50" s="1216"/>
      <c r="S50" s="1216"/>
      <c r="T50" s="1215"/>
      <c r="U50" s="1215"/>
      <c r="AE50" s="1216"/>
      <c r="AF50" s="1216"/>
      <c r="AG50" s="1216"/>
      <c r="AH50" s="1215"/>
      <c r="AI50" s="1215"/>
    </row>
    <row r="51" spans="2:41" ht="14.45" customHeight="1" x14ac:dyDescent="0.25">
      <c r="B51" s="1075"/>
      <c r="C51" s="1075"/>
      <c r="D51" s="1075"/>
      <c r="E51" s="1075"/>
      <c r="F51" s="1075"/>
      <c r="G51" s="1075"/>
      <c r="P51" s="1075"/>
      <c r="Q51" s="1075"/>
      <c r="R51" s="1075"/>
      <c r="S51" s="1075"/>
      <c r="T51" s="1075"/>
      <c r="U51" s="1075"/>
      <c r="AD51" s="1075"/>
      <c r="AE51" s="1075"/>
      <c r="AF51" s="1075"/>
      <c r="AG51" s="1075"/>
      <c r="AH51" s="1075"/>
      <c r="AI51" s="1075"/>
    </row>
  </sheetData>
  <sheetProtection algorithmName="SHA-512" hashValue="FZYeBhKkDfXHhLAabg/MChpyTOTWupWhWaap/Y+uIFhd7jx2srzQ58cIreXz/fwwTjqW6YehCkYaCKCfEV2HvA==" saltValue="56DncLkEj5pc4OCujefrGw==" spinCount="100000" sheet="1" objects="1" scenarios="1"/>
  <mergeCells count="156">
    <mergeCell ref="A1:G1"/>
    <mergeCell ref="H1:AL3"/>
    <mergeCell ref="AM1:AP3"/>
    <mergeCell ref="A2:G2"/>
    <mergeCell ref="A3:G3"/>
    <mergeCell ref="A5:E5"/>
    <mergeCell ref="F5:M5"/>
    <mergeCell ref="N5:T5"/>
    <mergeCell ref="U5:AB5"/>
    <mergeCell ref="AC5:AH5"/>
    <mergeCell ref="C10:E10"/>
    <mergeCell ref="F10:G10"/>
    <mergeCell ref="B11:G11"/>
    <mergeCell ref="K11:M11"/>
    <mergeCell ref="N11:O11"/>
    <mergeCell ref="C12:E12"/>
    <mergeCell ref="F12:G12"/>
    <mergeCell ref="J12:O12"/>
    <mergeCell ref="AI5:AP5"/>
    <mergeCell ref="B7:G7"/>
    <mergeCell ref="J7:O7"/>
    <mergeCell ref="R7:W7"/>
    <mergeCell ref="AB7:AG7"/>
    <mergeCell ref="AJ7:AO7"/>
    <mergeCell ref="B15:G15"/>
    <mergeCell ref="K15:M15"/>
    <mergeCell ref="N15:O15"/>
    <mergeCell ref="C16:E16"/>
    <mergeCell ref="F16:G16"/>
    <mergeCell ref="J16:O16"/>
    <mergeCell ref="B13:G13"/>
    <mergeCell ref="S13:U13"/>
    <mergeCell ref="V13:W13"/>
    <mergeCell ref="C14:E14"/>
    <mergeCell ref="F14:G14"/>
    <mergeCell ref="R14:W14"/>
    <mergeCell ref="B19:G19"/>
    <mergeCell ref="K19:M19"/>
    <mergeCell ref="N19:O19"/>
    <mergeCell ref="C20:E20"/>
    <mergeCell ref="F20:G20"/>
    <mergeCell ref="J20:O20"/>
    <mergeCell ref="B17:G17"/>
    <mergeCell ref="AC17:AE17"/>
    <mergeCell ref="AF17:AG17"/>
    <mergeCell ref="C18:E18"/>
    <mergeCell ref="F18:G18"/>
    <mergeCell ref="AB18:AG18"/>
    <mergeCell ref="B23:G23"/>
    <mergeCell ref="K23:M23"/>
    <mergeCell ref="N23:O23"/>
    <mergeCell ref="C24:E24"/>
    <mergeCell ref="F24:G24"/>
    <mergeCell ref="J24:O24"/>
    <mergeCell ref="B21:G21"/>
    <mergeCell ref="S21:U21"/>
    <mergeCell ref="V21:W21"/>
    <mergeCell ref="C22:E22"/>
    <mergeCell ref="F22:G22"/>
    <mergeCell ref="R22:W22"/>
    <mergeCell ref="B27:G27"/>
    <mergeCell ref="K27:M27"/>
    <mergeCell ref="N27:O27"/>
    <mergeCell ref="C28:E28"/>
    <mergeCell ref="F28:G28"/>
    <mergeCell ref="J28:O28"/>
    <mergeCell ref="B25:G25"/>
    <mergeCell ref="AK25:AM25"/>
    <mergeCell ref="AN25:AO25"/>
    <mergeCell ref="C26:E26"/>
    <mergeCell ref="F26:G26"/>
    <mergeCell ref="AJ26:AO26"/>
    <mergeCell ref="B31:G31"/>
    <mergeCell ref="K31:M31"/>
    <mergeCell ref="N31:O31"/>
    <mergeCell ref="C32:E32"/>
    <mergeCell ref="F32:G32"/>
    <mergeCell ref="J32:O32"/>
    <mergeCell ref="B29:G29"/>
    <mergeCell ref="S29:U29"/>
    <mergeCell ref="V29:W29"/>
    <mergeCell ref="C30:E30"/>
    <mergeCell ref="F30:G30"/>
    <mergeCell ref="R30:W30"/>
    <mergeCell ref="B35:G35"/>
    <mergeCell ref="K35:M35"/>
    <mergeCell ref="N35:O35"/>
    <mergeCell ref="C36:E36"/>
    <mergeCell ref="F36:G36"/>
    <mergeCell ref="J36:O36"/>
    <mergeCell ref="B33:G33"/>
    <mergeCell ref="AC33:AE33"/>
    <mergeCell ref="AF33:AG33"/>
    <mergeCell ref="C34:E34"/>
    <mergeCell ref="F34:G34"/>
    <mergeCell ref="AB34:AG34"/>
    <mergeCell ref="B39:G39"/>
    <mergeCell ref="K39:M39"/>
    <mergeCell ref="N39:O39"/>
    <mergeCell ref="C40:E40"/>
    <mergeCell ref="F40:G40"/>
    <mergeCell ref="J40:O40"/>
    <mergeCell ref="B37:G37"/>
    <mergeCell ref="S37:U37"/>
    <mergeCell ref="V37:W37"/>
    <mergeCell ref="C38:E38"/>
    <mergeCell ref="F38:G38"/>
    <mergeCell ref="R38:W38"/>
    <mergeCell ref="L47:M47"/>
    <mergeCell ref="W47:Y47"/>
    <mergeCell ref="Z47:AA47"/>
    <mergeCell ref="B41:G41"/>
    <mergeCell ref="A42:N42"/>
    <mergeCell ref="O42:AB42"/>
    <mergeCell ref="AC42:AP42"/>
    <mergeCell ref="C44:E44"/>
    <mergeCell ref="F44:G44"/>
    <mergeCell ref="Q44:S44"/>
    <mergeCell ref="T44:U44"/>
    <mergeCell ref="AE44:AG44"/>
    <mergeCell ref="AH44:AI44"/>
    <mergeCell ref="AH50:AI50"/>
    <mergeCell ref="B51:G51"/>
    <mergeCell ref="P51:U51"/>
    <mergeCell ref="AD51:AI51"/>
    <mergeCell ref="AR4:AR5"/>
    <mergeCell ref="AR7:AR8"/>
    <mergeCell ref="AR9:AR10"/>
    <mergeCell ref="AR11:AR12"/>
    <mergeCell ref="AR13:AR14"/>
    <mergeCell ref="AR15:AR16"/>
    <mergeCell ref="AK47:AM47"/>
    <mergeCell ref="AN47:AO47"/>
    <mergeCell ref="H48:M48"/>
    <mergeCell ref="V48:AA48"/>
    <mergeCell ref="AJ48:AO48"/>
    <mergeCell ref="C50:E50"/>
    <mergeCell ref="F50:G50"/>
    <mergeCell ref="Q50:S50"/>
    <mergeCell ref="T50:U50"/>
    <mergeCell ref="AE50:AG50"/>
    <mergeCell ref="B45:G45"/>
    <mergeCell ref="P45:U45"/>
    <mergeCell ref="AD45:AI45"/>
    <mergeCell ref="I47:K47"/>
    <mergeCell ref="AR29:AR30"/>
    <mergeCell ref="AR31:AR32"/>
    <mergeCell ref="AR34:AR35"/>
    <mergeCell ref="AR37:AR38"/>
    <mergeCell ref="AR40:AR42"/>
    <mergeCell ref="AR17:AR18"/>
    <mergeCell ref="AR19:AR20"/>
    <mergeCell ref="AR21:AR22"/>
    <mergeCell ref="AR23:AR24"/>
    <mergeCell ref="AR25:AR26"/>
    <mergeCell ref="AR27:AR28"/>
  </mergeCells>
  <hyperlinks>
    <hyperlink ref="AR4:AR5" location="'GESTION DES JOUEURS'!D4" display="GESTION DES JOUEURS" xr:uid="{5C829BBD-327D-47A2-BB02-008531FB143C}"/>
    <hyperlink ref="AR9:AR10" location="PA!N18" display="PA!N18" xr:uid="{09B7D38A-BD1D-4AB3-9A38-B4EEF9EFD654}"/>
    <hyperlink ref="AR11:AR12" location="PB!N18" display="Poule B" xr:uid="{47F40C42-1215-475A-9630-ED8B18E8C032}"/>
    <hyperlink ref="AR13:AR14" location="PC!N18" display="Poule C" xr:uid="{59475962-534C-436B-BB0C-E7FBDE8615CD}"/>
    <hyperlink ref="AR15:AR16" location="PD!N18" display="Poule D" xr:uid="{F52B3D3F-0FA3-4748-850B-CF71AACB2A91}"/>
    <hyperlink ref="AR17:AR18" location="PE!N18" display="Poule E" xr:uid="{7D5FB872-D920-4F08-A7D8-D633CF31D37E}"/>
    <hyperlink ref="AR19:AR20" location="PF!N18" display="Poule F" xr:uid="{357DD33F-9656-493D-94D8-54B715F863E1}"/>
    <hyperlink ref="AR21:AR22" location="PG!N18" display="Poule G" xr:uid="{84BAB636-5C02-46BA-B670-8184A2E324F9}"/>
    <hyperlink ref="AR23:AR24" location="PH!N18" display="Poule H" xr:uid="{69F05DE5-FFD8-4570-A7CA-A85C022171D6}"/>
    <hyperlink ref="AR25:AR26" location="PI!N18" display="Poule I" xr:uid="{02F5824E-92FF-4157-8A41-3672DB764AB3}"/>
    <hyperlink ref="AR27:AR28" location="PJ!N18" display="Poule J" xr:uid="{57B7CA92-2D4A-4649-B2D9-F812FDF9FE9C}"/>
    <hyperlink ref="AR29:AR30" location="PK!N18" display="Poule K" xr:uid="{CD2ED84C-3249-478A-BDA9-B614F6D02E30}"/>
    <hyperlink ref="AR31:AR32" location="PL!N18" display="Poule L" xr:uid="{1EB1DB26-7242-4276-A653-474599839D97}"/>
    <hyperlink ref="AR37:AR38" location="Consolante!A1" display="Consolante" xr:uid="{0C8D4EEF-8C97-4F04-87DF-48B6F5350899}"/>
    <hyperlink ref="AR40:AR42" location="RESULTATS!A1" display="RESULTATS" xr:uid="{EFFC3125-A7E4-4833-B8D7-6932C75791D0}"/>
    <hyperlink ref="AR34:AR35" location="'Phase finale'!A1" display="Phase Finale" xr:uid="{22F5B30D-7DA3-4687-A985-994715AC1BF9}"/>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8" id="{BDD03D26-B085-4BAC-9782-F8B9C9C8D170}">
            <xm:f>'GESTION DES JOUEURS'!$T$8&lt;2</xm:f>
            <x14:dxf>
              <font>
                <color theme="0" tint="-0.24994659260841701"/>
              </font>
              <fill>
                <patternFill>
                  <bgColor theme="0" tint="-0.24994659260841701"/>
                </patternFill>
              </fill>
            </x14:dxf>
          </x14:cfRule>
          <x14:cfRule type="expression" priority="19" id="{21FCD035-21CB-4F4F-AB1B-432CDD178A37}">
            <xm:f>'GESTION DES JOUEURS'!$D$8="Finale"</xm:f>
            <x14:dxf>
              <font>
                <color theme="0" tint="-0.24994659260841701"/>
              </font>
              <fill>
                <patternFill>
                  <bgColor theme="0" tint="-0.24994659260841701"/>
                </patternFill>
              </fill>
            </x14:dxf>
          </x14:cfRule>
          <xm:sqref>AR11:AR32</xm:sqref>
        </x14:conditionalFormatting>
        <x14:conditionalFormatting xmlns:xm="http://schemas.microsoft.com/office/excel/2006/main">
          <x14:cfRule type="expression" priority="17" id="{DF1D666B-64E9-4869-A6D5-061102E07FBD}">
            <xm:f>'GESTION DES JOUEURS'!$T$8&lt;3</xm:f>
            <x14:dxf>
              <font>
                <color theme="0" tint="-0.24994659260841701"/>
              </font>
              <fill>
                <patternFill>
                  <bgColor theme="0" tint="-0.24994659260841701"/>
                </patternFill>
              </fill>
            </x14:dxf>
          </x14:cfRule>
          <xm:sqref>AR13:AR32</xm:sqref>
        </x14:conditionalFormatting>
        <x14:conditionalFormatting xmlns:xm="http://schemas.microsoft.com/office/excel/2006/main">
          <x14:cfRule type="expression" priority="16" id="{3B8384F8-822B-4BA6-839C-7075D5EB80D8}">
            <xm:f>'GESTION DES JOUEURS'!$T$8&lt;4</xm:f>
            <x14:dxf>
              <font>
                <color theme="0" tint="-0.24994659260841701"/>
              </font>
              <fill>
                <patternFill>
                  <bgColor theme="0" tint="-0.24994659260841701"/>
                </patternFill>
              </fill>
            </x14:dxf>
          </x14:cfRule>
          <xm:sqref>AR15:AR32</xm:sqref>
        </x14:conditionalFormatting>
        <x14:conditionalFormatting xmlns:xm="http://schemas.microsoft.com/office/excel/2006/main">
          <x14:cfRule type="expression" priority="15" id="{32E387A7-AEE8-4311-80BA-006B0A086A70}">
            <xm:f>'GESTION DES JOUEURS'!$T$8&lt;5</xm:f>
            <x14:dxf>
              <font>
                <color theme="0" tint="-0.24994659260841701"/>
              </font>
              <fill>
                <patternFill>
                  <bgColor theme="0" tint="-0.24994659260841701"/>
                </patternFill>
              </fill>
            </x14:dxf>
          </x14:cfRule>
          <xm:sqref>AR17:AR32</xm:sqref>
        </x14:conditionalFormatting>
        <x14:conditionalFormatting xmlns:xm="http://schemas.microsoft.com/office/excel/2006/main">
          <x14:cfRule type="expression" priority="14" id="{2D3E8631-CF77-467C-8C26-5B507CEF7203}">
            <xm:f>'GESTION DES JOUEURS'!$T$8&lt;6</xm:f>
            <x14:dxf>
              <font>
                <color theme="0" tint="-0.24994659260841701"/>
              </font>
              <fill>
                <patternFill>
                  <fgColor auto="1"/>
                  <bgColor theme="0" tint="-0.24994659260841701"/>
                </patternFill>
              </fill>
            </x14:dxf>
          </x14:cfRule>
          <xm:sqref>AR19:AR32</xm:sqref>
        </x14:conditionalFormatting>
        <x14:conditionalFormatting xmlns:xm="http://schemas.microsoft.com/office/excel/2006/main">
          <x14:cfRule type="expression" priority="13" id="{8F1034BA-A351-4EB7-8C85-CE437DA725FF}">
            <xm:f>'GESTION DES JOUEURS'!$T$8&lt;7</xm:f>
            <x14:dxf>
              <font>
                <color theme="0" tint="-0.24994659260841701"/>
              </font>
              <fill>
                <patternFill>
                  <bgColor theme="0" tint="-0.24994659260841701"/>
                </patternFill>
              </fill>
            </x14:dxf>
          </x14:cfRule>
          <xm:sqref>AR21:AR32</xm:sqref>
        </x14:conditionalFormatting>
        <x14:conditionalFormatting xmlns:xm="http://schemas.microsoft.com/office/excel/2006/main">
          <x14:cfRule type="expression" priority="12" id="{D3782231-C107-473B-98A7-C7A75633D4A6}">
            <xm:f>'GESTION DES JOUEURS'!$T$8&lt;8</xm:f>
            <x14:dxf>
              <font>
                <color theme="0" tint="-0.24994659260841701"/>
              </font>
              <fill>
                <patternFill>
                  <bgColor theme="0" tint="-0.24994659260841701"/>
                </patternFill>
              </fill>
            </x14:dxf>
          </x14:cfRule>
          <xm:sqref>AR23:AR32</xm:sqref>
        </x14:conditionalFormatting>
        <x14:conditionalFormatting xmlns:xm="http://schemas.microsoft.com/office/excel/2006/main">
          <x14:cfRule type="expression" priority="11" id="{9EA5CFF8-C79B-43B3-B10D-256249FD1ED1}">
            <xm:f>'GESTION DES JOUEURS'!$T$8&lt;9</xm:f>
            <x14:dxf>
              <font>
                <color theme="0" tint="-0.24994659260841701"/>
              </font>
              <fill>
                <patternFill>
                  <bgColor theme="0" tint="-0.24994659260841701"/>
                </patternFill>
              </fill>
            </x14:dxf>
          </x14:cfRule>
          <xm:sqref>AR25:AR32</xm:sqref>
        </x14:conditionalFormatting>
        <x14:conditionalFormatting xmlns:xm="http://schemas.microsoft.com/office/excel/2006/main">
          <x14:cfRule type="expression" priority="10" id="{44637306-4911-4A6A-BDDE-58714C03A405}">
            <xm:f>'GESTION DES JOUEURS'!$T$8&lt;10</xm:f>
            <x14:dxf>
              <font>
                <color theme="0" tint="-0.24994659260841701"/>
              </font>
              <fill>
                <patternFill>
                  <bgColor theme="0" tint="-0.24994659260841701"/>
                </patternFill>
              </fill>
            </x14:dxf>
          </x14:cfRule>
          <xm:sqref>AR27:AR32</xm:sqref>
        </x14:conditionalFormatting>
        <x14:conditionalFormatting xmlns:xm="http://schemas.microsoft.com/office/excel/2006/main">
          <x14:cfRule type="expression" priority="2" id="{B025F815-888B-41C3-855F-E8B51FE98C29}">
            <xm:f>OR('GESTION DES JOUEURS'!$D$8="poules",'GESTION DES JOUEURS'!$D$8="Finale")</xm:f>
            <x14:dxf>
              <font>
                <color theme="0" tint="-0.24994659260841701"/>
              </font>
              <fill>
                <patternFill>
                  <fgColor auto="1"/>
                  <bgColor theme="0" tint="-0.24994659260841701"/>
                </patternFill>
              </fill>
            </x14:dxf>
          </x14:cfRule>
          <xm:sqref>AR34:AR35</xm:sqref>
        </x14:conditionalFormatting>
        <x14:conditionalFormatting xmlns:xm="http://schemas.microsoft.com/office/excel/2006/main">
          <x14:cfRule type="expression" priority="1" id="{A7ABC3D9-DD0C-4042-B1CF-01C98F1432BC}">
            <xm:f>'GESTION DES JOUEURS'!$T$8=1</xm:f>
            <x14:dxf>
              <font>
                <color theme="0" tint="-0.24994659260841701"/>
              </font>
              <fill>
                <patternFill>
                  <bgColor theme="0" tint="-0.24994659260841701"/>
                </patternFill>
              </fill>
            </x14:dxf>
          </x14:cfRule>
          <x14:cfRule type="expression" priority="3" id="{3F60389B-1C08-42DB-8B08-81087F261AA1}">
            <xm:f>'GESTION DES JOUEURS'!$D$8="Finale"</xm:f>
            <x14:dxf>
              <font>
                <color theme="0" tint="-0.24994659260841701"/>
              </font>
              <fill>
                <patternFill>
                  <bgColor theme="0" tint="-0.24994659260841701"/>
                </patternFill>
              </fill>
            </x14:dxf>
          </x14:cfRule>
          <xm:sqref>AR34:AR38</xm:sqref>
        </x14:conditionalFormatting>
        <x14:conditionalFormatting xmlns:xm="http://schemas.microsoft.com/office/excel/2006/main">
          <x14:cfRule type="expression" priority="5" id="{621BF2D8-B455-48B7-91AF-53F963DA3166}">
            <xm:f>OR('GESTION DES JOUEURS'!$D$8="Poules",'GESTION DES JOUEURS'!$D$8="Finale",'GESTION DES JOUEURS'!$D$8="Tournoi")</xm:f>
            <x14:dxf>
              <font>
                <color theme="0" tint="-0.24994659260841701"/>
              </font>
              <fill>
                <patternFill>
                  <bgColor theme="0" tint="-0.24994659260841701"/>
                </patternFill>
              </fill>
            </x14:dxf>
          </x14:cfRule>
          <xm:sqref>AR37:AR38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CD24D-1AB2-4B98-B7EB-0D38D42D4C03}">
  <sheetPr codeName="Feuil10">
    <tabColor rgb="FFF9C6A9"/>
    <pageSetUpPr fitToPage="1"/>
  </sheetPr>
  <dimension ref="A1:AZ40"/>
  <sheetViews>
    <sheetView zoomScale="85" zoomScaleNormal="85"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IF(PA!F13="FINALE","District 93-94"&amp;" - "&amp;IF(MONTH(AT5)&gt;8,YEAR(AT5)&amp;"/"&amp;YEAR(AT5)+1,YEAR(AT5)-1&amp;"/"&amp;YEAR(AT5))&amp;CHAR(10)&amp;PA!F13&amp;CHAR(10)&amp;PA!B15&amp;AT2,"District 93-94"&amp;" - "&amp;IF(MONTH(AT5)&gt;8,YEAR(AT5)&amp;"/"&amp;YEAR(AT5)+1,YEAR(AT5)-1&amp;"/"&amp;YEAR(AT5))&amp;CHAR(10)&amp;'GESTION DES JOUEURS'!C2&amp;CHAR(10)&amp;PA!K13&amp;" "&amp;PA!L13)</f>
        <v>District 93-94 - 2024/2025
Journée 3 -  Libre R2
Poule A</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IF(PA!M14="","",PA!M14)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IF(LEFT(PA!$B$15)="C","   -   "&amp;_xlfn.XLOOKUP(PA!B15,Distances!D2:D77,Distances!K2:K77,"",0,1),"")</f>
        <v/>
      </c>
      <c r="AV2" s="450" t="s">
        <v>8130</v>
      </c>
    </row>
    <row r="3" spans="1:48" ht="21.95" customHeight="1" thickBot="1" x14ac:dyDescent="0.3">
      <c r="A3" s="32"/>
      <c r="B3" s="868" t="str">
        <f>IF('GESTION DES JOUEURS'!$F$6="","","Directeur de jeu : "&amp;PA!S13)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"&amp;_xlfn.XLOOKUP(PA!B15,Distances!D2:D77,Distances!A2:A77,"",0,1)&amp;AT2</f>
        <v>Mode de jeu : Libre</v>
      </c>
      <c r="C5" s="877"/>
      <c r="D5" s="877"/>
      <c r="E5" s="877"/>
      <c r="F5" s="877"/>
      <c r="G5" s="876" t="str">
        <f>"Catégorie : "&amp;_xlfn.XLOOKUP(PA!B15,Distances!D2:D77,Distances!B2:B77,"",0,1)</f>
        <v>Catégorie : R2</v>
      </c>
      <c r="H5" s="877"/>
      <c r="I5" s="877"/>
      <c r="J5" s="877"/>
      <c r="K5" s="877"/>
      <c r="L5" s="877"/>
      <c r="M5" s="877"/>
      <c r="N5" s="878"/>
      <c r="O5" s="870" t="str">
        <f>IF(G5="Catégorie : N1/N2","Distance réduite : 150 pts"&amp;CHAR(10)&amp;"si N2 Vs N2 120pts",PA!B14&amp;" "&amp;PA!E14&amp;" "&amp;PA!F14)</f>
        <v>Distance : 100 Pts</v>
      </c>
      <c r="P5" s="871"/>
      <c r="Q5" s="871"/>
      <c r="R5" s="871"/>
      <c r="S5" s="871"/>
      <c r="T5" s="871"/>
      <c r="U5" s="872"/>
      <c r="V5" s="870" t="str">
        <f>IFERROR(IF(G5="Catégorie : N1/N2","Reprises : 15"&amp;CHAR(10)&amp;"si N2 Vs N2 Reprises : 20 ",PA!G14&amp;" "&amp;PA!J14),"")</f>
        <v>Reprises : 40</v>
      </c>
      <c r="W5" s="871"/>
      <c r="X5" s="871"/>
      <c r="Y5" s="871"/>
      <c r="Z5" s="871"/>
      <c r="AA5" s="871"/>
      <c r="AB5" s="871"/>
      <c r="AC5" s="872"/>
      <c r="AD5" s="873" t="str">
        <f>_xlfn.XLOOKUP(PA!B15,Distances!D2:D77,Distances!J2:J77,"",0,1)&amp;" "&amp;_xlfn.XLOOKUP(PA!B15,Distances!D2:D77,Distances!I2:I77,"",0,1)&amp;"0 m"</f>
        <v>PC 2,80 m</v>
      </c>
      <c r="AE5" s="874"/>
      <c r="AF5" s="874"/>
      <c r="AG5" s="874"/>
      <c r="AH5" s="874"/>
      <c r="AI5" s="875"/>
      <c r="AJ5" s="850">
        <f>IF(PA!T14=0,"DATE",PA!T14)</f>
        <v>45633</v>
      </c>
      <c r="AK5" s="851"/>
      <c r="AL5" s="851"/>
      <c r="AM5" s="851"/>
      <c r="AN5" s="851"/>
      <c r="AO5" s="851"/>
      <c r="AP5" s="851"/>
      <c r="AQ5" s="852"/>
      <c r="AS5" s="841" t="s">
        <v>8129</v>
      </c>
      <c r="AT5" s="32">
        <f ca="1">IF(PA!T14&gt;1,AJ5,TODAY())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IF(PA!$AO$4&lt;2,"","JOUEURS")</f>
        <v>JOUEURS</v>
      </c>
      <c r="D8" s="139"/>
      <c r="E8" s="853" t="str">
        <f>IF(C10="","",C10)</f>
        <v>PONCE F.</v>
      </c>
      <c r="F8" s="853"/>
      <c r="G8" s="853"/>
      <c r="H8" s="853"/>
      <c r="I8" s="139"/>
      <c r="J8" s="853" t="str">
        <f>IF(C15="","",C15)</f>
        <v>PIBOURDIN E.</v>
      </c>
      <c r="K8" s="853"/>
      <c r="L8" s="853"/>
      <c r="M8" s="853"/>
      <c r="N8" s="139"/>
      <c r="O8" s="853" t="str">
        <f>IF(C20="","",C20)</f>
        <v>HANSEL G.</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IF(PA!$AO$4&lt;2,"","RESULTATS")</f>
        <v>RESULTATS</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IF(PA!AO4=2,_xlfn.XLOOKUP(1,PA!M6:M11,PA!C6:D11&amp;" "&amp;LEFT(PA!E6)&amp;".","",0,1),IF(COUNT(PA!A6:A11)&gt;2,CONCATENATE(PA!C6," ",LEFT(PA!E6),"."),""))</f>
        <v>PONCE F.</v>
      </c>
      <c r="D10" s="32"/>
      <c r="E10" s="885" t="e" vm="2">
        <f>IF(PA!W35="NON",AG1,IF(PA!AO4&gt;0,_xlfn.XLOOKUP('T PA'!C13,'LOGOS CLUBS'!$B$2:$B$65,'LOGOS CLUBS'!$C$2:$C$65,C13,0,1),""))</f>
        <v>#VALUE!</v>
      </c>
      <c r="F10" s="885"/>
      <c r="G10" s="885"/>
      <c r="H10" s="885"/>
      <c r="I10" s="32"/>
      <c r="J10" s="882">
        <f>IF(AND(PA!$AO$4=2,PA!$A18="P"),PA!N18,IF(AND(COUNT(PA!$A$6:$A$11)&gt;2,PA!$CF10="P"),PA!$CC10,""))</f>
        <v>100</v>
      </c>
      <c r="K10" s="882"/>
      <c r="L10" s="882">
        <f>IF(AND(PA!$AO$4=2,PA!$A18="P"),PA!O18,IF(AND(COUNT(PA!$A$6:$A$11)&gt;2,PA!$CF10="P"),PA!$CE10,""))</f>
        <v>37</v>
      </c>
      <c r="M10" s="882"/>
      <c r="N10" s="142"/>
      <c r="O10" s="882">
        <f>IF(PA!$AO$4=2,"",IF(AND(COUNT(PA!$A$6:$A$11)&gt;2,PA!$CF9="P"),PA!$CC9,""))</f>
        <v>100</v>
      </c>
      <c r="P10" s="882"/>
      <c r="Q10" s="882">
        <f>IF(PA!$AO$4=2,"",IF(AND(COUNT(PA!$A$6:$A$11)&gt;2,PA!$CF9="P"),PA!$CE9,""))</f>
        <v>35</v>
      </c>
      <c r="R10" s="882"/>
      <c r="S10" s="142"/>
      <c r="T10" s="882" t="str">
        <f>IF(PA!$AO$4=2,"",IF(AND(COUNT(PA!$A$6:$A$11)&gt;2,PA!$CF8="P"),PA!$CC8,""))</f>
        <v/>
      </c>
      <c r="U10" s="882"/>
      <c r="V10" s="882" t="str">
        <f>IF(PA!$AO$4=2,"",IF(AND(COUNT(PA!$A$6:$A$11)&gt;2,PA!$CF8="P"),PA!$CE8,""))</f>
        <v/>
      </c>
      <c r="W10" s="882"/>
      <c r="X10" s="142"/>
      <c r="Y10" s="882" t="str">
        <f>IF(PA!$AO$4=2,"",IF(AND(COUNT(PA!$A$6:$A$11)&gt;2,PA!$CF7="P"),PA!$CC7,""))</f>
        <v/>
      </c>
      <c r="Z10" s="882"/>
      <c r="AA10" s="882" t="str">
        <f>IF(PA!$AO$4=2,"",IF(AND(COUNT(PA!$A$6:$A$11)&gt;2,PA!$CF7="P"),PA!$CE7,""))</f>
        <v/>
      </c>
      <c r="AB10" s="882"/>
      <c r="AC10" s="142"/>
      <c r="AD10" s="882" t="str">
        <f>IF(PA!$AO$4=2,"",IF(AND(COUNT(PA!$A$6:$A$11)&gt;2,PA!$CF6="P"),PA!$CC6,""))</f>
        <v/>
      </c>
      <c r="AE10" s="882"/>
      <c r="AF10" s="882" t="str">
        <f>IF(PA!$AO$4=2,"",IF(AND(COUNT(PA!$A$6:$A$11)&gt;2,PA!$CF6="P"),PA!$CE6,""))</f>
        <v/>
      </c>
      <c r="AG10" s="882"/>
      <c r="AH10" s="32"/>
      <c r="AI10" s="32"/>
      <c r="AJ10" s="32"/>
      <c r="AK10" s="882" cm="1">
        <f t="array" ref="AK10">IF(PA!$AO$4&lt;2,"",IF(_xlfn.XLOOKUP('T PA'!C12,"Licence n° "&amp;PA!$B$6:$B$11,PA!$AO$6:$AO$11,"",0,1)=1,"",_xlfn.XLOOKUP('T PA'!C12,"Licence n° "&amp;PA!$B$6:$B$11,PA!$V$6:$V$11,"",0,1)))</f>
        <v>4</v>
      </c>
      <c r="AL10" s="882"/>
      <c r="AM10" s="879" cm="1">
        <f t="array" ref="AM10">IF(PA!$AO$4&lt;2,"",IF(_xlfn.XLOOKUP('T PA'!C12,"Licence n° "&amp;PA!$B$6:$B$11,PA!$AO$6:$AO$11,"",0,1)=1,"",_xlfn.XLOOKUP('T PA'!C12,"Licence n° "&amp;PA!$B$6:$B$11,PA!$T$6:$T$11,"",0,1)))</f>
        <v>2.7777777777777777</v>
      </c>
      <c r="AN10" s="879"/>
      <c r="AO10" s="32"/>
      <c r="AP10" s="561" cm="1">
        <f t="array" ref="AP10">_xlfn.XLOOKUP(C12,"Licence n° "&amp;PA!$B$6:$B$11,PA!$W$6:$W$11,"",0,1)</f>
        <v>8</v>
      </c>
      <c r="AQ10" s="32"/>
      <c r="AS10" s="843" t="str">
        <f>IF('GESTION DES JOUEURS'!$D$8="Finale","Poule Finale","Poule A")</f>
        <v>Poule A</v>
      </c>
      <c r="AT10" s="32"/>
      <c r="AV10" s="838"/>
    </row>
    <row r="11" spans="1:48" ht="12.6" customHeight="1" thickBot="1" x14ac:dyDescent="0.3">
      <c r="A11" s="32"/>
      <c r="B11" s="32"/>
      <c r="C11" s="143" t="str" cm="1">
        <f t="array" ref="C11">IF(PA!$AO$4=2,_xlfn.XLOOKUP(1,PA!$M$6:$M$11,PA!$K$6:$K$11&amp;" "&amp;PA!$AS$6:$AS$11,"",0,1),IF(COUNT(PA!$A$6:$A$11)&gt;2,PA!$K6&amp;" - "&amp;PA!$AS6," "))</f>
        <v>R2 - 0,00</v>
      </c>
      <c r="D11" s="32"/>
      <c r="E11" s="885"/>
      <c r="F11" s="885"/>
      <c r="G11" s="885"/>
      <c r="H11" s="885"/>
      <c r="I11" s="32"/>
      <c r="J11" s="144" t="str">
        <f>IF(K11="","","Pts")</f>
        <v>Pts</v>
      </c>
      <c r="K11" s="880">
        <f>IF(PA!$AO$4=2,PA!D18,IF(AND(COUNT(PA!$A$6:$A$11)&gt;2,PA!$CF10="P"),PA!$CG10,""))</f>
        <v>2</v>
      </c>
      <c r="L11" s="880"/>
      <c r="M11" s="144" t="str">
        <f>IF(K11="","","Rep.")</f>
        <v>Rep.</v>
      </c>
      <c r="N11" s="144"/>
      <c r="O11" s="144" t="str">
        <f>IF(P11="","","Pts")</f>
        <v>Pts</v>
      </c>
      <c r="P11" s="880">
        <f>IF(PA!$AO$4=2,"",IF(AND(COUNT(PA!$A$6:$A$11)&gt;2,PA!$CF9="P"),PA!$CG9,""))</f>
        <v>2</v>
      </c>
      <c r="Q11" s="880"/>
      <c r="R11" s="144" t="str">
        <f>IF(P11="","","Rep.")</f>
        <v>Rep.</v>
      </c>
      <c r="S11" s="144"/>
      <c r="T11" s="144" t="str">
        <f>IF(U11="","","Pts")</f>
        <v/>
      </c>
      <c r="U11" s="880" t="str">
        <f>IF(PA!$AO$4=2,"",IF(AND(COUNT(PA!$A$6:$A$11)&gt;2,PA!$CF8="P"),PA!$CG8,""))</f>
        <v/>
      </c>
      <c r="V11" s="880"/>
      <c r="W11" s="144" t="str">
        <f>IF(U11="","","Rep.")</f>
        <v/>
      </c>
      <c r="X11" s="144"/>
      <c r="Y11" s="144" t="str">
        <f>IF(Z11="","","Pts")</f>
        <v/>
      </c>
      <c r="Z11" s="880" t="str">
        <f>IF(PA!$AO$4=2,"",IF(AND(COUNT(PA!$A$6:$A$11)&gt;2,PA!$CF7="P"),PA!$CG7,""))</f>
        <v/>
      </c>
      <c r="AA11" s="880"/>
      <c r="AB11" s="144" t="str">
        <f>IF(Z11="","","Rep.")</f>
        <v/>
      </c>
      <c r="AC11" s="144"/>
      <c r="AD11" s="144" t="str">
        <f>IF(AE11="","","Pts")</f>
        <v/>
      </c>
      <c r="AE11" s="880" t="str">
        <f>IF(PA!$AO$4=2,"",IF(AND(COUNT(PA!$A$6:$A$11)&gt;2,PA!$CF6="P"),PA!$CG6,""))</f>
        <v/>
      </c>
      <c r="AF11" s="880"/>
      <c r="AG11" s="144" t="str">
        <f>IF(AE11="","","Rep.")</f>
        <v/>
      </c>
      <c r="AH11" s="32"/>
      <c r="AI11" s="32"/>
      <c r="AJ11" s="32"/>
      <c r="AK11" s="145" t="str">
        <f>IF(AL11="","","PM")</f>
        <v>PM</v>
      </c>
      <c r="AL11" s="881" cm="1">
        <f t="array" ref="AL11">IF(SUM(PA!$Q$6:$Q$11)=0,"",IF(PA!$AO$4&gt;1,IF(_xlfn.XLOOKUP('T PA'!C12,"Licence n° "&amp;PA!$B$6:$B$11,PA!$AO$6:$AO$11,"",0,1)=1,"Forfait",_xlfn.XLOOKUP('T PA'!C12,"Licence n° "&amp;PA!$B$37:$B$42,PA!$Q$37:$Q$42,"",0,1)),""))</f>
        <v>1</v>
      </c>
      <c r="AM11" s="881"/>
      <c r="AN11" s="145" t="str">
        <f>IF(AL11="","","MGP")</f>
        <v>MGP</v>
      </c>
      <c r="AO11" s="32"/>
      <c r="AP11" s="146" t="str">
        <f>IF(AND(PA!$AO$4&gt;1,LEFT(PA!$F$13)="P"),"Pts Rk","")</f>
        <v>Pts Rk</v>
      </c>
      <c r="AQ11" s="32"/>
      <c r="AS11" s="844"/>
      <c r="AT11" s="32"/>
      <c r="AV11" s="839"/>
    </row>
    <row r="12" spans="1:48" ht="12.6" customHeight="1" x14ac:dyDescent="0.25">
      <c r="A12" s="32"/>
      <c r="B12" s="32"/>
      <c r="C12" s="147" t="str">
        <f>IF(PA!AO4=2,"Licence n° "&amp;_xlfn.XLOOKUP(1,PA!M6:M11,PA!B6:B11,"",0,1),IF(COUNT(PA!A6:A11)&gt;2,"Licence n° "&amp;PA!B6," "))</f>
        <v>Licence n° 154178K</v>
      </c>
      <c r="D12" s="32"/>
      <c r="E12" s="885"/>
      <c r="F12" s="885"/>
      <c r="G12" s="885"/>
      <c r="H12" s="885"/>
      <c r="I12" s="32"/>
      <c r="J12" s="144" t="str">
        <f>IF(K11="","","Moy.")</f>
        <v>Moy.</v>
      </c>
      <c r="K12" s="880"/>
      <c r="L12" s="880"/>
      <c r="M12" s="144" t="str">
        <f>IF(K11="","","MS")</f>
        <v>MS</v>
      </c>
      <c r="N12" s="144"/>
      <c r="O12" s="144" t="str">
        <f>IF(P11="","","Moy.")</f>
        <v>Moy.</v>
      </c>
      <c r="P12" s="880"/>
      <c r="Q12" s="880"/>
      <c r="R12" s="144" t="str">
        <f>IF(P11="","","MS")</f>
        <v>MS</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Mpart.</v>
      </c>
      <c r="AL12" s="881"/>
      <c r="AM12" s="881"/>
      <c r="AN12" s="145" t="str">
        <f>IF(AL11="","","MS")</f>
        <v>MS</v>
      </c>
      <c r="AO12" s="32"/>
      <c r="AP12" s="148" t="str">
        <f>IF(AND(PA!$AO$4&gt;1,LEFT(PA!$F$13)="P"),"Bonus","")</f>
        <v>Bonus</v>
      </c>
      <c r="AQ12" s="32"/>
      <c r="AS12" s="845" t="s">
        <v>8113</v>
      </c>
      <c r="AT12" s="32"/>
    </row>
    <row r="13" spans="1:48" ht="50.1" customHeight="1" x14ac:dyDescent="0.25">
      <c r="A13" s="32"/>
      <c r="B13" s="32"/>
      <c r="C13" s="149" t="str">
        <f>IF(PA!AO4=2,_xlfn.XLOOKUP(1,PA!M6:M11,PA!G6:G11,"",0,1),IF(COUNT(PA!A6:A11)&gt;2,PA!G6," "))</f>
        <v>ACADEMIE DE BILLARD DE MAISONS ALFORT</v>
      </c>
      <c r="D13" s="32"/>
      <c r="E13" s="885"/>
      <c r="F13" s="885"/>
      <c r="G13" s="885"/>
      <c r="H13" s="885"/>
      <c r="I13" s="32"/>
      <c r="J13" s="883">
        <f>IF(K11="","",IF(K11&gt;0,J10/L10,"/"))</f>
        <v>2.7027027027027026</v>
      </c>
      <c r="K13" s="883"/>
      <c r="L13" s="884">
        <f>IF(AND(PA!$AO$4=2,PA!$A18="P"),PA!M18,IF(AND(COUNT(PA!$A$6:$A$11)&gt;2,PA!$CF10="P"),PA!$CD10,""))</f>
        <v>14</v>
      </c>
      <c r="M13" s="884"/>
      <c r="N13" s="32"/>
      <c r="O13" s="883">
        <f>IF(P11="","",IF(P11&gt;0,O10/Q10,"/"))</f>
        <v>2.8571428571428572</v>
      </c>
      <c r="P13" s="883"/>
      <c r="Q13" s="884">
        <f>IF(PA!$AO$4=2,"",IF(AND(COUNT(PA!$A$6:$A$11)&gt;2,PA!$CF9="P"),PA!$CD9,""))</f>
        <v>13</v>
      </c>
      <c r="R13" s="884"/>
      <c r="S13" s="32"/>
      <c r="T13" s="883" t="str">
        <f>IF(U11="","",IF(U11&gt;0,T10/V10,"/"))</f>
        <v/>
      </c>
      <c r="U13" s="883"/>
      <c r="V13" s="884" t="str">
        <f>IF(PA!$AO$4=2,"",IF(AND(COUNT(PA!$A$6:$A$11)&gt;2,PA!$CF8="P"),PA!$CD8,""))</f>
        <v/>
      </c>
      <c r="W13" s="884"/>
      <c r="X13" s="32"/>
      <c r="Y13" s="883" t="str">
        <f>IF(Z11="","",IF(Z11&gt;0,Y10/AA10,"/"))</f>
        <v/>
      </c>
      <c r="Z13" s="883"/>
      <c r="AA13" s="884" t="str">
        <f>IF(PA!$AO$4=2,"",IF(AND(COUNT(PA!$A$6:$A$11)&gt;2,PA!$CF7="P"),PA!$CD7,""))</f>
        <v/>
      </c>
      <c r="AB13" s="884"/>
      <c r="AC13" s="32"/>
      <c r="AD13" s="883" t="str">
        <f>IF(AE11="","",IF(AE11&gt;0,AD10/AF10,"/"))</f>
        <v/>
      </c>
      <c r="AE13" s="883"/>
      <c r="AF13" s="884" t="str">
        <f>IF(PA!$AO$4=2,"",IF(AND(COUNT(PA!$A$6:$A$11)&gt;2,PA!$CF6="P"),PA!$CD6,""))</f>
        <v/>
      </c>
      <c r="AG13" s="884"/>
      <c r="AH13" s="32"/>
      <c r="AI13" s="32"/>
      <c r="AJ13" s="32"/>
      <c r="AK13" s="883" cm="1">
        <f t="array" ref="AK13">IF(PA!$AO$4&lt;2,"",IF(_xlfn.XLOOKUP('T PA'!C12,"Licence n° "&amp;PA!$B$6:$B$11,PA!$AO$6:$AO$11,"",0,1)=1,"",_xlfn.XLOOKUP('T PA'!C12,"Licence n° "&amp;PA!$B$6:$B$11,PA!$U$6:$U$11,"",0,1)))</f>
        <v>2.8571428571428572</v>
      </c>
      <c r="AL13" s="883"/>
      <c r="AM13" s="884" cm="1">
        <f t="array" ref="AM13">IF(PA!$AO$4&lt;2,"",IF(_xlfn.XLOOKUP('T PA'!C12,"Licence n° "&amp;PA!$B$6:$B$11,PA!$AO$6:$AO$11,"",0,1)=1,"",_xlfn.XLOOKUP('T PA'!C12,"Licence n° "&amp;PA!$B$6:$B$11,PA!$S$6:$S$11,"",0,1)))</f>
        <v>14</v>
      </c>
      <c r="AN13" s="884"/>
      <c r="AO13" s="32"/>
      <c r="AP13" s="562" cm="1">
        <f t="array" ref="AP13">_xlfn.XLOOKUP(C12,"Licence n° "&amp;PA!$B$6:$B$11,PA!$X$6:$X$11,"",0,1)</f>
        <v>2</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IF(PA!AO4=2,_xlfn.XLOOKUP(2,PA!M6:M11,PA!C6:D11&amp;" "&amp;LEFT(PA!E6:E11)&amp;".","",0,1),IF(COUNT(PA!A6:A11)&gt;2,CONCATENATE(PA!C7," ",LEFT(PA!E7),"."),""))</f>
        <v>PIBOURDIN E.</v>
      </c>
      <c r="D15" s="32"/>
      <c r="E15" s="882">
        <f>IF(AND(PA!$AO$4=2,PA!$A18="P"),PA!P18,IF(AND(COUNT(PA!$A$6:$A$11)&gt;2,PA!$CF15="P"),PA!$CC15,""))</f>
        <v>91</v>
      </c>
      <c r="F15" s="882"/>
      <c r="G15" s="882">
        <f>IF(AND(PA!$AO$4=2,PA!$A18="P"),PA!O18,IF(AND(COUNT(PA!$A$6:$A$11)&gt;2,PA!$CF15="P"),PA!$CE15,""))</f>
        <v>37</v>
      </c>
      <c r="H15" s="882"/>
      <c r="I15" s="32"/>
      <c r="J15" s="885" t="e" vm="2">
        <f>IF(PA!W35="NON",AG1,IF(PA!AO4=2,"MATCH 1",IF(PA!AO4&gt;2,_xlfn.XLOOKUP(C18,'LOGOS CLUBS'!$B$2:$B$65,'LOGOS CLUBS'!$C$2:$C$65,C18,0,1),"")))</f>
        <v>#VALUE!</v>
      </c>
      <c r="K15" s="885"/>
      <c r="L15" s="885"/>
      <c r="M15" s="885"/>
      <c r="N15" s="32"/>
      <c r="O15" s="882">
        <f>IF(PA!$AO$4=2,"",IF(AND(COUNT(PA!$A$6:$A$11)&gt;2,PA!$CF14="P"),PA!$CC14,""))</f>
        <v>85</v>
      </c>
      <c r="P15" s="882"/>
      <c r="Q15" s="882">
        <f>IF(PA!$AO$4=2,"",IF(AND(COUNT(PA!$A$6:$A$11)&gt;2,PA!$CF14="P"),PA!$CE14,""))</f>
        <v>40</v>
      </c>
      <c r="R15" s="882"/>
      <c r="S15" s="142"/>
      <c r="T15" s="882" t="str">
        <f>IF(PA!$AO$4=2,"",IF(AND(COUNT(PA!$A$6:$A$11)&gt;2,PA!$CF13="P"),PA!$CC13,""))</f>
        <v/>
      </c>
      <c r="U15" s="882"/>
      <c r="V15" s="882" t="str">
        <f>IF(PA!$AO$4=2,"",IF(AND(COUNT(PA!$A$6:$A$11)&gt;2,PA!$CF13="P"),PA!$CE13,""))</f>
        <v/>
      </c>
      <c r="W15" s="882"/>
      <c r="X15" s="142"/>
      <c r="Y15" s="882" t="str">
        <f>IF(PA!$AO$4=2,"",IF(AND(COUNT(PA!$A$6:$A$11)&gt;2,PA!$CF12="P"),PA!$CC12,""))</f>
        <v/>
      </c>
      <c r="Z15" s="882"/>
      <c r="AA15" s="882" t="str">
        <f>IF(PA!$AO$4=2,"",IF(AND(COUNT(PA!$A$6:$A$11)&gt;2,PA!$CF12="P"),PA!$CE12,""))</f>
        <v/>
      </c>
      <c r="AB15" s="882"/>
      <c r="AC15" s="142"/>
      <c r="AD15" s="882" t="str">
        <f>IF(PA!$AO$4=2,"",IF(AND(COUNT(PA!$A$6:$A$11)&gt;2,PA!$CF11="P"),PA!$CC11,""))</f>
        <v/>
      </c>
      <c r="AE15" s="882"/>
      <c r="AF15" s="882" t="str">
        <f>IF(PA!$AO$4=2,"",IF(AND(COUNT(PA!$A$6:$A$11)&gt;2,PA!$CF11="P"),PA!$CE11,""))</f>
        <v/>
      </c>
      <c r="AG15" s="882"/>
      <c r="AH15" s="32"/>
      <c r="AI15" s="32"/>
      <c r="AJ15" s="32"/>
      <c r="AK15" s="882" cm="1">
        <f t="array" ref="AK15">IF(PA!$AO$4&lt;2,"",IF(_xlfn.XLOOKUP('T PA'!C17,"Licence n° "&amp;PA!$B$6:$B$11,PA!$AO$6:$AO$11,"",0,1)=1,"",_xlfn.XLOOKUP('T PA'!C17,"Licence n° "&amp;PA!$B$6:$B$11,PA!$V$6:$V$11,"",0,1)))</f>
        <v>2</v>
      </c>
      <c r="AL15" s="882"/>
      <c r="AM15" s="879" cm="1">
        <f t="array" ref="AM15">IF(PA!$AO$4&lt;2,"",IF(_xlfn.XLOOKUP('T PA'!C17,"Licence n° "&amp;PA!$B$6:$B$11,PA!$AO$6:$AO$11,"",0,1)=1,"",_xlfn.XLOOKUP('T PA'!C17,"Licence n° "&amp;PA!$B$6:$B$11,PA!$T$6:$T$11,"",0,1)))</f>
        <v>2.2857142857142856</v>
      </c>
      <c r="AN15" s="879"/>
      <c r="AO15" s="32"/>
      <c r="AP15" s="561" cm="1">
        <f t="array" ref="AP15">_xlfn.XLOOKUP(C17,"Licence n° "&amp;PA!$B$6:$B$11,PA!$W$6:$W$11,"",0,1)</f>
        <v>5</v>
      </c>
      <c r="AQ15" s="32"/>
      <c r="AS15" s="840" t="s">
        <v>8114</v>
      </c>
      <c r="AT15" s="32"/>
    </row>
    <row r="16" spans="1:48" ht="12.6" customHeight="1" x14ac:dyDescent="0.25">
      <c r="A16" s="32"/>
      <c r="B16" s="32"/>
      <c r="C16" s="143" t="str" cm="1">
        <f t="array" ref="C16">IF(PA!$AO$4=2,_xlfn.XLOOKUP(2,PA!$M$6:$M$11,PA!$K$6:$K$11&amp;" "&amp;PA!$AS$6:$AS$11,"",0,1),IF(COUNT(PA!$A$6:$A$11)&gt;2,PA!$K7&amp;" - "&amp;PA!$AS7," "))</f>
        <v>R2  - 0,00</v>
      </c>
      <c r="D16" s="32"/>
      <c r="E16" s="144" t="str">
        <f>IF(F16="","","Pts")</f>
        <v>Pts</v>
      </c>
      <c r="F16" s="880">
        <f>IF(PA!$AO$4=2,PA!X18,IF(AND(COUNT(PA!$A$6:$A$11)&gt;2,PA!$CF15="P"),PA!$CG15,""))</f>
        <v>0</v>
      </c>
      <c r="G16" s="880"/>
      <c r="H16" s="144" t="str">
        <f>IF(F16="","","Rep.")</f>
        <v>Rep.</v>
      </c>
      <c r="I16" s="32"/>
      <c r="J16" s="885"/>
      <c r="K16" s="885"/>
      <c r="L16" s="885"/>
      <c r="M16" s="885"/>
      <c r="N16" s="32"/>
      <c r="O16" s="144" t="str">
        <f>IF(P16="","","Pts")</f>
        <v>Pts</v>
      </c>
      <c r="P16" s="880">
        <f>IF(PA!$AO$4=2,"",IF(AND(COUNT(PA!$A$6:$A$11)&gt;2,PA!$CF14="P"),PA!$CG14,""))</f>
        <v>2</v>
      </c>
      <c r="Q16" s="880"/>
      <c r="R16" s="144" t="str">
        <f>IF(P16="","","Rep.")</f>
        <v>Rep.</v>
      </c>
      <c r="S16" s="50"/>
      <c r="T16" s="144" t="str">
        <f>IF(U16="","","Pts")</f>
        <v/>
      </c>
      <c r="U16" s="880" t="str">
        <f>IF(PA!$AO$4=2,"",IF(AND(COUNT(PA!$A$6:$A$11)&gt;2,PA!$CF13="P"),PA!$CG13,""))</f>
        <v/>
      </c>
      <c r="V16" s="880"/>
      <c r="W16" s="144" t="str">
        <f>IF(U16="","","Rep.")</f>
        <v/>
      </c>
      <c r="X16" s="144"/>
      <c r="Y16" s="144" t="str">
        <f>IF(Z16="","","Pts")</f>
        <v/>
      </c>
      <c r="Z16" s="880" t="str">
        <f>IF(PA!$AO$4=2,"",IF(AND(COUNT(PA!$A$6:$A$11)&gt;2,PA!$CF12="P"),PA!$CG12,""))</f>
        <v/>
      </c>
      <c r="AA16" s="880"/>
      <c r="AB16" s="144" t="str">
        <f>IF(Z16="","","Rep.")</f>
        <v/>
      </c>
      <c r="AC16" s="144"/>
      <c r="AD16" s="144" t="str">
        <f>IF(AE16="","","Pts")</f>
        <v/>
      </c>
      <c r="AE16" s="880" t="str">
        <f>IF(PA!$AO$4=2,"",IF(AND(COUNT(PA!$A$6:$A$11)&gt;2,PA!$CF11="P"),PA!$CG11,""))</f>
        <v/>
      </c>
      <c r="AF16" s="880"/>
      <c r="AG16" s="144" t="str">
        <f>IF(AE16="","","Rep.")</f>
        <v/>
      </c>
      <c r="AH16" s="32"/>
      <c r="AI16" s="32"/>
      <c r="AJ16" s="32"/>
      <c r="AK16" s="145" t="str">
        <f>IF(AL16="","","PM")</f>
        <v>PM</v>
      </c>
      <c r="AL16" s="881" cm="1">
        <f t="array" ref="AL16">IF(SUM(PA!$Q$6:$Q$11)=0,"",IF(PA!$AO$4&gt;1,IF(_xlfn.XLOOKUP('T PA'!C17,"Licence n° "&amp;PA!$B$6:$B$11,PA!$AO$6:$AO$11,"",0,1)=1,"Forfait",_xlfn.XLOOKUP('T PA'!C17,"Licence n° "&amp;PA!$B$37:$B$42,PA!$Q$37:$Q$42,"",0,1)),""))</f>
        <v>2</v>
      </c>
      <c r="AM16" s="881"/>
      <c r="AN16" s="145" t="str">
        <f>IF(AL16="","","MGP")</f>
        <v>MGP</v>
      </c>
      <c r="AO16" s="32"/>
      <c r="AP16" s="151" t="str">
        <f>IF(AND(PA!$AO$4&gt;1,LEFT(PA!$F$13)="P"),"Pts Rk","")</f>
        <v>Pts Rk</v>
      </c>
      <c r="AQ16" s="32"/>
      <c r="AS16" s="840"/>
      <c r="AT16" s="32"/>
    </row>
    <row r="17" spans="1:52" ht="12.6" customHeight="1" x14ac:dyDescent="0.25">
      <c r="A17" s="32"/>
      <c r="B17" s="32"/>
      <c r="C17" s="147" t="str">
        <f>IF(PA!AO4=2,"Licence n° "&amp;_xlfn.XLOOKUP(2,PA!M6:M11,PA!B6:B11,"",0,1),IF(COUNT(PA!A6:A11)&gt;2,"Licence n° "&amp;PA!B7," "))</f>
        <v>Licence n° 157535J</v>
      </c>
      <c r="D17" s="32"/>
      <c r="E17" s="144" t="str">
        <f>IF(F16="","","Moy.")</f>
        <v>Moy.</v>
      </c>
      <c r="F17" s="880"/>
      <c r="G17" s="880"/>
      <c r="H17" s="144" t="str">
        <f>IF(F16="","","MS")</f>
        <v>MS</v>
      </c>
      <c r="I17" s="32"/>
      <c r="J17" s="885"/>
      <c r="K17" s="885"/>
      <c r="L17" s="885"/>
      <c r="M17" s="885"/>
      <c r="N17" s="32"/>
      <c r="O17" s="144" t="str">
        <f>IF(P16="","","Moy.")</f>
        <v>Moy.</v>
      </c>
      <c r="P17" s="880"/>
      <c r="Q17" s="880"/>
      <c r="R17" s="144" t="str">
        <f>IF(P16="","","MS")</f>
        <v>MS</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Mpart.</v>
      </c>
      <c r="AL17" s="881"/>
      <c r="AM17" s="881"/>
      <c r="AN17" s="145" t="str">
        <f>IF(AL16="","","MS")</f>
        <v>MS</v>
      </c>
      <c r="AO17" s="32"/>
      <c r="AP17" s="148" t="str">
        <f>IF(AND(PA!$AO$4&gt;1,LEFT(PA!$F$13)="P"),"Bonus","")</f>
        <v>Bonus</v>
      </c>
      <c r="AQ17" s="32"/>
      <c r="AS17" s="846" t="s">
        <v>8115</v>
      </c>
      <c r="AT17" s="32"/>
      <c r="AZ17" s="241"/>
    </row>
    <row r="18" spans="1:52" ht="50.1" customHeight="1" x14ac:dyDescent="0.25">
      <c r="A18" s="32"/>
      <c r="B18" s="32"/>
      <c r="C18" s="149" t="str">
        <f>IF(PA!AO4=2,_xlfn.XLOOKUP(2,PA!M6:M11,PA!G6:G11,"",0,1),IF(COUNT(PA!A6:A11)&gt;2,PA!G7," "))</f>
        <v>ACADEMIE DE BILLARD DE MAISONS ALFORT</v>
      </c>
      <c r="D18" s="32"/>
      <c r="E18" s="883" t="str">
        <f>IF(F16="","",IF(F16&gt;0,E15/G15,"/"))</f>
        <v>/</v>
      </c>
      <c r="F18" s="883"/>
      <c r="G18" s="884">
        <f>IF(AND(PA!$AO$4=2,PA!$A18="P"),PA!Q18,IF(AND(COUNT(PA!$A$6:$A$11)&gt;2,PA!$CF15="P"),PA!$CD15,""))</f>
        <v>11</v>
      </c>
      <c r="H18" s="884"/>
      <c r="I18" s="32"/>
      <c r="J18" s="885"/>
      <c r="K18" s="885"/>
      <c r="L18" s="885"/>
      <c r="M18" s="885"/>
      <c r="N18" s="32"/>
      <c r="O18" s="883">
        <f>IF(P16="","",IF(P16&gt;0,O15/Q15,"/"))</f>
        <v>2.125</v>
      </c>
      <c r="P18" s="883"/>
      <c r="Q18" s="884">
        <f>IF(PA!$AO$4=2,"",IF(AND(COUNT(PA!$A$6:$A$11)&gt;2,PA!$CF14="P"),PA!$CD14,""))</f>
        <v>23</v>
      </c>
      <c r="R18" s="884"/>
      <c r="S18" s="32"/>
      <c r="T18" s="883" t="str">
        <f>IF(U16="","",IF(U16&gt;0,T15/V15,"/"))</f>
        <v/>
      </c>
      <c r="U18" s="883"/>
      <c r="V18" s="884" t="str">
        <f>IF(PA!$AO$4=2,"",IF(AND(COUNT(PA!$A$6:$A$11)&gt;2,PA!$CF13="P"),PA!$CD13,""))</f>
        <v/>
      </c>
      <c r="W18" s="884"/>
      <c r="X18" s="32"/>
      <c r="Y18" s="883" t="str">
        <f>IF(Z16="","",IF(Z16&gt;0,Y15/AA15,"/"))</f>
        <v/>
      </c>
      <c r="Z18" s="883"/>
      <c r="AA18" s="884" t="str">
        <f>IF(PA!$AO$4=2,"",IF(AND(COUNT(PA!$A$6:$A$11)&gt;2,PA!$CF12="P"),PA!$CD12,""))</f>
        <v/>
      </c>
      <c r="AB18" s="884"/>
      <c r="AC18" s="32"/>
      <c r="AD18" s="883" t="str">
        <f>IF(AE16="","",IF(AE16&gt;0,AD15/AF15,"/"))</f>
        <v/>
      </c>
      <c r="AE18" s="883"/>
      <c r="AF18" s="884" t="str">
        <f>IF(PA!$AO$4=2,"",IF(AND(COUNT(PA!$A$6:$A$11)&gt;2,PA!$CF11="P"),PA!$CD11,""))</f>
        <v/>
      </c>
      <c r="AG18" s="884"/>
      <c r="AH18" s="32"/>
      <c r="AI18" s="32"/>
      <c r="AJ18" s="32"/>
      <c r="AK18" s="883" cm="1">
        <f t="array" ref="AK18">IF(PA!$AO$4&lt;2,"",IF(_xlfn.XLOOKUP('T PA'!C17,"Licence n° "&amp;PA!$B$6:$B$11,PA!$AO$6:$AO$11,"",0,1)=1,"",_xlfn.XLOOKUP('T PA'!C17,"Licence n° "&amp;PA!$B$6:$B$11,PA!$U$6:$U$11,"",0,1)))</f>
        <v>2.125</v>
      </c>
      <c r="AL18" s="883"/>
      <c r="AM18" s="884" cm="1">
        <f t="array" ref="AM18">IF(PA!$AO$4&lt;2,"",IF(_xlfn.XLOOKUP('T PA'!C17,"Licence n° "&amp;PA!$B$6:$B$11,PA!$AO$6:$AO$11,"",0,1)=1,"",_xlfn.XLOOKUP('T PA'!C17,"Licence n° "&amp;PA!$B$6:$B$11,PA!$S$6:$S$11,"",0,1)))</f>
        <v>23</v>
      </c>
      <c r="AN18" s="884"/>
      <c r="AO18" s="32"/>
      <c r="AP18" s="562" cm="1">
        <f t="array" ref="AP18">_xlfn.XLOOKUP(C17,"Licence n° "&amp;PA!$B$6:$B$11,PA!$X$6:$X$11,"",0,1)</f>
        <v>2</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IF(PA!AO4=2,C10,IF(COUNT(PA!A6:A11)&gt;2,CONCATENATE(PA!C8," ",LEFT(PA!E8),"."),""))</f>
        <v>HANSEL G.</v>
      </c>
      <c r="D20" s="32"/>
      <c r="E20" s="882">
        <f>IF(PA!$AO$4=2,"",IF(AND(COUNT(PA!$A$6:$A$11)&gt;2,PA!$CF20="P"),PA!$CC20,""))</f>
        <v>61</v>
      </c>
      <c r="F20" s="882"/>
      <c r="G20" s="882">
        <f>IF(PA!$AO$4=2,"",IF(AND(COUNT(PA!$A$6:$A$11)&gt;2,PA!$CF20="P"),PA!$CE20,""))</f>
        <v>35</v>
      </c>
      <c r="H20" s="882"/>
      <c r="I20" s="142"/>
      <c r="J20" s="882">
        <f>IF(PA!$AO$4=2,"",IF(AND(COUNT(PA!$A$6:$A$11)&gt;2,PA!$CF19="P"),PA!$CC19,""))</f>
        <v>76</v>
      </c>
      <c r="K20" s="882"/>
      <c r="L20" s="882">
        <f>IF(PA!$AO$4=2,"",IF(AND(COUNT(PA!$A$6:$A$11)&gt;2,PA!$CF19="P"),PA!$CE19,""))</f>
        <v>40</v>
      </c>
      <c r="M20" s="882"/>
      <c r="N20" s="32"/>
      <c r="O20" s="885" t="e" vm="2">
        <f>IF(PA!W35="NON",AG1,IF(PA!AO4=2,"MATCH 2",IF(PA!AO4&gt;2,_xlfn.XLOOKUP(C23,'LOGOS CLUBS'!$B$2:$B$65,'LOGOS CLUBS'!$C$2:$C$65,C23,0,1),"")))</f>
        <v>#VALUE!</v>
      </c>
      <c r="P20" s="885"/>
      <c r="Q20" s="885"/>
      <c r="R20" s="885"/>
      <c r="S20" s="32"/>
      <c r="T20" s="882" t="str">
        <f>IF(AND(PA!$AO$4=2,PA!$A19="P"),PA!P19,IF(AND(COUNT(PA!$A$6:$A$11)&gt;2,PA!$CF18="P"),PA!$CC18,""))</f>
        <v/>
      </c>
      <c r="U20" s="882"/>
      <c r="V20" s="882" t="str">
        <f>IF(AND(PA!$AO$4=2,PA!$A19="P"),PA!O19,IF(AND(COUNT(PA!$A$6:$A$11)&gt;2,PA!$CF18="P"),PA!$CE18,""))</f>
        <v/>
      </c>
      <c r="W20" s="882"/>
      <c r="X20" s="142"/>
      <c r="Y20" s="882" t="str">
        <f>IF(PA!$AO$4=2,"",IF(AND(COUNT(PA!$A$6:$A$11)&gt;2,PA!$CF17="P"),PA!$CC17,""))</f>
        <v/>
      </c>
      <c r="Z20" s="882"/>
      <c r="AA20" s="882" t="str">
        <f>IF(PA!$AO$4=2,"",IF(AND(COUNT(PA!$A$6:$A$11)&gt;2,PA!$CF17="P"),PA!$CE17,""))</f>
        <v/>
      </c>
      <c r="AB20" s="882"/>
      <c r="AC20" s="142"/>
      <c r="AD20" s="882" t="str">
        <f>IF(PA!$AO$4=2,"",IF(AND(COUNT(PA!$A$6:$A$11)&gt;2,PA!$CF16="P"),PA!$CC16,""))</f>
        <v/>
      </c>
      <c r="AE20" s="882"/>
      <c r="AF20" s="882" t="str">
        <f>IF(PA!$AO$4=2,"",IF(AND(COUNT(PA!$A$6:$A$11)&gt;2,PA!$CF16="P"),PA!$CE16,""))</f>
        <v/>
      </c>
      <c r="AG20" s="882"/>
      <c r="AH20" s="32"/>
      <c r="AI20" s="32"/>
      <c r="AJ20" s="32"/>
      <c r="AK20" s="882" cm="1">
        <f t="array" ref="AK20">IF(PA!$AO$4&lt;3,"",IF(_xlfn.XLOOKUP('T PA'!C22,"Licence n° "&amp;PA!$B$6:$B$11,PA!$AO$6:$AO$11,"",0,1)=1,"",_xlfn.XLOOKUP('T PA'!C22,"Licence n° "&amp;PA!$B$6:$B$11,PA!$V$6:$V$11,"",0,1)))</f>
        <v>0</v>
      </c>
      <c r="AL20" s="882"/>
      <c r="AM20" s="879" cm="1">
        <f t="array" ref="AM20">IF(PA!$AO$4&lt;3,"",IF(_xlfn.XLOOKUP('T PA'!C22,"Licence n° "&amp;PA!$B$6:$B$11,PA!$AO$6:$AO$11,"",0,1)=1,"",_xlfn.XLOOKUP('T PA'!C22,"Licence n° "&amp;PA!$B$6:$B$11,PA!$T$6:$T$11,"",0,1)))</f>
        <v>1.8266666666666667</v>
      </c>
      <c r="AN20" s="879"/>
      <c r="AO20" s="32"/>
      <c r="AP20" s="561" cm="1">
        <f t="array" ref="AP20">IF(PA!$AO$4&lt;3,"",_xlfn.XLOOKUP(C22,"Licence n° "&amp;PA!$B$6:$B$11,PA!$W$6:$W$11,"",0,1))</f>
        <v>3</v>
      </c>
      <c r="AQ20" s="32"/>
      <c r="AS20" s="847" t="s">
        <v>8116</v>
      </c>
      <c r="AT20" s="32"/>
      <c r="AZ20" s="241"/>
    </row>
    <row r="21" spans="1:52" ht="12.6" customHeight="1" x14ac:dyDescent="0.25">
      <c r="A21" s="32"/>
      <c r="B21" s="32"/>
      <c r="C21" s="143" t="str" cm="1">
        <f t="array" ref="C21">IF(PA!$AO$4=2,_xlfn.XLOOKUP(1,PA!$M$6:$M$11,PA!$K$6:$K$11&amp;" "&amp;PA!$AS$6:$AS$11,"",0,1),IF(COUNT(PA!$A$6:$A$11)&gt;2,PA!$K8&amp;" - "&amp;PA!$AS8," "))</f>
        <v>R2  - 0,00</v>
      </c>
      <c r="D21" s="32"/>
      <c r="E21" s="144" t="str">
        <f>IF(F21="","","Pts")</f>
        <v>Pts</v>
      </c>
      <c r="F21" s="880">
        <f>IF(PA!$AO$4=2,"",IF(AND(COUNT(PA!$A$6:$A$11)&gt;2,PA!$CF20="P"),PA!$CG20,""))</f>
        <v>0</v>
      </c>
      <c r="G21" s="880"/>
      <c r="H21" s="144" t="str">
        <f>IF(F21="","","Rep.")</f>
        <v>Rep.</v>
      </c>
      <c r="I21" s="144"/>
      <c r="J21" s="144" t="str">
        <f>IF(K21="","","Pts")</f>
        <v>Pts</v>
      </c>
      <c r="K21" s="880">
        <f>IF(PA!$AO$4=2,"",IF(AND(COUNT(PA!$A$6:$A$11)&gt;2,PA!$CF19="P"),PA!$CG19,""))</f>
        <v>0</v>
      </c>
      <c r="L21" s="880"/>
      <c r="M21" s="144" t="str">
        <f>IF(K21="","","Rep.")</f>
        <v>Rep.</v>
      </c>
      <c r="N21" s="32"/>
      <c r="O21" s="885"/>
      <c r="P21" s="885"/>
      <c r="Q21" s="885"/>
      <c r="R21" s="885"/>
      <c r="S21" s="32"/>
      <c r="T21" s="144" t="str">
        <f>IF(U21="","","Pts")</f>
        <v/>
      </c>
      <c r="U21" s="880" t="str">
        <f>IF(PA!$AO$4=2,PA!X19,IF(AND(COUNT(PA!$A$6:$A$11)&gt;2,PA!$CF18="P"),PA!$CG18,""))</f>
        <v/>
      </c>
      <c r="V21" s="880"/>
      <c r="W21" s="144" t="str">
        <f>IF(U21="","","Rep.")</f>
        <v/>
      </c>
      <c r="X21" s="144"/>
      <c r="Y21" s="144" t="str">
        <f>IF(Z21="","","Pts")</f>
        <v/>
      </c>
      <c r="Z21" s="880" t="str">
        <f>IF(PA!$AO$4=2,"",IF(AND(COUNT(PA!$A$6:$A$11)&gt;2,PA!$CF17="P"),PA!$CG17,""))</f>
        <v/>
      </c>
      <c r="AA21" s="880"/>
      <c r="AB21" s="144" t="str">
        <f>IF(Z21="","","Rep.")</f>
        <v/>
      </c>
      <c r="AC21" s="144"/>
      <c r="AD21" s="144" t="str">
        <f>IF(AE21="","","Pts")</f>
        <v/>
      </c>
      <c r="AE21" s="880" t="str">
        <f>IF(PA!$AO$4=2,"",IF(AND(COUNT(PA!$A$6:$A$11)&gt;2,PA!$CF16="P"),PA!$CG16,""))</f>
        <v/>
      </c>
      <c r="AF21" s="880"/>
      <c r="AG21" s="144" t="str">
        <f>IF(AE21="","","Rep.")</f>
        <v/>
      </c>
      <c r="AH21" s="32"/>
      <c r="AI21" s="32"/>
      <c r="AJ21" s="32"/>
      <c r="AK21" s="145" t="str">
        <f>IF(AL21="","","PM")</f>
        <v>PM</v>
      </c>
      <c r="AL21" s="881" cm="1">
        <f t="array" ref="AL21">IF(SUM(PA!$Q$6:$Q$11)=0,"",IF(PA!$AO$4&gt;2,IF(_xlfn.XLOOKUP('T PA'!C22,"Licence n° "&amp;PA!$B$6:$B$11,PA!$AO$6:$AO$11,"",0,1)=1,"Forfait",_xlfn.XLOOKUP('T PA'!C22,"Licence n° "&amp;PA!$B$37:$B$42,PA!$Q$37:$Q$42,"",0,1)),""))</f>
        <v>3</v>
      </c>
      <c r="AM21" s="881"/>
      <c r="AN21" s="145" t="str">
        <f>IF(AL21="","","MGP")</f>
        <v>MGP</v>
      </c>
      <c r="AO21" s="32"/>
      <c r="AP21" s="151" t="str">
        <f>IF(AND(PA!$AO$4&gt;2,LEFT(PA!$F$13)="P"),"Pts Rk","")</f>
        <v>Pts Rk</v>
      </c>
      <c r="AQ21" s="32"/>
      <c r="AS21" s="847"/>
      <c r="AT21" s="32"/>
    </row>
    <row r="22" spans="1:52" ht="12.6" customHeight="1" x14ac:dyDescent="0.25">
      <c r="A22" s="32"/>
      <c r="B22" s="32"/>
      <c r="C22" s="147" t="str">
        <f>IF(PA!AO4=2,C12,IF(COUNT(PA!A6:A11)&gt;2,"Licence n° "&amp;PA!B8," "))</f>
        <v>Licence n° 013335x</v>
      </c>
      <c r="D22" s="32"/>
      <c r="E22" s="144" t="str">
        <f>IF(F21="","","Moy.")</f>
        <v>Moy.</v>
      </c>
      <c r="F22" s="880"/>
      <c r="G22" s="880"/>
      <c r="H22" s="144" t="str">
        <f>IF(F21="","","MS")</f>
        <v>MS</v>
      </c>
      <c r="I22" s="144"/>
      <c r="J22" s="144" t="str">
        <f>IF(K21="","","Moy.")</f>
        <v>Moy.</v>
      </c>
      <c r="K22" s="880"/>
      <c r="L22" s="880"/>
      <c r="M22" s="144" t="str">
        <f>IF(K21="","","MS")</f>
        <v>MS</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Mpart.</v>
      </c>
      <c r="AL22" s="881"/>
      <c r="AM22" s="881"/>
      <c r="AN22" s="145" t="str">
        <f>IF(AL21="","","MS")</f>
        <v>MS</v>
      </c>
      <c r="AO22" s="32"/>
      <c r="AP22" s="148" t="str">
        <f>IF(AND(PA!$AO$4&gt;2,LEFT(PA!$F$13)="P"),"Bonus","")</f>
        <v>Bonus</v>
      </c>
      <c r="AQ22" s="32"/>
      <c r="AS22" s="848" t="s">
        <v>8117</v>
      </c>
      <c r="AT22" s="32"/>
    </row>
    <row r="23" spans="1:52" ht="50.1" customHeight="1" x14ac:dyDescent="0.25">
      <c r="A23" s="32"/>
      <c r="B23" s="32"/>
      <c r="C23" s="149" t="str">
        <f>IF(PA!AO4=2,C13,IF(COUNT(PA!A6:A11)&gt;2,PA!G8," "))</f>
        <v>ACADEMIE DE BILLARD DE MAISONS ALFORT</v>
      </c>
      <c r="D23" s="32"/>
      <c r="E23" s="883" t="str">
        <f>IF(F21="","",IF(F21&gt;0,E20/G20,"/"))</f>
        <v>/</v>
      </c>
      <c r="F23" s="883"/>
      <c r="G23" s="884">
        <f>IF(PA!$AO$4=2,"",IF(AND(COUNT(PA!$A$6:$A$11)&gt;2,PA!$CF20="P"),PA!$CD20,""))</f>
        <v>9</v>
      </c>
      <c r="H23" s="884"/>
      <c r="I23" s="32"/>
      <c r="J23" s="883" t="str">
        <f>IF(K21="","",IF(K21&gt;0,J20/L20,"/"))</f>
        <v>/</v>
      </c>
      <c r="K23" s="883"/>
      <c r="L23" s="884">
        <f>IF(PA!$AO$4=2,"",IF(AND(COUNT(PA!$A$6:$A$11)&gt;2,PA!$CF19="P"),PA!$CD19,""))</f>
        <v>9</v>
      </c>
      <c r="M23" s="884"/>
      <c r="N23" s="32"/>
      <c r="O23" s="885"/>
      <c r="P23" s="885"/>
      <c r="Q23" s="885"/>
      <c r="R23" s="885"/>
      <c r="S23" s="32"/>
      <c r="T23" s="883" t="str">
        <f>IF(U21="","",IF(U21&gt;0,T20/V20,"/"))</f>
        <v/>
      </c>
      <c r="U23" s="883"/>
      <c r="V23" s="884" t="str">
        <f>IF(AND(PA!$AO$4=2,PA!$A19="P"),PA!Q19,IF(AND(COUNT(PA!$A$6:$A$11)&gt;2,PA!$CF18="P"),PA!$CD18,""))</f>
        <v/>
      </c>
      <c r="W23" s="884"/>
      <c r="X23" s="32"/>
      <c r="Y23" s="883" t="str">
        <f>IF(Z21="","",IF(Z21&gt;0,Y20/AA20,"/"))</f>
        <v/>
      </c>
      <c r="Z23" s="883"/>
      <c r="AA23" s="884" t="str">
        <f>IF(PA!$AO$4=2,"",IF(AND(COUNT(PA!$A$6:$A$11)&gt;2,PA!$CF17="P"),PA!$CD17,""))</f>
        <v/>
      </c>
      <c r="AB23" s="884"/>
      <c r="AC23" s="32"/>
      <c r="AD23" s="883" t="str">
        <f>IF(AE21="","",IF(AE21&gt;0,AD20/AF20,"/"))</f>
        <v/>
      </c>
      <c r="AE23" s="883"/>
      <c r="AF23" s="884" t="str">
        <f>IF(PA!$AO$4=2,"",IF(AND(COUNT(PA!$A$6:$A$11)&gt;2,PA!$CF16="P"),PA!$CD16,""))</f>
        <v/>
      </c>
      <c r="AG23" s="884"/>
      <c r="AH23" s="32"/>
      <c r="AI23" s="32"/>
      <c r="AJ23" s="32"/>
      <c r="AK23" s="883" t="str" cm="1">
        <f t="array" ref="AK23">IF(PA!$AO$4&lt;3,"",IF(_xlfn.XLOOKUP('T PA'!C22,"Licence n° "&amp;PA!$B$6:$B$11,PA!$AO$6:$AO$11,"",0,1)=1,"",_xlfn.XLOOKUP('T PA'!C22,"Licence n° "&amp;PA!$B$6:$B$11,PA!$U$6:$U$11,"",0,1)))</f>
        <v>/</v>
      </c>
      <c r="AL23" s="883"/>
      <c r="AM23" s="884" cm="1">
        <f t="array" ref="AM23">IF(PA!$AO$4&lt;3,"",IF(_xlfn.XLOOKUP('T PA'!C22,"Licence n° "&amp;PA!$B$6:$B$11,PA!$AO$6:$AO$11,"",0,1)=1,"",_xlfn.XLOOKUP('T PA'!C22,"Licence n° "&amp;PA!$B$6:$B$11,PA!$S$6:$S$11,"",0,1)))</f>
        <v>9</v>
      </c>
      <c r="AN23" s="884"/>
      <c r="AO23" s="32"/>
      <c r="AP23" s="562" cm="1">
        <f t="array" ref="AP23">IF(PA!$AO$4&lt;3,"",_xlfn.XLOOKUP(C22,"Licence n° "&amp;PA!$B$6:$B$11,PA!$X$6:$X$11,"",0,1))</f>
        <v>2</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IF(PA!AO4=2,C15,IF(COUNT(PA!A6:A11)&gt;3,CONCATENATE(PA!C9," ",LEFT(PA!E9),"."),""))</f>
        <v/>
      </c>
      <c r="D25" s="32"/>
      <c r="E25" s="882" t="str">
        <f>IF(PA!$AO$4=2,"",IF(AND(COUNT(PA!$A$6:$A$11)&gt;2,PA!$CF25="P"),PA!$CC25,""))</f>
        <v/>
      </c>
      <c r="F25" s="882"/>
      <c r="G25" s="882" t="str">
        <f>IF(PA!$AO$4=2,"",IF(AND(COUNT(PA!$A$6:$A$11)&gt;2,PA!$CF25="P"),PA!$CE25,""))</f>
        <v/>
      </c>
      <c r="H25" s="882"/>
      <c r="I25" s="142"/>
      <c r="J25" s="882" t="str">
        <f>IF(PA!$AO$4=2,"",IF(AND(COUNT(PA!$A$6:$A$11)&gt;2,PA!$CF24="P"),PA!$CC24,""))</f>
        <v/>
      </c>
      <c r="K25" s="882"/>
      <c r="L25" s="882" t="str">
        <f>IF(PA!$AO$4=2,"",IF(AND(COUNT(PA!$A$6:$A$11)&gt;2,PA!$CF24="P"),PA!$CE24,""))</f>
        <v/>
      </c>
      <c r="M25" s="882"/>
      <c r="N25" s="142"/>
      <c r="O25" s="882" t="str">
        <f>IF(AND(PA!$AO$4=2,PA!$A19="P"),PA!N19,IF(AND(COUNT(PA!$A$6:$A$11)&gt;2,PA!$CF23="P"),PA!$CC23,""))</f>
        <v/>
      </c>
      <c r="P25" s="882"/>
      <c r="Q25" s="882" t="str">
        <f>IF(AND(PA!$AO$4=2,PA!$A19="P"),PA!O19,IF(AND(COUNT(PA!$A$6:$A$11)&gt;2,PA!$CF23="P"),PA!$CE23,""))</f>
        <v/>
      </c>
      <c r="R25" s="882"/>
      <c r="S25" s="32"/>
      <c r="T25" s="886" t="str">
        <f>IF(PA!W35="NON",AG1,IF(OR(PA!AO4=2,COUNT(PA!A6:A11)&gt;3),_xlfn.XLOOKUP('T PA'!C28,'LOGOS CLUBS'!$B$2:$B$65,'LOGOS CLUBS'!$C$2:$C$65,C28,0,1),""))</f>
        <v/>
      </c>
      <c r="U25" s="886"/>
      <c r="V25" s="886"/>
      <c r="W25" s="886"/>
      <c r="X25" s="32"/>
      <c r="Y25" s="882" t="str">
        <f>IF(PA!$AO$4=2,"",IF(AND(COUNT(PA!$A$6:$A$11)&gt;2,PA!$CF22="P"),PA!$CC22,""))</f>
        <v/>
      </c>
      <c r="Z25" s="882"/>
      <c r="AA25" s="882" t="str">
        <f>IF(PA!$AO$4=2,"",IF(AND(COUNT(PA!$A$6:$A$11)&gt;2,PA!$CF22="P"),PA!$CE22,""))</f>
        <v/>
      </c>
      <c r="AB25" s="882"/>
      <c r="AC25" s="142"/>
      <c r="AD25" s="882" t="str">
        <f>IF(PA!$AO$4=2,"",IF(AND(COUNT(PA!$A$6:$A$11)&gt;2,PA!$CF21="P"),PA!$CC21,""))</f>
        <v/>
      </c>
      <c r="AE25" s="882"/>
      <c r="AF25" s="882" t="str">
        <f>IF(PA!$AO$4=2,"",IF(AND(COUNT(PA!$A$6:$A$11)&gt;2,PA!$CF21="P"),PA!$CE21,""))</f>
        <v/>
      </c>
      <c r="AG25" s="882"/>
      <c r="AH25" s="32"/>
      <c r="AI25" s="32"/>
      <c r="AJ25" s="32"/>
      <c r="AK25" s="882" t="str" cm="1">
        <f t="array" ref="AK25">IF(PA!$AO$4&lt;3,"",IF(_xlfn.XLOOKUP('T PA'!C27,"Licence n° "&amp;PA!$B$6:$B$11,PA!$AO$6:$AO$11,"",0,1)=1,"",_xlfn.XLOOKUP('T PA'!C27,"Licence n° "&amp;PA!$B$6:$B$11,PA!$V$6:$V$11,"",0,1)))</f>
        <v/>
      </c>
      <c r="AL25" s="882"/>
      <c r="AM25" s="879" t="str" cm="1">
        <f t="array" ref="AM25">IF(PA!$AO$4&lt;3,"",IF(_xlfn.XLOOKUP('T PA'!C27,"Licence n° "&amp;PA!$B$6:$B$11,PA!$AO$6:$AO$11,"",0,1)=1,"",_xlfn.XLOOKUP('T PA'!C27,"Licence n° "&amp;PA!$B$6:$B$11,PA!$T$6:$T$11,"",0,1)))</f>
        <v/>
      </c>
      <c r="AN25" s="879"/>
      <c r="AO25" s="32"/>
      <c r="AP25" s="561" t="str" cm="1">
        <f t="array" ref="AP25">IF(OR(PA!AO4&lt;3,COUNT(PA!$A$6:$A$11&lt;3)),"",_xlfn.XLOOKUP(C27,"Licence n° "&amp;PA!$B$6:$B$11,PA!$W$6:$W$11,"",0,1))</f>
        <v/>
      </c>
      <c r="AQ25" s="32"/>
      <c r="AS25" s="849" t="s">
        <v>8118</v>
      </c>
      <c r="AT25" s="32"/>
    </row>
    <row r="26" spans="1:52" ht="12.6" customHeight="1" x14ac:dyDescent="0.25">
      <c r="A26" s="32"/>
      <c r="B26" s="32"/>
      <c r="C26" s="143" t="str" cm="1">
        <f t="array" ref="C26">IF(PA!$AO$4=2,_xlfn.XLOOKUP(2,PA!$M$6:$M$11,PA!$K$6:$K$11&amp;" "&amp;PA!$AS$6:$AS$11,"",0,1),IF(COUNT(PA!$A$6:$A$11)&gt;3,PA!$K9&amp;" - "&amp;PA!$AS9," "))</f>
        <v xml:space="preserve"> </v>
      </c>
      <c r="D26" s="32"/>
      <c r="E26" s="144" t="str">
        <f>IF(F26="","","Pts")</f>
        <v/>
      </c>
      <c r="F26" s="880" t="str">
        <f>IF(PA!$AO$4=2,"",IF(AND(COUNT(PA!$A$6:$A$11)&gt;2,PA!$CF25="P"),PA!$CG25,""))</f>
        <v/>
      </c>
      <c r="G26" s="880"/>
      <c r="H26" s="144" t="str">
        <f>IF(F26="","","Rep.")</f>
        <v/>
      </c>
      <c r="I26" s="144"/>
      <c r="J26" s="144" t="str">
        <f>IF(K26="","","Pts")</f>
        <v/>
      </c>
      <c r="K26" s="880" t="str">
        <f>IF(PA!$AO$4=2,"",IF(AND(COUNT(PA!$A$6:$A$11)&gt;2,PA!$CF24="P"),PA!$CG24,""))</f>
        <v/>
      </c>
      <c r="L26" s="880"/>
      <c r="M26" s="144" t="str">
        <f>IF(K26="","","Rep.")</f>
        <v/>
      </c>
      <c r="N26" s="144"/>
      <c r="O26" s="144" t="str">
        <f>IF(P26="","","Pts")</f>
        <v/>
      </c>
      <c r="P26" s="880" t="str">
        <f>IF(PA!$AO$4=2,PA!D19,IF(AND(COUNT(PA!$A$6:$A$11)&gt;2,PA!$CF23="P"),PA!$CG23,""))</f>
        <v/>
      </c>
      <c r="Q26" s="880"/>
      <c r="R26" s="144" t="str">
        <f>IF(P26="","","Rep.")</f>
        <v/>
      </c>
      <c r="S26" s="32"/>
      <c r="T26" s="886"/>
      <c r="U26" s="886"/>
      <c r="V26" s="886"/>
      <c r="W26" s="886"/>
      <c r="X26" s="32"/>
      <c r="Y26" s="144" t="str">
        <f>IF(Z26="","","Pts")</f>
        <v/>
      </c>
      <c r="Z26" s="880" t="str">
        <f>IF(PA!$AO$4=2,"",IF(AND(COUNT(PA!$A$6:$A$11)&gt;2,PA!$CF22="P"),PA!$CG22,""))</f>
        <v/>
      </c>
      <c r="AA26" s="880"/>
      <c r="AB26" s="144" t="str">
        <f>IF(Z26="","","Rep.")</f>
        <v/>
      </c>
      <c r="AC26" s="144"/>
      <c r="AD26" s="144" t="str">
        <f>IF(AE26="","","Pts")</f>
        <v/>
      </c>
      <c r="AE26" s="880" t="str">
        <f>IF(PA!$AO$4=2,"",IF(AND(COUNT(PA!$A$6:$A$11)&gt;2,PA!$CF21="P"),PA!$CG21,""))</f>
        <v/>
      </c>
      <c r="AF26" s="880"/>
      <c r="AG26" s="144" t="str">
        <f>IF(AE26="","","Rep.")</f>
        <v/>
      </c>
      <c r="AH26" s="32"/>
      <c r="AI26" s="32"/>
      <c r="AJ26" s="32"/>
      <c r="AK26" s="145" t="str">
        <f>IF(AL26="","","PM")</f>
        <v/>
      </c>
      <c r="AL26" s="881" t="str" cm="1">
        <f t="array" ref="AL26">IF(SUM(PA!$Q$6:$Q$11)=0,"",IF(PA!$AO$4&gt;2,IF(_xlfn.XLOOKUP('T PA'!C27,"Licence n° "&amp;PA!$B$6:$B$11,PA!$AO$6:$AO$11,"",0,1)=1,"Forfait",_xlfn.XLOOKUP('T PA'!C27,"Licence n° "&amp;PA!$B$37:$B$42,PA!$Q$37:$Q$42,"",0,1)),""))</f>
        <v/>
      </c>
      <c r="AM26" s="881"/>
      <c r="AN26" s="145" t="str">
        <f>IF(AL26="","","MGP")</f>
        <v/>
      </c>
      <c r="AO26" s="32"/>
      <c r="AP26" s="151" t="str">
        <f>IF(AND(COUNT(PA!$A$6:$A$11)&gt;3,PA!$AO$4&gt;2,LEFT(PA!$F$13)="P"),"Pts Rk","")</f>
        <v/>
      </c>
      <c r="AQ26" s="32"/>
      <c r="AS26" s="849"/>
      <c r="AT26" s="32"/>
    </row>
    <row r="27" spans="1:52" ht="12.6" customHeight="1" x14ac:dyDescent="0.25">
      <c r="A27" s="32"/>
      <c r="B27" s="32"/>
      <c r="C27" s="147" t="str">
        <f>IF(PA!AO4=2,C17,IF(COUNT(PA!A6:A11)&gt;3,"Licence n° "&amp;PA!B9,"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IF(AND(COUNT(PA!$A$6:$A$11)&gt;3,PA!$AO$4&gt;3,LEFT(PA!$F$13)="P"),"Bonus","")</f>
        <v/>
      </c>
      <c r="AQ27" s="32"/>
      <c r="AS27" s="829" t="s">
        <v>8119</v>
      </c>
      <c r="AT27" s="32"/>
    </row>
    <row r="28" spans="1:52" ht="50.1" customHeight="1" x14ac:dyDescent="0.25">
      <c r="A28" s="32"/>
      <c r="B28" s="32"/>
      <c r="C28" s="149" t="str">
        <f>IF(PA!AO4=2,C18,IF(COUNT(PA!A6:A11)&gt;3,PA!G9," "))</f>
        <v xml:space="preserve"> </v>
      </c>
      <c r="D28" s="32"/>
      <c r="E28" s="883" t="str">
        <f>IF(F26="","",IF(F26&gt;0,E25/G25,"/"))</f>
        <v/>
      </c>
      <c r="F28" s="883"/>
      <c r="G28" s="884" t="str">
        <f>IF(PA!$AO$4=2,"",IF(AND(COUNT(PA!$A$6:$A$11)&gt;2,PA!$CF25="P"),PA!$CD25,""))</f>
        <v/>
      </c>
      <c r="H28" s="884"/>
      <c r="I28" s="32"/>
      <c r="J28" s="883" t="str">
        <f>IF(K26="","",IF(K26&gt;0,J25/L25,"/"))</f>
        <v/>
      </c>
      <c r="K28" s="883"/>
      <c r="L28" s="884" t="str">
        <f>IF(PA!$AO$4=2,"",IF(AND(COUNT(PA!$A$6:$A$11)&gt;2,PA!$CF24="P"),PA!$CD24,""))</f>
        <v/>
      </c>
      <c r="M28" s="884"/>
      <c r="N28" s="32"/>
      <c r="O28" s="883" t="str">
        <f>IF(P26="","",IF(P26&gt;0,O25/Q25,"/"))</f>
        <v/>
      </c>
      <c r="P28" s="883"/>
      <c r="Q28" s="884" t="str">
        <f>IF(AND(PA!$AO$4=2,PA!$A19="P"),PA!M19,IF(AND(COUNT(PA!$A$6:$A$11)&gt;2,PA!$CF23="P"),PA!$CD23,""))</f>
        <v/>
      </c>
      <c r="R28" s="884"/>
      <c r="S28" s="32"/>
      <c r="T28" s="886"/>
      <c r="U28" s="886"/>
      <c r="V28" s="886"/>
      <c r="W28" s="886"/>
      <c r="X28" s="32"/>
      <c r="Y28" s="883" t="str">
        <f>IF(Z26="","",IF(Z26&gt;0,Y25/AA25,"/"))</f>
        <v/>
      </c>
      <c r="Z28" s="883"/>
      <c r="AA28" s="884" t="str">
        <f>IF(PA!$AO$4=2,"",IF(AND(COUNT(PA!$A$6:$A$11)&gt;2,PA!$CF22="P"),PA!$CD22,""))</f>
        <v/>
      </c>
      <c r="AB28" s="884"/>
      <c r="AC28" s="32"/>
      <c r="AD28" s="883" t="str">
        <f>IF(AE26="","",IF(AE26&gt;0,AD25/AF25,"/"))</f>
        <v/>
      </c>
      <c r="AE28" s="883"/>
      <c r="AF28" s="884" t="str">
        <f>IF(PA!$AO$4=2,"",IF(AND(COUNT(PA!$A$6:$A$11)&gt;2,PA!$CF21="P"),PA!$CD21,""))</f>
        <v/>
      </c>
      <c r="AG28" s="884"/>
      <c r="AH28" s="32"/>
      <c r="AI28" s="32"/>
      <c r="AJ28" s="32"/>
      <c r="AK28" s="883" t="str" cm="1">
        <f t="array" ref="AK28">IF(PA!$AO$4&lt;3,"",IF(_xlfn.XLOOKUP('T PA'!C27,"Licence n° "&amp;PA!$B$6:$B$11,PA!$AO$6:$AO$11,"",0,1)=1,"",_xlfn.XLOOKUP('T PA'!C27,"Licence n° "&amp;PA!$B$6:$B$11,PA!$U$6:$U$11,"",0,1)))</f>
        <v/>
      </c>
      <c r="AL28" s="883"/>
      <c r="AM28" s="884" t="str" cm="1">
        <f t="array" ref="AM28">IF(PA!$AO$4&lt;3,"",IF(_xlfn.XLOOKUP('T PA'!C27,"Licence n° "&amp;PA!$B$6:$B$11,PA!$AO$6:$AO$11,"",0,1)=1,"",_xlfn.XLOOKUP('T PA'!C27,"Licence n° "&amp;PA!$B$6:$B$11,PA!$S$6:$S$11,"",0,1)))</f>
        <v/>
      </c>
      <c r="AN28" s="884"/>
      <c r="AO28" s="32"/>
      <c r="AP28" s="562" t="str" cm="1">
        <f t="array" ref="AP28">IF(OR(PA!AO4&lt;3,COUNT(PA!$A$6:$A$11)&lt;4),"",_xlfn.XLOOKUP(C27,"Licence n° "&amp;PA!$B$6:$B$11,PA!$X$6:$X$11,"",0,1))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IF(PA!AO4=2,"",IF(COUNT(PA!A6:A11)&gt;4,CONCATENATE(PA!C10," ",LEFT(PA!E10),"."),""))</f>
        <v/>
      </c>
      <c r="D30" s="32"/>
      <c r="E30" s="882" t="str">
        <f>IF(PA!$AO$4=2,"",IF(AND(COUNT(PA!$A$6:$A$11)&gt;2,PA!$CF30="P"),PA!$CC30,""))</f>
        <v/>
      </c>
      <c r="F30" s="882"/>
      <c r="G30" s="882" t="str">
        <f>IF(PA!$AO$4=2,"",IF(AND(COUNT(PA!$A$6:$A$11)&gt;2,PA!$CF30="P"),PA!$CE30,""))</f>
        <v/>
      </c>
      <c r="H30" s="882"/>
      <c r="I30" s="142"/>
      <c r="J30" s="882" t="str">
        <f>IF(PA!$AO$4=2,"",IF(AND(COUNT(PA!$A$6:$A$11)&gt;2,PA!$CF29="P"),PA!$CC29,""))</f>
        <v/>
      </c>
      <c r="K30" s="882"/>
      <c r="L30" s="882" t="str">
        <f>IF(PA!$AO$4=2,"",IF(AND(COUNT(PA!$A$6:$A$11)&gt;2,PA!$CF29="P"),PA!$CE29,""))</f>
        <v/>
      </c>
      <c r="M30" s="882"/>
      <c r="N30" s="142"/>
      <c r="O30" s="882" t="str">
        <f>IF(PA!$AO$4=2,"",IF(AND(COUNT(PA!$A$6:$A$11)&gt;2,PA!$CF28="P"),PA!$CC28,""))</f>
        <v/>
      </c>
      <c r="P30" s="882"/>
      <c r="Q30" s="882" t="str">
        <f>IF(PA!$AO$4=2,"",IF(AND(COUNT(PA!$A$6:$A$11)&gt;2,PA!$CF28="P"),PA!$CE28,""))</f>
        <v/>
      </c>
      <c r="R30" s="882"/>
      <c r="S30" s="142"/>
      <c r="T30" s="882" t="str">
        <f>IF(PA!$AO$4=2,"",IF(AND(COUNT(PA!$A$6:$A$11)&gt;2,PA!$CF27="P"),PA!$CC27,""))</f>
        <v/>
      </c>
      <c r="U30" s="882"/>
      <c r="V30" s="882" t="str">
        <f>IF(PA!$AO$4=2,"",IF(AND(COUNT(PA!$A$6:$A$11)&gt;2,PA!$CF27="P"),PA!$CE27,""))</f>
        <v/>
      </c>
      <c r="W30" s="882"/>
      <c r="X30" s="32"/>
      <c r="Y30" s="887" t="str">
        <f>IF(PA!W35="NON",AG1,IF(PA!AO4=2,"",IF(COUNT(PA!A6:A11)&gt;4,_xlfn.XLOOKUP('T PA'!C33,'LOGOS CLUBS'!$B$2:$B$65,'LOGOS CLUBS'!$C$2:$C$65,C33,0,1),"")))</f>
        <v/>
      </c>
      <c r="Z30" s="887"/>
      <c r="AA30" s="887"/>
      <c r="AB30" s="887"/>
      <c r="AC30" s="32"/>
      <c r="AD30" s="882" t="str">
        <f>IF(PA!$AO$4=2,"",IF(AND(COUNT(PA!$A$6:$A$11)&gt;2,PA!$CF26="P"),PA!$CC26,""))</f>
        <v/>
      </c>
      <c r="AE30" s="882"/>
      <c r="AF30" s="882" t="str">
        <f>IF(PA!$AO$4=2,"",IF(AND(COUNT(PA!$A$6:$A$11)&gt;2,PA!$CF26="P"),PA!$CE26,""))</f>
        <v/>
      </c>
      <c r="AG30" s="882"/>
      <c r="AH30" s="32"/>
      <c r="AI30" s="32"/>
      <c r="AJ30" s="32"/>
      <c r="AK30" s="882" t="str" cm="1">
        <f t="array" ref="AK30">IF(PA!$AO$4&lt;3,"",IF(_xlfn.XLOOKUP('T PA'!C32,"Licence n° "&amp;PA!$B$6:$B$11,PA!$AO$6:$AO$11,"",0,1)=1,"",_xlfn.XLOOKUP('T PA'!C32,"Licence n° "&amp;PA!$B$6:$B$11,PA!$V$6:$V$11,"",0,1)))</f>
        <v/>
      </c>
      <c r="AL30" s="882"/>
      <c r="AM30" s="879" t="str" cm="1">
        <f t="array" ref="AM30">IF(PA!$AO$4&lt;3,"",IF(_xlfn.XLOOKUP('T PA'!C32,"Licence n° "&amp;PA!$B$6:$B$11,PA!$AO$6:$AO$11,"",0,1)=1,"",_xlfn.XLOOKUP('T PA'!C32,"Licence n° "&amp;PA!$B$6:$B$11,PA!$T$6:$T$11,"",0,1)))</f>
        <v/>
      </c>
      <c r="AN30" s="879"/>
      <c r="AO30" s="32"/>
      <c r="AP30" s="561" t="str" cm="1">
        <f t="array" ref="AP30">_xlfn.XLOOKUP(C32,"Licence n° "&amp;PA!$B$6:$B$11,PA!$W$6:$W$11,"",0,1)</f>
        <v/>
      </c>
      <c r="AQ30" s="32"/>
      <c r="AS30" s="830" t="s">
        <v>8120</v>
      </c>
      <c r="AT30" s="32"/>
    </row>
    <row r="31" spans="1:52" ht="12.6" customHeight="1" x14ac:dyDescent="0.25">
      <c r="A31" s="32"/>
      <c r="B31" s="32"/>
      <c r="C31" s="143" t="str">
        <f>IF(PA!$AO$4=2,"",IF(COUNT(PA!$A$6:$A$11)&gt;4,PA!$K10&amp;" - "&amp;PA!$AS10," "))</f>
        <v xml:space="preserve"> </v>
      </c>
      <c r="D31" s="32"/>
      <c r="E31" s="144" t="str">
        <f>IF(F31="","","Pts")</f>
        <v/>
      </c>
      <c r="F31" s="880" t="str">
        <f>IF(PA!$AO$4=2,"",IF(AND(COUNT(PA!$A$6:$A$11)&gt;2,PA!$CF30="P"),PA!$CG30,""))</f>
        <v/>
      </c>
      <c r="G31" s="880"/>
      <c r="H31" s="144" t="str">
        <f>IF(F31="","","Rep.")</f>
        <v/>
      </c>
      <c r="I31" s="144"/>
      <c r="J31" s="144" t="str">
        <f>IF(K31="","","Pts")</f>
        <v/>
      </c>
      <c r="K31" s="880" t="str">
        <f>IF(PA!$AO$4=2,"",IF(AND(COUNT(PA!$A$6:$A$11)&gt;2,PA!$CF29="P"),PA!$CG29,""))</f>
        <v/>
      </c>
      <c r="L31" s="880"/>
      <c r="M31" s="144" t="str">
        <f>IF(K31="","","Rep.")</f>
        <v/>
      </c>
      <c r="N31" s="144"/>
      <c r="O31" s="144" t="str">
        <f>IF(P31="","","Pts")</f>
        <v/>
      </c>
      <c r="P31" s="880" t="str">
        <f>IF(PA!$AO$4=2,"",IF(AND(COUNT(PA!$A$6:$A$11)&gt;2,PA!$CF28="P"),PA!$CG28,""))</f>
        <v/>
      </c>
      <c r="Q31" s="880"/>
      <c r="R31" s="144" t="str">
        <f>IF(P31="","","Rep.")</f>
        <v/>
      </c>
      <c r="S31" s="144"/>
      <c r="T31" s="144" t="str">
        <f>IF(U31="","","Pts")</f>
        <v/>
      </c>
      <c r="U31" s="880" t="str">
        <f>IF(PA!$AO$4=2,"",IF(AND(COUNT(PA!$A$6:$A$11)&gt;2,PA!$CF27="P"),PA!$CG27,""))</f>
        <v/>
      </c>
      <c r="V31" s="880"/>
      <c r="W31" s="144" t="str">
        <f>IF(U31="","","Rep.")</f>
        <v/>
      </c>
      <c r="X31" s="32"/>
      <c r="Y31" s="887"/>
      <c r="Z31" s="887"/>
      <c r="AA31" s="887"/>
      <c r="AB31" s="887"/>
      <c r="AC31" s="32"/>
      <c r="AD31" s="144" t="str">
        <f>IF(AE31="","","Pts")</f>
        <v/>
      </c>
      <c r="AE31" s="880" t="str">
        <f>IF(PA!$AO$4=2,"",IF(AND(COUNT(PA!$A$6:$A$11)&gt;2,PA!$CF26="P"),PA!$CG26,""))</f>
        <v/>
      </c>
      <c r="AF31" s="880"/>
      <c r="AG31" s="144" t="str">
        <f>IF(AE31="","","Rep.")</f>
        <v/>
      </c>
      <c r="AH31" s="32"/>
      <c r="AI31" s="32"/>
      <c r="AJ31" s="32"/>
      <c r="AK31" s="145" t="str">
        <f>IF(AL31="","","PM")</f>
        <v/>
      </c>
      <c r="AL31" s="881" t="str" cm="1">
        <f t="array" ref="AL31">IF(SUM(PA!$Q$6:$Q$11)=0,"",IF(PA!$AO$4&gt;2,IF(_xlfn.XLOOKUP('T PA'!C32,"Licence n° "&amp;PA!$B$6:$B$11,PA!$AO$6:$AO$11,"",0,1)=1,"Forfait",_xlfn.XLOOKUP('T PA'!C32,"Licence n° "&amp;PA!$B$37:$B$42,PA!$Q$37:$Q$42,"",0,1)),""))</f>
        <v/>
      </c>
      <c r="AM31" s="881"/>
      <c r="AN31" s="145" t="str">
        <f>IF(AL31="","","MGP")</f>
        <v/>
      </c>
      <c r="AO31" s="32"/>
      <c r="AP31" s="151" t="str">
        <f>IF(AND(COUNT(PA!$A$6:$A$11)&gt;4,PA!$AO$4&gt;2,LEFT(PA!$F$13)="P"),"Pts Rk","")</f>
        <v/>
      </c>
      <c r="AQ31" s="32"/>
      <c r="AS31" s="830"/>
      <c r="AT31" s="32"/>
    </row>
    <row r="32" spans="1:52" ht="12.6" customHeight="1" x14ac:dyDescent="0.25">
      <c r="A32" s="32"/>
      <c r="B32" s="32"/>
      <c r="C32" s="147" t="str">
        <f>IF(PA!AO4=2,"",IF(COUNT(PA!A6:A11)&gt;4,"Licence n° "&amp;PA!B10,"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IF(AND(COUNT(PA!$A$6:$A$11)&gt;4,PA!$AO$4&gt;2,LEFT(PA!$F$13)="P"),"Bonus","")</f>
        <v/>
      </c>
      <c r="AQ32" s="32"/>
      <c r="AS32" s="831" t="s">
        <v>8121</v>
      </c>
      <c r="AT32" s="32"/>
    </row>
    <row r="33" spans="1:46" ht="50.1" customHeight="1" x14ac:dyDescent="0.25">
      <c r="A33" s="32"/>
      <c r="B33" s="32"/>
      <c r="C33" s="149" t="str">
        <f>IF(PA!AO4=2,"",IF(COUNT(PA!A6:A11)&gt;4,PA!G10," "))</f>
        <v xml:space="preserve"> </v>
      </c>
      <c r="D33" s="32"/>
      <c r="E33" s="883" t="str">
        <f>IF(F31="","",IF(F31&gt;0,E30/G30,"/"))</f>
        <v/>
      </c>
      <c r="F33" s="883"/>
      <c r="G33" s="884" t="str">
        <f>IF(PA!$AO$4=2,"",IF(AND(COUNT(PA!$A$6:$A$11)&gt;2,PA!$CF30="P"),PA!$CD30,""))</f>
        <v/>
      </c>
      <c r="H33" s="884"/>
      <c r="I33" s="32"/>
      <c r="J33" s="883" t="str">
        <f>IF(K31="","",IF(K31&gt;0,J30/L30,"/"))</f>
        <v/>
      </c>
      <c r="K33" s="883"/>
      <c r="L33" s="884" t="str">
        <f>IF(PA!$AO$4=2,"",IF(AND(COUNT(PA!$A$6:$A$11)&gt;2,PA!$CF29="P"),PA!$CD29,""))</f>
        <v/>
      </c>
      <c r="M33" s="884"/>
      <c r="N33" s="32"/>
      <c r="O33" s="883" t="str">
        <f>IF(P31="","",IF(P31&gt;0,O30/Q30,"/"))</f>
        <v/>
      </c>
      <c r="P33" s="883"/>
      <c r="Q33" s="884" t="str">
        <f>IF(PA!$AO$4=2,"",IF(AND(COUNT(PA!$A$6:$A$11)&gt;2,PA!$CF28="P"),PA!$CD28,""))</f>
        <v/>
      </c>
      <c r="R33" s="884"/>
      <c r="S33" s="32"/>
      <c r="T33" s="883" t="str">
        <f>IF(U31="","",IF(U31&gt;0,T30/V30,"/"))</f>
        <v/>
      </c>
      <c r="U33" s="883"/>
      <c r="V33" s="884" t="str">
        <f>IF(PA!$AO$4=2,"",IF(AND(COUNT(PA!$A$6:$A$11)&gt;2,PA!$CF27="P"),PA!$CD27,""))</f>
        <v/>
      </c>
      <c r="W33" s="884"/>
      <c r="X33" s="32"/>
      <c r="Y33" s="887"/>
      <c r="Z33" s="887"/>
      <c r="AA33" s="887"/>
      <c r="AB33" s="887"/>
      <c r="AC33" s="32"/>
      <c r="AD33" s="883" t="str">
        <f>IF(AE31="","",IF(AE31&gt;0,AD30/AF30,"/"))</f>
        <v/>
      </c>
      <c r="AE33" s="883"/>
      <c r="AF33" s="884" t="str">
        <f>IF(PA!$AO$4=2,"",IF(AND(COUNT(PA!$A$6:$A$11)&gt;2,PA!$CF26="P"),PA!$CD26,""))</f>
        <v/>
      </c>
      <c r="AG33" s="884"/>
      <c r="AH33" s="32"/>
      <c r="AI33" s="32"/>
      <c r="AJ33" s="32"/>
      <c r="AK33" s="883" t="str" cm="1">
        <f t="array" ref="AK33">IF(PA!$AO$4&lt;3,"",IF(_xlfn.XLOOKUP('T PA'!C32,"Licence n° "&amp;PA!$B$6:$B$11,PA!$AO$6:$AO$11,"",0,1)=1,"",_xlfn.XLOOKUP('T PA'!C32,"Licence n° "&amp;PA!$B$6:$B$11,PA!$U$6:$U$11,"",0,1)))</f>
        <v/>
      </c>
      <c r="AL33" s="883"/>
      <c r="AM33" s="884" t="str" cm="1">
        <f t="array" ref="AM33">IF(PA!$AO$4&lt;3,"",IF(_xlfn.XLOOKUP('T PA'!C32,"Licence n° "&amp;PA!$B$6:$B$11,PA!$AO$6:$AO$11,"",0,1)=1,"",_xlfn.XLOOKUP('T PA'!C32,"Licence n° "&amp;PA!$B$6:$B$11,PA!$S$6:$S$11,"",0,1)))</f>
        <v/>
      </c>
      <c r="AN33" s="884"/>
      <c r="AO33" s="32"/>
      <c r="AP33" s="562" t="str" cm="1">
        <f t="array" ref="AP33">_xlfn.XLOOKUP(C32,"Licence n° "&amp;PA!$B$6:$B$11,PA!$X$6:$X$11,"",0,1)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IF(PA!AO4=2,"",IF(COUNT(PA!A6:A11)&gt;5,CONCATENATE(PA!C11," ",LEFT(PA!E11),"."),""))</f>
        <v/>
      </c>
      <c r="D35" s="32"/>
      <c r="E35" s="882" t="str">
        <f>IF(PA!$AO$4=2,"",IF(AND(COUNT(PA!$A$6:$A$11)&gt;2,PA!$CF35="P"),PA!$CC35,""))</f>
        <v/>
      </c>
      <c r="F35" s="882"/>
      <c r="G35" s="882" t="str">
        <f>IF(PA!$AO$4=2,"",IF(AND(COUNT(PA!$A$6:$A$11)&gt;2,PA!$CF35="P"),PA!$CE35,""))</f>
        <v/>
      </c>
      <c r="H35" s="882"/>
      <c r="I35" s="142"/>
      <c r="J35" s="882" t="str">
        <f>IF(PA!$AO$4=2,"",IF(AND(COUNT(PA!$A$6:$A$11)&gt;2,PA!$CF34="P"),PA!$CC34,""))</f>
        <v/>
      </c>
      <c r="K35" s="882"/>
      <c r="L35" s="882" t="str">
        <f>IF(PA!$AO$4=2,"",IF(AND(COUNT(PA!$A$6:$A$11)&gt;2,PA!$CF34="P"),PA!$CE34,""))</f>
        <v/>
      </c>
      <c r="M35" s="882"/>
      <c r="N35" s="142"/>
      <c r="O35" s="882" t="str">
        <f>IF(PA!$AO$4=2,"",IF(AND(COUNT(PA!$A$6:$A$11)&gt;2,PA!$CF33="P"),PA!$CC33,""))</f>
        <v/>
      </c>
      <c r="P35" s="882"/>
      <c r="Q35" s="882" t="str">
        <f>IF(PA!$AO$4=2,"",IF(AND(COUNT(PA!$A$6:$A$11)&gt;2,PA!$CF33="P"),PA!$CE33,""))</f>
        <v/>
      </c>
      <c r="R35" s="882"/>
      <c r="S35" s="142"/>
      <c r="T35" s="882" t="str">
        <f>IF(PA!$AO$4=2,"",IF(AND(COUNT(PA!$A$6:$A$11)&gt;2,PA!$CF32="P"),PA!$CC32,""))</f>
        <v/>
      </c>
      <c r="U35" s="882"/>
      <c r="V35" s="882" t="str">
        <f>IF(PA!$AO$4=2,"",IF(AND(COUNT(PA!$A$6:$A$11)&gt;2,PA!$CF32="P"),PA!$CE32,""))</f>
        <v/>
      </c>
      <c r="W35" s="882"/>
      <c r="X35" s="142"/>
      <c r="Y35" s="882" t="str">
        <f>IF(PA!$AO$4=2,"",IF(AND(COUNT(PA!$A$6:$A$11)&gt;2,PA!$CF31="P"),PA!$CC31,""))</f>
        <v/>
      </c>
      <c r="Z35" s="882"/>
      <c r="AA35" s="882" t="str">
        <f>IF(PA!$AO$4=2,"",IF(AND(COUNT(PA!$A$6:$A$11)&gt;2,PA!$CF31="P"),PA!$CE31,""))</f>
        <v/>
      </c>
      <c r="AB35" s="882"/>
      <c r="AC35" s="32"/>
      <c r="AD35" s="885" t="str">
        <f>IF(PA!W35="NON",AG1,IF(PA!AO4=2,"",IF(COUNT(PA!A6:A11)&gt;5,_xlfn.XLOOKUP('T PA'!C38,'LOGOS CLUBS'!$B$2:$B$65,'LOGOS CLUBS'!$C$2:$C$65,C38,0,1),"")))</f>
        <v/>
      </c>
      <c r="AE35" s="885"/>
      <c r="AF35" s="885"/>
      <c r="AG35" s="885"/>
      <c r="AH35" s="32"/>
      <c r="AI35" s="32"/>
      <c r="AJ35" s="32"/>
      <c r="AK35" s="882" t="str" cm="1">
        <f t="array" ref="AK35">IF(PA!$AO$4&lt;3,"",IF(_xlfn.XLOOKUP('T PA'!C37,"Licence n° "&amp;PA!$B$6:$B$11,PA!$AO$6:$AO$11,"",0,1)=1,"",_xlfn.XLOOKUP('T PA'!C37,"Licence n° "&amp;PA!$B$6:$B$11,PA!$V$6:$V$11,"",0,1)))</f>
        <v/>
      </c>
      <c r="AL35" s="882"/>
      <c r="AM35" s="879" t="str" cm="1">
        <f t="array" ref="AM35">IF(PA!$AO$4&lt;3,"",IF(_xlfn.XLOOKUP('T PA'!C37,"Licence n° "&amp;PA!$B$6:$B$11,PA!$AO$6:$AO$11,"",0,1)=1,"",_xlfn.XLOOKUP('T PA'!C37,"Licence n° "&amp;PA!$B$6:$B$11,PA!$T$6:$T$11,"",0,1)))</f>
        <v/>
      </c>
      <c r="AN35" s="879"/>
      <c r="AO35" s="32"/>
      <c r="AP35" s="561" t="str" cm="1">
        <f t="array" ref="AP35">_xlfn.XLOOKUP(C37,"Licence n° "&amp;PA!$B$6:$B$11,PA!$W$6:$W$11,"",0,1)</f>
        <v/>
      </c>
      <c r="AQ35" s="32"/>
      <c r="AS35" s="832" t="s">
        <v>8124</v>
      </c>
      <c r="AT35" s="32"/>
    </row>
    <row r="36" spans="1:46" ht="12.6" customHeight="1" x14ac:dyDescent="0.25">
      <c r="A36" s="32"/>
      <c r="B36" s="32"/>
      <c r="C36" s="143" t="str">
        <f>IF(PA!$AO$4=2,"",IF(COUNT(PA!$A$6:$A$11)&gt;5,PA!$K11&amp;" - "&amp;PA!$AS11," "))</f>
        <v xml:space="preserve"> </v>
      </c>
      <c r="D36" s="32"/>
      <c r="E36" s="144" t="str">
        <f>IF(F36="","","Pts")</f>
        <v/>
      </c>
      <c r="F36" s="880" t="str">
        <f>IF(PA!$AO$4=2,"",IF(AND(COUNT(PA!$A$6:$A$11)&gt;2,PA!$CF35="P"),PA!$CG35,""))</f>
        <v/>
      </c>
      <c r="G36" s="880"/>
      <c r="H36" s="144" t="str">
        <f>IF(F36="","","Rep.")</f>
        <v/>
      </c>
      <c r="I36" s="144"/>
      <c r="J36" s="144" t="str">
        <f>IF(K36="","","Pts")</f>
        <v/>
      </c>
      <c r="K36" s="880" t="str">
        <f>IF(PA!$AO$4=2,"",IF(AND(COUNT(PA!$A$6:$A$11)&gt;2,PA!$CF34="P"),PA!$CG34,""))</f>
        <v/>
      </c>
      <c r="L36" s="880"/>
      <c r="M36" s="144" t="str">
        <f>IF(K36="","","Rep.")</f>
        <v/>
      </c>
      <c r="N36" s="144"/>
      <c r="O36" s="144" t="str">
        <f>IF(P36="","","Pts")</f>
        <v/>
      </c>
      <c r="P36" s="880" t="str">
        <f>IF(PA!$AO$4=2,"",IF(AND(COUNT(PA!$A$6:$A$11)&gt;2,PA!$CF33="P"),PA!$CG33,""))</f>
        <v/>
      </c>
      <c r="Q36" s="880"/>
      <c r="R36" s="144" t="str">
        <f>IF(P36="","","Rep.")</f>
        <v/>
      </c>
      <c r="S36" s="144"/>
      <c r="T36" s="144" t="str">
        <f>IF(U36="","","Pts")</f>
        <v/>
      </c>
      <c r="U36" s="880" t="str">
        <f>IF(PA!$AO$4=2,"",IF(AND(COUNT(PA!$A$6:$A$11)&gt;2,PA!$CF32="P"),PA!$CG32,""))</f>
        <v/>
      </c>
      <c r="V36" s="880"/>
      <c r="W36" s="144" t="str">
        <f>IF(U36="","","Rep.")</f>
        <v/>
      </c>
      <c r="X36" s="144"/>
      <c r="Y36" s="144" t="str">
        <f>IF(Z36="","","Pts")</f>
        <v/>
      </c>
      <c r="Z36" s="880" t="str">
        <f>IF(PA!$AO$4=2,"",IF(AND(COUNT(PA!$A$6:$A$11)&gt;2,PA!$CF31="P"),PA!$CG31,""))</f>
        <v/>
      </c>
      <c r="AA36" s="880"/>
      <c r="AB36" s="144" t="str">
        <f>IF(Z36="","","Rep.")</f>
        <v/>
      </c>
      <c r="AC36" s="32"/>
      <c r="AD36" s="885"/>
      <c r="AE36" s="885"/>
      <c r="AF36" s="885"/>
      <c r="AG36" s="885"/>
      <c r="AH36" s="32"/>
      <c r="AI36" s="32"/>
      <c r="AJ36" s="32"/>
      <c r="AK36" s="145" t="str">
        <f>IF(AL36="","","PM")</f>
        <v/>
      </c>
      <c r="AL36" s="881" t="str" cm="1">
        <f t="array" ref="AL36">IF(SUM(PA!$Q$6:$Q$11)=0,"",IF(PA!$AO$4&gt;2,IF(_xlfn.XLOOKUP('T PA'!C37,"Licence n° "&amp;PA!$B$6:$B$11,PA!$AO$6:$AO$11,"",0,1)=1,"Forfait",_xlfn.XLOOKUP('T PA'!C37,"Licence n° "&amp;PA!$B$37:$B$42,PA!$Q$37:$Q$42,"",0,1)),""))</f>
        <v/>
      </c>
      <c r="AM36" s="881"/>
      <c r="AN36" s="145" t="str">
        <f>IF(AL36="","","MGP")</f>
        <v/>
      </c>
      <c r="AO36" s="32"/>
      <c r="AP36" s="151" t="str">
        <f>IF(AND(COUNT(PA!$A$6:$A$11)&gt;5,PA!$AO$4&gt;2,LEFT(PA!$F$13)="P"),"Pts Rk","")</f>
        <v/>
      </c>
      <c r="AQ36" s="32"/>
      <c r="AS36" s="832"/>
      <c r="AT36" s="32"/>
    </row>
    <row r="37" spans="1:46" ht="12.6" customHeight="1" x14ac:dyDescent="0.25">
      <c r="A37" s="32"/>
      <c r="B37" s="32"/>
      <c r="C37" s="147" t="str">
        <f>IF(PA!AO4=2,"",IF(COUNT(PA!A6:A11)&gt;5,"Licence n° "&amp;PA!B11,"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IF(AND(COUNT(PA!$A$6:$A$11)&gt;5,PA!$AO$4&gt;2,LEFT(PA!$F$13)="P"),"Bonus","")</f>
        <v/>
      </c>
      <c r="AQ37" s="32"/>
      <c r="AS37" s="833" t="s">
        <v>8125</v>
      </c>
      <c r="AT37" s="32"/>
    </row>
    <row r="38" spans="1:46" ht="50.1" customHeight="1" thickBot="1" x14ac:dyDescent="0.3">
      <c r="A38" s="32"/>
      <c r="B38" s="32"/>
      <c r="C38" s="149" t="str">
        <f>IF(PA!AO4=2,"",IF(COUNT(PA!A6:A11)&gt;5,PA!G11," "))</f>
        <v xml:space="preserve"> </v>
      </c>
      <c r="D38" s="32"/>
      <c r="E38" s="883" t="str">
        <f>IF(F36="","",IF(F36&gt;0,E35/G35,"/"))</f>
        <v/>
      </c>
      <c r="F38" s="883"/>
      <c r="G38" s="884" t="str">
        <f>IF(PA!$AO$4=2,"",IF(AND(COUNT(PA!$A$6:$A$11)&gt;2,PA!$CF35="P"),PA!$CD35,""))</f>
        <v/>
      </c>
      <c r="H38" s="884"/>
      <c r="I38" s="32"/>
      <c r="J38" s="883" t="str">
        <f>IF(K36="","",IF(K36&gt;0,J35/L35,"/"))</f>
        <v/>
      </c>
      <c r="K38" s="883"/>
      <c r="L38" s="884" t="str">
        <f>IF(PA!$AO$4=2,"",IF(AND(COUNT(PA!$A$6:$A$11)&gt;2,PA!$CF34="P"),PA!$CD34,""))</f>
        <v/>
      </c>
      <c r="M38" s="884"/>
      <c r="N38" s="32"/>
      <c r="O38" s="883" t="str">
        <f>IF(P36="","",IF(P36&gt;0,O35/Q35,"/"))</f>
        <v/>
      </c>
      <c r="P38" s="883"/>
      <c r="Q38" s="884" t="str">
        <f>IF(PA!$AO$4=2,"",IF(AND(COUNT(PA!$A$6:$A$11)&gt;2,PA!$CF33="P"),PA!$CD33,""))</f>
        <v/>
      </c>
      <c r="R38" s="884"/>
      <c r="S38" s="32"/>
      <c r="T38" s="883" t="str">
        <f>IF(U36="","",IF(U36&gt;0,T35/V35,"/"))</f>
        <v/>
      </c>
      <c r="U38" s="883"/>
      <c r="V38" s="884" t="str">
        <f>IF(PA!$AO$4=2,"",IF(AND(COUNT(PA!$A$6:$A$11)&gt;2,PA!$CF32="P"),PA!$CD32,""))</f>
        <v/>
      </c>
      <c r="W38" s="884"/>
      <c r="X38" s="32"/>
      <c r="Y38" s="883" t="str">
        <f>IF(Z36="","",IF(Z36&gt;0,Y35/AA35,"/"))</f>
        <v/>
      </c>
      <c r="Z38" s="883"/>
      <c r="AA38" s="884" t="str">
        <f>IF(PA!$AO$4=2,"",IF(AND(COUNT(PA!$A$6:$A$11)&gt;2,PA!$CF31="P"),PA!$CD31,""))</f>
        <v/>
      </c>
      <c r="AB38" s="884"/>
      <c r="AC38" s="32"/>
      <c r="AD38" s="885"/>
      <c r="AE38" s="885"/>
      <c r="AF38" s="885"/>
      <c r="AG38" s="885"/>
      <c r="AH38" s="32"/>
      <c r="AI38" s="32"/>
      <c r="AJ38" s="32"/>
      <c r="AK38" s="883" t="str" cm="1">
        <f t="array" ref="AK38">IF(PA!$AO$4&lt;3,"",IF(_xlfn.XLOOKUP('T PA'!C37,"Licence n° "&amp;PA!$B$6:$B$11,PA!$AO$6:$AO$11,"",0,1)=1,"",_xlfn.XLOOKUP('T PA'!C37,"Licence n° "&amp;PA!$B$6:$B$11,PA!$U$6:$U$11,"",0,1)))</f>
        <v/>
      </c>
      <c r="AL38" s="883"/>
      <c r="AM38" s="884" t="str" cm="1">
        <f t="array" ref="AM38">IF(PA!$AO$4&lt;3,"",IF(_xlfn.XLOOKUP('T PA'!C37,"Licence n° "&amp;PA!$B$6:$B$11,PA!$AO$6:$AO$11,"",0,1)=1,"",_xlfn.XLOOKUP('T PA'!C37,"Licence n° "&amp;PA!$B$6:$B$11,PA!$S$6:$S$11,"",0,1)))</f>
        <v/>
      </c>
      <c r="AN38" s="884"/>
      <c r="AO38" s="32"/>
      <c r="AP38" s="562" t="str" cm="1">
        <f t="array" ref="AP38">_xlfn.XLOOKUP(C37,"Licence n° "&amp;PA!$B$6:$B$11,PA!$X$6:$X$11,"",0,1)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GIYl8zwkGdbwRXxTpbpfIB7r8i7sSeXCjcIzlDcb18DPYEsgGqJs9KaeS+OhvXKEou10dCNDYPVuvFgvV8dqsQ==" saltValue="WcYf9VqUUZsog9d9+h/N6w==" spinCount="100000" sheet="1" objects="1" scenarios="1"/>
  <mergeCells count="219">
    <mergeCell ref="E38:F38"/>
    <mergeCell ref="G38:H38"/>
    <mergeCell ref="J38:K38"/>
    <mergeCell ref="L38:M38"/>
    <mergeCell ref="O38:P38"/>
    <mergeCell ref="Q38:R38"/>
    <mergeCell ref="Z36:AA37"/>
    <mergeCell ref="AL36:AM37"/>
    <mergeCell ref="V35:W35"/>
    <mergeCell ref="Y35:Z35"/>
    <mergeCell ref="AA35:AB35"/>
    <mergeCell ref="AD35:AG38"/>
    <mergeCell ref="AK35:AL35"/>
    <mergeCell ref="AM35:AN35"/>
    <mergeCell ref="T38:U38"/>
    <mergeCell ref="V38:W38"/>
    <mergeCell ref="Y38:Z38"/>
    <mergeCell ref="AA38:AB38"/>
    <mergeCell ref="AK38:AL38"/>
    <mergeCell ref="AM38:AN38"/>
    <mergeCell ref="E35:F35"/>
    <mergeCell ref="G35:H35"/>
    <mergeCell ref="J35:K35"/>
    <mergeCell ref="L35:M35"/>
    <mergeCell ref="O35:P35"/>
    <mergeCell ref="Q35:R35"/>
    <mergeCell ref="T35:U35"/>
    <mergeCell ref="F36:G37"/>
    <mergeCell ref="K36:L37"/>
    <mergeCell ref="P36:Q37"/>
    <mergeCell ref="U36:V37"/>
    <mergeCell ref="AL31:AM32"/>
    <mergeCell ref="E33:F33"/>
    <mergeCell ref="G33:H33"/>
    <mergeCell ref="J33:K33"/>
    <mergeCell ref="L33:M33"/>
    <mergeCell ref="O33:P33"/>
    <mergeCell ref="Q33:R33"/>
    <mergeCell ref="T33:U33"/>
    <mergeCell ref="V33:W33"/>
    <mergeCell ref="AD33:AE33"/>
    <mergeCell ref="Y30:AB33"/>
    <mergeCell ref="AD30:AE30"/>
    <mergeCell ref="AF30:AG30"/>
    <mergeCell ref="AK30:AL30"/>
    <mergeCell ref="AM30:AN30"/>
    <mergeCell ref="F31:G32"/>
    <mergeCell ref="K31:L32"/>
    <mergeCell ref="P31:Q32"/>
    <mergeCell ref="U31:V32"/>
    <mergeCell ref="AE31:AF32"/>
    <mergeCell ref="AF33:AG33"/>
    <mergeCell ref="AK33:AL33"/>
    <mergeCell ref="AM33:AN33"/>
    <mergeCell ref="AM28:AN28"/>
    <mergeCell ref="E30:F30"/>
    <mergeCell ref="G30:H30"/>
    <mergeCell ref="J30:K30"/>
    <mergeCell ref="L30:M30"/>
    <mergeCell ref="O30:P30"/>
    <mergeCell ref="Q30:R30"/>
    <mergeCell ref="T30:U30"/>
    <mergeCell ref="V30:W30"/>
    <mergeCell ref="E28:F28"/>
    <mergeCell ref="G28:H28"/>
    <mergeCell ref="J28:K28"/>
    <mergeCell ref="L28:M28"/>
    <mergeCell ref="O28:P28"/>
    <mergeCell ref="Q28:R28"/>
    <mergeCell ref="AM25:AN25"/>
    <mergeCell ref="F26:G27"/>
    <mergeCell ref="K26:L27"/>
    <mergeCell ref="P26:Q27"/>
    <mergeCell ref="Z26:AA27"/>
    <mergeCell ref="AE26:AF27"/>
    <mergeCell ref="AL26:AM27"/>
    <mergeCell ref="T25:W28"/>
    <mergeCell ref="Y25:Z25"/>
    <mergeCell ref="AA25:AB25"/>
    <mergeCell ref="AD25:AE25"/>
    <mergeCell ref="AF25:AG25"/>
    <mergeCell ref="AK25:AL25"/>
    <mergeCell ref="Y28:Z28"/>
    <mergeCell ref="AA28:AB28"/>
    <mergeCell ref="AD28:AE28"/>
    <mergeCell ref="AF28:AG28"/>
    <mergeCell ref="E25:F25"/>
    <mergeCell ref="G25:H25"/>
    <mergeCell ref="J25:K25"/>
    <mergeCell ref="L25:M25"/>
    <mergeCell ref="O25:P25"/>
    <mergeCell ref="Q25:R25"/>
    <mergeCell ref="AK28:AL28"/>
    <mergeCell ref="Y23:Z23"/>
    <mergeCell ref="AA23:AB23"/>
    <mergeCell ref="AD23:AE23"/>
    <mergeCell ref="AF23:AG23"/>
    <mergeCell ref="AK23:AL23"/>
    <mergeCell ref="AM23:AN23"/>
    <mergeCell ref="E23:F23"/>
    <mergeCell ref="G23:H23"/>
    <mergeCell ref="J23:K23"/>
    <mergeCell ref="L23:M23"/>
    <mergeCell ref="T23:U23"/>
    <mergeCell ref="V23:W23"/>
    <mergeCell ref="Z21:AA22"/>
    <mergeCell ref="AE21:AF22"/>
    <mergeCell ref="AL21:AM22"/>
    <mergeCell ref="Y20:Z20"/>
    <mergeCell ref="AA20:AB20"/>
    <mergeCell ref="AD20:AE20"/>
    <mergeCell ref="AF20:AG20"/>
    <mergeCell ref="AK20:AL20"/>
    <mergeCell ref="AM20:AN20"/>
    <mergeCell ref="E20:F20"/>
    <mergeCell ref="G20:H20"/>
    <mergeCell ref="J20:K20"/>
    <mergeCell ref="L20:M20"/>
    <mergeCell ref="O20:R23"/>
    <mergeCell ref="T20:U20"/>
    <mergeCell ref="V20:W20"/>
    <mergeCell ref="F21:G22"/>
    <mergeCell ref="K21:L22"/>
    <mergeCell ref="U21:V22"/>
    <mergeCell ref="AK15:AL15"/>
    <mergeCell ref="AM15:AN15"/>
    <mergeCell ref="F16:G17"/>
    <mergeCell ref="P16:Q17"/>
    <mergeCell ref="U16:V17"/>
    <mergeCell ref="Z16:AA17"/>
    <mergeCell ref="AE16:AF17"/>
    <mergeCell ref="AL16:AM17"/>
    <mergeCell ref="E18:F18"/>
    <mergeCell ref="G18:H18"/>
    <mergeCell ref="O18:P18"/>
    <mergeCell ref="Q18:R18"/>
    <mergeCell ref="T18:U18"/>
    <mergeCell ref="V18:W18"/>
    <mergeCell ref="Y18:Z18"/>
    <mergeCell ref="AA18:AB18"/>
    <mergeCell ref="AD18:AE18"/>
    <mergeCell ref="AF18:AG18"/>
    <mergeCell ref="AK18:AL18"/>
    <mergeCell ref="AM18:AN18"/>
    <mergeCell ref="AK13:AL13"/>
    <mergeCell ref="AM13:AN13"/>
    <mergeCell ref="E15:F15"/>
    <mergeCell ref="G15:H15"/>
    <mergeCell ref="J15:M18"/>
    <mergeCell ref="O15:P15"/>
    <mergeCell ref="Q15:R15"/>
    <mergeCell ref="T15:U15"/>
    <mergeCell ref="V15:W15"/>
    <mergeCell ref="Y15:Z15"/>
    <mergeCell ref="T13:U13"/>
    <mergeCell ref="V13:W13"/>
    <mergeCell ref="Y13:Z13"/>
    <mergeCell ref="AA13:AB13"/>
    <mergeCell ref="AD13:AE13"/>
    <mergeCell ref="AF13:AG13"/>
    <mergeCell ref="E10:H13"/>
    <mergeCell ref="J13:K13"/>
    <mergeCell ref="L13:M13"/>
    <mergeCell ref="O13:P13"/>
    <mergeCell ref="Q13:R13"/>
    <mergeCell ref="AA15:AB15"/>
    <mergeCell ref="AD15:AE15"/>
    <mergeCell ref="AF15:AG15"/>
    <mergeCell ref="AM10:AN10"/>
    <mergeCell ref="K11:L12"/>
    <mergeCell ref="P11:Q12"/>
    <mergeCell ref="U11:V12"/>
    <mergeCell ref="Z11:AA12"/>
    <mergeCell ref="AE11:AF12"/>
    <mergeCell ref="AL11:AM12"/>
    <mergeCell ref="V10:W10"/>
    <mergeCell ref="Y10:Z10"/>
    <mergeCell ref="AA10:AB10"/>
    <mergeCell ref="AD10:AE10"/>
    <mergeCell ref="AF10:AG10"/>
    <mergeCell ref="AK10:AL10"/>
    <mergeCell ref="J10:K10"/>
    <mergeCell ref="L10:M10"/>
    <mergeCell ref="O10:P10"/>
    <mergeCell ref="Q10:R10"/>
    <mergeCell ref="T10:U10"/>
    <mergeCell ref="AJ5:AQ5"/>
    <mergeCell ref="E8:H8"/>
    <mergeCell ref="J8:M8"/>
    <mergeCell ref="O8:R8"/>
    <mergeCell ref="T8:W8"/>
    <mergeCell ref="Y8:AB8"/>
    <mergeCell ref="AD8:AG8"/>
    <mergeCell ref="AK8:AN8"/>
    <mergeCell ref="B1:H1"/>
    <mergeCell ref="I1:AF3"/>
    <mergeCell ref="AG1:AQ3"/>
    <mergeCell ref="B2:H2"/>
    <mergeCell ref="B3:H3"/>
    <mergeCell ref="O5:U5"/>
    <mergeCell ref="V5:AC5"/>
    <mergeCell ref="AD5:AI5"/>
    <mergeCell ref="B5:F5"/>
    <mergeCell ref="G5:N5"/>
    <mergeCell ref="AS27:AS28"/>
    <mergeCell ref="AS30:AS31"/>
    <mergeCell ref="AS32:AS33"/>
    <mergeCell ref="AS35:AS36"/>
    <mergeCell ref="AS37:AS38"/>
    <mergeCell ref="AV5:AV6"/>
    <mergeCell ref="AV9:AV11"/>
    <mergeCell ref="AS15:AS16"/>
    <mergeCell ref="AS5:AS8"/>
    <mergeCell ref="AS10:AS11"/>
    <mergeCell ref="AS12:AS13"/>
    <mergeCell ref="AS17:AS18"/>
    <mergeCell ref="AS20:AS21"/>
    <mergeCell ref="AS22:AS23"/>
    <mergeCell ref="AS25:AS26"/>
  </mergeCells>
  <conditionalFormatting sqref="F16">
    <cfRule type="expression" dxfId="2174" priority="163">
      <formula>F16=2</formula>
    </cfRule>
    <cfRule type="expression" dxfId="2173" priority="165">
      <formula>F16=0</formula>
    </cfRule>
    <cfRule type="expression" dxfId="2172" priority="164">
      <formula>F16=1</formula>
    </cfRule>
  </conditionalFormatting>
  <conditionalFormatting sqref="F21">
    <cfRule type="expression" dxfId="2171" priority="150">
      <formula>F21=0</formula>
    </cfRule>
    <cfRule type="expression" dxfId="2170" priority="149">
      <formula>F21=1</formula>
    </cfRule>
    <cfRule type="expression" dxfId="2169" priority="148">
      <formula>F21=2</formula>
    </cfRule>
  </conditionalFormatting>
  <conditionalFormatting sqref="F26">
    <cfRule type="expression" dxfId="2168" priority="133">
      <formula>F26=2</formula>
    </cfRule>
    <cfRule type="expression" dxfId="2167" priority="134">
      <formula>F26=1</formula>
    </cfRule>
    <cfRule type="expression" dxfId="2166" priority="135">
      <formula>F26=0</formula>
    </cfRule>
  </conditionalFormatting>
  <conditionalFormatting sqref="F31">
    <cfRule type="expression" dxfId="2165" priority="120">
      <formula>F31=0</formula>
    </cfRule>
    <cfRule type="expression" dxfId="2164" priority="119">
      <formula>F31=1</formula>
    </cfRule>
    <cfRule type="expression" dxfId="2163" priority="118">
      <formula>F31=2</formula>
    </cfRule>
  </conditionalFormatting>
  <conditionalFormatting sqref="F36">
    <cfRule type="expression" dxfId="2162" priority="104">
      <formula>F36=1</formula>
    </cfRule>
    <cfRule type="expression" dxfId="2161" priority="103">
      <formula>F36=2</formula>
    </cfRule>
    <cfRule type="expression" dxfId="2160" priority="105">
      <formula>F36=0</formula>
    </cfRule>
  </conditionalFormatting>
  <conditionalFormatting sqref="J15:M18">
    <cfRule type="expression" dxfId="2151" priority="182">
      <formula>$J$15="MATCH 1"</formula>
    </cfRule>
  </conditionalFormatting>
  <conditionalFormatting sqref="K21">
    <cfRule type="expression" dxfId="2150" priority="147">
      <formula>K21=0</formula>
    </cfRule>
    <cfRule type="expression" dxfId="2149" priority="146">
      <formula>K21=1</formula>
    </cfRule>
    <cfRule type="expression" dxfId="2148" priority="145">
      <formula>K21=2</formula>
    </cfRule>
  </conditionalFormatting>
  <conditionalFormatting sqref="K26">
    <cfRule type="expression" dxfId="2147" priority="131">
      <formula>K26=1</formula>
    </cfRule>
    <cfRule type="expression" dxfId="2146" priority="130">
      <formula>K26=2</formula>
    </cfRule>
    <cfRule type="expression" dxfId="2145" priority="132">
      <formula>K26=0</formula>
    </cfRule>
  </conditionalFormatting>
  <conditionalFormatting sqref="K31">
    <cfRule type="expression" dxfId="2144" priority="115">
      <formula>K31=2</formula>
    </cfRule>
    <cfRule type="expression" dxfId="2143" priority="116">
      <formula>K31=1</formula>
    </cfRule>
    <cfRule type="expression" dxfId="2142" priority="117">
      <formula>K31=0</formula>
    </cfRule>
  </conditionalFormatting>
  <conditionalFormatting sqref="K36">
    <cfRule type="expression" dxfId="2141" priority="102">
      <formula>K36=0</formula>
    </cfRule>
    <cfRule type="expression" dxfId="2140" priority="101">
      <formula>K36=1</formula>
    </cfRule>
    <cfRule type="expression" dxfId="2139" priority="100">
      <formula>K36=2</formula>
    </cfRule>
  </conditionalFormatting>
  <conditionalFormatting sqref="K11:L12">
    <cfRule type="expression" dxfId="2138" priority="180">
      <formula>K11=0</formula>
    </cfRule>
    <cfRule type="expression" dxfId="2137" priority="179">
      <formula>K11=1</formula>
    </cfRule>
    <cfRule type="expression" dxfId="2136" priority="178">
      <formula>K11=2</formula>
    </cfRule>
  </conditionalFormatting>
  <conditionalFormatting sqref="O20:R23">
    <cfRule type="expression" dxfId="2129" priority="181">
      <formula>$O$20="MATCH 2"</formula>
    </cfRule>
  </conditionalFormatting>
  <conditionalFormatting sqref="P11">
    <cfRule type="expression" dxfId="2128" priority="175">
      <formula>P11=2</formula>
    </cfRule>
    <cfRule type="expression" dxfId="2127" priority="176">
      <formula>P11=1</formula>
    </cfRule>
    <cfRule type="expression" dxfId="2126" priority="177">
      <formula>P11=0</formula>
    </cfRule>
  </conditionalFormatting>
  <conditionalFormatting sqref="P16">
    <cfRule type="expression" dxfId="2125" priority="162">
      <formula>P16=0</formula>
    </cfRule>
    <cfRule type="expression" dxfId="2124" priority="161">
      <formula>P16=1</formula>
    </cfRule>
    <cfRule type="expression" dxfId="2123" priority="160">
      <formula>P16=2</formula>
    </cfRule>
  </conditionalFormatting>
  <conditionalFormatting sqref="P26">
    <cfRule type="expression" dxfId="2122" priority="127">
      <formula>P26=2</formula>
    </cfRule>
    <cfRule type="expression" dxfId="2121" priority="128">
      <formula>P26=1</formula>
    </cfRule>
    <cfRule type="expression" dxfId="2120" priority="129">
      <formula>P26=0</formula>
    </cfRule>
  </conditionalFormatting>
  <conditionalFormatting sqref="P31">
    <cfRule type="expression" dxfId="2119" priority="114">
      <formula>P31=0</formula>
    </cfRule>
    <cfRule type="expression" dxfId="2118" priority="112">
      <formula>P31=2</formula>
    </cfRule>
    <cfRule type="expression" dxfId="2117" priority="113">
      <formula>P31=1</formula>
    </cfRule>
  </conditionalFormatting>
  <conditionalFormatting sqref="P36">
    <cfRule type="expression" dxfId="2116" priority="98">
      <formula>P36=1</formula>
    </cfRule>
    <cfRule type="expression" dxfId="2115" priority="97">
      <formula>P36=2</formula>
    </cfRule>
    <cfRule type="expression" dxfId="2114" priority="99">
      <formula>P36=0</formula>
    </cfRule>
  </conditionalFormatting>
  <conditionalFormatting sqref="U11">
    <cfRule type="expression" dxfId="2113" priority="172">
      <formula>U11=2</formula>
    </cfRule>
    <cfRule type="expression" dxfId="2112" priority="174">
      <formula>U11=0</formula>
    </cfRule>
    <cfRule type="expression" dxfId="2111" priority="173">
      <formula>U11=1</formula>
    </cfRule>
  </conditionalFormatting>
  <conditionalFormatting sqref="U16">
    <cfRule type="expression" dxfId="2110" priority="158">
      <formula>U16=1</formula>
    </cfRule>
    <cfRule type="expression" dxfId="2109" priority="159">
      <formula>U16=0</formula>
    </cfRule>
    <cfRule type="expression" dxfId="2108" priority="157">
      <formula>U16=2</formula>
    </cfRule>
  </conditionalFormatting>
  <conditionalFormatting sqref="U21">
    <cfRule type="expression" dxfId="2107" priority="143">
      <formula>U21=1</formula>
    </cfRule>
    <cfRule type="expression" dxfId="2106" priority="144">
      <formula>U21=0</formula>
    </cfRule>
    <cfRule type="expression" dxfId="2105" priority="142">
      <formula>U21=2</formula>
    </cfRule>
  </conditionalFormatting>
  <conditionalFormatting sqref="U31">
    <cfRule type="expression" dxfId="2104" priority="109">
      <formula>U31=2</formula>
    </cfRule>
    <cfRule type="expression" dxfId="2103" priority="110">
      <formula>U31=1</formula>
    </cfRule>
    <cfRule type="expression" dxfId="2102" priority="111">
      <formula>U31=0</formula>
    </cfRule>
  </conditionalFormatting>
  <conditionalFormatting sqref="U36">
    <cfRule type="expression" dxfId="2101" priority="94">
      <formula>U36=2</formula>
    </cfRule>
    <cfRule type="expression" dxfId="2100" priority="95">
      <formula>U36=1</formula>
    </cfRule>
    <cfRule type="expression" dxfId="2099" priority="96">
      <formula>U36=0</formula>
    </cfRule>
  </conditionalFormatting>
  <conditionalFormatting sqref="Z11">
    <cfRule type="expression" dxfId="2098" priority="170">
      <formula>Z11=1</formula>
    </cfRule>
    <cfRule type="expression" dxfId="2097" priority="171">
      <formula>Z11=0</formula>
    </cfRule>
    <cfRule type="expression" dxfId="2096" priority="169">
      <formula>Z11=2</formula>
    </cfRule>
  </conditionalFormatting>
  <conditionalFormatting sqref="Z16">
    <cfRule type="expression" dxfId="2095" priority="156">
      <formula>Z16=0</formula>
    </cfRule>
    <cfRule type="expression" dxfId="2094" priority="155">
      <formula>Z16=1</formula>
    </cfRule>
    <cfRule type="expression" dxfId="2093" priority="154">
      <formula>Z16=2</formula>
    </cfRule>
  </conditionalFormatting>
  <conditionalFormatting sqref="Z21">
    <cfRule type="expression" dxfId="2092" priority="139">
      <formula>Z21=2</formula>
    </cfRule>
    <cfRule type="expression" dxfId="2091" priority="141">
      <formula>Z21=0</formula>
    </cfRule>
    <cfRule type="expression" dxfId="2090" priority="140">
      <formula>Z21=1</formula>
    </cfRule>
  </conditionalFormatting>
  <conditionalFormatting sqref="Z26">
    <cfRule type="expression" dxfId="2089" priority="125">
      <formula>Z26=1</formula>
    </cfRule>
    <cfRule type="expression" dxfId="2088" priority="126">
      <formula>Z26=0</formula>
    </cfRule>
    <cfRule type="expression" dxfId="2087" priority="124">
      <formula>Z26=2</formula>
    </cfRule>
  </conditionalFormatting>
  <conditionalFormatting sqref="Z36">
    <cfRule type="expression" dxfId="2086" priority="93">
      <formula>Z36=0</formula>
    </cfRule>
    <cfRule type="expression" dxfId="2085" priority="92">
      <formula>Z36=1</formula>
    </cfRule>
    <cfRule type="expression" dxfId="2084" priority="91">
      <formula>Z36=2</formula>
    </cfRule>
  </conditionalFormatting>
  <conditionalFormatting sqref="AE11">
    <cfRule type="expression" dxfId="2079" priority="166">
      <formula>AE11=2</formula>
    </cfRule>
    <cfRule type="expression" dxfId="2078" priority="167">
      <formula>AE11=1</formula>
    </cfRule>
    <cfRule type="expression" dxfId="2077" priority="168">
      <formula>AE11=0</formula>
    </cfRule>
  </conditionalFormatting>
  <conditionalFormatting sqref="AE16">
    <cfRule type="expression" dxfId="2076" priority="153">
      <formula>AE16=0</formula>
    </cfRule>
    <cfRule type="expression" dxfId="2075" priority="152">
      <formula>AE16=1</formula>
    </cfRule>
    <cfRule type="expression" dxfId="2074" priority="151">
      <formula>AE16=2</formula>
    </cfRule>
  </conditionalFormatting>
  <conditionalFormatting sqref="AE21">
    <cfRule type="expression" dxfId="2073" priority="137">
      <formula>AE21=1</formula>
    </cfRule>
    <cfRule type="expression" dxfId="2072" priority="136">
      <formula>AE21=2</formula>
    </cfRule>
    <cfRule type="expression" dxfId="2071" priority="138">
      <formula>AE21=0</formula>
    </cfRule>
  </conditionalFormatting>
  <conditionalFormatting sqref="AE26">
    <cfRule type="expression" dxfId="2070" priority="123">
      <formula>AE26=0</formula>
    </cfRule>
    <cfRule type="expression" dxfId="2069" priority="122">
      <formula>AE26=1</formula>
    </cfRule>
    <cfRule type="expression" dxfId="2068" priority="121">
      <formula>AE26=2</formula>
    </cfRule>
  </conditionalFormatting>
  <conditionalFormatting sqref="AE31">
    <cfRule type="expression" dxfId="2067" priority="108">
      <formula>AE31=0</formula>
    </cfRule>
    <cfRule type="expression" dxfId="2066" priority="107">
      <formula>AE31=1</formula>
    </cfRule>
    <cfRule type="expression" dxfId="2065" priority="106">
      <formula>AE31=2</formula>
    </cfRule>
  </conditionalFormatting>
  <hyperlinks>
    <hyperlink ref="AS2" location="'GESTION DES JOUEURS'!D4" display="GESTION DES JOUEURS" xr:uid="{66CEC462-3C8C-4CA8-B528-B8DCA6873B4B}"/>
    <hyperlink ref="AS10:AS11" location="PA!N18" display="PA!N18" xr:uid="{6F8DCAD4-5F8C-47AC-80F9-0797936298F8}"/>
    <hyperlink ref="AS12:AS13" location="PB!N18" display="Poule B" xr:uid="{5C8CAEDD-D7F8-486C-AE5D-EDB58AA5AE7E}"/>
    <hyperlink ref="AS15:AS16" location="PC!N18" display="Poule C" xr:uid="{FD8C6E55-96A1-4E29-A9F0-41A12095B3D2}"/>
    <hyperlink ref="AS17:AS18" location="PD!N18" display="Poule D" xr:uid="{F55A0136-8E4E-418C-B7A1-ED878E5D3095}"/>
    <hyperlink ref="AS20:AS21" location="PE!N18" display="Poule E" xr:uid="{EF7CA8DC-0793-4EAB-9DD9-7AD5EEB979D2}"/>
    <hyperlink ref="AS22:AS23" location="PF!N18" display="Poule F" xr:uid="{58555F3A-DA3B-476E-B561-1DFB6CDB6C33}"/>
    <hyperlink ref="AS25:AS26" location="PG!N18" display="Poule G" xr:uid="{B4EAAB8F-DB31-49A8-BAB6-AB74FD715D86}"/>
    <hyperlink ref="AS27:AS28" location="PH!N18" display="Poule H" xr:uid="{39337E7B-7385-4FBB-AA54-B192CB04727F}"/>
    <hyperlink ref="AS30:AS31" location="PI!N18" display="Poule I" xr:uid="{C54B9F30-7C5F-4BD0-8723-05C5F716C764}"/>
    <hyperlink ref="AS32:AS33" location="PJ!N18" display="Poule J" xr:uid="{D8C8C622-EEAD-4896-96EF-D5AE497EF280}"/>
    <hyperlink ref="AS35:AS36" location="PK!N18" display="Poule K" xr:uid="{CE196D20-EFDE-462A-B78E-E9D02C957EB8}"/>
    <hyperlink ref="AS37:AS38" location="PL!N18" display="Poule L" xr:uid="{8254A0B3-CB04-4161-88FF-A113EA7C9E2B}"/>
    <hyperlink ref="AV2" location="'Phase finale'!A1" display="Phase Finale" xr:uid="{102EC875-9C67-412F-9CF1-DF3BE2D141D2}"/>
    <hyperlink ref="AV9:AV11" location="RESULTATS!A1" display="RESULTATS" xr:uid="{62C62981-C128-4940-AB69-A6930F59EDF6}"/>
  </hyperlinks>
  <printOptions horizontalCentered="1"/>
  <pageMargins left="0.70866141732283472" right="0.70866141732283472" top="0.74803149606299213" bottom="0.74803149606299213" header="0.31496062992125984" footer="0.31496062992125984"/>
  <pageSetup paperSize="9" scale="44"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1009" id="{8939B383-6427-4D93-8708-D6C65DE0710F}">
            <xm:f>AND(COUNT(PA!$A$6:$A$11)=3,PA!$AO$4&gt;2)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1040" id="{BE7FCCEE-EA02-4EC9-AB71-FA779863C627}">
            <xm:f>AND(COUNT(PA!$A$6:$A$11)=4,PA!$AO$4&gt;2)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25" id="{2DE30A6B-9963-48E9-9305-9780671FD274}">
            <xm:f>PA!$AO$4=2</xm:f>
            <x14:dxf>
              <fill>
                <patternFill>
                  <bgColor theme="1"/>
                </patternFill>
              </fill>
            </x14:dxf>
          </x14:cfRule>
          <xm:sqref>E7:H7 J7:M7 O7:R7 T7:W7 D7:D8 I7:I8 N7:N29 S7:S29 X7:X29 C9:R9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1116" id="{060BE504-CFF0-4030-A6B7-42DA1418D136}">
            <xm:f>AND(COUNT(PA!$A$6:$A$11)=4,PA!$AO$4&gt;2)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65" id="{658AB604-FD99-44CB-80A1-BCD0AB81AC72}">
            <xm:f>PA!$AO$4=2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1145" id="{02C005BD-1980-467D-9C85-E96980B274CF}">
            <xm:f>AND(COUNT(PA!$A$6:$A$11)=5,PA!$AO$4&gt;2)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1150" id="{6F53B4D1-6627-4866-9C62-459B4181E72D}">
            <xm:f>AND(COUNT(PA!$A$6:$A$11)&gt;=5,PA!$AO$4&gt;2)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1205" id="{328A862E-1A5A-46B5-8FD7-EB1ABD9FC0B7}">
            <xm:f>AND(COUNT(PA!$A$6:$A$11)&gt;=5,PA!$AO$4&gt;2)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1280" id="{2CA3D12D-AE78-4F36-B78F-35824E71AA23}">
            <xm:f>AND(COUNT(PA!$A$6:$A$11)=3,PA!$AO$4&gt;2)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1308" id="{19FE5C1E-34A3-44AE-9696-C3502094EAD7}">
            <xm:f>PA!$AO$4=2</xm:f>
            <x14:dxf>
              <border>
                <top/>
                <vertical/>
                <horizontal/>
              </border>
            </x14:dxf>
          </x14:cfRule>
          <x14:cfRule type="expression" priority="11307" id="{C50522C5-00D3-424D-AEF1-1B435627B2ED}">
            <xm:f>AND(COUNT(PA!$A$6:$A$11)=4,PA!$AO$4&gt;2)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1343" id="{B63D9990-0B4E-4D5F-B077-7B7AAE438233}">
            <xm:f>AND(COUNT(PA!$A$6:$A$11)&gt;=5,PA!$AO$4&gt;2)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1418" id="{F1733954-B51C-48C1-A2A8-4B534EE8D9F6}">
            <xm:f>AND(COUNT(PA!$A$6:$A$11)=3,PA!$AO$4&gt;2)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1445" id="{0DD8D983-1113-40B6-8130-43A63BE18859}">
            <xm:f>AND(COUNT(PA!$A$6:$A$11)=4,PA!$AO$4&gt;2)</xm:f>
            <x14:dxf>
              <border>
                <bottom/>
                <vertical/>
                <horizontal/>
              </border>
            </x14:dxf>
          </x14:cfRule>
          <x14:cfRule type="expression" priority="11446" id="{06E2B4E4-2B7F-4DA0-9ADB-72A84AD24D71}">
            <xm:f>PA!$AO$4=2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1481" id="{677BB44D-0611-4C65-ACE5-D819F03AB0A7}">
            <xm:f>AND(COUNT(PA!$A$6:$A$11)=4,PA!$AO$4&gt;2)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1511" id="{B4486201-1F6F-4834-B528-F1492F02C7EF}">
            <xm:f>PA!$AO$4=2</xm:f>
            <x14:dxf>
              <border>
                <bottom/>
                <vertical/>
                <horizontal/>
              </border>
            </x14:dxf>
          </x14:cfRule>
          <x14:cfRule type="expression" priority="11512" id="{DFC75D5C-893F-4A3A-91F2-8E9F656DAD82}">
            <xm:f>AND(COUNT(PA!$A$6:$A$11)=4,PA!$AO$4&gt;2)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1513" id="{CD634DAE-C876-48D2-B184-FDD8AB0629B6}">
            <xm:f>AND(COUNT(PA!$A$6:$A$11)=4,PA!$AO$4&gt;2)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1543" id="{BB3103F3-A3BB-4F54-91AB-5884293366F5}">
            <xm:f>AND(COUNT(PA!$A$6:$A$11)=3,PA!$AO$4&gt;2)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1555" id="{F952FF1A-6549-42E7-99E8-8957A7E2FD20}">
            <xm:f>AND(COUNT(PA!$A$6:$A$11)&gt;=5,PA!$AO$4&gt;2)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1580" id="{ED576DD6-C2A7-4B08-9AE5-94FC260579E2}">
            <xm:f>AND(COUNT(PA!$A$6:$A$11)=6,PA!$AO$4&gt;2)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1613" id="{8FD6FEA6-6B6D-4939-B901-EAFACD8087F9}">
            <xm:f>AND(COUNT(PA!$A$6:$A$11)=6,PA!$AO$4&gt;2)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1638" id="{C7702C38-BED0-43B8-976C-D6D1D0463254}">
            <xm:f>AND(COUNT(PA!$A$6:$A$11)=6,PA!$AO$4&gt;2)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1671" id="{76F7092E-8F4B-4FDD-B475-DD5959AB3C15}">
            <xm:f>AND(COUNT(PA!$A$6:$A$11)=6,PA!$AO$4&gt;2)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1690" id="{EFDC080E-0003-4ED1-9AEF-58C889888862}">
            <xm:f>AND(LEFT(PA!$F$13)="F",$AL$11=1,PA!$BU$5="X")</xm:f>
            <x14:dxf>
              <font>
                <color rgb="FF8E0000"/>
              </font>
              <fill>
                <patternFill>
                  <bgColor rgb="FFFBE93B"/>
                </patternFill>
              </fill>
            </x14:dxf>
          </x14:cfRule>
          <x14:cfRule type="expression" priority="11689" id="{3EF9030C-8F08-47DC-8E85-F07E6773A8D3}">
            <xm:f>AND(LEFT(PA!$F$13)="F",$AL$11=2,PA!$BU$5="X")</xm:f>
            <x14:dxf>
              <font>
                <color rgb="FF8E0000"/>
              </font>
              <fill>
                <patternFill>
                  <bgColor theme="2"/>
                </patternFill>
              </fill>
            </x14:dxf>
          </x14:cfRule>
          <x14:cfRule type="expression" priority="11688" id="{02F29E31-E21C-476E-97B3-35957CAB2373}">
            <xm:f>AND(LEFT(PA!$F$13)="F",$AL$11=3,PA!$BU$5="X")</xm:f>
            <x14:dxf>
              <font>
                <color rgb="FF8E0000"/>
              </font>
              <fill>
                <patternFill>
                  <bgColor rgb="FFFECF82"/>
                </patternFill>
              </fill>
            </x14:dxf>
          </x14:cfRule>
          <xm:sqref>AL11</xm:sqref>
        </x14:conditionalFormatting>
        <x14:conditionalFormatting xmlns:xm="http://schemas.microsoft.com/office/excel/2006/main">
          <x14:cfRule type="expression" priority="11693" id="{72F36D61-FC7E-4676-96EF-50DEFECA59F3}">
            <xm:f>AND(LEFT(PA!$F$13)="F",$AL$16=1,PA!$BU$5="X")</xm:f>
            <x14:dxf>
              <font>
                <color rgb="FF8E0000"/>
              </font>
              <fill>
                <patternFill>
                  <bgColor rgb="FFFBE93B"/>
                </patternFill>
              </fill>
            </x14:dxf>
          </x14:cfRule>
          <x14:cfRule type="expression" priority="11692" id="{4816C3BE-2999-491D-826F-931F8738C95D}">
            <xm:f>AND(LEFT(PA!$F$13)="F",$AL$16=2,PA!$BU$5="X")</xm:f>
            <x14:dxf>
              <font>
                <color rgb="FF8E0000"/>
              </font>
              <fill>
                <patternFill>
                  <bgColor theme="2"/>
                </patternFill>
              </fill>
            </x14:dxf>
          </x14:cfRule>
          <x14:cfRule type="expression" priority="11691" id="{CCA99610-9558-49DD-8D4C-4C0203733D54}">
            <xm:f>AND(LEFT(PA!$F$13)="F",$AL$16=3,PA!$BU$5="X")</xm:f>
            <x14:dxf>
              <font>
                <color rgb="FF8E0000"/>
              </font>
              <fill>
                <patternFill>
                  <bgColor rgb="FFFECF82"/>
                </patternFill>
              </fill>
            </x14:dxf>
          </x14:cfRule>
          <xm:sqref>AL16</xm:sqref>
        </x14:conditionalFormatting>
        <x14:conditionalFormatting xmlns:xm="http://schemas.microsoft.com/office/excel/2006/main">
          <x14:cfRule type="expression" priority="11694" id="{5D934B1C-C71D-4DAD-B33E-056F437B6AF8}">
            <xm:f>AND(LEFT(PA!$F$13)="F",$AL$21=3,PA!$BU$5="X")</xm:f>
            <x14:dxf>
              <font>
                <color rgb="FF8E0000"/>
              </font>
              <fill>
                <patternFill>
                  <bgColor rgb="FFFECF82"/>
                </patternFill>
              </fill>
            </x14:dxf>
          </x14:cfRule>
          <x14:cfRule type="expression" priority="11695" id="{925718FF-85C4-4239-AE9E-F34BB1D7C27D}">
            <xm:f>AND(LEFT(PA!$F$13)="F",$AL$21=2,PA!$BU$5="X")</xm:f>
            <x14:dxf>
              <font>
                <color rgb="FF8E0000"/>
              </font>
              <fill>
                <patternFill>
                  <bgColor theme="2"/>
                </patternFill>
              </fill>
            </x14:dxf>
          </x14:cfRule>
          <x14:cfRule type="expression" priority="11696" id="{3F735001-E897-42A6-8A8F-2F96C7FBA3B2}">
            <xm:f>AND(LEFT(PA!$F$13)="F",$AL$21=1,PA!$BU$5="X")</xm:f>
            <x14:dxf>
              <font>
                <color rgb="FF8E0000"/>
              </font>
              <fill>
                <patternFill>
                  <bgColor rgb="FFFBE93B"/>
                </patternFill>
              </fill>
            </x14:dxf>
          </x14:cfRule>
          <xm:sqref>AL21</xm:sqref>
        </x14:conditionalFormatting>
        <x14:conditionalFormatting xmlns:xm="http://schemas.microsoft.com/office/excel/2006/main">
          <x14:cfRule type="expression" priority="11697" id="{2BFEFC87-6854-41F2-9716-EC09E99713E1}">
            <xm:f>AND(LEFT(PA!$F$13)="F",$AL$26=3,PA!$BU$5="X")</xm:f>
            <x14:dxf>
              <font>
                <color rgb="FF8E0000"/>
              </font>
              <fill>
                <patternFill>
                  <bgColor rgb="FFFECF82"/>
                </patternFill>
              </fill>
            </x14:dxf>
          </x14:cfRule>
          <x14:cfRule type="expression" priority="11698" id="{04CED68E-B40F-4A3C-BBE7-AC17E44623B0}">
            <xm:f>AND(LEFT(PA!$F$13)="F",$AL$26=2,PA!$BU$5="X")</xm:f>
            <x14:dxf>
              <font>
                <color rgb="FF8E0000"/>
              </font>
              <fill>
                <patternFill>
                  <bgColor theme="2"/>
                </patternFill>
              </fill>
            </x14:dxf>
          </x14:cfRule>
          <x14:cfRule type="expression" priority="11699" id="{DAE94B7D-E8D5-42BE-8C65-856358305D24}">
            <xm:f>AND(LEFT(PA!$F$13)="F",$AL$26=1,PA!$BU$5="X")</xm:f>
            <x14:dxf>
              <font>
                <color rgb="FF8E0000"/>
              </font>
              <fill>
                <patternFill>
                  <bgColor rgb="FFFBE93B"/>
                </patternFill>
              </fill>
            </x14:dxf>
          </x14:cfRule>
          <xm:sqref>AL26</xm:sqref>
        </x14:conditionalFormatting>
        <x14:conditionalFormatting xmlns:xm="http://schemas.microsoft.com/office/excel/2006/main">
          <x14:cfRule type="expression" priority="11701" id="{5E9AA572-243F-47A4-AD59-84449EB4935C}">
            <xm:f>AND(LEFT(PA!$F$13)="F",$AL$31=2,PA!$BU$5="X")</xm:f>
            <x14:dxf>
              <font>
                <color rgb="FF8E0000"/>
              </font>
              <fill>
                <patternFill>
                  <bgColor theme="2"/>
                </patternFill>
              </fill>
            </x14:dxf>
          </x14:cfRule>
          <x14:cfRule type="expression" priority="11702" id="{8A95F929-8837-4D24-BA04-E4B45DB9C624}">
            <xm:f>AND(LEFT(PA!$F$13)="F",$AL$31=1,PA!$BU$5="X")</xm:f>
            <x14:dxf>
              <font>
                <color rgb="FF8E0000"/>
              </font>
              <fill>
                <patternFill>
                  <bgColor rgb="FFFBE93B"/>
                </patternFill>
              </fill>
            </x14:dxf>
          </x14:cfRule>
          <x14:cfRule type="expression" priority="11700" id="{C4926346-26D2-49D4-B6B7-70D62D04734C}">
            <xm:f>AND(LEFT(PA!$F$13)="F",$AL$31=3,PA!$BU$5="X")</xm:f>
            <x14:dxf>
              <font>
                <color rgb="FF8E0000"/>
              </font>
              <fill>
                <patternFill>
                  <bgColor rgb="FFFECF82"/>
                </patternFill>
              </fill>
            </x14:dxf>
          </x14:cfRule>
          <xm:sqref>AL31</xm:sqref>
        </x14:conditionalFormatting>
        <x14:conditionalFormatting xmlns:xm="http://schemas.microsoft.com/office/excel/2006/main">
          <x14:cfRule type="expression" priority="11705" id="{AAB716FB-9F98-450C-888F-4DBE3DD534A5}">
            <xm:f>AND(LEFT(PA!$F$13)="F",$AL$36=1,PA!$BU$5="X")</xm:f>
            <x14:dxf>
              <font>
                <color rgb="FF8E0000"/>
              </font>
              <fill>
                <patternFill>
                  <bgColor rgb="FFFBE93B"/>
                </patternFill>
              </fill>
            </x14:dxf>
          </x14:cfRule>
          <x14:cfRule type="expression" priority="11704" id="{708D6783-F7BF-40B6-A900-EC6772BFD993}">
            <xm:f>AND(LEFT(PA!$F$13)="F",$AL$36=2,PA!$BU$5="X")</xm:f>
            <x14:dxf>
              <font>
                <color rgb="FF8E0000"/>
              </font>
              <fill>
                <patternFill>
                  <bgColor theme="2"/>
                </patternFill>
              </fill>
            </x14:dxf>
          </x14:cfRule>
          <x14:cfRule type="expression" priority="11703" id="{74C7492B-DABC-4EC4-8F9D-C858B8693502}">
            <xm:f>AND(LEFT(PA!$F$13)="F",$AL$36=3,PA!$BU$5="X")</xm:f>
            <x14:dxf>
              <font>
                <color rgb="FF8E0000"/>
              </font>
              <fill>
                <patternFill>
                  <bgColor rgb="FFFECF82"/>
                </patternFill>
              </fill>
            </x14:dxf>
          </x14:cfRule>
          <xm:sqref>AL36</xm:sqref>
        </x14:conditionalFormatting>
        <x14:conditionalFormatting xmlns:xm="http://schemas.microsoft.com/office/excel/2006/main">
          <x14:cfRule type="expression" priority="1034" id="{4BC19156-A103-4189-96E5-7BFDF77584DA}">
            <xm:f>LEFT(PA!$B$15)="3"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706" id="{3C2D8788-233B-406A-B8C8-254027E42926}">
            <xm:f>AND(LEFT(PA!$F$13)="P",PA!$AO$4&gt;1)</xm:f>
            <x14:dxf>
              <border>
                <bottom/>
                <vertical/>
                <horizontal/>
              </border>
            </x14:dxf>
          </x14:cfRule>
          <xm:sqref>AP10 AP12 AP15 AP17</xm:sqref>
        </x14:conditionalFormatting>
        <x14:conditionalFormatting xmlns:xm="http://schemas.microsoft.com/office/excel/2006/main">
          <x14:cfRule type="expression" priority="4" id="{62E6EC2B-9A1E-4F09-ADEF-A29EBFF0A0BA}">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710" id="{51A30C8B-316E-40CE-B9ED-520ABD9E822A}">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712" id="{FF22D52D-835E-4AF5-909F-0AE2D3AA128F}">
            <xm:f>AND(LEFT(PA!$F$13)="P",PA!$AO$4&gt;1)</xm:f>
            <x14:dxf>
              <border>
                <top/>
                <vertical/>
                <horizontal/>
              </border>
            </x14:dxf>
          </x14:cfRule>
          <xm:sqref>AP11 AP13 AP16 AP18</xm:sqref>
        </x14:conditionalFormatting>
        <x14:conditionalFormatting xmlns:xm="http://schemas.microsoft.com/office/excel/2006/main">
          <x14:cfRule type="expression" priority="11716" id="{9E12BFBD-388D-4892-BD81-E0CE5E469ECE}">
            <xm:f>AND(LEFT(PA!$F$13)="P",PA!$AO$4&gt;2)</xm:f>
            <x14:dxf>
              <border>
                <bottom/>
                <vertical/>
                <horizontal/>
              </border>
            </x14:dxf>
          </x14:cfRule>
          <xm:sqref>AP20 AP22</xm:sqref>
        </x14:conditionalFormatting>
        <x14:conditionalFormatting xmlns:xm="http://schemas.microsoft.com/office/excel/2006/main">
          <x14:cfRule type="expression" priority="11718" id="{DA5295A9-8246-41C9-B1EE-D3B9DC0A6F59}">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719" id="{D2901731-2BCC-495F-9286-23607FE22503}">
            <xm:f>AND(LEFT(PA!$F$13)="P",PA!$AO$4&gt;2)</xm:f>
            <x14:dxf>
              <border>
                <top/>
                <vertical/>
                <horizontal/>
              </border>
            </x14:dxf>
          </x14:cfRule>
          <xm:sqref>AP21 AP23</xm:sqref>
        </x14:conditionalFormatting>
        <x14:conditionalFormatting xmlns:xm="http://schemas.microsoft.com/office/excel/2006/main">
          <x14:cfRule type="expression" priority="11721" id="{BEB6F10E-90A3-438D-B2F1-629D16EBA957}">
            <xm:f>AND(LEFT(PA!$F$13)="P",PA!$AO$4&gt;2,COUNT(PA!$A$6:$A$11)&gt;3)</xm:f>
            <x14:dxf>
              <border>
                <bottom/>
                <vertical/>
                <horizontal/>
              </border>
            </x14:dxf>
          </x14:cfRule>
          <xm:sqref>AP25 AP27</xm:sqref>
        </x14:conditionalFormatting>
        <x14:conditionalFormatting xmlns:xm="http://schemas.microsoft.com/office/excel/2006/main">
          <x14:cfRule type="expression" priority="11723" id="{3D0367D6-8DC9-446D-AFD3-45D6CDF86131}">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724" id="{3B9E689B-A0C3-4985-AC97-9E17A5FC4A45}">
            <xm:f>AND(LEFT(PA!$F$13)="P",PA!$AO$4&gt;2,COUNT(PA!$A$6:$A$11)&gt;3)</xm:f>
            <x14:dxf>
              <border>
                <top/>
                <vertical/>
                <horizontal/>
              </border>
            </x14:dxf>
          </x14:cfRule>
          <xm:sqref>AP26 AP28</xm:sqref>
        </x14:conditionalFormatting>
        <x14:conditionalFormatting xmlns:xm="http://schemas.microsoft.com/office/excel/2006/main">
          <x14:cfRule type="expression" priority="11726" id="{E36EC852-B6C0-40D6-84C0-2EBE6BDFD59E}">
            <xm:f>AND(LEFT(PA!$F$13)="P",PA!$AO$4&gt;2,COUNT(PA!$A$6:$A$11)&gt;4)</xm:f>
            <x14:dxf>
              <border>
                <bottom/>
                <vertical/>
                <horizontal/>
              </border>
            </x14:dxf>
          </x14:cfRule>
          <xm:sqref>AP30 AP32</xm:sqref>
        </x14:conditionalFormatting>
        <x14:conditionalFormatting xmlns:xm="http://schemas.microsoft.com/office/excel/2006/main">
          <x14:cfRule type="expression" priority="11728" id="{1C296D4A-7C67-447F-B7F8-D396FCCE8815}">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729" id="{4FAF7C30-0C0F-480B-A51E-116E45F06EE7}">
            <xm:f>AND(LEFT(PA!$F$13)="P",PA!$AO$4&gt;2,COUNT(PA!$A$6:$A$11)&gt;4)</xm:f>
            <x14:dxf>
              <border>
                <top/>
                <vertical/>
                <horizontal/>
              </border>
            </x14:dxf>
          </x14:cfRule>
          <xm:sqref>AP31 AP33</xm:sqref>
        </x14:conditionalFormatting>
        <x14:conditionalFormatting xmlns:xm="http://schemas.microsoft.com/office/excel/2006/main">
          <x14:cfRule type="expression" priority="11731" id="{F42CF486-5162-4697-A2C5-ADC1C5207358}">
            <xm:f>AND(LEFT(PA!$F$13)="P",PA!$AO$4&gt;2,COUNT(PA!$A$6:$A$11)&gt;5)</xm:f>
            <x14:dxf>
              <border>
                <bottom/>
                <vertical/>
                <horizontal/>
              </border>
            </x14:dxf>
          </x14:cfRule>
          <xm:sqref>AP35 AP37</xm:sqref>
        </x14:conditionalFormatting>
        <x14:conditionalFormatting xmlns:xm="http://schemas.microsoft.com/office/excel/2006/main">
          <x14:cfRule type="expression" priority="11733" id="{DAB25B95-B972-4AAF-8DF2-E80B73C19B3D}">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734" id="{7B4DE16F-B0A8-4A9F-9D0A-54DF8656EE2C}">
            <xm:f>AND(LEFT(PA!$F$13)="P",PA!$AO$4&gt;2,COUNT(PA!$A$6:$A$11)&gt;5)</xm:f>
            <x14:dxf>
              <border>
                <top/>
                <vertical/>
                <horizontal/>
              </border>
            </x14:dxf>
          </x14:cfRule>
          <xm:sqref>AP36 AP38</xm:sqref>
        </x14:conditionalFormatting>
        <x14:conditionalFormatting xmlns:xm="http://schemas.microsoft.com/office/excel/2006/main">
          <x14:cfRule type="expression" priority="11736" id="{C1C90733-7631-4CAB-A2A4-3B97C25AC00C}">
            <xm:f>AND(LEFT(PA!$F$13)="P",PA!$AO$4&gt;1)</xm:f>
            <x14:dxf>
              <fill>
                <patternFill>
                  <bgColor theme="1"/>
                </patternFill>
              </fill>
            </x14:dxf>
          </x14:cfRule>
          <xm:sqref>AP9:AQ9 AQ10:AQ19 AP14 AP19</xm:sqref>
        </x14:conditionalFormatting>
        <x14:conditionalFormatting xmlns:xm="http://schemas.microsoft.com/office/excel/2006/main">
          <x14:cfRule type="expression" priority="11740" id="{50E871F7-B31E-4F48-ACA8-82C7AD4BAAFD}">
            <xm:f>AND(LEFT(PA!$F$13)="P",PA!$AO$4&gt;2)</xm:f>
            <x14:dxf>
              <fill>
                <patternFill>
                  <bgColor theme="1"/>
                </patternFill>
              </fill>
            </x14:dxf>
          </x14:cfRule>
          <xm:sqref>AQ20:AQ23 AP24:AQ24</xm:sqref>
        </x14:conditionalFormatting>
        <x14:conditionalFormatting xmlns:xm="http://schemas.microsoft.com/office/excel/2006/main">
          <x14:cfRule type="expression" priority="11742" id="{50C2A723-BCBF-41FC-98FB-6D181AF75172}">
            <xm:f>AND(LEFT(PA!$F$13)="P",PA!$AO$4&gt;2,COUNT(PA!$A$6:$A$11)&gt;3)</xm:f>
            <x14:dxf>
              <fill>
                <patternFill>
                  <bgColor theme="1"/>
                </patternFill>
              </fill>
            </x14:dxf>
          </x14:cfRule>
          <xm:sqref>AQ25:AQ28 AP29:AQ29</xm:sqref>
        </x14:conditionalFormatting>
        <x14:conditionalFormatting xmlns:xm="http://schemas.microsoft.com/office/excel/2006/main">
          <x14:cfRule type="expression" priority="11744" id="{A32D2B41-3F61-4E80-8B8D-F1D41BF66D12}">
            <xm:f>AND(LEFT(PA!$F$13)="P",PA!$AO$4&gt;2,COUNT(PA!$A$6:$A$11)&gt;4)</xm:f>
            <x14:dxf>
              <fill>
                <patternFill>
                  <bgColor theme="1"/>
                </patternFill>
              </fill>
            </x14:dxf>
          </x14:cfRule>
          <xm:sqref>AQ30:AQ33 AP34:AQ34</xm:sqref>
        </x14:conditionalFormatting>
        <x14:conditionalFormatting xmlns:xm="http://schemas.microsoft.com/office/excel/2006/main">
          <x14:cfRule type="expression" priority="11746" id="{8375DEDE-1443-4E33-9216-81C402F2AA7D}">
            <xm:f>AND(LEFT(PA!$F$13)="P",PA!$AO$4&gt;2,COUNT(PA!$A$6:$A$11)&gt;5)</xm:f>
            <x14:dxf>
              <fill>
                <patternFill>
                  <bgColor theme="1"/>
                </patternFill>
              </fill>
            </x14:dxf>
          </x14:cfRule>
          <xm:sqref>AQ35:AQ38 AP39:AQ39</xm:sqref>
        </x14:conditionalFormatting>
        <x14:conditionalFormatting xmlns:xm="http://schemas.microsoft.com/office/excel/2006/main">
          <x14:cfRule type="expression" priority="17" id="{A581F6EF-126B-4BDA-9ED0-5C4F11040439}">
            <xm:f>'GESTION DES JOUEURS'!$T$8&lt;2</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16" id="{10CA34D8-A45A-4891-BEA3-4AEAF50FC20D}">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15" id="{2D7822C4-B4A8-439C-8407-89549F1D12A6}">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14" id="{5738D294-095B-401A-A13D-5CADD52206AF}">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13" id="{ECC34CFF-A9E2-4C41-ABCB-BE9EDF73F665}">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12" id="{E6153C94-E6A9-452C-988D-6091534AF8C9}">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11" id="{FAD74006-5E08-4A83-A61F-28934B9C8854}">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10" id="{41688E57-2558-4222-89F7-78F5B346FBDE}">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9" id="{D32942EC-C3ED-4D36-9026-DD2617112EEB}">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18" id="{5CDA816D-B053-4449-BF6A-65732B809F03}">
            <xm:f>'GESTION DES JOUEURS'!$D$8="Finale"</xm:f>
            <x14:dxf>
              <font>
                <color theme="0" tint="-0.24994659260841701"/>
              </font>
              <fill>
                <patternFill>
                  <bgColor theme="0" tint="-0.24994659260841701"/>
                </patternFill>
              </fill>
            </x14:dxf>
          </x14:cfRule>
          <xm:sqref>AV2:AV3 AS12:AS13 AS15 AZ17 AS17:AS18 AS20:AS23 AS25:AS28 AS30:AS33 AS35:AS38</xm:sqref>
        </x14:conditionalFormatting>
        <x14:conditionalFormatting xmlns:xm="http://schemas.microsoft.com/office/excel/2006/main">
          <x14:cfRule type="expression" priority="6" id="{227E4694-DAD6-46D8-AD4F-1D5F006FABA1}">
            <xm:f>'GESTION DES JOUEURS'!$T$8=1</xm:f>
            <x14:dxf>
              <font>
                <color theme="0" tint="-0.24994659260841701"/>
              </font>
              <fill>
                <patternFill>
                  <bgColor theme="0" tint="-0.24994659260841701"/>
                </patternFill>
              </fill>
            </x14:dxf>
          </x14:cfRule>
          <xm:sqref>AV2:AV3 AZ17</xm:sqref>
        </x14:conditionalFormatting>
        <x14:conditionalFormatting xmlns:xm="http://schemas.microsoft.com/office/excel/2006/main">
          <x14:cfRule type="expression" priority="8" id="{FC046209-4448-4763-BD42-BAC8706B8F71}">
            <xm:f>OR('GESTION DES JOUEURS'!$D$8="poules",'GESTION DES JOUEURS'!$D$8="Finale")</xm:f>
            <x14:dxf>
              <font>
                <color theme="0" tint="-0.24994659260841701"/>
              </font>
              <fill>
                <patternFill>
                  <fgColor auto="1"/>
                  <bgColor theme="0" tint="-0.24994659260841701"/>
                </patternFill>
              </fill>
            </x14:dxf>
          </x14:cfRule>
          <xm:sqref>AV2:AV3</xm:sqref>
        </x14:conditionalFormatting>
        <x14:conditionalFormatting xmlns:xm="http://schemas.microsoft.com/office/excel/2006/main">
          <x14:cfRule type="expression" priority="3" id="{86E3BF54-A5D6-4443-B751-A7D6C3F47D08}">
            <xm:f>OR('GESTION DES JOUEURS'!$D$8="Poules",'GESTION DES JOUEURS'!$D$8="Finale",'GESTION DES JOUEURS'!$D$8="Tournoi")</xm:f>
            <x14:dxf>
              <font>
                <color theme="0" tint="-0.24994659260841701"/>
              </font>
              <fill>
                <patternFill>
                  <bgColor theme="0" tint="-0.24994659260841701"/>
                </patternFill>
              </fill>
            </x14:dxf>
          </x14:cfRule>
          <x14:cfRule type="expression" priority="1" id="{282BC405-648C-4685-86A3-B492BB67A97B}">
            <xm:f>'GESTION DES JOUEURS'!$T$8=1</xm:f>
            <x14:dxf>
              <font>
                <color theme="0" tint="-0.24994659260841701"/>
              </font>
              <fill>
                <patternFill>
                  <bgColor theme="0" tint="-0.24994659260841701"/>
                </patternFill>
              </fill>
            </x14:dxf>
          </x14:cfRule>
          <x14:cfRule type="expression" priority="2" id="{98E2633F-B914-478E-B8E6-03DB9B4FCDD1}">
            <xm:f>'GESTION DES JOUEURS'!$D$8="Finale"</xm:f>
            <x14:dxf>
              <font>
                <color theme="0" tint="-0.24994659260841701"/>
              </font>
              <fill>
                <patternFill>
                  <bgColor theme="0" tint="-0.24994659260841701"/>
                </patternFill>
              </fill>
            </x14:dxf>
          </x14:cfRule>
          <xm:sqref>AV5:AV6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A1B8-03C2-4A9C-928A-9978E764030C}">
  <sheetPr>
    <tabColor rgb="FFF8F200"/>
    <pageSetUpPr fitToPage="1"/>
  </sheetPr>
  <dimension ref="A1:FE51"/>
  <sheetViews>
    <sheetView tabSelected="1" topLeftCell="A2" zoomScale="70" zoomScaleNormal="70" workbookViewId="0">
      <selection activeCell="AH20" sqref="A1:AI20"/>
    </sheetView>
  </sheetViews>
  <sheetFormatPr baseColWidth="10" defaultColWidth="7.42578125" defaultRowHeight="14.45" customHeight="1" x14ac:dyDescent="0.25"/>
  <cols>
    <col min="1" max="1" width="7.42578125" style="244"/>
    <col min="2" max="2" width="22.140625" style="244" customWidth="1"/>
    <col min="3" max="3" width="7.42578125" style="244" customWidth="1"/>
    <col min="4" max="6" width="7.42578125" style="244"/>
    <col min="7" max="7" width="7.42578125" style="244" customWidth="1"/>
    <col min="8" max="13" width="7.42578125" style="244"/>
    <col min="14" max="14" width="7.42578125" style="244" customWidth="1"/>
    <col min="15" max="22" width="7.42578125" style="244"/>
    <col min="23" max="23" width="5" style="244" customWidth="1"/>
    <col min="24" max="24" width="14.42578125" style="244" customWidth="1"/>
    <col min="25" max="25" width="12.42578125" style="244" customWidth="1"/>
    <col min="26" max="26" width="10.85546875" style="244" customWidth="1"/>
    <col min="27" max="27" width="10.28515625" style="244" customWidth="1"/>
    <col min="28" max="28" width="15" style="244" bestFit="1" customWidth="1"/>
    <col min="29" max="29" width="7.42578125" style="244"/>
    <col min="30" max="30" width="13.42578125" style="244" customWidth="1"/>
    <col min="31" max="31" width="12.5703125" style="244" customWidth="1"/>
    <col min="32" max="32" width="9" style="244" customWidth="1"/>
    <col min="33" max="33" width="10.7109375" style="244" customWidth="1"/>
    <col min="34" max="34" width="14.42578125" style="244" customWidth="1"/>
    <col min="35" max="35" width="6.5703125" style="244" customWidth="1"/>
    <col min="36" max="36" width="1.7109375" style="244" customWidth="1"/>
    <col min="37" max="37" width="17.5703125" style="244" customWidth="1"/>
    <col min="38" max="38" width="10.85546875" style="244" hidden="1" customWidth="1"/>
    <col min="39" max="39" width="2" style="244" customWidth="1"/>
    <col min="40" max="49" width="7.42578125" style="244" hidden="1" customWidth="1"/>
    <col min="50" max="50" width="7.5703125" style="244" hidden="1" customWidth="1"/>
    <col min="51" max="73" width="7.42578125" style="244" hidden="1" customWidth="1"/>
    <col min="74" max="74" width="8.140625" style="244" hidden="1" customWidth="1"/>
    <col min="75" max="75" width="8.28515625" style="244" hidden="1" customWidth="1"/>
    <col min="76" max="76" width="8.5703125" style="244" hidden="1" customWidth="1"/>
    <col min="77" max="77" width="16.28515625" style="244" hidden="1" customWidth="1"/>
    <col min="78" max="78" width="10.42578125" style="244" hidden="1" customWidth="1"/>
    <col min="79" max="79" width="38.140625" style="244" hidden="1" customWidth="1"/>
    <col min="80" max="81" width="11.85546875" style="244" hidden="1" customWidth="1"/>
    <col min="82" max="82" width="3.42578125" style="244" hidden="1" customWidth="1"/>
    <col min="83" max="83" width="4.5703125" style="244" hidden="1" customWidth="1"/>
    <col min="84" max="84" width="4" style="244" hidden="1" customWidth="1"/>
    <col min="85" max="85" width="7.85546875" style="244" hidden="1" customWidth="1"/>
    <col min="86" max="86" width="3.5703125" style="244" hidden="1" customWidth="1"/>
    <col min="87" max="89" width="7.42578125" style="244" hidden="1" customWidth="1"/>
    <col min="90" max="91" width="10" style="244" hidden="1" customWidth="1"/>
    <col min="92" max="111" width="7.42578125" style="244" hidden="1" customWidth="1"/>
    <col min="112" max="112" width="11" style="244" hidden="1" customWidth="1"/>
    <col min="113" max="113" width="11.28515625" style="244" hidden="1" customWidth="1"/>
    <col min="114" max="114" width="7.7109375" style="244" hidden="1" customWidth="1"/>
    <col min="115" max="115" width="7.85546875" style="244" hidden="1" customWidth="1"/>
    <col min="116" max="116" width="15.140625" style="244" hidden="1" customWidth="1"/>
    <col min="117" max="117" width="4.7109375" style="244" hidden="1" customWidth="1"/>
    <col min="118" max="119" width="5" style="244" hidden="1" customWidth="1"/>
    <col min="120" max="120" width="11.85546875" style="244" hidden="1" customWidth="1"/>
    <col min="121" max="121" width="8.28515625" style="244" hidden="1" customWidth="1"/>
    <col min="122" max="122" width="9.5703125" style="244" hidden="1" customWidth="1"/>
    <col min="123" max="123" width="9.140625" style="244" hidden="1" customWidth="1"/>
    <col min="124" max="124" width="7.42578125" style="244" hidden="1" customWidth="1"/>
    <col min="125" max="136" width="0" style="244" hidden="1" customWidth="1"/>
    <col min="137" max="137" width="8.85546875" style="244" hidden="1" customWidth="1"/>
    <col min="138" max="161" width="0" style="244" hidden="1" customWidth="1"/>
    <col min="162" max="16384" width="7.42578125" style="244"/>
  </cols>
  <sheetData>
    <row r="1" spans="1:161" ht="14.45" customHeight="1" thickTop="1" x14ac:dyDescent="0.25">
      <c r="A1" s="855" t="s">
        <v>7073</v>
      </c>
      <c r="B1" s="856"/>
      <c r="C1" s="856"/>
      <c r="D1" s="856"/>
      <c r="E1" s="856"/>
      <c r="F1" s="857" t="str">
        <f ca="1">IF(PL!F13="FINALE","District 93-94"&amp;" - "&amp;IF(MONTH(AL5)&gt;8,YEAR(AL5)&amp;"/"&amp;YEAR(AL5)+1,YEAR(AL5)-1&amp;"/"&amp;YEAR(AL5))&amp;CHAR(10)&amp;PL!F13&amp;CHAR(10)&amp;PL!B15&amp;AL2,"District 93-94"&amp;" - "&amp;IF(MONTH(AL5)&gt;8,YEAR(AL5)&amp;"/"&amp;YEAR(AL5)+1,YEAR(AL5)-1&amp;"/"&amp;YEAR(AL5))&amp;CHAR(10)&amp;'GESTION DES JOUEURS'!C2&amp;CHAR(10)&amp;"RESULTATS")</f>
        <v>District 93-94 - 2024/2025
Journée 3 -  Libre R2
RESULTATS</v>
      </c>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row>
    <row r="2" spans="1:161" ht="98.1" customHeight="1" thickBot="1" x14ac:dyDescent="0.3">
      <c r="A2" s="866" t="str">
        <f>IF(PL!M14="","",PL!M14)</f>
        <v>9031 - ACADEMIE DE BILLARD DE MAISONS ALFORT</v>
      </c>
      <c r="B2" s="867"/>
      <c r="C2" s="867"/>
      <c r="D2" s="867"/>
      <c r="E2" s="867"/>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K2" s="371" t="e" vm="1">
        <v>#VALUE!</v>
      </c>
      <c r="AL2" s="244" t="str">
        <f>IF(LEFT(PA!$B$15)="C","   -   "&amp;_xlfn.XLOOKUP(PA!B15,Distances!D2:D77,Distances!K2:K77,"",0,1),"")</f>
        <v/>
      </c>
      <c r="CM2" s="244">
        <f>LOOKUP(CL8,AX5:AX12,AW5:AW12)</f>
        <v>8</v>
      </c>
    </row>
    <row r="3" spans="1:161" ht="19.5" customHeight="1" thickBot="1" x14ac:dyDescent="0.3">
      <c r="A3" s="868" t="str">
        <f>IF('GESTION DES JOUEURS'!$F$6="","","Directeur de jeu : "&amp;PL!S13)</f>
        <v>Directeur de jeu : LEMONIER THIERY</v>
      </c>
      <c r="B3" s="869"/>
      <c r="C3" s="869"/>
      <c r="D3" s="869"/>
      <c r="E3" s="86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W3" s="444"/>
      <c r="AX3" s="35" t="s">
        <v>27</v>
      </c>
      <c r="AY3" s="1081" t="s">
        <v>28</v>
      </c>
      <c r="AZ3" s="1081"/>
      <c r="BA3" s="1081" t="s">
        <v>29</v>
      </c>
      <c r="BB3" s="1081"/>
      <c r="BC3" s="1081"/>
      <c r="BD3" s="761" t="s">
        <v>30</v>
      </c>
      <c r="BE3" s="1142"/>
      <c r="BF3" s="1142"/>
      <c r="BG3" s="1142"/>
      <c r="BH3" s="762"/>
      <c r="BI3" s="404" t="s">
        <v>14</v>
      </c>
      <c r="BJ3" s="35" t="s">
        <v>20</v>
      </c>
      <c r="BK3" s="35" t="s">
        <v>19</v>
      </c>
      <c r="BL3" s="100" t="s">
        <v>17</v>
      </c>
      <c r="BM3" s="408" t="s">
        <v>5451</v>
      </c>
      <c r="BN3" s="404" t="s">
        <v>5527</v>
      </c>
      <c r="BO3" s="243" t="s">
        <v>9866</v>
      </c>
      <c r="BV3" s="506" t="s">
        <v>10275</v>
      </c>
      <c r="BW3" s="506" t="s">
        <v>10274</v>
      </c>
      <c r="BX3" s="506" t="s">
        <v>21</v>
      </c>
      <c r="BY3" s="506" t="s">
        <v>8</v>
      </c>
      <c r="BZ3" s="506" t="s">
        <v>9</v>
      </c>
      <c r="CA3" s="506" t="s">
        <v>10</v>
      </c>
      <c r="CB3" s="506" t="s">
        <v>20</v>
      </c>
      <c r="CC3" s="506" t="s">
        <v>5521</v>
      </c>
      <c r="CD3" s="506" t="s">
        <v>17</v>
      </c>
      <c r="CE3" s="506" t="s">
        <v>10272</v>
      </c>
      <c r="CF3" s="506" t="s">
        <v>10271</v>
      </c>
      <c r="CG3" s="506" t="s">
        <v>10273</v>
      </c>
      <c r="CH3" s="506" t="s">
        <v>14</v>
      </c>
    </row>
    <row r="4" spans="1:161" ht="6"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K4" s="809" t="s">
        <v>8128</v>
      </c>
      <c r="BV4" s="506"/>
      <c r="BW4" s="506"/>
      <c r="BX4" s="506"/>
      <c r="BY4" s="506"/>
      <c r="BZ4" s="506"/>
      <c r="CA4" s="506"/>
      <c r="CB4" s="506"/>
      <c r="CC4" s="506"/>
      <c r="CD4" s="506"/>
      <c r="CE4" s="506"/>
      <c r="CF4" s="506"/>
      <c r="CG4" s="506"/>
      <c r="CH4" s="506"/>
    </row>
    <row r="5" spans="1:161" ht="42.6" customHeight="1" thickTop="1" thickBot="1" x14ac:dyDescent="0.3">
      <c r="A5" s="1173" t="str">
        <f>"Mode de jeu : "&amp;_xlfn.XLOOKUP(PL!B15,Distances!D2:D77,Distances!A2:A77,"",0,1)&amp;AL2</f>
        <v>Mode de jeu : Libre</v>
      </c>
      <c r="B5" s="1174"/>
      <c r="C5" s="1174"/>
      <c r="D5" s="1173" t="str">
        <f>"Catégorie : "&amp;_xlfn.XLOOKUP(PL!B15,Distances!D2:D77,Distances!B2:B77,"",0,1)</f>
        <v>Catégorie : R2</v>
      </c>
      <c r="E5" s="1174"/>
      <c r="F5" s="1174"/>
      <c r="G5" s="1174"/>
      <c r="H5" s="1174"/>
      <c r="I5" s="1174"/>
      <c r="J5" s="1174"/>
      <c r="K5" s="1175"/>
      <c r="L5" s="1176" t="str">
        <f>IF(D5="Catégorie : N1/N2","Distance réduite : 150 pts"&amp;CHAR(10)&amp;"si N2 Vs N2 120pts",PL!B14&amp;" "&amp;PL!E14&amp;" "&amp;PL!F14)</f>
        <v>Distance : 100 Pts</v>
      </c>
      <c r="M5" s="1177"/>
      <c r="N5" s="1177"/>
      <c r="O5" s="1177"/>
      <c r="P5" s="1177"/>
      <c r="Q5" s="1177"/>
      <c r="R5" s="1178"/>
      <c r="S5" s="1176" t="str">
        <f>IFERROR(IF(D5="Catégorie : N1/N2","Reprises : 15"&amp;CHAR(10)&amp;"si N2 Vs N2 Reprises : 20 ",PL!G14&amp;" "&amp;PL!J14),"")</f>
        <v>Reprises : 40</v>
      </c>
      <c r="T5" s="1177"/>
      <c r="U5" s="1177"/>
      <c r="V5" s="1177"/>
      <c r="W5" s="1177"/>
      <c r="X5" s="1177"/>
      <c r="Y5" s="1177"/>
      <c r="Z5" s="1179" t="str">
        <f>_xlfn.XLOOKUP(PL!B15,Distances!D2:D77,Distances!J2:J77,"",0,1)&amp;" "&amp;_xlfn.XLOOKUP(PL!B15,Distances!D2:D77,Distances!I2:I77,"",0,1)&amp;"0 m"</f>
        <v>PC 2,80 m</v>
      </c>
      <c r="AA5" s="1180"/>
      <c r="AB5" s="1180"/>
      <c r="AC5" s="1180"/>
      <c r="AD5" s="1185">
        <f>IF(PL!T14=0,"DATE",PL!T14)</f>
        <v>45633</v>
      </c>
      <c r="AE5" s="1186"/>
      <c r="AF5" s="1186"/>
      <c r="AG5" s="1186"/>
      <c r="AH5" s="1186"/>
      <c r="AI5" s="1186"/>
      <c r="AK5" s="810"/>
      <c r="AL5" s="244">
        <f ca="1">IF(PA!T14&gt;1,AD5,TODAY())</f>
        <v>45633</v>
      </c>
      <c r="AV5" s="1219" t="s">
        <v>10270</v>
      </c>
      <c r="AW5" s="507">
        <f>'Phase finale'!B38</f>
        <v>1</v>
      </c>
      <c r="AX5" s="507" t="str">
        <f>'Phase finale'!C38</f>
        <v/>
      </c>
      <c r="AY5" s="507" t="str">
        <f>'Phase finale'!D38</f>
        <v/>
      </c>
      <c r="AZ5" s="507">
        <f>'Phase finale'!E38</f>
        <v>0</v>
      </c>
      <c r="BA5" s="507" t="str">
        <f>'Phase finale'!F38</f>
        <v/>
      </c>
      <c r="BB5" s="507">
        <f>'Phase finale'!G38</f>
        <v>0</v>
      </c>
      <c r="BC5" s="507">
        <f>'Phase finale'!H38</f>
        <v>0</v>
      </c>
      <c r="BD5" s="507" t="str">
        <f>'Phase finale'!I38</f>
        <v/>
      </c>
      <c r="BE5" s="507">
        <f>'Phase finale'!J38</f>
        <v>0</v>
      </c>
      <c r="BF5" s="507">
        <f>'Phase finale'!K38</f>
        <v>0</v>
      </c>
      <c r="BG5" s="507">
        <f>'Phase finale'!L38</f>
        <v>0</v>
      </c>
      <c r="BH5" s="507" t="str">
        <f>'Phase finale'!M38</f>
        <v/>
      </c>
      <c r="BI5" s="539" t="str">
        <f>'Phase finale'!N38</f>
        <v/>
      </c>
      <c r="BJ5" s="507" t="str">
        <f>'Phase finale'!O38</f>
        <v/>
      </c>
      <c r="BK5" s="507" t="str">
        <f>'Phase finale'!P38</f>
        <v/>
      </c>
      <c r="BL5" s="507" t="str">
        <f>'Phase finale'!Q38</f>
        <v/>
      </c>
      <c r="BM5" s="507" t="str">
        <f>'Phase finale'!R38</f>
        <v/>
      </c>
      <c r="BN5" s="507" t="str">
        <f>'Phase finale'!S38</f>
        <v/>
      </c>
      <c r="BO5" s="507" t="str">
        <f>'Phase finale'!T38</f>
        <v/>
      </c>
      <c r="BV5" s="506">
        <f t="shared" ref="BV5:BV12" si="0">AW5</f>
        <v>1</v>
      </c>
      <c r="BW5" s="506"/>
      <c r="BX5" s="506" t="b">
        <f>IF(AX5="",'Phase finale'!DX7,AX5)</f>
        <v>0</v>
      </c>
      <c r="BY5" s="506" t="str">
        <f>IF(AY5="","",_xlfn.XLOOKUP(BX5,$AX$13:$AX$48,$AY$13:$AY$48,"",0,1))</f>
        <v/>
      </c>
      <c r="BZ5" s="506" t="str">
        <f>BA5</f>
        <v/>
      </c>
      <c r="CA5" s="506" t="str">
        <f>BD5</f>
        <v/>
      </c>
      <c r="CB5" s="506" t="str">
        <f>BJ5</f>
        <v/>
      </c>
      <c r="CC5" s="506" t="str">
        <f>IF(AY5=0,"",_xlfn.XLOOKUP(BX5,$AX$5:$AX$12,$BK$5:$BK$12,"",0,1))</f>
        <v/>
      </c>
      <c r="CD5" s="506" t="e">
        <f t="shared" ref="CD5:CD12" si="1">MAX(BL5,_xlfn.XLOOKUP(BX7,$AX$13:$AX$48,$BL$13:$BL$48,"",0,1))</f>
        <v>#VALUE!</v>
      </c>
      <c r="CE5" s="506" t="str">
        <f>BN5</f>
        <v/>
      </c>
      <c r="CF5" s="506" t="str">
        <f>BO5</f>
        <v/>
      </c>
      <c r="CG5" s="506">
        <f>IFERROR(CE5+CF5,0)</f>
        <v>0</v>
      </c>
      <c r="CH5" s="540" t="str">
        <f>BI5</f>
        <v/>
      </c>
      <c r="CI5" s="244">
        <f>IF(BX5="",37,IF(BX5='Phase finale'!$C$38,1,IF(BX5='Phase finale'!$C$39,2,IF(BX5='Phase finale'!$C$40,3,IF(BX5='Phase finale'!$C$41,4,IF(BX5='Phase finale'!$C$42,5,IF(BX5='Phase finale'!$C$43,6,IF(BX5='Phase finale'!$C$44,7,IF(BX5='Phase finale'!$C$45,8,IF(OR(BX5='Phase finale'!F11,BX5='Phase finale'!$F$10,BX5='Phase finale'!$V$11,BX5='Phase finale'!$V$10),3,IF(OR(BX5='Phase finale'!F12,BX5='Phase finale'!F13,BX5='Phase finale'!F14,BX5='Phase finale'!F15,BX5='Phase finale'!V12,BX5='Phase finale'!V13,BX5='Phase finale'!V14,BX5='Phase finale'!V15),5,IF(_xlfn.XLOOKUP(BX5,Tableau19[Licence],Tableau19[Forfait],"",0,1)=TRUE,36,9))))))))))))</f>
        <v>9</v>
      </c>
      <c r="DU5" s="1075" t="s">
        <v>11536</v>
      </c>
      <c r="DV5" s="1075"/>
      <c r="DW5" s="1075"/>
      <c r="DX5" s="1075"/>
      <c r="DY5" s="1075"/>
      <c r="DZ5" s="1075"/>
      <c r="EA5" s="1075"/>
      <c r="EB5" s="1075"/>
      <c r="EC5" s="1075"/>
      <c r="ED5" s="1075"/>
      <c r="EE5" s="1075"/>
      <c r="EF5" s="1075"/>
      <c r="EG5" s="1075"/>
      <c r="EH5" s="1075"/>
      <c r="EI5" s="1075"/>
      <c r="EJ5" s="1075"/>
      <c r="EK5" s="1075"/>
      <c r="EL5" s="1075"/>
      <c r="EM5" s="1075"/>
      <c r="EN5" s="1075"/>
      <c r="EO5" s="1075"/>
      <c r="EP5" s="1075"/>
      <c r="EQ5" s="1075"/>
      <c r="ER5" s="1075"/>
      <c r="ES5" s="1075"/>
      <c r="ET5" s="1075"/>
      <c r="EU5" s="1075"/>
      <c r="EV5" s="1075"/>
      <c r="EW5" s="1075"/>
      <c r="EX5" s="1075"/>
      <c r="EY5" s="1075"/>
      <c r="EZ5" s="1075"/>
      <c r="FA5" s="1075"/>
      <c r="FB5" s="1075"/>
      <c r="FC5" s="1075"/>
      <c r="FD5" s="1075"/>
      <c r="FE5" s="1075"/>
    </row>
    <row r="6" spans="1:161" ht="14.45" customHeight="1" thickTop="1" thickBot="1" x14ac:dyDescent="0.3">
      <c r="A6" s="445"/>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6"/>
      <c r="AD6" s="446"/>
      <c r="AE6" s="446"/>
      <c r="AF6" s="446"/>
      <c r="AG6" s="446"/>
      <c r="AH6" s="446"/>
      <c r="AI6" s="446"/>
      <c r="AV6" s="1219"/>
      <c r="AW6" s="507">
        <f>'Phase finale'!B39</f>
        <v>2</v>
      </c>
      <c r="AX6" s="507" t="str">
        <f>'Phase finale'!C39</f>
        <v/>
      </c>
      <c r="AY6" s="507" t="str">
        <f>'Phase finale'!D39</f>
        <v/>
      </c>
      <c r="AZ6" s="507">
        <f>'Phase finale'!E39</f>
        <v>0</v>
      </c>
      <c r="BA6" s="507" t="str">
        <f>'Phase finale'!F39</f>
        <v/>
      </c>
      <c r="BB6" s="507">
        <f>'Phase finale'!G39</f>
        <v>0</v>
      </c>
      <c r="BC6" s="507">
        <f>'Phase finale'!H39</f>
        <v>0</v>
      </c>
      <c r="BD6" s="507" t="str">
        <f>'Phase finale'!I39</f>
        <v/>
      </c>
      <c r="BE6" s="507">
        <f>'Phase finale'!J39</f>
        <v>0</v>
      </c>
      <c r="BF6" s="507">
        <f>'Phase finale'!K39</f>
        <v>0</v>
      </c>
      <c r="BG6" s="507">
        <f>'Phase finale'!L39</f>
        <v>0</v>
      </c>
      <c r="BH6" s="507" t="str">
        <f>'Phase finale'!M39</f>
        <v/>
      </c>
      <c r="BI6" s="539" t="str">
        <f>'Phase finale'!N39</f>
        <v/>
      </c>
      <c r="BJ6" s="507" t="str">
        <f>'Phase finale'!O39</f>
        <v/>
      </c>
      <c r="BK6" s="507" t="str">
        <f>'Phase finale'!P39</f>
        <v/>
      </c>
      <c r="BL6" s="507" t="str">
        <f>'Phase finale'!Q39</f>
        <v/>
      </c>
      <c r="BM6" s="507" t="str">
        <f>'Phase finale'!R39</f>
        <v/>
      </c>
      <c r="BN6" s="507" t="str">
        <f>'Phase finale'!S39</f>
        <v/>
      </c>
      <c r="BO6" s="507" t="str">
        <f>'Phase finale'!T39</f>
        <v/>
      </c>
      <c r="BV6" s="506">
        <f t="shared" si="0"/>
        <v>2</v>
      </c>
      <c r="BW6" s="506"/>
      <c r="BX6" s="506">
        <f>IF(AX6="",'Phase finale'!DX8,AX6)</f>
        <v>0</v>
      </c>
      <c r="BY6" s="506" t="str">
        <f>IF(AY6="","",_xlfn.XLOOKUP(BX6,$AX$13:$AX$48,$AY$13:$AY$48,"",0,1))</f>
        <v/>
      </c>
      <c r="BZ6" s="506" t="str">
        <f>BA6</f>
        <v/>
      </c>
      <c r="CA6" s="506" t="str">
        <f>BD6</f>
        <v/>
      </c>
      <c r="CB6" s="506" t="str">
        <f>BJ6</f>
        <v/>
      </c>
      <c r="CC6" s="506" t="str">
        <f t="shared" ref="CC6:CC12" si="2">IF(AY6=0,"",_xlfn.XLOOKUP(BX6,$AX$5:$AX$12,$BK$5:$BK$12,"",0,1))</f>
        <v/>
      </c>
      <c r="CD6" s="506" t="e">
        <f t="shared" si="1"/>
        <v>#VALUE!</v>
      </c>
      <c r="CE6" s="506" t="str">
        <f t="shared" ref="CE6:CE48" si="3">BN6</f>
        <v/>
      </c>
      <c r="CF6" s="506" t="str">
        <f t="shared" ref="CF6:CF48" si="4">BO6</f>
        <v/>
      </c>
      <c r="CG6" s="506">
        <f t="shared" ref="CG6:CG48" si="5">IFERROR(CE6+CF6,0)</f>
        <v>0</v>
      </c>
      <c r="CH6" s="540" t="str">
        <f t="shared" ref="CH6:CH12" si="6">BI6</f>
        <v/>
      </c>
      <c r="CI6" s="244">
        <f>IF(BX6="",37,IF(BX6='Phase finale'!$C$38,1,IF(BX6='Phase finale'!$C$39,2,IF(BX6='Phase finale'!$C$40,3,IF(BX6='Phase finale'!$C$41,4,IF(BX6='Phase finale'!$C$42,5,IF(BX6='Phase finale'!$C$43,6,IF(BX6='Phase finale'!$C$44,7,IF(BX6='Phase finale'!$C$45,8,IF(OR(BX6='Phase finale'!F10,BX6='Phase finale'!$F$10,BX6='Phase finale'!$V$11,BX6='Phase finale'!$V$10),3,IF(OR(BX6='Phase finale'!F13,BX6='Phase finale'!F14,BX6='Phase finale'!F15,BX6='Phase finale'!F16,BX6='Phase finale'!V13,BX6='Phase finale'!V14,BX6='Phase finale'!V15,BX6='Phase finale'!V16),5,IF(_xlfn.XLOOKUP(BX6,Tableau19[Licence],Tableau19[Forfait],"",0,1)=TRUE,36,9))))))))))))</f>
        <v>9</v>
      </c>
    </row>
    <row r="7" spans="1:161" ht="24" customHeight="1" x14ac:dyDescent="0.25">
      <c r="A7" s="445"/>
      <c r="B7" s="454" t="s">
        <v>27</v>
      </c>
      <c r="C7" s="1221" t="s">
        <v>28</v>
      </c>
      <c r="D7" s="1221"/>
      <c r="E7" s="1221"/>
      <c r="F7" s="1221"/>
      <c r="G7" s="1221"/>
      <c r="H7" s="1221"/>
      <c r="I7" s="1221" t="s">
        <v>29</v>
      </c>
      <c r="J7" s="1221"/>
      <c r="K7" s="1221"/>
      <c r="L7" s="1221"/>
      <c r="M7" s="1221"/>
      <c r="N7" s="1228" t="s">
        <v>30</v>
      </c>
      <c r="O7" s="1228"/>
      <c r="P7" s="1228"/>
      <c r="Q7" s="1228"/>
      <c r="R7" s="1228"/>
      <c r="S7" s="1228"/>
      <c r="T7" s="1228"/>
      <c r="U7" s="1228"/>
      <c r="V7" s="1228"/>
      <c r="W7" s="1228"/>
      <c r="X7" s="508" t="s">
        <v>10277</v>
      </c>
      <c r="Y7" s="455" t="s">
        <v>10281</v>
      </c>
      <c r="Z7" s="508" t="s">
        <v>10278</v>
      </c>
      <c r="AA7" s="508" t="s">
        <v>10279</v>
      </c>
      <c r="AB7" s="508" t="s">
        <v>10280</v>
      </c>
      <c r="AC7" s="508" t="s">
        <v>14</v>
      </c>
      <c r="AD7" s="508" t="s">
        <v>2</v>
      </c>
      <c r="AE7" s="508" t="s">
        <v>18</v>
      </c>
      <c r="AF7" s="508" t="s">
        <v>17</v>
      </c>
      <c r="AG7" s="508" t="s">
        <v>20</v>
      </c>
      <c r="AH7" s="508" t="s">
        <v>19</v>
      </c>
      <c r="AI7" s="448"/>
      <c r="AK7" s="684" t="s">
        <v>8129</v>
      </c>
      <c r="AV7" s="1219"/>
      <c r="AW7" s="507">
        <f>'Phase finale'!B40</f>
        <v>3</v>
      </c>
      <c r="AX7" s="507" t="str">
        <f>'Phase finale'!C40</f>
        <v/>
      </c>
      <c r="AY7" s="507" t="str">
        <f>'Phase finale'!D40</f>
        <v/>
      </c>
      <c r="AZ7" s="507">
        <f>'Phase finale'!E40</f>
        <v>0</v>
      </c>
      <c r="BA7" s="507" t="str">
        <f>'Phase finale'!F40</f>
        <v/>
      </c>
      <c r="BB7" s="507">
        <f>'Phase finale'!G40</f>
        <v>0</v>
      </c>
      <c r="BC7" s="507">
        <f>'Phase finale'!H40</f>
        <v>0</v>
      </c>
      <c r="BD7" s="507" t="str">
        <f>'Phase finale'!I40</f>
        <v/>
      </c>
      <c r="BE7" s="507">
        <f>'Phase finale'!J40</f>
        <v>0</v>
      </c>
      <c r="BF7" s="507">
        <f>'Phase finale'!K40</f>
        <v>0</v>
      </c>
      <c r="BG7" s="507">
        <f>'Phase finale'!L40</f>
        <v>0</v>
      </c>
      <c r="BH7" s="507" t="str">
        <f>'Phase finale'!M40</f>
        <v/>
      </c>
      <c r="BI7" s="539" t="str">
        <f>'Phase finale'!N40</f>
        <v/>
      </c>
      <c r="BJ7" s="507" t="str">
        <f>'Phase finale'!O40</f>
        <v/>
      </c>
      <c r="BK7" s="507" t="str">
        <f>'Phase finale'!P40</f>
        <v/>
      </c>
      <c r="BL7" s="507" t="str">
        <f>'Phase finale'!Q40</f>
        <v/>
      </c>
      <c r="BM7" s="507" t="str">
        <f>'Phase finale'!R40</f>
        <v/>
      </c>
      <c r="BN7" s="507" t="str">
        <f>'Phase finale'!S40</f>
        <v/>
      </c>
      <c r="BO7" s="507" t="str">
        <f>'Phase finale'!T40</f>
        <v/>
      </c>
      <c r="BV7" s="506">
        <f t="shared" si="0"/>
        <v>3</v>
      </c>
      <c r="BW7" s="506"/>
      <c r="BX7" s="506">
        <f>IF(AX7="",'Phase finale'!DX9,AX7)</f>
        <v>0</v>
      </c>
      <c r="BY7" s="506" t="str">
        <f t="shared" ref="BY7:BY12" si="7">IF(AY7=0,"",_xlfn.XLOOKUP(BX7,$AX$13:$AX$48,$AY$13:$AY$48,"",0,1))</f>
        <v/>
      </c>
      <c r="BZ7" s="506" t="str">
        <f t="shared" ref="BZ7:BZ12" si="8">IF(AY7=0,"",_xlfn.XLOOKUP(BX7,$AX$13:$AX$48,$BA$13:$BA$48,"",0,1))</f>
        <v/>
      </c>
      <c r="CA7" s="506" t="str">
        <f t="shared" ref="CA7:CA12" si="9">IF(AY7=0,"",_xlfn.XLOOKUP(BX7,$AX$13:$AX$48,$BC$13:$BC$48,"",0,1))</f>
        <v/>
      </c>
      <c r="CB7" s="506" t="str">
        <f t="shared" ref="CB7:CB12" si="10">IF(AY7=0,"",_xlfn.XLOOKUP(BX7,$AX$13:$AX$48,$BJ$13:$BJ$48,"",0,1))</f>
        <v/>
      </c>
      <c r="CC7" s="506" t="str">
        <f t="shared" si="2"/>
        <v/>
      </c>
      <c r="CD7" s="506" t="e">
        <f t="shared" si="1"/>
        <v>#VALUE!</v>
      </c>
      <c r="CE7" s="506" t="str">
        <f t="shared" si="3"/>
        <v/>
      </c>
      <c r="CF7" s="506" t="str">
        <f t="shared" si="4"/>
        <v/>
      </c>
      <c r="CG7" s="506">
        <f t="shared" si="5"/>
        <v>0</v>
      </c>
      <c r="CH7" s="540" t="str">
        <f t="shared" si="6"/>
        <v/>
      </c>
      <c r="CI7" s="244">
        <f>IF(BX7="",37,IF(BX7='Phase finale'!$C$38,1,IF(BX7='Phase finale'!$C$39,2,IF(BX7='Phase finale'!$C$40,3,IF(BX7='Phase finale'!$C$41,4,IF(BX7='Phase finale'!$C$42,5,IF(BX7='Phase finale'!$C$43,6,IF(BX7='Phase finale'!$C$44,7,IF(BX7='Phase finale'!$C$45,8,IF(OR(BX7='Phase finale'!F12,BX7='Phase finale'!$F$10,BX7='Phase finale'!$V$11,BX7='Phase finale'!$V$10),3,IF(OR(BX7='Phase finale'!F14,BX7='Phase finale'!F15,BX7='Phase finale'!F16,BX7='Phase finale'!F17,BX7='Phase finale'!V14,BX7='Phase finale'!V15,BX7='Phase finale'!V16,BX7='Phase finale'!V17),5,IF(_xlfn.XLOOKUP(BX7,Tableau19[Licence],Tableau19[Forfait],"",0,1)=TRUE,36,9))))))))))))</f>
        <v>9</v>
      </c>
      <c r="CL7" s="454" t="s">
        <v>27</v>
      </c>
      <c r="CM7" s="1225" t="s">
        <v>28</v>
      </c>
      <c r="CN7" s="1226"/>
      <c r="CO7" s="1226"/>
      <c r="CP7" s="1226"/>
      <c r="CQ7" s="1226"/>
      <c r="CR7" s="1227"/>
      <c r="CS7" s="1225" t="s">
        <v>29</v>
      </c>
      <c r="CT7" s="1226"/>
      <c r="CU7" s="1226"/>
      <c r="CV7" s="1226"/>
      <c r="CW7" s="1227"/>
      <c r="CX7" s="1228" t="s">
        <v>30</v>
      </c>
      <c r="CY7" s="1228"/>
      <c r="CZ7" s="1228"/>
      <c r="DA7" s="1228"/>
      <c r="DB7" s="1228"/>
      <c r="DC7" s="1228"/>
      <c r="DD7" s="1228"/>
      <c r="DE7" s="1228"/>
      <c r="DF7" s="1228"/>
      <c r="DG7" s="1228"/>
      <c r="DH7" s="508" t="s">
        <v>10277</v>
      </c>
      <c r="DI7" s="455" t="s">
        <v>10281</v>
      </c>
      <c r="DJ7" s="508" t="s">
        <v>10278</v>
      </c>
      <c r="DK7" s="508" t="s">
        <v>10279</v>
      </c>
      <c r="DL7" s="508" t="s">
        <v>10280</v>
      </c>
      <c r="DM7" s="508" t="s">
        <v>14</v>
      </c>
      <c r="DN7" s="508" t="s">
        <v>2</v>
      </c>
      <c r="DO7" s="508" t="s">
        <v>18</v>
      </c>
      <c r="DP7" s="508" t="s">
        <v>17</v>
      </c>
      <c r="DQ7" s="508" t="s">
        <v>20</v>
      </c>
      <c r="DR7" s="508" t="s">
        <v>19</v>
      </c>
      <c r="DS7" s="518"/>
    </row>
    <row r="8" spans="1:161" ht="24" customHeight="1" x14ac:dyDescent="0.3">
      <c r="A8" s="452">
        <f>IF('GESTION DES JOUEURS'!A10=MAX('GESTION DES JOUEURS'!$A$10:'GESTION DES JOUEURS'!$A$46),"",A7+1)</f>
        <v>1</v>
      </c>
      <c r="B8" s="451" t="str" cm="1">
        <f t="array" ref="B8:B43">IF('GESTION DES JOUEURS'!$D$8="Open",RESULTATS!DW8:DW43,IF(_xlfn.SORTBY($CL$8:$CL$43,$DS$8:$DS$43,1,$DI$8:$DI$43,1,$DH$8:$DH$43,1,DQ8:DQ43,-1,$DR$8:$DR$43,-1,$DP$8:$DP$43,-1)=0,"",_xlfn.SORTBY($CL$8:$CL$43,$DS$8:$DS$43,1,$DI$8:$DI$43,1,$DH$8:$DH$43,1,$DM$8:$DM$43,-1,DQ8:DQ43,-1,$DR$8:$DR$43,-1,$DP$8:$DP$43,-1)))</f>
        <v>118031R</v>
      </c>
      <c r="C8" s="1218" t="str">
        <f>_xlfn.XLOOKUP(B8,Tableau19[Licence],Tableau19[Nom],"",0,1)</f>
        <v>LE HUAN CUA</v>
      </c>
      <c r="D8" s="1218"/>
      <c r="E8" s="1218"/>
      <c r="F8" s="1218"/>
      <c r="G8" s="1218"/>
      <c r="H8" s="1218"/>
      <c r="I8" s="1218" t="str">
        <f>_xlfn.XLOOKUP(B8,Tableau19[Licence],Tableau19[[prénom ]],"",0,1)</f>
        <v>TRAN</v>
      </c>
      <c r="J8" s="1218"/>
      <c r="K8" s="1218"/>
      <c r="L8" s="1218"/>
      <c r="M8" s="1218"/>
      <c r="N8" s="1218" t="str">
        <f>_xlfn.XLOOKUP(B8,Tableau19[Licence],Tableau19[Club],"",0,1)</f>
        <v>ACADEMIE DE BILLARD DE MAISONS ALFORT</v>
      </c>
      <c r="O8" s="1218"/>
      <c r="P8" s="1218"/>
      <c r="Q8" s="1218"/>
      <c r="R8" s="1218"/>
      <c r="S8" s="1218"/>
      <c r="T8" s="1218"/>
      <c r="U8" s="1218"/>
      <c r="V8" s="1218"/>
      <c r="W8" s="1218"/>
      <c r="X8" s="455">
        <f>IF(_xlfn.XLOOKUP(B8,$CL$8:$CL$43,$DH$8:$DH$43,"",0,1)=0,"",_xlfn.XLOOKUP(B8,$CL$8:$CL$43,$DH$8:$DH$43,"",0,1))</f>
        <v>1</v>
      </c>
      <c r="Y8" s="455" t="str">
        <f>_xlfn.XLOOKUP(B8,$CL$8:$CL$43,$DI$8:$DI$43,"",0,1)</f>
        <v/>
      </c>
      <c r="Z8" s="451">
        <f>IF(B8="","",IF('GESTION DES JOUEURS'!$D$8="Open","",IF(AND('GESTION DES JOUEURS'!$D$8="poules",A8&lt;&gt;""),_xlfn.XLOOKUP(RESULTATS!B8,'Phase finale'!$BV$7:$BV$42,'Phase finale'!$CL$7:$CL$42,"",0,1),IF(AND(B8&lt;&gt;"",MAX('GESTION DES JOUEURS'!$A$11:$A$46)&gt;6,'GESTION DES JOUEURS'!$Y$8="JDSR"),_xlfn.XLOOKUP(A8,PTSRKMINITOURNOI[Clt],PTSRKMINITOURNOI[PR JDS 9],"",0,1),IF(AND(B8&lt;&gt;"",MAX('GESTION DES JOUEURS'!$A$11:$A$46)&lt;7,'GESTION DES JOUEURS'!$Y$8="JDSR"),_xlfn.XLOOKUP(A8,PTSRKMINITOURNOI[Clt],PTSRKMINITOURNOI[PR JDS],"",0,1),IF(AND(B8&lt;&gt;"",MAX('GESTION DES JOUEURS'!$A$11:$A$46)&lt;7,'GESTION DES JOUEURS'!$Y$8="R"),_xlfn.XLOOKUP(A8,PTSRKMINITOURNOI[Clt],PTSRKMINITOURNOI[PR 3B],"",0,1),IF(AND(B8&lt;&gt;"",MAX('GESTION DES JOUEURS'!$A$11:$A$46)&gt;6,'GESTION DES JOUEURS'!$Y$8="R"),_xlfn.XLOOKUP(A8,PTSRKTOURNOI[Clt],PTSRKTOURNOI[PR 3B],"",0,1),IF(AND(B8&lt;&gt;"",MAX('GESTION DES JOUEURS'!$A$11:$A$46)&gt;6,'GESTION DES JOUEURS'!$Y$8="Dames"),_xlfn.XLOOKUP(A8,PTSRKTOURNOI[Clt],PTSRKTOURNOI[[PR DAMES ]],"",0,1),IF(AND(B8&lt;&gt;"",'GESTION DES JOUEURS'!$Y$8="D"),_xlfn.XLOOKUP(A8,PTSRKMINITOURNOI[Clt],PTSRKMINITOURNOI[PR DISTRICT],"",0,1),"")))))))))</f>
        <v>8</v>
      </c>
      <c r="AA8" s="451">
        <f>IF(AE8=0,"",IF('GESTION DES JOUEURS'!$D$8="Open","",_xlfn.XLOOKUP(B8,$CL$8:$CL$43,$DK$8:$DK$43,"",0,1)))</f>
        <v>4</v>
      </c>
      <c r="AB8" s="451">
        <f t="shared" ref="AB8:AB43" si="11">IFERROR(VALUE(Z8)+VALUE(AA8),"")</f>
        <v>12</v>
      </c>
      <c r="AC8" s="451">
        <f>IF(Z8=0,"",_xlfn.XLOOKUP(B8,$CL$8:$CL$43,$DM$8:$DM$43,"",0,1))</f>
        <v>4</v>
      </c>
      <c r="AD8" s="451">
        <f>IF(_xlfn.XLOOKUP(B8,$CL$8:$CL$43,$DN$8:$DN$43,"",0,1)=0,"",_xlfn.XLOOKUP(B8,$CL$8:$CL$43,$DN$8:$DN$43,"",0,1))</f>
        <v>200</v>
      </c>
      <c r="AE8" s="538">
        <f>IF(_xlfn.XLOOKUP(B8,$CL$8:$CL$43,$DO$8:$DO$43,"",0,1)=0,"",_xlfn.XLOOKUP(B8,$CL$8:$CL$43,$DO$8:$DO$43,"",0,1))</f>
        <v>48</v>
      </c>
      <c r="AF8" s="451">
        <f>IF(_xlfn.XLOOKUP(B8,$CL$8:$CL$43,$DP$8:$DP$43,"",0,1)=0,"",_xlfn.XLOOKUP(B8,$CL$8:$CL$43,$DP$8:$DP$43,"",0,1))</f>
        <v>20</v>
      </c>
      <c r="AG8" s="456">
        <f>_xlfn.XLOOKUP(B8,$CL$8:$CL$43,$DQ$8:$DQ$43,"",0,1)</f>
        <v>4.166666666666667</v>
      </c>
      <c r="AH8" s="456">
        <f>IF(_xlfn.XLOOKUP(B8,$CL$8:$CL$43,$DR$8:$DR$43,"",0,1)=0,"/",_xlfn.XLOOKUP(B8,$CL$8:$CL$43,$DR$8:$DR$43,"",0,1))</f>
        <v>4.3478260869565215</v>
      </c>
      <c r="AI8" s="446"/>
      <c r="AK8" s="685"/>
      <c r="AV8" s="1219"/>
      <c r="AW8" s="507">
        <f>'Phase finale'!B41</f>
        <v>4</v>
      </c>
      <c r="AX8" s="507" t="str">
        <f>'Phase finale'!C41</f>
        <v/>
      </c>
      <c r="AY8" s="507" t="str">
        <f>'Phase finale'!D41</f>
        <v/>
      </c>
      <c r="AZ8" s="507">
        <f>'Phase finale'!E41</f>
        <v>0</v>
      </c>
      <c r="BA8" s="507" t="str">
        <f>'Phase finale'!F41</f>
        <v/>
      </c>
      <c r="BB8" s="507">
        <f>'Phase finale'!G41</f>
        <v>0</v>
      </c>
      <c r="BC8" s="507">
        <f>'Phase finale'!H41</f>
        <v>0</v>
      </c>
      <c r="BD8" s="507" t="str">
        <f>'Phase finale'!I41</f>
        <v/>
      </c>
      <c r="BE8" s="507">
        <f>'Phase finale'!J41</f>
        <v>0</v>
      </c>
      <c r="BF8" s="507">
        <f>'Phase finale'!K41</f>
        <v>0</v>
      </c>
      <c r="BG8" s="507">
        <f>'Phase finale'!L41</f>
        <v>0</v>
      </c>
      <c r="BH8" s="507" t="str">
        <f>'Phase finale'!M41</f>
        <v/>
      </c>
      <c r="BI8" s="539" t="str">
        <f>'Phase finale'!N41</f>
        <v/>
      </c>
      <c r="BJ8" s="507" t="str">
        <f>'Phase finale'!O41</f>
        <v/>
      </c>
      <c r="BK8" s="507" t="str">
        <f>'Phase finale'!P41</f>
        <v/>
      </c>
      <c r="BL8" s="507" t="str">
        <f>'Phase finale'!Q41</f>
        <v/>
      </c>
      <c r="BM8" s="507" t="str">
        <f>'Phase finale'!R41</f>
        <v/>
      </c>
      <c r="BN8" s="507" t="str">
        <f>'Phase finale'!S41</f>
        <v/>
      </c>
      <c r="BO8" s="507" t="str">
        <f>'Phase finale'!T41</f>
        <v/>
      </c>
      <c r="BV8" s="506">
        <f t="shared" si="0"/>
        <v>4</v>
      </c>
      <c r="BW8" s="506"/>
      <c r="BX8" s="506">
        <f>IF(AX8="",'Phase finale'!DX10,AX8)</f>
        <v>0</v>
      </c>
      <c r="BY8" s="506" t="str">
        <f t="shared" si="7"/>
        <v/>
      </c>
      <c r="BZ8" s="506" t="str">
        <f t="shared" si="8"/>
        <v/>
      </c>
      <c r="CA8" s="506" t="str">
        <f t="shared" si="9"/>
        <v/>
      </c>
      <c r="CB8" s="506" t="str">
        <f t="shared" si="10"/>
        <v/>
      </c>
      <c r="CC8" s="506" t="str">
        <f t="shared" si="2"/>
        <v/>
      </c>
      <c r="CD8" s="506" t="e">
        <f t="shared" si="1"/>
        <v>#VALUE!</v>
      </c>
      <c r="CE8" s="506" t="str">
        <f t="shared" si="3"/>
        <v/>
      </c>
      <c r="CF8" s="506" t="str">
        <f t="shared" si="4"/>
        <v/>
      </c>
      <c r="CG8" s="506">
        <f t="shared" si="5"/>
        <v>0</v>
      </c>
      <c r="CH8" s="540" t="str">
        <f t="shared" si="6"/>
        <v/>
      </c>
      <c r="CI8" s="244">
        <f>IF(BX8="",37,IF(BX8='Phase finale'!$C$38,1,IF(BX8='Phase finale'!$C$39,2,IF(BX8='Phase finale'!$C$40,3,IF(BX8='Phase finale'!$C$41,4,IF(BX8='Phase finale'!$C$42,5,IF(BX8='Phase finale'!$C$43,6,IF(BX8='Phase finale'!$C$44,7,IF(BX8='Phase finale'!$C$45,8,IF(OR(BX8='Phase finale'!F13,BX8='Phase finale'!$F$10,BX8='Phase finale'!$V$11,BX8='Phase finale'!$V$10),3,IF(OR(BX8='Phase finale'!F15,BX8='Phase finale'!F16,BX8='Phase finale'!F17,BX8='Phase finale'!F18,BX8='Phase finale'!V15,BX8='Phase finale'!V16,BX8='Phase finale'!V17,BX8='Phase finale'!V18),5,IF(_xlfn.XLOOKUP(BX8,Tableau19[Licence],Tableau19[Forfait],"",0,1)=TRUE,36,9))))))))))))</f>
        <v>9</v>
      </c>
      <c r="CL8" s="451" t="str">
        <f>IF('GESTION DES JOUEURS'!B11="",0,'GESTION DES JOUEURS'!B11)</f>
        <v>154178K</v>
      </c>
      <c r="CM8" s="453" t="str">
        <f>_xlfn.XLOOKUP(CL8,$BX$5:$BX$48,$BY$5:$BY$48,"",0,1)</f>
        <v>PONCE</v>
      </c>
      <c r="CN8" s="453"/>
      <c r="CO8" s="453"/>
      <c r="CP8" s="453"/>
      <c r="CQ8" s="453"/>
      <c r="CR8" s="453"/>
      <c r="CS8" s="453" t="str">
        <f t="shared" ref="CS8:CS43" si="12">_xlfn.XLOOKUP(CL8,$BX$5:$BX$48,$BZ$5:$BZ$48,"",0,1)</f>
        <v>FREDERIC</v>
      </c>
      <c r="CT8" s="453"/>
      <c r="CU8" s="453"/>
      <c r="CV8" s="453"/>
      <c r="CW8" s="453"/>
      <c r="CX8" s="453" t="str">
        <f t="shared" ref="CX8:CX43" si="13">_xlfn.XLOOKUP(CL8,$BX$5:$BX$48,$CA$5:$CA$48,"",0,1)</f>
        <v>ACADEMIE DE BILLARD DE MAISONS ALFORT</v>
      </c>
      <c r="CY8" s="453"/>
      <c r="CZ8" s="453"/>
      <c r="DA8" s="453"/>
      <c r="DB8" s="453"/>
      <c r="DC8" s="453"/>
      <c r="DD8" s="453"/>
      <c r="DE8" s="453"/>
      <c r="DF8" s="453"/>
      <c r="DG8" s="453"/>
      <c r="DH8" s="509">
        <f t="shared" ref="DH8:DH43" si="14">_xlfn.XLOOKUP(CL8,$AX$13:$AX$48,$BM$13:$BM$48,"",0,1)</f>
        <v>1</v>
      </c>
      <c r="DI8" s="509" t="str">
        <f>IFERROR(IF('GESTION DES JOUEURS'!$D$8="Open",_xlfn.XLOOKUP(RESULTATS!CL8,RESULTATS!$DW$8:$DW$43,RESULTATS!$EL$8:$EL$43,"",0,1),_xlfn.XLOOKUP(CL8,$BX$5:$BX$12,$BV$5:$BV$12,_xlfn.XLOOKUP(CL8,$AX$5:$AX$12,$AW$5:$AW$12,"",0,1),0,1)),"")</f>
        <v/>
      </c>
      <c r="DJ8" s="453">
        <f>_xlfn.XLOOKUP(CL8,$BX$5:$BX$48,$CE$5:$CE$48,"",0,1)</f>
        <v>8</v>
      </c>
      <c r="DK8" s="453">
        <f>IF('GESTION DES JOUEURS'!$D$8="Poules",_xlfn.XLOOKUP(RESULTATS!CL8,'Phase finale'!$BV$7:$BV$42,'Phase finale'!$CM$7:$CM$42,"",0,1),IF(AND(CL8&lt;&gt;0,DQ8&gt;_xlfn.XLOOKUP('GESTION DES JOUEURS'!$D$4,Distances[Mode de jeu et cat.],Distances[M 3],"",0,1)),_xlfn.XLOOKUP('GESTION DES JOUEURS'!$D$4,Distances[Mode de jeu et cat.],Distances[BT3],"",0,1),IF(AND(CL8&lt;&gt;0,DQ8&gt;_xlfn.XLOOKUP('GESTION DES JOUEURS'!$D$4,Distances[Mode de jeu et cat.],Distances[M 2],"",0,1)),_xlfn.XLOOKUP('GESTION DES JOUEURS'!$D$4,Distances[Mode de jeu et cat.],Distances[BT2],"",0,1),IF(AND(CL8&lt;&gt;0,DQ8&gt;_xlfn.XLOOKUP('GESTION DES JOUEURS'!$D$4,Distances[Mode de jeu et cat.],Distances[M 1],"",0,1)),_xlfn.XLOOKUP('GESTION DES JOUEURS'!$D$4,Distances[Mode de jeu et cat.],Distances[BT1],"",0,1),0))))</f>
        <v>2</v>
      </c>
      <c r="DL8" s="453">
        <f>_xlfn.XLOOKUP(CL8,$BX$5:$BX$48,$CG$5:$CG$48,"",0,1)</f>
        <v>10</v>
      </c>
      <c r="DM8" s="453">
        <f>IF('GESTION DES JOUEURS'!$D$8="Open",_xlfn.XLOOKUP(CL8,RESULTATS!$DW$8:$DW$43,RESULTATS!$EH$8:$EH$43,"",0,1),_xlfn.XLOOKUP(CL8,$BX$5:$BX$48,$CH$5:$CH$48,"",0,1))</f>
        <v>4</v>
      </c>
      <c r="DN8" s="451">
        <f>IFERROR(SUM(_xlfn.XLOOKUP(CL8,_xlfn.ANCHORARRAY('Phase finale'!$DK$7),'Phase finale'!$DP$7:$DP$42,"",0,1),_xlfn.XLOOKUP(CL8,_xlfn.ANCHORARRAY('Phase finale'!$DK$7),'Phase finale'!$DL$7:$DL$42,"",0,1)),"")</f>
        <v>200</v>
      </c>
      <c r="DO8" s="451">
        <f>IFERROR(SUM(_xlfn.XLOOKUP(CL8,_xlfn.ANCHORARRAY('Phase finale'!$DK$7),'Phase finale'!$DQ$7:$DQ$42,"",0,1),_xlfn.XLOOKUP(CL8,_xlfn.ANCHORARRAY('Phase finale'!$DK$7),'Phase finale'!$DM$7:$DM$42,"",0,1)),"")</f>
        <v>72</v>
      </c>
      <c r="DP8" s="517">
        <f>IFERROR(MAX(_xlfn.MAXIFS($CD$5:$CD$48,$BX$5:$BX$48,CL8),_xlfn.MAXIFS($EK$8:$EK$43,$DW$8:$DW$43,CL8)),"")</f>
        <v>14</v>
      </c>
      <c r="DQ8" s="456">
        <f>IFERROR(DN8/DO8,"")</f>
        <v>2.7777777777777777</v>
      </c>
      <c r="DR8" s="456">
        <f>IFERROR(MAX(_xlfn.MAXIFS($CC$5:$CC$48,$BX$5:$BX$48,CL8),_xlfn.MAXIFS($EJ$8:$EJ$43,$DW$8:$DW$43,CL8)),"")</f>
        <v>2.8571428571428572</v>
      </c>
      <c r="DS8" s="518">
        <f t="shared" ref="DS8:DS43" si="15">IF(CL8=0,37,_xlfn.XLOOKUP(CL8,$BX$5:$BX$48,$CI$5:$CI$48,"",0,1))</f>
        <v>9</v>
      </c>
      <c r="DU8" s="244">
        <v>1</v>
      </c>
      <c r="DV8" s="244" cm="1">
        <f t="array" ref="DV8:EN23">'Phase finale'!B38:T53</f>
        <v>1</v>
      </c>
      <c r="DW8" s="244" t="str">
        <v/>
      </c>
      <c r="DX8" s="244" t="str">
        <v/>
      </c>
      <c r="DY8" s="244">
        <v>0</v>
      </c>
      <c r="DZ8" s="244" t="str">
        <v/>
      </c>
      <c r="EA8" s="244">
        <v>0</v>
      </c>
      <c r="EB8" s="244">
        <v>0</v>
      </c>
      <c r="EC8" s="244" t="str">
        <v/>
      </c>
      <c r="ED8" s="244">
        <v>0</v>
      </c>
      <c r="EE8" s="244">
        <v>0</v>
      </c>
      <c r="EF8" s="244">
        <v>0</v>
      </c>
      <c r="EG8" s="244" t="str">
        <v/>
      </c>
      <c r="EH8" s="244" t="str">
        <v/>
      </c>
      <c r="EI8" s="244" t="str">
        <v/>
      </c>
      <c r="EJ8" s="244" t="str">
        <v/>
      </c>
      <c r="EK8" s="244" t="str">
        <v/>
      </c>
      <c r="EL8" s="244" t="str">
        <v/>
      </c>
      <c r="EM8" s="244" t="str">
        <v/>
      </c>
      <c r="EN8" s="244" t="str">
        <v/>
      </c>
    </row>
    <row r="9" spans="1:161" ht="24" customHeight="1" x14ac:dyDescent="0.3">
      <c r="A9" s="452">
        <f>IF('GESTION DES JOUEURS'!A11=MAX('GESTION DES JOUEURS'!$A$10:'GESTION DES JOUEURS'!$A$46),"",A8+1)</f>
        <v>2</v>
      </c>
      <c r="B9" s="451" t="str">
        <v>111337F</v>
      </c>
      <c r="C9" s="1218" t="str">
        <f>_xlfn.XLOOKUP(B9,Tableau19[Licence],Tableau19[Nom],"",0,1)</f>
        <v>GONTHIER</v>
      </c>
      <c r="D9" s="1218"/>
      <c r="E9" s="1218"/>
      <c r="F9" s="1218"/>
      <c r="G9" s="1218"/>
      <c r="H9" s="1218"/>
      <c r="I9" s="1218" t="str">
        <f>_xlfn.XLOOKUP(B9,Tableau19[Licence],Tableau19[[prénom ]],"",0,1)</f>
        <v>ARNAUD</v>
      </c>
      <c r="J9" s="1218"/>
      <c r="K9" s="1218"/>
      <c r="L9" s="1218"/>
      <c r="M9" s="1218"/>
      <c r="N9" s="1218" t="str">
        <f>_xlfn.XLOOKUP(B9,Tableau19[Licence],Tableau19[Club],"",0,1)</f>
        <v>ASS. BILLARD AMATEUR DE SAINT MAUR</v>
      </c>
      <c r="O9" s="1218"/>
      <c r="P9" s="1218"/>
      <c r="Q9" s="1218"/>
      <c r="R9" s="1218"/>
      <c r="S9" s="1218"/>
      <c r="T9" s="1218"/>
      <c r="U9" s="1218"/>
      <c r="V9" s="1218"/>
      <c r="W9" s="1218"/>
      <c r="X9" s="455">
        <f t="shared" ref="X9:X43" si="16">IF(_xlfn.XLOOKUP(B9,$CL$8:$CL$43,$DH$8:$DH$43,"",0,1)=0,"",_xlfn.XLOOKUP(B9,$CL$8:$CL$43,$DH$8:$DH$43,"",0,1))</f>
        <v>1</v>
      </c>
      <c r="Y9" s="455" t="str">
        <f t="shared" ref="Y9:Y43" si="17">_xlfn.XLOOKUP(B9,$CL$8:$CL$43,$DI$8:$DI$43,"",0,1)</f>
        <v/>
      </c>
      <c r="Z9" s="451">
        <f>IF(B9="","",IF('GESTION DES JOUEURS'!$D$8="Open","",IF(AND('GESTION DES JOUEURS'!$D$8="poules",A9&lt;&gt;""),_xlfn.XLOOKUP(RESULTATS!B9,'Phase finale'!$BV$7:$BV$42,'Phase finale'!$CL$7:$CL$42,"",0,1),IF(AND(B9&lt;&gt;"",MAX('GESTION DES JOUEURS'!$A$11:$A$46)&gt;6,'GESTION DES JOUEURS'!$Y$8="JDSR"),_xlfn.XLOOKUP(A9,PTSRKMINITOURNOI[Clt],PTSRKMINITOURNOI[PR JDS 9],"",0,1),IF(AND(B9&lt;&gt;"",MAX('GESTION DES JOUEURS'!$A$11:$A$46)&lt;7,'GESTION DES JOUEURS'!$Y$8="JDSR"),_xlfn.XLOOKUP(A9,PTSRKMINITOURNOI[Clt],PTSRKMINITOURNOI[PR JDS],"",0,1),IF(AND(B9&lt;&gt;"",MAX('GESTION DES JOUEURS'!$A$11:$A$46)&lt;7,'GESTION DES JOUEURS'!$Y$8="R"),_xlfn.XLOOKUP(A9,PTSRKMINITOURNOI[Clt],PTSRKMINITOURNOI[PR 3B],"",0,1),IF(AND(B9&lt;&gt;"",MAX('GESTION DES JOUEURS'!$A$11:$A$46)&gt;6,'GESTION DES JOUEURS'!$Y$8="R"),_xlfn.XLOOKUP(A9,PTSRKTOURNOI[Clt],PTSRKTOURNOI[PR 3B],"",0,1),IF(AND(B9&lt;&gt;"",MAX('GESTION DES JOUEURS'!$A$11:$A$46)&gt;6,'GESTION DES JOUEURS'!$Y$8="Dames"),_xlfn.XLOOKUP(A9,PTSRKTOURNOI[Clt],PTSRKTOURNOI[[PR DAMES ]],"",0,1),IF(AND(B9&lt;&gt;"",'GESTION DES JOUEURS'!$Y$8="D"),_xlfn.XLOOKUP(A9,PTSRKMINITOURNOI[Clt],PTSRKMINITOURNOI[PR DISTRICT],"",0,1),"")))))))))</f>
        <v>8</v>
      </c>
      <c r="AA9" s="451">
        <f>IF(AE9=0,"",IF('GESTION DES JOUEURS'!$D$8="Open","",_xlfn.XLOOKUP(B9,$CL$8:$CL$43,$DK$8:$DK$43,"",0,1)))</f>
        <v>2</v>
      </c>
      <c r="AB9" s="451">
        <f t="shared" si="11"/>
        <v>10</v>
      </c>
      <c r="AC9" s="451">
        <f t="shared" ref="AC9:AC43" si="18">IF(Z9=0,"",_xlfn.XLOOKUP(B9,$CL$8:$CL$43,$DM$8:$DM$43,"",0,1))</f>
        <v>4</v>
      </c>
      <c r="AD9" s="451">
        <f t="shared" ref="AD9:AD43" si="19">IF(_xlfn.XLOOKUP(B9,$CL$8:$CL$43,$DN$8:$DN$43,"",0,1)=0,"",_xlfn.XLOOKUP(B9,$CL$8:$CL$43,$DN$8:$DN$43,"",0,1))</f>
        <v>200</v>
      </c>
      <c r="AE9" s="538">
        <f t="shared" ref="AE9:AE43" si="20">IF(_xlfn.XLOOKUP(B9,$CL$8:$CL$43,$DO$8:$DO$43,"",0,1)=0,"",_xlfn.XLOOKUP(B9,$CL$8:$CL$43,$DO$8:$DO$43,"",0,1))</f>
        <v>66</v>
      </c>
      <c r="AF9" s="451">
        <f t="shared" ref="AF9:AF43" si="21">IF(_xlfn.XLOOKUP(B9,$CL$8:$CL$43,$DP$8:$DP$43,"",0,1)=0,"",_xlfn.XLOOKUP(B9,$CL$8:$CL$43,$DP$8:$DP$43,"",0,1))</f>
        <v>19</v>
      </c>
      <c r="AG9" s="456">
        <f t="shared" ref="AG9:AG43" si="22">_xlfn.XLOOKUP(B9,$CL$8:$CL$43,$DQ$8:$DQ$43,"",0,1)</f>
        <v>3.0303030303030303</v>
      </c>
      <c r="AH9" s="456">
        <f t="shared" ref="AH9:AH43" si="23">IF(_xlfn.XLOOKUP(B9,$CL$8:$CL$43,$DR$8:$DR$43,"",0,1)=0,"/",_xlfn.XLOOKUP(B9,$CL$8:$CL$43,$DR$8:$DR$43,"",0,1))</f>
        <v>3.5714285714285716</v>
      </c>
      <c r="AI9" s="446"/>
      <c r="AK9" s="704" t="str">
        <f>IF('GESTION DES JOUEURS'!$D$8="Finale","Poule Finale","Poule A")</f>
        <v>Poule A</v>
      </c>
      <c r="AV9" s="1219"/>
      <c r="AW9" s="507">
        <f>'Phase finale'!B42</f>
        <v>5</v>
      </c>
      <c r="AX9" s="507" t="str">
        <f>'Phase finale'!C42</f>
        <v/>
      </c>
      <c r="AY9" s="507" t="str">
        <f>'Phase finale'!D42</f>
        <v/>
      </c>
      <c r="AZ9" s="507">
        <f>'Phase finale'!E42</f>
        <v>0</v>
      </c>
      <c r="BA9" s="507" t="str">
        <f>'Phase finale'!F42</f>
        <v/>
      </c>
      <c r="BB9" s="507">
        <f>'Phase finale'!G42</f>
        <v>0</v>
      </c>
      <c r="BC9" s="507">
        <f>'Phase finale'!H42</f>
        <v>0</v>
      </c>
      <c r="BD9" s="507" t="str">
        <f>'Phase finale'!I42</f>
        <v/>
      </c>
      <c r="BE9" s="507">
        <f>'Phase finale'!J42</f>
        <v>0</v>
      </c>
      <c r="BF9" s="507">
        <f>'Phase finale'!K42</f>
        <v>0</v>
      </c>
      <c r="BG9" s="507">
        <f>'Phase finale'!L42</f>
        <v>0</v>
      </c>
      <c r="BH9" s="507" t="str">
        <f>'Phase finale'!M42</f>
        <v/>
      </c>
      <c r="BI9" s="539" t="str">
        <f>'Phase finale'!N42</f>
        <v/>
      </c>
      <c r="BJ9" s="507" t="str">
        <f>'Phase finale'!O42</f>
        <v/>
      </c>
      <c r="BK9" s="507" t="str">
        <f>'Phase finale'!P42</f>
        <v/>
      </c>
      <c r="BL9" s="507" t="str">
        <f>'Phase finale'!Q42</f>
        <v/>
      </c>
      <c r="BM9" s="507" t="str">
        <f>'Phase finale'!R42</f>
        <v/>
      </c>
      <c r="BN9" s="507" t="str">
        <f>'Phase finale'!S42</f>
        <v/>
      </c>
      <c r="BO9" s="507" t="str">
        <f>'Phase finale'!T42</f>
        <v/>
      </c>
      <c r="BV9" s="506">
        <f t="shared" si="0"/>
        <v>5</v>
      </c>
      <c r="BW9" s="506"/>
      <c r="BX9" s="506">
        <f>IF(AX9="",'Phase finale'!DX11,AX9)</f>
        <v>0</v>
      </c>
      <c r="BY9" s="506" t="str">
        <f t="shared" si="7"/>
        <v/>
      </c>
      <c r="BZ9" s="506" t="str">
        <f t="shared" si="8"/>
        <v/>
      </c>
      <c r="CA9" s="506" t="str">
        <f t="shared" si="9"/>
        <v/>
      </c>
      <c r="CB9" s="506" t="str">
        <f t="shared" si="10"/>
        <v/>
      </c>
      <c r="CC9" s="506" t="str">
        <f t="shared" si="2"/>
        <v/>
      </c>
      <c r="CD9" s="506" t="e">
        <f t="shared" si="1"/>
        <v>#VALUE!</v>
      </c>
      <c r="CE9" s="506" t="str">
        <f t="shared" si="3"/>
        <v/>
      </c>
      <c r="CF9" s="506" t="str">
        <f t="shared" si="4"/>
        <v/>
      </c>
      <c r="CG9" s="506">
        <f t="shared" si="5"/>
        <v>0</v>
      </c>
      <c r="CH9" s="540" t="str">
        <f t="shared" si="6"/>
        <v/>
      </c>
      <c r="CI9" s="244">
        <f>IF(BX9="",37,IF(BX9='Phase finale'!$C$38,1,IF(BX9='Phase finale'!$C$39,2,IF(BX9='Phase finale'!$C$40,3,IF(BX9='Phase finale'!$C$41,4,IF(BX9='Phase finale'!$C$42,5,IF(BX9='Phase finale'!$C$43,6,IF(BX9='Phase finale'!$C$44,7,IF(BX9='Phase finale'!$C$45,8,IF(OR(BX9='Phase finale'!F14,BX9='Phase finale'!$F$10,BX9='Phase finale'!$V$11,BX9='Phase finale'!$V$10),3,IF(OR(BX9='Phase finale'!F16,BX9='Phase finale'!F17,BX9='Phase finale'!F18,BX9='Phase finale'!F19,BX9='Phase finale'!V16,BX9='Phase finale'!V17,BX9='Phase finale'!V18,BX9='Phase finale'!V19),5,IF(_xlfn.XLOOKUP(BX9,Tableau19[Licence],Tableau19[Forfait],"",0,1)=TRUE,36,9))))))))))))</f>
        <v>9</v>
      </c>
      <c r="CL9" s="451" t="str">
        <f>IF('GESTION DES JOUEURS'!B12="",0,'GESTION DES JOUEURS'!B12)</f>
        <v>157535J</v>
      </c>
      <c r="CM9" s="453" t="str">
        <f t="shared" ref="CM9:CM43" si="24">_xlfn.XLOOKUP(CL9,$BX$5:$BX$48,$BY$5:$BY$48,"",0,1)</f>
        <v>PIBOURDIN</v>
      </c>
      <c r="CN9" s="453"/>
      <c r="CO9" s="453"/>
      <c r="CP9" s="453"/>
      <c r="CQ9" s="453"/>
      <c r="CR9" s="453"/>
      <c r="CS9" s="453" t="str">
        <f t="shared" si="12"/>
        <v>ERIC</v>
      </c>
      <c r="CT9" s="453"/>
      <c r="CU9" s="453"/>
      <c r="CV9" s="453"/>
      <c r="CW9" s="453"/>
      <c r="CX9" s="453" t="str">
        <f t="shared" si="13"/>
        <v>ACADEMIE DE BILLARD DE MAISONS ALFORT</v>
      </c>
      <c r="CY9" s="453"/>
      <c r="CZ9" s="453"/>
      <c r="DA9" s="453"/>
      <c r="DB9" s="453"/>
      <c r="DC9" s="453"/>
      <c r="DD9" s="453"/>
      <c r="DE9" s="453"/>
      <c r="DF9" s="453"/>
      <c r="DG9" s="453"/>
      <c r="DH9" s="509">
        <f t="shared" si="14"/>
        <v>2</v>
      </c>
      <c r="DI9" s="509" t="str">
        <f>IFERROR(IF('GESTION DES JOUEURS'!$D$8="Open",_xlfn.XLOOKUP(RESULTATS!CL9,RESULTATS!$DW$8:$DW$43,RESULTATS!$EL$8:$EL$43,"",0,1),_xlfn.XLOOKUP(CL9,$BX$5:$BX$12,$BV$5:$BV$12,_xlfn.XLOOKUP(CL9,$AX$5:$AX$12,$AW$5:$AW$12,"",0,1),0,1)),"")</f>
        <v/>
      </c>
      <c r="DJ9" s="453">
        <f t="shared" ref="DJ9:DJ43" si="25">_xlfn.XLOOKUP(CL9,$BX$5:$BX$48,$CE$5:$CE$48,"",0,1)</f>
        <v>5</v>
      </c>
      <c r="DK9" s="453">
        <f>IF('GESTION DES JOUEURS'!$D$8="Poules",_xlfn.XLOOKUP(RESULTATS!CL9,'Phase finale'!$BV$7:$BV$42,'Phase finale'!$CM$7:$CM$42,"",0,1),IF(AND(CL9&lt;&gt;0,DQ9&gt;_xlfn.XLOOKUP('GESTION DES JOUEURS'!$D$4,Distances[Mode de jeu et cat.],Distances[M 3],"",0,1)),_xlfn.XLOOKUP('GESTION DES JOUEURS'!$D$4,Distances[Mode de jeu et cat.],Distances[BT3],"",0,1),IF(AND(CL9&lt;&gt;0,DQ9&gt;_xlfn.XLOOKUP('GESTION DES JOUEURS'!$D$4,Distances[Mode de jeu et cat.],Distances[M 2],"",0,1)),_xlfn.XLOOKUP('GESTION DES JOUEURS'!$D$4,Distances[Mode de jeu et cat.],Distances[BT2],"",0,1),IF(AND(CL9&lt;&gt;0,DQ9&gt;_xlfn.XLOOKUP('GESTION DES JOUEURS'!$D$4,Distances[Mode de jeu et cat.],Distances[M 1],"",0,1)),_xlfn.XLOOKUP('GESTION DES JOUEURS'!$D$4,Distances[Mode de jeu et cat.],Distances[BT1],"",0,1),0))))</f>
        <v>2</v>
      </c>
      <c r="DL9" s="453">
        <f t="shared" ref="DL9:DL43" si="26">_xlfn.XLOOKUP(CL9,$BX$5:$BX$48,$CG$5:$CG$48,"",0,1)</f>
        <v>7</v>
      </c>
      <c r="DM9" s="453">
        <f>IF('GESTION DES JOUEURS'!$D$8="Open",_xlfn.XLOOKUP(CL9,RESULTATS!$DW$8:$DW$43,RESULTATS!$EH$8:$EH$43,"",0,1),_xlfn.XLOOKUP(CL9,$BX$5:$BX$48,$CH$5:$CH$48,"",0,1))</f>
        <v>2</v>
      </c>
      <c r="DN9" s="451">
        <f>IFERROR(SUM(_xlfn.XLOOKUP(CL9,_xlfn.ANCHORARRAY('Phase finale'!$DK$7),'Phase finale'!$DP$7:$DP$42,"",0,1),_xlfn.XLOOKUP(CL9,_xlfn.ANCHORARRAY('Phase finale'!$DK$7),'Phase finale'!$DL$7:$DL$42,"",0,1)),"")</f>
        <v>176</v>
      </c>
      <c r="DO9" s="451">
        <f>IFERROR(SUM(_xlfn.XLOOKUP(CL9,_xlfn.ANCHORARRAY('Phase finale'!$DK$7),'Phase finale'!$DQ$7:$DQ$42,"",0,1),_xlfn.XLOOKUP(CL9,_xlfn.ANCHORARRAY('Phase finale'!$DK$7),'Phase finale'!$DM$7:$DM$42,"",0,1)),"")</f>
        <v>77</v>
      </c>
      <c r="DP9" s="517">
        <f t="shared" ref="DP9:DP43" si="27">IFERROR(MAX(_xlfn.MAXIFS($CD$5:$CD$48,$BX$5:$BX$48,CL9),_xlfn.MAXIFS($EK$8:$EK$43,$DW$8:$DW$43,CL9)),"")</f>
        <v>23</v>
      </c>
      <c r="DQ9" s="456">
        <f t="shared" ref="DQ9:DQ43" si="28">IFERROR(DN9/DO9,"")</f>
        <v>2.2857142857142856</v>
      </c>
      <c r="DR9" s="456">
        <f t="shared" ref="DR9:DR43" si="29">IFERROR(MAX(_xlfn.MAXIFS($CC$5:$CC$48,$BX$5:$BX$48,CL9),_xlfn.MAXIFS($EJ$8:$EJ$43,$DW$8:$DW$43,CL9)),"")</f>
        <v>2.125</v>
      </c>
      <c r="DS9" s="518">
        <f t="shared" si="15"/>
        <v>9</v>
      </c>
      <c r="DU9" s="244">
        <v>2</v>
      </c>
      <c r="DV9" s="244">
        <v>2</v>
      </c>
      <c r="DW9" s="244" t="str">
        <v/>
      </c>
      <c r="DX9" s="244" t="str">
        <v/>
      </c>
      <c r="DY9" s="244">
        <v>0</v>
      </c>
      <c r="DZ9" s="244" t="str">
        <v/>
      </c>
      <c r="EA9" s="244">
        <v>0</v>
      </c>
      <c r="EB9" s="244">
        <v>0</v>
      </c>
      <c r="EC9" s="244" t="str">
        <v/>
      </c>
      <c r="ED9" s="244">
        <v>0</v>
      </c>
      <c r="EE9" s="244">
        <v>0</v>
      </c>
      <c r="EF9" s="244">
        <v>0</v>
      </c>
      <c r="EG9" s="244" t="str">
        <v/>
      </c>
      <c r="EH9" s="244" t="str">
        <v/>
      </c>
      <c r="EI9" s="244" t="str">
        <v/>
      </c>
      <c r="EJ9" s="244" t="str">
        <v/>
      </c>
      <c r="EK9" s="244" t="str">
        <v/>
      </c>
      <c r="EL9" s="244" t="str">
        <v/>
      </c>
      <c r="EM9" s="244" t="str">
        <v/>
      </c>
      <c r="EN9" s="244" t="str">
        <v/>
      </c>
    </row>
    <row r="10" spans="1:161" ht="24" customHeight="1" x14ac:dyDescent="0.3">
      <c r="A10" s="452">
        <f>IF('GESTION DES JOUEURS'!A12=MAX('GESTION DES JOUEURS'!$A$10:'GESTION DES JOUEURS'!$A$46),"",A9+1)</f>
        <v>3</v>
      </c>
      <c r="B10" s="451" t="str">
        <v>148333G</v>
      </c>
      <c r="C10" s="1218" t="str">
        <f>_xlfn.XLOOKUP(B10,Tableau19[Licence],Tableau19[Nom],"",0,1)</f>
        <v>MA PHUOC</v>
      </c>
      <c r="D10" s="1218"/>
      <c r="E10" s="1218"/>
      <c r="F10" s="1218"/>
      <c r="G10" s="1218"/>
      <c r="H10" s="1218"/>
      <c r="I10" s="1218" t="str">
        <f>_xlfn.XLOOKUP(B10,Tableau19[Licence],Tableau19[[prénom ]],"",0,1)</f>
        <v>BICH</v>
      </c>
      <c r="J10" s="1218"/>
      <c r="K10" s="1218"/>
      <c r="L10" s="1218"/>
      <c r="M10" s="1218"/>
      <c r="N10" s="1218" t="str">
        <f>_xlfn.XLOOKUP(B10,Tableau19[Licence],Tableau19[Club],"",0,1)</f>
        <v>ACADEMIE DE BILLARD DE MAISONS ALFORT</v>
      </c>
      <c r="O10" s="1218"/>
      <c r="P10" s="1218"/>
      <c r="Q10" s="1218"/>
      <c r="R10" s="1218"/>
      <c r="S10" s="1218"/>
      <c r="T10" s="1218"/>
      <c r="U10" s="1218"/>
      <c r="V10" s="1218"/>
      <c r="W10" s="1218"/>
      <c r="X10" s="455">
        <f t="shared" si="16"/>
        <v>1</v>
      </c>
      <c r="Y10" s="455" t="str">
        <f t="shared" si="17"/>
        <v/>
      </c>
      <c r="Z10" s="451">
        <f>IF(B10="","",IF('GESTION DES JOUEURS'!$D$8="Open","",IF(AND('GESTION DES JOUEURS'!$D$8="poules",A10&lt;&gt;""),_xlfn.XLOOKUP(RESULTATS!B10,'Phase finale'!$BV$7:$BV$42,'Phase finale'!$CL$7:$CL$42,"",0,1),IF(AND(B10&lt;&gt;"",MAX('GESTION DES JOUEURS'!$A$11:$A$46)&gt;6,'GESTION DES JOUEURS'!$Y$8="JDSR"),_xlfn.XLOOKUP(A10,PTSRKMINITOURNOI[Clt],PTSRKMINITOURNOI[PR JDS 9],"",0,1),IF(AND(B10&lt;&gt;"",MAX('GESTION DES JOUEURS'!$A$11:$A$46)&lt;7,'GESTION DES JOUEURS'!$Y$8="JDSR"),_xlfn.XLOOKUP(A10,PTSRKMINITOURNOI[Clt],PTSRKMINITOURNOI[PR JDS],"",0,1),IF(AND(B10&lt;&gt;"",MAX('GESTION DES JOUEURS'!$A$11:$A$46)&lt;7,'GESTION DES JOUEURS'!$Y$8="R"),_xlfn.XLOOKUP(A10,PTSRKMINITOURNOI[Clt],PTSRKMINITOURNOI[PR 3B],"",0,1),IF(AND(B10&lt;&gt;"",MAX('GESTION DES JOUEURS'!$A$11:$A$46)&gt;6,'GESTION DES JOUEURS'!$Y$8="R"),_xlfn.XLOOKUP(A10,PTSRKTOURNOI[Clt],PTSRKTOURNOI[PR 3B],"",0,1),IF(AND(B10&lt;&gt;"",MAX('GESTION DES JOUEURS'!$A$11:$A$46)&gt;6,'GESTION DES JOUEURS'!$Y$8="Dames"),_xlfn.XLOOKUP(A10,PTSRKTOURNOI[Clt],PTSRKTOURNOI[[PR DAMES ]],"",0,1),IF(AND(B10&lt;&gt;"",'GESTION DES JOUEURS'!$Y$8="D"),_xlfn.XLOOKUP(A10,PTSRKMINITOURNOI[Clt],PTSRKMINITOURNOI[PR DISTRICT],"",0,1),"")))))))))</f>
        <v>8</v>
      </c>
      <c r="AA10" s="451">
        <f>IF(AE10=0,"",IF('GESTION DES JOUEURS'!$D$8="Open","",_xlfn.XLOOKUP(B10,$CL$8:$CL$43,$DK$8:$DK$43,"",0,1)))</f>
        <v>1</v>
      </c>
      <c r="AB10" s="451">
        <f t="shared" si="11"/>
        <v>9</v>
      </c>
      <c r="AC10" s="451">
        <f t="shared" si="18"/>
        <v>4</v>
      </c>
      <c r="AD10" s="451">
        <f t="shared" si="19"/>
        <v>200</v>
      </c>
      <c r="AE10" s="538">
        <f t="shared" si="20"/>
        <v>68</v>
      </c>
      <c r="AF10" s="451">
        <f t="shared" si="21"/>
        <v>19</v>
      </c>
      <c r="AG10" s="456">
        <f t="shared" si="22"/>
        <v>2.9411764705882355</v>
      </c>
      <c r="AH10" s="456">
        <f t="shared" si="23"/>
        <v>3.4482758620689653</v>
      </c>
      <c r="AI10" s="446"/>
      <c r="AK10" s="704"/>
      <c r="AV10" s="1219"/>
      <c r="AW10" s="507">
        <f>'Phase finale'!B43</f>
        <v>6</v>
      </c>
      <c r="AX10" s="507" t="str">
        <f>'Phase finale'!C43</f>
        <v/>
      </c>
      <c r="AY10" s="507" t="str">
        <f>'Phase finale'!D43</f>
        <v/>
      </c>
      <c r="AZ10" s="507">
        <f>'Phase finale'!E43</f>
        <v>0</v>
      </c>
      <c r="BA10" s="507" t="str">
        <f>'Phase finale'!F43</f>
        <v/>
      </c>
      <c r="BB10" s="507">
        <f>'Phase finale'!G43</f>
        <v>0</v>
      </c>
      <c r="BC10" s="507">
        <f>'Phase finale'!H43</f>
        <v>0</v>
      </c>
      <c r="BD10" s="507" t="str">
        <f>'Phase finale'!I43</f>
        <v/>
      </c>
      <c r="BE10" s="507">
        <f>'Phase finale'!J43</f>
        <v>0</v>
      </c>
      <c r="BF10" s="507">
        <f>'Phase finale'!K43</f>
        <v>0</v>
      </c>
      <c r="BG10" s="507">
        <f>'Phase finale'!L43</f>
        <v>0</v>
      </c>
      <c r="BH10" s="507" t="str">
        <f>'Phase finale'!M43</f>
        <v/>
      </c>
      <c r="BI10" s="539" t="str">
        <f>'Phase finale'!N43</f>
        <v/>
      </c>
      <c r="BJ10" s="507" t="str">
        <f>'Phase finale'!O43</f>
        <v/>
      </c>
      <c r="BK10" s="507" t="str">
        <f>'Phase finale'!P43</f>
        <v/>
      </c>
      <c r="BL10" s="507" t="str">
        <f>'Phase finale'!Q43</f>
        <v/>
      </c>
      <c r="BM10" s="507" t="str">
        <f>'Phase finale'!R43</f>
        <v/>
      </c>
      <c r="BN10" s="507" t="str">
        <f>'Phase finale'!S43</f>
        <v/>
      </c>
      <c r="BO10" s="507" t="str">
        <f>'Phase finale'!T43</f>
        <v/>
      </c>
      <c r="BV10" s="506">
        <f t="shared" si="0"/>
        <v>6</v>
      </c>
      <c r="BW10" s="506"/>
      <c r="BX10" s="506">
        <f>IF(AX10="",'Phase finale'!DX12,AX10)</f>
        <v>0</v>
      </c>
      <c r="BY10" s="506" t="str">
        <f t="shared" si="7"/>
        <v/>
      </c>
      <c r="BZ10" s="506" t="str">
        <f t="shared" si="8"/>
        <v/>
      </c>
      <c r="CA10" s="506" t="str">
        <f t="shared" si="9"/>
        <v/>
      </c>
      <c r="CB10" s="506" t="str">
        <f t="shared" si="10"/>
        <v/>
      </c>
      <c r="CC10" s="506" t="str">
        <f t="shared" si="2"/>
        <v/>
      </c>
      <c r="CD10" s="506" t="e">
        <f t="shared" si="1"/>
        <v>#VALUE!</v>
      </c>
      <c r="CE10" s="506" t="str">
        <f t="shared" si="3"/>
        <v/>
      </c>
      <c r="CF10" s="506" t="str">
        <f t="shared" si="4"/>
        <v/>
      </c>
      <c r="CG10" s="506">
        <f t="shared" si="5"/>
        <v>0</v>
      </c>
      <c r="CH10" s="540" t="str">
        <f t="shared" si="6"/>
        <v/>
      </c>
      <c r="CI10" s="244">
        <f>IF(BX10="",37,IF(BX10='Phase finale'!$C$38,1,IF(BX10='Phase finale'!$C$39,2,IF(BX10='Phase finale'!$C$40,3,IF(BX10='Phase finale'!$C$41,4,IF(BX10='Phase finale'!$C$42,5,IF(BX10='Phase finale'!$C$43,6,IF(BX10='Phase finale'!$C$44,7,IF(BX10='Phase finale'!$C$45,8,IF(OR(BX10='Phase finale'!F15,BX10='Phase finale'!$F$10,BX10='Phase finale'!$V$11,BX10='Phase finale'!$V$10),3,IF(OR(BX10='Phase finale'!F17,BX10='Phase finale'!F18,BX10='Phase finale'!F19,BX10='Phase finale'!F20,BX10='Phase finale'!V17,BX10='Phase finale'!V18,BX10='Phase finale'!V19,BX10='Phase finale'!V20),5,IF(_xlfn.XLOOKUP(BX10,Tableau19[Licence],Tableau19[Forfait],"",0,1)=TRUE,36,9))))))))))))</f>
        <v>9</v>
      </c>
      <c r="CL10" s="451" t="str">
        <f>IF('GESTION DES JOUEURS'!B13="",0,'GESTION DES JOUEURS'!B13)</f>
        <v>013335x</v>
      </c>
      <c r="CM10" s="453" t="str">
        <f t="shared" si="24"/>
        <v>HANSEL</v>
      </c>
      <c r="CN10" s="453"/>
      <c r="CO10" s="453"/>
      <c r="CP10" s="453"/>
      <c r="CQ10" s="453"/>
      <c r="CR10" s="453"/>
      <c r="CS10" s="453" t="str">
        <f t="shared" si="12"/>
        <v>GERARD</v>
      </c>
      <c r="CT10" s="453"/>
      <c r="CU10" s="453"/>
      <c r="CV10" s="453"/>
      <c r="CW10" s="453"/>
      <c r="CX10" s="453" t="str">
        <f t="shared" si="13"/>
        <v>ACADEMIE DE BILLARD DE MAISONS ALFORT</v>
      </c>
      <c r="CY10" s="453"/>
      <c r="CZ10" s="453"/>
      <c r="DA10" s="453"/>
      <c r="DB10" s="453"/>
      <c r="DC10" s="453"/>
      <c r="DD10" s="453"/>
      <c r="DE10" s="453"/>
      <c r="DF10" s="453"/>
      <c r="DG10" s="453"/>
      <c r="DH10" s="509">
        <f t="shared" si="14"/>
        <v>3</v>
      </c>
      <c r="DI10" s="509" t="str">
        <f>IFERROR(IF('GESTION DES JOUEURS'!$D$8="Open",_xlfn.XLOOKUP(RESULTATS!CL10,RESULTATS!$DW$8:$DW$43,RESULTATS!$EL$8:$EL$43,"",0,1),_xlfn.XLOOKUP(CL10,$BX$5:$BX$12,$BV$5:$BV$12,_xlfn.XLOOKUP(CL10,$AX$5:$AX$12,$AW$5:$AW$12,"",0,1),0,1)),"")</f>
        <v/>
      </c>
      <c r="DJ10" s="453">
        <f t="shared" si="25"/>
        <v>3</v>
      </c>
      <c r="DK10" s="453">
        <f>IF('GESTION DES JOUEURS'!$D$8="Poules",_xlfn.XLOOKUP(RESULTATS!CL10,'Phase finale'!$BV$7:$BV$42,'Phase finale'!$CM$7:$CM$42,"",0,1),IF(AND(CL10&lt;&gt;0,DQ10&gt;_xlfn.XLOOKUP('GESTION DES JOUEURS'!$D$4,Distances[Mode de jeu et cat.],Distances[M 3],"",0,1)),_xlfn.XLOOKUP('GESTION DES JOUEURS'!$D$4,Distances[Mode de jeu et cat.],Distances[BT3],"",0,1),IF(AND(CL10&lt;&gt;0,DQ10&gt;_xlfn.XLOOKUP('GESTION DES JOUEURS'!$D$4,Distances[Mode de jeu et cat.],Distances[M 2],"",0,1)),_xlfn.XLOOKUP('GESTION DES JOUEURS'!$D$4,Distances[Mode de jeu et cat.],Distances[BT2],"",0,1),IF(AND(CL10&lt;&gt;0,DQ10&gt;_xlfn.XLOOKUP('GESTION DES JOUEURS'!$D$4,Distances[Mode de jeu et cat.],Distances[M 1],"",0,1)),_xlfn.XLOOKUP('GESTION DES JOUEURS'!$D$4,Distances[Mode de jeu et cat.],Distances[BT1],"",0,1),0))))</f>
        <v>2</v>
      </c>
      <c r="DL10" s="453">
        <f t="shared" si="26"/>
        <v>5</v>
      </c>
      <c r="DM10" s="453">
        <f>IF('GESTION DES JOUEURS'!$D$8="Open",_xlfn.XLOOKUP(CL10,RESULTATS!$DW$8:$DW$43,RESULTATS!$EH$8:$EH$43,"",0,1),_xlfn.XLOOKUP(CL10,$BX$5:$BX$48,$CH$5:$CH$48,"",0,1))</f>
        <v>0</v>
      </c>
      <c r="DN10" s="451">
        <f>IFERROR(SUM(_xlfn.XLOOKUP(CL10,_xlfn.ANCHORARRAY('Phase finale'!$DK$7),'Phase finale'!$DP$7:$DP$42,"",0,1),_xlfn.XLOOKUP(CL10,_xlfn.ANCHORARRAY('Phase finale'!$DK$7),'Phase finale'!$DL$7:$DL$42,"",0,1)),"")</f>
        <v>137</v>
      </c>
      <c r="DO10" s="451">
        <f>IFERROR(SUM(_xlfn.XLOOKUP(CL10,_xlfn.ANCHORARRAY('Phase finale'!$DK$7),'Phase finale'!$DQ$7:$DQ$42,"",0,1),_xlfn.XLOOKUP(CL10,_xlfn.ANCHORARRAY('Phase finale'!$DK$7),'Phase finale'!$DM$7:$DM$42,"",0,1)),"")</f>
        <v>75</v>
      </c>
      <c r="DP10" s="517">
        <f t="shared" si="27"/>
        <v>9</v>
      </c>
      <c r="DQ10" s="456">
        <f t="shared" si="28"/>
        <v>1.8266666666666667</v>
      </c>
      <c r="DR10" s="456">
        <f t="shared" si="29"/>
        <v>0</v>
      </c>
      <c r="DS10" s="518">
        <f t="shared" si="15"/>
        <v>9</v>
      </c>
      <c r="DU10" s="244">
        <v>3</v>
      </c>
      <c r="DV10" s="244">
        <v>3</v>
      </c>
      <c r="DW10" s="244" t="str">
        <v/>
      </c>
      <c r="DX10" s="244" t="str">
        <v/>
      </c>
      <c r="DY10" s="244">
        <v>0</v>
      </c>
      <c r="DZ10" s="244" t="str">
        <v/>
      </c>
      <c r="EA10" s="244">
        <v>0</v>
      </c>
      <c r="EB10" s="244">
        <v>0</v>
      </c>
      <c r="EC10" s="244" t="str">
        <v/>
      </c>
      <c r="ED10" s="244">
        <v>0</v>
      </c>
      <c r="EE10" s="244">
        <v>0</v>
      </c>
      <c r="EF10" s="244">
        <v>0</v>
      </c>
      <c r="EG10" s="244" t="str">
        <v/>
      </c>
      <c r="EH10" s="244" t="str">
        <v/>
      </c>
      <c r="EI10" s="244" t="str">
        <v/>
      </c>
      <c r="EJ10" s="244" t="str">
        <v/>
      </c>
      <c r="EK10" s="244" t="str">
        <v/>
      </c>
      <c r="EL10" s="244" t="str">
        <v/>
      </c>
      <c r="EM10" s="244" t="str">
        <v/>
      </c>
      <c r="EN10" s="244" t="str">
        <v/>
      </c>
    </row>
    <row r="11" spans="1:161" ht="24" customHeight="1" x14ac:dyDescent="0.3">
      <c r="A11" s="452">
        <f>IF('GESTION DES JOUEURS'!A13=MAX('GESTION DES JOUEURS'!$A$10:'GESTION DES JOUEURS'!$A$46),"",A10+1)</f>
        <v>4</v>
      </c>
      <c r="B11" s="451" t="str">
        <v>154178K</v>
      </c>
      <c r="C11" s="1218" t="str">
        <f>_xlfn.XLOOKUP(B11,Tableau19[Licence],Tableau19[Nom],"",0,1)</f>
        <v>PONCE</v>
      </c>
      <c r="D11" s="1218"/>
      <c r="E11" s="1218"/>
      <c r="F11" s="1218"/>
      <c r="G11" s="1218"/>
      <c r="H11" s="1218"/>
      <c r="I11" s="1218" t="str">
        <f>_xlfn.XLOOKUP(B11,Tableau19[Licence],Tableau19[[prénom ]],"",0,1)</f>
        <v>FREDERIC</v>
      </c>
      <c r="J11" s="1218"/>
      <c r="K11" s="1218"/>
      <c r="L11" s="1218"/>
      <c r="M11" s="1218"/>
      <c r="N11" s="1218" t="str">
        <f>_xlfn.XLOOKUP(B11,Tableau19[Licence],Tableau19[Club],"",0,1)</f>
        <v>ACADEMIE DE BILLARD DE MAISONS ALFORT</v>
      </c>
      <c r="O11" s="1218"/>
      <c r="P11" s="1218"/>
      <c r="Q11" s="1218"/>
      <c r="R11" s="1218"/>
      <c r="S11" s="1218"/>
      <c r="T11" s="1218"/>
      <c r="U11" s="1218"/>
      <c r="V11" s="1218"/>
      <c r="W11" s="1218"/>
      <c r="X11" s="455">
        <f t="shared" si="16"/>
        <v>1</v>
      </c>
      <c r="Y11" s="455" t="str">
        <f t="shared" si="17"/>
        <v/>
      </c>
      <c r="Z11" s="451">
        <f>IF(B11="","",IF('GESTION DES JOUEURS'!$D$8="Open","",IF(AND('GESTION DES JOUEURS'!$D$8="poules",A11&lt;&gt;""),_xlfn.XLOOKUP(RESULTATS!B11,'Phase finale'!$BV$7:$BV$42,'Phase finale'!$CL$7:$CL$42,"",0,1),IF(AND(B11&lt;&gt;"",MAX('GESTION DES JOUEURS'!$A$11:$A$46)&gt;6,'GESTION DES JOUEURS'!$Y$8="JDSR"),_xlfn.XLOOKUP(A11,PTSRKMINITOURNOI[Clt],PTSRKMINITOURNOI[PR JDS 9],"",0,1),IF(AND(B11&lt;&gt;"",MAX('GESTION DES JOUEURS'!$A$11:$A$46)&lt;7,'GESTION DES JOUEURS'!$Y$8="JDSR"),_xlfn.XLOOKUP(A11,PTSRKMINITOURNOI[Clt],PTSRKMINITOURNOI[PR JDS],"",0,1),IF(AND(B11&lt;&gt;"",MAX('GESTION DES JOUEURS'!$A$11:$A$46)&lt;7,'GESTION DES JOUEURS'!$Y$8="R"),_xlfn.XLOOKUP(A11,PTSRKMINITOURNOI[Clt],PTSRKMINITOURNOI[PR 3B],"",0,1),IF(AND(B11&lt;&gt;"",MAX('GESTION DES JOUEURS'!$A$11:$A$46)&gt;6,'GESTION DES JOUEURS'!$Y$8="R"),_xlfn.XLOOKUP(A11,PTSRKTOURNOI[Clt],PTSRKTOURNOI[PR 3B],"",0,1),IF(AND(B11&lt;&gt;"",MAX('GESTION DES JOUEURS'!$A$11:$A$46)&gt;6,'GESTION DES JOUEURS'!$Y$8="Dames"),_xlfn.XLOOKUP(A11,PTSRKTOURNOI[Clt],PTSRKTOURNOI[[PR DAMES ]],"",0,1),IF(AND(B11&lt;&gt;"",'GESTION DES JOUEURS'!$Y$8="D"),_xlfn.XLOOKUP(A11,PTSRKMINITOURNOI[Clt],PTSRKMINITOURNOI[PR DISTRICT],"",0,1),"")))))))))</f>
        <v>8</v>
      </c>
      <c r="AA11" s="451">
        <f>IF(AE11=0,"",IF('GESTION DES JOUEURS'!$D$8="Open","",_xlfn.XLOOKUP(B11,$CL$8:$CL$43,$DK$8:$DK$43,"",0,1)))</f>
        <v>2</v>
      </c>
      <c r="AB11" s="451">
        <f>IFERROR(VALUE(Z11)+VALUE(AA11),"")</f>
        <v>10</v>
      </c>
      <c r="AC11" s="451">
        <f t="shared" si="18"/>
        <v>4</v>
      </c>
      <c r="AD11" s="451">
        <f t="shared" si="19"/>
        <v>200</v>
      </c>
      <c r="AE11" s="538">
        <f t="shared" si="20"/>
        <v>72</v>
      </c>
      <c r="AF11" s="451">
        <f t="shared" si="21"/>
        <v>14</v>
      </c>
      <c r="AG11" s="456">
        <f t="shared" si="22"/>
        <v>2.7777777777777777</v>
      </c>
      <c r="AH11" s="456">
        <f t="shared" si="23"/>
        <v>2.8571428571428572</v>
      </c>
      <c r="AI11" s="446"/>
      <c r="AK11" s="705" t="s">
        <v>8113</v>
      </c>
      <c r="AV11" s="1219"/>
      <c r="AW11" s="507">
        <f>'Phase finale'!B44</f>
        <v>7</v>
      </c>
      <c r="AX11" s="507" t="str">
        <f>'Phase finale'!C44</f>
        <v/>
      </c>
      <c r="AY11" s="507" t="str">
        <f>'Phase finale'!D44</f>
        <v/>
      </c>
      <c r="AZ11" s="507">
        <f>'Phase finale'!E44</f>
        <v>0</v>
      </c>
      <c r="BA11" s="507" t="str">
        <f>'Phase finale'!F44</f>
        <v/>
      </c>
      <c r="BB11" s="507">
        <f>'Phase finale'!G44</f>
        <v>0</v>
      </c>
      <c r="BC11" s="507">
        <f>'Phase finale'!H44</f>
        <v>0</v>
      </c>
      <c r="BD11" s="507" t="str">
        <f>'Phase finale'!I44</f>
        <v/>
      </c>
      <c r="BE11" s="507">
        <f>'Phase finale'!J44</f>
        <v>0</v>
      </c>
      <c r="BF11" s="507">
        <f>'Phase finale'!K44</f>
        <v>0</v>
      </c>
      <c r="BG11" s="507">
        <f>'Phase finale'!L44</f>
        <v>0</v>
      </c>
      <c r="BH11" s="507" t="str">
        <f>'Phase finale'!M44</f>
        <v/>
      </c>
      <c r="BI11" s="539" t="str">
        <f>'Phase finale'!N44</f>
        <v/>
      </c>
      <c r="BJ11" s="507" t="str">
        <f>'Phase finale'!O44</f>
        <v/>
      </c>
      <c r="BK11" s="507" t="str">
        <f>'Phase finale'!P44</f>
        <v/>
      </c>
      <c r="BL11" s="507" t="str">
        <f>'Phase finale'!Q44</f>
        <v/>
      </c>
      <c r="BM11" s="507" t="str">
        <f>'Phase finale'!R44</f>
        <v/>
      </c>
      <c r="BN11" s="507" t="str">
        <f>'Phase finale'!S44</f>
        <v/>
      </c>
      <c r="BO11" s="507" t="str">
        <f>'Phase finale'!T44</f>
        <v/>
      </c>
      <c r="BV11" s="506">
        <f t="shared" si="0"/>
        <v>7</v>
      </c>
      <c r="BW11" s="506"/>
      <c r="BX11" s="506">
        <f>IF(AX11="",'Phase finale'!DX13,AX11)</f>
        <v>0</v>
      </c>
      <c r="BY11" s="506" t="str">
        <f t="shared" si="7"/>
        <v/>
      </c>
      <c r="BZ11" s="506" t="str">
        <f t="shared" si="8"/>
        <v/>
      </c>
      <c r="CA11" s="506" t="str">
        <f t="shared" si="9"/>
        <v/>
      </c>
      <c r="CB11" s="506" t="str">
        <f t="shared" si="10"/>
        <v/>
      </c>
      <c r="CC11" s="506" t="str">
        <f t="shared" si="2"/>
        <v/>
      </c>
      <c r="CD11" s="506">
        <f t="shared" si="1"/>
        <v>0</v>
      </c>
      <c r="CE11" s="506" t="str">
        <f t="shared" si="3"/>
        <v/>
      </c>
      <c r="CF11" s="506" t="str">
        <f t="shared" si="4"/>
        <v/>
      </c>
      <c r="CG11" s="506">
        <f t="shared" si="5"/>
        <v>0</v>
      </c>
      <c r="CH11" s="540" t="str">
        <f t="shared" si="6"/>
        <v/>
      </c>
      <c r="CI11" s="244">
        <f>IF(BX11="",37,IF(BX11='Phase finale'!$C$38,1,IF(BX11='Phase finale'!$C$39,2,IF(BX11='Phase finale'!$C$40,3,IF(BX11='Phase finale'!$C$41,4,IF(BX11='Phase finale'!$C$42,5,IF(BX11='Phase finale'!$C$43,6,IF(BX11='Phase finale'!$C$44,7,IF(BX11='Phase finale'!$C$45,8,IF(OR(BX11='Phase finale'!F16,BX11='Phase finale'!$F$10,BX11='Phase finale'!$V$11,BX11='Phase finale'!$V$10),3,IF(OR(BX11='Phase finale'!F18,BX11='Phase finale'!F19,BX11='Phase finale'!F20,BX11='Phase finale'!F21,BX11='Phase finale'!V18,BX11='Phase finale'!V19,BX11='Phase finale'!V20,BX11='Phase finale'!V21),5,IF(_xlfn.XLOOKUP(BX11,Tableau19[Licence],Tableau19[Forfait],"",0,1)=TRUE,36,9))))))))))))</f>
        <v>9</v>
      </c>
      <c r="CL11" s="451" t="str">
        <f>IF('GESTION DES JOUEURS'!B14="",0,'GESTION DES JOUEURS'!B14)</f>
        <v>183133H</v>
      </c>
      <c r="CM11" s="453" t="str">
        <f t="shared" si="24"/>
        <v>ROCHE</v>
      </c>
      <c r="CN11" s="453"/>
      <c r="CO11" s="453"/>
      <c r="CP11" s="453"/>
      <c r="CQ11" s="453"/>
      <c r="CR11" s="453"/>
      <c r="CS11" s="453" t="str">
        <f t="shared" si="12"/>
        <v>PATRICK</v>
      </c>
      <c r="CT11" s="453"/>
      <c r="CU11" s="453"/>
      <c r="CV11" s="453"/>
      <c r="CW11" s="453"/>
      <c r="CX11" s="453" t="str">
        <f t="shared" si="13"/>
        <v>BILLARD CLUB DE LIVRY GARGAN</v>
      </c>
      <c r="CY11" s="453"/>
      <c r="CZ11" s="453"/>
      <c r="DA11" s="453"/>
      <c r="DB11" s="453"/>
      <c r="DC11" s="453"/>
      <c r="DD11" s="453"/>
      <c r="DE11" s="453"/>
      <c r="DF11" s="453"/>
      <c r="DG11" s="453"/>
      <c r="DH11" s="509">
        <f t="shared" si="14"/>
        <v>2</v>
      </c>
      <c r="DI11" s="509" t="str">
        <f>IFERROR(IF('GESTION DES JOUEURS'!$D$8="Open",_xlfn.XLOOKUP(RESULTATS!CL11,RESULTATS!$DW$8:$DW$43,RESULTATS!$EL$8:$EL$43,"",0,1),_xlfn.XLOOKUP(CL11,$BX$5:$BX$12,$BV$5:$BV$12,_xlfn.XLOOKUP(CL11,$AX$5:$AX$12,$AW$5:$AW$12,"",0,1),0,1)),"")</f>
        <v/>
      </c>
      <c r="DJ11" s="453">
        <f t="shared" si="25"/>
        <v>5</v>
      </c>
      <c r="DK11" s="453">
        <f>IF('GESTION DES JOUEURS'!$D$8="Poules",_xlfn.XLOOKUP(RESULTATS!CL11,'Phase finale'!$BV$7:$BV$42,'Phase finale'!$CM$7:$CM$42,"",0,1),IF(AND(CL11&lt;&gt;0,DQ11&gt;_xlfn.XLOOKUP('GESTION DES JOUEURS'!$D$4,Distances[Mode de jeu et cat.],Distances[M 3],"",0,1)),_xlfn.XLOOKUP('GESTION DES JOUEURS'!$D$4,Distances[Mode de jeu et cat.],Distances[BT3],"",0,1),IF(AND(CL11&lt;&gt;0,DQ11&gt;_xlfn.XLOOKUP('GESTION DES JOUEURS'!$D$4,Distances[Mode de jeu et cat.],Distances[M 2],"",0,1)),_xlfn.XLOOKUP('GESTION DES JOUEURS'!$D$4,Distances[Mode de jeu et cat.],Distances[BT2],"",0,1),IF(AND(CL11&lt;&gt;0,DQ11&gt;_xlfn.XLOOKUP('GESTION DES JOUEURS'!$D$4,Distances[Mode de jeu et cat.],Distances[M 1],"",0,1)),_xlfn.XLOOKUP('GESTION DES JOUEURS'!$D$4,Distances[Mode de jeu et cat.],Distances[BT1],"",0,1),0))))</f>
        <v>1</v>
      </c>
      <c r="DL11" s="453">
        <f t="shared" si="26"/>
        <v>6</v>
      </c>
      <c r="DM11" s="453">
        <f>IF('GESTION DES JOUEURS'!$D$8="Open",_xlfn.XLOOKUP(CL11,RESULTATS!$DW$8:$DW$43,RESULTATS!$EH$8:$EH$43,"",0,1),_xlfn.XLOOKUP(CL11,$BX$5:$BX$48,$CH$5:$CH$48,"",0,1))</f>
        <v>2</v>
      </c>
      <c r="DN11" s="451">
        <f>IFERROR(SUM(_xlfn.XLOOKUP(CL11,_xlfn.ANCHORARRAY('Phase finale'!$DK$7),'Phase finale'!$DP$7:$DP$42,"",0,1),_xlfn.XLOOKUP(CL11,_xlfn.ANCHORARRAY('Phase finale'!$DK$7),'Phase finale'!$DL$7:$DL$42,"",0,1)),"")</f>
        <v>167</v>
      </c>
      <c r="DO11" s="451">
        <f>IFERROR(SUM(_xlfn.XLOOKUP(CL11,_xlfn.ANCHORARRAY('Phase finale'!$DK$7),'Phase finale'!$DQ$7:$DQ$42,"",0,1),_xlfn.XLOOKUP(CL11,_xlfn.ANCHORARRAY('Phase finale'!$DK$7),'Phase finale'!$DM$7:$DM$42,"",0,1)),"")</f>
        <v>72</v>
      </c>
      <c r="DP11" s="517">
        <f t="shared" si="27"/>
        <v>18</v>
      </c>
      <c r="DQ11" s="456">
        <f t="shared" si="28"/>
        <v>2.3194444444444446</v>
      </c>
      <c r="DR11" s="456">
        <f t="shared" si="29"/>
        <v>3.0303030303030303</v>
      </c>
      <c r="DS11" s="518">
        <f t="shared" si="15"/>
        <v>9</v>
      </c>
      <c r="DU11" s="244">
        <v>4</v>
      </c>
      <c r="DV11" s="244">
        <v>4</v>
      </c>
      <c r="DW11" s="244" t="str">
        <v/>
      </c>
      <c r="DX11" s="244" t="str">
        <v/>
      </c>
      <c r="DY11" s="244">
        <v>0</v>
      </c>
      <c r="DZ11" s="244" t="str">
        <v/>
      </c>
      <c r="EA11" s="244">
        <v>0</v>
      </c>
      <c r="EB11" s="244">
        <v>0</v>
      </c>
      <c r="EC11" s="244" t="str">
        <v/>
      </c>
      <c r="ED11" s="244">
        <v>0</v>
      </c>
      <c r="EE11" s="244">
        <v>0</v>
      </c>
      <c r="EF11" s="244">
        <v>0</v>
      </c>
      <c r="EG11" s="244" t="str">
        <v/>
      </c>
      <c r="EH11" s="244" t="str">
        <v/>
      </c>
      <c r="EI11" s="244" t="str">
        <v/>
      </c>
      <c r="EJ11" s="244" t="str">
        <v/>
      </c>
      <c r="EK11" s="244" t="str">
        <v/>
      </c>
      <c r="EL11" s="244" t="str">
        <v/>
      </c>
      <c r="EM11" s="244" t="str">
        <v/>
      </c>
      <c r="EN11" s="244" t="str">
        <v/>
      </c>
    </row>
    <row r="12" spans="1:161" ht="24" customHeight="1" x14ac:dyDescent="0.3">
      <c r="A12" s="452">
        <f>IF('GESTION DES JOUEURS'!A14=MAX('GESTION DES JOUEURS'!$A$10:'GESTION DES JOUEURS'!$A$46),"",A11+1)</f>
        <v>5</v>
      </c>
      <c r="B12" s="451" t="str">
        <v>183133H</v>
      </c>
      <c r="C12" s="1218" t="str">
        <f>_xlfn.XLOOKUP(B12,Tableau19[Licence],Tableau19[Nom],"",0,1)</f>
        <v>ROCHE</v>
      </c>
      <c r="D12" s="1218"/>
      <c r="E12" s="1218"/>
      <c r="F12" s="1218"/>
      <c r="G12" s="1218"/>
      <c r="H12" s="1218"/>
      <c r="I12" s="1218" t="str">
        <f>_xlfn.XLOOKUP(B12,Tableau19[Licence],Tableau19[[prénom ]],"",0,1)</f>
        <v>PATRICK</v>
      </c>
      <c r="J12" s="1218"/>
      <c r="K12" s="1218"/>
      <c r="L12" s="1218"/>
      <c r="M12" s="1218"/>
      <c r="N12" s="1218" t="str">
        <f>_xlfn.XLOOKUP(B12,Tableau19[Licence],Tableau19[Club],"",0,1)</f>
        <v>BILLARD CLUB DE LIVRY GARGAN</v>
      </c>
      <c r="O12" s="1218"/>
      <c r="P12" s="1218"/>
      <c r="Q12" s="1218"/>
      <c r="R12" s="1218"/>
      <c r="S12" s="1218"/>
      <c r="T12" s="1218"/>
      <c r="U12" s="1218"/>
      <c r="V12" s="1218"/>
      <c r="W12" s="1218"/>
      <c r="X12" s="455">
        <f t="shared" si="16"/>
        <v>2</v>
      </c>
      <c r="Y12" s="455" t="str">
        <f t="shared" si="17"/>
        <v/>
      </c>
      <c r="Z12" s="451">
        <f>IF(B12="","",IF('GESTION DES JOUEURS'!$D$8="Open","",IF(AND('GESTION DES JOUEURS'!$D$8="poules",A12&lt;&gt;""),_xlfn.XLOOKUP(RESULTATS!B12,'Phase finale'!$BV$7:$BV$42,'Phase finale'!$CL$7:$CL$42,"",0,1),IF(AND(B12&lt;&gt;"",MAX('GESTION DES JOUEURS'!$A$11:$A$46)&gt;6,'GESTION DES JOUEURS'!$Y$8="JDSR"),_xlfn.XLOOKUP(A12,PTSRKMINITOURNOI[Clt],PTSRKMINITOURNOI[PR JDS 9],"",0,1),IF(AND(B12&lt;&gt;"",MAX('GESTION DES JOUEURS'!$A$11:$A$46)&lt;7,'GESTION DES JOUEURS'!$Y$8="JDSR"),_xlfn.XLOOKUP(A12,PTSRKMINITOURNOI[Clt],PTSRKMINITOURNOI[PR JDS],"",0,1),IF(AND(B12&lt;&gt;"",MAX('GESTION DES JOUEURS'!$A$11:$A$46)&lt;7,'GESTION DES JOUEURS'!$Y$8="R"),_xlfn.XLOOKUP(A12,PTSRKMINITOURNOI[Clt],PTSRKMINITOURNOI[PR 3B],"",0,1),IF(AND(B12&lt;&gt;"",MAX('GESTION DES JOUEURS'!$A$11:$A$46)&gt;6,'GESTION DES JOUEURS'!$Y$8="R"),_xlfn.XLOOKUP(A12,PTSRKTOURNOI[Clt],PTSRKTOURNOI[PR 3B],"",0,1),IF(AND(B12&lt;&gt;"",MAX('GESTION DES JOUEURS'!$A$11:$A$46)&gt;6,'GESTION DES JOUEURS'!$Y$8="Dames"),_xlfn.XLOOKUP(A12,PTSRKTOURNOI[Clt],PTSRKTOURNOI[[PR DAMES ]],"",0,1),IF(AND(B12&lt;&gt;"",'GESTION DES JOUEURS'!$Y$8="D"),_xlfn.XLOOKUP(A12,PTSRKMINITOURNOI[Clt],PTSRKMINITOURNOI[PR DISTRICT],"",0,1),"")))))))))</f>
        <v>5</v>
      </c>
      <c r="AA12" s="451">
        <f>IF(AE12=0,"",IF('GESTION DES JOUEURS'!$D$8="Open","",_xlfn.XLOOKUP(B12,$CL$8:$CL$43,$DK$8:$DK$43,"",0,1)))</f>
        <v>1</v>
      </c>
      <c r="AB12" s="451">
        <f t="shared" si="11"/>
        <v>6</v>
      </c>
      <c r="AC12" s="451">
        <f t="shared" si="18"/>
        <v>2</v>
      </c>
      <c r="AD12" s="451">
        <f t="shared" si="19"/>
        <v>167</v>
      </c>
      <c r="AE12" s="538">
        <f t="shared" si="20"/>
        <v>72</v>
      </c>
      <c r="AF12" s="451">
        <f t="shared" si="21"/>
        <v>18</v>
      </c>
      <c r="AG12" s="456">
        <f t="shared" si="22"/>
        <v>2.3194444444444446</v>
      </c>
      <c r="AH12" s="456">
        <f t="shared" si="23"/>
        <v>3.0303030303030303</v>
      </c>
      <c r="AI12" s="446"/>
      <c r="AK12" s="705"/>
      <c r="AV12" s="1219"/>
      <c r="AW12" s="507">
        <f>'Phase finale'!B45</f>
        <v>8</v>
      </c>
      <c r="AX12" s="507" t="str">
        <f>'Phase finale'!C45</f>
        <v/>
      </c>
      <c r="AY12" s="507" t="str">
        <f>'Phase finale'!D45</f>
        <v/>
      </c>
      <c r="AZ12" s="507">
        <f>'Phase finale'!E45</f>
        <v>0</v>
      </c>
      <c r="BA12" s="507" t="str">
        <f>'Phase finale'!F45</f>
        <v/>
      </c>
      <c r="BB12" s="507">
        <f>'Phase finale'!G45</f>
        <v>0</v>
      </c>
      <c r="BC12" s="507">
        <f>'Phase finale'!H45</f>
        <v>0</v>
      </c>
      <c r="BD12" s="507" t="str">
        <f>'Phase finale'!I45</f>
        <v/>
      </c>
      <c r="BE12" s="507">
        <f>'Phase finale'!J45</f>
        <v>0</v>
      </c>
      <c r="BF12" s="507">
        <f>'Phase finale'!K45</f>
        <v>0</v>
      </c>
      <c r="BG12" s="507">
        <f>'Phase finale'!L45</f>
        <v>0</v>
      </c>
      <c r="BH12" s="507" t="str">
        <f>'Phase finale'!M45</f>
        <v/>
      </c>
      <c r="BI12" s="539" t="str">
        <f>'Phase finale'!N45</f>
        <v/>
      </c>
      <c r="BJ12" s="507" t="str">
        <f>'Phase finale'!O45</f>
        <v/>
      </c>
      <c r="BK12" s="507" t="str">
        <f>'Phase finale'!P45</f>
        <v/>
      </c>
      <c r="BL12" s="507" t="str">
        <f>'Phase finale'!Q45</f>
        <v/>
      </c>
      <c r="BM12" s="507" t="str">
        <f>'Phase finale'!R45</f>
        <v/>
      </c>
      <c r="BN12" s="507" t="str">
        <f>'Phase finale'!S45</f>
        <v/>
      </c>
      <c r="BO12" s="507" t="str">
        <f>'Phase finale'!T45</f>
        <v/>
      </c>
      <c r="BV12" s="506">
        <f t="shared" si="0"/>
        <v>8</v>
      </c>
      <c r="BW12" s="506"/>
      <c r="BX12" s="506">
        <f>IF(AX12="",'Phase finale'!DX14,AX12)</f>
        <v>0</v>
      </c>
      <c r="BY12" s="506" t="str">
        <f t="shared" si="7"/>
        <v/>
      </c>
      <c r="BZ12" s="506" t="str">
        <f t="shared" si="8"/>
        <v/>
      </c>
      <c r="CA12" s="506" t="str">
        <f t="shared" si="9"/>
        <v/>
      </c>
      <c r="CB12" s="506" t="str">
        <f t="shared" si="10"/>
        <v/>
      </c>
      <c r="CC12" s="506" t="str">
        <f t="shared" si="2"/>
        <v/>
      </c>
      <c r="CD12" s="506">
        <f t="shared" si="1"/>
        <v>0</v>
      </c>
      <c r="CE12" s="506" t="str">
        <f t="shared" si="3"/>
        <v/>
      </c>
      <c r="CF12" s="506" t="str">
        <f t="shared" si="4"/>
        <v/>
      </c>
      <c r="CG12" s="506">
        <f t="shared" si="5"/>
        <v>0</v>
      </c>
      <c r="CH12" s="540" t="str">
        <f t="shared" si="6"/>
        <v/>
      </c>
      <c r="CI12" s="244">
        <f>IF(BX12="",37,IF(BX12='Phase finale'!$C$38,1,IF(BX12='Phase finale'!$C$39,2,IF(BX12='Phase finale'!$C$40,3,IF(BX12='Phase finale'!$C$41,4,IF(BX12='Phase finale'!$C$42,5,IF(BX12='Phase finale'!$C$43,6,IF(BX12='Phase finale'!$C$44,7,IF(BX12='Phase finale'!$C$45,8,IF(OR(BX12='Phase finale'!F17,BX12='Phase finale'!$F$10,BX12='Phase finale'!$V$11,BX12='Phase finale'!$V$10),3,IF(OR(BX12='Phase finale'!F19,BX12='Phase finale'!F20,BX12='Phase finale'!F21,BX12='Phase finale'!F22,BX12='Phase finale'!V19,BX12='Phase finale'!V20,BX12='Phase finale'!V21,BX12='Phase finale'!V22),5,IF(_xlfn.XLOOKUP(BX12,Tableau19[Licence],Tableau19[Forfait],"",0,1)=TRUE,36,9))))))))))))</f>
        <v>9</v>
      </c>
      <c r="CL12" s="451" t="str">
        <f>IF('GESTION DES JOUEURS'!B15="",0,'GESTION DES JOUEURS'!B15)</f>
        <v>148333G</v>
      </c>
      <c r="CM12" s="453" t="str">
        <f t="shared" si="24"/>
        <v>MA PHUOC</v>
      </c>
      <c r="CN12" s="453"/>
      <c r="CO12" s="453"/>
      <c r="CP12" s="453"/>
      <c r="CQ12" s="453"/>
      <c r="CR12" s="453"/>
      <c r="CS12" s="453" t="str">
        <f t="shared" si="12"/>
        <v>BICH</v>
      </c>
      <c r="CT12" s="453"/>
      <c r="CU12" s="453"/>
      <c r="CV12" s="453"/>
      <c r="CW12" s="453"/>
      <c r="CX12" s="453" t="str">
        <f t="shared" si="13"/>
        <v>ACADEMIE DE BILLARD DE MAISONS ALFORT</v>
      </c>
      <c r="CY12" s="453"/>
      <c r="CZ12" s="453"/>
      <c r="DA12" s="453"/>
      <c r="DB12" s="453"/>
      <c r="DC12" s="453"/>
      <c r="DD12" s="453"/>
      <c r="DE12" s="453"/>
      <c r="DF12" s="453"/>
      <c r="DG12" s="453"/>
      <c r="DH12" s="509">
        <f t="shared" si="14"/>
        <v>1</v>
      </c>
      <c r="DI12" s="509" t="str">
        <f>IFERROR(IF('GESTION DES JOUEURS'!$D$8="Open",_xlfn.XLOOKUP(RESULTATS!CL12,RESULTATS!$DW$8:$DW$43,RESULTATS!$EL$8:$EL$43,"",0,1),_xlfn.XLOOKUP(CL12,$BX$5:$BX$12,$BV$5:$BV$12,_xlfn.XLOOKUP(CL12,$AX$5:$AX$12,$AW$5:$AW$12,"",0,1),0,1)),"")</f>
        <v/>
      </c>
      <c r="DJ12" s="453">
        <f t="shared" si="25"/>
        <v>8</v>
      </c>
      <c r="DK12" s="453">
        <f>IF('GESTION DES JOUEURS'!$D$8="Poules",_xlfn.XLOOKUP(RESULTATS!CL12,'Phase finale'!$BV$7:$BV$42,'Phase finale'!$CM$7:$CM$42,"",0,1),IF(AND(CL12&lt;&gt;0,DQ12&gt;_xlfn.XLOOKUP('GESTION DES JOUEURS'!$D$4,Distances[Mode de jeu et cat.],Distances[M 3],"",0,1)),_xlfn.XLOOKUP('GESTION DES JOUEURS'!$D$4,Distances[Mode de jeu et cat.],Distances[BT3],"",0,1),IF(AND(CL12&lt;&gt;0,DQ12&gt;_xlfn.XLOOKUP('GESTION DES JOUEURS'!$D$4,Distances[Mode de jeu et cat.],Distances[M 2],"",0,1)),_xlfn.XLOOKUP('GESTION DES JOUEURS'!$D$4,Distances[Mode de jeu et cat.],Distances[BT2],"",0,1),IF(AND(CL12&lt;&gt;0,DQ12&gt;_xlfn.XLOOKUP('GESTION DES JOUEURS'!$D$4,Distances[Mode de jeu et cat.],Distances[M 1],"",0,1)),_xlfn.XLOOKUP('GESTION DES JOUEURS'!$D$4,Distances[Mode de jeu et cat.],Distances[BT1],"",0,1),0))))</f>
        <v>1</v>
      </c>
      <c r="DL12" s="453">
        <f t="shared" si="26"/>
        <v>9</v>
      </c>
      <c r="DM12" s="453">
        <f>IF('GESTION DES JOUEURS'!$D$8="Open",_xlfn.XLOOKUP(CL12,RESULTATS!$DW$8:$DW$43,RESULTATS!$EH$8:$EH$43,"",0,1),_xlfn.XLOOKUP(CL12,$BX$5:$BX$48,$CH$5:$CH$48,"",0,1))</f>
        <v>4</v>
      </c>
      <c r="DN12" s="451">
        <f>IFERROR(SUM(_xlfn.XLOOKUP(CL12,_xlfn.ANCHORARRAY('Phase finale'!$DK$7),'Phase finale'!$DP$7:$DP$42,"",0,1),_xlfn.XLOOKUP(CL12,_xlfn.ANCHORARRAY('Phase finale'!$DK$7),'Phase finale'!$DL$7:$DL$42,"",0,1)),"")</f>
        <v>200</v>
      </c>
      <c r="DO12" s="451">
        <f>IFERROR(SUM(_xlfn.XLOOKUP(CL12,_xlfn.ANCHORARRAY('Phase finale'!$DK$7),'Phase finale'!$DQ$7:$DQ$42,"",0,1),_xlfn.XLOOKUP(CL12,_xlfn.ANCHORARRAY('Phase finale'!$DK$7),'Phase finale'!$DM$7:$DM$42,"",0,1)),"")</f>
        <v>68</v>
      </c>
      <c r="DP12" s="517">
        <f t="shared" si="27"/>
        <v>19</v>
      </c>
      <c r="DQ12" s="456">
        <f t="shared" si="28"/>
        <v>2.9411764705882355</v>
      </c>
      <c r="DR12" s="456">
        <f t="shared" si="29"/>
        <v>3.4482758620689653</v>
      </c>
      <c r="DS12" s="518">
        <f t="shared" si="15"/>
        <v>9</v>
      </c>
      <c r="DU12" s="244">
        <v>5</v>
      </c>
      <c r="DV12" s="244">
        <v>5</v>
      </c>
      <c r="DW12" s="244" t="str">
        <v/>
      </c>
      <c r="DX12" s="244" t="str">
        <v/>
      </c>
      <c r="DY12" s="244">
        <v>0</v>
      </c>
      <c r="DZ12" s="244" t="str">
        <v/>
      </c>
      <c r="EA12" s="244">
        <v>0</v>
      </c>
      <c r="EB12" s="244">
        <v>0</v>
      </c>
      <c r="EC12" s="244" t="str">
        <v/>
      </c>
      <c r="ED12" s="244">
        <v>0</v>
      </c>
      <c r="EE12" s="244">
        <v>0</v>
      </c>
      <c r="EF12" s="244">
        <v>0</v>
      </c>
      <c r="EG12" s="244" t="str">
        <v/>
      </c>
      <c r="EH12" s="244" t="str">
        <v/>
      </c>
      <c r="EI12" s="244" t="str">
        <v/>
      </c>
      <c r="EJ12" s="244" t="str">
        <v/>
      </c>
      <c r="EK12" s="244" t="str">
        <v/>
      </c>
      <c r="EL12" s="244" t="str">
        <v/>
      </c>
      <c r="EM12" s="244" t="str">
        <v/>
      </c>
      <c r="EN12" s="244" t="str">
        <v/>
      </c>
    </row>
    <row r="13" spans="1:161" ht="24" customHeight="1" x14ac:dyDescent="0.3">
      <c r="A13" s="452">
        <f>IF('GESTION DES JOUEURS'!A15=MAX('GESTION DES JOUEURS'!$A$10:'GESTION DES JOUEURS'!$A$46),"",A12+1)</f>
        <v>6</v>
      </c>
      <c r="B13" s="451" t="str">
        <v>157535J</v>
      </c>
      <c r="C13" s="1218" t="str">
        <f>_xlfn.XLOOKUP(B13,Tableau19[Licence],Tableau19[Nom],"",0,1)</f>
        <v>PIBOURDIN</v>
      </c>
      <c r="D13" s="1218"/>
      <c r="E13" s="1218"/>
      <c r="F13" s="1218"/>
      <c r="G13" s="1218"/>
      <c r="H13" s="1218"/>
      <c r="I13" s="1218" t="str">
        <f>_xlfn.XLOOKUP(B13,Tableau19[Licence],Tableau19[[prénom ]],"",0,1)</f>
        <v>ERIC</v>
      </c>
      <c r="J13" s="1218"/>
      <c r="K13" s="1218"/>
      <c r="L13" s="1218"/>
      <c r="M13" s="1218"/>
      <c r="N13" s="1218" t="str">
        <f>_xlfn.XLOOKUP(B13,Tableau19[Licence],Tableau19[Club],"",0,1)</f>
        <v>ACADEMIE DE BILLARD DE MAISONS ALFORT</v>
      </c>
      <c r="O13" s="1218"/>
      <c r="P13" s="1218"/>
      <c r="Q13" s="1218"/>
      <c r="R13" s="1218"/>
      <c r="S13" s="1218"/>
      <c r="T13" s="1218"/>
      <c r="U13" s="1218"/>
      <c r="V13" s="1218"/>
      <c r="W13" s="1218"/>
      <c r="X13" s="455">
        <f t="shared" si="16"/>
        <v>2</v>
      </c>
      <c r="Y13" s="455" t="str">
        <f t="shared" si="17"/>
        <v/>
      </c>
      <c r="Z13" s="451">
        <f>IF(B13="","",IF('GESTION DES JOUEURS'!$D$8="Open","",IF(AND('GESTION DES JOUEURS'!$D$8="poules",A13&lt;&gt;""),_xlfn.XLOOKUP(RESULTATS!B13,'Phase finale'!$BV$7:$BV$42,'Phase finale'!$CL$7:$CL$42,"",0,1),IF(AND(B13&lt;&gt;"",MAX('GESTION DES JOUEURS'!$A$11:$A$46)&gt;6,'GESTION DES JOUEURS'!$Y$8="JDSR"),_xlfn.XLOOKUP(A13,PTSRKMINITOURNOI[Clt],PTSRKMINITOURNOI[PR JDS 9],"",0,1),IF(AND(B13&lt;&gt;"",MAX('GESTION DES JOUEURS'!$A$11:$A$46)&lt;7,'GESTION DES JOUEURS'!$Y$8="JDSR"),_xlfn.XLOOKUP(A13,PTSRKMINITOURNOI[Clt],PTSRKMINITOURNOI[PR JDS],"",0,1),IF(AND(B13&lt;&gt;"",MAX('GESTION DES JOUEURS'!$A$11:$A$46)&lt;7,'GESTION DES JOUEURS'!$Y$8="R"),_xlfn.XLOOKUP(A13,PTSRKMINITOURNOI[Clt],PTSRKMINITOURNOI[PR 3B],"",0,1),IF(AND(B13&lt;&gt;"",MAX('GESTION DES JOUEURS'!$A$11:$A$46)&gt;6,'GESTION DES JOUEURS'!$Y$8="R"),_xlfn.XLOOKUP(A13,PTSRKTOURNOI[Clt],PTSRKTOURNOI[PR 3B],"",0,1),IF(AND(B13&lt;&gt;"",MAX('GESTION DES JOUEURS'!$A$11:$A$46)&gt;6,'GESTION DES JOUEURS'!$Y$8="Dames"),_xlfn.XLOOKUP(A13,PTSRKTOURNOI[Clt],PTSRKTOURNOI[[PR DAMES ]],"",0,1),IF(AND(B13&lt;&gt;"",'GESTION DES JOUEURS'!$Y$8="D"),_xlfn.XLOOKUP(A13,PTSRKMINITOURNOI[Clt],PTSRKMINITOURNOI[PR DISTRICT],"",0,1),"")))))))))</f>
        <v>5</v>
      </c>
      <c r="AA13" s="451">
        <f>IF(AE13=0,"",IF('GESTION DES JOUEURS'!$D$8="Open","",_xlfn.XLOOKUP(B13,$CL$8:$CL$43,$DK$8:$DK$43,"",0,1)))</f>
        <v>2</v>
      </c>
      <c r="AB13" s="451">
        <f t="shared" si="11"/>
        <v>7</v>
      </c>
      <c r="AC13" s="451">
        <f t="shared" si="18"/>
        <v>2</v>
      </c>
      <c r="AD13" s="451">
        <f t="shared" si="19"/>
        <v>176</v>
      </c>
      <c r="AE13" s="538">
        <f t="shared" si="20"/>
        <v>77</v>
      </c>
      <c r="AF13" s="451">
        <f t="shared" si="21"/>
        <v>23</v>
      </c>
      <c r="AG13" s="456">
        <f t="shared" si="22"/>
        <v>2.2857142857142856</v>
      </c>
      <c r="AH13" s="456">
        <f t="shared" si="23"/>
        <v>2.125</v>
      </c>
      <c r="AI13" s="446"/>
      <c r="AK13" s="706" t="s">
        <v>8114</v>
      </c>
      <c r="AV13" s="1224" t="s">
        <v>10276</v>
      </c>
      <c r="AW13" s="244" cm="1">
        <f t="array" ref="AW13:BO48">'Phase finale'!BU7:CM42</f>
        <v>1</v>
      </c>
      <c r="AX13" s="244" t="str">
        <v/>
      </c>
      <c r="AY13" s="244" t="str">
        <v/>
      </c>
      <c r="AZ13" s="244">
        <v>0</v>
      </c>
      <c r="BA13" s="244" t="str">
        <v/>
      </c>
      <c r="BB13" s="244">
        <v>0</v>
      </c>
      <c r="BC13" s="244" t="str">
        <v/>
      </c>
      <c r="BD13" s="244">
        <v>0</v>
      </c>
      <c r="BE13" s="244">
        <v>0</v>
      </c>
      <c r="BF13" s="244">
        <v>0</v>
      </c>
      <c r="BG13" s="244">
        <v>0</v>
      </c>
      <c r="BH13" s="244">
        <v>0</v>
      </c>
      <c r="BI13" s="244" t="str">
        <v/>
      </c>
      <c r="BJ13" s="244" t="str">
        <v/>
      </c>
      <c r="BK13" s="244" t="str">
        <v/>
      </c>
      <c r="BL13" s="244" t="str">
        <v/>
      </c>
      <c r="BM13" s="244" t="str">
        <v/>
      </c>
      <c r="BN13" s="244" t="str">
        <v/>
      </c>
      <c r="BO13" s="244" t="str">
        <v/>
      </c>
      <c r="BV13" s="506"/>
      <c r="BW13" s="506">
        <f t="shared" ref="BW13:BW48" si="30">AW13</f>
        <v>1</v>
      </c>
      <c r="BX13" s="506" t="str">
        <f t="shared" ref="BX13:BX48" si="31">AX13</f>
        <v/>
      </c>
      <c r="BY13" s="506" t="str">
        <f t="shared" ref="BY13:BY48" si="32">AY13</f>
        <v/>
      </c>
      <c r="BZ13" s="506" t="str">
        <f t="shared" ref="BZ13:BZ48" si="33">BA13</f>
        <v/>
      </c>
      <c r="CA13" s="506" t="str">
        <f t="shared" ref="CA13:CA48" si="34">BC13</f>
        <v/>
      </c>
      <c r="CB13" s="506" t="str">
        <f t="shared" ref="CB13:CB48" si="35">BJ13</f>
        <v/>
      </c>
      <c r="CC13" s="506" t="str">
        <f t="shared" ref="CC13:CC48" si="36">IF(AY13=0,"",_xlfn.XLOOKUP(BX13,$AX$13:$AX$48,$BK$13:$BK$48,"",0,1))</f>
        <v/>
      </c>
      <c r="CD13" s="506" t="str">
        <f>BL13</f>
        <v/>
      </c>
      <c r="CE13" s="506" t="str">
        <f t="shared" si="3"/>
        <v/>
      </c>
      <c r="CF13" s="506" t="str">
        <f t="shared" si="4"/>
        <v/>
      </c>
      <c r="CG13" s="506">
        <f t="shared" si="5"/>
        <v>0</v>
      </c>
      <c r="CH13" s="506" t="str">
        <f>BI13</f>
        <v/>
      </c>
      <c r="CI13" s="244">
        <f>IF(BX13="",37,IF(BX13='Phase finale'!$C$38,1,IF(BX13='Phase finale'!$C$39,2,IF(BX13='Phase finale'!$C$40,3,IF(BX13='Phase finale'!$C$41,4,IF(BX13='Phase finale'!$C$42,5,IF(BX13='Phase finale'!$C$43,6,IF(BX13='Phase finale'!$C$44,7,IF(BX13='Phase finale'!$C$45,8,IF(OR(BX13='Phase finale'!F18,BX13='Phase finale'!$F$10,BX13='Phase finale'!$V$11,BX13='Phase finale'!$V$10),3,IF(OR(BX13='Phase finale'!F20,BX13='Phase finale'!F21,BX13='Phase finale'!F22,BX13='Phase finale'!F23,BX13='Phase finale'!V20,BX13='Phase finale'!V21,BX13='Phase finale'!V22,BX13='Phase finale'!V23),5,IF(_xlfn.XLOOKUP(BX13,Tableau19[Licence],Tableau19[Forfait],"",0,1)=TRUE,36,9))))))))))))</f>
        <v>37</v>
      </c>
      <c r="CL13" s="451" t="str">
        <f>IF('GESTION DES JOUEURS'!B16="",0,'GESTION DES JOUEURS'!B16)</f>
        <v>156543F</v>
      </c>
      <c r="CM13" s="453" t="str">
        <f t="shared" si="24"/>
        <v>FERNANDES ALVES</v>
      </c>
      <c r="CN13" s="453"/>
      <c r="CO13" s="453"/>
      <c r="CP13" s="453"/>
      <c r="CQ13" s="453"/>
      <c r="CR13" s="453"/>
      <c r="CS13" s="453" t="str">
        <f t="shared" si="12"/>
        <v>FRANCISCO</v>
      </c>
      <c r="CT13" s="453"/>
      <c r="CU13" s="453"/>
      <c r="CV13" s="453"/>
      <c r="CW13" s="453"/>
      <c r="CX13" s="453" t="str">
        <f t="shared" si="13"/>
        <v>ACADEMIE DE BILLARD DE MAISONS ALFORT</v>
      </c>
      <c r="CY13" s="453"/>
      <c r="CZ13" s="453"/>
      <c r="DA13" s="453"/>
      <c r="DB13" s="453"/>
      <c r="DC13" s="453"/>
      <c r="DD13" s="453"/>
      <c r="DE13" s="453"/>
      <c r="DF13" s="453"/>
      <c r="DG13" s="453"/>
      <c r="DH13" s="509">
        <f t="shared" si="14"/>
        <v>3</v>
      </c>
      <c r="DI13" s="509" t="str">
        <f>IFERROR(IF('GESTION DES JOUEURS'!$D$8="Open",_xlfn.XLOOKUP(RESULTATS!CL13,RESULTATS!$DW$8:$DW$43,RESULTATS!$EL$8:$EL$43,"",0,1),_xlfn.XLOOKUP(CL13,$BX$5:$BX$12,$BV$5:$BV$12,_xlfn.XLOOKUP(CL13,$AX$5:$AX$12,$AW$5:$AW$12,"",0,1),0,1)),"")</f>
        <v/>
      </c>
      <c r="DJ13" s="453">
        <f t="shared" si="25"/>
        <v>3</v>
      </c>
      <c r="DK13" s="453">
        <f>IF('GESTION DES JOUEURS'!$D$8="Poules",_xlfn.XLOOKUP(RESULTATS!CL13,'Phase finale'!$BV$7:$BV$42,'Phase finale'!$CM$7:$CM$42,"",0,1),IF(AND(CL13&lt;&gt;0,DQ13&gt;_xlfn.XLOOKUP('GESTION DES JOUEURS'!$D$4,Distances[Mode de jeu et cat.],Distances[M 3],"",0,1)),_xlfn.XLOOKUP('GESTION DES JOUEURS'!$D$4,Distances[Mode de jeu et cat.],Distances[BT3],"",0,1),IF(AND(CL13&lt;&gt;0,DQ13&gt;_xlfn.XLOOKUP('GESTION DES JOUEURS'!$D$4,Distances[Mode de jeu et cat.],Distances[M 2],"",0,1)),_xlfn.XLOOKUP('GESTION DES JOUEURS'!$D$4,Distances[Mode de jeu et cat.],Distances[BT2],"",0,1),IF(AND(CL13&lt;&gt;0,DQ13&gt;_xlfn.XLOOKUP('GESTION DES JOUEURS'!$D$4,Distances[Mode de jeu et cat.],Distances[M 1],"",0,1)),_xlfn.XLOOKUP('GESTION DES JOUEURS'!$D$4,Distances[Mode de jeu et cat.],Distances[BT1],"",0,1),0))))</f>
        <v>1</v>
      </c>
      <c r="DL13" s="453">
        <f t="shared" si="26"/>
        <v>4</v>
      </c>
      <c r="DM13" s="453">
        <f>IF('GESTION DES JOUEURS'!$D$8="Open",_xlfn.XLOOKUP(CL13,RESULTATS!$DW$8:$DW$43,RESULTATS!$EH$8:$EH$43,"",0,1),_xlfn.XLOOKUP(CL13,$BX$5:$BX$48,$CH$5:$CH$48,"",0,1))</f>
        <v>0</v>
      </c>
      <c r="DN13" s="451">
        <f>IFERROR(SUM(_xlfn.XLOOKUP(CL13,_xlfn.ANCHORARRAY('Phase finale'!$DK$7),'Phase finale'!$DP$7:$DP$42,"",0,1),_xlfn.XLOOKUP(CL13,_xlfn.ANCHORARRAY('Phase finale'!$DK$7),'Phase finale'!$DL$7:$DL$42,"",0,1)),"")</f>
        <v>132</v>
      </c>
      <c r="DO13" s="451">
        <f>IFERROR(SUM(_xlfn.XLOOKUP(CL13,_xlfn.ANCHORARRAY('Phase finale'!$DK$7),'Phase finale'!$DQ$7:$DQ$42,"",0,1),_xlfn.XLOOKUP(CL13,_xlfn.ANCHORARRAY('Phase finale'!$DK$7),'Phase finale'!$DM$7:$DM$42,"",0,1)),"")</f>
        <v>62</v>
      </c>
      <c r="DP13" s="517">
        <f t="shared" si="27"/>
        <v>16</v>
      </c>
      <c r="DQ13" s="456">
        <f t="shared" si="28"/>
        <v>2.129032258064516</v>
      </c>
      <c r="DR13" s="456">
        <f t="shared" si="29"/>
        <v>0</v>
      </c>
      <c r="DS13" s="518">
        <f t="shared" si="15"/>
        <v>9</v>
      </c>
      <c r="DU13" s="244">
        <v>6</v>
      </c>
      <c r="DV13" s="244">
        <v>6</v>
      </c>
      <c r="DW13" s="244" t="str">
        <v/>
      </c>
      <c r="DX13" s="244" t="str">
        <v/>
      </c>
      <c r="DY13" s="244">
        <v>0</v>
      </c>
      <c r="DZ13" s="244" t="str">
        <v/>
      </c>
      <c r="EA13" s="244">
        <v>0</v>
      </c>
      <c r="EB13" s="244">
        <v>0</v>
      </c>
      <c r="EC13" s="244" t="str">
        <v/>
      </c>
      <c r="ED13" s="244">
        <v>0</v>
      </c>
      <c r="EE13" s="244">
        <v>0</v>
      </c>
      <c r="EF13" s="244">
        <v>0</v>
      </c>
      <c r="EG13" s="244" t="str">
        <v/>
      </c>
      <c r="EH13" s="244" t="str">
        <v/>
      </c>
      <c r="EI13" s="244" t="str">
        <v/>
      </c>
      <c r="EJ13" s="244" t="str">
        <v/>
      </c>
      <c r="EK13" s="244" t="str">
        <v/>
      </c>
      <c r="EL13" s="244" t="str">
        <v/>
      </c>
      <c r="EM13" s="244" t="str">
        <v/>
      </c>
      <c r="EN13" s="244" t="str">
        <v/>
      </c>
    </row>
    <row r="14" spans="1:161" ht="24" customHeight="1" x14ac:dyDescent="0.3">
      <c r="A14" s="452">
        <f>IF('GESTION DES JOUEURS'!A16=MAX('GESTION DES JOUEURS'!$A$10:'GESTION DES JOUEURS'!$A$46),"",A13+1)</f>
        <v>7</v>
      </c>
      <c r="B14" s="451" t="str">
        <v>154522J</v>
      </c>
      <c r="C14" s="1218" t="str">
        <f>_xlfn.XLOOKUP(B14,Tableau19[Licence],Tableau19[Nom],"",0,1)</f>
        <v>PIVONET</v>
      </c>
      <c r="D14" s="1218"/>
      <c r="E14" s="1218"/>
      <c r="F14" s="1218"/>
      <c r="G14" s="1218"/>
      <c r="H14" s="1218"/>
      <c r="I14" s="1218" t="str">
        <f>_xlfn.XLOOKUP(B14,Tableau19[Licence],Tableau19[[prénom ]],"",0,1)</f>
        <v>FRANCIS</v>
      </c>
      <c r="J14" s="1218"/>
      <c r="K14" s="1218"/>
      <c r="L14" s="1218"/>
      <c r="M14" s="1218"/>
      <c r="N14" s="1218" t="str">
        <f>_xlfn.XLOOKUP(B14,Tableau19[Licence],Tableau19[Club],"",0,1)</f>
        <v>ASS. BILLARD AMATEUR DE SAINT MAUR</v>
      </c>
      <c r="O14" s="1218"/>
      <c r="P14" s="1218"/>
      <c r="Q14" s="1218"/>
      <c r="R14" s="1218"/>
      <c r="S14" s="1218"/>
      <c r="T14" s="1218"/>
      <c r="U14" s="1218"/>
      <c r="V14" s="1218"/>
      <c r="W14" s="1218"/>
      <c r="X14" s="455">
        <f t="shared" si="16"/>
        <v>2</v>
      </c>
      <c r="Y14" s="455" t="str">
        <f t="shared" si="17"/>
        <v/>
      </c>
      <c r="Z14" s="451">
        <f>IF(B14="","",IF('GESTION DES JOUEURS'!$D$8="Open","",IF(AND('GESTION DES JOUEURS'!$D$8="poules",A14&lt;&gt;""),_xlfn.XLOOKUP(RESULTATS!B14,'Phase finale'!$BV$7:$BV$42,'Phase finale'!$CL$7:$CL$42,"",0,1),IF(AND(B14&lt;&gt;"",MAX('GESTION DES JOUEURS'!$A$11:$A$46)&gt;6,'GESTION DES JOUEURS'!$Y$8="JDSR"),_xlfn.XLOOKUP(A14,PTSRKMINITOURNOI[Clt],PTSRKMINITOURNOI[PR JDS 9],"",0,1),IF(AND(B14&lt;&gt;"",MAX('GESTION DES JOUEURS'!$A$11:$A$46)&lt;7,'GESTION DES JOUEURS'!$Y$8="JDSR"),_xlfn.XLOOKUP(A14,PTSRKMINITOURNOI[Clt],PTSRKMINITOURNOI[PR JDS],"",0,1),IF(AND(B14&lt;&gt;"",MAX('GESTION DES JOUEURS'!$A$11:$A$46)&lt;7,'GESTION DES JOUEURS'!$Y$8="R"),_xlfn.XLOOKUP(A14,PTSRKMINITOURNOI[Clt],PTSRKMINITOURNOI[PR 3B],"",0,1),IF(AND(B14&lt;&gt;"",MAX('GESTION DES JOUEURS'!$A$11:$A$46)&gt;6,'GESTION DES JOUEURS'!$Y$8="R"),_xlfn.XLOOKUP(A14,PTSRKTOURNOI[Clt],PTSRKTOURNOI[PR 3B],"",0,1),IF(AND(B14&lt;&gt;"",MAX('GESTION DES JOUEURS'!$A$11:$A$46)&gt;6,'GESTION DES JOUEURS'!$Y$8="Dames"),_xlfn.XLOOKUP(A14,PTSRKTOURNOI[Clt],PTSRKTOURNOI[[PR DAMES ]],"",0,1),IF(AND(B14&lt;&gt;"",'GESTION DES JOUEURS'!$Y$8="D"),_xlfn.XLOOKUP(A14,PTSRKMINITOURNOI[Clt],PTSRKMINITOURNOI[PR DISTRICT],"",0,1),"")))))))))</f>
        <v>5</v>
      </c>
      <c r="AA14" s="451">
        <f>IF(AE14=0,"",IF('GESTION DES JOUEURS'!$D$8="Open","",_xlfn.XLOOKUP(B14,$CL$8:$CL$43,$DK$8:$DK$43,"",0,1)))</f>
        <v>2</v>
      </c>
      <c r="AB14" s="451">
        <f t="shared" si="11"/>
        <v>7</v>
      </c>
      <c r="AC14" s="451">
        <f t="shared" si="18"/>
        <v>2</v>
      </c>
      <c r="AD14" s="451">
        <f t="shared" si="19"/>
        <v>151</v>
      </c>
      <c r="AE14" s="538">
        <f t="shared" si="20"/>
        <v>68</v>
      </c>
      <c r="AF14" s="451">
        <f t="shared" si="21"/>
        <v>23</v>
      </c>
      <c r="AG14" s="456">
        <f t="shared" si="22"/>
        <v>2.2205882352941178</v>
      </c>
      <c r="AH14" s="456">
        <f t="shared" si="23"/>
        <v>2.375</v>
      </c>
      <c r="AI14" s="446"/>
      <c r="AK14" s="706"/>
      <c r="AV14" s="1224"/>
      <c r="AW14" s="244">
        <v>2</v>
      </c>
      <c r="AX14" s="244" t="str">
        <v/>
      </c>
      <c r="AY14" s="244" t="str">
        <v/>
      </c>
      <c r="AZ14" s="244">
        <v>0</v>
      </c>
      <c r="BA14" s="244" t="str">
        <v/>
      </c>
      <c r="BB14" s="244">
        <v>0</v>
      </c>
      <c r="BC14" s="244" t="str">
        <v/>
      </c>
      <c r="BD14" s="244">
        <v>0</v>
      </c>
      <c r="BE14" s="244">
        <v>0</v>
      </c>
      <c r="BF14" s="244">
        <v>0</v>
      </c>
      <c r="BG14" s="244">
        <v>0</v>
      </c>
      <c r="BH14" s="244">
        <v>0</v>
      </c>
      <c r="BI14" s="244" t="str">
        <v/>
      </c>
      <c r="BJ14" s="244" t="str">
        <v/>
      </c>
      <c r="BK14" s="244" t="str">
        <v/>
      </c>
      <c r="BL14" s="244" t="str">
        <v/>
      </c>
      <c r="BM14" s="244" t="str">
        <v/>
      </c>
      <c r="BN14" s="244" t="str">
        <v/>
      </c>
      <c r="BO14" s="244" t="str">
        <v/>
      </c>
      <c r="BV14" s="506"/>
      <c r="BW14" s="506">
        <f t="shared" si="30"/>
        <v>2</v>
      </c>
      <c r="BX14" s="506" t="str">
        <f t="shared" si="31"/>
        <v/>
      </c>
      <c r="BY14" s="506" t="str">
        <f t="shared" si="32"/>
        <v/>
      </c>
      <c r="BZ14" s="506" t="str">
        <f t="shared" si="33"/>
        <v/>
      </c>
      <c r="CA14" s="506" t="str">
        <f t="shared" si="34"/>
        <v/>
      </c>
      <c r="CB14" s="506" t="str">
        <f t="shared" si="35"/>
        <v/>
      </c>
      <c r="CC14" s="506" t="str">
        <f t="shared" si="36"/>
        <v/>
      </c>
      <c r="CD14" s="506" t="str">
        <f t="shared" ref="CD14:CD48" si="37">BL14</f>
        <v/>
      </c>
      <c r="CE14" s="506" t="str">
        <f t="shared" si="3"/>
        <v/>
      </c>
      <c r="CF14" s="506" t="str">
        <f t="shared" si="4"/>
        <v/>
      </c>
      <c r="CG14" s="506">
        <f t="shared" si="5"/>
        <v>0</v>
      </c>
      <c r="CH14" s="506" t="str">
        <f t="shared" ref="CH14:CH48" si="38">BI14</f>
        <v/>
      </c>
      <c r="CI14" s="244">
        <f>IF(BX14="",37,IF(BX14='Phase finale'!$C$38,1,IF(BX14='Phase finale'!$C$39,2,IF(BX14='Phase finale'!$C$40,3,IF(BX14='Phase finale'!$C$41,4,IF(BX14='Phase finale'!$C$42,5,IF(BX14='Phase finale'!$C$43,6,IF(BX14='Phase finale'!$C$44,7,IF(BX14='Phase finale'!$C$45,8,IF(OR(BX14='Phase finale'!F19,BX14='Phase finale'!$F$10,BX14='Phase finale'!$V$11,BX14='Phase finale'!$V$10),3,IF(OR(BX14='Phase finale'!F21,BX14='Phase finale'!F22,BX14='Phase finale'!F23,BX14='Phase finale'!F24,BX14='Phase finale'!V21,BX14='Phase finale'!V22,BX14='Phase finale'!V23,BX14='Phase finale'!V24),5,IF(_xlfn.XLOOKUP(BX14,Tableau19[Licence],Tableau19[Forfait],"",0,1)=TRUE,36,9))))))))))))</f>
        <v>37</v>
      </c>
      <c r="CL14" s="451" t="str">
        <f>IF('GESTION DES JOUEURS'!B17="",0,'GESTION DES JOUEURS'!B17)</f>
        <v>111337F</v>
      </c>
      <c r="CM14" s="453" t="str">
        <f t="shared" si="24"/>
        <v>GONTHIER</v>
      </c>
      <c r="CN14" s="453"/>
      <c r="CO14" s="453"/>
      <c r="CP14" s="453"/>
      <c r="CQ14" s="453"/>
      <c r="CR14" s="453"/>
      <c r="CS14" s="453" t="str">
        <f t="shared" si="12"/>
        <v>ARNAUD</v>
      </c>
      <c r="CT14" s="453"/>
      <c r="CU14" s="453"/>
      <c r="CV14" s="453"/>
      <c r="CW14" s="453"/>
      <c r="CX14" s="453" t="str">
        <f t="shared" si="13"/>
        <v>ASS. BILLARD AMATEUR DE SAINT MAUR</v>
      </c>
      <c r="CY14" s="453"/>
      <c r="CZ14" s="453"/>
      <c r="DA14" s="453"/>
      <c r="DB14" s="453"/>
      <c r="DC14" s="453"/>
      <c r="DD14" s="453"/>
      <c r="DE14" s="453"/>
      <c r="DF14" s="453"/>
      <c r="DG14" s="453"/>
      <c r="DH14" s="509">
        <f t="shared" si="14"/>
        <v>1</v>
      </c>
      <c r="DI14" s="509" t="str">
        <f>IFERROR(IF('GESTION DES JOUEURS'!$D$8="Open",_xlfn.XLOOKUP(RESULTATS!CL14,RESULTATS!$DW$8:$DW$43,RESULTATS!$EL$8:$EL$43,"",0,1),_xlfn.XLOOKUP(CL14,$BX$5:$BX$12,$BV$5:$BV$12,_xlfn.XLOOKUP(CL14,$AX$5:$AX$12,$AW$5:$AW$12,"",0,1),0,1)),"")</f>
        <v/>
      </c>
      <c r="DJ14" s="453">
        <f t="shared" si="25"/>
        <v>8</v>
      </c>
      <c r="DK14" s="453">
        <f>IF('GESTION DES JOUEURS'!$D$8="Poules",_xlfn.XLOOKUP(RESULTATS!CL14,'Phase finale'!$BV$7:$BV$42,'Phase finale'!$CM$7:$CM$42,"",0,1),IF(AND(CL14&lt;&gt;0,DQ14&gt;_xlfn.XLOOKUP('GESTION DES JOUEURS'!$D$4,Distances[Mode de jeu et cat.],Distances[M 3],"",0,1)),_xlfn.XLOOKUP('GESTION DES JOUEURS'!$D$4,Distances[Mode de jeu et cat.],Distances[BT3],"",0,1),IF(AND(CL14&lt;&gt;0,DQ14&gt;_xlfn.XLOOKUP('GESTION DES JOUEURS'!$D$4,Distances[Mode de jeu et cat.],Distances[M 2],"",0,1)),_xlfn.XLOOKUP('GESTION DES JOUEURS'!$D$4,Distances[Mode de jeu et cat.],Distances[BT2],"",0,1),IF(AND(CL14&lt;&gt;0,DQ14&gt;_xlfn.XLOOKUP('GESTION DES JOUEURS'!$D$4,Distances[Mode de jeu et cat.],Distances[M 1],"",0,1)),_xlfn.XLOOKUP('GESTION DES JOUEURS'!$D$4,Distances[Mode de jeu et cat.],Distances[BT1],"",0,1),0))))</f>
        <v>2</v>
      </c>
      <c r="DL14" s="453">
        <f t="shared" si="26"/>
        <v>10</v>
      </c>
      <c r="DM14" s="453">
        <f>IF('GESTION DES JOUEURS'!$D$8="Open",_xlfn.XLOOKUP(CL14,RESULTATS!$DW$8:$DW$43,RESULTATS!$EH$8:$EH$43,"",0,1),_xlfn.XLOOKUP(CL14,$BX$5:$BX$48,$CH$5:$CH$48,"",0,1))</f>
        <v>4</v>
      </c>
      <c r="DN14" s="451">
        <f>IFERROR(SUM(_xlfn.XLOOKUP(CL14,_xlfn.ANCHORARRAY('Phase finale'!$DK$7),'Phase finale'!$DP$7:$DP$42,"",0,1),_xlfn.XLOOKUP(CL14,_xlfn.ANCHORARRAY('Phase finale'!$DK$7),'Phase finale'!$DL$7:$DL$42,"",0,1)),"")</f>
        <v>200</v>
      </c>
      <c r="DO14" s="451">
        <f>IFERROR(SUM(_xlfn.XLOOKUP(CL14,_xlfn.ANCHORARRAY('Phase finale'!$DK$7),'Phase finale'!$DQ$7:$DQ$42,"",0,1),_xlfn.XLOOKUP(CL14,_xlfn.ANCHORARRAY('Phase finale'!$DK$7),'Phase finale'!$DM$7:$DM$42,"",0,1)),"")</f>
        <v>66</v>
      </c>
      <c r="DP14" s="517">
        <f t="shared" si="27"/>
        <v>19</v>
      </c>
      <c r="DQ14" s="456">
        <f t="shared" si="28"/>
        <v>3.0303030303030303</v>
      </c>
      <c r="DR14" s="456">
        <f t="shared" si="29"/>
        <v>3.5714285714285716</v>
      </c>
      <c r="DS14" s="518">
        <f t="shared" si="15"/>
        <v>9</v>
      </c>
      <c r="DU14" s="244">
        <v>7</v>
      </c>
      <c r="DV14" s="244">
        <v>7</v>
      </c>
      <c r="DW14" s="244" t="str">
        <v/>
      </c>
      <c r="DX14" s="244" t="str">
        <v/>
      </c>
      <c r="DY14" s="244">
        <v>0</v>
      </c>
      <c r="DZ14" s="244" t="str">
        <v/>
      </c>
      <c r="EA14" s="244">
        <v>0</v>
      </c>
      <c r="EB14" s="244">
        <v>0</v>
      </c>
      <c r="EC14" s="244" t="str">
        <v/>
      </c>
      <c r="ED14" s="244">
        <v>0</v>
      </c>
      <c r="EE14" s="244">
        <v>0</v>
      </c>
      <c r="EF14" s="244">
        <v>0</v>
      </c>
      <c r="EG14" s="244" t="str">
        <v/>
      </c>
      <c r="EH14" s="244" t="str">
        <v/>
      </c>
      <c r="EI14" s="244" t="str">
        <v/>
      </c>
      <c r="EJ14" s="244" t="str">
        <v/>
      </c>
      <c r="EK14" s="244" t="str">
        <v/>
      </c>
      <c r="EL14" s="244" t="str">
        <v/>
      </c>
      <c r="EM14" s="244" t="str">
        <v/>
      </c>
      <c r="EN14" s="244" t="str">
        <v/>
      </c>
    </row>
    <row r="15" spans="1:161" ht="24" customHeight="1" x14ac:dyDescent="0.3">
      <c r="A15" s="452">
        <f>IF('GESTION DES JOUEURS'!A17=MAX('GESTION DES JOUEURS'!$A$10:'GESTION DES JOUEURS'!$A$46),"",A14+1)</f>
        <v>8</v>
      </c>
      <c r="B15" s="451" t="str">
        <v>013428M</v>
      </c>
      <c r="C15" s="1218" t="str">
        <f>_xlfn.XLOOKUP(B15,Tableau19[Licence],Tableau19[Nom],"",0,1)</f>
        <v>KEREBEL</v>
      </c>
      <c r="D15" s="1218"/>
      <c r="E15" s="1218"/>
      <c r="F15" s="1218"/>
      <c r="G15" s="1218"/>
      <c r="H15" s="1218"/>
      <c r="I15" s="1218" t="str">
        <f>_xlfn.XLOOKUP(B15,Tableau19[Licence],Tableau19[[prénom ]],"",0,1)</f>
        <v>ERIC</v>
      </c>
      <c r="J15" s="1218"/>
      <c r="K15" s="1218"/>
      <c r="L15" s="1218"/>
      <c r="M15" s="1218"/>
      <c r="N15" s="1218" t="str">
        <f>_xlfn.XLOOKUP(B15,Tableau19[Licence],Tableau19[Club],"",0,1)</f>
        <v>ASS. BILLARD AMATEUR DE SAINT MAUR</v>
      </c>
      <c r="O15" s="1218"/>
      <c r="P15" s="1218"/>
      <c r="Q15" s="1218"/>
      <c r="R15" s="1218"/>
      <c r="S15" s="1218"/>
      <c r="T15" s="1218"/>
      <c r="U15" s="1218"/>
      <c r="V15" s="1218"/>
      <c r="W15" s="1218"/>
      <c r="X15" s="455">
        <f t="shared" si="16"/>
        <v>2</v>
      </c>
      <c r="Y15" s="455" t="str">
        <f t="shared" si="17"/>
        <v/>
      </c>
      <c r="Z15" s="451">
        <f>IF(B15="","",IF('GESTION DES JOUEURS'!$D$8="Open","",IF(AND('GESTION DES JOUEURS'!$D$8="poules",A15&lt;&gt;""),_xlfn.XLOOKUP(RESULTATS!B15,'Phase finale'!$BV$7:$BV$42,'Phase finale'!$CL$7:$CL$42,"",0,1),IF(AND(B15&lt;&gt;"",MAX('GESTION DES JOUEURS'!$A$11:$A$46)&gt;6,'GESTION DES JOUEURS'!$Y$8="JDSR"),_xlfn.XLOOKUP(A15,PTSRKMINITOURNOI[Clt],PTSRKMINITOURNOI[PR JDS 9],"",0,1),IF(AND(B15&lt;&gt;"",MAX('GESTION DES JOUEURS'!$A$11:$A$46)&lt;7,'GESTION DES JOUEURS'!$Y$8="JDSR"),_xlfn.XLOOKUP(A15,PTSRKMINITOURNOI[Clt],PTSRKMINITOURNOI[PR JDS],"",0,1),IF(AND(B15&lt;&gt;"",MAX('GESTION DES JOUEURS'!$A$11:$A$46)&lt;7,'GESTION DES JOUEURS'!$Y$8="R"),_xlfn.XLOOKUP(A15,PTSRKMINITOURNOI[Clt],PTSRKMINITOURNOI[PR 3B],"",0,1),IF(AND(B15&lt;&gt;"",MAX('GESTION DES JOUEURS'!$A$11:$A$46)&gt;6,'GESTION DES JOUEURS'!$Y$8="R"),_xlfn.XLOOKUP(A15,PTSRKTOURNOI[Clt],PTSRKTOURNOI[PR 3B],"",0,1),IF(AND(B15&lt;&gt;"",MAX('GESTION DES JOUEURS'!$A$11:$A$46)&gt;6,'GESTION DES JOUEURS'!$Y$8="Dames"),_xlfn.XLOOKUP(A15,PTSRKTOURNOI[Clt],PTSRKTOURNOI[[PR DAMES ]],"",0,1),IF(AND(B15&lt;&gt;"",'GESTION DES JOUEURS'!$Y$8="D"),_xlfn.XLOOKUP(A15,PTSRKMINITOURNOI[Clt],PTSRKMINITOURNOI[PR DISTRICT],"",0,1),"")))))))))</f>
        <v>5</v>
      </c>
      <c r="AA15" s="451">
        <f>IF(AE15=0,"",IF('GESTION DES JOUEURS'!$D$8="Open","",_xlfn.XLOOKUP(B15,$CL$8:$CL$43,$DK$8:$DK$43,"",0,1)))</f>
        <v>2</v>
      </c>
      <c r="AB15" s="451">
        <f t="shared" si="11"/>
        <v>7</v>
      </c>
      <c r="AC15" s="451">
        <f t="shared" si="18"/>
        <v>0</v>
      </c>
      <c r="AD15" s="451">
        <f t="shared" si="19"/>
        <v>132</v>
      </c>
      <c r="AE15" s="538">
        <f t="shared" si="20"/>
        <v>48</v>
      </c>
      <c r="AF15" s="451">
        <f t="shared" si="21"/>
        <v>20</v>
      </c>
      <c r="AG15" s="456">
        <f t="shared" si="22"/>
        <v>2.75</v>
      </c>
      <c r="AH15" s="456" t="str">
        <f t="shared" si="23"/>
        <v>/</v>
      </c>
      <c r="AI15" s="446"/>
      <c r="AK15" s="707" t="s">
        <v>8115</v>
      </c>
      <c r="AV15" s="1224"/>
      <c r="AW15" s="244">
        <v>3</v>
      </c>
      <c r="AX15" s="244" t="str">
        <v/>
      </c>
      <c r="AY15" s="244" t="str">
        <v/>
      </c>
      <c r="AZ15" s="244">
        <v>0</v>
      </c>
      <c r="BA15" s="244" t="str">
        <v/>
      </c>
      <c r="BB15" s="244">
        <v>0</v>
      </c>
      <c r="BC15" s="244" t="str">
        <v/>
      </c>
      <c r="BD15" s="244">
        <v>0</v>
      </c>
      <c r="BE15" s="244">
        <v>0</v>
      </c>
      <c r="BF15" s="244">
        <v>0</v>
      </c>
      <c r="BG15" s="244">
        <v>0</v>
      </c>
      <c r="BH15" s="244">
        <v>0</v>
      </c>
      <c r="BI15" s="244" t="str">
        <v/>
      </c>
      <c r="BJ15" s="244" t="str">
        <v/>
      </c>
      <c r="BK15" s="244" t="str">
        <v/>
      </c>
      <c r="BL15" s="244" t="str">
        <v/>
      </c>
      <c r="BM15" s="244" t="str">
        <v/>
      </c>
      <c r="BN15" s="244" t="str">
        <v/>
      </c>
      <c r="BO15" s="244" t="str">
        <v/>
      </c>
      <c r="BV15" s="506"/>
      <c r="BW15" s="506">
        <f t="shared" si="30"/>
        <v>3</v>
      </c>
      <c r="BX15" s="506" t="str">
        <f t="shared" si="31"/>
        <v/>
      </c>
      <c r="BY15" s="506" t="str">
        <f t="shared" si="32"/>
        <v/>
      </c>
      <c r="BZ15" s="506" t="str">
        <f t="shared" si="33"/>
        <v/>
      </c>
      <c r="CA15" s="506" t="str">
        <f t="shared" si="34"/>
        <v/>
      </c>
      <c r="CB15" s="506" t="str">
        <f t="shared" si="35"/>
        <v/>
      </c>
      <c r="CC15" s="506" t="str">
        <f t="shared" si="36"/>
        <v/>
      </c>
      <c r="CD15" s="506" t="str">
        <f t="shared" si="37"/>
        <v/>
      </c>
      <c r="CE15" s="506" t="str">
        <f t="shared" si="3"/>
        <v/>
      </c>
      <c r="CF15" s="506" t="str">
        <f t="shared" si="4"/>
        <v/>
      </c>
      <c r="CG15" s="506">
        <f t="shared" si="5"/>
        <v>0</v>
      </c>
      <c r="CH15" s="506" t="str">
        <f t="shared" si="38"/>
        <v/>
      </c>
      <c r="CI15" s="244">
        <f>IF(BX15="",37,IF(BX15='Phase finale'!$C$38,1,IF(BX15='Phase finale'!$C$39,2,IF(BX15='Phase finale'!$C$40,3,IF(BX15='Phase finale'!$C$41,4,IF(BX15='Phase finale'!$C$42,5,IF(BX15='Phase finale'!$C$43,6,IF(BX15='Phase finale'!$C$44,7,IF(BX15='Phase finale'!$C$45,8,IF(OR(BX15='Phase finale'!F20,BX15='Phase finale'!$F$10,BX15='Phase finale'!$V$11,BX15='Phase finale'!$V$10),3,IF(OR(BX15='Phase finale'!F22,BX15='Phase finale'!F23,BX15='Phase finale'!F24,BX15='Phase finale'!F25,BX15='Phase finale'!V22,BX15='Phase finale'!V23,BX15='Phase finale'!V24,BX15='Phase finale'!V25),5,IF(_xlfn.XLOOKUP(BX15,Tableau19[Licence],Tableau19[Forfait],"",0,1)=TRUE,36,9))))))))))))</f>
        <v>37</v>
      </c>
      <c r="CL15" s="451" t="str">
        <f>IF('GESTION DES JOUEURS'!B18="",0,'GESTION DES JOUEURS'!B18)</f>
        <v>013922M</v>
      </c>
      <c r="CM15" s="453" t="str">
        <f t="shared" si="24"/>
        <v>PEYROLE</v>
      </c>
      <c r="CN15" s="453"/>
      <c r="CO15" s="453"/>
      <c r="CP15" s="453"/>
      <c r="CQ15" s="453"/>
      <c r="CR15" s="453"/>
      <c r="CS15" s="453" t="str">
        <f t="shared" si="12"/>
        <v>PHILIPPE</v>
      </c>
      <c r="CT15" s="453"/>
      <c r="CU15" s="453"/>
      <c r="CV15" s="453"/>
      <c r="CW15" s="453"/>
      <c r="CX15" s="453" t="str">
        <f t="shared" si="13"/>
        <v>BILLARD CLUB DE LIVRY GARGAN</v>
      </c>
      <c r="CY15" s="453"/>
      <c r="CZ15" s="453"/>
      <c r="DA15" s="453"/>
      <c r="DB15" s="453"/>
      <c r="DC15" s="453"/>
      <c r="DD15" s="453"/>
      <c r="DE15" s="453"/>
      <c r="DF15" s="453"/>
      <c r="DG15" s="453"/>
      <c r="DH15" s="509">
        <f t="shared" si="14"/>
        <v>3</v>
      </c>
      <c r="DI15" s="509" t="str">
        <f>IFERROR(IF('GESTION DES JOUEURS'!$D$8="Open",_xlfn.XLOOKUP(RESULTATS!CL15,RESULTATS!$DW$8:$DW$43,RESULTATS!$EL$8:$EL$43,"",0,1),_xlfn.XLOOKUP(CL15,$BX$5:$BX$12,$BV$5:$BV$12,_xlfn.XLOOKUP(CL15,$AX$5:$AX$12,$AW$5:$AW$12,"",0,1),0,1)),"")</f>
        <v/>
      </c>
      <c r="DJ15" s="453">
        <f t="shared" si="25"/>
        <v>3</v>
      </c>
      <c r="DK15" s="453">
        <f>IF('GESTION DES JOUEURS'!$D$8="Poules",_xlfn.XLOOKUP(RESULTATS!CL15,'Phase finale'!$BV$7:$BV$42,'Phase finale'!$CM$7:$CM$42,"",0,1),IF(AND(CL15&lt;&gt;0,DQ15&gt;_xlfn.XLOOKUP('GESTION DES JOUEURS'!$D$4,Distances[Mode de jeu et cat.],Distances[M 3],"",0,1)),_xlfn.XLOOKUP('GESTION DES JOUEURS'!$D$4,Distances[Mode de jeu et cat.],Distances[BT3],"",0,1),IF(AND(CL15&lt;&gt;0,DQ15&gt;_xlfn.XLOOKUP('GESTION DES JOUEURS'!$D$4,Distances[Mode de jeu et cat.],Distances[M 2],"",0,1)),_xlfn.XLOOKUP('GESTION DES JOUEURS'!$D$4,Distances[Mode de jeu et cat.],Distances[BT2],"",0,1),IF(AND(CL15&lt;&gt;0,DQ15&gt;_xlfn.XLOOKUP('GESTION DES JOUEURS'!$D$4,Distances[Mode de jeu et cat.],Distances[M 1],"",0,1)),_xlfn.XLOOKUP('GESTION DES JOUEURS'!$D$4,Distances[Mode de jeu et cat.],Distances[BT1],"",0,1),0))))</f>
        <v>2</v>
      </c>
      <c r="DL15" s="453">
        <f t="shared" si="26"/>
        <v>5</v>
      </c>
      <c r="DM15" s="453">
        <f>IF('GESTION DES JOUEURS'!$D$8="Open",_xlfn.XLOOKUP(CL15,RESULTATS!$DW$8:$DW$43,RESULTATS!$EH$8:$EH$43,"",0,1),_xlfn.XLOOKUP(CL15,$BX$5:$BX$48,$CH$5:$CH$48,"",0,1))</f>
        <v>0</v>
      </c>
      <c r="DN15" s="451">
        <f>IFERROR(SUM(_xlfn.XLOOKUP(CL15,_xlfn.ANCHORARRAY('Phase finale'!$DK$7),'Phase finale'!$DP$7:$DP$42,"",0,1),_xlfn.XLOOKUP(CL15,_xlfn.ANCHORARRAY('Phase finale'!$DK$7),'Phase finale'!$DL$7:$DL$42,"",0,1)),"")</f>
        <v>158</v>
      </c>
      <c r="DO15" s="451">
        <f>IFERROR(SUM(_xlfn.XLOOKUP(CL15,_xlfn.ANCHORARRAY('Phase finale'!$DK$7),'Phase finale'!$DQ$7:$DQ$42,"",0,1),_xlfn.XLOOKUP(CL15,_xlfn.ANCHORARRAY('Phase finale'!$DK$7),'Phase finale'!$DM$7:$DM$42,"",0,1)),"")</f>
        <v>78</v>
      </c>
      <c r="DP15" s="517">
        <f t="shared" si="27"/>
        <v>14</v>
      </c>
      <c r="DQ15" s="456">
        <f t="shared" si="28"/>
        <v>2.0256410256410255</v>
      </c>
      <c r="DR15" s="456">
        <f t="shared" si="29"/>
        <v>0</v>
      </c>
      <c r="DS15" s="518">
        <f t="shared" si="15"/>
        <v>9</v>
      </c>
      <c r="DU15" s="244">
        <v>8</v>
      </c>
      <c r="DV15" s="244">
        <v>8</v>
      </c>
      <c r="DW15" s="244" t="str">
        <v/>
      </c>
      <c r="DX15" s="244" t="str">
        <v/>
      </c>
      <c r="DY15" s="244">
        <v>0</v>
      </c>
      <c r="DZ15" s="244" t="str">
        <v/>
      </c>
      <c r="EA15" s="244">
        <v>0</v>
      </c>
      <c r="EB15" s="244">
        <v>0</v>
      </c>
      <c r="EC15" s="244" t="str">
        <v/>
      </c>
      <c r="ED15" s="244">
        <v>0</v>
      </c>
      <c r="EE15" s="244">
        <v>0</v>
      </c>
      <c r="EF15" s="244">
        <v>0</v>
      </c>
      <c r="EG15" s="244" t="str">
        <v/>
      </c>
      <c r="EH15" s="244" t="str">
        <v/>
      </c>
      <c r="EI15" s="244" t="str">
        <v/>
      </c>
      <c r="EJ15" s="244" t="str">
        <v/>
      </c>
      <c r="EK15" s="244" t="str">
        <v/>
      </c>
      <c r="EL15" s="244" t="str">
        <v/>
      </c>
      <c r="EM15" s="244" t="str">
        <v/>
      </c>
      <c r="EN15" s="244" t="str">
        <v/>
      </c>
    </row>
    <row r="16" spans="1:161" ht="24" customHeight="1" x14ac:dyDescent="0.3">
      <c r="A16" s="452">
        <f>IF('GESTION DES JOUEURS'!A18=MAX('GESTION DES JOUEURS'!$A$10:'GESTION DES JOUEURS'!$A$46),"",A15+1)</f>
        <v>9</v>
      </c>
      <c r="B16" s="451" t="str">
        <v>156543F</v>
      </c>
      <c r="C16" s="1218" t="str">
        <f>_xlfn.XLOOKUP(B16,Tableau19[Licence],Tableau19[Nom],"",0,1)</f>
        <v>FERNANDES ALVES</v>
      </c>
      <c r="D16" s="1218"/>
      <c r="E16" s="1218"/>
      <c r="F16" s="1218"/>
      <c r="G16" s="1218"/>
      <c r="H16" s="1218"/>
      <c r="I16" s="1218" t="str">
        <f>_xlfn.XLOOKUP(B16,Tableau19[Licence],Tableau19[[prénom ]],"",0,1)</f>
        <v>FRANCISCO</v>
      </c>
      <c r="J16" s="1218"/>
      <c r="K16" s="1218"/>
      <c r="L16" s="1218"/>
      <c r="M16" s="1218"/>
      <c r="N16" s="1218" t="str">
        <f>_xlfn.XLOOKUP(B16,Tableau19[Licence],Tableau19[Club],"",0,1)</f>
        <v>ACADEMIE DE BILLARD DE MAISONS ALFORT</v>
      </c>
      <c r="O16" s="1218"/>
      <c r="P16" s="1218"/>
      <c r="Q16" s="1218"/>
      <c r="R16" s="1218"/>
      <c r="S16" s="1218"/>
      <c r="T16" s="1218"/>
      <c r="U16" s="1218"/>
      <c r="V16" s="1218"/>
      <c r="W16" s="1218"/>
      <c r="X16" s="455">
        <f t="shared" si="16"/>
        <v>3</v>
      </c>
      <c r="Y16" s="455" t="str">
        <f t="shared" si="17"/>
        <v/>
      </c>
      <c r="Z16" s="451">
        <f>IF(B16="","",IF('GESTION DES JOUEURS'!$D$8="Open","",IF(AND('GESTION DES JOUEURS'!$D$8="poules",A16&lt;&gt;""),_xlfn.XLOOKUP(RESULTATS!B16,'Phase finale'!$BV$7:$BV$42,'Phase finale'!$CL$7:$CL$42,"",0,1),IF(AND(B16&lt;&gt;"",MAX('GESTION DES JOUEURS'!$A$11:$A$46)&gt;6,'GESTION DES JOUEURS'!$Y$8="JDSR"),_xlfn.XLOOKUP(A16,PTSRKMINITOURNOI[Clt],PTSRKMINITOURNOI[PR JDS 9],"",0,1),IF(AND(B16&lt;&gt;"",MAX('GESTION DES JOUEURS'!$A$11:$A$46)&lt;7,'GESTION DES JOUEURS'!$Y$8="JDSR"),_xlfn.XLOOKUP(A16,PTSRKMINITOURNOI[Clt],PTSRKMINITOURNOI[PR JDS],"",0,1),IF(AND(B16&lt;&gt;"",MAX('GESTION DES JOUEURS'!$A$11:$A$46)&lt;7,'GESTION DES JOUEURS'!$Y$8="R"),_xlfn.XLOOKUP(A16,PTSRKMINITOURNOI[Clt],PTSRKMINITOURNOI[PR 3B],"",0,1),IF(AND(B16&lt;&gt;"",MAX('GESTION DES JOUEURS'!$A$11:$A$46)&gt;6,'GESTION DES JOUEURS'!$Y$8="R"),_xlfn.XLOOKUP(A16,PTSRKTOURNOI[Clt],PTSRKTOURNOI[PR 3B],"",0,1),IF(AND(B16&lt;&gt;"",MAX('GESTION DES JOUEURS'!$A$11:$A$46)&gt;6,'GESTION DES JOUEURS'!$Y$8="Dames"),_xlfn.XLOOKUP(A16,PTSRKTOURNOI[Clt],PTSRKTOURNOI[[PR DAMES ]],"",0,1),IF(AND(B16&lt;&gt;"",'GESTION DES JOUEURS'!$Y$8="D"),_xlfn.XLOOKUP(A16,PTSRKMINITOURNOI[Clt],PTSRKMINITOURNOI[PR DISTRICT],"",0,1),"")))))))))</f>
        <v>3</v>
      </c>
      <c r="AA16" s="451">
        <f>IF(AE16=0,"",IF('GESTION DES JOUEURS'!$D$8="Open","",_xlfn.XLOOKUP(B16,$CL$8:$CL$43,$DK$8:$DK$43,"",0,1)))</f>
        <v>1</v>
      </c>
      <c r="AB16" s="451">
        <f t="shared" si="11"/>
        <v>4</v>
      </c>
      <c r="AC16" s="451">
        <f t="shared" si="18"/>
        <v>0</v>
      </c>
      <c r="AD16" s="451">
        <f t="shared" si="19"/>
        <v>132</v>
      </c>
      <c r="AE16" s="538">
        <f t="shared" si="20"/>
        <v>62</v>
      </c>
      <c r="AF16" s="451">
        <f t="shared" si="21"/>
        <v>16</v>
      </c>
      <c r="AG16" s="456">
        <f t="shared" si="22"/>
        <v>2.129032258064516</v>
      </c>
      <c r="AH16" s="456" t="str">
        <f t="shared" si="23"/>
        <v>/</v>
      </c>
      <c r="AI16" s="446"/>
      <c r="AK16" s="707"/>
      <c r="AV16" s="1224"/>
      <c r="AW16" s="244">
        <v>4</v>
      </c>
      <c r="AX16" s="244" t="str">
        <v/>
      </c>
      <c r="AY16" s="244" t="str">
        <v/>
      </c>
      <c r="AZ16" s="244">
        <v>0</v>
      </c>
      <c r="BA16" s="244" t="str">
        <v/>
      </c>
      <c r="BB16" s="244">
        <v>0</v>
      </c>
      <c r="BC16" s="244" t="str">
        <v/>
      </c>
      <c r="BD16" s="244">
        <v>0</v>
      </c>
      <c r="BE16" s="244">
        <v>0</v>
      </c>
      <c r="BF16" s="244">
        <v>0</v>
      </c>
      <c r="BG16" s="244">
        <v>0</v>
      </c>
      <c r="BH16" s="244">
        <v>0</v>
      </c>
      <c r="BI16" s="244" t="str">
        <v/>
      </c>
      <c r="BJ16" s="244" t="str">
        <v/>
      </c>
      <c r="BK16" s="244" t="str">
        <v/>
      </c>
      <c r="BL16" s="244" t="str">
        <v/>
      </c>
      <c r="BM16" s="244" t="str">
        <v/>
      </c>
      <c r="BN16" s="244" t="str">
        <v/>
      </c>
      <c r="BO16" s="244" t="str">
        <v/>
      </c>
      <c r="BV16" s="506"/>
      <c r="BW16" s="506">
        <f t="shared" si="30"/>
        <v>4</v>
      </c>
      <c r="BX16" s="506" t="str">
        <f t="shared" si="31"/>
        <v/>
      </c>
      <c r="BY16" s="506" t="str">
        <f t="shared" si="32"/>
        <v/>
      </c>
      <c r="BZ16" s="506" t="str">
        <f t="shared" si="33"/>
        <v/>
      </c>
      <c r="CA16" s="506" t="str">
        <f t="shared" si="34"/>
        <v/>
      </c>
      <c r="CB16" s="506" t="str">
        <f t="shared" si="35"/>
        <v/>
      </c>
      <c r="CC16" s="506" t="str">
        <f t="shared" si="36"/>
        <v/>
      </c>
      <c r="CD16" s="506" t="str">
        <f t="shared" si="37"/>
        <v/>
      </c>
      <c r="CE16" s="506" t="str">
        <f t="shared" si="3"/>
        <v/>
      </c>
      <c r="CF16" s="506" t="str">
        <f t="shared" si="4"/>
        <v/>
      </c>
      <c r="CG16" s="506">
        <f t="shared" si="5"/>
        <v>0</v>
      </c>
      <c r="CH16" s="506" t="str">
        <f t="shared" si="38"/>
        <v/>
      </c>
      <c r="CI16" s="244">
        <f>IF(BX16="",37,IF(BX16='Phase finale'!$C$38,1,IF(BX16='Phase finale'!$C$39,2,IF(BX16='Phase finale'!$C$40,3,IF(BX16='Phase finale'!$C$41,4,IF(BX16='Phase finale'!$C$42,5,IF(BX16='Phase finale'!$C$43,6,IF(BX16='Phase finale'!$C$44,7,IF(BX16='Phase finale'!$C$45,8,IF(OR(BX16='Phase finale'!F21,BX16='Phase finale'!$F$10,BX16='Phase finale'!$V$11,BX16='Phase finale'!$V$10),3,IF(OR(BX16='Phase finale'!F23,BX16='Phase finale'!F24,BX16='Phase finale'!F25,BX16='Phase finale'!F26,BX16='Phase finale'!V23,BX16='Phase finale'!V24,BX16='Phase finale'!V25,BX16='Phase finale'!V26),5,IF(_xlfn.XLOOKUP(BX16,Tableau19[Licence],Tableau19[Forfait],"",0,1)=TRUE,36,9))))))))))))</f>
        <v>37</v>
      </c>
      <c r="CL16" s="451" t="str">
        <f>IF('GESTION DES JOUEURS'!B19="",0,'GESTION DES JOUEURS'!B19)</f>
        <v>154522J</v>
      </c>
      <c r="CM16" s="453" t="str">
        <f t="shared" si="24"/>
        <v>PIVONET</v>
      </c>
      <c r="CN16" s="453"/>
      <c r="CO16" s="453"/>
      <c r="CP16" s="453"/>
      <c r="CQ16" s="453"/>
      <c r="CR16" s="453"/>
      <c r="CS16" s="453" t="str">
        <f t="shared" si="12"/>
        <v>FRANCIS</v>
      </c>
      <c r="CT16" s="453"/>
      <c r="CU16" s="453"/>
      <c r="CV16" s="453"/>
      <c r="CW16" s="453"/>
      <c r="CX16" s="453" t="str">
        <f t="shared" si="13"/>
        <v>ASS. BILLARD AMATEUR DE SAINT MAUR</v>
      </c>
      <c r="CY16" s="453"/>
      <c r="CZ16" s="453"/>
      <c r="DA16" s="453"/>
      <c r="DB16" s="453"/>
      <c r="DC16" s="453"/>
      <c r="DD16" s="453"/>
      <c r="DE16" s="453"/>
      <c r="DF16" s="453"/>
      <c r="DG16" s="453"/>
      <c r="DH16" s="509">
        <f t="shared" si="14"/>
        <v>2</v>
      </c>
      <c r="DI16" s="509" t="str">
        <f>IFERROR(IF('GESTION DES JOUEURS'!$D$8="Open",_xlfn.XLOOKUP(RESULTATS!CL16,RESULTATS!$DW$8:$DW$43,RESULTATS!$EL$8:$EL$43,"",0,1),_xlfn.XLOOKUP(CL16,$BX$5:$BX$12,$BV$5:$BV$12,_xlfn.XLOOKUP(CL16,$AX$5:$AX$12,$AW$5:$AW$12,"",0,1),0,1)),"")</f>
        <v/>
      </c>
      <c r="DJ16" s="453">
        <f t="shared" si="25"/>
        <v>5</v>
      </c>
      <c r="DK16" s="453">
        <f>IF('GESTION DES JOUEURS'!$D$8="Poules",_xlfn.XLOOKUP(RESULTATS!CL16,'Phase finale'!$BV$7:$BV$42,'Phase finale'!$CM$7:$CM$42,"",0,1),IF(AND(CL16&lt;&gt;0,DQ16&gt;_xlfn.XLOOKUP('GESTION DES JOUEURS'!$D$4,Distances[Mode de jeu et cat.],Distances[M 3],"",0,1)),_xlfn.XLOOKUP('GESTION DES JOUEURS'!$D$4,Distances[Mode de jeu et cat.],Distances[BT3],"",0,1),IF(AND(CL16&lt;&gt;0,DQ16&gt;_xlfn.XLOOKUP('GESTION DES JOUEURS'!$D$4,Distances[Mode de jeu et cat.],Distances[M 2],"",0,1)),_xlfn.XLOOKUP('GESTION DES JOUEURS'!$D$4,Distances[Mode de jeu et cat.],Distances[BT2],"",0,1),IF(AND(CL16&lt;&gt;0,DQ16&gt;_xlfn.XLOOKUP('GESTION DES JOUEURS'!$D$4,Distances[Mode de jeu et cat.],Distances[M 1],"",0,1)),_xlfn.XLOOKUP('GESTION DES JOUEURS'!$D$4,Distances[Mode de jeu et cat.],Distances[BT1],"",0,1),0))))</f>
        <v>2</v>
      </c>
      <c r="DL16" s="453">
        <f t="shared" si="26"/>
        <v>7</v>
      </c>
      <c r="DM16" s="453">
        <f>IF('GESTION DES JOUEURS'!$D$8="Open",_xlfn.XLOOKUP(CL16,RESULTATS!$DW$8:$DW$43,RESULTATS!$EH$8:$EH$43,"",0,1),_xlfn.XLOOKUP(CL16,$BX$5:$BX$48,$CH$5:$CH$48,"",0,1))</f>
        <v>2</v>
      </c>
      <c r="DN16" s="451">
        <f>IFERROR(SUM(_xlfn.XLOOKUP(CL16,_xlfn.ANCHORARRAY('Phase finale'!$DK$7),'Phase finale'!$DP$7:$DP$42,"",0,1),_xlfn.XLOOKUP(CL16,_xlfn.ANCHORARRAY('Phase finale'!$DK$7),'Phase finale'!$DL$7:$DL$42,"",0,1)),"")</f>
        <v>151</v>
      </c>
      <c r="DO16" s="451">
        <f>IFERROR(SUM(_xlfn.XLOOKUP(CL16,_xlfn.ANCHORARRAY('Phase finale'!$DK$7),'Phase finale'!$DQ$7:$DQ$42,"",0,1),_xlfn.XLOOKUP(CL16,_xlfn.ANCHORARRAY('Phase finale'!$DK$7),'Phase finale'!$DM$7:$DM$42,"",0,1)),"")</f>
        <v>68</v>
      </c>
      <c r="DP16" s="517">
        <f t="shared" si="27"/>
        <v>23</v>
      </c>
      <c r="DQ16" s="456">
        <f t="shared" si="28"/>
        <v>2.2205882352941178</v>
      </c>
      <c r="DR16" s="456">
        <f t="shared" si="29"/>
        <v>2.375</v>
      </c>
      <c r="DS16" s="518">
        <f t="shared" si="15"/>
        <v>9</v>
      </c>
      <c r="DU16" s="244">
        <v>9</v>
      </c>
      <c r="DV16" s="244">
        <v>9</v>
      </c>
      <c r="DW16" s="244" t="str">
        <v/>
      </c>
      <c r="DX16" s="244" t="str">
        <v/>
      </c>
      <c r="DY16" s="244">
        <v>0</v>
      </c>
      <c r="DZ16" s="244" t="str">
        <v/>
      </c>
      <c r="EA16" s="244">
        <v>0</v>
      </c>
      <c r="EB16" s="244">
        <v>0</v>
      </c>
      <c r="EC16" s="244" t="str">
        <v/>
      </c>
      <c r="ED16" s="244">
        <v>0</v>
      </c>
      <c r="EE16" s="244">
        <v>0</v>
      </c>
      <c r="EF16" s="244">
        <v>0</v>
      </c>
      <c r="EG16" s="244" t="str">
        <v/>
      </c>
      <c r="EH16" s="244" t="str">
        <v/>
      </c>
      <c r="EI16" s="244" t="str">
        <v/>
      </c>
      <c r="EJ16" s="244" t="str">
        <v/>
      </c>
      <c r="EK16" s="244" t="str">
        <v/>
      </c>
      <c r="EL16" s="244" t="str">
        <v/>
      </c>
      <c r="EM16" s="244" t="str">
        <v/>
      </c>
      <c r="EN16" s="244" t="str">
        <v/>
      </c>
    </row>
    <row r="17" spans="1:144" ht="24" customHeight="1" x14ac:dyDescent="0.3">
      <c r="A17" s="452">
        <f>IF('GESTION DES JOUEURS'!A19=MAX('GESTION DES JOUEURS'!$A$10:'GESTION DES JOUEURS'!$A$46),"",A16+1)</f>
        <v>10</v>
      </c>
      <c r="B17" s="451" t="str">
        <v>013922M</v>
      </c>
      <c r="C17" s="1218" t="str">
        <f>_xlfn.XLOOKUP(B17,Tableau19[Licence],Tableau19[Nom],"",0,1)</f>
        <v>PEYROLE</v>
      </c>
      <c r="D17" s="1218"/>
      <c r="E17" s="1218"/>
      <c r="F17" s="1218"/>
      <c r="G17" s="1218"/>
      <c r="H17" s="1218"/>
      <c r="I17" s="1218" t="str">
        <f>_xlfn.XLOOKUP(B17,Tableau19[Licence],Tableau19[[prénom ]],"",0,1)</f>
        <v>PHILIPPE</v>
      </c>
      <c r="J17" s="1218"/>
      <c r="K17" s="1218"/>
      <c r="L17" s="1218"/>
      <c r="M17" s="1218"/>
      <c r="N17" s="1218" t="str">
        <f>_xlfn.XLOOKUP(B17,Tableau19[Licence],Tableau19[Club],"",0,1)</f>
        <v>BILLARD CLUB DE LIVRY GARGAN</v>
      </c>
      <c r="O17" s="1218"/>
      <c r="P17" s="1218"/>
      <c r="Q17" s="1218"/>
      <c r="R17" s="1218"/>
      <c r="S17" s="1218"/>
      <c r="T17" s="1218"/>
      <c r="U17" s="1218"/>
      <c r="V17" s="1218"/>
      <c r="W17" s="1218"/>
      <c r="X17" s="455">
        <f t="shared" si="16"/>
        <v>3</v>
      </c>
      <c r="Y17" s="455" t="str">
        <f t="shared" si="17"/>
        <v/>
      </c>
      <c r="Z17" s="451">
        <f>IF(B17="","",IF('GESTION DES JOUEURS'!$D$8="Open","",IF(AND('GESTION DES JOUEURS'!$D$8="poules",A17&lt;&gt;""),_xlfn.XLOOKUP(RESULTATS!B17,'Phase finale'!$BV$7:$BV$42,'Phase finale'!$CL$7:$CL$42,"",0,1),IF(AND(B17&lt;&gt;"",MAX('GESTION DES JOUEURS'!$A$11:$A$46)&gt;6,'GESTION DES JOUEURS'!$Y$8="JDSR"),_xlfn.XLOOKUP(A17,PTSRKMINITOURNOI[Clt],PTSRKMINITOURNOI[PR JDS 9],"",0,1),IF(AND(B17&lt;&gt;"",MAX('GESTION DES JOUEURS'!$A$11:$A$46)&lt;7,'GESTION DES JOUEURS'!$Y$8="JDSR"),_xlfn.XLOOKUP(A17,PTSRKMINITOURNOI[Clt],PTSRKMINITOURNOI[PR JDS],"",0,1),IF(AND(B17&lt;&gt;"",MAX('GESTION DES JOUEURS'!$A$11:$A$46)&lt;7,'GESTION DES JOUEURS'!$Y$8="R"),_xlfn.XLOOKUP(A17,PTSRKMINITOURNOI[Clt],PTSRKMINITOURNOI[PR 3B],"",0,1),IF(AND(B17&lt;&gt;"",MAX('GESTION DES JOUEURS'!$A$11:$A$46)&gt;6,'GESTION DES JOUEURS'!$Y$8="R"),_xlfn.XLOOKUP(A17,PTSRKTOURNOI[Clt],PTSRKTOURNOI[PR 3B],"",0,1),IF(AND(B17&lt;&gt;"",MAX('GESTION DES JOUEURS'!$A$11:$A$46)&gt;6,'GESTION DES JOUEURS'!$Y$8="Dames"),_xlfn.XLOOKUP(A17,PTSRKTOURNOI[Clt],PTSRKTOURNOI[[PR DAMES ]],"",0,1),IF(AND(B17&lt;&gt;"",'GESTION DES JOUEURS'!$Y$8="D"),_xlfn.XLOOKUP(A17,PTSRKMINITOURNOI[Clt],PTSRKMINITOURNOI[PR DISTRICT],"",0,1),"")))))))))</f>
        <v>3</v>
      </c>
      <c r="AA17" s="451">
        <f>IF(AE17=0,"",IF('GESTION DES JOUEURS'!$D$8="Open","",_xlfn.XLOOKUP(B17,$CL$8:$CL$43,$DK$8:$DK$43,"",0,1)))</f>
        <v>2</v>
      </c>
      <c r="AB17" s="451">
        <f t="shared" si="11"/>
        <v>5</v>
      </c>
      <c r="AC17" s="451">
        <f t="shared" si="18"/>
        <v>0</v>
      </c>
      <c r="AD17" s="451">
        <f t="shared" si="19"/>
        <v>158</v>
      </c>
      <c r="AE17" s="538">
        <f t="shared" si="20"/>
        <v>78</v>
      </c>
      <c r="AF17" s="451">
        <f t="shared" si="21"/>
        <v>14</v>
      </c>
      <c r="AG17" s="456">
        <f t="shared" si="22"/>
        <v>2.0256410256410255</v>
      </c>
      <c r="AH17" s="456" t="str">
        <f t="shared" si="23"/>
        <v>/</v>
      </c>
      <c r="AI17" s="446"/>
      <c r="AK17" s="686" t="s">
        <v>8116</v>
      </c>
      <c r="AV17" s="1224"/>
      <c r="AW17" s="244">
        <v>5</v>
      </c>
      <c r="AX17" s="244" t="str">
        <v/>
      </c>
      <c r="AY17" s="244" t="str">
        <v/>
      </c>
      <c r="AZ17" s="244">
        <v>0</v>
      </c>
      <c r="BA17" s="244" t="str">
        <v/>
      </c>
      <c r="BB17" s="244">
        <v>0</v>
      </c>
      <c r="BC17" s="244" t="str">
        <v/>
      </c>
      <c r="BD17" s="244">
        <v>0</v>
      </c>
      <c r="BE17" s="244">
        <v>0</v>
      </c>
      <c r="BF17" s="244">
        <v>0</v>
      </c>
      <c r="BG17" s="244">
        <v>0</v>
      </c>
      <c r="BH17" s="244">
        <v>0</v>
      </c>
      <c r="BI17" s="244" t="str">
        <v/>
      </c>
      <c r="BJ17" s="244" t="str">
        <v/>
      </c>
      <c r="BK17" s="244" t="str">
        <v/>
      </c>
      <c r="BL17" s="244" t="str">
        <v/>
      </c>
      <c r="BM17" s="244" t="str">
        <v/>
      </c>
      <c r="BN17" s="244" t="str">
        <v/>
      </c>
      <c r="BO17" s="244" t="str">
        <v/>
      </c>
      <c r="BV17" s="506"/>
      <c r="BW17" s="506">
        <f t="shared" si="30"/>
        <v>5</v>
      </c>
      <c r="BX17" s="506" t="str">
        <f t="shared" si="31"/>
        <v/>
      </c>
      <c r="BY17" s="506" t="str">
        <f t="shared" si="32"/>
        <v/>
      </c>
      <c r="BZ17" s="506" t="str">
        <f t="shared" si="33"/>
        <v/>
      </c>
      <c r="CA17" s="506" t="str">
        <f t="shared" si="34"/>
        <v/>
      </c>
      <c r="CB17" s="506" t="str">
        <f t="shared" si="35"/>
        <v/>
      </c>
      <c r="CC17" s="506" t="str">
        <f t="shared" si="36"/>
        <v/>
      </c>
      <c r="CD17" s="506" t="str">
        <f t="shared" si="37"/>
        <v/>
      </c>
      <c r="CE17" s="506" t="str">
        <f t="shared" si="3"/>
        <v/>
      </c>
      <c r="CF17" s="506" t="str">
        <f t="shared" si="4"/>
        <v/>
      </c>
      <c r="CG17" s="506">
        <f t="shared" si="5"/>
        <v>0</v>
      </c>
      <c r="CH17" s="506" t="str">
        <f t="shared" si="38"/>
        <v/>
      </c>
      <c r="CI17" s="244">
        <f>IF(BX17="",37,IF(BX17='Phase finale'!$C$38,1,IF(BX17='Phase finale'!$C$39,2,IF(BX17='Phase finale'!$C$40,3,IF(BX17='Phase finale'!$C$41,4,IF(BX17='Phase finale'!$C$42,5,IF(BX17='Phase finale'!$C$43,6,IF(BX17='Phase finale'!$C$44,7,IF(BX17='Phase finale'!$C$45,8,IF(OR(BX17='Phase finale'!F22,BX17='Phase finale'!$F$10,BX17='Phase finale'!$V$11,BX17='Phase finale'!$V$10),3,IF(OR(BX17='Phase finale'!F24,BX17='Phase finale'!F25,BX17='Phase finale'!F26,BX17='Phase finale'!F27,BX17='Phase finale'!V24,BX17='Phase finale'!V25,BX17='Phase finale'!V26,BX17='Phase finale'!V27),5,IF(_xlfn.XLOOKUP(BX17,Tableau19[Licence],Tableau19[Forfait],"",0,1)=TRUE,36,9))))))))))))</f>
        <v>37</v>
      </c>
      <c r="CL17" s="451" t="str">
        <f>IF('GESTION DES JOUEURS'!B20="",0,'GESTION DES JOUEURS'!B20)</f>
        <v>118031R</v>
      </c>
      <c r="CM17" s="453" t="str">
        <f t="shared" si="24"/>
        <v>LE HUAN CUA</v>
      </c>
      <c r="CN17" s="453"/>
      <c r="CO17" s="453"/>
      <c r="CP17" s="453"/>
      <c r="CQ17" s="453"/>
      <c r="CR17" s="453"/>
      <c r="CS17" s="453" t="str">
        <f t="shared" si="12"/>
        <v>TRAN</v>
      </c>
      <c r="CT17" s="453"/>
      <c r="CU17" s="453"/>
      <c r="CV17" s="453"/>
      <c r="CW17" s="453"/>
      <c r="CX17" s="453" t="str">
        <f t="shared" si="13"/>
        <v>ACADEMIE DE BILLARD DE MAISONS ALFORT</v>
      </c>
      <c r="CY17" s="453"/>
      <c r="CZ17" s="453"/>
      <c r="DA17" s="453"/>
      <c r="DB17" s="453"/>
      <c r="DC17" s="453"/>
      <c r="DD17" s="453"/>
      <c r="DE17" s="453"/>
      <c r="DF17" s="453"/>
      <c r="DG17" s="453"/>
      <c r="DH17" s="509">
        <f t="shared" si="14"/>
        <v>1</v>
      </c>
      <c r="DI17" s="509" t="str">
        <f>IFERROR(IF('GESTION DES JOUEURS'!$D$8="Open",_xlfn.XLOOKUP(RESULTATS!CL17,RESULTATS!$DW$8:$DW$43,RESULTATS!$EL$8:$EL$43,"",0,1),_xlfn.XLOOKUP(CL17,$BX$5:$BX$12,$BV$5:$BV$12,_xlfn.XLOOKUP(CL17,$AX$5:$AX$12,$AW$5:$AW$12,"",0,1),0,1)),"")</f>
        <v/>
      </c>
      <c r="DJ17" s="453">
        <f t="shared" si="25"/>
        <v>8</v>
      </c>
      <c r="DK17" s="453">
        <f>IF('GESTION DES JOUEURS'!$D$8="Poules",_xlfn.XLOOKUP(RESULTATS!CL17,'Phase finale'!$BV$7:$BV$42,'Phase finale'!$CM$7:$CM$42,"",0,1),IF(AND(CL17&lt;&gt;0,DQ17&gt;_xlfn.XLOOKUP('GESTION DES JOUEURS'!$D$4,Distances[Mode de jeu et cat.],Distances[M 3],"",0,1)),_xlfn.XLOOKUP('GESTION DES JOUEURS'!$D$4,Distances[Mode de jeu et cat.],Distances[BT3],"",0,1),IF(AND(CL17&lt;&gt;0,DQ17&gt;_xlfn.XLOOKUP('GESTION DES JOUEURS'!$D$4,Distances[Mode de jeu et cat.],Distances[M 2],"",0,1)),_xlfn.XLOOKUP('GESTION DES JOUEURS'!$D$4,Distances[Mode de jeu et cat.],Distances[BT2],"",0,1),IF(AND(CL17&lt;&gt;0,DQ17&gt;_xlfn.XLOOKUP('GESTION DES JOUEURS'!$D$4,Distances[Mode de jeu et cat.],Distances[M 1],"",0,1)),_xlfn.XLOOKUP('GESTION DES JOUEURS'!$D$4,Distances[Mode de jeu et cat.],Distances[BT1],"",0,1),0))))</f>
        <v>4</v>
      </c>
      <c r="DL17" s="453">
        <f t="shared" si="26"/>
        <v>12</v>
      </c>
      <c r="DM17" s="453">
        <f>IF('GESTION DES JOUEURS'!$D$8="Open",_xlfn.XLOOKUP(CL17,RESULTATS!$DW$8:$DW$43,RESULTATS!$EH$8:$EH$43,"",0,1),_xlfn.XLOOKUP(CL17,$BX$5:$BX$48,$CH$5:$CH$48,"",0,1))</f>
        <v>4</v>
      </c>
      <c r="DN17" s="451">
        <f>IFERROR(SUM(_xlfn.XLOOKUP(CL17,_xlfn.ANCHORARRAY('Phase finale'!$DK$7),'Phase finale'!$DP$7:$DP$42,"",0,1),_xlfn.XLOOKUP(CL17,_xlfn.ANCHORARRAY('Phase finale'!$DK$7),'Phase finale'!$DL$7:$DL$42,"",0,1)),"")</f>
        <v>200</v>
      </c>
      <c r="DO17" s="451">
        <f>IFERROR(SUM(_xlfn.XLOOKUP(CL17,_xlfn.ANCHORARRAY('Phase finale'!$DK$7),'Phase finale'!$DQ$7:$DQ$42,"",0,1),_xlfn.XLOOKUP(CL17,_xlfn.ANCHORARRAY('Phase finale'!$DK$7),'Phase finale'!$DM$7:$DM$42,"",0,1)),"")</f>
        <v>48</v>
      </c>
      <c r="DP17" s="517">
        <f t="shared" si="27"/>
        <v>20</v>
      </c>
      <c r="DQ17" s="456">
        <f t="shared" si="28"/>
        <v>4.166666666666667</v>
      </c>
      <c r="DR17" s="456">
        <f t="shared" si="29"/>
        <v>4.3478260869565215</v>
      </c>
      <c r="DS17" s="518">
        <f t="shared" si="15"/>
        <v>9</v>
      </c>
      <c r="DU17" s="244">
        <v>10</v>
      </c>
      <c r="DV17" s="244" t="str">
        <v/>
      </c>
      <c r="DW17" s="244" t="str">
        <v/>
      </c>
      <c r="DX17" s="244" t="str">
        <v/>
      </c>
      <c r="DY17" s="244">
        <v>0</v>
      </c>
      <c r="DZ17" s="244" t="str">
        <v/>
      </c>
      <c r="EA17" s="244">
        <v>0</v>
      </c>
      <c r="EB17" s="244">
        <v>0</v>
      </c>
      <c r="EC17" s="244" t="str">
        <v/>
      </c>
      <c r="ED17" s="244">
        <v>0</v>
      </c>
      <c r="EE17" s="244">
        <v>0</v>
      </c>
      <c r="EF17" s="244">
        <v>0</v>
      </c>
      <c r="EG17" s="244" t="str">
        <v/>
      </c>
      <c r="EH17" s="244" t="str">
        <v/>
      </c>
      <c r="EI17" s="244" t="str">
        <v/>
      </c>
      <c r="EJ17" s="244" t="str">
        <v/>
      </c>
      <c r="EK17" s="244" t="str">
        <v/>
      </c>
      <c r="EL17" s="244" t="str">
        <v/>
      </c>
      <c r="EM17" s="244">
        <v>0</v>
      </c>
      <c r="EN17" s="244">
        <v>0</v>
      </c>
    </row>
    <row r="18" spans="1:144" ht="24" customHeight="1" x14ac:dyDescent="0.3">
      <c r="A18" s="452">
        <f>IF('GESTION DES JOUEURS'!A20=MAX('GESTION DES JOUEURS'!$A$10:'GESTION DES JOUEURS'!$A$46),"",A17+1)</f>
        <v>11</v>
      </c>
      <c r="B18" s="451" t="str">
        <v>013335x</v>
      </c>
      <c r="C18" s="1218" t="str">
        <f>_xlfn.XLOOKUP(B18,Tableau19[Licence],Tableau19[Nom],"",0,1)</f>
        <v>HANSEL</v>
      </c>
      <c r="D18" s="1218"/>
      <c r="E18" s="1218"/>
      <c r="F18" s="1218"/>
      <c r="G18" s="1218"/>
      <c r="H18" s="1218"/>
      <c r="I18" s="1218" t="str">
        <f>_xlfn.XLOOKUP(B18,Tableau19[Licence],Tableau19[[prénom ]],"",0,1)</f>
        <v>GERARD</v>
      </c>
      <c r="J18" s="1218"/>
      <c r="K18" s="1218"/>
      <c r="L18" s="1218"/>
      <c r="M18" s="1218"/>
      <c r="N18" s="1218" t="str">
        <f>_xlfn.XLOOKUP(B18,Tableau19[Licence],Tableau19[Club],"",0,1)</f>
        <v>ACADEMIE DE BILLARD DE MAISONS ALFORT</v>
      </c>
      <c r="O18" s="1218"/>
      <c r="P18" s="1218"/>
      <c r="Q18" s="1218"/>
      <c r="R18" s="1218"/>
      <c r="S18" s="1218"/>
      <c r="T18" s="1218"/>
      <c r="U18" s="1218"/>
      <c r="V18" s="1218"/>
      <c r="W18" s="1218"/>
      <c r="X18" s="455">
        <f t="shared" si="16"/>
        <v>3</v>
      </c>
      <c r="Y18" s="455" t="str">
        <f t="shared" si="17"/>
        <v/>
      </c>
      <c r="Z18" s="451">
        <f>IF(B18="","",IF('GESTION DES JOUEURS'!$D$8="Open","",IF(AND('GESTION DES JOUEURS'!$D$8="poules",A18&lt;&gt;""),_xlfn.XLOOKUP(RESULTATS!B18,'Phase finale'!$BV$7:$BV$42,'Phase finale'!$CL$7:$CL$42,"",0,1),IF(AND(B18&lt;&gt;"",MAX('GESTION DES JOUEURS'!$A$11:$A$46)&gt;6,'GESTION DES JOUEURS'!$Y$8="JDSR"),_xlfn.XLOOKUP(A18,PTSRKMINITOURNOI[Clt],PTSRKMINITOURNOI[PR JDS 9],"",0,1),IF(AND(B18&lt;&gt;"",MAX('GESTION DES JOUEURS'!$A$11:$A$46)&lt;7,'GESTION DES JOUEURS'!$Y$8="JDSR"),_xlfn.XLOOKUP(A18,PTSRKMINITOURNOI[Clt],PTSRKMINITOURNOI[PR JDS],"",0,1),IF(AND(B18&lt;&gt;"",MAX('GESTION DES JOUEURS'!$A$11:$A$46)&lt;7,'GESTION DES JOUEURS'!$Y$8="R"),_xlfn.XLOOKUP(A18,PTSRKMINITOURNOI[Clt],PTSRKMINITOURNOI[PR 3B],"",0,1),IF(AND(B18&lt;&gt;"",MAX('GESTION DES JOUEURS'!$A$11:$A$46)&gt;6,'GESTION DES JOUEURS'!$Y$8="R"),_xlfn.XLOOKUP(A18,PTSRKTOURNOI[Clt],PTSRKTOURNOI[PR 3B],"",0,1),IF(AND(B18&lt;&gt;"",MAX('GESTION DES JOUEURS'!$A$11:$A$46)&gt;6,'GESTION DES JOUEURS'!$Y$8="Dames"),_xlfn.XLOOKUP(A18,PTSRKTOURNOI[Clt],PTSRKTOURNOI[[PR DAMES ]],"",0,1),IF(AND(B18&lt;&gt;"",'GESTION DES JOUEURS'!$Y$8="D"),_xlfn.XLOOKUP(A18,PTSRKMINITOURNOI[Clt],PTSRKMINITOURNOI[PR DISTRICT],"",0,1),"")))))))))</f>
        <v>3</v>
      </c>
      <c r="AA18" s="451">
        <f>IF(AE18=0,"",IF('GESTION DES JOUEURS'!$D$8="Open","",_xlfn.XLOOKUP(B18,$CL$8:$CL$43,$DK$8:$DK$43,"",0,1)))</f>
        <v>2</v>
      </c>
      <c r="AB18" s="451">
        <f t="shared" si="11"/>
        <v>5</v>
      </c>
      <c r="AC18" s="451">
        <f t="shared" si="18"/>
        <v>0</v>
      </c>
      <c r="AD18" s="451">
        <f t="shared" si="19"/>
        <v>137</v>
      </c>
      <c r="AE18" s="538">
        <f t="shared" si="20"/>
        <v>75</v>
      </c>
      <c r="AF18" s="451">
        <f t="shared" si="21"/>
        <v>9</v>
      </c>
      <c r="AG18" s="456">
        <f t="shared" si="22"/>
        <v>1.8266666666666667</v>
      </c>
      <c r="AH18" s="456" t="str">
        <f t="shared" si="23"/>
        <v>/</v>
      </c>
      <c r="AI18" s="446"/>
      <c r="AK18" s="686"/>
      <c r="AV18" s="1224"/>
      <c r="AW18" s="244">
        <v>6</v>
      </c>
      <c r="AX18" s="244" t="str">
        <v/>
      </c>
      <c r="AY18" s="244" t="str">
        <v/>
      </c>
      <c r="AZ18" s="244">
        <v>0</v>
      </c>
      <c r="BA18" s="244" t="str">
        <v/>
      </c>
      <c r="BB18" s="244">
        <v>0</v>
      </c>
      <c r="BC18" s="244" t="str">
        <v/>
      </c>
      <c r="BD18" s="244">
        <v>0</v>
      </c>
      <c r="BE18" s="244">
        <v>0</v>
      </c>
      <c r="BF18" s="244">
        <v>0</v>
      </c>
      <c r="BG18" s="244">
        <v>0</v>
      </c>
      <c r="BH18" s="244">
        <v>0</v>
      </c>
      <c r="BI18" s="244" t="str">
        <v/>
      </c>
      <c r="BJ18" s="244" t="str">
        <v/>
      </c>
      <c r="BK18" s="244" t="str">
        <v/>
      </c>
      <c r="BL18" s="244" t="str">
        <v/>
      </c>
      <c r="BM18" s="244" t="str">
        <v/>
      </c>
      <c r="BN18" s="244" t="str">
        <v/>
      </c>
      <c r="BO18" s="244" t="str">
        <v/>
      </c>
      <c r="BV18" s="506"/>
      <c r="BW18" s="506">
        <f t="shared" si="30"/>
        <v>6</v>
      </c>
      <c r="BX18" s="506" t="str">
        <f t="shared" si="31"/>
        <v/>
      </c>
      <c r="BY18" s="506" t="str">
        <f t="shared" si="32"/>
        <v/>
      </c>
      <c r="BZ18" s="506" t="str">
        <f t="shared" si="33"/>
        <v/>
      </c>
      <c r="CA18" s="506" t="str">
        <f t="shared" si="34"/>
        <v/>
      </c>
      <c r="CB18" s="506" t="str">
        <f t="shared" si="35"/>
        <v/>
      </c>
      <c r="CC18" s="506" t="str">
        <f t="shared" si="36"/>
        <v/>
      </c>
      <c r="CD18" s="506" t="str">
        <f t="shared" si="37"/>
        <v/>
      </c>
      <c r="CE18" s="506" t="str">
        <f t="shared" si="3"/>
        <v/>
      </c>
      <c r="CF18" s="506" t="str">
        <f t="shared" si="4"/>
        <v/>
      </c>
      <c r="CG18" s="506">
        <f t="shared" si="5"/>
        <v>0</v>
      </c>
      <c r="CH18" s="506" t="str">
        <f t="shared" si="38"/>
        <v/>
      </c>
      <c r="CI18" s="244">
        <f>IF(BX18="",37,IF(BX18='Phase finale'!$C$38,1,IF(BX18='Phase finale'!$C$39,2,IF(BX18='Phase finale'!$C$40,3,IF(BX18='Phase finale'!$C$41,4,IF(BX18='Phase finale'!$C$42,5,IF(BX18='Phase finale'!$C$43,6,IF(BX18='Phase finale'!$C$44,7,IF(BX18='Phase finale'!$C$45,8,IF(OR(BX18='Phase finale'!F23,BX18='Phase finale'!$F$10,BX18='Phase finale'!$V$11,BX18='Phase finale'!$V$10),3,IF(OR(BX18='Phase finale'!F25,BX18='Phase finale'!F26,BX18='Phase finale'!F27,BX18='Phase finale'!F28,BX18='Phase finale'!V25,BX18='Phase finale'!V26,BX18='Phase finale'!V27,BX18='Phase finale'!V28),5,IF(_xlfn.XLOOKUP(BX18,Tableau19[Licence],Tableau19[Forfait],"",0,1)=TRUE,36,9))))))))))))</f>
        <v>37</v>
      </c>
      <c r="CL18" s="451" t="str">
        <f>IF('GESTION DES JOUEURS'!B21="",0,'GESTION DES JOUEURS'!B21)</f>
        <v>013428M</v>
      </c>
      <c r="CM18" s="453" t="str">
        <f t="shared" si="24"/>
        <v>KEREBEL</v>
      </c>
      <c r="CN18" s="453"/>
      <c r="CO18" s="453"/>
      <c r="CP18" s="453"/>
      <c r="CQ18" s="453"/>
      <c r="CR18" s="453"/>
      <c r="CS18" s="453" t="str">
        <f t="shared" si="12"/>
        <v>ERIC</v>
      </c>
      <c r="CT18" s="453"/>
      <c r="CU18" s="453"/>
      <c r="CV18" s="453"/>
      <c r="CW18" s="453"/>
      <c r="CX18" s="453" t="str">
        <f t="shared" si="13"/>
        <v>ASS. BILLARD AMATEUR DE SAINT MAUR</v>
      </c>
      <c r="CY18" s="453"/>
      <c r="CZ18" s="453"/>
      <c r="DA18" s="453"/>
      <c r="DB18" s="453"/>
      <c r="DC18" s="453"/>
      <c r="DD18" s="453"/>
      <c r="DE18" s="453"/>
      <c r="DF18" s="453"/>
      <c r="DG18" s="453"/>
      <c r="DH18" s="509">
        <f t="shared" si="14"/>
        <v>2</v>
      </c>
      <c r="DI18" s="509" t="str">
        <f>IFERROR(IF('GESTION DES JOUEURS'!$D$8="Open",_xlfn.XLOOKUP(RESULTATS!CL18,RESULTATS!$DW$8:$DW$43,RESULTATS!$EL$8:$EL$43,"",0,1),_xlfn.XLOOKUP(CL18,$BX$5:$BX$12,$BV$5:$BV$12,_xlfn.XLOOKUP(CL18,$AX$5:$AX$12,$AW$5:$AW$12,"",0,1),0,1)),"")</f>
        <v/>
      </c>
      <c r="DJ18" s="453">
        <f t="shared" si="25"/>
        <v>5</v>
      </c>
      <c r="DK18" s="453">
        <f>IF('GESTION DES JOUEURS'!$D$8="Poules",_xlfn.XLOOKUP(RESULTATS!CL18,'Phase finale'!$BV$7:$BV$42,'Phase finale'!$CM$7:$CM$42,"",0,1),IF(AND(CL18&lt;&gt;0,DQ18&gt;_xlfn.XLOOKUP('GESTION DES JOUEURS'!$D$4,Distances[Mode de jeu et cat.],Distances[M 3],"",0,1)),_xlfn.XLOOKUP('GESTION DES JOUEURS'!$D$4,Distances[Mode de jeu et cat.],Distances[BT3],"",0,1),IF(AND(CL18&lt;&gt;0,DQ18&gt;_xlfn.XLOOKUP('GESTION DES JOUEURS'!$D$4,Distances[Mode de jeu et cat.],Distances[M 2],"",0,1)),_xlfn.XLOOKUP('GESTION DES JOUEURS'!$D$4,Distances[Mode de jeu et cat.],Distances[BT2],"",0,1),IF(AND(CL18&lt;&gt;0,DQ18&gt;_xlfn.XLOOKUP('GESTION DES JOUEURS'!$D$4,Distances[Mode de jeu et cat.],Distances[M 1],"",0,1)),_xlfn.XLOOKUP('GESTION DES JOUEURS'!$D$4,Distances[Mode de jeu et cat.],Distances[BT1],"",0,1),0))))</f>
        <v>2</v>
      </c>
      <c r="DL18" s="453">
        <f t="shared" si="26"/>
        <v>7</v>
      </c>
      <c r="DM18" s="453">
        <f>IF('GESTION DES JOUEURS'!$D$8="Open",_xlfn.XLOOKUP(CL18,RESULTATS!$DW$8:$DW$43,RESULTATS!$EH$8:$EH$43,"",0,1),_xlfn.XLOOKUP(CL18,$BX$5:$BX$48,$CH$5:$CH$48,"",0,1))</f>
        <v>0</v>
      </c>
      <c r="DN18" s="451">
        <f>IFERROR(SUM(_xlfn.XLOOKUP(CL18,_xlfn.ANCHORARRAY('Phase finale'!$DK$7),'Phase finale'!$DP$7:$DP$42,"",0,1),_xlfn.XLOOKUP(CL18,_xlfn.ANCHORARRAY('Phase finale'!$DK$7),'Phase finale'!$DL$7:$DL$42,"",0,1)),"")</f>
        <v>132</v>
      </c>
      <c r="DO18" s="451">
        <f>IFERROR(SUM(_xlfn.XLOOKUP(CL18,_xlfn.ANCHORARRAY('Phase finale'!$DK$7),'Phase finale'!$DQ$7:$DQ$42,"",0,1),_xlfn.XLOOKUP(CL18,_xlfn.ANCHORARRAY('Phase finale'!$DK$7),'Phase finale'!$DM$7:$DM$42,"",0,1)),"")</f>
        <v>48</v>
      </c>
      <c r="DP18" s="517">
        <f t="shared" si="27"/>
        <v>20</v>
      </c>
      <c r="DQ18" s="456">
        <f t="shared" si="28"/>
        <v>2.75</v>
      </c>
      <c r="DR18" s="456">
        <f t="shared" si="29"/>
        <v>0</v>
      </c>
      <c r="DS18" s="518">
        <f t="shared" si="15"/>
        <v>9</v>
      </c>
      <c r="DU18" s="244">
        <v>11</v>
      </c>
      <c r="DV18" s="244" t="str">
        <v/>
      </c>
      <c r="DW18" s="244" t="str">
        <v/>
      </c>
      <c r="DX18" s="244" t="str">
        <v/>
      </c>
      <c r="DY18" s="244">
        <v>0</v>
      </c>
      <c r="DZ18" s="244" t="str">
        <v/>
      </c>
      <c r="EA18" s="244">
        <v>0</v>
      </c>
      <c r="EB18" s="244">
        <v>0</v>
      </c>
      <c r="EC18" s="244" t="str">
        <v/>
      </c>
      <c r="ED18" s="244">
        <v>0</v>
      </c>
      <c r="EE18" s="244">
        <v>0</v>
      </c>
      <c r="EF18" s="244">
        <v>0</v>
      </c>
      <c r="EG18" s="244" t="str">
        <v/>
      </c>
      <c r="EH18" s="244" t="str">
        <v/>
      </c>
      <c r="EI18" s="244" t="str">
        <v/>
      </c>
      <c r="EJ18" s="244" t="str">
        <v/>
      </c>
      <c r="EK18" s="244" t="str">
        <v/>
      </c>
      <c r="EL18" s="244" t="str">
        <v/>
      </c>
      <c r="EM18" s="244">
        <v>0</v>
      </c>
      <c r="EN18" s="244">
        <v>0</v>
      </c>
    </row>
    <row r="19" spans="1:144" ht="24" customHeight="1" x14ac:dyDescent="0.3">
      <c r="A19" s="452" t="str">
        <f>IF('GESTION DES JOUEURS'!A21=MAX('GESTION DES JOUEURS'!$A$10:'GESTION DES JOUEURS'!$A$46),"",A18+1)</f>
        <v/>
      </c>
      <c r="B19" s="451" t="str">
        <v/>
      </c>
      <c r="C19" s="1218" t="str">
        <f>_xlfn.XLOOKUP(B19,Tableau19[Licence],Tableau19[Nom],"",0,1)</f>
        <v/>
      </c>
      <c r="D19" s="1218"/>
      <c r="E19" s="1218"/>
      <c r="F19" s="1218"/>
      <c r="G19" s="1218"/>
      <c r="H19" s="1218"/>
      <c r="I19" s="1218" t="str">
        <f>_xlfn.XLOOKUP(B19,Tableau19[Licence],Tableau19[[prénom ]],"",0,1)</f>
        <v/>
      </c>
      <c r="J19" s="1218"/>
      <c r="K19" s="1218"/>
      <c r="L19" s="1218"/>
      <c r="M19" s="1218"/>
      <c r="N19" s="1218" t="str">
        <f>_xlfn.XLOOKUP(B19,Tableau19[Licence],Tableau19[Club],"",0,1)</f>
        <v/>
      </c>
      <c r="O19" s="1218"/>
      <c r="P19" s="1218"/>
      <c r="Q19" s="1218"/>
      <c r="R19" s="1218"/>
      <c r="S19" s="1218"/>
      <c r="T19" s="1218"/>
      <c r="U19" s="1218"/>
      <c r="V19" s="1218"/>
      <c r="W19" s="1218"/>
      <c r="X19" s="455" t="str">
        <f t="shared" si="16"/>
        <v/>
      </c>
      <c r="Y19" s="455" t="str">
        <f t="shared" si="17"/>
        <v/>
      </c>
      <c r="Z19" s="451" t="str">
        <f>IF(B19="","",IF('GESTION DES JOUEURS'!$D$8="Open","",IF(AND('GESTION DES JOUEURS'!$D$8="poules",A19&lt;&gt;""),_xlfn.XLOOKUP(RESULTATS!B19,'Phase finale'!$BV$7:$BV$42,'Phase finale'!$CL$7:$CL$42,"",0,1),IF(AND(B19&lt;&gt;"",MAX('GESTION DES JOUEURS'!$A$11:$A$46)&gt;6,'GESTION DES JOUEURS'!$Y$8="JDSR"),_xlfn.XLOOKUP(A19,PTSRKMINITOURNOI[Clt],PTSRKMINITOURNOI[PR JDS 9],"",0,1),IF(AND(B19&lt;&gt;"",MAX('GESTION DES JOUEURS'!$A$11:$A$46)&lt;7,'GESTION DES JOUEURS'!$Y$8="JDSR"),_xlfn.XLOOKUP(A19,PTSRKMINITOURNOI[Clt],PTSRKMINITOURNOI[PR JDS],"",0,1),IF(AND(B19&lt;&gt;"",MAX('GESTION DES JOUEURS'!$A$11:$A$46)&lt;7,'GESTION DES JOUEURS'!$Y$8="R"),_xlfn.XLOOKUP(A19,PTSRKMINITOURNOI[Clt],PTSRKMINITOURNOI[PR 3B],"",0,1),IF(AND(B19&lt;&gt;"",MAX('GESTION DES JOUEURS'!$A$11:$A$46)&gt;6,'GESTION DES JOUEURS'!$Y$8="R"),_xlfn.XLOOKUP(A19,PTSRKTOURNOI[Clt],PTSRKTOURNOI[PR 3B],"",0,1),IF(AND(B19&lt;&gt;"",MAX('GESTION DES JOUEURS'!$A$11:$A$46)&gt;6,'GESTION DES JOUEURS'!$Y$8="Dames"),_xlfn.XLOOKUP(A19,PTSRKTOURNOI[Clt],PTSRKTOURNOI[[PR DAMES ]],"",0,1),IF(AND(B19&lt;&gt;"",'GESTION DES JOUEURS'!$Y$8="D"),_xlfn.XLOOKUP(A19,PTSRKMINITOURNOI[Clt],PTSRKMINITOURNOI[PR DISTRICT],"",0,1),"")))))))))</f>
        <v/>
      </c>
      <c r="AA19" s="451" t="str">
        <f>IF(AE19=0,"",IF('GESTION DES JOUEURS'!$D$8="Open","",_xlfn.XLOOKUP(B19,$CL$8:$CL$43,$DK$8:$DK$43,"",0,1)))</f>
        <v/>
      </c>
      <c r="AB19" s="451" t="str">
        <f t="shared" si="11"/>
        <v/>
      </c>
      <c r="AC19" s="451" t="str">
        <f t="shared" si="18"/>
        <v/>
      </c>
      <c r="AD19" s="451" t="str">
        <f t="shared" si="19"/>
        <v/>
      </c>
      <c r="AE19" s="538" t="str">
        <f t="shared" si="20"/>
        <v/>
      </c>
      <c r="AF19" s="451" t="str">
        <f t="shared" si="21"/>
        <v/>
      </c>
      <c r="AG19" s="456" t="str">
        <f t="shared" si="22"/>
        <v/>
      </c>
      <c r="AH19" s="456" t="str">
        <f t="shared" si="23"/>
        <v/>
      </c>
      <c r="AI19" s="446"/>
      <c r="AK19" s="713" t="s">
        <v>8117</v>
      </c>
      <c r="AV19" s="1224"/>
      <c r="AW19" s="244">
        <v>7</v>
      </c>
      <c r="AX19" s="244" t="str">
        <v/>
      </c>
      <c r="AY19" s="244" t="str">
        <v/>
      </c>
      <c r="AZ19" s="244">
        <v>0</v>
      </c>
      <c r="BA19" s="244" t="str">
        <v/>
      </c>
      <c r="BB19" s="244">
        <v>0</v>
      </c>
      <c r="BC19" s="244" t="str">
        <v/>
      </c>
      <c r="BD19" s="244">
        <v>0</v>
      </c>
      <c r="BE19" s="244">
        <v>0</v>
      </c>
      <c r="BF19" s="244">
        <v>0</v>
      </c>
      <c r="BG19" s="244">
        <v>0</v>
      </c>
      <c r="BH19" s="244">
        <v>0</v>
      </c>
      <c r="BI19" s="244" t="str">
        <v/>
      </c>
      <c r="BJ19" s="244" t="str">
        <v/>
      </c>
      <c r="BK19" s="244" t="str">
        <v/>
      </c>
      <c r="BL19" s="244" t="str">
        <v/>
      </c>
      <c r="BM19" s="244" t="str">
        <v/>
      </c>
      <c r="BN19" s="244" t="str">
        <v/>
      </c>
      <c r="BO19" s="244" t="str">
        <v/>
      </c>
      <c r="BV19" s="506"/>
      <c r="BW19" s="506">
        <f t="shared" si="30"/>
        <v>7</v>
      </c>
      <c r="BX19" s="506" t="str">
        <f t="shared" si="31"/>
        <v/>
      </c>
      <c r="BY19" s="506" t="str">
        <f t="shared" si="32"/>
        <v/>
      </c>
      <c r="BZ19" s="506" t="str">
        <f t="shared" si="33"/>
        <v/>
      </c>
      <c r="CA19" s="506" t="str">
        <f t="shared" si="34"/>
        <v/>
      </c>
      <c r="CB19" s="506" t="str">
        <f t="shared" si="35"/>
        <v/>
      </c>
      <c r="CC19" s="506" t="str">
        <f t="shared" si="36"/>
        <v/>
      </c>
      <c r="CD19" s="506" t="str">
        <f t="shared" si="37"/>
        <v/>
      </c>
      <c r="CE19" s="506" t="str">
        <f t="shared" si="3"/>
        <v/>
      </c>
      <c r="CF19" s="506" t="str">
        <f t="shared" si="4"/>
        <v/>
      </c>
      <c r="CG19" s="506">
        <f t="shared" si="5"/>
        <v>0</v>
      </c>
      <c r="CH19" s="506" t="str">
        <f t="shared" si="38"/>
        <v/>
      </c>
      <c r="CI19" s="244">
        <f>IF(BX19="",37,IF(BX19='Phase finale'!$C$38,1,IF(BX19='Phase finale'!$C$39,2,IF(BX19='Phase finale'!$C$40,3,IF(BX19='Phase finale'!$C$41,4,IF(BX19='Phase finale'!$C$42,5,IF(BX19='Phase finale'!$C$43,6,IF(BX19='Phase finale'!$C$44,7,IF(BX19='Phase finale'!$C$45,8,IF(OR(BX19='Phase finale'!F24,BX19='Phase finale'!$F$10,BX19='Phase finale'!$V$11,BX19='Phase finale'!$V$10),3,IF(OR(BX19='Phase finale'!F26,BX19='Phase finale'!F27,BX19='Phase finale'!F28,BX19='Phase finale'!F29,BX19='Phase finale'!V26,BX19='Phase finale'!V27,BX19='Phase finale'!V28,BX19='Phase finale'!V29),5,IF(_xlfn.XLOOKUP(BX19,Tableau19[Licence],Tableau19[Forfait],"",0,1)=TRUE,36,9))))))))))))</f>
        <v>37</v>
      </c>
      <c r="CL19" s="451">
        <f>IF('GESTION DES JOUEURS'!B22="",0,'GESTION DES JOUEURS'!B22)</f>
        <v>0</v>
      </c>
      <c r="CM19" s="453" t="str">
        <f t="shared" si="24"/>
        <v/>
      </c>
      <c r="CN19" s="453"/>
      <c r="CO19" s="453"/>
      <c r="CP19" s="453"/>
      <c r="CQ19" s="453"/>
      <c r="CR19" s="453"/>
      <c r="CS19" s="453" t="str">
        <f t="shared" si="12"/>
        <v/>
      </c>
      <c r="CT19" s="453"/>
      <c r="CU19" s="453"/>
      <c r="CV19" s="453"/>
      <c r="CW19" s="453"/>
      <c r="CX19" s="453" t="str">
        <f t="shared" si="13"/>
        <v/>
      </c>
      <c r="CY19" s="453"/>
      <c r="CZ19" s="453"/>
      <c r="DA19" s="453"/>
      <c r="DB19" s="453"/>
      <c r="DC19" s="453"/>
      <c r="DD19" s="453"/>
      <c r="DE19" s="453"/>
      <c r="DF19" s="453"/>
      <c r="DG19" s="453"/>
      <c r="DH19" s="509" t="str">
        <f t="shared" si="14"/>
        <v/>
      </c>
      <c r="DI19" s="509">
        <f>IFERROR(IF('GESTION DES JOUEURS'!$D$8="Open",_xlfn.XLOOKUP(RESULTATS!CL19,RESULTATS!$DW$8:$DW$43,RESULTATS!$EL$8:$EL$43,"",0,1),_xlfn.XLOOKUP(CL19,$BX$5:$BX$12,$BV$5:$BV$12,_xlfn.XLOOKUP(CL19,$AX$5:$AX$12,$AW$5:$AW$12,"",0,1),0,1)),"")</f>
        <v>2</v>
      </c>
      <c r="DJ19" s="453" t="str">
        <f t="shared" si="25"/>
        <v/>
      </c>
      <c r="DK19" s="453" t="str">
        <f>IF('GESTION DES JOUEURS'!$D$8="Poules",_xlfn.XLOOKUP(RESULTATS!CL19,'Phase finale'!$BV$7:$BV$42,'Phase finale'!$CM$7:$CM$42,"",0,1),IF(AND(CL19&lt;&gt;0,DQ19&gt;_xlfn.XLOOKUP('GESTION DES JOUEURS'!$D$4,Distances[Mode de jeu et cat.],Distances[M 3],"",0,1)),_xlfn.XLOOKUP('GESTION DES JOUEURS'!$D$4,Distances[Mode de jeu et cat.],Distances[BT3],"",0,1),IF(AND(CL19&lt;&gt;0,DQ19&gt;_xlfn.XLOOKUP('GESTION DES JOUEURS'!$D$4,Distances[Mode de jeu et cat.],Distances[M 2],"",0,1)),_xlfn.XLOOKUP('GESTION DES JOUEURS'!$D$4,Distances[Mode de jeu et cat.],Distances[BT2],"",0,1),IF(AND(CL19&lt;&gt;0,DQ19&gt;_xlfn.XLOOKUP('GESTION DES JOUEURS'!$D$4,Distances[Mode de jeu et cat.],Distances[M 1],"",0,1)),_xlfn.XLOOKUP('GESTION DES JOUEURS'!$D$4,Distances[Mode de jeu et cat.],Distances[BT1],"",0,1),0))))</f>
        <v/>
      </c>
      <c r="DL19" s="453">
        <f t="shared" si="26"/>
        <v>0</v>
      </c>
      <c r="DM19" s="453" t="str">
        <f>IF('GESTION DES JOUEURS'!$D$8="Open",_xlfn.XLOOKUP(CL19,RESULTATS!$DW$8:$DW$43,RESULTATS!$EH$8:$EH$43,"",0,1),_xlfn.XLOOKUP(CL19,$BX$5:$BX$48,$CH$5:$CH$48,"",0,1))</f>
        <v/>
      </c>
      <c r="DN19" s="451" t="str">
        <f>IFERROR(SUM(_xlfn.XLOOKUP(CL19,_xlfn.ANCHORARRAY('Phase finale'!$DK$7),'Phase finale'!$DP$7:$DP$42,"",0,1),_xlfn.XLOOKUP(CL19,_xlfn.ANCHORARRAY('Phase finale'!$DK$7),'Phase finale'!$DL$7:$DL$42,"",0,1)),"")</f>
        <v/>
      </c>
      <c r="DO19" s="451" t="str">
        <f>IFERROR(SUM(_xlfn.XLOOKUP(CL19,_xlfn.ANCHORARRAY('Phase finale'!$DK$7),'Phase finale'!$DQ$7:$DQ$42,"",0,1),_xlfn.XLOOKUP(CL19,_xlfn.ANCHORARRAY('Phase finale'!$DK$7),'Phase finale'!$DM$7:$DM$42,"",0,1)),"")</f>
        <v/>
      </c>
      <c r="DP19" s="517" t="str">
        <f t="shared" si="27"/>
        <v/>
      </c>
      <c r="DQ19" s="456" t="str">
        <f t="shared" si="28"/>
        <v/>
      </c>
      <c r="DR19" s="456">
        <f t="shared" si="29"/>
        <v>0</v>
      </c>
      <c r="DS19" s="518">
        <f t="shared" si="15"/>
        <v>37</v>
      </c>
      <c r="DU19" s="244">
        <v>12</v>
      </c>
      <c r="DV19" s="244" t="str">
        <v/>
      </c>
      <c r="DW19" s="244" t="str">
        <v/>
      </c>
      <c r="DX19" s="244" t="str">
        <v/>
      </c>
      <c r="DY19" s="244">
        <v>0</v>
      </c>
      <c r="DZ19" s="244" t="str">
        <v/>
      </c>
      <c r="EA19" s="244">
        <v>0</v>
      </c>
      <c r="EB19" s="244">
        <v>0</v>
      </c>
      <c r="EC19" s="244" t="str">
        <v/>
      </c>
      <c r="ED19" s="244">
        <v>0</v>
      </c>
      <c r="EE19" s="244">
        <v>0</v>
      </c>
      <c r="EF19" s="244">
        <v>0</v>
      </c>
      <c r="EG19" s="244" t="str">
        <v/>
      </c>
      <c r="EH19" s="244" t="str">
        <v/>
      </c>
      <c r="EI19" s="244" t="str">
        <v/>
      </c>
      <c r="EJ19" s="244" t="str">
        <v/>
      </c>
      <c r="EK19" s="244" t="str">
        <v/>
      </c>
      <c r="EL19" s="244" t="str">
        <v/>
      </c>
      <c r="EM19" s="244">
        <v>0</v>
      </c>
      <c r="EN19" s="244">
        <v>0</v>
      </c>
    </row>
    <row r="20" spans="1:144" ht="24" customHeight="1" x14ac:dyDescent="0.3">
      <c r="A20" s="452" t="str">
        <f>IF('GESTION DES JOUEURS'!A22=MAX('GESTION DES JOUEURS'!$A$10:'GESTION DES JOUEURS'!$A$46),"",A19+1)</f>
        <v/>
      </c>
      <c r="B20" s="451" t="str">
        <v/>
      </c>
      <c r="C20" s="1218" t="str">
        <f>_xlfn.XLOOKUP(B20,Tableau19[Licence],Tableau19[Nom],"",0,1)</f>
        <v/>
      </c>
      <c r="D20" s="1218"/>
      <c r="E20" s="1218"/>
      <c r="F20" s="1218"/>
      <c r="G20" s="1218"/>
      <c r="H20" s="1218"/>
      <c r="I20" s="1218" t="str">
        <f>_xlfn.XLOOKUP(B20,Tableau19[Licence],Tableau19[[prénom ]],"",0,1)</f>
        <v/>
      </c>
      <c r="J20" s="1218"/>
      <c r="K20" s="1218"/>
      <c r="L20" s="1218"/>
      <c r="M20" s="1218"/>
      <c r="N20" s="1218" t="str">
        <f>_xlfn.XLOOKUP(B20,Tableau19[Licence],Tableau19[Club],"",0,1)</f>
        <v/>
      </c>
      <c r="O20" s="1218"/>
      <c r="P20" s="1218"/>
      <c r="Q20" s="1218"/>
      <c r="R20" s="1218"/>
      <c r="S20" s="1218"/>
      <c r="T20" s="1218"/>
      <c r="U20" s="1218"/>
      <c r="V20" s="1218"/>
      <c r="W20" s="1218"/>
      <c r="X20" s="455" t="str">
        <f t="shared" si="16"/>
        <v/>
      </c>
      <c r="Y20" s="455" t="str">
        <f t="shared" si="17"/>
        <v/>
      </c>
      <c r="Z20" s="451" t="str">
        <f>IF(B20="","",IF('GESTION DES JOUEURS'!$D$8="Open","",IF(AND('GESTION DES JOUEURS'!$D$8="poules",A20&lt;&gt;""),_xlfn.XLOOKUP(RESULTATS!B20,'Phase finale'!$BV$7:$BV$42,'Phase finale'!$CL$7:$CL$42,"",0,1),IF(AND(B20&lt;&gt;"",MAX('GESTION DES JOUEURS'!$A$11:$A$46)&gt;6,'GESTION DES JOUEURS'!$Y$8="JDSR"),_xlfn.XLOOKUP(A20,PTSRKMINITOURNOI[Clt],PTSRKMINITOURNOI[PR JDS 9],"",0,1),IF(AND(B20&lt;&gt;"",MAX('GESTION DES JOUEURS'!$A$11:$A$46)&lt;7,'GESTION DES JOUEURS'!$Y$8="JDSR"),_xlfn.XLOOKUP(A20,PTSRKMINITOURNOI[Clt],PTSRKMINITOURNOI[PR JDS],"",0,1),IF(AND(B20&lt;&gt;"",MAX('GESTION DES JOUEURS'!$A$11:$A$46)&lt;7,'GESTION DES JOUEURS'!$Y$8="R"),_xlfn.XLOOKUP(A20,PTSRKMINITOURNOI[Clt],PTSRKMINITOURNOI[PR 3B],"",0,1),IF(AND(B20&lt;&gt;"",MAX('GESTION DES JOUEURS'!$A$11:$A$46)&gt;6,'GESTION DES JOUEURS'!$Y$8="R"),_xlfn.XLOOKUP(A20,PTSRKTOURNOI[Clt],PTSRKTOURNOI[PR 3B],"",0,1),IF(AND(B20&lt;&gt;"",MAX('GESTION DES JOUEURS'!$A$11:$A$46)&gt;6,'GESTION DES JOUEURS'!$Y$8="Dames"),_xlfn.XLOOKUP(A20,PTSRKTOURNOI[Clt],PTSRKTOURNOI[[PR DAMES ]],"",0,1),IF(AND(B20&lt;&gt;"",'GESTION DES JOUEURS'!$Y$8="D"),_xlfn.XLOOKUP(A20,PTSRKMINITOURNOI[Clt],PTSRKMINITOURNOI[PR DISTRICT],"",0,1),"")))))))))</f>
        <v/>
      </c>
      <c r="AA20" s="451" t="str">
        <f>IF(AE20=0,"",IF('GESTION DES JOUEURS'!$D$8="Open","",_xlfn.XLOOKUP(B20,$CL$8:$CL$43,$DK$8:$DK$43,"",0,1)))</f>
        <v/>
      </c>
      <c r="AB20" s="451" t="str">
        <f t="shared" si="11"/>
        <v/>
      </c>
      <c r="AC20" s="451" t="str">
        <f t="shared" si="18"/>
        <v/>
      </c>
      <c r="AD20" s="451" t="str">
        <f t="shared" si="19"/>
        <v/>
      </c>
      <c r="AE20" s="538" t="str">
        <f t="shared" si="20"/>
        <v/>
      </c>
      <c r="AF20" s="451" t="str">
        <f t="shared" si="21"/>
        <v/>
      </c>
      <c r="AG20" s="456" t="str">
        <f t="shared" si="22"/>
        <v/>
      </c>
      <c r="AH20" s="456" t="str">
        <f t="shared" si="23"/>
        <v/>
      </c>
      <c r="AI20" s="446"/>
      <c r="AK20" s="713"/>
      <c r="AV20" s="1224"/>
      <c r="AW20" s="244">
        <v>8</v>
      </c>
      <c r="AX20" s="244" t="str">
        <v/>
      </c>
      <c r="AY20" s="244" t="str">
        <v/>
      </c>
      <c r="AZ20" s="244">
        <v>0</v>
      </c>
      <c r="BA20" s="244" t="str">
        <v/>
      </c>
      <c r="BB20" s="244">
        <v>0</v>
      </c>
      <c r="BC20" s="244" t="str">
        <v/>
      </c>
      <c r="BD20" s="244">
        <v>0</v>
      </c>
      <c r="BE20" s="244">
        <v>0</v>
      </c>
      <c r="BF20" s="244">
        <v>0</v>
      </c>
      <c r="BG20" s="244">
        <v>0</v>
      </c>
      <c r="BH20" s="244">
        <v>0</v>
      </c>
      <c r="BI20" s="244" t="str">
        <v/>
      </c>
      <c r="BJ20" s="244" t="str">
        <v/>
      </c>
      <c r="BK20" s="244" t="str">
        <v/>
      </c>
      <c r="BL20" s="244" t="str">
        <v/>
      </c>
      <c r="BM20" s="244" t="str">
        <v/>
      </c>
      <c r="BN20" s="244" t="str">
        <v/>
      </c>
      <c r="BO20" s="244" t="str">
        <v/>
      </c>
      <c r="BV20" s="506"/>
      <c r="BW20" s="506">
        <f t="shared" si="30"/>
        <v>8</v>
      </c>
      <c r="BX20" s="506" t="str">
        <f t="shared" si="31"/>
        <v/>
      </c>
      <c r="BY20" s="506" t="str">
        <f t="shared" si="32"/>
        <v/>
      </c>
      <c r="BZ20" s="506" t="str">
        <f t="shared" si="33"/>
        <v/>
      </c>
      <c r="CA20" s="506" t="str">
        <f t="shared" si="34"/>
        <v/>
      </c>
      <c r="CB20" s="506" t="str">
        <f t="shared" si="35"/>
        <v/>
      </c>
      <c r="CC20" s="506" t="str">
        <f t="shared" si="36"/>
        <v/>
      </c>
      <c r="CD20" s="506" t="str">
        <f t="shared" si="37"/>
        <v/>
      </c>
      <c r="CE20" s="506" t="str">
        <f t="shared" si="3"/>
        <v/>
      </c>
      <c r="CF20" s="506" t="str">
        <f t="shared" si="4"/>
        <v/>
      </c>
      <c r="CG20" s="506">
        <f t="shared" si="5"/>
        <v>0</v>
      </c>
      <c r="CH20" s="506" t="str">
        <f t="shared" si="38"/>
        <v/>
      </c>
      <c r="CI20" s="244">
        <f>IF(BX20="",37,IF(BX20='Phase finale'!$C$38,1,IF(BX20='Phase finale'!$C$39,2,IF(BX20='Phase finale'!$C$40,3,IF(BX20='Phase finale'!$C$41,4,IF(BX20='Phase finale'!$C$42,5,IF(BX20='Phase finale'!$C$43,6,IF(BX20='Phase finale'!$C$44,7,IF(BX20='Phase finale'!$C$45,8,IF(OR(BX20='Phase finale'!F25,BX20='Phase finale'!$F$10,BX20='Phase finale'!$V$11,BX20='Phase finale'!$V$10),3,IF(OR(BX20='Phase finale'!F27,BX20='Phase finale'!F28,BX20='Phase finale'!F29,BX20='Phase finale'!F30,BX20='Phase finale'!V27,BX20='Phase finale'!V28,BX20='Phase finale'!V29,BX20='Phase finale'!V30),5,IF(_xlfn.XLOOKUP(BX20,Tableau19[Licence],Tableau19[Forfait],"",0,1)=TRUE,36,9))))))))))))</f>
        <v>37</v>
      </c>
      <c r="CL20" s="451">
        <f>IF('GESTION DES JOUEURS'!B23="",0,'GESTION DES JOUEURS'!B23)</f>
        <v>0</v>
      </c>
      <c r="CM20" s="453" t="str">
        <f t="shared" si="24"/>
        <v/>
      </c>
      <c r="CN20" s="453"/>
      <c r="CO20" s="453"/>
      <c r="CP20" s="453"/>
      <c r="CQ20" s="453"/>
      <c r="CR20" s="453"/>
      <c r="CS20" s="453" t="str">
        <f t="shared" si="12"/>
        <v/>
      </c>
      <c r="CT20" s="453"/>
      <c r="CU20" s="453"/>
      <c r="CV20" s="453"/>
      <c r="CW20" s="453"/>
      <c r="CX20" s="453" t="str">
        <f t="shared" si="13"/>
        <v/>
      </c>
      <c r="CY20" s="453"/>
      <c r="CZ20" s="453"/>
      <c r="DA20" s="453"/>
      <c r="DB20" s="453"/>
      <c r="DC20" s="453"/>
      <c r="DD20" s="453"/>
      <c r="DE20" s="453"/>
      <c r="DF20" s="453"/>
      <c r="DG20" s="453"/>
      <c r="DH20" s="509" t="str">
        <f t="shared" si="14"/>
        <v/>
      </c>
      <c r="DI20" s="509">
        <f>IFERROR(IF('GESTION DES JOUEURS'!$D$8="Open",_xlfn.XLOOKUP(RESULTATS!CL20,RESULTATS!$DW$8:$DW$43,RESULTATS!$EL$8:$EL$43,"",0,1),_xlfn.XLOOKUP(CL20,$BX$5:$BX$12,$BV$5:$BV$12,_xlfn.XLOOKUP(CL20,$AX$5:$AX$12,$AW$5:$AW$12,"",0,1),0,1)),"")</f>
        <v>2</v>
      </c>
      <c r="DJ20" s="453" t="str">
        <f t="shared" si="25"/>
        <v/>
      </c>
      <c r="DK20" s="453" t="str">
        <f>IF('GESTION DES JOUEURS'!$D$8="Poules",_xlfn.XLOOKUP(RESULTATS!CL20,'Phase finale'!$BV$7:$BV$42,'Phase finale'!$CM$7:$CM$42,"",0,1),IF(AND(CL20&lt;&gt;0,DQ20&gt;_xlfn.XLOOKUP('GESTION DES JOUEURS'!$D$4,Distances[Mode de jeu et cat.],Distances[M 3],"",0,1)),_xlfn.XLOOKUP('GESTION DES JOUEURS'!$D$4,Distances[Mode de jeu et cat.],Distances[BT3],"",0,1),IF(AND(CL20&lt;&gt;0,DQ20&gt;_xlfn.XLOOKUP('GESTION DES JOUEURS'!$D$4,Distances[Mode de jeu et cat.],Distances[M 2],"",0,1)),_xlfn.XLOOKUP('GESTION DES JOUEURS'!$D$4,Distances[Mode de jeu et cat.],Distances[BT2],"",0,1),IF(AND(CL20&lt;&gt;0,DQ20&gt;_xlfn.XLOOKUP('GESTION DES JOUEURS'!$D$4,Distances[Mode de jeu et cat.],Distances[M 1],"",0,1)),_xlfn.XLOOKUP('GESTION DES JOUEURS'!$D$4,Distances[Mode de jeu et cat.],Distances[BT1],"",0,1),0))))</f>
        <v/>
      </c>
      <c r="DL20" s="453">
        <f t="shared" si="26"/>
        <v>0</v>
      </c>
      <c r="DM20" s="453" t="str">
        <f>IF('GESTION DES JOUEURS'!$D$8="Open",_xlfn.XLOOKUP(CL20,RESULTATS!$DW$8:$DW$43,RESULTATS!$EH$8:$EH$43,"",0,1),_xlfn.XLOOKUP(CL20,$BX$5:$BX$48,$CH$5:$CH$48,"",0,1))</f>
        <v/>
      </c>
      <c r="DN20" s="451" t="str">
        <f>IFERROR(SUM(_xlfn.XLOOKUP(CL20,_xlfn.ANCHORARRAY('Phase finale'!$DK$7),'Phase finale'!$DP$7:$DP$42,"",0,1),_xlfn.XLOOKUP(CL20,_xlfn.ANCHORARRAY('Phase finale'!$DK$7),'Phase finale'!$DL$7:$DL$42,"",0,1)),"")</f>
        <v/>
      </c>
      <c r="DO20" s="451" t="str">
        <f>IFERROR(SUM(_xlfn.XLOOKUP(CL20,_xlfn.ANCHORARRAY('Phase finale'!$DK$7),'Phase finale'!$DQ$7:$DQ$42,"",0,1),_xlfn.XLOOKUP(CL20,_xlfn.ANCHORARRAY('Phase finale'!$DK$7),'Phase finale'!$DM$7:$DM$42,"",0,1)),"")</f>
        <v/>
      </c>
      <c r="DP20" s="517" t="str">
        <f t="shared" si="27"/>
        <v/>
      </c>
      <c r="DQ20" s="456" t="str">
        <f t="shared" si="28"/>
        <v/>
      </c>
      <c r="DR20" s="456">
        <f t="shared" si="29"/>
        <v>0</v>
      </c>
      <c r="DS20" s="518">
        <f t="shared" si="15"/>
        <v>37</v>
      </c>
      <c r="DU20" s="244">
        <v>13</v>
      </c>
      <c r="DV20" s="244" t="str">
        <v/>
      </c>
      <c r="DW20" s="244" t="str">
        <v/>
      </c>
      <c r="DX20" s="244" t="str">
        <v/>
      </c>
      <c r="DY20" s="244">
        <v>0</v>
      </c>
      <c r="DZ20" s="244" t="str">
        <v/>
      </c>
      <c r="EA20" s="244">
        <v>0</v>
      </c>
      <c r="EB20" s="244">
        <v>0</v>
      </c>
      <c r="EC20" s="244" t="str">
        <v/>
      </c>
      <c r="ED20" s="244">
        <v>0</v>
      </c>
      <c r="EE20" s="244">
        <v>0</v>
      </c>
      <c r="EF20" s="244">
        <v>0</v>
      </c>
      <c r="EG20" s="244" t="str">
        <v/>
      </c>
      <c r="EH20" s="244" t="str">
        <v/>
      </c>
      <c r="EI20" s="244" t="str">
        <v/>
      </c>
      <c r="EJ20" s="244" t="str">
        <v/>
      </c>
      <c r="EK20" s="244" t="str">
        <v/>
      </c>
      <c r="EL20" s="244" t="str">
        <v/>
      </c>
      <c r="EM20" s="244">
        <v>0</v>
      </c>
      <c r="EN20" s="244">
        <v>0</v>
      </c>
    </row>
    <row r="21" spans="1:144" ht="24" customHeight="1" x14ac:dyDescent="0.3">
      <c r="A21" s="452" t="str">
        <f>IF('GESTION DES JOUEURS'!A23=MAX('GESTION DES JOUEURS'!$A$10:'GESTION DES JOUEURS'!$A$46),"",A20+1)</f>
        <v/>
      </c>
      <c r="B21" s="451" t="str">
        <v/>
      </c>
      <c r="C21" s="1218" t="str">
        <f>_xlfn.XLOOKUP(B21,Tableau19[Licence],Tableau19[Nom],"",0,1)</f>
        <v/>
      </c>
      <c r="D21" s="1218"/>
      <c r="E21" s="1218"/>
      <c r="F21" s="1218"/>
      <c r="G21" s="1218"/>
      <c r="H21" s="1218"/>
      <c r="I21" s="1218" t="str">
        <f>_xlfn.XLOOKUP(B21,Tableau19[Licence],Tableau19[[prénom ]],"",0,1)</f>
        <v/>
      </c>
      <c r="J21" s="1218"/>
      <c r="K21" s="1218"/>
      <c r="L21" s="1218"/>
      <c r="M21" s="1218"/>
      <c r="N21" s="1218" t="str">
        <f>_xlfn.XLOOKUP(B21,Tableau19[Licence],Tableau19[Club],"",0,1)</f>
        <v/>
      </c>
      <c r="O21" s="1218"/>
      <c r="P21" s="1218"/>
      <c r="Q21" s="1218"/>
      <c r="R21" s="1218"/>
      <c r="S21" s="1218"/>
      <c r="T21" s="1218"/>
      <c r="U21" s="1218"/>
      <c r="V21" s="1218"/>
      <c r="W21" s="1218"/>
      <c r="X21" s="455" t="str">
        <f t="shared" si="16"/>
        <v/>
      </c>
      <c r="Y21" s="455" t="str">
        <f t="shared" si="17"/>
        <v/>
      </c>
      <c r="Z21" s="451" t="str">
        <f>IF(B21="","",IF('GESTION DES JOUEURS'!$D$8="Open","",IF(AND('GESTION DES JOUEURS'!$D$8="poules",A21&lt;&gt;""),_xlfn.XLOOKUP(RESULTATS!B21,'Phase finale'!$BV$7:$BV$42,'Phase finale'!$CL$7:$CL$42,"",0,1),IF(AND(B21&lt;&gt;"",MAX('GESTION DES JOUEURS'!$A$11:$A$46)&gt;6,'GESTION DES JOUEURS'!$Y$8="JDSR"),_xlfn.XLOOKUP(A21,PTSRKMINITOURNOI[Clt],PTSRKMINITOURNOI[PR JDS 9],"",0,1),IF(AND(B21&lt;&gt;"",MAX('GESTION DES JOUEURS'!$A$11:$A$46)&lt;7,'GESTION DES JOUEURS'!$Y$8="JDSR"),_xlfn.XLOOKUP(A21,PTSRKMINITOURNOI[Clt],PTSRKMINITOURNOI[PR JDS],"",0,1),IF(AND(B21&lt;&gt;"",MAX('GESTION DES JOUEURS'!$A$11:$A$46)&lt;7,'GESTION DES JOUEURS'!$Y$8="R"),_xlfn.XLOOKUP(A21,PTSRKMINITOURNOI[Clt],PTSRKMINITOURNOI[PR 3B],"",0,1),IF(AND(B21&lt;&gt;"",MAX('GESTION DES JOUEURS'!$A$11:$A$46)&gt;6,'GESTION DES JOUEURS'!$Y$8="R"),_xlfn.XLOOKUP(A21,PTSRKTOURNOI[Clt],PTSRKTOURNOI[PR 3B],"",0,1),IF(AND(B21&lt;&gt;"",MAX('GESTION DES JOUEURS'!$A$11:$A$46)&gt;6,'GESTION DES JOUEURS'!$Y$8="Dames"),_xlfn.XLOOKUP(A21,PTSRKTOURNOI[Clt],PTSRKTOURNOI[[PR DAMES ]],"",0,1),IF(AND(B21&lt;&gt;"",'GESTION DES JOUEURS'!$Y$8="D"),_xlfn.XLOOKUP(A21,PTSRKMINITOURNOI[Clt],PTSRKMINITOURNOI[PR DISTRICT],"",0,1),"")))))))))</f>
        <v/>
      </c>
      <c r="AA21" s="451" t="str">
        <f>IF(AE21=0,"",IF('GESTION DES JOUEURS'!$D$8="Open","",_xlfn.XLOOKUP(B21,$CL$8:$CL$43,$DK$8:$DK$43,"",0,1)))</f>
        <v/>
      </c>
      <c r="AB21" s="451" t="str">
        <f t="shared" si="11"/>
        <v/>
      </c>
      <c r="AC21" s="451" t="str">
        <f t="shared" si="18"/>
        <v/>
      </c>
      <c r="AD21" s="451" t="str">
        <f t="shared" si="19"/>
        <v/>
      </c>
      <c r="AE21" s="538" t="str">
        <f t="shared" si="20"/>
        <v/>
      </c>
      <c r="AF21" s="451" t="str">
        <f t="shared" si="21"/>
        <v/>
      </c>
      <c r="AG21" s="456" t="str">
        <f t="shared" si="22"/>
        <v/>
      </c>
      <c r="AH21" s="456" t="str">
        <f t="shared" si="23"/>
        <v/>
      </c>
      <c r="AI21" s="446"/>
      <c r="AK21" s="714" t="s">
        <v>8118</v>
      </c>
      <c r="AV21" s="1224"/>
      <c r="AW21" s="244">
        <v>9</v>
      </c>
      <c r="AX21" s="244" t="str">
        <v/>
      </c>
      <c r="AY21" s="244" t="str">
        <v/>
      </c>
      <c r="AZ21" s="244">
        <v>0</v>
      </c>
      <c r="BA21" s="244" t="str">
        <v/>
      </c>
      <c r="BB21" s="244">
        <v>0</v>
      </c>
      <c r="BC21" s="244" t="str">
        <v/>
      </c>
      <c r="BD21" s="244">
        <v>0</v>
      </c>
      <c r="BE21" s="244">
        <v>0</v>
      </c>
      <c r="BF21" s="244">
        <v>0</v>
      </c>
      <c r="BG21" s="244">
        <v>0</v>
      </c>
      <c r="BH21" s="244">
        <v>0</v>
      </c>
      <c r="BI21" s="244" t="str">
        <v/>
      </c>
      <c r="BJ21" s="244" t="str">
        <v/>
      </c>
      <c r="BK21" s="244" t="str">
        <v/>
      </c>
      <c r="BL21" s="244" t="str">
        <v/>
      </c>
      <c r="BM21" s="244" t="str">
        <v/>
      </c>
      <c r="BN21" s="244" t="str">
        <v/>
      </c>
      <c r="BO21" s="244" t="str">
        <v/>
      </c>
      <c r="BV21" s="506"/>
      <c r="BW21" s="506">
        <f t="shared" si="30"/>
        <v>9</v>
      </c>
      <c r="BX21" s="506" t="str">
        <f t="shared" si="31"/>
        <v/>
      </c>
      <c r="BY21" s="506" t="str">
        <f t="shared" si="32"/>
        <v/>
      </c>
      <c r="BZ21" s="506" t="str">
        <f t="shared" si="33"/>
        <v/>
      </c>
      <c r="CA21" s="506" t="str">
        <f t="shared" si="34"/>
        <v/>
      </c>
      <c r="CB21" s="506" t="str">
        <f t="shared" si="35"/>
        <v/>
      </c>
      <c r="CC21" s="506" t="str">
        <f t="shared" si="36"/>
        <v/>
      </c>
      <c r="CD21" s="506" t="str">
        <f t="shared" si="37"/>
        <v/>
      </c>
      <c r="CE21" s="506" t="str">
        <f t="shared" si="3"/>
        <v/>
      </c>
      <c r="CF21" s="506" t="str">
        <f t="shared" si="4"/>
        <v/>
      </c>
      <c r="CG21" s="506">
        <f t="shared" si="5"/>
        <v>0</v>
      </c>
      <c r="CH21" s="506" t="str">
        <f t="shared" si="38"/>
        <v/>
      </c>
      <c r="CI21" s="244">
        <f>IF(BX21="",37,IF(BX21='Phase finale'!$C$38,1,IF(BX21='Phase finale'!$C$39,2,IF(BX21='Phase finale'!$C$40,3,IF(BX21='Phase finale'!$C$41,4,IF(BX21='Phase finale'!$C$42,5,IF(BX21='Phase finale'!$C$43,6,IF(BX21='Phase finale'!$C$44,7,IF(BX21='Phase finale'!$C$45,8,IF(OR(BX21='Phase finale'!F26,BX21='Phase finale'!$F$10,BX21='Phase finale'!$V$11,BX21='Phase finale'!$V$10),3,IF(OR(BX21='Phase finale'!F28,BX21='Phase finale'!F29,BX21='Phase finale'!F30,BX21='Phase finale'!F31,BX21='Phase finale'!V28,BX21='Phase finale'!V29,BX21='Phase finale'!V30,BX21='Phase finale'!V31),5,IF(_xlfn.XLOOKUP(BX21,Tableau19[Licence],Tableau19[Forfait],"",0,1)=TRUE,36,9))))))))))))</f>
        <v>37</v>
      </c>
      <c r="CL21" s="451">
        <f>IF('GESTION DES JOUEURS'!B24="",0,'GESTION DES JOUEURS'!B24)</f>
        <v>0</v>
      </c>
      <c r="CM21" s="453" t="str">
        <f t="shared" si="24"/>
        <v/>
      </c>
      <c r="CN21" s="453"/>
      <c r="CO21" s="453"/>
      <c r="CP21" s="453"/>
      <c r="CQ21" s="453"/>
      <c r="CR21" s="453"/>
      <c r="CS21" s="453" t="str">
        <f t="shared" si="12"/>
        <v/>
      </c>
      <c r="CT21" s="453"/>
      <c r="CU21" s="453"/>
      <c r="CV21" s="453"/>
      <c r="CW21" s="453"/>
      <c r="CX21" s="453" t="str">
        <f t="shared" si="13"/>
        <v/>
      </c>
      <c r="CY21" s="453"/>
      <c r="CZ21" s="453"/>
      <c r="DA21" s="453"/>
      <c r="DB21" s="453"/>
      <c r="DC21" s="453"/>
      <c r="DD21" s="453"/>
      <c r="DE21" s="453"/>
      <c r="DF21" s="453"/>
      <c r="DG21" s="453"/>
      <c r="DH21" s="509" t="str">
        <f t="shared" si="14"/>
        <v/>
      </c>
      <c r="DI21" s="509">
        <f>IFERROR(IF('GESTION DES JOUEURS'!$D$8="Open",_xlfn.XLOOKUP(RESULTATS!CL21,RESULTATS!$DW$8:$DW$43,RESULTATS!$EL$8:$EL$43,"",0,1),_xlfn.XLOOKUP(CL21,$BX$5:$BX$12,$BV$5:$BV$12,_xlfn.XLOOKUP(CL21,$AX$5:$AX$12,$AW$5:$AW$12,"",0,1),0,1)),"")</f>
        <v>2</v>
      </c>
      <c r="DJ21" s="453" t="str">
        <f t="shared" si="25"/>
        <v/>
      </c>
      <c r="DK21" s="453" t="str">
        <f>IF('GESTION DES JOUEURS'!$D$8="Poules",_xlfn.XLOOKUP(RESULTATS!CL21,'Phase finale'!$BV$7:$BV$42,'Phase finale'!$CM$7:$CM$42,"",0,1),IF(AND(CL21&lt;&gt;0,DQ21&gt;_xlfn.XLOOKUP('GESTION DES JOUEURS'!$D$4,Distances[Mode de jeu et cat.],Distances[M 3],"",0,1)),_xlfn.XLOOKUP('GESTION DES JOUEURS'!$D$4,Distances[Mode de jeu et cat.],Distances[BT3],"",0,1),IF(AND(CL21&lt;&gt;0,DQ21&gt;_xlfn.XLOOKUP('GESTION DES JOUEURS'!$D$4,Distances[Mode de jeu et cat.],Distances[M 2],"",0,1)),_xlfn.XLOOKUP('GESTION DES JOUEURS'!$D$4,Distances[Mode de jeu et cat.],Distances[BT2],"",0,1),IF(AND(CL21&lt;&gt;0,DQ21&gt;_xlfn.XLOOKUP('GESTION DES JOUEURS'!$D$4,Distances[Mode de jeu et cat.],Distances[M 1],"",0,1)),_xlfn.XLOOKUP('GESTION DES JOUEURS'!$D$4,Distances[Mode de jeu et cat.],Distances[BT1],"",0,1),0))))</f>
        <v/>
      </c>
      <c r="DL21" s="453">
        <f t="shared" si="26"/>
        <v>0</v>
      </c>
      <c r="DM21" s="453" t="str">
        <f>IF('GESTION DES JOUEURS'!$D$8="Open",_xlfn.XLOOKUP(CL21,RESULTATS!$DW$8:$DW$43,RESULTATS!$EH$8:$EH$43,"",0,1),_xlfn.XLOOKUP(CL21,$BX$5:$BX$48,$CH$5:$CH$48,"",0,1))</f>
        <v/>
      </c>
      <c r="DN21" s="451" t="str">
        <f>IFERROR(SUM(_xlfn.XLOOKUP(CL21,_xlfn.ANCHORARRAY('Phase finale'!$DK$7),'Phase finale'!$DP$7:$DP$42,"",0,1),_xlfn.XLOOKUP(CL21,_xlfn.ANCHORARRAY('Phase finale'!$DK$7),'Phase finale'!$DL$7:$DL$42,"",0,1)),"")</f>
        <v/>
      </c>
      <c r="DO21" s="451" t="str">
        <f>IFERROR(SUM(_xlfn.XLOOKUP(CL21,_xlfn.ANCHORARRAY('Phase finale'!$DK$7),'Phase finale'!$DQ$7:$DQ$42,"",0,1),_xlfn.XLOOKUP(CL21,_xlfn.ANCHORARRAY('Phase finale'!$DK$7),'Phase finale'!$DM$7:$DM$42,"",0,1)),"")</f>
        <v/>
      </c>
      <c r="DP21" s="517" t="str">
        <f t="shared" si="27"/>
        <v/>
      </c>
      <c r="DQ21" s="456" t="str">
        <f t="shared" si="28"/>
        <v/>
      </c>
      <c r="DR21" s="456">
        <f t="shared" si="29"/>
        <v>0</v>
      </c>
      <c r="DS21" s="518">
        <f t="shared" si="15"/>
        <v>37</v>
      </c>
      <c r="DU21" s="244">
        <v>14</v>
      </c>
      <c r="DV21" s="244" t="str">
        <v/>
      </c>
      <c r="DW21" s="244" t="str">
        <v/>
      </c>
      <c r="DX21" s="244" t="str">
        <v/>
      </c>
      <c r="DY21" s="244">
        <v>0</v>
      </c>
      <c r="DZ21" s="244" t="str">
        <v/>
      </c>
      <c r="EA21" s="244">
        <v>0</v>
      </c>
      <c r="EB21" s="244">
        <v>0</v>
      </c>
      <c r="EC21" s="244" t="str">
        <v/>
      </c>
      <c r="ED21" s="244">
        <v>0</v>
      </c>
      <c r="EE21" s="244">
        <v>0</v>
      </c>
      <c r="EF21" s="244">
        <v>0</v>
      </c>
      <c r="EG21" s="244" t="str">
        <v/>
      </c>
      <c r="EH21" s="244" t="str">
        <v/>
      </c>
      <c r="EI21" s="244" t="str">
        <v/>
      </c>
      <c r="EJ21" s="244" t="str">
        <v/>
      </c>
      <c r="EK21" s="244" t="str">
        <v/>
      </c>
      <c r="EL21" s="244" t="str">
        <v/>
      </c>
      <c r="EM21" s="244">
        <v>0</v>
      </c>
      <c r="EN21" s="244">
        <v>0</v>
      </c>
    </row>
    <row r="22" spans="1:144" ht="24" customHeight="1" x14ac:dyDescent="0.3">
      <c r="A22" s="452" t="str">
        <f>IF('GESTION DES JOUEURS'!A24=MAX('GESTION DES JOUEURS'!$A$10:'GESTION DES JOUEURS'!$A$46),"",A21+1)</f>
        <v/>
      </c>
      <c r="B22" s="451" t="str">
        <v/>
      </c>
      <c r="C22" s="1218" t="str">
        <f>_xlfn.XLOOKUP(B22,Tableau19[Licence],Tableau19[Nom],"",0,1)</f>
        <v/>
      </c>
      <c r="D22" s="1218"/>
      <c r="E22" s="1218"/>
      <c r="F22" s="1218"/>
      <c r="G22" s="1218"/>
      <c r="H22" s="1218"/>
      <c r="I22" s="1218" t="str">
        <f>_xlfn.XLOOKUP(B22,Tableau19[Licence],Tableau19[[prénom ]],"",0,1)</f>
        <v/>
      </c>
      <c r="J22" s="1218"/>
      <c r="K22" s="1218"/>
      <c r="L22" s="1218"/>
      <c r="M22" s="1218"/>
      <c r="N22" s="1218" t="str">
        <f>_xlfn.XLOOKUP(B22,Tableau19[Licence],Tableau19[Club],"",0,1)</f>
        <v/>
      </c>
      <c r="O22" s="1218"/>
      <c r="P22" s="1218"/>
      <c r="Q22" s="1218"/>
      <c r="R22" s="1218"/>
      <c r="S22" s="1218"/>
      <c r="T22" s="1218"/>
      <c r="U22" s="1218"/>
      <c r="V22" s="1218"/>
      <c r="W22" s="1218"/>
      <c r="X22" s="455" t="str">
        <f t="shared" si="16"/>
        <v/>
      </c>
      <c r="Y22" s="455" t="str">
        <f t="shared" si="17"/>
        <v/>
      </c>
      <c r="Z22" s="451" t="str">
        <f>IF(B22="","",IF('GESTION DES JOUEURS'!$D$8="Open","",IF(AND('GESTION DES JOUEURS'!$D$8="poules",A22&lt;&gt;""),_xlfn.XLOOKUP(RESULTATS!B22,'Phase finale'!$BV$7:$BV$42,'Phase finale'!$CL$7:$CL$42,"",0,1),IF(AND(B22&lt;&gt;"",MAX('GESTION DES JOUEURS'!$A$11:$A$46)&gt;6,'GESTION DES JOUEURS'!$Y$8="JDSR"),_xlfn.XLOOKUP(A22,PTSRKMINITOURNOI[Clt],PTSRKMINITOURNOI[PR JDS 9],"",0,1),IF(AND(B22&lt;&gt;"",MAX('GESTION DES JOUEURS'!$A$11:$A$46)&lt;7,'GESTION DES JOUEURS'!$Y$8="JDSR"),_xlfn.XLOOKUP(A22,PTSRKMINITOURNOI[Clt],PTSRKMINITOURNOI[PR JDS],"",0,1),IF(AND(B22&lt;&gt;"",MAX('GESTION DES JOUEURS'!$A$11:$A$46)&lt;7,'GESTION DES JOUEURS'!$Y$8="R"),_xlfn.XLOOKUP(A22,PTSRKMINITOURNOI[Clt],PTSRKMINITOURNOI[PR 3B],"",0,1),IF(AND(B22&lt;&gt;"",MAX('GESTION DES JOUEURS'!$A$11:$A$46)&gt;6,'GESTION DES JOUEURS'!$Y$8="R"),_xlfn.XLOOKUP(A22,PTSRKTOURNOI[Clt],PTSRKTOURNOI[PR 3B],"",0,1),IF(AND(B22&lt;&gt;"",MAX('GESTION DES JOUEURS'!$A$11:$A$46)&gt;6,'GESTION DES JOUEURS'!$Y$8="Dames"),_xlfn.XLOOKUP(A22,PTSRKTOURNOI[Clt],PTSRKTOURNOI[[PR DAMES ]],"",0,1),IF(AND(B22&lt;&gt;"",'GESTION DES JOUEURS'!$Y$8="D"),_xlfn.XLOOKUP(A22,PTSRKMINITOURNOI[Clt],PTSRKMINITOURNOI[PR DISTRICT],"",0,1),"")))))))))</f>
        <v/>
      </c>
      <c r="AA22" s="451" t="str">
        <f>IF(AE22=0,"",IF('GESTION DES JOUEURS'!$D$8="Open","",_xlfn.XLOOKUP(B22,$CL$8:$CL$43,$DK$8:$DK$43,"",0,1)))</f>
        <v/>
      </c>
      <c r="AB22" s="451" t="str">
        <f t="shared" si="11"/>
        <v/>
      </c>
      <c r="AC22" s="451" t="str">
        <f t="shared" si="18"/>
        <v/>
      </c>
      <c r="AD22" s="451" t="str">
        <f t="shared" si="19"/>
        <v/>
      </c>
      <c r="AE22" s="538" t="str">
        <f t="shared" si="20"/>
        <v/>
      </c>
      <c r="AF22" s="451" t="str">
        <f t="shared" si="21"/>
        <v/>
      </c>
      <c r="AG22" s="456" t="str">
        <f t="shared" si="22"/>
        <v/>
      </c>
      <c r="AH22" s="456" t="str">
        <f t="shared" si="23"/>
        <v/>
      </c>
      <c r="AI22" s="446"/>
      <c r="AK22" s="714"/>
      <c r="AV22" s="1224"/>
      <c r="AW22" s="244">
        <v>10</v>
      </c>
      <c r="AX22" s="244" t="str">
        <v/>
      </c>
      <c r="AY22" s="244" t="str">
        <v/>
      </c>
      <c r="AZ22" s="244">
        <v>0</v>
      </c>
      <c r="BA22" s="244" t="str">
        <v/>
      </c>
      <c r="BB22" s="244">
        <v>0</v>
      </c>
      <c r="BC22" s="244" t="str">
        <v/>
      </c>
      <c r="BD22" s="244">
        <v>0</v>
      </c>
      <c r="BE22" s="244">
        <v>0</v>
      </c>
      <c r="BF22" s="244">
        <v>0</v>
      </c>
      <c r="BG22" s="244">
        <v>0</v>
      </c>
      <c r="BH22" s="244">
        <v>0</v>
      </c>
      <c r="BI22" s="244" t="str">
        <v/>
      </c>
      <c r="BJ22" s="244" t="str">
        <v/>
      </c>
      <c r="BK22" s="244" t="str">
        <v/>
      </c>
      <c r="BL22" s="244" t="str">
        <v/>
      </c>
      <c r="BM22" s="244" t="str">
        <v/>
      </c>
      <c r="BN22" s="244" t="str">
        <v/>
      </c>
      <c r="BO22" s="244" t="str">
        <v/>
      </c>
      <c r="BV22" s="506"/>
      <c r="BW22" s="506">
        <f t="shared" si="30"/>
        <v>10</v>
      </c>
      <c r="BX22" s="506" t="str">
        <f t="shared" si="31"/>
        <v/>
      </c>
      <c r="BY22" s="506" t="str">
        <f t="shared" si="32"/>
        <v/>
      </c>
      <c r="BZ22" s="506" t="str">
        <f t="shared" si="33"/>
        <v/>
      </c>
      <c r="CA22" s="506" t="str">
        <f t="shared" si="34"/>
        <v/>
      </c>
      <c r="CB22" s="506" t="str">
        <f t="shared" si="35"/>
        <v/>
      </c>
      <c r="CC22" s="506" t="str">
        <f t="shared" si="36"/>
        <v/>
      </c>
      <c r="CD22" s="506" t="str">
        <f t="shared" si="37"/>
        <v/>
      </c>
      <c r="CE22" s="506" t="str">
        <f t="shared" si="3"/>
        <v/>
      </c>
      <c r="CF22" s="506" t="str">
        <f t="shared" si="4"/>
        <v/>
      </c>
      <c r="CG22" s="506">
        <f t="shared" si="5"/>
        <v>0</v>
      </c>
      <c r="CH22" s="506" t="str">
        <f t="shared" si="38"/>
        <v/>
      </c>
      <c r="CI22" s="244">
        <f>IF(BX22="",37,IF(BX22='Phase finale'!$C$38,1,IF(BX22='Phase finale'!$C$39,2,IF(BX22='Phase finale'!$C$40,3,IF(BX22='Phase finale'!$C$41,4,IF(BX22='Phase finale'!$C$42,5,IF(BX22='Phase finale'!$C$43,6,IF(BX22='Phase finale'!$C$44,7,IF(BX22='Phase finale'!$C$45,8,IF(OR(BX22='Phase finale'!F27,BX22='Phase finale'!$F$10,BX22='Phase finale'!$V$11,BX22='Phase finale'!$V$10),3,IF(OR(BX22='Phase finale'!F29,BX22='Phase finale'!F30,BX22='Phase finale'!F31,BX22='Phase finale'!F32,BX22='Phase finale'!V29,BX22='Phase finale'!V30,BX22='Phase finale'!V31,BX22='Phase finale'!V32),5,IF(_xlfn.XLOOKUP(BX22,Tableau19[Licence],Tableau19[Forfait],"",0,1)=TRUE,36,9))))))))))))</f>
        <v>37</v>
      </c>
      <c r="CL22" s="451">
        <f>IF('GESTION DES JOUEURS'!B25="",0,'GESTION DES JOUEURS'!B25)</f>
        <v>0</v>
      </c>
      <c r="CM22" s="453" t="str">
        <f t="shared" si="24"/>
        <v/>
      </c>
      <c r="CN22" s="453"/>
      <c r="CO22" s="453"/>
      <c r="CP22" s="453"/>
      <c r="CQ22" s="453"/>
      <c r="CR22" s="453"/>
      <c r="CS22" s="453" t="str">
        <f t="shared" si="12"/>
        <v/>
      </c>
      <c r="CT22" s="453"/>
      <c r="CU22" s="453"/>
      <c r="CV22" s="453"/>
      <c r="CW22" s="453"/>
      <c r="CX22" s="453" t="str">
        <f t="shared" si="13"/>
        <v/>
      </c>
      <c r="CY22" s="453"/>
      <c r="CZ22" s="453"/>
      <c r="DA22" s="453"/>
      <c r="DB22" s="453"/>
      <c r="DC22" s="453"/>
      <c r="DD22" s="453"/>
      <c r="DE22" s="453"/>
      <c r="DF22" s="453"/>
      <c r="DG22" s="453"/>
      <c r="DH22" s="509" t="str">
        <f t="shared" si="14"/>
        <v/>
      </c>
      <c r="DI22" s="509">
        <f>IFERROR(IF('GESTION DES JOUEURS'!$D$8="Open",_xlfn.XLOOKUP(RESULTATS!CL22,RESULTATS!$DW$8:$DW$43,RESULTATS!$EL$8:$EL$43,"",0,1),_xlfn.XLOOKUP(CL22,$BX$5:$BX$12,$BV$5:$BV$12,_xlfn.XLOOKUP(CL22,$AX$5:$AX$12,$AW$5:$AW$12,"",0,1),0,1)),"")</f>
        <v>2</v>
      </c>
      <c r="DJ22" s="453" t="str">
        <f t="shared" si="25"/>
        <v/>
      </c>
      <c r="DK22" s="453" t="str">
        <f>IF('GESTION DES JOUEURS'!$D$8="Poules",_xlfn.XLOOKUP(RESULTATS!CL22,'Phase finale'!$BV$7:$BV$42,'Phase finale'!$CM$7:$CM$42,"",0,1),IF(AND(CL22&lt;&gt;0,DQ22&gt;_xlfn.XLOOKUP('GESTION DES JOUEURS'!$D$4,Distances[Mode de jeu et cat.],Distances[M 3],"",0,1)),_xlfn.XLOOKUP('GESTION DES JOUEURS'!$D$4,Distances[Mode de jeu et cat.],Distances[BT3],"",0,1),IF(AND(CL22&lt;&gt;0,DQ22&gt;_xlfn.XLOOKUP('GESTION DES JOUEURS'!$D$4,Distances[Mode de jeu et cat.],Distances[M 2],"",0,1)),_xlfn.XLOOKUP('GESTION DES JOUEURS'!$D$4,Distances[Mode de jeu et cat.],Distances[BT2],"",0,1),IF(AND(CL22&lt;&gt;0,DQ22&gt;_xlfn.XLOOKUP('GESTION DES JOUEURS'!$D$4,Distances[Mode de jeu et cat.],Distances[M 1],"",0,1)),_xlfn.XLOOKUP('GESTION DES JOUEURS'!$D$4,Distances[Mode de jeu et cat.],Distances[BT1],"",0,1),0))))</f>
        <v/>
      </c>
      <c r="DL22" s="453">
        <f t="shared" si="26"/>
        <v>0</v>
      </c>
      <c r="DM22" s="453" t="str">
        <f>IF('GESTION DES JOUEURS'!$D$8="Open",_xlfn.XLOOKUP(CL22,RESULTATS!$DW$8:$DW$43,RESULTATS!$EH$8:$EH$43,"",0,1),_xlfn.XLOOKUP(CL22,$BX$5:$BX$48,$CH$5:$CH$48,"",0,1))</f>
        <v/>
      </c>
      <c r="DN22" s="451" t="str">
        <f>IFERROR(SUM(_xlfn.XLOOKUP(CL22,_xlfn.ANCHORARRAY('Phase finale'!$DK$7),'Phase finale'!$DP$7:$DP$42,"",0,1),_xlfn.XLOOKUP(CL22,_xlfn.ANCHORARRAY('Phase finale'!$DK$7),'Phase finale'!$DL$7:$DL$42,"",0,1)),"")</f>
        <v/>
      </c>
      <c r="DO22" s="451" t="str">
        <f>IFERROR(SUM(_xlfn.XLOOKUP(CL22,_xlfn.ANCHORARRAY('Phase finale'!$DK$7),'Phase finale'!$DQ$7:$DQ$42,"",0,1),_xlfn.XLOOKUP(CL22,_xlfn.ANCHORARRAY('Phase finale'!$DK$7),'Phase finale'!$DM$7:$DM$42,"",0,1)),"")</f>
        <v/>
      </c>
      <c r="DP22" s="517" t="str">
        <f t="shared" si="27"/>
        <v/>
      </c>
      <c r="DQ22" s="456" t="str">
        <f t="shared" si="28"/>
        <v/>
      </c>
      <c r="DR22" s="456">
        <f t="shared" si="29"/>
        <v>0</v>
      </c>
      <c r="DS22" s="518">
        <f t="shared" si="15"/>
        <v>37</v>
      </c>
      <c r="DU22" s="244">
        <v>15</v>
      </c>
      <c r="DV22" s="244" t="str">
        <v/>
      </c>
      <c r="DW22" s="244" t="str">
        <v/>
      </c>
      <c r="DX22" s="244" t="str">
        <v/>
      </c>
      <c r="DY22" s="244">
        <v>0</v>
      </c>
      <c r="DZ22" s="244" t="str">
        <v/>
      </c>
      <c r="EA22" s="244">
        <v>0</v>
      </c>
      <c r="EB22" s="244">
        <v>0</v>
      </c>
      <c r="EC22" s="244" t="str">
        <v/>
      </c>
      <c r="ED22" s="244">
        <v>0</v>
      </c>
      <c r="EE22" s="244">
        <v>0</v>
      </c>
      <c r="EF22" s="244">
        <v>0</v>
      </c>
      <c r="EG22" s="244" t="str">
        <v/>
      </c>
      <c r="EH22" s="244" t="str">
        <v/>
      </c>
      <c r="EI22" s="244" t="str">
        <v/>
      </c>
      <c r="EJ22" s="244" t="str">
        <v/>
      </c>
      <c r="EK22" s="244" t="str">
        <v/>
      </c>
      <c r="EL22" s="244" t="str">
        <v/>
      </c>
      <c r="EM22" s="244">
        <v>0</v>
      </c>
      <c r="EN22" s="244">
        <v>0</v>
      </c>
    </row>
    <row r="23" spans="1:144" ht="24" customHeight="1" x14ac:dyDescent="0.3">
      <c r="A23" s="452" t="str">
        <f>IF('GESTION DES JOUEURS'!A25=MAX('GESTION DES JOUEURS'!$A$10:'GESTION DES JOUEURS'!$A$46),"",A22+1)</f>
        <v/>
      </c>
      <c r="B23" s="451" t="str">
        <v/>
      </c>
      <c r="C23" s="1218" t="str">
        <f>_xlfn.XLOOKUP(B23,Tableau19[Licence],Tableau19[Nom],"",0,1)</f>
        <v/>
      </c>
      <c r="D23" s="1218"/>
      <c r="E23" s="1218"/>
      <c r="F23" s="1218"/>
      <c r="G23" s="1218"/>
      <c r="H23" s="1218"/>
      <c r="I23" s="1218" t="str">
        <f>_xlfn.XLOOKUP(B23,Tableau19[Licence],Tableau19[[prénom ]],"",0,1)</f>
        <v/>
      </c>
      <c r="J23" s="1218"/>
      <c r="K23" s="1218"/>
      <c r="L23" s="1218"/>
      <c r="M23" s="1218"/>
      <c r="N23" s="1218" t="str">
        <f>_xlfn.XLOOKUP(B23,Tableau19[Licence],Tableau19[Club],"",0,1)</f>
        <v/>
      </c>
      <c r="O23" s="1218"/>
      <c r="P23" s="1218"/>
      <c r="Q23" s="1218"/>
      <c r="R23" s="1218"/>
      <c r="S23" s="1218"/>
      <c r="T23" s="1218"/>
      <c r="U23" s="1218"/>
      <c r="V23" s="1218"/>
      <c r="W23" s="1218"/>
      <c r="X23" s="455" t="str">
        <f t="shared" si="16"/>
        <v/>
      </c>
      <c r="Y23" s="455" t="str">
        <f t="shared" si="17"/>
        <v/>
      </c>
      <c r="Z23" s="451" t="str">
        <f>IF(B23="","",IF('GESTION DES JOUEURS'!$D$8="Open","",IF(AND('GESTION DES JOUEURS'!$D$8="poules",A23&lt;&gt;""),_xlfn.XLOOKUP(RESULTATS!B23,'Phase finale'!$BV$7:$BV$42,'Phase finale'!$CL$7:$CL$42,"",0,1),IF(AND(B23&lt;&gt;"",MAX('GESTION DES JOUEURS'!$A$11:$A$46)&gt;6,'GESTION DES JOUEURS'!$Y$8="JDSR"),_xlfn.XLOOKUP(A23,PTSRKMINITOURNOI[Clt],PTSRKMINITOURNOI[PR JDS 9],"",0,1),IF(AND(B23&lt;&gt;"",MAX('GESTION DES JOUEURS'!$A$11:$A$46)&lt;7,'GESTION DES JOUEURS'!$Y$8="JDSR"),_xlfn.XLOOKUP(A23,PTSRKMINITOURNOI[Clt],PTSRKMINITOURNOI[PR JDS],"",0,1),IF(AND(B23&lt;&gt;"",MAX('GESTION DES JOUEURS'!$A$11:$A$46)&lt;7,'GESTION DES JOUEURS'!$Y$8="R"),_xlfn.XLOOKUP(A23,PTSRKMINITOURNOI[Clt],PTSRKMINITOURNOI[PR 3B],"",0,1),IF(AND(B23&lt;&gt;"",MAX('GESTION DES JOUEURS'!$A$11:$A$46)&gt;6,'GESTION DES JOUEURS'!$Y$8="R"),_xlfn.XLOOKUP(A23,PTSRKTOURNOI[Clt],PTSRKTOURNOI[PR 3B],"",0,1),IF(AND(B23&lt;&gt;"",MAX('GESTION DES JOUEURS'!$A$11:$A$46)&gt;6,'GESTION DES JOUEURS'!$Y$8="Dames"),_xlfn.XLOOKUP(A23,PTSRKTOURNOI[Clt],PTSRKTOURNOI[[PR DAMES ]],"",0,1),IF(AND(B23&lt;&gt;"",'GESTION DES JOUEURS'!$Y$8="D"),_xlfn.XLOOKUP(A23,PTSRKMINITOURNOI[Clt],PTSRKMINITOURNOI[PR DISTRICT],"",0,1),"")))))))))</f>
        <v/>
      </c>
      <c r="AA23" s="451" t="str">
        <f>IF(AE23=0,"",IF('GESTION DES JOUEURS'!$D$8="Open","",_xlfn.XLOOKUP(B23,$CL$8:$CL$43,$DK$8:$DK$43,"",0,1)))</f>
        <v/>
      </c>
      <c r="AB23" s="451" t="str">
        <f t="shared" si="11"/>
        <v/>
      </c>
      <c r="AC23" s="451" t="str">
        <f t="shared" si="18"/>
        <v/>
      </c>
      <c r="AD23" s="451" t="str">
        <f t="shared" si="19"/>
        <v/>
      </c>
      <c r="AE23" s="538" t="str">
        <f t="shared" si="20"/>
        <v/>
      </c>
      <c r="AF23" s="451" t="str">
        <f t="shared" si="21"/>
        <v/>
      </c>
      <c r="AG23" s="456" t="str">
        <f t="shared" si="22"/>
        <v/>
      </c>
      <c r="AH23" s="456" t="str">
        <f t="shared" si="23"/>
        <v/>
      </c>
      <c r="AI23" s="446"/>
      <c r="AK23" s="715" t="s">
        <v>8119</v>
      </c>
      <c r="AV23" s="1224"/>
      <c r="AW23" s="244">
        <v>11</v>
      </c>
      <c r="AX23" s="244" t="str">
        <v/>
      </c>
      <c r="AY23" s="244" t="str">
        <v/>
      </c>
      <c r="AZ23" s="244">
        <v>0</v>
      </c>
      <c r="BA23" s="244" t="str">
        <v/>
      </c>
      <c r="BB23" s="244">
        <v>0</v>
      </c>
      <c r="BC23" s="244" t="str">
        <v/>
      </c>
      <c r="BD23" s="244">
        <v>0</v>
      </c>
      <c r="BE23" s="244">
        <v>0</v>
      </c>
      <c r="BF23" s="244">
        <v>0</v>
      </c>
      <c r="BG23" s="244">
        <v>0</v>
      </c>
      <c r="BH23" s="244">
        <v>0</v>
      </c>
      <c r="BI23" s="244" t="str">
        <v/>
      </c>
      <c r="BJ23" s="244" t="str">
        <v/>
      </c>
      <c r="BK23" s="244" t="str">
        <v/>
      </c>
      <c r="BL23" s="244" t="str">
        <v/>
      </c>
      <c r="BM23" s="244" t="str">
        <v/>
      </c>
      <c r="BN23" s="244" t="str">
        <v/>
      </c>
      <c r="BO23" s="244" t="str">
        <v/>
      </c>
      <c r="BV23" s="506"/>
      <c r="BW23" s="506">
        <f t="shared" si="30"/>
        <v>11</v>
      </c>
      <c r="BX23" s="506" t="str">
        <f t="shared" si="31"/>
        <v/>
      </c>
      <c r="BY23" s="506" t="str">
        <f t="shared" si="32"/>
        <v/>
      </c>
      <c r="BZ23" s="506" t="str">
        <f t="shared" si="33"/>
        <v/>
      </c>
      <c r="CA23" s="506" t="str">
        <f t="shared" si="34"/>
        <v/>
      </c>
      <c r="CB23" s="506" t="str">
        <f t="shared" si="35"/>
        <v/>
      </c>
      <c r="CC23" s="506" t="str">
        <f t="shared" si="36"/>
        <v/>
      </c>
      <c r="CD23" s="506" t="str">
        <f t="shared" si="37"/>
        <v/>
      </c>
      <c r="CE23" s="506" t="str">
        <f t="shared" si="3"/>
        <v/>
      </c>
      <c r="CF23" s="506" t="str">
        <f t="shared" si="4"/>
        <v/>
      </c>
      <c r="CG23" s="506">
        <f t="shared" si="5"/>
        <v>0</v>
      </c>
      <c r="CH23" s="506" t="str">
        <f t="shared" si="38"/>
        <v/>
      </c>
      <c r="CI23" s="244">
        <f>IF(BX23="",37,IF(BX23='Phase finale'!$C$38,1,IF(BX23='Phase finale'!$C$39,2,IF(BX23='Phase finale'!$C$40,3,IF(BX23='Phase finale'!$C$41,4,IF(BX23='Phase finale'!$C$42,5,IF(BX23='Phase finale'!$C$43,6,IF(BX23='Phase finale'!$C$44,7,IF(BX23='Phase finale'!$C$45,8,IF(OR(BX23='Phase finale'!F28,BX23='Phase finale'!$F$10,BX23='Phase finale'!$V$11,BX23='Phase finale'!$V$10),3,IF(OR(BX23='Phase finale'!F30,BX23='Phase finale'!F31,BX23='Phase finale'!F32,BX23='Phase finale'!F33,BX23='Phase finale'!V30,BX23='Phase finale'!V31,BX23='Phase finale'!V32,BX23='Phase finale'!V33),5,IF(_xlfn.XLOOKUP(BX23,Tableau19[Licence],Tableau19[Forfait],"",0,1)=TRUE,36,9))))))))))))</f>
        <v>37</v>
      </c>
      <c r="CL23" s="451">
        <f>IF('GESTION DES JOUEURS'!B26="",0,'GESTION DES JOUEURS'!B26)</f>
        <v>0</v>
      </c>
      <c r="CM23" s="453" t="str">
        <f t="shared" si="24"/>
        <v/>
      </c>
      <c r="CN23" s="453"/>
      <c r="CO23" s="453"/>
      <c r="CP23" s="453"/>
      <c r="CQ23" s="453"/>
      <c r="CR23" s="453"/>
      <c r="CS23" s="453" t="str">
        <f t="shared" si="12"/>
        <v/>
      </c>
      <c r="CT23" s="453"/>
      <c r="CU23" s="453"/>
      <c r="CV23" s="453"/>
      <c r="CW23" s="453"/>
      <c r="CX23" s="453" t="str">
        <f t="shared" si="13"/>
        <v/>
      </c>
      <c r="CY23" s="453"/>
      <c r="CZ23" s="453"/>
      <c r="DA23" s="453"/>
      <c r="DB23" s="453"/>
      <c r="DC23" s="453"/>
      <c r="DD23" s="453"/>
      <c r="DE23" s="453"/>
      <c r="DF23" s="453"/>
      <c r="DG23" s="453"/>
      <c r="DH23" s="509" t="str">
        <f t="shared" si="14"/>
        <v/>
      </c>
      <c r="DI23" s="509">
        <f>IFERROR(IF('GESTION DES JOUEURS'!$D$8="Open",_xlfn.XLOOKUP(RESULTATS!CL23,RESULTATS!$DW$8:$DW$43,RESULTATS!$EL$8:$EL$43,"",0,1),_xlfn.XLOOKUP(CL23,$BX$5:$BX$12,$BV$5:$BV$12,_xlfn.XLOOKUP(CL23,$AX$5:$AX$12,$AW$5:$AW$12,"",0,1),0,1)),"")</f>
        <v>2</v>
      </c>
      <c r="DJ23" s="453" t="str">
        <f t="shared" si="25"/>
        <v/>
      </c>
      <c r="DK23" s="453" t="str">
        <f>IF('GESTION DES JOUEURS'!$D$8="Poules",_xlfn.XLOOKUP(RESULTATS!CL23,'Phase finale'!$BV$7:$BV$42,'Phase finale'!$CM$7:$CM$42,"",0,1),IF(AND(CL23&lt;&gt;0,DQ23&gt;_xlfn.XLOOKUP('GESTION DES JOUEURS'!$D$4,Distances[Mode de jeu et cat.],Distances[M 3],"",0,1)),_xlfn.XLOOKUP('GESTION DES JOUEURS'!$D$4,Distances[Mode de jeu et cat.],Distances[BT3],"",0,1),IF(AND(CL23&lt;&gt;0,DQ23&gt;_xlfn.XLOOKUP('GESTION DES JOUEURS'!$D$4,Distances[Mode de jeu et cat.],Distances[M 2],"",0,1)),_xlfn.XLOOKUP('GESTION DES JOUEURS'!$D$4,Distances[Mode de jeu et cat.],Distances[BT2],"",0,1),IF(AND(CL23&lt;&gt;0,DQ23&gt;_xlfn.XLOOKUP('GESTION DES JOUEURS'!$D$4,Distances[Mode de jeu et cat.],Distances[M 1],"",0,1)),_xlfn.XLOOKUP('GESTION DES JOUEURS'!$D$4,Distances[Mode de jeu et cat.],Distances[BT1],"",0,1),0))))</f>
        <v/>
      </c>
      <c r="DL23" s="453">
        <f t="shared" si="26"/>
        <v>0</v>
      </c>
      <c r="DM23" s="453" t="str">
        <f>IF('GESTION DES JOUEURS'!$D$8="Open",_xlfn.XLOOKUP(CL23,RESULTATS!$DW$8:$DW$43,RESULTATS!$EH$8:$EH$43,"",0,1),_xlfn.XLOOKUP(CL23,$BX$5:$BX$48,$CH$5:$CH$48,"",0,1))</f>
        <v/>
      </c>
      <c r="DN23" s="451" t="str">
        <f>IFERROR(SUM(_xlfn.XLOOKUP(CL23,_xlfn.ANCHORARRAY('Phase finale'!$DK$7),'Phase finale'!$DP$7:$DP$42,"",0,1),_xlfn.XLOOKUP(CL23,_xlfn.ANCHORARRAY('Phase finale'!$DK$7),'Phase finale'!$DL$7:$DL$42,"",0,1)),"")</f>
        <v/>
      </c>
      <c r="DO23" s="451" t="str">
        <f>IFERROR(SUM(_xlfn.XLOOKUP(CL23,_xlfn.ANCHORARRAY('Phase finale'!$DK$7),'Phase finale'!$DQ$7:$DQ$42,"",0,1),_xlfn.XLOOKUP(CL23,_xlfn.ANCHORARRAY('Phase finale'!$DK$7),'Phase finale'!$DM$7:$DM$42,"",0,1)),"")</f>
        <v/>
      </c>
      <c r="DP23" s="517" t="str">
        <f t="shared" si="27"/>
        <v/>
      </c>
      <c r="DQ23" s="456" t="str">
        <f t="shared" si="28"/>
        <v/>
      </c>
      <c r="DR23" s="456">
        <f t="shared" si="29"/>
        <v>0</v>
      </c>
      <c r="DS23" s="518">
        <f t="shared" si="15"/>
        <v>37</v>
      </c>
      <c r="DU23" s="244">
        <v>16</v>
      </c>
      <c r="DV23" s="244" t="str">
        <v/>
      </c>
      <c r="DW23" s="244" t="str">
        <v/>
      </c>
      <c r="DX23" s="244" t="str">
        <v/>
      </c>
      <c r="DY23" s="244">
        <v>0</v>
      </c>
      <c r="DZ23" s="244" t="str">
        <v/>
      </c>
      <c r="EA23" s="244">
        <v>0</v>
      </c>
      <c r="EB23" s="244">
        <v>0</v>
      </c>
      <c r="EC23" s="244" t="str">
        <v/>
      </c>
      <c r="ED23" s="244">
        <v>0</v>
      </c>
      <c r="EE23" s="244">
        <v>0</v>
      </c>
      <c r="EF23" s="244">
        <v>0</v>
      </c>
      <c r="EG23" s="244" t="str">
        <v/>
      </c>
      <c r="EH23" s="244" t="str">
        <v/>
      </c>
      <c r="EI23" s="244" t="str">
        <v/>
      </c>
      <c r="EJ23" s="244" t="str">
        <v/>
      </c>
      <c r="EK23" s="244" t="str">
        <v/>
      </c>
      <c r="EL23" s="244" t="str">
        <v/>
      </c>
      <c r="EM23" s="244">
        <v>0</v>
      </c>
      <c r="EN23" s="244">
        <v>0</v>
      </c>
    </row>
    <row r="24" spans="1:144" ht="24" customHeight="1" x14ac:dyDescent="0.3">
      <c r="A24" s="452" t="str">
        <f>IF('GESTION DES JOUEURS'!A26=MAX('GESTION DES JOUEURS'!$A$10:'GESTION DES JOUEURS'!$A$46),"",A23+1)</f>
        <v/>
      </c>
      <c r="B24" s="451" t="str">
        <v/>
      </c>
      <c r="C24" s="1218" t="str">
        <f>_xlfn.XLOOKUP(B24,Tableau19[Licence],Tableau19[Nom],"",0,1)</f>
        <v/>
      </c>
      <c r="D24" s="1218"/>
      <c r="E24" s="1218"/>
      <c r="F24" s="1218"/>
      <c r="G24" s="1218"/>
      <c r="H24" s="1218"/>
      <c r="I24" s="1218" t="str">
        <f>_xlfn.XLOOKUP(B24,Tableau19[Licence],Tableau19[[prénom ]],"",0,1)</f>
        <v/>
      </c>
      <c r="J24" s="1218"/>
      <c r="K24" s="1218"/>
      <c r="L24" s="1218"/>
      <c r="M24" s="1218"/>
      <c r="N24" s="1218" t="str">
        <f>_xlfn.XLOOKUP(B24,Tableau19[Licence],Tableau19[Club],"",0,1)</f>
        <v/>
      </c>
      <c r="O24" s="1218"/>
      <c r="P24" s="1218"/>
      <c r="Q24" s="1218"/>
      <c r="R24" s="1218"/>
      <c r="S24" s="1218"/>
      <c r="T24" s="1218"/>
      <c r="U24" s="1218"/>
      <c r="V24" s="1218"/>
      <c r="W24" s="1218"/>
      <c r="X24" s="455" t="str">
        <f t="shared" si="16"/>
        <v/>
      </c>
      <c r="Y24" s="455" t="str">
        <f t="shared" si="17"/>
        <v/>
      </c>
      <c r="Z24" s="451" t="str">
        <f>IF(B24="","",IF('GESTION DES JOUEURS'!$D$8="Open","",IF(AND('GESTION DES JOUEURS'!$D$8="poules",A24&lt;&gt;""),_xlfn.XLOOKUP(RESULTATS!B24,'Phase finale'!$BV$7:$BV$42,'Phase finale'!$CL$7:$CL$42,"",0,1),IF(AND(B24&lt;&gt;"",MAX('GESTION DES JOUEURS'!$A$11:$A$46)&gt;6,'GESTION DES JOUEURS'!$Y$8="JDSR"),_xlfn.XLOOKUP(A24,PTSRKMINITOURNOI[Clt],PTSRKMINITOURNOI[PR JDS 9],"",0,1),IF(AND(B24&lt;&gt;"",MAX('GESTION DES JOUEURS'!$A$11:$A$46)&lt;7,'GESTION DES JOUEURS'!$Y$8="JDSR"),_xlfn.XLOOKUP(A24,PTSRKMINITOURNOI[Clt],PTSRKMINITOURNOI[PR JDS],"",0,1),IF(AND(B24&lt;&gt;"",MAX('GESTION DES JOUEURS'!$A$11:$A$46)&lt;7,'GESTION DES JOUEURS'!$Y$8="R"),_xlfn.XLOOKUP(A24,PTSRKMINITOURNOI[Clt],PTSRKMINITOURNOI[PR 3B],"",0,1),IF(AND(B24&lt;&gt;"",MAX('GESTION DES JOUEURS'!$A$11:$A$46)&gt;6,'GESTION DES JOUEURS'!$Y$8="R"),_xlfn.XLOOKUP(A24,PTSRKTOURNOI[Clt],PTSRKTOURNOI[PR 3B],"",0,1),IF(AND(B24&lt;&gt;"",MAX('GESTION DES JOUEURS'!$A$11:$A$46)&gt;6,'GESTION DES JOUEURS'!$Y$8="Dames"),_xlfn.XLOOKUP(A24,PTSRKTOURNOI[Clt],PTSRKTOURNOI[[PR DAMES ]],"",0,1),IF(AND(B24&lt;&gt;"",'GESTION DES JOUEURS'!$Y$8="D"),_xlfn.XLOOKUP(A24,PTSRKMINITOURNOI[Clt],PTSRKMINITOURNOI[PR DISTRICT],"",0,1),"")))))))))</f>
        <v/>
      </c>
      <c r="AA24" s="451" t="str">
        <f>IF(AE24=0,"",IF('GESTION DES JOUEURS'!$D$8="Open","",_xlfn.XLOOKUP(B24,$CL$8:$CL$43,$DK$8:$DK$43,"",0,1)))</f>
        <v/>
      </c>
      <c r="AB24" s="451" t="str">
        <f t="shared" si="11"/>
        <v/>
      </c>
      <c r="AC24" s="451" t="str">
        <f t="shared" si="18"/>
        <v/>
      </c>
      <c r="AD24" s="451" t="str">
        <f t="shared" si="19"/>
        <v/>
      </c>
      <c r="AE24" s="538" t="str">
        <f t="shared" si="20"/>
        <v/>
      </c>
      <c r="AF24" s="451" t="str">
        <f t="shared" si="21"/>
        <v/>
      </c>
      <c r="AG24" s="456" t="str">
        <f t="shared" si="22"/>
        <v/>
      </c>
      <c r="AH24" s="456" t="str">
        <f t="shared" si="23"/>
        <v/>
      </c>
      <c r="AI24" s="446"/>
      <c r="AK24" s="715"/>
      <c r="AV24" s="1224"/>
      <c r="AW24" s="244">
        <v>12</v>
      </c>
      <c r="AX24" s="244" t="str">
        <v/>
      </c>
      <c r="AY24" s="244" t="str">
        <v/>
      </c>
      <c r="AZ24" s="244">
        <v>0</v>
      </c>
      <c r="BA24" s="244" t="str">
        <v/>
      </c>
      <c r="BB24" s="244">
        <v>0</v>
      </c>
      <c r="BC24" s="244" t="str">
        <v/>
      </c>
      <c r="BD24" s="244">
        <v>0</v>
      </c>
      <c r="BE24" s="244">
        <v>0</v>
      </c>
      <c r="BF24" s="244">
        <v>0</v>
      </c>
      <c r="BG24" s="244">
        <v>0</v>
      </c>
      <c r="BH24" s="244">
        <v>0</v>
      </c>
      <c r="BI24" s="244" t="str">
        <v/>
      </c>
      <c r="BJ24" s="244" t="str">
        <v/>
      </c>
      <c r="BK24" s="244" t="str">
        <v/>
      </c>
      <c r="BL24" s="244" t="str">
        <v/>
      </c>
      <c r="BM24" s="244" t="str">
        <v/>
      </c>
      <c r="BN24" s="244" t="str">
        <v/>
      </c>
      <c r="BO24" s="244" t="str">
        <v/>
      </c>
      <c r="BV24" s="506"/>
      <c r="BW24" s="506">
        <f t="shared" si="30"/>
        <v>12</v>
      </c>
      <c r="BX24" s="506" t="str">
        <f t="shared" si="31"/>
        <v/>
      </c>
      <c r="BY24" s="506" t="str">
        <f t="shared" si="32"/>
        <v/>
      </c>
      <c r="BZ24" s="506" t="str">
        <f t="shared" si="33"/>
        <v/>
      </c>
      <c r="CA24" s="506" t="str">
        <f t="shared" si="34"/>
        <v/>
      </c>
      <c r="CB24" s="506" t="str">
        <f t="shared" si="35"/>
        <v/>
      </c>
      <c r="CC24" s="506" t="str">
        <f t="shared" si="36"/>
        <v/>
      </c>
      <c r="CD24" s="506" t="str">
        <f t="shared" si="37"/>
        <v/>
      </c>
      <c r="CE24" s="506" t="str">
        <f t="shared" si="3"/>
        <v/>
      </c>
      <c r="CF24" s="506" t="str">
        <f t="shared" si="4"/>
        <v/>
      </c>
      <c r="CG24" s="506">
        <f t="shared" si="5"/>
        <v>0</v>
      </c>
      <c r="CH24" s="506" t="str">
        <f t="shared" si="38"/>
        <v/>
      </c>
      <c r="CI24" s="244">
        <f>IF(BX24="",37,IF(BX24='Phase finale'!$C$38,1,IF(BX24='Phase finale'!$C$39,2,IF(BX24='Phase finale'!$C$40,3,IF(BX24='Phase finale'!$C$41,4,IF(BX24='Phase finale'!$C$42,5,IF(BX24='Phase finale'!$C$43,6,IF(BX24='Phase finale'!$C$44,7,IF(BX24='Phase finale'!$C$45,8,IF(OR(BX24='Phase finale'!F29,BX24='Phase finale'!$F$10,BX24='Phase finale'!$V$11,BX24='Phase finale'!$V$10),3,IF(OR(BX24='Phase finale'!F31,BX24='Phase finale'!F32,BX24='Phase finale'!F33,BX24='Phase finale'!F34,BX24='Phase finale'!V31,BX24='Phase finale'!V32,BX24='Phase finale'!V33,BX24='Phase finale'!V34),5,IF(_xlfn.XLOOKUP(BX24,Tableau19[Licence],Tableau19[Forfait],"",0,1)=TRUE,36,9))))))))))))</f>
        <v>37</v>
      </c>
      <c r="CL24" s="451">
        <f>IF('GESTION DES JOUEURS'!B27="",0,'GESTION DES JOUEURS'!B27)</f>
        <v>0</v>
      </c>
      <c r="CM24" s="453" t="str">
        <f t="shared" si="24"/>
        <v/>
      </c>
      <c r="CN24" s="453"/>
      <c r="CO24" s="453"/>
      <c r="CP24" s="453"/>
      <c r="CQ24" s="453"/>
      <c r="CR24" s="453"/>
      <c r="CS24" s="453" t="str">
        <f t="shared" si="12"/>
        <v/>
      </c>
      <c r="CT24" s="453"/>
      <c r="CU24" s="453"/>
      <c r="CV24" s="453"/>
      <c r="CW24" s="453"/>
      <c r="CX24" s="453" t="str">
        <f t="shared" si="13"/>
        <v/>
      </c>
      <c r="CY24" s="453"/>
      <c r="CZ24" s="453"/>
      <c r="DA24" s="453"/>
      <c r="DB24" s="453"/>
      <c r="DC24" s="453"/>
      <c r="DD24" s="453"/>
      <c r="DE24" s="453"/>
      <c r="DF24" s="453"/>
      <c r="DG24" s="453"/>
      <c r="DH24" s="509" t="str">
        <f t="shared" si="14"/>
        <v/>
      </c>
      <c r="DI24" s="509">
        <f>IFERROR(IF('GESTION DES JOUEURS'!$D$8="Open",_xlfn.XLOOKUP(RESULTATS!CL24,RESULTATS!$DW$8:$DW$43,RESULTATS!$EL$8:$EL$43,"",0,1),_xlfn.XLOOKUP(CL24,$BX$5:$BX$12,$BV$5:$BV$12,_xlfn.XLOOKUP(CL24,$AX$5:$AX$12,$AW$5:$AW$12,"",0,1),0,1)),"")</f>
        <v>2</v>
      </c>
      <c r="DJ24" s="453" t="str">
        <f t="shared" si="25"/>
        <v/>
      </c>
      <c r="DK24" s="453" t="str">
        <f>IF('GESTION DES JOUEURS'!$D$8="Poules",_xlfn.XLOOKUP(RESULTATS!CL24,'Phase finale'!$BV$7:$BV$42,'Phase finale'!$CM$7:$CM$42,"",0,1),IF(AND(CL24&lt;&gt;0,DQ24&gt;_xlfn.XLOOKUP('GESTION DES JOUEURS'!$D$4,Distances[Mode de jeu et cat.],Distances[M 3],"",0,1)),_xlfn.XLOOKUP('GESTION DES JOUEURS'!$D$4,Distances[Mode de jeu et cat.],Distances[BT3],"",0,1),IF(AND(CL24&lt;&gt;0,DQ24&gt;_xlfn.XLOOKUP('GESTION DES JOUEURS'!$D$4,Distances[Mode de jeu et cat.],Distances[M 2],"",0,1)),_xlfn.XLOOKUP('GESTION DES JOUEURS'!$D$4,Distances[Mode de jeu et cat.],Distances[BT2],"",0,1),IF(AND(CL24&lt;&gt;0,DQ24&gt;_xlfn.XLOOKUP('GESTION DES JOUEURS'!$D$4,Distances[Mode de jeu et cat.],Distances[M 1],"",0,1)),_xlfn.XLOOKUP('GESTION DES JOUEURS'!$D$4,Distances[Mode de jeu et cat.],Distances[BT1],"",0,1),0))))</f>
        <v/>
      </c>
      <c r="DL24" s="453">
        <f t="shared" si="26"/>
        <v>0</v>
      </c>
      <c r="DM24" s="453" t="str">
        <f>IF('GESTION DES JOUEURS'!$D$8="Open",_xlfn.XLOOKUP(CL24,RESULTATS!$DW$8:$DW$43,RESULTATS!$EH$8:$EH$43,"",0,1),_xlfn.XLOOKUP(CL24,$BX$5:$BX$48,$CH$5:$CH$48,"",0,1))</f>
        <v/>
      </c>
      <c r="DN24" s="451" t="str">
        <f>IFERROR(SUM(_xlfn.XLOOKUP(CL24,_xlfn.ANCHORARRAY('Phase finale'!$DK$7),'Phase finale'!$DP$7:$DP$42,"",0,1),_xlfn.XLOOKUP(CL24,_xlfn.ANCHORARRAY('Phase finale'!$DK$7),'Phase finale'!$DL$7:$DL$42,"",0,1)),"")</f>
        <v/>
      </c>
      <c r="DO24" s="451" t="str">
        <f>IFERROR(SUM(_xlfn.XLOOKUP(CL24,_xlfn.ANCHORARRAY('Phase finale'!$DK$7),'Phase finale'!$DQ$7:$DQ$42,"",0,1),_xlfn.XLOOKUP(CL24,_xlfn.ANCHORARRAY('Phase finale'!$DK$7),'Phase finale'!$DM$7:$DM$42,"",0,1)),"")</f>
        <v/>
      </c>
      <c r="DP24" s="517" t="str">
        <f t="shared" si="27"/>
        <v/>
      </c>
      <c r="DQ24" s="456" t="str">
        <f t="shared" si="28"/>
        <v/>
      </c>
      <c r="DR24" s="456">
        <f t="shared" si="29"/>
        <v>0</v>
      </c>
      <c r="DS24" s="518">
        <f t="shared" si="15"/>
        <v>37</v>
      </c>
      <c r="DU24" s="244">
        <v>17</v>
      </c>
      <c r="DV24" s="244" cm="1">
        <f t="array" ref="DV24:EN39">Consolante!B31:T46</f>
        <v>1</v>
      </c>
      <c r="DW24" s="244" t="str">
        <v/>
      </c>
      <c r="DX24" s="244" t="str">
        <v/>
      </c>
      <c r="DY24" s="244">
        <v>0</v>
      </c>
      <c r="DZ24" s="244" t="str">
        <v/>
      </c>
      <c r="EA24" s="244">
        <v>0</v>
      </c>
      <c r="EB24" s="244">
        <v>0</v>
      </c>
      <c r="EC24" s="244" t="str">
        <v/>
      </c>
      <c r="ED24" s="244">
        <v>0</v>
      </c>
      <c r="EE24" s="244">
        <v>0</v>
      </c>
      <c r="EF24" s="244">
        <v>0</v>
      </c>
      <c r="EG24" s="244" t="str">
        <v/>
      </c>
      <c r="EH24" s="244">
        <v>0</v>
      </c>
      <c r="EI24" s="244" t="e">
        <v>#DIV/0!</v>
      </c>
      <c r="EJ24" s="244">
        <v>0</v>
      </c>
      <c r="EK24" s="244">
        <v>0</v>
      </c>
      <c r="EL24" s="244" t="str">
        <v/>
      </c>
      <c r="EM24" s="244">
        <v>0</v>
      </c>
      <c r="EN24" s="244">
        <v>0</v>
      </c>
    </row>
    <row r="25" spans="1:144" ht="24" customHeight="1" x14ac:dyDescent="0.3">
      <c r="A25" s="452" t="str">
        <f>IF('GESTION DES JOUEURS'!A27=MAX('GESTION DES JOUEURS'!$A$10:'GESTION DES JOUEURS'!$A$46),"",A24+1)</f>
        <v/>
      </c>
      <c r="B25" s="451" t="str">
        <v/>
      </c>
      <c r="C25" s="1218" t="str">
        <f>_xlfn.XLOOKUP(B25,Tableau19[Licence],Tableau19[Nom],"",0,1)</f>
        <v/>
      </c>
      <c r="D25" s="1218"/>
      <c r="E25" s="1218"/>
      <c r="F25" s="1218"/>
      <c r="G25" s="1218"/>
      <c r="H25" s="1218"/>
      <c r="I25" s="1218" t="str">
        <f>_xlfn.XLOOKUP(B25,Tableau19[Licence],Tableau19[[prénom ]],"",0,1)</f>
        <v/>
      </c>
      <c r="J25" s="1218"/>
      <c r="K25" s="1218"/>
      <c r="L25" s="1218"/>
      <c r="M25" s="1218"/>
      <c r="N25" s="1218" t="str">
        <f>_xlfn.XLOOKUP(B25,Tableau19[Licence],Tableau19[Club],"",0,1)</f>
        <v/>
      </c>
      <c r="O25" s="1218"/>
      <c r="P25" s="1218"/>
      <c r="Q25" s="1218"/>
      <c r="R25" s="1218"/>
      <c r="S25" s="1218"/>
      <c r="T25" s="1218"/>
      <c r="U25" s="1218"/>
      <c r="V25" s="1218"/>
      <c r="W25" s="1218"/>
      <c r="X25" s="455" t="str">
        <f t="shared" si="16"/>
        <v/>
      </c>
      <c r="Y25" s="455" t="str">
        <f t="shared" si="17"/>
        <v/>
      </c>
      <c r="Z25" s="451" t="str">
        <f>IF(B25="","",IF('GESTION DES JOUEURS'!$D$8="Open","",IF(AND('GESTION DES JOUEURS'!$D$8="poules",A25&lt;&gt;""),_xlfn.XLOOKUP(RESULTATS!B25,'Phase finale'!$BV$7:$BV$42,'Phase finale'!$CL$7:$CL$42,"",0,1),IF(AND(B25&lt;&gt;"",MAX('GESTION DES JOUEURS'!$A$11:$A$46)&gt;6,'GESTION DES JOUEURS'!$Y$8="JDSR"),_xlfn.XLOOKUP(A25,PTSRKMINITOURNOI[Clt],PTSRKMINITOURNOI[PR JDS 9],"",0,1),IF(AND(B25&lt;&gt;"",MAX('GESTION DES JOUEURS'!$A$11:$A$46)&lt;7,'GESTION DES JOUEURS'!$Y$8="JDSR"),_xlfn.XLOOKUP(A25,PTSRKMINITOURNOI[Clt],PTSRKMINITOURNOI[PR JDS],"",0,1),IF(AND(B25&lt;&gt;"",MAX('GESTION DES JOUEURS'!$A$11:$A$46)&lt;7,'GESTION DES JOUEURS'!$Y$8="R"),_xlfn.XLOOKUP(A25,PTSRKMINITOURNOI[Clt],PTSRKMINITOURNOI[PR 3B],"",0,1),IF(AND(B25&lt;&gt;"",MAX('GESTION DES JOUEURS'!$A$11:$A$46)&gt;6,'GESTION DES JOUEURS'!$Y$8="R"),_xlfn.XLOOKUP(A25,PTSRKTOURNOI[Clt],PTSRKTOURNOI[PR 3B],"",0,1),IF(AND(B25&lt;&gt;"",MAX('GESTION DES JOUEURS'!$A$11:$A$46)&gt;6,'GESTION DES JOUEURS'!$Y$8="Dames"),_xlfn.XLOOKUP(A25,PTSRKTOURNOI[Clt],PTSRKTOURNOI[[PR DAMES ]],"",0,1),IF(AND(B25&lt;&gt;"",'GESTION DES JOUEURS'!$Y$8="D"),_xlfn.XLOOKUP(A25,PTSRKMINITOURNOI[Clt],PTSRKMINITOURNOI[PR DISTRICT],"",0,1),"")))))))))</f>
        <v/>
      </c>
      <c r="AA25" s="451" t="str">
        <f>IF(AE25=0,"",IF('GESTION DES JOUEURS'!$D$8="Open","",_xlfn.XLOOKUP(B25,$CL$8:$CL$43,$DK$8:$DK$43,"",0,1)))</f>
        <v/>
      </c>
      <c r="AB25" s="451" t="str">
        <f t="shared" si="11"/>
        <v/>
      </c>
      <c r="AC25" s="451" t="str">
        <f t="shared" si="18"/>
        <v/>
      </c>
      <c r="AD25" s="451" t="str">
        <f t="shared" si="19"/>
        <v/>
      </c>
      <c r="AE25" s="538" t="str">
        <f t="shared" si="20"/>
        <v/>
      </c>
      <c r="AF25" s="451" t="str">
        <f t="shared" si="21"/>
        <v/>
      </c>
      <c r="AG25" s="456" t="str">
        <f t="shared" si="22"/>
        <v/>
      </c>
      <c r="AH25" s="456" t="str">
        <f t="shared" si="23"/>
        <v/>
      </c>
      <c r="AI25" s="510"/>
      <c r="AK25" s="716" t="s">
        <v>8120</v>
      </c>
      <c r="AV25" s="1224"/>
      <c r="AW25" s="244">
        <v>13</v>
      </c>
      <c r="AX25" s="244" t="str">
        <v/>
      </c>
      <c r="AY25" s="244" t="str">
        <v/>
      </c>
      <c r="AZ25" s="244">
        <v>0</v>
      </c>
      <c r="BA25" s="244" t="str">
        <v/>
      </c>
      <c r="BB25" s="244">
        <v>0</v>
      </c>
      <c r="BC25" s="244" t="str">
        <v/>
      </c>
      <c r="BD25" s="244">
        <v>0</v>
      </c>
      <c r="BE25" s="244">
        <v>0</v>
      </c>
      <c r="BF25" s="244">
        <v>0</v>
      </c>
      <c r="BG25" s="244">
        <v>0</v>
      </c>
      <c r="BH25" s="244">
        <v>0</v>
      </c>
      <c r="BI25" s="244" t="str">
        <v/>
      </c>
      <c r="BJ25" s="244" t="str">
        <v/>
      </c>
      <c r="BK25" s="244" t="str">
        <v/>
      </c>
      <c r="BL25" s="244" t="str">
        <v/>
      </c>
      <c r="BM25" s="244" t="str">
        <v/>
      </c>
      <c r="BN25" s="244" t="str">
        <v/>
      </c>
      <c r="BO25" s="244" t="str">
        <v/>
      </c>
      <c r="BV25" s="506"/>
      <c r="BW25" s="506">
        <f t="shared" si="30"/>
        <v>13</v>
      </c>
      <c r="BX25" s="506" t="str">
        <f t="shared" si="31"/>
        <v/>
      </c>
      <c r="BY25" s="506" t="str">
        <f t="shared" si="32"/>
        <v/>
      </c>
      <c r="BZ25" s="506" t="str">
        <f t="shared" si="33"/>
        <v/>
      </c>
      <c r="CA25" s="506" t="str">
        <f t="shared" si="34"/>
        <v/>
      </c>
      <c r="CB25" s="506" t="str">
        <f t="shared" si="35"/>
        <v/>
      </c>
      <c r="CC25" s="506" t="str">
        <f t="shared" si="36"/>
        <v/>
      </c>
      <c r="CD25" s="506" t="str">
        <f t="shared" si="37"/>
        <v/>
      </c>
      <c r="CE25" s="506" t="str">
        <f t="shared" si="3"/>
        <v/>
      </c>
      <c r="CF25" s="506" t="str">
        <f t="shared" si="4"/>
        <v/>
      </c>
      <c r="CG25" s="506">
        <f t="shared" si="5"/>
        <v>0</v>
      </c>
      <c r="CH25" s="506" t="str">
        <f t="shared" si="38"/>
        <v/>
      </c>
      <c r="CI25" s="244">
        <f>IF(BX25="",37,IF(BX25='Phase finale'!$C$38,1,IF(BX25='Phase finale'!$C$39,2,IF(BX25='Phase finale'!$C$40,3,IF(BX25='Phase finale'!$C$41,4,IF(BX25='Phase finale'!$C$42,5,IF(BX25='Phase finale'!$C$43,6,IF(BX25='Phase finale'!$C$44,7,IF(BX25='Phase finale'!$C$45,8,IF(OR(BX25='Phase finale'!F30,BX25='Phase finale'!$F$10,BX25='Phase finale'!$V$11,BX25='Phase finale'!$V$10),3,IF(OR(BX25='Phase finale'!F32,BX25='Phase finale'!F33,BX25='Phase finale'!F34,BX25='Phase finale'!F35,BX25='Phase finale'!V32,BX25='Phase finale'!V33,BX25='Phase finale'!V34,BX25='Phase finale'!V35),5,IF(_xlfn.XLOOKUP(BX25,Tableau19[Licence],Tableau19[Forfait],"",0,1)=TRUE,36,9))))))))))))</f>
        <v>37</v>
      </c>
      <c r="CL25" s="451">
        <f>IF('GESTION DES JOUEURS'!B28="",0,'GESTION DES JOUEURS'!B28)</f>
        <v>0</v>
      </c>
      <c r="CM25" s="453" t="str">
        <f t="shared" si="24"/>
        <v/>
      </c>
      <c r="CN25" s="453"/>
      <c r="CO25" s="453"/>
      <c r="CP25" s="453"/>
      <c r="CQ25" s="453"/>
      <c r="CR25" s="453"/>
      <c r="CS25" s="453" t="str">
        <f t="shared" si="12"/>
        <v/>
      </c>
      <c r="CT25" s="453"/>
      <c r="CU25" s="453"/>
      <c r="CV25" s="453"/>
      <c r="CW25" s="453"/>
      <c r="CX25" s="453" t="str">
        <f t="shared" si="13"/>
        <v/>
      </c>
      <c r="CY25" s="453"/>
      <c r="CZ25" s="453"/>
      <c r="DA25" s="453"/>
      <c r="DB25" s="453"/>
      <c r="DC25" s="453"/>
      <c r="DD25" s="453"/>
      <c r="DE25" s="453"/>
      <c r="DF25" s="453"/>
      <c r="DG25" s="453"/>
      <c r="DH25" s="509" t="str">
        <f t="shared" si="14"/>
        <v/>
      </c>
      <c r="DI25" s="509">
        <f>IFERROR(IF('GESTION DES JOUEURS'!$D$8="Open",_xlfn.XLOOKUP(RESULTATS!CL25,RESULTATS!$DW$8:$DW$43,RESULTATS!$EL$8:$EL$43,"",0,1),_xlfn.XLOOKUP(CL25,$BX$5:$BX$12,$BV$5:$BV$12,_xlfn.XLOOKUP(CL25,$AX$5:$AX$12,$AW$5:$AW$12,"",0,1),0,1)),"")</f>
        <v>2</v>
      </c>
      <c r="DJ25" s="453" t="str">
        <f t="shared" si="25"/>
        <v/>
      </c>
      <c r="DK25" s="453" t="str">
        <f>IF('GESTION DES JOUEURS'!$D$8="Poules",_xlfn.XLOOKUP(RESULTATS!CL25,'Phase finale'!$BV$7:$BV$42,'Phase finale'!$CM$7:$CM$42,"",0,1),IF(AND(CL25&lt;&gt;0,DQ25&gt;_xlfn.XLOOKUP('GESTION DES JOUEURS'!$D$4,Distances[Mode de jeu et cat.],Distances[M 3],"",0,1)),_xlfn.XLOOKUP('GESTION DES JOUEURS'!$D$4,Distances[Mode de jeu et cat.],Distances[BT3],"",0,1),IF(AND(CL25&lt;&gt;0,DQ25&gt;_xlfn.XLOOKUP('GESTION DES JOUEURS'!$D$4,Distances[Mode de jeu et cat.],Distances[M 2],"",0,1)),_xlfn.XLOOKUP('GESTION DES JOUEURS'!$D$4,Distances[Mode de jeu et cat.],Distances[BT2],"",0,1),IF(AND(CL25&lt;&gt;0,DQ25&gt;_xlfn.XLOOKUP('GESTION DES JOUEURS'!$D$4,Distances[Mode de jeu et cat.],Distances[M 1],"",0,1)),_xlfn.XLOOKUP('GESTION DES JOUEURS'!$D$4,Distances[Mode de jeu et cat.],Distances[BT1],"",0,1),0))))</f>
        <v/>
      </c>
      <c r="DL25" s="453">
        <f t="shared" si="26"/>
        <v>0</v>
      </c>
      <c r="DM25" s="453" t="str">
        <f>IF('GESTION DES JOUEURS'!$D$8="Open",_xlfn.XLOOKUP(CL25,RESULTATS!$DW$8:$DW$43,RESULTATS!$EH$8:$EH$43,"",0,1),_xlfn.XLOOKUP(CL25,$BX$5:$BX$48,$CH$5:$CH$48,"",0,1))</f>
        <v/>
      </c>
      <c r="DN25" s="451" t="str">
        <f>IFERROR(SUM(_xlfn.XLOOKUP(CL25,_xlfn.ANCHORARRAY('Phase finale'!$DK$7),'Phase finale'!$DP$7:$DP$42,"",0,1),_xlfn.XLOOKUP(CL25,_xlfn.ANCHORARRAY('Phase finale'!$DK$7),'Phase finale'!$DL$7:$DL$42,"",0,1)),"")</f>
        <v/>
      </c>
      <c r="DO25" s="451" t="str">
        <f>IFERROR(SUM(_xlfn.XLOOKUP(CL25,_xlfn.ANCHORARRAY('Phase finale'!$DK$7),'Phase finale'!$DQ$7:$DQ$42,"",0,1),_xlfn.XLOOKUP(CL25,_xlfn.ANCHORARRAY('Phase finale'!$DK$7),'Phase finale'!$DM$7:$DM$42,"",0,1)),"")</f>
        <v/>
      </c>
      <c r="DP25" s="517" t="str">
        <f t="shared" si="27"/>
        <v/>
      </c>
      <c r="DQ25" s="456" t="str">
        <f t="shared" si="28"/>
        <v/>
      </c>
      <c r="DR25" s="456">
        <f t="shared" si="29"/>
        <v>0</v>
      </c>
      <c r="DS25" s="518">
        <f t="shared" si="15"/>
        <v>37</v>
      </c>
      <c r="DU25" s="244">
        <v>18</v>
      </c>
      <c r="DV25" s="244">
        <v>2</v>
      </c>
      <c r="DW25" s="244" t="str">
        <v/>
      </c>
      <c r="DX25" s="244" t="str">
        <v/>
      </c>
      <c r="DY25" s="244">
        <v>0</v>
      </c>
      <c r="DZ25" s="244" t="str">
        <v/>
      </c>
      <c r="EA25" s="244">
        <v>0</v>
      </c>
      <c r="EB25" s="244">
        <v>0</v>
      </c>
      <c r="EC25" s="244" t="str">
        <v/>
      </c>
      <c r="ED25" s="244">
        <v>0</v>
      </c>
      <c r="EE25" s="244">
        <v>0</v>
      </c>
      <c r="EF25" s="244">
        <v>0</v>
      </c>
      <c r="EG25" s="244" t="str">
        <v/>
      </c>
      <c r="EH25" s="244" t="str">
        <v/>
      </c>
      <c r="EI25" s="244" t="e">
        <v>#DIV/0!</v>
      </c>
      <c r="EJ25" s="244">
        <v>0</v>
      </c>
      <c r="EK25" s="244">
        <v>0</v>
      </c>
      <c r="EL25" s="244" t="str">
        <v/>
      </c>
      <c r="EM25" s="244">
        <v>0</v>
      </c>
      <c r="EN25" s="244">
        <v>0</v>
      </c>
    </row>
    <row r="26" spans="1:144" ht="24" customHeight="1" x14ac:dyDescent="0.3">
      <c r="A26" s="452" t="str">
        <f>IF('GESTION DES JOUEURS'!A28=MAX('GESTION DES JOUEURS'!$A$10:'GESTION DES JOUEURS'!$A$46),"",A25+1)</f>
        <v/>
      </c>
      <c r="B26" s="451" t="str">
        <v/>
      </c>
      <c r="C26" s="1218" t="str">
        <f>_xlfn.XLOOKUP(B26,Tableau19[Licence],Tableau19[Nom],"",0,1)</f>
        <v/>
      </c>
      <c r="D26" s="1218"/>
      <c r="E26" s="1218"/>
      <c r="F26" s="1218"/>
      <c r="G26" s="1218"/>
      <c r="H26" s="1218"/>
      <c r="I26" s="1218" t="str">
        <f>_xlfn.XLOOKUP(B26,Tableau19[Licence],Tableau19[[prénom ]],"",0,1)</f>
        <v/>
      </c>
      <c r="J26" s="1218"/>
      <c r="K26" s="1218"/>
      <c r="L26" s="1218"/>
      <c r="M26" s="1218"/>
      <c r="N26" s="1218" t="str">
        <f>_xlfn.XLOOKUP(B26,Tableau19[Licence],Tableau19[Club],"",0,1)</f>
        <v/>
      </c>
      <c r="O26" s="1218"/>
      <c r="P26" s="1218"/>
      <c r="Q26" s="1218"/>
      <c r="R26" s="1218"/>
      <c r="S26" s="1218"/>
      <c r="T26" s="1218"/>
      <c r="U26" s="1218"/>
      <c r="V26" s="1218"/>
      <c r="W26" s="1218"/>
      <c r="X26" s="455" t="str">
        <f t="shared" si="16"/>
        <v/>
      </c>
      <c r="Y26" s="455" t="str">
        <f t="shared" si="17"/>
        <v/>
      </c>
      <c r="Z26" s="451" t="str">
        <f>IF(B26="","",IF('GESTION DES JOUEURS'!$D$8="Open","",IF(AND('GESTION DES JOUEURS'!$D$8="poules",A26&lt;&gt;""),_xlfn.XLOOKUP(RESULTATS!B26,'Phase finale'!$BV$7:$BV$42,'Phase finale'!$CL$7:$CL$42,"",0,1),IF(AND(B26&lt;&gt;"",MAX('GESTION DES JOUEURS'!$A$11:$A$46)&gt;6,'GESTION DES JOUEURS'!$Y$8="JDSR"),_xlfn.XLOOKUP(A26,PTSRKMINITOURNOI[Clt],PTSRKMINITOURNOI[PR JDS 9],"",0,1),IF(AND(B26&lt;&gt;"",MAX('GESTION DES JOUEURS'!$A$11:$A$46)&lt;7,'GESTION DES JOUEURS'!$Y$8="JDSR"),_xlfn.XLOOKUP(A26,PTSRKMINITOURNOI[Clt],PTSRKMINITOURNOI[PR JDS],"",0,1),IF(AND(B26&lt;&gt;"",MAX('GESTION DES JOUEURS'!$A$11:$A$46)&lt;7,'GESTION DES JOUEURS'!$Y$8="R"),_xlfn.XLOOKUP(A26,PTSRKMINITOURNOI[Clt],PTSRKMINITOURNOI[PR 3B],"",0,1),IF(AND(B26&lt;&gt;"",MAX('GESTION DES JOUEURS'!$A$11:$A$46)&gt;6,'GESTION DES JOUEURS'!$Y$8="R"),_xlfn.XLOOKUP(A26,PTSRKTOURNOI[Clt],PTSRKTOURNOI[PR 3B],"",0,1),IF(AND(B26&lt;&gt;"",MAX('GESTION DES JOUEURS'!$A$11:$A$46)&gt;6,'GESTION DES JOUEURS'!$Y$8="Dames"),_xlfn.XLOOKUP(A26,PTSRKTOURNOI[Clt],PTSRKTOURNOI[[PR DAMES ]],"",0,1),IF(AND(B26&lt;&gt;"",'GESTION DES JOUEURS'!$Y$8="D"),_xlfn.XLOOKUP(A26,PTSRKMINITOURNOI[Clt],PTSRKMINITOURNOI[PR DISTRICT],"",0,1),"")))))))))</f>
        <v/>
      </c>
      <c r="AA26" s="451" t="str">
        <f>IF(AE26=0,"",IF('GESTION DES JOUEURS'!$D$8="Open","",_xlfn.XLOOKUP(B26,$CL$8:$CL$43,$DK$8:$DK$43,"",0,1)))</f>
        <v/>
      </c>
      <c r="AB26" s="451" t="str">
        <f t="shared" si="11"/>
        <v/>
      </c>
      <c r="AC26" s="451" t="str">
        <f t="shared" si="18"/>
        <v/>
      </c>
      <c r="AD26" s="451" t="str">
        <f t="shared" si="19"/>
        <v/>
      </c>
      <c r="AE26" s="538" t="str">
        <f t="shared" si="20"/>
        <v/>
      </c>
      <c r="AF26" s="451" t="str">
        <f t="shared" si="21"/>
        <v/>
      </c>
      <c r="AG26" s="456" t="str">
        <f t="shared" si="22"/>
        <v/>
      </c>
      <c r="AH26" s="456" t="str">
        <f t="shared" si="23"/>
        <v/>
      </c>
      <c r="AI26" s="446"/>
      <c r="AK26" s="716"/>
      <c r="AV26" s="1224"/>
      <c r="AW26" s="244">
        <v>14</v>
      </c>
      <c r="AX26" s="244" t="str">
        <v/>
      </c>
      <c r="AY26" s="244" t="str">
        <v/>
      </c>
      <c r="AZ26" s="244">
        <v>0</v>
      </c>
      <c r="BA26" s="244" t="str">
        <v/>
      </c>
      <c r="BB26" s="244">
        <v>0</v>
      </c>
      <c r="BC26" s="244" t="str">
        <v/>
      </c>
      <c r="BD26" s="244">
        <v>0</v>
      </c>
      <c r="BE26" s="244">
        <v>0</v>
      </c>
      <c r="BF26" s="244">
        <v>0</v>
      </c>
      <c r="BG26" s="244">
        <v>0</v>
      </c>
      <c r="BH26" s="244">
        <v>0</v>
      </c>
      <c r="BI26" s="244" t="str">
        <v/>
      </c>
      <c r="BJ26" s="244" t="str">
        <v/>
      </c>
      <c r="BK26" s="244" t="str">
        <v/>
      </c>
      <c r="BL26" s="244" t="str">
        <v/>
      </c>
      <c r="BM26" s="244" t="str">
        <v/>
      </c>
      <c r="BN26" s="244" t="str">
        <v/>
      </c>
      <c r="BO26" s="244" t="str">
        <v/>
      </c>
      <c r="BV26" s="506"/>
      <c r="BW26" s="506">
        <f t="shared" si="30"/>
        <v>14</v>
      </c>
      <c r="BX26" s="506" t="str">
        <f t="shared" si="31"/>
        <v/>
      </c>
      <c r="BY26" s="506" t="str">
        <f t="shared" si="32"/>
        <v/>
      </c>
      <c r="BZ26" s="506" t="str">
        <f t="shared" si="33"/>
        <v/>
      </c>
      <c r="CA26" s="506" t="str">
        <f t="shared" si="34"/>
        <v/>
      </c>
      <c r="CB26" s="506" t="str">
        <f t="shared" si="35"/>
        <v/>
      </c>
      <c r="CC26" s="506" t="str">
        <f t="shared" si="36"/>
        <v/>
      </c>
      <c r="CD26" s="506" t="str">
        <f t="shared" si="37"/>
        <v/>
      </c>
      <c r="CE26" s="506" t="str">
        <f t="shared" si="3"/>
        <v/>
      </c>
      <c r="CF26" s="506" t="str">
        <f t="shared" si="4"/>
        <v/>
      </c>
      <c r="CG26" s="506">
        <f t="shared" si="5"/>
        <v>0</v>
      </c>
      <c r="CH26" s="506" t="str">
        <f t="shared" si="38"/>
        <v/>
      </c>
      <c r="CI26" s="244">
        <f>IF(BX26="",37,IF(BX26='Phase finale'!$C$38,1,IF(BX26='Phase finale'!$C$39,2,IF(BX26='Phase finale'!$C$40,3,IF(BX26='Phase finale'!$C$41,4,IF(BX26='Phase finale'!$C$42,5,IF(BX26='Phase finale'!$C$43,6,IF(BX26='Phase finale'!$C$44,7,IF(BX26='Phase finale'!$C$45,8,IF(OR(BX26='Phase finale'!F31,BX26='Phase finale'!$F$10,BX26='Phase finale'!$V$11,BX26='Phase finale'!$V$10),3,IF(OR(BX26='Phase finale'!F33,BX26='Phase finale'!F34,BX26='Phase finale'!F35,BX26='Phase finale'!F36,BX26='Phase finale'!V33,BX26='Phase finale'!V34,BX26='Phase finale'!V35,BX26='Phase finale'!V36),5,IF(_xlfn.XLOOKUP(BX26,Tableau19[Licence],Tableau19[Forfait],"",0,1)=TRUE,36,9))))))))))))</f>
        <v>37</v>
      </c>
      <c r="CL26" s="451">
        <f>IF('GESTION DES JOUEURS'!B29="",0,'GESTION DES JOUEURS'!B29)</f>
        <v>0</v>
      </c>
      <c r="CM26" s="453" t="str">
        <f t="shared" si="24"/>
        <v/>
      </c>
      <c r="CN26" s="453"/>
      <c r="CO26" s="453"/>
      <c r="CP26" s="453"/>
      <c r="CQ26" s="453"/>
      <c r="CR26" s="453"/>
      <c r="CS26" s="453" t="str">
        <f t="shared" si="12"/>
        <v/>
      </c>
      <c r="CT26" s="453"/>
      <c r="CU26" s="453"/>
      <c r="CV26" s="453"/>
      <c r="CW26" s="453"/>
      <c r="CX26" s="453" t="str">
        <f t="shared" si="13"/>
        <v/>
      </c>
      <c r="CY26" s="453"/>
      <c r="CZ26" s="453"/>
      <c r="DA26" s="453"/>
      <c r="DB26" s="453"/>
      <c r="DC26" s="453"/>
      <c r="DD26" s="453"/>
      <c r="DE26" s="453"/>
      <c r="DF26" s="453"/>
      <c r="DG26" s="453"/>
      <c r="DH26" s="509" t="str">
        <f t="shared" si="14"/>
        <v/>
      </c>
      <c r="DI26" s="509">
        <f>IFERROR(IF('GESTION DES JOUEURS'!$D$8="Open",_xlfn.XLOOKUP(RESULTATS!CL26,RESULTATS!$DW$8:$DW$43,RESULTATS!$EL$8:$EL$43,"",0,1),_xlfn.XLOOKUP(CL26,$BX$5:$BX$12,$BV$5:$BV$12,_xlfn.XLOOKUP(CL26,$AX$5:$AX$12,$AW$5:$AW$12,"",0,1),0,1)),"")</f>
        <v>2</v>
      </c>
      <c r="DJ26" s="453" t="str">
        <f t="shared" si="25"/>
        <v/>
      </c>
      <c r="DK26" s="453" t="str">
        <f>IF('GESTION DES JOUEURS'!$D$8="Poules",_xlfn.XLOOKUP(RESULTATS!CL26,'Phase finale'!$BV$7:$BV$42,'Phase finale'!$CM$7:$CM$42,"",0,1),IF(AND(CL26&lt;&gt;0,DQ26&gt;_xlfn.XLOOKUP('GESTION DES JOUEURS'!$D$4,Distances[Mode de jeu et cat.],Distances[M 3],"",0,1)),_xlfn.XLOOKUP('GESTION DES JOUEURS'!$D$4,Distances[Mode de jeu et cat.],Distances[BT3],"",0,1),IF(AND(CL26&lt;&gt;0,DQ26&gt;_xlfn.XLOOKUP('GESTION DES JOUEURS'!$D$4,Distances[Mode de jeu et cat.],Distances[M 2],"",0,1)),_xlfn.XLOOKUP('GESTION DES JOUEURS'!$D$4,Distances[Mode de jeu et cat.],Distances[BT2],"",0,1),IF(AND(CL26&lt;&gt;0,DQ26&gt;_xlfn.XLOOKUP('GESTION DES JOUEURS'!$D$4,Distances[Mode de jeu et cat.],Distances[M 1],"",0,1)),_xlfn.XLOOKUP('GESTION DES JOUEURS'!$D$4,Distances[Mode de jeu et cat.],Distances[BT1],"",0,1),0))))</f>
        <v/>
      </c>
      <c r="DL26" s="453">
        <f t="shared" si="26"/>
        <v>0</v>
      </c>
      <c r="DM26" s="453" t="str">
        <f>IF('GESTION DES JOUEURS'!$D$8="Open",_xlfn.XLOOKUP(CL26,RESULTATS!$DW$8:$DW$43,RESULTATS!$EH$8:$EH$43,"",0,1),_xlfn.XLOOKUP(CL26,$BX$5:$BX$48,$CH$5:$CH$48,"",0,1))</f>
        <v/>
      </c>
      <c r="DN26" s="451" t="str">
        <f>IFERROR(SUM(_xlfn.XLOOKUP(CL26,_xlfn.ANCHORARRAY('Phase finale'!$DK$7),'Phase finale'!$DP$7:$DP$42,"",0,1),_xlfn.XLOOKUP(CL26,_xlfn.ANCHORARRAY('Phase finale'!$DK$7),'Phase finale'!$DL$7:$DL$42,"",0,1)),"")</f>
        <v/>
      </c>
      <c r="DO26" s="451" t="str">
        <f>IFERROR(SUM(_xlfn.XLOOKUP(CL26,_xlfn.ANCHORARRAY('Phase finale'!$DK$7),'Phase finale'!$DQ$7:$DQ$42,"",0,1),_xlfn.XLOOKUP(CL26,_xlfn.ANCHORARRAY('Phase finale'!$DK$7),'Phase finale'!$DM$7:$DM$42,"",0,1)),"")</f>
        <v/>
      </c>
      <c r="DP26" s="517" t="str">
        <f t="shared" si="27"/>
        <v/>
      </c>
      <c r="DQ26" s="456" t="str">
        <f t="shared" si="28"/>
        <v/>
      </c>
      <c r="DR26" s="456">
        <f t="shared" si="29"/>
        <v>0</v>
      </c>
      <c r="DS26" s="518">
        <f t="shared" si="15"/>
        <v>37</v>
      </c>
      <c r="DU26" s="244">
        <v>19</v>
      </c>
      <c r="DV26" s="244">
        <v>3</v>
      </c>
      <c r="DW26" s="244" t="str">
        <v/>
      </c>
      <c r="DX26" s="244" t="str">
        <v/>
      </c>
      <c r="DY26" s="244">
        <v>0</v>
      </c>
      <c r="DZ26" s="244" t="str">
        <v/>
      </c>
      <c r="EA26" s="244">
        <v>0</v>
      </c>
      <c r="EB26" s="244">
        <v>0</v>
      </c>
      <c r="EC26" s="244" t="str">
        <v/>
      </c>
      <c r="ED26" s="244">
        <v>0</v>
      </c>
      <c r="EE26" s="244">
        <v>0</v>
      </c>
      <c r="EF26" s="244">
        <v>0</v>
      </c>
      <c r="EG26" s="244" t="str">
        <v/>
      </c>
      <c r="EH26" s="244" t="str">
        <v/>
      </c>
      <c r="EI26" s="244" t="e">
        <v>#DIV/0!</v>
      </c>
      <c r="EJ26" s="244">
        <v>0</v>
      </c>
      <c r="EK26" s="244">
        <v>0</v>
      </c>
      <c r="EL26" s="244" t="str">
        <v/>
      </c>
      <c r="EM26" s="244">
        <v>0</v>
      </c>
      <c r="EN26" s="244">
        <v>0</v>
      </c>
    </row>
    <row r="27" spans="1:144" ht="24" customHeight="1" x14ac:dyDescent="0.3">
      <c r="A27" s="452" t="str">
        <f>IF('GESTION DES JOUEURS'!A29=MAX('GESTION DES JOUEURS'!$A$10:'GESTION DES JOUEURS'!$A$46),"",A26+1)</f>
        <v/>
      </c>
      <c r="B27" s="451" t="str">
        <v/>
      </c>
      <c r="C27" s="1218" t="str">
        <f>_xlfn.XLOOKUP(B27,Tableau19[Licence],Tableau19[Nom],"",0,1)</f>
        <v/>
      </c>
      <c r="D27" s="1218"/>
      <c r="E27" s="1218"/>
      <c r="F27" s="1218"/>
      <c r="G27" s="1218"/>
      <c r="H27" s="1218"/>
      <c r="I27" s="1218" t="str">
        <f>_xlfn.XLOOKUP(B27,Tableau19[Licence],Tableau19[[prénom ]],"",0,1)</f>
        <v/>
      </c>
      <c r="J27" s="1218"/>
      <c r="K27" s="1218"/>
      <c r="L27" s="1218"/>
      <c r="M27" s="1218"/>
      <c r="N27" s="1218" t="str">
        <f>_xlfn.XLOOKUP(B27,Tableau19[Licence],Tableau19[Club],"",0,1)</f>
        <v/>
      </c>
      <c r="O27" s="1218"/>
      <c r="P27" s="1218"/>
      <c r="Q27" s="1218"/>
      <c r="R27" s="1218"/>
      <c r="S27" s="1218"/>
      <c r="T27" s="1218"/>
      <c r="U27" s="1218"/>
      <c r="V27" s="1218"/>
      <c r="W27" s="1218"/>
      <c r="X27" s="455" t="str">
        <f t="shared" si="16"/>
        <v/>
      </c>
      <c r="Y27" s="455" t="str">
        <f t="shared" si="17"/>
        <v/>
      </c>
      <c r="Z27" s="451" t="str">
        <f>IF(B27="","",IF('GESTION DES JOUEURS'!$D$8="Open","",IF(AND('GESTION DES JOUEURS'!$D$8="poules",A27&lt;&gt;""),_xlfn.XLOOKUP(RESULTATS!B27,'Phase finale'!$BV$7:$BV$42,'Phase finale'!$CL$7:$CL$42,"",0,1),IF(AND(B27&lt;&gt;"",MAX('GESTION DES JOUEURS'!$A$11:$A$46)&gt;6,'GESTION DES JOUEURS'!$Y$8="JDSR"),_xlfn.XLOOKUP(A27,PTSRKMINITOURNOI[Clt],PTSRKMINITOURNOI[PR JDS 9],"",0,1),IF(AND(B27&lt;&gt;"",MAX('GESTION DES JOUEURS'!$A$11:$A$46)&lt;7,'GESTION DES JOUEURS'!$Y$8="JDSR"),_xlfn.XLOOKUP(A27,PTSRKMINITOURNOI[Clt],PTSRKMINITOURNOI[PR JDS],"",0,1),IF(AND(B27&lt;&gt;"",MAX('GESTION DES JOUEURS'!$A$11:$A$46)&lt;7,'GESTION DES JOUEURS'!$Y$8="R"),_xlfn.XLOOKUP(A27,PTSRKMINITOURNOI[Clt],PTSRKMINITOURNOI[PR 3B],"",0,1),IF(AND(B27&lt;&gt;"",MAX('GESTION DES JOUEURS'!$A$11:$A$46)&gt;6,'GESTION DES JOUEURS'!$Y$8="R"),_xlfn.XLOOKUP(A27,PTSRKTOURNOI[Clt],PTSRKTOURNOI[PR 3B],"",0,1),IF(AND(B27&lt;&gt;"",MAX('GESTION DES JOUEURS'!$A$11:$A$46)&gt;6,'GESTION DES JOUEURS'!$Y$8="Dames"),_xlfn.XLOOKUP(A27,PTSRKTOURNOI[Clt],PTSRKTOURNOI[[PR DAMES ]],"",0,1),IF(AND(B27&lt;&gt;"",'GESTION DES JOUEURS'!$Y$8="D"),_xlfn.XLOOKUP(A27,PTSRKMINITOURNOI[Clt],PTSRKMINITOURNOI[PR DISTRICT],"",0,1),"")))))))))</f>
        <v/>
      </c>
      <c r="AA27" s="451" t="str">
        <f>IF(AE27=0,"",IF('GESTION DES JOUEURS'!$D$8="Open","",_xlfn.XLOOKUP(B27,$CL$8:$CL$43,$DK$8:$DK$43,"",0,1)))</f>
        <v/>
      </c>
      <c r="AB27" s="451" t="str">
        <f t="shared" si="11"/>
        <v/>
      </c>
      <c r="AC27" s="451" t="str">
        <f t="shared" si="18"/>
        <v/>
      </c>
      <c r="AD27" s="451" t="str">
        <f t="shared" si="19"/>
        <v/>
      </c>
      <c r="AE27" s="538" t="str">
        <f t="shared" si="20"/>
        <v/>
      </c>
      <c r="AF27" s="451" t="str">
        <f t="shared" si="21"/>
        <v/>
      </c>
      <c r="AG27" s="456" t="str">
        <f t="shared" si="22"/>
        <v/>
      </c>
      <c r="AH27" s="456" t="str">
        <f t="shared" si="23"/>
        <v/>
      </c>
      <c r="AI27" s="446"/>
      <c r="AK27" s="717" t="s">
        <v>8121</v>
      </c>
      <c r="AV27" s="1224"/>
      <c r="AW27" s="244">
        <v>15</v>
      </c>
      <c r="AX27" s="244" t="str">
        <v/>
      </c>
      <c r="AY27" s="244" t="str">
        <v/>
      </c>
      <c r="AZ27" s="244">
        <v>0</v>
      </c>
      <c r="BA27" s="244" t="str">
        <v/>
      </c>
      <c r="BB27" s="244">
        <v>0</v>
      </c>
      <c r="BC27" s="244" t="str">
        <v/>
      </c>
      <c r="BD27" s="244">
        <v>0</v>
      </c>
      <c r="BE27" s="244">
        <v>0</v>
      </c>
      <c r="BF27" s="244">
        <v>0</v>
      </c>
      <c r="BG27" s="244">
        <v>0</v>
      </c>
      <c r="BH27" s="244">
        <v>0</v>
      </c>
      <c r="BI27" s="244" t="str">
        <v/>
      </c>
      <c r="BJ27" s="244" t="str">
        <v/>
      </c>
      <c r="BK27" s="244" t="str">
        <v/>
      </c>
      <c r="BL27" s="244" t="str">
        <v/>
      </c>
      <c r="BM27" s="244" t="str">
        <v/>
      </c>
      <c r="BN27" s="244" t="str">
        <v/>
      </c>
      <c r="BO27" s="244" t="str">
        <v/>
      </c>
      <c r="BV27" s="506"/>
      <c r="BW27" s="506">
        <f t="shared" si="30"/>
        <v>15</v>
      </c>
      <c r="BX27" s="506" t="str">
        <f t="shared" si="31"/>
        <v/>
      </c>
      <c r="BY27" s="506" t="str">
        <f t="shared" si="32"/>
        <v/>
      </c>
      <c r="BZ27" s="506" t="str">
        <f t="shared" si="33"/>
        <v/>
      </c>
      <c r="CA27" s="506" t="str">
        <f t="shared" si="34"/>
        <v/>
      </c>
      <c r="CB27" s="506" t="str">
        <f t="shared" si="35"/>
        <v/>
      </c>
      <c r="CC27" s="506" t="str">
        <f t="shared" si="36"/>
        <v/>
      </c>
      <c r="CD27" s="506" t="str">
        <f t="shared" si="37"/>
        <v/>
      </c>
      <c r="CE27" s="506" t="str">
        <f t="shared" si="3"/>
        <v/>
      </c>
      <c r="CF27" s="506" t="str">
        <f t="shared" si="4"/>
        <v/>
      </c>
      <c r="CG27" s="506">
        <f t="shared" si="5"/>
        <v>0</v>
      </c>
      <c r="CH27" s="506" t="str">
        <f t="shared" si="38"/>
        <v/>
      </c>
      <c r="CI27" s="244">
        <f>IF(BX27="",37,IF(BX27='Phase finale'!$C$38,1,IF(BX27='Phase finale'!$C$39,2,IF(BX27='Phase finale'!$C$40,3,IF(BX27='Phase finale'!$C$41,4,IF(BX27='Phase finale'!$C$42,5,IF(BX27='Phase finale'!$C$43,6,IF(BX27='Phase finale'!$C$44,7,IF(BX27='Phase finale'!$C$45,8,IF(OR(BX27='Phase finale'!F32,BX27='Phase finale'!$F$10,BX27='Phase finale'!$V$11,BX27='Phase finale'!$V$10),3,IF(OR(BX27='Phase finale'!F34,BX27='Phase finale'!F35,BX27='Phase finale'!F36,BX27='Phase finale'!F37,BX27='Phase finale'!V34,BX27='Phase finale'!V35,BX27='Phase finale'!V36,BX27='Phase finale'!V37),5,IF(_xlfn.XLOOKUP(BX27,Tableau19[Licence],Tableau19[Forfait],"",0,1)=TRUE,36,9))))))))))))</f>
        <v>37</v>
      </c>
      <c r="CL27" s="451">
        <f>IF('GESTION DES JOUEURS'!B30="",0,'GESTION DES JOUEURS'!B30)</f>
        <v>0</v>
      </c>
      <c r="CM27" s="453" t="str">
        <f t="shared" si="24"/>
        <v/>
      </c>
      <c r="CN27" s="453"/>
      <c r="CO27" s="453"/>
      <c r="CP27" s="453"/>
      <c r="CQ27" s="453"/>
      <c r="CR27" s="453"/>
      <c r="CS27" s="453" t="str">
        <f t="shared" si="12"/>
        <v/>
      </c>
      <c r="CT27" s="453"/>
      <c r="CU27" s="453"/>
      <c r="CV27" s="453"/>
      <c r="CW27" s="453"/>
      <c r="CX27" s="453" t="str">
        <f t="shared" si="13"/>
        <v/>
      </c>
      <c r="CY27" s="453"/>
      <c r="CZ27" s="453"/>
      <c r="DA27" s="453"/>
      <c r="DB27" s="453"/>
      <c r="DC27" s="453"/>
      <c r="DD27" s="453"/>
      <c r="DE27" s="453"/>
      <c r="DF27" s="453"/>
      <c r="DG27" s="453"/>
      <c r="DH27" s="509" t="str">
        <f t="shared" si="14"/>
        <v/>
      </c>
      <c r="DI27" s="509">
        <f>IFERROR(IF('GESTION DES JOUEURS'!$D$8="Open",_xlfn.XLOOKUP(RESULTATS!CL27,RESULTATS!$DW$8:$DW$43,RESULTATS!$EL$8:$EL$43,"",0,1),_xlfn.XLOOKUP(CL27,$BX$5:$BX$12,$BV$5:$BV$12,_xlfn.XLOOKUP(CL27,$AX$5:$AX$12,$AW$5:$AW$12,"",0,1),0,1)),"")</f>
        <v>2</v>
      </c>
      <c r="DJ27" s="453" t="str">
        <f t="shared" si="25"/>
        <v/>
      </c>
      <c r="DK27" s="453" t="str">
        <f>IF('GESTION DES JOUEURS'!$D$8="Poules",_xlfn.XLOOKUP(RESULTATS!CL27,'Phase finale'!$BV$7:$BV$42,'Phase finale'!$CM$7:$CM$42,"",0,1),IF(AND(CL27&lt;&gt;0,DQ27&gt;_xlfn.XLOOKUP('GESTION DES JOUEURS'!$D$4,Distances[Mode de jeu et cat.],Distances[M 3],"",0,1)),_xlfn.XLOOKUP('GESTION DES JOUEURS'!$D$4,Distances[Mode de jeu et cat.],Distances[BT3],"",0,1),IF(AND(CL27&lt;&gt;0,DQ27&gt;_xlfn.XLOOKUP('GESTION DES JOUEURS'!$D$4,Distances[Mode de jeu et cat.],Distances[M 2],"",0,1)),_xlfn.XLOOKUP('GESTION DES JOUEURS'!$D$4,Distances[Mode de jeu et cat.],Distances[BT2],"",0,1),IF(AND(CL27&lt;&gt;0,DQ27&gt;_xlfn.XLOOKUP('GESTION DES JOUEURS'!$D$4,Distances[Mode de jeu et cat.],Distances[M 1],"",0,1)),_xlfn.XLOOKUP('GESTION DES JOUEURS'!$D$4,Distances[Mode de jeu et cat.],Distances[BT1],"",0,1),0))))</f>
        <v/>
      </c>
      <c r="DL27" s="453">
        <f t="shared" si="26"/>
        <v>0</v>
      </c>
      <c r="DM27" s="453" t="str">
        <f>IF('GESTION DES JOUEURS'!$D$8="Open",_xlfn.XLOOKUP(CL27,RESULTATS!$DW$8:$DW$43,RESULTATS!$EH$8:$EH$43,"",0,1),_xlfn.XLOOKUP(CL27,$BX$5:$BX$48,$CH$5:$CH$48,"",0,1))</f>
        <v/>
      </c>
      <c r="DN27" s="451" t="str">
        <f>IFERROR(SUM(_xlfn.XLOOKUP(CL27,_xlfn.ANCHORARRAY('Phase finale'!$DK$7),'Phase finale'!$DP$7:$DP$42,"",0,1),_xlfn.XLOOKUP(CL27,_xlfn.ANCHORARRAY('Phase finale'!$DK$7),'Phase finale'!$DL$7:$DL$42,"",0,1)),"")</f>
        <v/>
      </c>
      <c r="DO27" s="451" t="str">
        <f>IFERROR(SUM(_xlfn.XLOOKUP(CL27,_xlfn.ANCHORARRAY('Phase finale'!$DK$7),'Phase finale'!$DQ$7:$DQ$42,"",0,1),_xlfn.XLOOKUP(CL27,_xlfn.ANCHORARRAY('Phase finale'!$DK$7),'Phase finale'!$DM$7:$DM$42,"",0,1)),"")</f>
        <v/>
      </c>
      <c r="DP27" s="517" t="str">
        <f t="shared" si="27"/>
        <v/>
      </c>
      <c r="DQ27" s="456" t="str">
        <f t="shared" si="28"/>
        <v/>
      </c>
      <c r="DR27" s="456">
        <f t="shared" si="29"/>
        <v>0</v>
      </c>
      <c r="DS27" s="518">
        <f t="shared" si="15"/>
        <v>37</v>
      </c>
      <c r="DU27" s="244">
        <v>20</v>
      </c>
      <c r="DV27" s="244">
        <v>4</v>
      </c>
      <c r="DW27" s="244" t="str">
        <v/>
      </c>
      <c r="DX27" s="244" t="str">
        <v/>
      </c>
      <c r="DY27" s="244">
        <v>0</v>
      </c>
      <c r="DZ27" s="244" t="str">
        <v/>
      </c>
      <c r="EA27" s="244">
        <v>0</v>
      </c>
      <c r="EB27" s="244">
        <v>0</v>
      </c>
      <c r="EC27" s="244" t="str">
        <v/>
      </c>
      <c r="ED27" s="244">
        <v>0</v>
      </c>
      <c r="EE27" s="244">
        <v>0</v>
      </c>
      <c r="EF27" s="244">
        <v>0</v>
      </c>
      <c r="EG27" s="244" t="str">
        <v/>
      </c>
      <c r="EH27" s="244" t="str">
        <v/>
      </c>
      <c r="EI27" s="244" t="e">
        <v>#DIV/0!</v>
      </c>
      <c r="EJ27" s="244">
        <v>0</v>
      </c>
      <c r="EK27" s="244">
        <v>0</v>
      </c>
      <c r="EL27" s="244" t="str">
        <v/>
      </c>
      <c r="EM27" s="244">
        <v>0</v>
      </c>
      <c r="EN27" s="244">
        <v>0</v>
      </c>
    </row>
    <row r="28" spans="1:144" ht="24" customHeight="1" x14ac:dyDescent="0.3">
      <c r="A28" s="452" t="str">
        <f>IF('GESTION DES JOUEURS'!A30=MAX('GESTION DES JOUEURS'!$A$10:'GESTION DES JOUEURS'!$A$46),"",A27+1)</f>
        <v/>
      </c>
      <c r="B28" s="451" t="str">
        <v/>
      </c>
      <c r="C28" s="1218" t="str">
        <f>_xlfn.XLOOKUP(B28,Tableau19[Licence],Tableau19[Nom],"",0,1)</f>
        <v/>
      </c>
      <c r="D28" s="1218"/>
      <c r="E28" s="1218"/>
      <c r="F28" s="1218"/>
      <c r="G28" s="1218"/>
      <c r="H28" s="1218"/>
      <c r="I28" s="1218" t="str">
        <f>_xlfn.XLOOKUP(B28,Tableau19[Licence],Tableau19[[prénom ]],"",0,1)</f>
        <v/>
      </c>
      <c r="J28" s="1218"/>
      <c r="K28" s="1218"/>
      <c r="L28" s="1218"/>
      <c r="M28" s="1218"/>
      <c r="N28" s="1218" t="str">
        <f>_xlfn.XLOOKUP(B28,Tableau19[Licence],Tableau19[Club],"",0,1)</f>
        <v/>
      </c>
      <c r="O28" s="1218"/>
      <c r="P28" s="1218"/>
      <c r="Q28" s="1218"/>
      <c r="R28" s="1218"/>
      <c r="S28" s="1218"/>
      <c r="T28" s="1218"/>
      <c r="U28" s="1218"/>
      <c r="V28" s="1218"/>
      <c r="W28" s="1218"/>
      <c r="X28" s="455" t="str">
        <f t="shared" si="16"/>
        <v/>
      </c>
      <c r="Y28" s="455" t="str">
        <f t="shared" si="17"/>
        <v/>
      </c>
      <c r="Z28" s="451" t="str">
        <f>IF(B28="","",IF('GESTION DES JOUEURS'!$D$8="Open","",IF(AND('GESTION DES JOUEURS'!$D$8="poules",A28&lt;&gt;""),_xlfn.XLOOKUP(RESULTATS!B28,'Phase finale'!$BV$7:$BV$42,'Phase finale'!$CL$7:$CL$42,"",0,1),IF(AND(B28&lt;&gt;"",MAX('GESTION DES JOUEURS'!$A$11:$A$46)&gt;6,'GESTION DES JOUEURS'!$Y$8="JDSR"),_xlfn.XLOOKUP(A28,PTSRKMINITOURNOI[Clt],PTSRKMINITOURNOI[PR JDS 9],"",0,1),IF(AND(B28&lt;&gt;"",MAX('GESTION DES JOUEURS'!$A$11:$A$46)&lt;7,'GESTION DES JOUEURS'!$Y$8="JDSR"),_xlfn.XLOOKUP(A28,PTSRKMINITOURNOI[Clt],PTSRKMINITOURNOI[PR JDS],"",0,1),IF(AND(B28&lt;&gt;"",MAX('GESTION DES JOUEURS'!$A$11:$A$46)&lt;7,'GESTION DES JOUEURS'!$Y$8="R"),_xlfn.XLOOKUP(A28,PTSRKMINITOURNOI[Clt],PTSRKMINITOURNOI[PR 3B],"",0,1),IF(AND(B28&lt;&gt;"",MAX('GESTION DES JOUEURS'!$A$11:$A$46)&gt;6,'GESTION DES JOUEURS'!$Y$8="R"),_xlfn.XLOOKUP(A28,PTSRKTOURNOI[Clt],PTSRKTOURNOI[PR 3B],"",0,1),IF(AND(B28&lt;&gt;"",MAX('GESTION DES JOUEURS'!$A$11:$A$46)&gt;6,'GESTION DES JOUEURS'!$Y$8="Dames"),_xlfn.XLOOKUP(A28,PTSRKTOURNOI[Clt],PTSRKTOURNOI[[PR DAMES ]],"",0,1),IF(AND(B28&lt;&gt;"",'GESTION DES JOUEURS'!$Y$8="D"),_xlfn.XLOOKUP(A28,PTSRKMINITOURNOI[Clt],PTSRKMINITOURNOI[PR DISTRICT],"",0,1),"")))))))))</f>
        <v/>
      </c>
      <c r="AA28" s="451" t="str">
        <f>IF(AE28=0,"",IF('GESTION DES JOUEURS'!$D$8="Open","",_xlfn.XLOOKUP(B28,$CL$8:$CL$43,$DK$8:$DK$43,"",0,1)))</f>
        <v/>
      </c>
      <c r="AB28" s="451" t="str">
        <f t="shared" si="11"/>
        <v/>
      </c>
      <c r="AC28" s="451" t="str">
        <f t="shared" si="18"/>
        <v/>
      </c>
      <c r="AD28" s="451" t="str">
        <f t="shared" si="19"/>
        <v/>
      </c>
      <c r="AE28" s="538" t="str">
        <f t="shared" si="20"/>
        <v/>
      </c>
      <c r="AF28" s="451" t="str">
        <f t="shared" si="21"/>
        <v/>
      </c>
      <c r="AG28" s="456" t="str">
        <f t="shared" si="22"/>
        <v/>
      </c>
      <c r="AH28" s="456" t="str">
        <f t="shared" si="23"/>
        <v/>
      </c>
      <c r="AI28" s="446"/>
      <c r="AK28" s="717"/>
      <c r="AV28" s="1224"/>
      <c r="AW28" s="244">
        <v>16</v>
      </c>
      <c r="AX28" s="244" t="str">
        <v/>
      </c>
      <c r="AY28" s="244" t="str">
        <v/>
      </c>
      <c r="AZ28" s="244">
        <v>0</v>
      </c>
      <c r="BA28" s="244" t="str">
        <v/>
      </c>
      <c r="BB28" s="244">
        <v>0</v>
      </c>
      <c r="BC28" s="244" t="str">
        <v/>
      </c>
      <c r="BD28" s="244">
        <v>0</v>
      </c>
      <c r="BE28" s="244">
        <v>0</v>
      </c>
      <c r="BF28" s="244">
        <v>0</v>
      </c>
      <c r="BG28" s="244">
        <v>0</v>
      </c>
      <c r="BH28" s="244">
        <v>0</v>
      </c>
      <c r="BI28" s="244" t="str">
        <v/>
      </c>
      <c r="BJ28" s="244" t="str">
        <v/>
      </c>
      <c r="BK28" s="244" t="str">
        <v/>
      </c>
      <c r="BL28" s="244" t="str">
        <v/>
      </c>
      <c r="BM28" s="244" t="str">
        <v/>
      </c>
      <c r="BN28" s="244" t="str">
        <v/>
      </c>
      <c r="BO28" s="244" t="str">
        <v/>
      </c>
      <c r="BV28" s="506"/>
      <c r="BW28" s="506">
        <f t="shared" si="30"/>
        <v>16</v>
      </c>
      <c r="BX28" s="506" t="str">
        <f t="shared" si="31"/>
        <v/>
      </c>
      <c r="BY28" s="506" t="str">
        <f t="shared" si="32"/>
        <v/>
      </c>
      <c r="BZ28" s="506" t="str">
        <f t="shared" si="33"/>
        <v/>
      </c>
      <c r="CA28" s="506" t="str">
        <f t="shared" si="34"/>
        <v/>
      </c>
      <c r="CB28" s="506" t="str">
        <f t="shared" si="35"/>
        <v/>
      </c>
      <c r="CC28" s="506" t="str">
        <f t="shared" si="36"/>
        <v/>
      </c>
      <c r="CD28" s="506" t="str">
        <f t="shared" si="37"/>
        <v/>
      </c>
      <c r="CE28" s="506" t="str">
        <f t="shared" si="3"/>
        <v/>
      </c>
      <c r="CF28" s="506" t="str">
        <f t="shared" si="4"/>
        <v/>
      </c>
      <c r="CG28" s="506">
        <f t="shared" si="5"/>
        <v>0</v>
      </c>
      <c r="CH28" s="506" t="str">
        <f t="shared" si="38"/>
        <v/>
      </c>
      <c r="CI28" s="244">
        <f>IF(BX28="",37,IF(BX28='Phase finale'!$C$38,1,IF(BX28='Phase finale'!$C$39,2,IF(BX28='Phase finale'!$C$40,3,IF(BX28='Phase finale'!$C$41,4,IF(BX28='Phase finale'!$C$42,5,IF(BX28='Phase finale'!$C$43,6,IF(BX28='Phase finale'!$C$44,7,IF(BX28='Phase finale'!$C$45,8,IF(OR(BX28='Phase finale'!F33,BX28='Phase finale'!$F$10,BX28='Phase finale'!$V$11,BX28='Phase finale'!$V$10),3,IF(OR(BX28='Phase finale'!F35,BX28='Phase finale'!F36,BX28='Phase finale'!F37,BX28='Phase finale'!F38,BX28='Phase finale'!V35,BX28='Phase finale'!V36,BX28='Phase finale'!V37,BX28='Phase finale'!V38),5,IF(_xlfn.XLOOKUP(BX28,Tableau19[Licence],Tableau19[Forfait],"",0,1)=TRUE,36,9))))))))))))</f>
        <v>37</v>
      </c>
      <c r="CL28" s="451">
        <f>IF('GESTION DES JOUEURS'!B31="",0,'GESTION DES JOUEURS'!B31)</f>
        <v>0</v>
      </c>
      <c r="CM28" s="453" t="str">
        <f t="shared" si="24"/>
        <v/>
      </c>
      <c r="CN28" s="453"/>
      <c r="CO28" s="453"/>
      <c r="CP28" s="453"/>
      <c r="CQ28" s="453"/>
      <c r="CR28" s="453"/>
      <c r="CS28" s="453" t="str">
        <f t="shared" si="12"/>
        <v/>
      </c>
      <c r="CT28" s="453"/>
      <c r="CU28" s="453"/>
      <c r="CV28" s="453"/>
      <c r="CW28" s="453"/>
      <c r="CX28" s="453" t="str">
        <f t="shared" si="13"/>
        <v/>
      </c>
      <c r="CY28" s="453"/>
      <c r="CZ28" s="453"/>
      <c r="DA28" s="453"/>
      <c r="DB28" s="453"/>
      <c r="DC28" s="453"/>
      <c r="DD28" s="453"/>
      <c r="DE28" s="453"/>
      <c r="DF28" s="453"/>
      <c r="DG28" s="453"/>
      <c r="DH28" s="509" t="str">
        <f t="shared" si="14"/>
        <v/>
      </c>
      <c r="DI28" s="509">
        <f>IFERROR(IF('GESTION DES JOUEURS'!$D$8="Open",_xlfn.XLOOKUP(RESULTATS!CL28,RESULTATS!$DW$8:$DW$43,RESULTATS!$EL$8:$EL$43,"",0,1),_xlfn.XLOOKUP(CL28,$BX$5:$BX$12,$BV$5:$BV$12,_xlfn.XLOOKUP(CL28,$AX$5:$AX$12,$AW$5:$AW$12,"",0,1),0,1)),"")</f>
        <v>2</v>
      </c>
      <c r="DJ28" s="453" t="str">
        <f t="shared" si="25"/>
        <v/>
      </c>
      <c r="DK28" s="453" t="str">
        <f>IF('GESTION DES JOUEURS'!$D$8="Poules",_xlfn.XLOOKUP(RESULTATS!CL28,'Phase finale'!$BV$7:$BV$42,'Phase finale'!$CM$7:$CM$42,"",0,1),IF(AND(CL28&lt;&gt;0,DQ28&gt;_xlfn.XLOOKUP('GESTION DES JOUEURS'!$D$4,Distances[Mode de jeu et cat.],Distances[M 3],"",0,1)),_xlfn.XLOOKUP('GESTION DES JOUEURS'!$D$4,Distances[Mode de jeu et cat.],Distances[BT3],"",0,1),IF(AND(CL28&lt;&gt;0,DQ28&gt;_xlfn.XLOOKUP('GESTION DES JOUEURS'!$D$4,Distances[Mode de jeu et cat.],Distances[M 2],"",0,1)),_xlfn.XLOOKUP('GESTION DES JOUEURS'!$D$4,Distances[Mode de jeu et cat.],Distances[BT2],"",0,1),IF(AND(CL28&lt;&gt;0,DQ28&gt;_xlfn.XLOOKUP('GESTION DES JOUEURS'!$D$4,Distances[Mode de jeu et cat.],Distances[M 1],"",0,1)),_xlfn.XLOOKUP('GESTION DES JOUEURS'!$D$4,Distances[Mode de jeu et cat.],Distances[BT1],"",0,1),0))))</f>
        <v/>
      </c>
      <c r="DL28" s="453">
        <f t="shared" si="26"/>
        <v>0</v>
      </c>
      <c r="DM28" s="453" t="str">
        <f>IF('GESTION DES JOUEURS'!$D$8="Open",_xlfn.XLOOKUP(CL28,RESULTATS!$DW$8:$DW$43,RESULTATS!$EH$8:$EH$43,"",0,1),_xlfn.XLOOKUP(CL28,$BX$5:$BX$48,$CH$5:$CH$48,"",0,1))</f>
        <v/>
      </c>
      <c r="DN28" s="451" t="str">
        <f>IFERROR(SUM(_xlfn.XLOOKUP(CL28,_xlfn.ANCHORARRAY('Phase finale'!$DK$7),'Phase finale'!$DP$7:$DP$42,"",0,1),_xlfn.XLOOKUP(CL28,_xlfn.ANCHORARRAY('Phase finale'!$DK$7),'Phase finale'!$DL$7:$DL$42,"",0,1)),"")</f>
        <v/>
      </c>
      <c r="DO28" s="451" t="str">
        <f>IFERROR(SUM(_xlfn.XLOOKUP(CL28,_xlfn.ANCHORARRAY('Phase finale'!$DK$7),'Phase finale'!$DQ$7:$DQ$42,"",0,1),_xlfn.XLOOKUP(CL28,_xlfn.ANCHORARRAY('Phase finale'!$DK$7),'Phase finale'!$DM$7:$DM$42,"",0,1)),"")</f>
        <v/>
      </c>
      <c r="DP28" s="517" t="str">
        <f t="shared" si="27"/>
        <v/>
      </c>
      <c r="DQ28" s="456" t="str">
        <f t="shared" si="28"/>
        <v/>
      </c>
      <c r="DR28" s="456">
        <f t="shared" si="29"/>
        <v>0</v>
      </c>
      <c r="DS28" s="518">
        <f t="shared" si="15"/>
        <v>37</v>
      </c>
      <c r="DU28" s="244">
        <v>21</v>
      </c>
      <c r="DV28" s="244">
        <v>5</v>
      </c>
      <c r="DW28" s="244" t="str">
        <v/>
      </c>
      <c r="DX28" s="244" t="str">
        <v/>
      </c>
      <c r="DY28" s="244">
        <v>0</v>
      </c>
      <c r="DZ28" s="244" t="str">
        <v/>
      </c>
      <c r="EA28" s="244">
        <v>0</v>
      </c>
      <c r="EB28" s="244">
        <v>0</v>
      </c>
      <c r="EC28" s="244" t="str">
        <v/>
      </c>
      <c r="ED28" s="244">
        <v>0</v>
      </c>
      <c r="EE28" s="244">
        <v>0</v>
      </c>
      <c r="EF28" s="244">
        <v>0</v>
      </c>
      <c r="EG28" s="244" t="str">
        <v/>
      </c>
      <c r="EH28" s="244" t="str">
        <v/>
      </c>
      <c r="EI28" s="244" t="e">
        <v>#DIV/0!</v>
      </c>
      <c r="EJ28" s="244">
        <v>0</v>
      </c>
      <c r="EK28" s="244">
        <v>0</v>
      </c>
      <c r="EL28" s="244" t="str">
        <v/>
      </c>
      <c r="EM28" s="244">
        <v>0</v>
      </c>
      <c r="EN28" s="244">
        <v>0</v>
      </c>
    </row>
    <row r="29" spans="1:144" ht="24" customHeight="1" x14ac:dyDescent="0.3">
      <c r="A29" s="452" t="str">
        <f>IF('GESTION DES JOUEURS'!A31=MAX('GESTION DES JOUEURS'!$A$10:'GESTION DES JOUEURS'!$A$46),"",A28+1)</f>
        <v/>
      </c>
      <c r="B29" s="451" t="str">
        <v/>
      </c>
      <c r="C29" s="1218" t="str">
        <f>_xlfn.XLOOKUP(B29,Tableau19[Licence],Tableau19[Nom],"",0,1)</f>
        <v/>
      </c>
      <c r="D29" s="1218"/>
      <c r="E29" s="1218"/>
      <c r="F29" s="1218"/>
      <c r="G29" s="1218"/>
      <c r="H29" s="1218"/>
      <c r="I29" s="1218" t="str">
        <f>_xlfn.XLOOKUP(B29,Tableau19[Licence],Tableau19[[prénom ]],"",0,1)</f>
        <v/>
      </c>
      <c r="J29" s="1218"/>
      <c r="K29" s="1218"/>
      <c r="L29" s="1218"/>
      <c r="M29" s="1218"/>
      <c r="N29" s="1218" t="str">
        <f>_xlfn.XLOOKUP(B29,Tableau19[Licence],Tableau19[Club],"",0,1)</f>
        <v/>
      </c>
      <c r="O29" s="1218"/>
      <c r="P29" s="1218"/>
      <c r="Q29" s="1218"/>
      <c r="R29" s="1218"/>
      <c r="S29" s="1218"/>
      <c r="T29" s="1218"/>
      <c r="U29" s="1218"/>
      <c r="V29" s="1218"/>
      <c r="W29" s="1218"/>
      <c r="X29" s="455" t="str">
        <f t="shared" si="16"/>
        <v/>
      </c>
      <c r="Y29" s="455" t="str">
        <f t="shared" si="17"/>
        <v/>
      </c>
      <c r="Z29" s="451" t="str">
        <f>IF(B29="","",IF('GESTION DES JOUEURS'!$D$8="Open","",IF(AND('GESTION DES JOUEURS'!$D$8="poules",A29&lt;&gt;""),_xlfn.XLOOKUP(RESULTATS!B29,'Phase finale'!$BV$7:$BV$42,'Phase finale'!$CL$7:$CL$42,"",0,1),IF(AND(B29&lt;&gt;"",MAX('GESTION DES JOUEURS'!$A$11:$A$46)&gt;6,'GESTION DES JOUEURS'!$Y$8="JDSR"),_xlfn.XLOOKUP(A29,PTSRKMINITOURNOI[Clt],PTSRKMINITOURNOI[PR JDS 9],"",0,1),IF(AND(B29&lt;&gt;"",MAX('GESTION DES JOUEURS'!$A$11:$A$46)&lt;7,'GESTION DES JOUEURS'!$Y$8="JDSR"),_xlfn.XLOOKUP(A29,PTSRKMINITOURNOI[Clt],PTSRKMINITOURNOI[PR JDS],"",0,1),IF(AND(B29&lt;&gt;"",MAX('GESTION DES JOUEURS'!$A$11:$A$46)&lt;7,'GESTION DES JOUEURS'!$Y$8="R"),_xlfn.XLOOKUP(A29,PTSRKMINITOURNOI[Clt],PTSRKMINITOURNOI[PR 3B],"",0,1),IF(AND(B29&lt;&gt;"",MAX('GESTION DES JOUEURS'!$A$11:$A$46)&gt;6,'GESTION DES JOUEURS'!$Y$8="R"),_xlfn.XLOOKUP(A29,PTSRKTOURNOI[Clt],PTSRKTOURNOI[PR 3B],"",0,1),IF(AND(B29&lt;&gt;"",MAX('GESTION DES JOUEURS'!$A$11:$A$46)&gt;6,'GESTION DES JOUEURS'!$Y$8="Dames"),_xlfn.XLOOKUP(A29,PTSRKTOURNOI[Clt],PTSRKTOURNOI[[PR DAMES ]],"",0,1),IF(AND(B29&lt;&gt;"",'GESTION DES JOUEURS'!$Y$8="D"),_xlfn.XLOOKUP(A29,PTSRKMINITOURNOI[Clt],PTSRKMINITOURNOI[PR DISTRICT],"",0,1),"")))))))))</f>
        <v/>
      </c>
      <c r="AA29" s="451" t="str">
        <f>IF(AE29=0,"",IF('GESTION DES JOUEURS'!$D$8="Open","",_xlfn.XLOOKUP(B29,$CL$8:$CL$43,$DK$8:$DK$43,"",0,1)))</f>
        <v/>
      </c>
      <c r="AB29" s="451" t="str">
        <f t="shared" si="11"/>
        <v/>
      </c>
      <c r="AC29" s="451" t="str">
        <f t="shared" si="18"/>
        <v/>
      </c>
      <c r="AD29" s="451" t="str">
        <f t="shared" si="19"/>
        <v/>
      </c>
      <c r="AE29" s="538" t="str">
        <f t="shared" si="20"/>
        <v/>
      </c>
      <c r="AF29" s="451" t="str">
        <f t="shared" si="21"/>
        <v/>
      </c>
      <c r="AG29" s="456" t="str">
        <f t="shared" si="22"/>
        <v/>
      </c>
      <c r="AH29" s="456" t="str">
        <f t="shared" si="23"/>
        <v/>
      </c>
      <c r="AI29" s="446"/>
      <c r="AK29" s="720" t="s">
        <v>8124</v>
      </c>
      <c r="AV29" s="1224"/>
      <c r="AW29" s="244">
        <v>17</v>
      </c>
      <c r="AX29" s="244" t="str">
        <v/>
      </c>
      <c r="AY29" s="244" t="str">
        <v/>
      </c>
      <c r="AZ29" s="244">
        <v>0</v>
      </c>
      <c r="BA29" s="244" t="str">
        <v/>
      </c>
      <c r="BB29" s="244">
        <v>0</v>
      </c>
      <c r="BC29" s="244" t="str">
        <v/>
      </c>
      <c r="BD29" s="244">
        <v>0</v>
      </c>
      <c r="BE29" s="244">
        <v>0</v>
      </c>
      <c r="BF29" s="244">
        <v>0</v>
      </c>
      <c r="BG29" s="244">
        <v>0</v>
      </c>
      <c r="BH29" s="244">
        <v>0</v>
      </c>
      <c r="BI29" s="244" t="str">
        <v/>
      </c>
      <c r="BJ29" s="244" t="str">
        <v/>
      </c>
      <c r="BK29" s="244" t="str">
        <v/>
      </c>
      <c r="BL29" s="244" t="str">
        <v/>
      </c>
      <c r="BM29" s="244" t="str">
        <v/>
      </c>
      <c r="BN29" s="244" t="str">
        <v/>
      </c>
      <c r="BO29" s="244" t="str">
        <v/>
      </c>
      <c r="BV29" s="506"/>
      <c r="BW29" s="506">
        <f t="shared" si="30"/>
        <v>17</v>
      </c>
      <c r="BX29" s="506" t="str">
        <f t="shared" si="31"/>
        <v/>
      </c>
      <c r="BY29" s="506" t="str">
        <f t="shared" si="32"/>
        <v/>
      </c>
      <c r="BZ29" s="506" t="str">
        <f t="shared" si="33"/>
        <v/>
      </c>
      <c r="CA29" s="506" t="str">
        <f t="shared" si="34"/>
        <v/>
      </c>
      <c r="CB29" s="506" t="str">
        <f t="shared" si="35"/>
        <v/>
      </c>
      <c r="CC29" s="506" t="str">
        <f t="shared" si="36"/>
        <v/>
      </c>
      <c r="CD29" s="506" t="str">
        <f t="shared" si="37"/>
        <v/>
      </c>
      <c r="CE29" s="506" t="str">
        <f t="shared" si="3"/>
        <v/>
      </c>
      <c r="CF29" s="506" t="str">
        <f t="shared" si="4"/>
        <v/>
      </c>
      <c r="CG29" s="506">
        <f t="shared" si="5"/>
        <v>0</v>
      </c>
      <c r="CH29" s="506" t="str">
        <f t="shared" si="38"/>
        <v/>
      </c>
      <c r="CI29" s="244">
        <f>IF(BX29="",37,IF(BX29='Phase finale'!$C$38,1,IF(BX29='Phase finale'!$C$39,2,IF(BX29='Phase finale'!$C$40,3,IF(BX29='Phase finale'!$C$41,4,IF(BX29='Phase finale'!$C$42,5,IF(BX29='Phase finale'!$C$43,6,IF(BX29='Phase finale'!$C$44,7,IF(BX29='Phase finale'!$C$45,8,IF(OR(BX29='Phase finale'!F34,BX29='Phase finale'!$F$10,BX29='Phase finale'!$V$11,BX29='Phase finale'!$V$10),3,IF(OR(BX29='Phase finale'!F36,BX29='Phase finale'!F37,BX29='Phase finale'!F38,BX29='Phase finale'!F39,BX29='Phase finale'!V36,BX29='Phase finale'!V37,BX29='Phase finale'!V38,BX29='Phase finale'!V39),5,IF(_xlfn.XLOOKUP(BX29,Tableau19[Licence],Tableau19[Forfait],"",0,1)=TRUE,36,9))))))))))))</f>
        <v>37</v>
      </c>
      <c r="CL29" s="451">
        <f>IF('GESTION DES JOUEURS'!B32="",0,'GESTION DES JOUEURS'!B32)</f>
        <v>0</v>
      </c>
      <c r="CM29" s="453" t="str">
        <f t="shared" si="24"/>
        <v/>
      </c>
      <c r="CN29" s="453"/>
      <c r="CO29" s="453"/>
      <c r="CP29" s="453"/>
      <c r="CQ29" s="453"/>
      <c r="CR29" s="453"/>
      <c r="CS29" s="453" t="str">
        <f t="shared" si="12"/>
        <v/>
      </c>
      <c r="CT29" s="453"/>
      <c r="CU29" s="453"/>
      <c r="CV29" s="453"/>
      <c r="CW29" s="453"/>
      <c r="CX29" s="453" t="str">
        <f t="shared" si="13"/>
        <v/>
      </c>
      <c r="CY29" s="453"/>
      <c r="CZ29" s="453"/>
      <c r="DA29" s="453"/>
      <c r="DB29" s="453"/>
      <c r="DC29" s="453"/>
      <c r="DD29" s="453"/>
      <c r="DE29" s="453"/>
      <c r="DF29" s="453"/>
      <c r="DG29" s="453"/>
      <c r="DH29" s="509" t="str">
        <f t="shared" si="14"/>
        <v/>
      </c>
      <c r="DI29" s="509">
        <f>IFERROR(IF('GESTION DES JOUEURS'!$D$8="Open",_xlfn.XLOOKUP(RESULTATS!CL29,RESULTATS!$DW$8:$DW$43,RESULTATS!$EL$8:$EL$43,"",0,1),_xlfn.XLOOKUP(CL29,$BX$5:$BX$12,$BV$5:$BV$12,_xlfn.XLOOKUP(CL29,$AX$5:$AX$12,$AW$5:$AW$12,"",0,1),0,1)),"")</f>
        <v>2</v>
      </c>
      <c r="DJ29" s="453" t="str">
        <f t="shared" si="25"/>
        <v/>
      </c>
      <c r="DK29" s="453" t="str">
        <f>IF('GESTION DES JOUEURS'!$D$8="Poules",_xlfn.XLOOKUP(RESULTATS!CL29,'Phase finale'!$BV$7:$BV$42,'Phase finale'!$CM$7:$CM$42,"",0,1),IF(AND(CL29&lt;&gt;0,DQ29&gt;_xlfn.XLOOKUP('GESTION DES JOUEURS'!$D$4,Distances[Mode de jeu et cat.],Distances[M 3],"",0,1)),_xlfn.XLOOKUP('GESTION DES JOUEURS'!$D$4,Distances[Mode de jeu et cat.],Distances[BT3],"",0,1),IF(AND(CL29&lt;&gt;0,DQ29&gt;_xlfn.XLOOKUP('GESTION DES JOUEURS'!$D$4,Distances[Mode de jeu et cat.],Distances[M 2],"",0,1)),_xlfn.XLOOKUP('GESTION DES JOUEURS'!$D$4,Distances[Mode de jeu et cat.],Distances[BT2],"",0,1),IF(AND(CL29&lt;&gt;0,DQ29&gt;_xlfn.XLOOKUP('GESTION DES JOUEURS'!$D$4,Distances[Mode de jeu et cat.],Distances[M 1],"",0,1)),_xlfn.XLOOKUP('GESTION DES JOUEURS'!$D$4,Distances[Mode de jeu et cat.],Distances[BT1],"",0,1),0))))</f>
        <v/>
      </c>
      <c r="DL29" s="453">
        <f t="shared" si="26"/>
        <v>0</v>
      </c>
      <c r="DM29" s="453" t="str">
        <f>IF('GESTION DES JOUEURS'!$D$8="Open",_xlfn.XLOOKUP(CL29,RESULTATS!$DW$8:$DW$43,RESULTATS!$EH$8:$EH$43,"",0,1),_xlfn.XLOOKUP(CL29,$BX$5:$BX$48,$CH$5:$CH$48,"",0,1))</f>
        <v/>
      </c>
      <c r="DN29" s="451" t="str">
        <f>IFERROR(SUM(_xlfn.XLOOKUP(CL29,_xlfn.ANCHORARRAY('Phase finale'!$DK$7),'Phase finale'!$DP$7:$DP$42,"",0,1),_xlfn.XLOOKUP(CL29,_xlfn.ANCHORARRAY('Phase finale'!$DK$7),'Phase finale'!$DL$7:$DL$42,"",0,1)),"")</f>
        <v/>
      </c>
      <c r="DO29" s="451" t="str">
        <f>IFERROR(SUM(_xlfn.XLOOKUP(CL29,_xlfn.ANCHORARRAY('Phase finale'!$DK$7),'Phase finale'!$DQ$7:$DQ$42,"",0,1),_xlfn.XLOOKUP(CL29,_xlfn.ANCHORARRAY('Phase finale'!$DK$7),'Phase finale'!$DM$7:$DM$42,"",0,1)),"")</f>
        <v/>
      </c>
      <c r="DP29" s="517" t="str">
        <f t="shared" si="27"/>
        <v/>
      </c>
      <c r="DQ29" s="456" t="str">
        <f t="shared" si="28"/>
        <v/>
      </c>
      <c r="DR29" s="456">
        <f t="shared" si="29"/>
        <v>0</v>
      </c>
      <c r="DS29" s="518">
        <f t="shared" si="15"/>
        <v>37</v>
      </c>
      <c r="DU29" s="244">
        <v>22</v>
      </c>
      <c r="DV29" s="244">
        <v>6</v>
      </c>
      <c r="DW29" s="244" t="str">
        <v/>
      </c>
      <c r="DX29" s="244" t="str">
        <v/>
      </c>
      <c r="DY29" s="244">
        <v>0</v>
      </c>
      <c r="DZ29" s="244" t="str">
        <v/>
      </c>
      <c r="EA29" s="244">
        <v>0</v>
      </c>
      <c r="EB29" s="244">
        <v>0</v>
      </c>
      <c r="EC29" s="244" t="str">
        <v/>
      </c>
      <c r="ED29" s="244">
        <v>0</v>
      </c>
      <c r="EE29" s="244">
        <v>0</v>
      </c>
      <c r="EF29" s="244">
        <v>0</v>
      </c>
      <c r="EG29" s="244" t="str">
        <v/>
      </c>
      <c r="EH29" s="244" t="str">
        <v/>
      </c>
      <c r="EI29" s="244" t="e">
        <v>#DIV/0!</v>
      </c>
      <c r="EJ29" s="244">
        <v>0</v>
      </c>
      <c r="EK29" s="244">
        <v>0</v>
      </c>
      <c r="EL29" s="244" t="str">
        <v/>
      </c>
      <c r="EM29" s="244">
        <v>0</v>
      </c>
      <c r="EN29" s="244">
        <v>0</v>
      </c>
    </row>
    <row r="30" spans="1:144" ht="24" customHeight="1" x14ac:dyDescent="0.3">
      <c r="A30" s="452" t="str">
        <f>IF('GESTION DES JOUEURS'!A32=MAX('GESTION DES JOUEURS'!$A$10:'GESTION DES JOUEURS'!$A$46),"",A29+1)</f>
        <v/>
      </c>
      <c r="B30" s="451" t="str">
        <v/>
      </c>
      <c r="C30" s="1218" t="str">
        <f>_xlfn.XLOOKUP(B30,Tableau19[Licence],Tableau19[Nom],"",0,1)</f>
        <v/>
      </c>
      <c r="D30" s="1218"/>
      <c r="E30" s="1218"/>
      <c r="F30" s="1218"/>
      <c r="G30" s="1218"/>
      <c r="H30" s="1218"/>
      <c r="I30" s="1218" t="str">
        <f>_xlfn.XLOOKUP(B30,Tableau19[Licence],Tableau19[[prénom ]],"",0,1)</f>
        <v/>
      </c>
      <c r="J30" s="1218"/>
      <c r="K30" s="1218"/>
      <c r="L30" s="1218"/>
      <c r="M30" s="1218"/>
      <c r="N30" s="1218" t="str">
        <f>_xlfn.XLOOKUP(B30,Tableau19[Licence],Tableau19[Club],"",0,1)</f>
        <v/>
      </c>
      <c r="O30" s="1218"/>
      <c r="P30" s="1218"/>
      <c r="Q30" s="1218"/>
      <c r="R30" s="1218"/>
      <c r="S30" s="1218"/>
      <c r="T30" s="1218"/>
      <c r="U30" s="1218"/>
      <c r="V30" s="1218"/>
      <c r="W30" s="1218"/>
      <c r="X30" s="455" t="str">
        <f t="shared" si="16"/>
        <v/>
      </c>
      <c r="Y30" s="455" t="str">
        <f t="shared" si="17"/>
        <v/>
      </c>
      <c r="Z30" s="451" t="str">
        <f>IF(B30="","",IF('GESTION DES JOUEURS'!$D$8="Open","",IF(AND('GESTION DES JOUEURS'!$D$8="poules",A30&lt;&gt;""),_xlfn.XLOOKUP(RESULTATS!B30,'Phase finale'!$BV$7:$BV$42,'Phase finale'!$CL$7:$CL$42,"",0,1),IF(AND(B30&lt;&gt;"",MAX('GESTION DES JOUEURS'!$A$11:$A$46)&gt;6,'GESTION DES JOUEURS'!$Y$8="JDSR"),_xlfn.XLOOKUP(A30,PTSRKMINITOURNOI[Clt],PTSRKMINITOURNOI[PR JDS 9],"",0,1),IF(AND(B30&lt;&gt;"",MAX('GESTION DES JOUEURS'!$A$11:$A$46)&lt;7,'GESTION DES JOUEURS'!$Y$8="JDSR"),_xlfn.XLOOKUP(A30,PTSRKMINITOURNOI[Clt],PTSRKMINITOURNOI[PR JDS],"",0,1),IF(AND(B30&lt;&gt;"",MAX('GESTION DES JOUEURS'!$A$11:$A$46)&lt;7,'GESTION DES JOUEURS'!$Y$8="R"),_xlfn.XLOOKUP(A30,PTSRKMINITOURNOI[Clt],PTSRKMINITOURNOI[PR 3B],"",0,1),IF(AND(B30&lt;&gt;"",MAX('GESTION DES JOUEURS'!$A$11:$A$46)&gt;6,'GESTION DES JOUEURS'!$Y$8="R"),_xlfn.XLOOKUP(A30,PTSRKTOURNOI[Clt],PTSRKTOURNOI[PR 3B],"",0,1),IF(AND(B30&lt;&gt;"",MAX('GESTION DES JOUEURS'!$A$11:$A$46)&gt;6,'GESTION DES JOUEURS'!$Y$8="Dames"),_xlfn.XLOOKUP(A30,PTSRKTOURNOI[Clt],PTSRKTOURNOI[[PR DAMES ]],"",0,1),IF(AND(B30&lt;&gt;"",'GESTION DES JOUEURS'!$Y$8="D"),_xlfn.XLOOKUP(A30,PTSRKMINITOURNOI[Clt],PTSRKMINITOURNOI[PR DISTRICT],"",0,1),"")))))))))</f>
        <v/>
      </c>
      <c r="AA30" s="451" t="str">
        <f>IF(AE30=0,"",IF('GESTION DES JOUEURS'!$D$8="Open","",_xlfn.XLOOKUP(B30,$CL$8:$CL$43,$DK$8:$DK$43,"",0,1)))</f>
        <v/>
      </c>
      <c r="AB30" s="451" t="str">
        <f t="shared" si="11"/>
        <v/>
      </c>
      <c r="AC30" s="451" t="str">
        <f t="shared" si="18"/>
        <v/>
      </c>
      <c r="AD30" s="451" t="str">
        <f t="shared" si="19"/>
        <v/>
      </c>
      <c r="AE30" s="538" t="str">
        <f t="shared" si="20"/>
        <v/>
      </c>
      <c r="AF30" s="451" t="str">
        <f t="shared" si="21"/>
        <v/>
      </c>
      <c r="AG30" s="456" t="str">
        <f t="shared" si="22"/>
        <v/>
      </c>
      <c r="AH30" s="456" t="str">
        <f t="shared" si="23"/>
        <v/>
      </c>
      <c r="AI30" s="446"/>
      <c r="AK30" s="720"/>
      <c r="AV30" s="1224"/>
      <c r="AW30" s="244">
        <v>18</v>
      </c>
      <c r="AX30" s="244" t="str">
        <v/>
      </c>
      <c r="AY30" s="244" t="str">
        <v/>
      </c>
      <c r="AZ30" s="244">
        <v>0</v>
      </c>
      <c r="BA30" s="244" t="str">
        <v/>
      </c>
      <c r="BB30" s="244">
        <v>0</v>
      </c>
      <c r="BC30" s="244" t="str">
        <v/>
      </c>
      <c r="BD30" s="244">
        <v>0</v>
      </c>
      <c r="BE30" s="244">
        <v>0</v>
      </c>
      <c r="BF30" s="244">
        <v>0</v>
      </c>
      <c r="BG30" s="244">
        <v>0</v>
      </c>
      <c r="BH30" s="244">
        <v>0</v>
      </c>
      <c r="BI30" s="244" t="str">
        <v/>
      </c>
      <c r="BJ30" s="244" t="str">
        <v/>
      </c>
      <c r="BK30" s="244" t="str">
        <v/>
      </c>
      <c r="BL30" s="244" t="str">
        <v/>
      </c>
      <c r="BM30" s="244" t="str">
        <v/>
      </c>
      <c r="BN30" s="244" t="str">
        <v/>
      </c>
      <c r="BO30" s="244" t="str">
        <v/>
      </c>
      <c r="BV30" s="506"/>
      <c r="BW30" s="506">
        <f t="shared" si="30"/>
        <v>18</v>
      </c>
      <c r="BX30" s="506" t="str">
        <f t="shared" si="31"/>
        <v/>
      </c>
      <c r="BY30" s="506" t="str">
        <f t="shared" si="32"/>
        <v/>
      </c>
      <c r="BZ30" s="506" t="str">
        <f t="shared" si="33"/>
        <v/>
      </c>
      <c r="CA30" s="506" t="str">
        <f t="shared" si="34"/>
        <v/>
      </c>
      <c r="CB30" s="506" t="str">
        <f t="shared" si="35"/>
        <v/>
      </c>
      <c r="CC30" s="506" t="str">
        <f t="shared" si="36"/>
        <v/>
      </c>
      <c r="CD30" s="506" t="str">
        <f t="shared" si="37"/>
        <v/>
      </c>
      <c r="CE30" s="506" t="str">
        <f t="shared" si="3"/>
        <v/>
      </c>
      <c r="CF30" s="506" t="str">
        <f t="shared" si="4"/>
        <v/>
      </c>
      <c r="CG30" s="506">
        <f t="shared" si="5"/>
        <v>0</v>
      </c>
      <c r="CH30" s="506" t="str">
        <f t="shared" si="38"/>
        <v/>
      </c>
      <c r="CI30" s="244">
        <f>IF(BX30="",37,IF(BX30='Phase finale'!$C$38,1,IF(BX30='Phase finale'!$C$39,2,IF(BX30='Phase finale'!$C$40,3,IF(BX30='Phase finale'!$C$41,4,IF(BX30='Phase finale'!$C$42,5,IF(BX30='Phase finale'!$C$43,6,IF(BX30='Phase finale'!$C$44,7,IF(BX30='Phase finale'!$C$45,8,IF(OR(BX30='Phase finale'!F35,BX30='Phase finale'!$F$10,BX30='Phase finale'!$V$11,BX30='Phase finale'!$V$10),3,IF(OR(BX30='Phase finale'!F37,BX30='Phase finale'!F38,BX30='Phase finale'!F39,BX30='Phase finale'!F40,BX30='Phase finale'!V37,BX30='Phase finale'!V38,BX30='Phase finale'!V39,BX30='Phase finale'!V40),5,IF(_xlfn.XLOOKUP(BX30,Tableau19[Licence],Tableau19[Forfait],"",0,1)=TRUE,36,9))))))))))))</f>
        <v>37</v>
      </c>
      <c r="CL30" s="451">
        <f>IF('GESTION DES JOUEURS'!B33="",0,'GESTION DES JOUEURS'!B33)</f>
        <v>0</v>
      </c>
      <c r="CM30" s="453" t="str">
        <f t="shared" si="24"/>
        <v/>
      </c>
      <c r="CN30" s="453"/>
      <c r="CO30" s="453"/>
      <c r="CP30" s="453"/>
      <c r="CQ30" s="453"/>
      <c r="CR30" s="453"/>
      <c r="CS30" s="453" t="str">
        <f t="shared" si="12"/>
        <v/>
      </c>
      <c r="CT30" s="453"/>
      <c r="CU30" s="453"/>
      <c r="CV30" s="453"/>
      <c r="CW30" s="453"/>
      <c r="CX30" s="453" t="str">
        <f t="shared" si="13"/>
        <v/>
      </c>
      <c r="CY30" s="453"/>
      <c r="CZ30" s="453"/>
      <c r="DA30" s="453"/>
      <c r="DB30" s="453"/>
      <c r="DC30" s="453"/>
      <c r="DD30" s="453"/>
      <c r="DE30" s="453"/>
      <c r="DF30" s="453"/>
      <c r="DG30" s="453"/>
      <c r="DH30" s="509" t="str">
        <f t="shared" si="14"/>
        <v/>
      </c>
      <c r="DI30" s="509">
        <f>IFERROR(IF('GESTION DES JOUEURS'!$D$8="Open",_xlfn.XLOOKUP(RESULTATS!CL30,RESULTATS!$DW$8:$DW$43,RESULTATS!$EL$8:$EL$43,"",0,1),_xlfn.XLOOKUP(CL30,$BX$5:$BX$12,$BV$5:$BV$12,_xlfn.XLOOKUP(CL30,$AX$5:$AX$12,$AW$5:$AW$12,"",0,1),0,1)),"")</f>
        <v>2</v>
      </c>
      <c r="DJ30" s="453" t="str">
        <f t="shared" si="25"/>
        <v/>
      </c>
      <c r="DK30" s="453" t="str">
        <f>IF('GESTION DES JOUEURS'!$D$8="Poules",_xlfn.XLOOKUP(RESULTATS!CL30,'Phase finale'!$BV$7:$BV$42,'Phase finale'!$CM$7:$CM$42,"",0,1),IF(AND(CL30&lt;&gt;0,DQ30&gt;_xlfn.XLOOKUP('GESTION DES JOUEURS'!$D$4,Distances[Mode de jeu et cat.],Distances[M 3],"",0,1)),_xlfn.XLOOKUP('GESTION DES JOUEURS'!$D$4,Distances[Mode de jeu et cat.],Distances[BT3],"",0,1),IF(AND(CL30&lt;&gt;0,DQ30&gt;_xlfn.XLOOKUP('GESTION DES JOUEURS'!$D$4,Distances[Mode de jeu et cat.],Distances[M 2],"",0,1)),_xlfn.XLOOKUP('GESTION DES JOUEURS'!$D$4,Distances[Mode de jeu et cat.],Distances[BT2],"",0,1),IF(AND(CL30&lt;&gt;0,DQ30&gt;_xlfn.XLOOKUP('GESTION DES JOUEURS'!$D$4,Distances[Mode de jeu et cat.],Distances[M 1],"",0,1)),_xlfn.XLOOKUP('GESTION DES JOUEURS'!$D$4,Distances[Mode de jeu et cat.],Distances[BT1],"",0,1),0))))</f>
        <v/>
      </c>
      <c r="DL30" s="453">
        <f t="shared" si="26"/>
        <v>0</v>
      </c>
      <c r="DM30" s="453" t="str">
        <f>IF('GESTION DES JOUEURS'!$D$8="Open",_xlfn.XLOOKUP(CL30,RESULTATS!$DW$8:$DW$43,RESULTATS!$EH$8:$EH$43,"",0,1),_xlfn.XLOOKUP(CL30,$BX$5:$BX$48,$CH$5:$CH$48,"",0,1))</f>
        <v/>
      </c>
      <c r="DN30" s="451" t="str">
        <f>IFERROR(SUM(_xlfn.XLOOKUP(CL30,_xlfn.ANCHORARRAY('Phase finale'!$DK$7),'Phase finale'!$DP$7:$DP$42,"",0,1),_xlfn.XLOOKUP(CL30,_xlfn.ANCHORARRAY('Phase finale'!$DK$7),'Phase finale'!$DL$7:$DL$42,"",0,1)),"")</f>
        <v/>
      </c>
      <c r="DO30" s="451" t="str">
        <f>IFERROR(SUM(_xlfn.XLOOKUP(CL30,_xlfn.ANCHORARRAY('Phase finale'!$DK$7),'Phase finale'!$DQ$7:$DQ$42,"",0,1),_xlfn.XLOOKUP(CL30,_xlfn.ANCHORARRAY('Phase finale'!$DK$7),'Phase finale'!$DM$7:$DM$42,"",0,1)),"")</f>
        <v/>
      </c>
      <c r="DP30" s="517" t="str">
        <f t="shared" si="27"/>
        <v/>
      </c>
      <c r="DQ30" s="456" t="str">
        <f t="shared" si="28"/>
        <v/>
      </c>
      <c r="DR30" s="456">
        <f t="shared" si="29"/>
        <v>0</v>
      </c>
      <c r="DS30" s="518">
        <f t="shared" si="15"/>
        <v>37</v>
      </c>
      <c r="DU30" s="244">
        <v>23</v>
      </c>
      <c r="DV30" s="244">
        <v>7</v>
      </c>
      <c r="DW30" s="244" t="str">
        <v/>
      </c>
      <c r="DX30" s="244" t="str">
        <v/>
      </c>
      <c r="DY30" s="244">
        <v>0</v>
      </c>
      <c r="DZ30" s="244" t="str">
        <v/>
      </c>
      <c r="EA30" s="244">
        <v>0</v>
      </c>
      <c r="EB30" s="244">
        <v>0</v>
      </c>
      <c r="EC30" s="244" t="str">
        <v/>
      </c>
      <c r="ED30" s="244">
        <v>0</v>
      </c>
      <c r="EE30" s="244">
        <v>0</v>
      </c>
      <c r="EF30" s="244">
        <v>0</v>
      </c>
      <c r="EG30" s="244" t="str">
        <v/>
      </c>
      <c r="EH30" s="244" t="str">
        <v/>
      </c>
      <c r="EI30" s="244" t="e">
        <v>#DIV/0!</v>
      </c>
      <c r="EJ30" s="244">
        <v>0</v>
      </c>
      <c r="EK30" s="244">
        <v>0</v>
      </c>
      <c r="EL30" s="244" t="str">
        <v/>
      </c>
      <c r="EM30" s="244">
        <v>0</v>
      </c>
      <c r="EN30" s="244">
        <v>0</v>
      </c>
    </row>
    <row r="31" spans="1:144" ht="24" customHeight="1" x14ac:dyDescent="0.3">
      <c r="A31" s="452" t="str">
        <f>IF('GESTION DES JOUEURS'!A33=MAX('GESTION DES JOUEURS'!$A$10:'GESTION DES JOUEURS'!$A$46),"",A30+1)</f>
        <v/>
      </c>
      <c r="B31" s="451" t="str">
        <v/>
      </c>
      <c r="C31" s="1218" t="str">
        <f>_xlfn.XLOOKUP(B31,Tableau19[Licence],Tableau19[Nom],"",0,1)</f>
        <v/>
      </c>
      <c r="D31" s="1218"/>
      <c r="E31" s="1218"/>
      <c r="F31" s="1218"/>
      <c r="G31" s="1218"/>
      <c r="H31" s="1218"/>
      <c r="I31" s="1218" t="str">
        <f>_xlfn.XLOOKUP(B31,Tableau19[Licence],Tableau19[[prénom ]],"",0,1)</f>
        <v/>
      </c>
      <c r="J31" s="1218"/>
      <c r="K31" s="1218"/>
      <c r="L31" s="1218"/>
      <c r="M31" s="1218"/>
      <c r="N31" s="1218" t="str">
        <f>_xlfn.XLOOKUP(B31,Tableau19[Licence],Tableau19[Club],"",0,1)</f>
        <v/>
      </c>
      <c r="O31" s="1218"/>
      <c r="P31" s="1218"/>
      <c r="Q31" s="1218"/>
      <c r="R31" s="1218"/>
      <c r="S31" s="1218"/>
      <c r="T31" s="1218"/>
      <c r="U31" s="1218"/>
      <c r="V31" s="1218"/>
      <c r="W31" s="1218"/>
      <c r="X31" s="455" t="str">
        <f t="shared" si="16"/>
        <v/>
      </c>
      <c r="Y31" s="455" t="str">
        <f t="shared" si="17"/>
        <v/>
      </c>
      <c r="Z31" s="451" t="str">
        <f>IF(B31="","",IF('GESTION DES JOUEURS'!$D$8="Open","",IF(AND('GESTION DES JOUEURS'!$D$8="poules",A31&lt;&gt;""),_xlfn.XLOOKUP(RESULTATS!B31,'Phase finale'!$BV$7:$BV$42,'Phase finale'!$CL$7:$CL$42,"",0,1),IF(AND(B31&lt;&gt;"",MAX('GESTION DES JOUEURS'!$A$11:$A$46)&gt;6,'GESTION DES JOUEURS'!$Y$8="JDSR"),_xlfn.XLOOKUP(A31,PTSRKMINITOURNOI[Clt],PTSRKMINITOURNOI[PR JDS 9],"",0,1),IF(AND(B31&lt;&gt;"",MAX('GESTION DES JOUEURS'!$A$11:$A$46)&lt;7,'GESTION DES JOUEURS'!$Y$8="JDSR"),_xlfn.XLOOKUP(A31,PTSRKMINITOURNOI[Clt],PTSRKMINITOURNOI[PR JDS],"",0,1),IF(AND(B31&lt;&gt;"",MAX('GESTION DES JOUEURS'!$A$11:$A$46)&lt;7,'GESTION DES JOUEURS'!$Y$8="R"),_xlfn.XLOOKUP(A31,PTSRKMINITOURNOI[Clt],PTSRKMINITOURNOI[PR 3B],"",0,1),IF(AND(B31&lt;&gt;"",MAX('GESTION DES JOUEURS'!$A$11:$A$46)&gt;6,'GESTION DES JOUEURS'!$Y$8="R"),_xlfn.XLOOKUP(A31,PTSRKTOURNOI[Clt],PTSRKTOURNOI[PR 3B],"",0,1),IF(AND(B31&lt;&gt;"",MAX('GESTION DES JOUEURS'!$A$11:$A$46)&gt;6,'GESTION DES JOUEURS'!$Y$8="Dames"),_xlfn.XLOOKUP(A31,PTSRKTOURNOI[Clt],PTSRKTOURNOI[[PR DAMES ]],"",0,1),IF(AND(B31&lt;&gt;"",'GESTION DES JOUEURS'!$Y$8="D"),_xlfn.XLOOKUP(A31,PTSRKMINITOURNOI[Clt],PTSRKMINITOURNOI[PR DISTRICT],"",0,1),"")))))))))</f>
        <v/>
      </c>
      <c r="AA31" s="451" t="str">
        <f>IF(AE31=0,"",IF('GESTION DES JOUEURS'!$D$8="Open","",_xlfn.XLOOKUP(B31,$CL$8:$CL$43,$DK$8:$DK$43,"",0,1)))</f>
        <v/>
      </c>
      <c r="AB31" s="451" t="str">
        <f t="shared" si="11"/>
        <v/>
      </c>
      <c r="AC31" s="451" t="str">
        <f t="shared" si="18"/>
        <v/>
      </c>
      <c r="AD31" s="451" t="str">
        <f t="shared" si="19"/>
        <v/>
      </c>
      <c r="AE31" s="538" t="str">
        <f t="shared" si="20"/>
        <v/>
      </c>
      <c r="AF31" s="451" t="str">
        <f t="shared" si="21"/>
        <v/>
      </c>
      <c r="AG31" s="456" t="str">
        <f t="shared" si="22"/>
        <v/>
      </c>
      <c r="AH31" s="456" t="str">
        <f t="shared" si="23"/>
        <v/>
      </c>
      <c r="AI31" s="446"/>
      <c r="AK31" s="721" t="s">
        <v>8125</v>
      </c>
      <c r="AV31" s="1224"/>
      <c r="AW31" s="244">
        <v>19</v>
      </c>
      <c r="AX31" s="244" t="str">
        <v/>
      </c>
      <c r="AY31" s="244" t="str">
        <v/>
      </c>
      <c r="AZ31" s="244">
        <v>0</v>
      </c>
      <c r="BA31" s="244" t="str">
        <v/>
      </c>
      <c r="BB31" s="244">
        <v>0</v>
      </c>
      <c r="BC31" s="244" t="str">
        <v/>
      </c>
      <c r="BD31" s="244">
        <v>0</v>
      </c>
      <c r="BE31" s="244">
        <v>0</v>
      </c>
      <c r="BF31" s="244">
        <v>0</v>
      </c>
      <c r="BG31" s="244">
        <v>0</v>
      </c>
      <c r="BH31" s="244">
        <v>0</v>
      </c>
      <c r="BI31" s="244" t="str">
        <v/>
      </c>
      <c r="BJ31" s="244" t="str">
        <v/>
      </c>
      <c r="BK31" s="244" t="str">
        <v/>
      </c>
      <c r="BL31" s="244" t="str">
        <v/>
      </c>
      <c r="BM31" s="244" t="str">
        <v/>
      </c>
      <c r="BN31" s="244" t="str">
        <v/>
      </c>
      <c r="BO31" s="244" t="str">
        <v/>
      </c>
      <c r="BV31" s="506"/>
      <c r="BW31" s="506">
        <f t="shared" si="30"/>
        <v>19</v>
      </c>
      <c r="BX31" s="506" t="str">
        <f t="shared" si="31"/>
        <v/>
      </c>
      <c r="BY31" s="506" t="str">
        <f t="shared" si="32"/>
        <v/>
      </c>
      <c r="BZ31" s="506" t="str">
        <f t="shared" si="33"/>
        <v/>
      </c>
      <c r="CA31" s="506" t="str">
        <f t="shared" si="34"/>
        <v/>
      </c>
      <c r="CB31" s="506" t="str">
        <f t="shared" si="35"/>
        <v/>
      </c>
      <c r="CC31" s="506" t="str">
        <f t="shared" si="36"/>
        <v/>
      </c>
      <c r="CD31" s="506" t="str">
        <f t="shared" si="37"/>
        <v/>
      </c>
      <c r="CE31" s="506" t="str">
        <f t="shared" si="3"/>
        <v/>
      </c>
      <c r="CF31" s="506" t="str">
        <f t="shared" si="4"/>
        <v/>
      </c>
      <c r="CG31" s="506">
        <f t="shared" si="5"/>
        <v>0</v>
      </c>
      <c r="CH31" s="506" t="str">
        <f t="shared" si="38"/>
        <v/>
      </c>
      <c r="CI31" s="244">
        <f>IF(BX31="",37,IF(BX31='Phase finale'!$C$38,1,IF(BX31='Phase finale'!$C$39,2,IF(BX31='Phase finale'!$C$40,3,IF(BX31='Phase finale'!$C$41,4,IF(BX31='Phase finale'!$C$42,5,IF(BX31='Phase finale'!$C$43,6,IF(BX31='Phase finale'!$C$44,7,IF(BX31='Phase finale'!$C$45,8,IF(OR(BX31='Phase finale'!F36,BX31='Phase finale'!$F$10,BX31='Phase finale'!$V$11,BX31='Phase finale'!$V$10),3,IF(OR(BX31='Phase finale'!F38,BX31='Phase finale'!F39,BX31='Phase finale'!F40,BX31='Phase finale'!F41,BX31='Phase finale'!V38,BX31='Phase finale'!V39,BX31='Phase finale'!V40,BX31='Phase finale'!V41),5,IF(_xlfn.XLOOKUP(BX31,Tableau19[Licence],Tableau19[Forfait],"",0,1)=TRUE,36,9))))))))))))</f>
        <v>37</v>
      </c>
      <c r="CL31" s="451">
        <f>IF('GESTION DES JOUEURS'!B34="",0,'GESTION DES JOUEURS'!B34)</f>
        <v>0</v>
      </c>
      <c r="CM31" s="453" t="str">
        <f t="shared" si="24"/>
        <v/>
      </c>
      <c r="CN31" s="453"/>
      <c r="CO31" s="453"/>
      <c r="CP31" s="453"/>
      <c r="CQ31" s="453"/>
      <c r="CR31" s="453"/>
      <c r="CS31" s="453" t="str">
        <f t="shared" si="12"/>
        <v/>
      </c>
      <c r="CT31" s="453"/>
      <c r="CU31" s="453"/>
      <c r="CV31" s="453"/>
      <c r="CW31" s="453"/>
      <c r="CX31" s="453" t="str">
        <f t="shared" si="13"/>
        <v/>
      </c>
      <c r="CY31" s="453"/>
      <c r="CZ31" s="453"/>
      <c r="DA31" s="453"/>
      <c r="DB31" s="453"/>
      <c r="DC31" s="453"/>
      <c r="DD31" s="453"/>
      <c r="DE31" s="453"/>
      <c r="DF31" s="453"/>
      <c r="DG31" s="453"/>
      <c r="DH31" s="509" t="str">
        <f t="shared" si="14"/>
        <v/>
      </c>
      <c r="DI31" s="509">
        <f>IFERROR(IF('GESTION DES JOUEURS'!$D$8="Open",_xlfn.XLOOKUP(RESULTATS!CL31,RESULTATS!$DW$8:$DW$43,RESULTATS!$EL$8:$EL$43,"",0,1),_xlfn.XLOOKUP(CL31,$BX$5:$BX$12,$BV$5:$BV$12,_xlfn.XLOOKUP(CL31,$AX$5:$AX$12,$AW$5:$AW$12,"",0,1),0,1)),"")</f>
        <v>2</v>
      </c>
      <c r="DJ31" s="453" t="str">
        <f t="shared" si="25"/>
        <v/>
      </c>
      <c r="DK31" s="453" t="str">
        <f>IF('GESTION DES JOUEURS'!$D$8="Poules",_xlfn.XLOOKUP(RESULTATS!CL31,'Phase finale'!$BV$7:$BV$42,'Phase finale'!$CM$7:$CM$42,"",0,1),IF(AND(CL31&lt;&gt;0,DQ31&gt;_xlfn.XLOOKUP('GESTION DES JOUEURS'!$D$4,Distances[Mode de jeu et cat.],Distances[M 3],"",0,1)),_xlfn.XLOOKUP('GESTION DES JOUEURS'!$D$4,Distances[Mode de jeu et cat.],Distances[BT3],"",0,1),IF(AND(CL31&lt;&gt;0,DQ31&gt;_xlfn.XLOOKUP('GESTION DES JOUEURS'!$D$4,Distances[Mode de jeu et cat.],Distances[M 2],"",0,1)),_xlfn.XLOOKUP('GESTION DES JOUEURS'!$D$4,Distances[Mode de jeu et cat.],Distances[BT2],"",0,1),IF(AND(CL31&lt;&gt;0,DQ31&gt;_xlfn.XLOOKUP('GESTION DES JOUEURS'!$D$4,Distances[Mode de jeu et cat.],Distances[M 1],"",0,1)),_xlfn.XLOOKUP('GESTION DES JOUEURS'!$D$4,Distances[Mode de jeu et cat.],Distances[BT1],"",0,1),0))))</f>
        <v/>
      </c>
      <c r="DL31" s="453">
        <f t="shared" si="26"/>
        <v>0</v>
      </c>
      <c r="DM31" s="453" t="str">
        <f>IF('GESTION DES JOUEURS'!$D$8="Open",_xlfn.XLOOKUP(CL31,RESULTATS!$DW$8:$DW$43,RESULTATS!$EH$8:$EH$43,"",0,1),_xlfn.XLOOKUP(CL31,$BX$5:$BX$48,$CH$5:$CH$48,"",0,1))</f>
        <v/>
      </c>
      <c r="DN31" s="451" t="str">
        <f>IFERROR(SUM(_xlfn.XLOOKUP(CL31,_xlfn.ANCHORARRAY('Phase finale'!$DK$7),'Phase finale'!$DP$7:$DP$42,"",0,1),_xlfn.XLOOKUP(CL31,_xlfn.ANCHORARRAY('Phase finale'!$DK$7),'Phase finale'!$DL$7:$DL$42,"",0,1)),"")</f>
        <v/>
      </c>
      <c r="DO31" s="451" t="str">
        <f>IFERROR(SUM(_xlfn.XLOOKUP(CL31,_xlfn.ANCHORARRAY('Phase finale'!$DK$7),'Phase finale'!$DQ$7:$DQ$42,"",0,1),_xlfn.XLOOKUP(CL31,_xlfn.ANCHORARRAY('Phase finale'!$DK$7),'Phase finale'!$DM$7:$DM$42,"",0,1)),"")</f>
        <v/>
      </c>
      <c r="DP31" s="517" t="str">
        <f t="shared" si="27"/>
        <v/>
      </c>
      <c r="DQ31" s="456" t="str">
        <f t="shared" si="28"/>
        <v/>
      </c>
      <c r="DR31" s="456">
        <f t="shared" si="29"/>
        <v>0</v>
      </c>
      <c r="DS31" s="518">
        <f t="shared" si="15"/>
        <v>37</v>
      </c>
      <c r="DU31" s="244">
        <v>24</v>
      </c>
      <c r="DV31" s="244">
        <v>8</v>
      </c>
      <c r="DW31" s="244" t="str">
        <v/>
      </c>
      <c r="DX31" s="244" t="str">
        <v/>
      </c>
      <c r="DY31" s="244">
        <v>0</v>
      </c>
      <c r="DZ31" s="244" t="str">
        <v/>
      </c>
      <c r="EA31" s="244">
        <v>0</v>
      </c>
      <c r="EB31" s="244">
        <v>0</v>
      </c>
      <c r="EC31" s="244" t="str">
        <v/>
      </c>
      <c r="ED31" s="244">
        <v>0</v>
      </c>
      <c r="EE31" s="244">
        <v>0</v>
      </c>
      <c r="EF31" s="244">
        <v>0</v>
      </c>
      <c r="EG31" s="244" t="str">
        <v/>
      </c>
      <c r="EH31" s="244" t="str">
        <v/>
      </c>
      <c r="EI31" s="244" t="e">
        <v>#DIV/0!</v>
      </c>
      <c r="EJ31" s="244">
        <v>0</v>
      </c>
      <c r="EK31" s="244">
        <v>0</v>
      </c>
      <c r="EL31" s="244" t="str">
        <v/>
      </c>
      <c r="EM31" s="244">
        <v>0</v>
      </c>
      <c r="EN31" s="244">
        <v>0</v>
      </c>
    </row>
    <row r="32" spans="1:144" ht="24" customHeight="1" thickBot="1" x14ac:dyDescent="0.35">
      <c r="A32" s="452" t="str">
        <f>IF('GESTION DES JOUEURS'!A34=MAX('GESTION DES JOUEURS'!$A$10:'GESTION DES JOUEURS'!$A$46),"",A31+1)</f>
        <v/>
      </c>
      <c r="B32" s="451" t="str">
        <v/>
      </c>
      <c r="C32" s="1218" t="str">
        <f>_xlfn.XLOOKUP(B32,Tableau19[Licence],Tableau19[Nom],"",0,1)</f>
        <v/>
      </c>
      <c r="D32" s="1218"/>
      <c r="E32" s="1218"/>
      <c r="F32" s="1218"/>
      <c r="G32" s="1218"/>
      <c r="H32" s="1218"/>
      <c r="I32" s="1218" t="str">
        <f>_xlfn.XLOOKUP(B32,Tableau19[Licence],Tableau19[[prénom ]],"",0,1)</f>
        <v/>
      </c>
      <c r="J32" s="1218"/>
      <c r="K32" s="1218"/>
      <c r="L32" s="1218"/>
      <c r="M32" s="1218"/>
      <c r="N32" s="1218" t="str">
        <f>_xlfn.XLOOKUP(B32,Tableau19[Licence],Tableau19[Club],"",0,1)</f>
        <v/>
      </c>
      <c r="O32" s="1218"/>
      <c r="P32" s="1218"/>
      <c r="Q32" s="1218"/>
      <c r="R32" s="1218"/>
      <c r="S32" s="1218"/>
      <c r="T32" s="1218"/>
      <c r="U32" s="1218"/>
      <c r="V32" s="1218"/>
      <c r="W32" s="1218"/>
      <c r="X32" s="455" t="str">
        <f t="shared" si="16"/>
        <v/>
      </c>
      <c r="Y32" s="455" t="str">
        <f t="shared" si="17"/>
        <v/>
      </c>
      <c r="Z32" s="451" t="str">
        <f>IF(B32="","",IF('GESTION DES JOUEURS'!$D$8="Open","",IF(AND('GESTION DES JOUEURS'!$D$8="poules",A32&lt;&gt;""),_xlfn.XLOOKUP(RESULTATS!B32,'Phase finale'!$BV$7:$BV$42,'Phase finale'!$CL$7:$CL$42,"",0,1),IF(AND(B32&lt;&gt;"",MAX('GESTION DES JOUEURS'!$A$11:$A$46)&gt;6,'GESTION DES JOUEURS'!$Y$8="JDSR"),_xlfn.XLOOKUP(A32,PTSRKMINITOURNOI[Clt],PTSRKMINITOURNOI[PR JDS 9],"",0,1),IF(AND(B32&lt;&gt;"",MAX('GESTION DES JOUEURS'!$A$11:$A$46)&lt;7,'GESTION DES JOUEURS'!$Y$8="JDSR"),_xlfn.XLOOKUP(A32,PTSRKMINITOURNOI[Clt],PTSRKMINITOURNOI[PR JDS],"",0,1),IF(AND(B32&lt;&gt;"",MAX('GESTION DES JOUEURS'!$A$11:$A$46)&lt;7,'GESTION DES JOUEURS'!$Y$8="R"),_xlfn.XLOOKUP(A32,PTSRKMINITOURNOI[Clt],PTSRKMINITOURNOI[PR 3B],"",0,1),IF(AND(B32&lt;&gt;"",MAX('GESTION DES JOUEURS'!$A$11:$A$46)&gt;6,'GESTION DES JOUEURS'!$Y$8="R"),_xlfn.XLOOKUP(A32,PTSRKTOURNOI[Clt],PTSRKTOURNOI[PR 3B],"",0,1),IF(AND(B32&lt;&gt;"",MAX('GESTION DES JOUEURS'!$A$11:$A$46)&gt;6,'GESTION DES JOUEURS'!$Y$8="Dames"),_xlfn.XLOOKUP(A32,PTSRKTOURNOI[Clt],PTSRKTOURNOI[[PR DAMES ]],"",0,1),IF(AND(B32&lt;&gt;"",'GESTION DES JOUEURS'!$Y$8="D"),_xlfn.XLOOKUP(A32,PTSRKMINITOURNOI[Clt],PTSRKMINITOURNOI[PR DISTRICT],"",0,1),"")))))))))</f>
        <v/>
      </c>
      <c r="AA32" s="451" t="str">
        <f>IF(AE32=0,"",IF('GESTION DES JOUEURS'!$D$8="Open","",_xlfn.XLOOKUP(B32,$CL$8:$CL$43,$DK$8:$DK$43,"",0,1)))</f>
        <v/>
      </c>
      <c r="AB32" s="451" t="str">
        <f t="shared" si="11"/>
        <v/>
      </c>
      <c r="AC32" s="451" t="str">
        <f t="shared" si="18"/>
        <v/>
      </c>
      <c r="AD32" s="451" t="str">
        <f t="shared" si="19"/>
        <v/>
      </c>
      <c r="AE32" s="538" t="str">
        <f t="shared" si="20"/>
        <v/>
      </c>
      <c r="AF32" s="451" t="str">
        <f t="shared" si="21"/>
        <v/>
      </c>
      <c r="AG32" s="456" t="str">
        <f t="shared" si="22"/>
        <v/>
      </c>
      <c r="AH32" s="456" t="str">
        <f t="shared" si="23"/>
        <v/>
      </c>
      <c r="AI32" s="446"/>
      <c r="AK32" s="722"/>
      <c r="AV32" s="1224"/>
      <c r="AW32" s="244">
        <v>20</v>
      </c>
      <c r="AX32" s="244" t="str">
        <v/>
      </c>
      <c r="AY32" s="244" t="str">
        <v/>
      </c>
      <c r="AZ32" s="244">
        <v>0</v>
      </c>
      <c r="BA32" s="244" t="str">
        <v/>
      </c>
      <c r="BB32" s="244">
        <v>0</v>
      </c>
      <c r="BC32" s="244" t="str">
        <v/>
      </c>
      <c r="BD32" s="244">
        <v>0</v>
      </c>
      <c r="BE32" s="244">
        <v>0</v>
      </c>
      <c r="BF32" s="244">
        <v>0</v>
      </c>
      <c r="BG32" s="244">
        <v>0</v>
      </c>
      <c r="BH32" s="244">
        <v>0</v>
      </c>
      <c r="BI32" s="244" t="str">
        <v/>
      </c>
      <c r="BJ32" s="244" t="str">
        <v/>
      </c>
      <c r="BK32" s="244" t="str">
        <v/>
      </c>
      <c r="BL32" s="244" t="str">
        <v/>
      </c>
      <c r="BM32" s="244" t="str">
        <v/>
      </c>
      <c r="BN32" s="244" t="str">
        <v/>
      </c>
      <c r="BO32" s="244" t="str">
        <v/>
      </c>
      <c r="BV32" s="506"/>
      <c r="BW32" s="506">
        <f t="shared" si="30"/>
        <v>20</v>
      </c>
      <c r="BX32" s="506" t="str">
        <f t="shared" si="31"/>
        <v/>
      </c>
      <c r="BY32" s="506" t="str">
        <f t="shared" si="32"/>
        <v/>
      </c>
      <c r="BZ32" s="506" t="str">
        <f t="shared" si="33"/>
        <v/>
      </c>
      <c r="CA32" s="506" t="str">
        <f t="shared" si="34"/>
        <v/>
      </c>
      <c r="CB32" s="506" t="str">
        <f t="shared" si="35"/>
        <v/>
      </c>
      <c r="CC32" s="506" t="str">
        <f t="shared" si="36"/>
        <v/>
      </c>
      <c r="CD32" s="506" t="str">
        <f t="shared" si="37"/>
        <v/>
      </c>
      <c r="CE32" s="506" t="str">
        <f t="shared" si="3"/>
        <v/>
      </c>
      <c r="CF32" s="506" t="str">
        <f t="shared" si="4"/>
        <v/>
      </c>
      <c r="CG32" s="506">
        <f t="shared" si="5"/>
        <v>0</v>
      </c>
      <c r="CH32" s="506" t="str">
        <f t="shared" si="38"/>
        <v/>
      </c>
      <c r="CI32" s="244">
        <f>IF(BX32="",37,IF(BX32='Phase finale'!$C$38,1,IF(BX32='Phase finale'!$C$39,2,IF(BX32='Phase finale'!$C$40,3,IF(BX32='Phase finale'!$C$41,4,IF(BX32='Phase finale'!$C$42,5,IF(BX32='Phase finale'!$C$43,6,IF(BX32='Phase finale'!$C$44,7,IF(BX32='Phase finale'!$C$45,8,IF(OR(BX32='Phase finale'!F37,BX32='Phase finale'!$F$10,BX32='Phase finale'!$V$11,BX32='Phase finale'!$V$10),3,IF(OR(BX32='Phase finale'!F39,BX32='Phase finale'!F40,BX32='Phase finale'!F41,BX32='Phase finale'!F42,BX32='Phase finale'!V39,BX32='Phase finale'!V40,BX32='Phase finale'!V41,BX32='Phase finale'!V42),5,IF(_xlfn.XLOOKUP(BX32,Tableau19[Licence],Tableau19[Forfait],"",0,1)=TRUE,36,9))))))))))))</f>
        <v>37</v>
      </c>
      <c r="CL32" s="451">
        <f>IF('GESTION DES JOUEURS'!B35="",0,'GESTION DES JOUEURS'!B35)</f>
        <v>0</v>
      </c>
      <c r="CM32" s="453" t="str">
        <f t="shared" si="24"/>
        <v/>
      </c>
      <c r="CN32" s="453"/>
      <c r="CO32" s="453"/>
      <c r="CP32" s="453"/>
      <c r="CQ32" s="453"/>
      <c r="CR32" s="453"/>
      <c r="CS32" s="453" t="str">
        <f t="shared" si="12"/>
        <v/>
      </c>
      <c r="CT32" s="453"/>
      <c r="CU32" s="453"/>
      <c r="CV32" s="453"/>
      <c r="CW32" s="453"/>
      <c r="CX32" s="453" t="str">
        <f t="shared" si="13"/>
        <v/>
      </c>
      <c r="CY32" s="453"/>
      <c r="CZ32" s="453"/>
      <c r="DA32" s="453"/>
      <c r="DB32" s="453"/>
      <c r="DC32" s="453"/>
      <c r="DD32" s="453"/>
      <c r="DE32" s="453"/>
      <c r="DF32" s="453"/>
      <c r="DG32" s="453"/>
      <c r="DH32" s="509" t="str">
        <f t="shared" si="14"/>
        <v/>
      </c>
      <c r="DI32" s="509">
        <f>IFERROR(IF('GESTION DES JOUEURS'!$D$8="Open",_xlfn.XLOOKUP(RESULTATS!CL32,RESULTATS!$DW$8:$DW$43,RESULTATS!$EL$8:$EL$43,"",0,1),_xlfn.XLOOKUP(CL32,$BX$5:$BX$12,$BV$5:$BV$12,_xlfn.XLOOKUP(CL32,$AX$5:$AX$12,$AW$5:$AW$12,"",0,1),0,1)),"")</f>
        <v>2</v>
      </c>
      <c r="DJ32" s="453" t="str">
        <f t="shared" si="25"/>
        <v/>
      </c>
      <c r="DK32" s="453" t="str">
        <f>IF('GESTION DES JOUEURS'!$D$8="Poules",_xlfn.XLOOKUP(RESULTATS!CL32,'Phase finale'!$BV$7:$BV$42,'Phase finale'!$CM$7:$CM$42,"",0,1),IF(AND(CL32&lt;&gt;0,DQ32&gt;_xlfn.XLOOKUP('GESTION DES JOUEURS'!$D$4,Distances[Mode de jeu et cat.],Distances[M 3],"",0,1)),_xlfn.XLOOKUP('GESTION DES JOUEURS'!$D$4,Distances[Mode de jeu et cat.],Distances[BT3],"",0,1),IF(AND(CL32&lt;&gt;0,DQ32&gt;_xlfn.XLOOKUP('GESTION DES JOUEURS'!$D$4,Distances[Mode de jeu et cat.],Distances[M 2],"",0,1)),_xlfn.XLOOKUP('GESTION DES JOUEURS'!$D$4,Distances[Mode de jeu et cat.],Distances[BT2],"",0,1),IF(AND(CL32&lt;&gt;0,DQ32&gt;_xlfn.XLOOKUP('GESTION DES JOUEURS'!$D$4,Distances[Mode de jeu et cat.],Distances[M 1],"",0,1)),_xlfn.XLOOKUP('GESTION DES JOUEURS'!$D$4,Distances[Mode de jeu et cat.],Distances[BT1],"",0,1),0))))</f>
        <v/>
      </c>
      <c r="DL32" s="453">
        <f t="shared" si="26"/>
        <v>0</v>
      </c>
      <c r="DM32" s="453" t="str">
        <f>IF('GESTION DES JOUEURS'!$D$8="Open",_xlfn.XLOOKUP(CL32,RESULTATS!$DW$8:$DW$43,RESULTATS!$EH$8:$EH$43,"",0,1),_xlfn.XLOOKUP(CL32,$BX$5:$BX$48,$CH$5:$CH$48,"",0,1))</f>
        <v/>
      </c>
      <c r="DN32" s="451" t="str">
        <f>IFERROR(SUM(_xlfn.XLOOKUP(CL32,_xlfn.ANCHORARRAY('Phase finale'!$DK$7),'Phase finale'!$DP$7:$DP$42,"",0,1),_xlfn.XLOOKUP(CL32,_xlfn.ANCHORARRAY('Phase finale'!$DK$7),'Phase finale'!$DL$7:$DL$42,"",0,1)),"")</f>
        <v/>
      </c>
      <c r="DO32" s="451" t="str">
        <f>IFERROR(SUM(_xlfn.XLOOKUP(CL32,_xlfn.ANCHORARRAY('Phase finale'!$DK$7),'Phase finale'!$DQ$7:$DQ$42,"",0,1),_xlfn.XLOOKUP(CL32,_xlfn.ANCHORARRAY('Phase finale'!$DK$7),'Phase finale'!$DM$7:$DM$42,"",0,1)),"")</f>
        <v/>
      </c>
      <c r="DP32" s="517" t="str">
        <f t="shared" si="27"/>
        <v/>
      </c>
      <c r="DQ32" s="456" t="str">
        <f t="shared" si="28"/>
        <v/>
      </c>
      <c r="DR32" s="456">
        <f t="shared" si="29"/>
        <v>0</v>
      </c>
      <c r="DS32" s="518">
        <f t="shared" si="15"/>
        <v>37</v>
      </c>
      <c r="DU32" s="244">
        <v>25</v>
      </c>
      <c r="DV32" s="244">
        <v>9</v>
      </c>
      <c r="DW32" s="244" t="str">
        <v/>
      </c>
      <c r="DX32" s="244" t="str">
        <v/>
      </c>
      <c r="DY32" s="244">
        <v>0</v>
      </c>
      <c r="DZ32" s="244" t="str">
        <v/>
      </c>
      <c r="EA32" s="244">
        <v>0</v>
      </c>
      <c r="EB32" s="244">
        <v>0</v>
      </c>
      <c r="EC32" s="244" t="str">
        <v/>
      </c>
      <c r="ED32" s="244">
        <v>0</v>
      </c>
      <c r="EE32" s="244">
        <v>0</v>
      </c>
      <c r="EF32" s="244">
        <v>0</v>
      </c>
      <c r="EG32" s="244" t="str">
        <v/>
      </c>
      <c r="EH32" s="244" t="str">
        <v/>
      </c>
      <c r="EI32" s="244" t="e">
        <v>#DIV/0!</v>
      </c>
      <c r="EJ32" s="244">
        <v>0</v>
      </c>
      <c r="EK32" s="244">
        <v>0</v>
      </c>
      <c r="EL32" s="244" t="str">
        <v/>
      </c>
      <c r="EM32" s="244">
        <v>0</v>
      </c>
      <c r="EN32" s="244">
        <v>0</v>
      </c>
    </row>
    <row r="33" spans="1:144" ht="24" customHeight="1" thickBot="1" x14ac:dyDescent="0.35">
      <c r="A33" s="452" t="str">
        <f>IF('GESTION DES JOUEURS'!A35=MAX('GESTION DES JOUEURS'!$A$10:'GESTION DES JOUEURS'!$A$46),"",A32+1)</f>
        <v/>
      </c>
      <c r="B33" s="451" t="str">
        <v/>
      </c>
      <c r="C33" s="1218" t="str">
        <f>_xlfn.XLOOKUP(B33,Tableau19[Licence],Tableau19[Nom],"",0,1)</f>
        <v/>
      </c>
      <c r="D33" s="1218"/>
      <c r="E33" s="1218"/>
      <c r="F33" s="1218"/>
      <c r="G33" s="1218"/>
      <c r="H33" s="1218"/>
      <c r="I33" s="1218" t="str">
        <f>_xlfn.XLOOKUP(B33,Tableau19[Licence],Tableau19[[prénom ]],"",0,1)</f>
        <v/>
      </c>
      <c r="J33" s="1218"/>
      <c r="K33" s="1218"/>
      <c r="L33" s="1218"/>
      <c r="M33" s="1218"/>
      <c r="N33" s="1218" t="str">
        <f>_xlfn.XLOOKUP(B33,Tableau19[Licence],Tableau19[Club],"",0,1)</f>
        <v/>
      </c>
      <c r="O33" s="1218"/>
      <c r="P33" s="1218"/>
      <c r="Q33" s="1218"/>
      <c r="R33" s="1218"/>
      <c r="S33" s="1218"/>
      <c r="T33" s="1218"/>
      <c r="U33" s="1218"/>
      <c r="V33" s="1218"/>
      <c r="W33" s="1218"/>
      <c r="X33" s="455" t="str">
        <f t="shared" si="16"/>
        <v/>
      </c>
      <c r="Y33" s="455" t="str">
        <f t="shared" si="17"/>
        <v/>
      </c>
      <c r="Z33" s="451" t="str">
        <f>IF(B33="","",IF('GESTION DES JOUEURS'!$D$8="Open","",IF(AND('GESTION DES JOUEURS'!$D$8="poules",A33&lt;&gt;""),_xlfn.XLOOKUP(RESULTATS!B33,'Phase finale'!$BV$7:$BV$42,'Phase finale'!$CL$7:$CL$42,"",0,1),IF(AND(B33&lt;&gt;"",MAX('GESTION DES JOUEURS'!$A$11:$A$46)&gt;6,'GESTION DES JOUEURS'!$Y$8="JDSR"),_xlfn.XLOOKUP(A33,PTSRKMINITOURNOI[Clt],PTSRKMINITOURNOI[PR JDS 9],"",0,1),IF(AND(B33&lt;&gt;"",MAX('GESTION DES JOUEURS'!$A$11:$A$46)&lt;7,'GESTION DES JOUEURS'!$Y$8="JDSR"),_xlfn.XLOOKUP(A33,PTSRKMINITOURNOI[Clt],PTSRKMINITOURNOI[PR JDS],"",0,1),IF(AND(B33&lt;&gt;"",MAX('GESTION DES JOUEURS'!$A$11:$A$46)&lt;7,'GESTION DES JOUEURS'!$Y$8="R"),_xlfn.XLOOKUP(A33,PTSRKMINITOURNOI[Clt],PTSRKMINITOURNOI[PR 3B],"",0,1),IF(AND(B33&lt;&gt;"",MAX('GESTION DES JOUEURS'!$A$11:$A$46)&gt;6,'GESTION DES JOUEURS'!$Y$8="R"),_xlfn.XLOOKUP(A33,PTSRKTOURNOI[Clt],PTSRKTOURNOI[PR 3B],"",0,1),IF(AND(B33&lt;&gt;"",MAX('GESTION DES JOUEURS'!$A$11:$A$46)&gt;6,'GESTION DES JOUEURS'!$Y$8="Dames"),_xlfn.XLOOKUP(A33,PTSRKTOURNOI[Clt],PTSRKTOURNOI[[PR DAMES ]],"",0,1),IF(AND(B33&lt;&gt;"",'GESTION DES JOUEURS'!$Y$8="D"),_xlfn.XLOOKUP(A33,PTSRKMINITOURNOI[Clt],PTSRKMINITOURNOI[PR DISTRICT],"",0,1),"")))))))))</f>
        <v/>
      </c>
      <c r="AA33" s="451" t="str">
        <f>IF(AE33=0,"",IF('GESTION DES JOUEURS'!$D$8="Open","",_xlfn.XLOOKUP(B33,$CL$8:$CL$43,$DK$8:$DK$43,"",0,1)))</f>
        <v/>
      </c>
      <c r="AB33" s="451" t="str">
        <f t="shared" si="11"/>
        <v/>
      </c>
      <c r="AC33" s="451" t="str">
        <f t="shared" si="18"/>
        <v/>
      </c>
      <c r="AD33" s="451" t="str">
        <f t="shared" si="19"/>
        <v/>
      </c>
      <c r="AE33" s="538" t="str">
        <f t="shared" si="20"/>
        <v/>
      </c>
      <c r="AF33" s="451" t="str">
        <f t="shared" si="21"/>
        <v/>
      </c>
      <c r="AG33" s="456" t="str">
        <f t="shared" si="22"/>
        <v/>
      </c>
      <c r="AH33" s="456" t="str">
        <f t="shared" si="23"/>
        <v/>
      </c>
      <c r="AI33" s="446"/>
      <c r="AV33" s="1224"/>
      <c r="AW33" s="244">
        <v>21</v>
      </c>
      <c r="AX33" s="244" t="str">
        <v/>
      </c>
      <c r="AY33" s="244" t="str">
        <v/>
      </c>
      <c r="AZ33" s="244">
        <v>0</v>
      </c>
      <c r="BA33" s="244" t="str">
        <v/>
      </c>
      <c r="BB33" s="244">
        <v>0</v>
      </c>
      <c r="BC33" s="244" t="str">
        <v/>
      </c>
      <c r="BD33" s="244">
        <v>0</v>
      </c>
      <c r="BE33" s="244">
        <v>0</v>
      </c>
      <c r="BF33" s="244">
        <v>0</v>
      </c>
      <c r="BG33" s="244">
        <v>0</v>
      </c>
      <c r="BH33" s="244">
        <v>0</v>
      </c>
      <c r="BI33" s="244" t="str">
        <v/>
      </c>
      <c r="BJ33" s="244" t="str">
        <v/>
      </c>
      <c r="BK33" s="244" t="str">
        <v/>
      </c>
      <c r="BL33" s="244" t="str">
        <v/>
      </c>
      <c r="BM33" s="244" t="str">
        <v/>
      </c>
      <c r="BN33" s="244" t="str">
        <v/>
      </c>
      <c r="BO33" s="244" t="str">
        <v/>
      </c>
      <c r="BV33" s="506"/>
      <c r="BW33" s="506">
        <f t="shared" si="30"/>
        <v>21</v>
      </c>
      <c r="BX33" s="506" t="str">
        <f t="shared" si="31"/>
        <v/>
      </c>
      <c r="BY33" s="506" t="str">
        <f t="shared" si="32"/>
        <v/>
      </c>
      <c r="BZ33" s="506" t="str">
        <f t="shared" si="33"/>
        <v/>
      </c>
      <c r="CA33" s="506" t="str">
        <f t="shared" si="34"/>
        <v/>
      </c>
      <c r="CB33" s="506" t="str">
        <f t="shared" si="35"/>
        <v/>
      </c>
      <c r="CC33" s="506" t="str">
        <f t="shared" si="36"/>
        <v/>
      </c>
      <c r="CD33" s="506" t="str">
        <f t="shared" si="37"/>
        <v/>
      </c>
      <c r="CE33" s="506" t="str">
        <f t="shared" si="3"/>
        <v/>
      </c>
      <c r="CF33" s="506" t="str">
        <f t="shared" si="4"/>
        <v/>
      </c>
      <c r="CG33" s="506">
        <f t="shared" si="5"/>
        <v>0</v>
      </c>
      <c r="CH33" s="506" t="str">
        <f t="shared" si="38"/>
        <v/>
      </c>
      <c r="CI33" s="244">
        <f>IF(BX33="",37,IF(BX33='Phase finale'!$C$38,1,IF(BX33='Phase finale'!$C$39,2,IF(BX33='Phase finale'!$C$40,3,IF(BX33='Phase finale'!$C$41,4,IF(BX33='Phase finale'!$C$42,5,IF(BX33='Phase finale'!$C$43,6,IF(BX33='Phase finale'!$C$44,7,IF(BX33='Phase finale'!$C$45,8,IF(OR(BX33='Phase finale'!F38,BX33='Phase finale'!$F$10,BX33='Phase finale'!$V$11,BX33='Phase finale'!$V$10),3,IF(OR(BX33='Phase finale'!F40,BX33='Phase finale'!F41,BX33='Phase finale'!F42,BX33='Phase finale'!F43,BX33='Phase finale'!V40,BX33='Phase finale'!V41,BX33='Phase finale'!V42,BX33='Phase finale'!V43),5,IF(_xlfn.XLOOKUP(BX33,Tableau19[Licence],Tableau19[Forfait],"",0,1)=TRUE,36,9))))))))))))</f>
        <v>37</v>
      </c>
      <c r="CL33" s="451">
        <f>IF('GESTION DES JOUEURS'!B36="",0,'GESTION DES JOUEURS'!B36)</f>
        <v>0</v>
      </c>
      <c r="CM33" s="453" t="str">
        <f t="shared" si="24"/>
        <v/>
      </c>
      <c r="CN33" s="453"/>
      <c r="CO33" s="453"/>
      <c r="CP33" s="453"/>
      <c r="CQ33" s="453"/>
      <c r="CR33" s="453"/>
      <c r="CS33" s="453" t="str">
        <f t="shared" si="12"/>
        <v/>
      </c>
      <c r="CT33" s="453"/>
      <c r="CU33" s="453"/>
      <c r="CV33" s="453"/>
      <c r="CW33" s="453"/>
      <c r="CX33" s="453" t="str">
        <f t="shared" si="13"/>
        <v/>
      </c>
      <c r="CY33" s="453"/>
      <c r="CZ33" s="453"/>
      <c r="DA33" s="453"/>
      <c r="DB33" s="453"/>
      <c r="DC33" s="453"/>
      <c r="DD33" s="453"/>
      <c r="DE33" s="453"/>
      <c r="DF33" s="453"/>
      <c r="DG33" s="453"/>
      <c r="DH33" s="509" t="str">
        <f t="shared" si="14"/>
        <v/>
      </c>
      <c r="DI33" s="509">
        <f>IFERROR(IF('GESTION DES JOUEURS'!$D$8="Open",_xlfn.XLOOKUP(RESULTATS!CL33,RESULTATS!$DW$8:$DW$43,RESULTATS!$EL$8:$EL$43,"",0,1),_xlfn.XLOOKUP(CL33,$BX$5:$BX$12,$BV$5:$BV$12,_xlfn.XLOOKUP(CL33,$AX$5:$AX$12,$AW$5:$AW$12,"",0,1),0,1)),"")</f>
        <v>2</v>
      </c>
      <c r="DJ33" s="453" t="str">
        <f t="shared" si="25"/>
        <v/>
      </c>
      <c r="DK33" s="453" t="str">
        <f>IF('GESTION DES JOUEURS'!$D$8="Poules",_xlfn.XLOOKUP(RESULTATS!CL33,'Phase finale'!$BV$7:$BV$42,'Phase finale'!$CM$7:$CM$42,"",0,1),IF(AND(CL33&lt;&gt;0,DQ33&gt;_xlfn.XLOOKUP('GESTION DES JOUEURS'!$D$4,Distances[Mode de jeu et cat.],Distances[M 3],"",0,1)),_xlfn.XLOOKUP('GESTION DES JOUEURS'!$D$4,Distances[Mode de jeu et cat.],Distances[BT3],"",0,1),IF(AND(CL33&lt;&gt;0,DQ33&gt;_xlfn.XLOOKUP('GESTION DES JOUEURS'!$D$4,Distances[Mode de jeu et cat.],Distances[M 2],"",0,1)),_xlfn.XLOOKUP('GESTION DES JOUEURS'!$D$4,Distances[Mode de jeu et cat.],Distances[BT2],"",0,1),IF(AND(CL33&lt;&gt;0,DQ33&gt;_xlfn.XLOOKUP('GESTION DES JOUEURS'!$D$4,Distances[Mode de jeu et cat.],Distances[M 1],"",0,1)),_xlfn.XLOOKUP('GESTION DES JOUEURS'!$D$4,Distances[Mode de jeu et cat.],Distances[BT1],"",0,1),0))))</f>
        <v/>
      </c>
      <c r="DL33" s="453">
        <f t="shared" si="26"/>
        <v>0</v>
      </c>
      <c r="DM33" s="453" t="str">
        <f>IF('GESTION DES JOUEURS'!$D$8="Open",_xlfn.XLOOKUP(CL33,RESULTATS!$DW$8:$DW$43,RESULTATS!$EH$8:$EH$43,"",0,1),_xlfn.XLOOKUP(CL33,$BX$5:$BX$48,$CH$5:$CH$48,"",0,1))</f>
        <v/>
      </c>
      <c r="DN33" s="451" t="str">
        <f>IFERROR(SUM(_xlfn.XLOOKUP(CL33,_xlfn.ANCHORARRAY('Phase finale'!$DK$7),'Phase finale'!$DP$7:$DP$42,"",0,1),_xlfn.XLOOKUP(CL33,_xlfn.ANCHORARRAY('Phase finale'!$DK$7),'Phase finale'!$DL$7:$DL$42,"",0,1)),"")</f>
        <v/>
      </c>
      <c r="DO33" s="451" t="str">
        <f>IFERROR(SUM(_xlfn.XLOOKUP(CL33,_xlfn.ANCHORARRAY('Phase finale'!$DK$7),'Phase finale'!$DQ$7:$DQ$42,"",0,1),_xlfn.XLOOKUP(CL33,_xlfn.ANCHORARRAY('Phase finale'!$DK$7),'Phase finale'!$DM$7:$DM$42,"",0,1)),"")</f>
        <v/>
      </c>
      <c r="DP33" s="517" t="str">
        <f t="shared" si="27"/>
        <v/>
      </c>
      <c r="DQ33" s="456" t="str">
        <f t="shared" si="28"/>
        <v/>
      </c>
      <c r="DR33" s="456">
        <f t="shared" si="29"/>
        <v>0</v>
      </c>
      <c r="DS33" s="518">
        <f t="shared" si="15"/>
        <v>37</v>
      </c>
      <c r="DU33" s="244">
        <v>26</v>
      </c>
      <c r="DV33" s="244">
        <v>10</v>
      </c>
      <c r="DW33" s="244" t="str">
        <v/>
      </c>
      <c r="DX33" s="244" t="str">
        <v/>
      </c>
      <c r="DY33" s="244">
        <v>0</v>
      </c>
      <c r="DZ33" s="244" t="str">
        <v/>
      </c>
      <c r="EA33" s="244">
        <v>0</v>
      </c>
      <c r="EB33" s="244">
        <v>0</v>
      </c>
      <c r="EC33" s="244" t="str">
        <v/>
      </c>
      <c r="ED33" s="244">
        <v>0</v>
      </c>
      <c r="EE33" s="244">
        <v>0</v>
      </c>
      <c r="EF33" s="244">
        <v>0</v>
      </c>
      <c r="EG33" s="244" t="str">
        <v/>
      </c>
      <c r="EH33" s="244" t="str">
        <v/>
      </c>
      <c r="EI33" s="244" t="e">
        <v>#DIV/0!</v>
      </c>
      <c r="EJ33" s="244">
        <v>0</v>
      </c>
      <c r="EK33" s="244">
        <v>0</v>
      </c>
      <c r="EL33" s="244" t="str">
        <v/>
      </c>
      <c r="EM33" s="244">
        <v>0</v>
      </c>
      <c r="EN33" s="244">
        <v>0</v>
      </c>
    </row>
    <row r="34" spans="1:144" ht="24" customHeight="1" x14ac:dyDescent="0.3">
      <c r="A34" s="452" t="str">
        <f>IF('GESTION DES JOUEURS'!A36=MAX('GESTION DES JOUEURS'!$A$10:'GESTION DES JOUEURS'!$A$46),"",A33+1)</f>
        <v/>
      </c>
      <c r="B34" s="451" t="str">
        <v/>
      </c>
      <c r="C34" s="1218" t="str">
        <f>_xlfn.XLOOKUP(B34,Tableau19[Licence],Tableau19[Nom],"",0,1)</f>
        <v/>
      </c>
      <c r="D34" s="1218"/>
      <c r="E34" s="1218"/>
      <c r="F34" s="1218"/>
      <c r="G34" s="1218"/>
      <c r="H34" s="1218"/>
      <c r="I34" s="1218" t="str">
        <f>_xlfn.XLOOKUP(B34,Tableau19[Licence],Tableau19[[prénom ]],"",0,1)</f>
        <v/>
      </c>
      <c r="J34" s="1218"/>
      <c r="K34" s="1218"/>
      <c r="L34" s="1218"/>
      <c r="M34" s="1218"/>
      <c r="N34" s="1218" t="str">
        <f>_xlfn.XLOOKUP(B34,Tableau19[Licence],Tableau19[Club],"",0,1)</f>
        <v/>
      </c>
      <c r="O34" s="1218"/>
      <c r="P34" s="1218"/>
      <c r="Q34" s="1218"/>
      <c r="R34" s="1218"/>
      <c r="S34" s="1218"/>
      <c r="T34" s="1218"/>
      <c r="U34" s="1218"/>
      <c r="V34" s="1218"/>
      <c r="W34" s="1218"/>
      <c r="X34" s="455" t="str">
        <f t="shared" si="16"/>
        <v/>
      </c>
      <c r="Y34" s="455" t="str">
        <f t="shared" si="17"/>
        <v/>
      </c>
      <c r="Z34" s="451" t="str">
        <f>IF(B34="","",IF('GESTION DES JOUEURS'!$D$8="Open","",IF(AND('GESTION DES JOUEURS'!$D$8="poules",A34&lt;&gt;""),_xlfn.XLOOKUP(RESULTATS!B34,'Phase finale'!$BV$7:$BV$42,'Phase finale'!$CL$7:$CL$42,"",0,1),IF(AND(B34&lt;&gt;"",MAX('GESTION DES JOUEURS'!$A$11:$A$46)&gt;6,'GESTION DES JOUEURS'!$Y$8="JDSR"),_xlfn.XLOOKUP(A34,PTSRKMINITOURNOI[Clt],PTSRKMINITOURNOI[PR JDS 9],"",0,1),IF(AND(B34&lt;&gt;"",MAX('GESTION DES JOUEURS'!$A$11:$A$46)&lt;7,'GESTION DES JOUEURS'!$Y$8="JDSR"),_xlfn.XLOOKUP(A34,PTSRKMINITOURNOI[Clt],PTSRKMINITOURNOI[PR JDS],"",0,1),IF(AND(B34&lt;&gt;"",MAX('GESTION DES JOUEURS'!$A$11:$A$46)&lt;7,'GESTION DES JOUEURS'!$Y$8="R"),_xlfn.XLOOKUP(A34,PTSRKMINITOURNOI[Clt],PTSRKMINITOURNOI[PR 3B],"",0,1),IF(AND(B34&lt;&gt;"",MAX('GESTION DES JOUEURS'!$A$11:$A$46)&gt;6,'GESTION DES JOUEURS'!$Y$8="R"),_xlfn.XLOOKUP(A34,PTSRKTOURNOI[Clt],PTSRKTOURNOI[PR 3B],"",0,1),IF(AND(B34&lt;&gt;"",MAX('GESTION DES JOUEURS'!$A$11:$A$46)&gt;6,'GESTION DES JOUEURS'!$Y$8="Dames"),_xlfn.XLOOKUP(A34,PTSRKTOURNOI[Clt],PTSRKTOURNOI[[PR DAMES ]],"",0,1),IF(AND(B34&lt;&gt;"",'GESTION DES JOUEURS'!$Y$8="D"),_xlfn.XLOOKUP(A34,PTSRKMINITOURNOI[Clt],PTSRKMINITOURNOI[PR DISTRICT],"",0,1),"")))))))))</f>
        <v/>
      </c>
      <c r="AA34" s="451" t="str">
        <f>IF(AE34=0,"",IF('GESTION DES JOUEURS'!$D$8="Open","",_xlfn.XLOOKUP(B34,$CL$8:$CL$43,$DK$8:$DK$43,"",0,1)))</f>
        <v/>
      </c>
      <c r="AB34" s="451" t="str">
        <f t="shared" si="11"/>
        <v/>
      </c>
      <c r="AC34" s="451" t="str">
        <f t="shared" si="18"/>
        <v/>
      </c>
      <c r="AD34" s="451" t="str">
        <f t="shared" si="19"/>
        <v/>
      </c>
      <c r="AE34" s="538" t="str">
        <f t="shared" si="20"/>
        <v/>
      </c>
      <c r="AF34" s="451" t="str">
        <f t="shared" si="21"/>
        <v/>
      </c>
      <c r="AG34" s="456" t="str">
        <f t="shared" si="22"/>
        <v/>
      </c>
      <c r="AH34" s="456" t="str">
        <f t="shared" si="23"/>
        <v/>
      </c>
      <c r="AI34" s="446"/>
      <c r="AK34" s="718" t="s">
        <v>8130</v>
      </c>
      <c r="AV34" s="1224"/>
      <c r="AW34" s="244">
        <v>22</v>
      </c>
      <c r="AX34" s="244" t="str">
        <v/>
      </c>
      <c r="AY34" s="244" t="str">
        <v/>
      </c>
      <c r="AZ34" s="244">
        <v>0</v>
      </c>
      <c r="BA34" s="244" t="str">
        <v/>
      </c>
      <c r="BB34" s="244">
        <v>0</v>
      </c>
      <c r="BC34" s="244" t="str">
        <v/>
      </c>
      <c r="BD34" s="244">
        <v>0</v>
      </c>
      <c r="BE34" s="244">
        <v>0</v>
      </c>
      <c r="BF34" s="244">
        <v>0</v>
      </c>
      <c r="BG34" s="244">
        <v>0</v>
      </c>
      <c r="BH34" s="244">
        <v>0</v>
      </c>
      <c r="BI34" s="244" t="str">
        <v/>
      </c>
      <c r="BJ34" s="244" t="str">
        <v/>
      </c>
      <c r="BK34" s="244" t="str">
        <v/>
      </c>
      <c r="BL34" s="244" t="str">
        <v/>
      </c>
      <c r="BM34" s="244" t="str">
        <v/>
      </c>
      <c r="BN34" s="244" t="str">
        <v/>
      </c>
      <c r="BO34" s="244" t="str">
        <v/>
      </c>
      <c r="BV34" s="506"/>
      <c r="BW34" s="506">
        <f t="shared" si="30"/>
        <v>22</v>
      </c>
      <c r="BX34" s="506" t="str">
        <f t="shared" si="31"/>
        <v/>
      </c>
      <c r="BY34" s="506" t="str">
        <f t="shared" si="32"/>
        <v/>
      </c>
      <c r="BZ34" s="506" t="str">
        <f t="shared" si="33"/>
        <v/>
      </c>
      <c r="CA34" s="506" t="str">
        <f t="shared" si="34"/>
        <v/>
      </c>
      <c r="CB34" s="506" t="str">
        <f t="shared" si="35"/>
        <v/>
      </c>
      <c r="CC34" s="506" t="str">
        <f t="shared" si="36"/>
        <v/>
      </c>
      <c r="CD34" s="506" t="str">
        <f t="shared" si="37"/>
        <v/>
      </c>
      <c r="CE34" s="506" t="str">
        <f t="shared" si="3"/>
        <v/>
      </c>
      <c r="CF34" s="506" t="str">
        <f t="shared" si="4"/>
        <v/>
      </c>
      <c r="CG34" s="506">
        <f t="shared" si="5"/>
        <v>0</v>
      </c>
      <c r="CH34" s="506" t="str">
        <f t="shared" si="38"/>
        <v/>
      </c>
      <c r="CI34" s="244">
        <f>IF(BX34="",37,IF(BX34='Phase finale'!$C$38,1,IF(BX34='Phase finale'!$C$39,2,IF(BX34='Phase finale'!$C$40,3,IF(BX34='Phase finale'!$C$41,4,IF(BX34='Phase finale'!$C$42,5,IF(BX34='Phase finale'!$C$43,6,IF(BX34='Phase finale'!$C$44,7,IF(BX34='Phase finale'!$C$45,8,IF(OR(BX34='Phase finale'!F39,BX34='Phase finale'!$F$10,BX34='Phase finale'!$V$11,BX34='Phase finale'!$V$10),3,IF(OR(BX34='Phase finale'!F41,BX34='Phase finale'!F42,BX34='Phase finale'!F43,BX34='Phase finale'!F44,BX34='Phase finale'!V41,BX34='Phase finale'!V42,BX34='Phase finale'!V43,BX34='Phase finale'!V44),5,IF(_xlfn.XLOOKUP(BX34,Tableau19[Licence],Tableau19[Forfait],"",0,1)=TRUE,36,9))))))))))))</f>
        <v>37</v>
      </c>
      <c r="CL34" s="451">
        <f>IF('GESTION DES JOUEURS'!B37="",0,'GESTION DES JOUEURS'!B37)</f>
        <v>0</v>
      </c>
      <c r="CM34" s="453" t="str">
        <f t="shared" si="24"/>
        <v/>
      </c>
      <c r="CN34" s="453"/>
      <c r="CO34" s="453"/>
      <c r="CP34" s="453"/>
      <c r="CQ34" s="453"/>
      <c r="CR34" s="453"/>
      <c r="CS34" s="453" t="str">
        <f t="shared" si="12"/>
        <v/>
      </c>
      <c r="CT34" s="453"/>
      <c r="CU34" s="453"/>
      <c r="CV34" s="453"/>
      <c r="CW34" s="453"/>
      <c r="CX34" s="453" t="str">
        <f t="shared" si="13"/>
        <v/>
      </c>
      <c r="CY34" s="453"/>
      <c r="CZ34" s="453"/>
      <c r="DA34" s="453"/>
      <c r="DB34" s="453"/>
      <c r="DC34" s="453"/>
      <c r="DD34" s="453"/>
      <c r="DE34" s="453"/>
      <c r="DF34" s="453"/>
      <c r="DG34" s="453"/>
      <c r="DH34" s="509" t="str">
        <f t="shared" si="14"/>
        <v/>
      </c>
      <c r="DI34" s="509">
        <f>IFERROR(IF('GESTION DES JOUEURS'!$D$8="Open",_xlfn.XLOOKUP(RESULTATS!CL34,RESULTATS!$DW$8:$DW$43,RESULTATS!$EL$8:$EL$43,"",0,1),_xlfn.XLOOKUP(CL34,$BX$5:$BX$12,$BV$5:$BV$12,_xlfn.XLOOKUP(CL34,$AX$5:$AX$12,$AW$5:$AW$12,"",0,1),0,1)),"")</f>
        <v>2</v>
      </c>
      <c r="DJ34" s="453" t="str">
        <f t="shared" si="25"/>
        <v/>
      </c>
      <c r="DK34" s="453" t="str">
        <f>IF('GESTION DES JOUEURS'!$D$8="Poules",_xlfn.XLOOKUP(RESULTATS!CL34,'Phase finale'!$BV$7:$BV$42,'Phase finale'!$CM$7:$CM$42,"",0,1),IF(AND(CL34&lt;&gt;0,DQ34&gt;_xlfn.XLOOKUP('GESTION DES JOUEURS'!$D$4,Distances[Mode de jeu et cat.],Distances[M 3],"",0,1)),_xlfn.XLOOKUP('GESTION DES JOUEURS'!$D$4,Distances[Mode de jeu et cat.],Distances[BT3],"",0,1),IF(AND(CL34&lt;&gt;0,DQ34&gt;_xlfn.XLOOKUP('GESTION DES JOUEURS'!$D$4,Distances[Mode de jeu et cat.],Distances[M 2],"",0,1)),_xlfn.XLOOKUP('GESTION DES JOUEURS'!$D$4,Distances[Mode de jeu et cat.],Distances[BT2],"",0,1),IF(AND(CL34&lt;&gt;0,DQ34&gt;_xlfn.XLOOKUP('GESTION DES JOUEURS'!$D$4,Distances[Mode de jeu et cat.],Distances[M 1],"",0,1)),_xlfn.XLOOKUP('GESTION DES JOUEURS'!$D$4,Distances[Mode de jeu et cat.],Distances[BT1],"",0,1),0))))</f>
        <v/>
      </c>
      <c r="DL34" s="453">
        <f t="shared" si="26"/>
        <v>0</v>
      </c>
      <c r="DM34" s="453" t="str">
        <f>IF('GESTION DES JOUEURS'!$D$8="Open",_xlfn.XLOOKUP(CL34,RESULTATS!$DW$8:$DW$43,RESULTATS!$EH$8:$EH$43,"",0,1),_xlfn.XLOOKUP(CL34,$BX$5:$BX$48,$CH$5:$CH$48,"",0,1))</f>
        <v/>
      </c>
      <c r="DN34" s="451" t="str">
        <f>IFERROR(SUM(_xlfn.XLOOKUP(CL34,_xlfn.ANCHORARRAY('Phase finale'!$DK$7),'Phase finale'!$DP$7:$DP$42,"",0,1),_xlfn.XLOOKUP(CL34,_xlfn.ANCHORARRAY('Phase finale'!$DK$7),'Phase finale'!$DL$7:$DL$42,"",0,1)),"")</f>
        <v/>
      </c>
      <c r="DO34" s="451" t="str">
        <f>IFERROR(SUM(_xlfn.XLOOKUP(CL34,_xlfn.ANCHORARRAY('Phase finale'!$DK$7),'Phase finale'!$DQ$7:$DQ$42,"",0,1),_xlfn.XLOOKUP(CL34,_xlfn.ANCHORARRAY('Phase finale'!$DK$7),'Phase finale'!$DM$7:$DM$42,"",0,1)),"")</f>
        <v/>
      </c>
      <c r="DP34" s="517" t="str">
        <f t="shared" si="27"/>
        <v/>
      </c>
      <c r="DQ34" s="456" t="str">
        <f t="shared" si="28"/>
        <v/>
      </c>
      <c r="DR34" s="456">
        <f t="shared" si="29"/>
        <v>0</v>
      </c>
      <c r="DS34" s="518">
        <f t="shared" si="15"/>
        <v>37</v>
      </c>
      <c r="DU34" s="244">
        <v>27</v>
      </c>
      <c r="DV34" s="244">
        <v>11</v>
      </c>
      <c r="DW34" s="244" t="str">
        <v/>
      </c>
      <c r="DX34" s="244" t="str">
        <v/>
      </c>
      <c r="DY34" s="244">
        <v>0</v>
      </c>
      <c r="DZ34" s="244" t="str">
        <v/>
      </c>
      <c r="EA34" s="244">
        <v>0</v>
      </c>
      <c r="EB34" s="244">
        <v>0</v>
      </c>
      <c r="EC34" s="244" t="str">
        <v/>
      </c>
      <c r="ED34" s="244">
        <v>0</v>
      </c>
      <c r="EE34" s="244">
        <v>0</v>
      </c>
      <c r="EF34" s="244">
        <v>0</v>
      </c>
      <c r="EG34" s="244" t="str">
        <v/>
      </c>
      <c r="EH34" s="244" t="str">
        <v/>
      </c>
      <c r="EI34" s="244" t="e">
        <v>#DIV/0!</v>
      </c>
      <c r="EJ34" s="244">
        <v>0</v>
      </c>
      <c r="EK34" s="244">
        <v>0</v>
      </c>
      <c r="EL34" s="244" t="str">
        <v/>
      </c>
      <c r="EM34" s="244">
        <v>0</v>
      </c>
      <c r="EN34" s="244">
        <v>0</v>
      </c>
    </row>
    <row r="35" spans="1:144" ht="24" customHeight="1" thickBot="1" x14ac:dyDescent="0.35">
      <c r="A35" s="452" t="str">
        <f>IF('GESTION DES JOUEURS'!A37=MAX('GESTION DES JOUEURS'!$A$10:'GESTION DES JOUEURS'!$A$46),"",A34+1)</f>
        <v/>
      </c>
      <c r="B35" s="451" t="str">
        <v/>
      </c>
      <c r="C35" s="1218" t="str">
        <f>_xlfn.XLOOKUP(B35,Tableau19[Licence],Tableau19[Nom],"",0,1)</f>
        <v/>
      </c>
      <c r="D35" s="1218"/>
      <c r="E35" s="1218"/>
      <c r="F35" s="1218"/>
      <c r="G35" s="1218"/>
      <c r="H35" s="1218"/>
      <c r="I35" s="1218" t="str">
        <f>_xlfn.XLOOKUP(B35,Tableau19[Licence],Tableau19[[prénom ]],"",0,1)</f>
        <v/>
      </c>
      <c r="J35" s="1218"/>
      <c r="K35" s="1218"/>
      <c r="L35" s="1218"/>
      <c r="M35" s="1218"/>
      <c r="N35" s="1218" t="str">
        <f>_xlfn.XLOOKUP(B35,Tableau19[Licence],Tableau19[Club],"",0,1)</f>
        <v/>
      </c>
      <c r="O35" s="1218"/>
      <c r="P35" s="1218"/>
      <c r="Q35" s="1218"/>
      <c r="R35" s="1218"/>
      <c r="S35" s="1218"/>
      <c r="T35" s="1218"/>
      <c r="U35" s="1218"/>
      <c r="V35" s="1218"/>
      <c r="W35" s="1218"/>
      <c r="X35" s="455" t="str">
        <f t="shared" si="16"/>
        <v/>
      </c>
      <c r="Y35" s="455" t="str">
        <f t="shared" si="17"/>
        <v/>
      </c>
      <c r="Z35" s="451" t="str">
        <f>IF(B35="","",IF('GESTION DES JOUEURS'!$D$8="Open","",IF(AND('GESTION DES JOUEURS'!$D$8="poules",A35&lt;&gt;""),_xlfn.XLOOKUP(RESULTATS!B35,'Phase finale'!$BV$7:$BV$42,'Phase finale'!$CL$7:$CL$42,"",0,1),IF(AND(B35&lt;&gt;"",MAX('GESTION DES JOUEURS'!$A$11:$A$46)&gt;6,'GESTION DES JOUEURS'!$Y$8="JDSR"),_xlfn.XLOOKUP(A35,PTSRKMINITOURNOI[Clt],PTSRKMINITOURNOI[PR JDS 9],"",0,1),IF(AND(B35&lt;&gt;"",MAX('GESTION DES JOUEURS'!$A$11:$A$46)&lt;7,'GESTION DES JOUEURS'!$Y$8="JDSR"),_xlfn.XLOOKUP(A35,PTSRKMINITOURNOI[Clt],PTSRKMINITOURNOI[PR JDS],"",0,1),IF(AND(B35&lt;&gt;"",MAX('GESTION DES JOUEURS'!$A$11:$A$46)&lt;7,'GESTION DES JOUEURS'!$Y$8="R"),_xlfn.XLOOKUP(A35,PTSRKMINITOURNOI[Clt],PTSRKMINITOURNOI[PR 3B],"",0,1),IF(AND(B35&lt;&gt;"",MAX('GESTION DES JOUEURS'!$A$11:$A$46)&gt;6,'GESTION DES JOUEURS'!$Y$8="R"),_xlfn.XLOOKUP(A35,PTSRKTOURNOI[Clt],PTSRKTOURNOI[PR 3B],"",0,1),IF(AND(B35&lt;&gt;"",MAX('GESTION DES JOUEURS'!$A$11:$A$46)&gt;6,'GESTION DES JOUEURS'!$Y$8="Dames"),_xlfn.XLOOKUP(A35,PTSRKTOURNOI[Clt],PTSRKTOURNOI[[PR DAMES ]],"",0,1),IF(AND(B35&lt;&gt;"",'GESTION DES JOUEURS'!$Y$8="D"),_xlfn.XLOOKUP(A35,PTSRKMINITOURNOI[Clt],PTSRKMINITOURNOI[PR DISTRICT],"",0,1),"")))))))))</f>
        <v/>
      </c>
      <c r="AA35" s="451" t="str">
        <f>IF(AE35=0,"",IF('GESTION DES JOUEURS'!$D$8="Open","",_xlfn.XLOOKUP(B35,$CL$8:$CL$43,$DK$8:$DK$43,"",0,1)))</f>
        <v/>
      </c>
      <c r="AB35" s="451" t="str">
        <f t="shared" si="11"/>
        <v/>
      </c>
      <c r="AC35" s="451" t="str">
        <f t="shared" si="18"/>
        <v/>
      </c>
      <c r="AD35" s="451" t="str">
        <f t="shared" si="19"/>
        <v/>
      </c>
      <c r="AE35" s="538" t="str">
        <f t="shared" si="20"/>
        <v/>
      </c>
      <c r="AF35" s="451" t="str">
        <f t="shared" si="21"/>
        <v/>
      </c>
      <c r="AG35" s="456" t="str">
        <f t="shared" si="22"/>
        <v/>
      </c>
      <c r="AH35" s="456" t="str">
        <f t="shared" si="23"/>
        <v/>
      </c>
      <c r="AI35" s="446"/>
      <c r="AK35" s="719"/>
      <c r="AV35" s="1224"/>
      <c r="AW35" s="244">
        <v>23</v>
      </c>
      <c r="AX35" s="244" t="str">
        <v/>
      </c>
      <c r="AY35" s="244" t="str">
        <v/>
      </c>
      <c r="AZ35" s="244">
        <v>0</v>
      </c>
      <c r="BA35" s="244" t="str">
        <v/>
      </c>
      <c r="BB35" s="244">
        <v>0</v>
      </c>
      <c r="BC35" s="244" t="str">
        <v/>
      </c>
      <c r="BD35" s="244">
        <v>0</v>
      </c>
      <c r="BE35" s="244">
        <v>0</v>
      </c>
      <c r="BF35" s="244">
        <v>0</v>
      </c>
      <c r="BG35" s="244">
        <v>0</v>
      </c>
      <c r="BH35" s="244">
        <v>0</v>
      </c>
      <c r="BI35" s="244" t="str">
        <v/>
      </c>
      <c r="BJ35" s="244" t="str">
        <v/>
      </c>
      <c r="BK35" s="244" t="str">
        <v/>
      </c>
      <c r="BL35" s="244" t="str">
        <v/>
      </c>
      <c r="BM35" s="244" t="str">
        <v/>
      </c>
      <c r="BN35" s="244" t="str">
        <v/>
      </c>
      <c r="BO35" s="244" t="str">
        <v/>
      </c>
      <c r="BV35" s="506"/>
      <c r="BW35" s="506">
        <f t="shared" si="30"/>
        <v>23</v>
      </c>
      <c r="BX35" s="506" t="str">
        <f t="shared" si="31"/>
        <v/>
      </c>
      <c r="BY35" s="506" t="str">
        <f t="shared" si="32"/>
        <v/>
      </c>
      <c r="BZ35" s="506" t="str">
        <f t="shared" si="33"/>
        <v/>
      </c>
      <c r="CA35" s="506" t="str">
        <f t="shared" si="34"/>
        <v/>
      </c>
      <c r="CB35" s="506" t="str">
        <f t="shared" si="35"/>
        <v/>
      </c>
      <c r="CC35" s="506" t="str">
        <f t="shared" si="36"/>
        <v/>
      </c>
      <c r="CD35" s="506" t="str">
        <f t="shared" si="37"/>
        <v/>
      </c>
      <c r="CE35" s="506" t="str">
        <f t="shared" si="3"/>
        <v/>
      </c>
      <c r="CF35" s="506" t="str">
        <f t="shared" si="4"/>
        <v/>
      </c>
      <c r="CG35" s="506">
        <f t="shared" si="5"/>
        <v>0</v>
      </c>
      <c r="CH35" s="506" t="str">
        <f t="shared" si="38"/>
        <v/>
      </c>
      <c r="CI35" s="244">
        <f>IF(BX35="",37,IF(BX35='Phase finale'!$C$38,1,IF(BX35='Phase finale'!$C$39,2,IF(BX35='Phase finale'!$C$40,3,IF(BX35='Phase finale'!$C$41,4,IF(BX35='Phase finale'!$C$42,5,IF(BX35='Phase finale'!$C$43,6,IF(BX35='Phase finale'!$C$44,7,IF(BX35='Phase finale'!$C$45,8,IF(OR(BX35='Phase finale'!F40,BX35='Phase finale'!$F$10,BX35='Phase finale'!$V$11,BX35='Phase finale'!$V$10),3,IF(OR(BX35='Phase finale'!F42,BX35='Phase finale'!F43,BX35='Phase finale'!F44,BX35='Phase finale'!F45,BX35='Phase finale'!V42,BX35='Phase finale'!V43,BX35='Phase finale'!V44,BX35='Phase finale'!V45),5,IF(_xlfn.XLOOKUP(BX35,Tableau19[Licence],Tableau19[Forfait],"",0,1)=TRUE,36,9))))))))))))</f>
        <v>37</v>
      </c>
      <c r="CL35" s="451">
        <f>IF('GESTION DES JOUEURS'!B38="",0,'GESTION DES JOUEURS'!B38)</f>
        <v>0</v>
      </c>
      <c r="CM35" s="453" t="str">
        <f t="shared" si="24"/>
        <v/>
      </c>
      <c r="CN35" s="453"/>
      <c r="CO35" s="453"/>
      <c r="CP35" s="453"/>
      <c r="CQ35" s="453"/>
      <c r="CR35" s="453"/>
      <c r="CS35" s="453" t="str">
        <f t="shared" si="12"/>
        <v/>
      </c>
      <c r="CT35" s="453"/>
      <c r="CU35" s="453"/>
      <c r="CV35" s="453"/>
      <c r="CW35" s="453"/>
      <c r="CX35" s="453" t="str">
        <f t="shared" si="13"/>
        <v/>
      </c>
      <c r="CY35" s="453"/>
      <c r="CZ35" s="453"/>
      <c r="DA35" s="453"/>
      <c r="DB35" s="453"/>
      <c r="DC35" s="453"/>
      <c r="DD35" s="453"/>
      <c r="DE35" s="453"/>
      <c r="DF35" s="453"/>
      <c r="DG35" s="453"/>
      <c r="DH35" s="509" t="str">
        <f t="shared" si="14"/>
        <v/>
      </c>
      <c r="DI35" s="509">
        <f>IFERROR(IF('GESTION DES JOUEURS'!$D$8="Open",_xlfn.XLOOKUP(RESULTATS!CL35,RESULTATS!$DW$8:$DW$43,RESULTATS!$EL$8:$EL$43,"",0,1),_xlfn.XLOOKUP(CL35,$BX$5:$BX$12,$BV$5:$BV$12,_xlfn.XLOOKUP(CL35,$AX$5:$AX$12,$AW$5:$AW$12,"",0,1),0,1)),"")</f>
        <v>2</v>
      </c>
      <c r="DJ35" s="453" t="str">
        <f t="shared" si="25"/>
        <v/>
      </c>
      <c r="DK35" s="453" t="str">
        <f>IF('GESTION DES JOUEURS'!$D$8="Poules",_xlfn.XLOOKUP(RESULTATS!CL35,'Phase finale'!$BV$7:$BV$42,'Phase finale'!$CM$7:$CM$42,"",0,1),IF(AND(CL35&lt;&gt;0,DQ35&gt;_xlfn.XLOOKUP('GESTION DES JOUEURS'!$D$4,Distances[Mode de jeu et cat.],Distances[M 3],"",0,1)),_xlfn.XLOOKUP('GESTION DES JOUEURS'!$D$4,Distances[Mode de jeu et cat.],Distances[BT3],"",0,1),IF(AND(CL35&lt;&gt;0,DQ35&gt;_xlfn.XLOOKUP('GESTION DES JOUEURS'!$D$4,Distances[Mode de jeu et cat.],Distances[M 2],"",0,1)),_xlfn.XLOOKUP('GESTION DES JOUEURS'!$D$4,Distances[Mode de jeu et cat.],Distances[BT2],"",0,1),IF(AND(CL35&lt;&gt;0,DQ35&gt;_xlfn.XLOOKUP('GESTION DES JOUEURS'!$D$4,Distances[Mode de jeu et cat.],Distances[M 1],"",0,1)),_xlfn.XLOOKUP('GESTION DES JOUEURS'!$D$4,Distances[Mode de jeu et cat.],Distances[BT1],"",0,1),0))))</f>
        <v/>
      </c>
      <c r="DL35" s="453">
        <f t="shared" si="26"/>
        <v>0</v>
      </c>
      <c r="DM35" s="453" t="str">
        <f>IF('GESTION DES JOUEURS'!$D$8="Open",_xlfn.XLOOKUP(CL35,RESULTATS!$DW$8:$DW$43,RESULTATS!$EH$8:$EH$43,"",0,1),_xlfn.XLOOKUP(CL35,$BX$5:$BX$48,$CH$5:$CH$48,"",0,1))</f>
        <v/>
      </c>
      <c r="DN35" s="451" t="str">
        <f>IFERROR(SUM(_xlfn.XLOOKUP(CL35,_xlfn.ANCHORARRAY('Phase finale'!$DK$7),'Phase finale'!$DP$7:$DP$42,"",0,1),_xlfn.XLOOKUP(CL35,_xlfn.ANCHORARRAY('Phase finale'!$DK$7),'Phase finale'!$DL$7:$DL$42,"",0,1)),"")</f>
        <v/>
      </c>
      <c r="DO35" s="451" t="str">
        <f>IFERROR(SUM(_xlfn.XLOOKUP(CL35,_xlfn.ANCHORARRAY('Phase finale'!$DK$7),'Phase finale'!$DQ$7:$DQ$42,"",0,1),_xlfn.XLOOKUP(CL35,_xlfn.ANCHORARRAY('Phase finale'!$DK$7),'Phase finale'!$DM$7:$DM$42,"",0,1)),"")</f>
        <v/>
      </c>
      <c r="DP35" s="517" t="str">
        <f t="shared" si="27"/>
        <v/>
      </c>
      <c r="DQ35" s="456" t="str">
        <f t="shared" si="28"/>
        <v/>
      </c>
      <c r="DR35" s="456">
        <f t="shared" si="29"/>
        <v>0</v>
      </c>
      <c r="DS35" s="518">
        <f t="shared" si="15"/>
        <v>37</v>
      </c>
      <c r="DU35" s="244">
        <v>28</v>
      </c>
      <c r="DV35" s="244">
        <v>12</v>
      </c>
      <c r="DW35" s="244" t="str">
        <v/>
      </c>
      <c r="DX35" s="244" t="str">
        <v/>
      </c>
      <c r="DY35" s="244">
        <v>0</v>
      </c>
      <c r="DZ35" s="244" t="str">
        <v/>
      </c>
      <c r="EA35" s="244">
        <v>0</v>
      </c>
      <c r="EB35" s="244">
        <v>0</v>
      </c>
      <c r="EC35" s="244" t="str">
        <v/>
      </c>
      <c r="ED35" s="244">
        <v>0</v>
      </c>
      <c r="EE35" s="244">
        <v>0</v>
      </c>
      <c r="EF35" s="244">
        <v>0</v>
      </c>
      <c r="EG35" s="244" t="str">
        <v/>
      </c>
      <c r="EH35" s="244" t="str">
        <v/>
      </c>
      <c r="EI35" s="244" t="e">
        <v>#DIV/0!</v>
      </c>
      <c r="EJ35" s="244">
        <v>0</v>
      </c>
      <c r="EK35" s="244">
        <v>0</v>
      </c>
      <c r="EL35" s="244" t="str">
        <v/>
      </c>
      <c r="EM35" s="244">
        <v>0</v>
      </c>
      <c r="EN35" s="244">
        <v>0</v>
      </c>
    </row>
    <row r="36" spans="1:144" ht="24" customHeight="1" thickBot="1" x14ac:dyDescent="0.35">
      <c r="A36" s="452" t="str">
        <f>IF('GESTION DES JOUEURS'!A38=MAX('GESTION DES JOUEURS'!$A$10:'GESTION DES JOUEURS'!$A$46),"",A35+1)</f>
        <v/>
      </c>
      <c r="B36" s="451" t="str">
        <v/>
      </c>
      <c r="C36" s="1218" t="str">
        <f>_xlfn.XLOOKUP(B36,Tableau19[Licence],Tableau19[Nom],"",0,1)</f>
        <v/>
      </c>
      <c r="D36" s="1218"/>
      <c r="E36" s="1218"/>
      <c r="F36" s="1218"/>
      <c r="G36" s="1218"/>
      <c r="H36" s="1218"/>
      <c r="I36" s="1218" t="str">
        <f>_xlfn.XLOOKUP(B36,Tableau19[Licence],Tableau19[[prénom ]],"",0,1)</f>
        <v/>
      </c>
      <c r="J36" s="1218"/>
      <c r="K36" s="1218"/>
      <c r="L36" s="1218"/>
      <c r="M36" s="1218"/>
      <c r="N36" s="1218" t="str">
        <f>_xlfn.XLOOKUP(B36,Tableau19[Licence],Tableau19[Club],"",0,1)</f>
        <v/>
      </c>
      <c r="O36" s="1218"/>
      <c r="P36" s="1218"/>
      <c r="Q36" s="1218"/>
      <c r="R36" s="1218"/>
      <c r="S36" s="1218"/>
      <c r="T36" s="1218"/>
      <c r="U36" s="1218"/>
      <c r="V36" s="1218"/>
      <c r="W36" s="1218"/>
      <c r="X36" s="455" t="str">
        <f t="shared" si="16"/>
        <v/>
      </c>
      <c r="Y36" s="455" t="str">
        <f t="shared" si="17"/>
        <v/>
      </c>
      <c r="Z36" s="451" t="str">
        <f>IF(B36="","",IF('GESTION DES JOUEURS'!$D$8="Open","",IF(AND('GESTION DES JOUEURS'!$D$8="poules",A36&lt;&gt;""),_xlfn.XLOOKUP(RESULTATS!B36,'Phase finale'!$BV$7:$BV$42,'Phase finale'!$CL$7:$CL$42,"",0,1),IF(AND(B36&lt;&gt;"",MAX('GESTION DES JOUEURS'!$A$11:$A$46)&gt;6,'GESTION DES JOUEURS'!$Y$8="JDSR"),_xlfn.XLOOKUP(A36,PTSRKMINITOURNOI[Clt],PTSRKMINITOURNOI[PR JDS 9],"",0,1),IF(AND(B36&lt;&gt;"",MAX('GESTION DES JOUEURS'!$A$11:$A$46)&lt;7,'GESTION DES JOUEURS'!$Y$8="JDSR"),_xlfn.XLOOKUP(A36,PTSRKMINITOURNOI[Clt],PTSRKMINITOURNOI[PR JDS],"",0,1),IF(AND(B36&lt;&gt;"",MAX('GESTION DES JOUEURS'!$A$11:$A$46)&lt;7,'GESTION DES JOUEURS'!$Y$8="R"),_xlfn.XLOOKUP(A36,PTSRKMINITOURNOI[Clt],PTSRKMINITOURNOI[PR 3B],"",0,1),IF(AND(B36&lt;&gt;"",MAX('GESTION DES JOUEURS'!$A$11:$A$46)&gt;6,'GESTION DES JOUEURS'!$Y$8="R"),_xlfn.XLOOKUP(A36,PTSRKTOURNOI[Clt],PTSRKTOURNOI[PR 3B],"",0,1),IF(AND(B36&lt;&gt;"",MAX('GESTION DES JOUEURS'!$A$11:$A$46)&gt;6,'GESTION DES JOUEURS'!$Y$8="Dames"),_xlfn.XLOOKUP(A36,PTSRKTOURNOI[Clt],PTSRKTOURNOI[[PR DAMES ]],"",0,1),IF(AND(B36&lt;&gt;"",'GESTION DES JOUEURS'!$Y$8="D"),_xlfn.XLOOKUP(A36,PTSRKMINITOURNOI[Clt],PTSRKMINITOURNOI[PR DISTRICT],"",0,1),"")))))))))</f>
        <v/>
      </c>
      <c r="AA36" s="451" t="str">
        <f>IF(AE36=0,"",IF('GESTION DES JOUEURS'!$D$8="Open","",_xlfn.XLOOKUP(B36,$CL$8:$CL$43,$DK$8:$DK$43,"",0,1)))</f>
        <v/>
      </c>
      <c r="AB36" s="451" t="str">
        <f t="shared" si="11"/>
        <v/>
      </c>
      <c r="AC36" s="451" t="str">
        <f t="shared" si="18"/>
        <v/>
      </c>
      <c r="AD36" s="451" t="str">
        <f t="shared" si="19"/>
        <v/>
      </c>
      <c r="AE36" s="538" t="str">
        <f t="shared" si="20"/>
        <v/>
      </c>
      <c r="AF36" s="451" t="str">
        <f t="shared" si="21"/>
        <v/>
      </c>
      <c r="AG36" s="456" t="str">
        <f t="shared" si="22"/>
        <v/>
      </c>
      <c r="AH36" s="456" t="str">
        <f t="shared" si="23"/>
        <v/>
      </c>
      <c r="AI36" s="446"/>
      <c r="AV36" s="1224"/>
      <c r="AW36" s="244">
        <v>24</v>
      </c>
      <c r="AX36" s="244" t="str">
        <v/>
      </c>
      <c r="AY36" s="244" t="str">
        <v/>
      </c>
      <c r="AZ36" s="244">
        <v>0</v>
      </c>
      <c r="BA36" s="244" t="str">
        <v/>
      </c>
      <c r="BB36" s="244">
        <v>0</v>
      </c>
      <c r="BC36" s="244" t="str">
        <v/>
      </c>
      <c r="BD36" s="244">
        <v>0</v>
      </c>
      <c r="BE36" s="244">
        <v>0</v>
      </c>
      <c r="BF36" s="244">
        <v>0</v>
      </c>
      <c r="BG36" s="244">
        <v>0</v>
      </c>
      <c r="BH36" s="244">
        <v>0</v>
      </c>
      <c r="BI36" s="244" t="str">
        <v/>
      </c>
      <c r="BJ36" s="244" t="str">
        <v/>
      </c>
      <c r="BK36" s="244" t="str">
        <v/>
      </c>
      <c r="BL36" s="244" t="str">
        <v/>
      </c>
      <c r="BM36" s="244" t="str">
        <v/>
      </c>
      <c r="BN36" s="244" t="str">
        <v/>
      </c>
      <c r="BO36" s="244" t="str">
        <v/>
      </c>
      <c r="BV36" s="506"/>
      <c r="BW36" s="506">
        <f t="shared" si="30"/>
        <v>24</v>
      </c>
      <c r="BX36" s="506" t="str">
        <f t="shared" si="31"/>
        <v/>
      </c>
      <c r="BY36" s="506" t="str">
        <f t="shared" si="32"/>
        <v/>
      </c>
      <c r="BZ36" s="506" t="str">
        <f t="shared" si="33"/>
        <v/>
      </c>
      <c r="CA36" s="506" t="str">
        <f t="shared" si="34"/>
        <v/>
      </c>
      <c r="CB36" s="506" t="str">
        <f t="shared" si="35"/>
        <v/>
      </c>
      <c r="CC36" s="506" t="str">
        <f t="shared" si="36"/>
        <v/>
      </c>
      <c r="CD36" s="506" t="str">
        <f t="shared" si="37"/>
        <v/>
      </c>
      <c r="CE36" s="506" t="str">
        <f t="shared" si="3"/>
        <v/>
      </c>
      <c r="CF36" s="506" t="str">
        <f t="shared" si="4"/>
        <v/>
      </c>
      <c r="CG36" s="506">
        <f t="shared" si="5"/>
        <v>0</v>
      </c>
      <c r="CH36" s="506" t="str">
        <f t="shared" si="38"/>
        <v/>
      </c>
      <c r="CI36" s="244">
        <f>IF(BX36="",37,IF(BX36='Phase finale'!$C$38,1,IF(BX36='Phase finale'!$C$39,2,IF(BX36='Phase finale'!$C$40,3,IF(BX36='Phase finale'!$C$41,4,IF(BX36='Phase finale'!$C$42,5,IF(BX36='Phase finale'!$C$43,6,IF(BX36='Phase finale'!$C$44,7,IF(BX36='Phase finale'!$C$45,8,IF(OR(BX36='Phase finale'!F41,BX36='Phase finale'!$F$10,BX36='Phase finale'!$V$11,BX36='Phase finale'!$V$10),3,IF(OR(BX36='Phase finale'!F43,BX36='Phase finale'!F44,BX36='Phase finale'!F45,BX36='Phase finale'!F46,BX36='Phase finale'!V43,BX36='Phase finale'!V44,BX36='Phase finale'!V45,BX36='Phase finale'!V46),5,IF(_xlfn.XLOOKUP(BX36,Tableau19[Licence],Tableau19[Forfait],"",0,1)=TRUE,36,9))))))))))))</f>
        <v>37</v>
      </c>
      <c r="CL36" s="451">
        <f>IF('GESTION DES JOUEURS'!B39="",0,'GESTION DES JOUEURS'!B39)</f>
        <v>0</v>
      </c>
      <c r="CM36" s="453" t="str">
        <f t="shared" si="24"/>
        <v/>
      </c>
      <c r="CN36" s="453"/>
      <c r="CO36" s="453"/>
      <c r="CP36" s="453"/>
      <c r="CQ36" s="453"/>
      <c r="CR36" s="453"/>
      <c r="CS36" s="453" t="str">
        <f t="shared" si="12"/>
        <v/>
      </c>
      <c r="CT36" s="453"/>
      <c r="CU36" s="453"/>
      <c r="CV36" s="453"/>
      <c r="CW36" s="453"/>
      <c r="CX36" s="453" t="str">
        <f t="shared" si="13"/>
        <v/>
      </c>
      <c r="CY36" s="453"/>
      <c r="CZ36" s="453"/>
      <c r="DA36" s="453"/>
      <c r="DB36" s="453"/>
      <c r="DC36" s="453"/>
      <c r="DD36" s="453"/>
      <c r="DE36" s="453"/>
      <c r="DF36" s="453"/>
      <c r="DG36" s="453"/>
      <c r="DH36" s="509" t="str">
        <f t="shared" si="14"/>
        <v/>
      </c>
      <c r="DI36" s="509">
        <f>IFERROR(IF('GESTION DES JOUEURS'!$D$8="Open",_xlfn.XLOOKUP(RESULTATS!CL36,RESULTATS!$DW$8:$DW$43,RESULTATS!$EL$8:$EL$43,"",0,1),_xlfn.XLOOKUP(CL36,$BX$5:$BX$12,$BV$5:$BV$12,_xlfn.XLOOKUP(CL36,$AX$5:$AX$12,$AW$5:$AW$12,"",0,1),0,1)),"")</f>
        <v>2</v>
      </c>
      <c r="DJ36" s="453" t="str">
        <f t="shared" si="25"/>
        <v/>
      </c>
      <c r="DK36" s="453" t="str">
        <f>IF('GESTION DES JOUEURS'!$D$8="Poules",_xlfn.XLOOKUP(RESULTATS!CL36,'Phase finale'!$BV$7:$BV$42,'Phase finale'!$CM$7:$CM$42,"",0,1),IF(AND(CL36&lt;&gt;0,DQ36&gt;_xlfn.XLOOKUP('GESTION DES JOUEURS'!$D$4,Distances[Mode de jeu et cat.],Distances[M 3],"",0,1)),_xlfn.XLOOKUP('GESTION DES JOUEURS'!$D$4,Distances[Mode de jeu et cat.],Distances[BT3],"",0,1),IF(AND(CL36&lt;&gt;0,DQ36&gt;_xlfn.XLOOKUP('GESTION DES JOUEURS'!$D$4,Distances[Mode de jeu et cat.],Distances[M 2],"",0,1)),_xlfn.XLOOKUP('GESTION DES JOUEURS'!$D$4,Distances[Mode de jeu et cat.],Distances[BT2],"",0,1),IF(AND(CL36&lt;&gt;0,DQ36&gt;_xlfn.XLOOKUP('GESTION DES JOUEURS'!$D$4,Distances[Mode de jeu et cat.],Distances[M 1],"",0,1)),_xlfn.XLOOKUP('GESTION DES JOUEURS'!$D$4,Distances[Mode de jeu et cat.],Distances[BT1],"",0,1),0))))</f>
        <v/>
      </c>
      <c r="DL36" s="453">
        <f t="shared" si="26"/>
        <v>0</v>
      </c>
      <c r="DM36" s="453" t="str">
        <f>IF('GESTION DES JOUEURS'!$D$8="Open",_xlfn.XLOOKUP(CL36,RESULTATS!$DW$8:$DW$43,RESULTATS!$EH$8:$EH$43,"",0,1),_xlfn.XLOOKUP(CL36,$BX$5:$BX$48,$CH$5:$CH$48,"",0,1))</f>
        <v/>
      </c>
      <c r="DN36" s="451" t="str">
        <f>IFERROR(SUM(_xlfn.XLOOKUP(CL36,_xlfn.ANCHORARRAY('Phase finale'!$DK$7),'Phase finale'!$DP$7:$DP$42,"",0,1),_xlfn.XLOOKUP(CL36,_xlfn.ANCHORARRAY('Phase finale'!$DK$7),'Phase finale'!$DL$7:$DL$42,"",0,1)),"")</f>
        <v/>
      </c>
      <c r="DO36" s="451" t="str">
        <f>IFERROR(SUM(_xlfn.XLOOKUP(CL36,_xlfn.ANCHORARRAY('Phase finale'!$DK$7),'Phase finale'!$DQ$7:$DQ$42,"",0,1),_xlfn.XLOOKUP(CL36,_xlfn.ANCHORARRAY('Phase finale'!$DK$7),'Phase finale'!$DM$7:$DM$42,"",0,1)),"")</f>
        <v/>
      </c>
      <c r="DP36" s="517" t="str">
        <f t="shared" si="27"/>
        <v/>
      </c>
      <c r="DQ36" s="456" t="str">
        <f t="shared" si="28"/>
        <v/>
      </c>
      <c r="DR36" s="456">
        <f t="shared" si="29"/>
        <v>0</v>
      </c>
      <c r="DS36" s="518">
        <f t="shared" si="15"/>
        <v>37</v>
      </c>
      <c r="DU36" s="244">
        <v>29</v>
      </c>
      <c r="DV36" s="244">
        <v>13</v>
      </c>
      <c r="DW36" s="244" t="str">
        <v/>
      </c>
      <c r="DX36" s="244" t="str">
        <v/>
      </c>
      <c r="DY36" s="244">
        <v>0</v>
      </c>
      <c r="DZ36" s="244" t="str">
        <v/>
      </c>
      <c r="EA36" s="244">
        <v>0</v>
      </c>
      <c r="EB36" s="244">
        <v>0</v>
      </c>
      <c r="EC36" s="244" t="str">
        <v/>
      </c>
      <c r="ED36" s="244">
        <v>0</v>
      </c>
      <c r="EE36" s="244">
        <v>0</v>
      </c>
      <c r="EF36" s="244">
        <v>0</v>
      </c>
      <c r="EG36" s="244" t="str">
        <v/>
      </c>
      <c r="EH36" s="244" t="str">
        <v/>
      </c>
      <c r="EI36" s="244" t="e">
        <v>#DIV/0!</v>
      </c>
      <c r="EJ36" s="244">
        <v>0</v>
      </c>
      <c r="EK36" s="244">
        <v>0</v>
      </c>
      <c r="EL36" s="244" t="str">
        <v/>
      </c>
      <c r="EM36" s="244">
        <v>0</v>
      </c>
      <c r="EN36" s="244">
        <v>0</v>
      </c>
    </row>
    <row r="37" spans="1:144" ht="24" customHeight="1" x14ac:dyDescent="0.3">
      <c r="A37" s="452" t="str">
        <f>IF('GESTION DES JOUEURS'!A39=MAX('GESTION DES JOUEURS'!$A$10:'GESTION DES JOUEURS'!$A$46),"",A36+1)</f>
        <v/>
      </c>
      <c r="B37" s="451" t="str">
        <v/>
      </c>
      <c r="C37" s="1218" t="str">
        <f>_xlfn.XLOOKUP(B37,Tableau19[Licence],Tableau19[Nom],"",0,1)</f>
        <v/>
      </c>
      <c r="D37" s="1218"/>
      <c r="E37" s="1218"/>
      <c r="F37" s="1218"/>
      <c r="G37" s="1218"/>
      <c r="H37" s="1218"/>
      <c r="I37" s="1218" t="str">
        <f>_xlfn.XLOOKUP(B37,Tableau19[Licence],Tableau19[[prénom ]],"",0,1)</f>
        <v/>
      </c>
      <c r="J37" s="1218"/>
      <c r="K37" s="1218"/>
      <c r="L37" s="1218"/>
      <c r="M37" s="1218"/>
      <c r="N37" s="1218" t="str">
        <f>_xlfn.XLOOKUP(B37,Tableau19[Licence],Tableau19[Club],"",0,1)</f>
        <v/>
      </c>
      <c r="O37" s="1218"/>
      <c r="P37" s="1218"/>
      <c r="Q37" s="1218"/>
      <c r="R37" s="1218"/>
      <c r="S37" s="1218"/>
      <c r="T37" s="1218"/>
      <c r="U37" s="1218"/>
      <c r="V37" s="1218"/>
      <c r="W37" s="1218"/>
      <c r="X37" s="455" t="str">
        <f t="shared" si="16"/>
        <v/>
      </c>
      <c r="Y37" s="455" t="str">
        <f t="shared" si="17"/>
        <v/>
      </c>
      <c r="Z37" s="451" t="str">
        <f>IF(B37="","",IF('GESTION DES JOUEURS'!$D$8="Open","",IF(AND('GESTION DES JOUEURS'!$D$8="poules",A37&lt;&gt;""),_xlfn.XLOOKUP(RESULTATS!B37,'Phase finale'!$BV$7:$BV$42,'Phase finale'!$CL$7:$CL$42,"",0,1),IF(AND(B37&lt;&gt;"",MAX('GESTION DES JOUEURS'!$A$11:$A$46)&gt;6,'GESTION DES JOUEURS'!$Y$8="JDSR"),_xlfn.XLOOKUP(A37,PTSRKMINITOURNOI[Clt],PTSRKMINITOURNOI[PR JDS 9],"",0,1),IF(AND(B37&lt;&gt;"",MAX('GESTION DES JOUEURS'!$A$11:$A$46)&lt;7,'GESTION DES JOUEURS'!$Y$8="JDSR"),_xlfn.XLOOKUP(A37,PTSRKMINITOURNOI[Clt],PTSRKMINITOURNOI[PR JDS],"",0,1),IF(AND(B37&lt;&gt;"",MAX('GESTION DES JOUEURS'!$A$11:$A$46)&lt;7,'GESTION DES JOUEURS'!$Y$8="R"),_xlfn.XLOOKUP(A37,PTSRKMINITOURNOI[Clt],PTSRKMINITOURNOI[PR 3B],"",0,1),IF(AND(B37&lt;&gt;"",MAX('GESTION DES JOUEURS'!$A$11:$A$46)&gt;6,'GESTION DES JOUEURS'!$Y$8="R"),_xlfn.XLOOKUP(A37,PTSRKTOURNOI[Clt],PTSRKTOURNOI[PR 3B],"",0,1),IF(AND(B37&lt;&gt;"",MAX('GESTION DES JOUEURS'!$A$11:$A$46)&gt;6,'GESTION DES JOUEURS'!$Y$8="Dames"),_xlfn.XLOOKUP(A37,PTSRKTOURNOI[Clt],PTSRKTOURNOI[[PR DAMES ]],"",0,1),IF(AND(B37&lt;&gt;"",'GESTION DES JOUEURS'!$Y$8="D"),_xlfn.XLOOKUP(A37,PTSRKMINITOURNOI[Clt],PTSRKMINITOURNOI[PR DISTRICT],"",0,1),"")))))))))</f>
        <v/>
      </c>
      <c r="AA37" s="451" t="str">
        <f>IF(AE37=0,"",IF('GESTION DES JOUEURS'!$D$8="Open","",_xlfn.XLOOKUP(B37,$CL$8:$CL$43,$DK$8:$DK$43,"",0,1)))</f>
        <v/>
      </c>
      <c r="AB37" s="451" t="str">
        <f t="shared" si="11"/>
        <v/>
      </c>
      <c r="AC37" s="451" t="str">
        <f t="shared" si="18"/>
        <v/>
      </c>
      <c r="AD37" s="451" t="str">
        <f t="shared" si="19"/>
        <v/>
      </c>
      <c r="AE37" s="538" t="str">
        <f t="shared" si="20"/>
        <v/>
      </c>
      <c r="AF37" s="451" t="str">
        <f t="shared" si="21"/>
        <v/>
      </c>
      <c r="AG37" s="456" t="str">
        <f t="shared" si="22"/>
        <v/>
      </c>
      <c r="AH37" s="456" t="str">
        <f t="shared" si="23"/>
        <v/>
      </c>
      <c r="AI37" s="446"/>
      <c r="AK37" s="733" t="s">
        <v>9888</v>
      </c>
      <c r="AV37" s="1224"/>
      <c r="AW37" s="244">
        <v>25</v>
      </c>
      <c r="AX37" s="244" t="str">
        <v/>
      </c>
      <c r="AY37" s="244" t="str">
        <v/>
      </c>
      <c r="AZ37" s="244">
        <v>0</v>
      </c>
      <c r="BA37" s="244" t="str">
        <v/>
      </c>
      <c r="BB37" s="244">
        <v>0</v>
      </c>
      <c r="BC37" s="244" t="str">
        <v/>
      </c>
      <c r="BD37" s="244">
        <v>0</v>
      </c>
      <c r="BE37" s="244">
        <v>0</v>
      </c>
      <c r="BF37" s="244">
        <v>0</v>
      </c>
      <c r="BG37" s="244">
        <v>0</v>
      </c>
      <c r="BH37" s="244">
        <v>0</v>
      </c>
      <c r="BI37" s="244" t="str">
        <v/>
      </c>
      <c r="BJ37" s="244" t="str">
        <v/>
      </c>
      <c r="BK37" s="244" t="str">
        <v/>
      </c>
      <c r="BL37" s="244" t="str">
        <v/>
      </c>
      <c r="BM37" s="244" t="str">
        <v/>
      </c>
      <c r="BN37" s="244" t="str">
        <v/>
      </c>
      <c r="BO37" s="244" t="str">
        <v/>
      </c>
      <c r="BV37" s="506"/>
      <c r="BW37" s="506">
        <f t="shared" si="30"/>
        <v>25</v>
      </c>
      <c r="BX37" s="506" t="str">
        <f t="shared" si="31"/>
        <v/>
      </c>
      <c r="BY37" s="506" t="str">
        <f t="shared" si="32"/>
        <v/>
      </c>
      <c r="BZ37" s="506" t="str">
        <f t="shared" si="33"/>
        <v/>
      </c>
      <c r="CA37" s="506" t="str">
        <f t="shared" si="34"/>
        <v/>
      </c>
      <c r="CB37" s="506" t="str">
        <f t="shared" si="35"/>
        <v/>
      </c>
      <c r="CC37" s="506" t="str">
        <f t="shared" si="36"/>
        <v/>
      </c>
      <c r="CD37" s="506" t="str">
        <f t="shared" si="37"/>
        <v/>
      </c>
      <c r="CE37" s="506" t="str">
        <f t="shared" si="3"/>
        <v/>
      </c>
      <c r="CF37" s="506" t="str">
        <f t="shared" si="4"/>
        <v/>
      </c>
      <c r="CG37" s="506">
        <f t="shared" si="5"/>
        <v>0</v>
      </c>
      <c r="CH37" s="506" t="str">
        <f t="shared" si="38"/>
        <v/>
      </c>
      <c r="CI37" s="244">
        <f>IF(BX37="",37,IF(BX37='Phase finale'!$C$38,1,IF(BX37='Phase finale'!$C$39,2,IF(BX37='Phase finale'!$C$40,3,IF(BX37='Phase finale'!$C$41,4,IF(BX37='Phase finale'!$C$42,5,IF(BX37='Phase finale'!$C$43,6,IF(BX37='Phase finale'!$C$44,7,IF(BX37='Phase finale'!$C$45,8,IF(OR(BX37='Phase finale'!F42,BX37='Phase finale'!$F$10,BX37='Phase finale'!$V$11,BX37='Phase finale'!$V$10),3,IF(OR(BX37='Phase finale'!F44,BX37='Phase finale'!F45,BX37='Phase finale'!F46,BX37='Phase finale'!F47,BX37='Phase finale'!V44,BX37='Phase finale'!V45,BX37='Phase finale'!V46,BX37='Phase finale'!V47),5,IF(_xlfn.XLOOKUP(BX37,Tableau19[Licence],Tableau19[Forfait],"",0,1)=TRUE,36,9))))))))))))</f>
        <v>37</v>
      </c>
      <c r="CL37" s="451">
        <f>IF('GESTION DES JOUEURS'!B40="",0,'GESTION DES JOUEURS'!B40)</f>
        <v>0</v>
      </c>
      <c r="CM37" s="453" t="str">
        <f t="shared" si="24"/>
        <v/>
      </c>
      <c r="CN37" s="453"/>
      <c r="CO37" s="453"/>
      <c r="CP37" s="453"/>
      <c r="CQ37" s="453"/>
      <c r="CR37" s="453"/>
      <c r="CS37" s="453" t="str">
        <f t="shared" si="12"/>
        <v/>
      </c>
      <c r="CT37" s="453"/>
      <c r="CU37" s="453"/>
      <c r="CV37" s="453"/>
      <c r="CW37" s="453"/>
      <c r="CX37" s="453" t="str">
        <f t="shared" si="13"/>
        <v/>
      </c>
      <c r="CY37" s="453"/>
      <c r="CZ37" s="453"/>
      <c r="DA37" s="453"/>
      <c r="DB37" s="453"/>
      <c r="DC37" s="453"/>
      <c r="DD37" s="453"/>
      <c r="DE37" s="453"/>
      <c r="DF37" s="453"/>
      <c r="DG37" s="453"/>
      <c r="DH37" s="509" t="str">
        <f t="shared" si="14"/>
        <v/>
      </c>
      <c r="DI37" s="509">
        <f>IFERROR(IF('GESTION DES JOUEURS'!$D$8="Open",_xlfn.XLOOKUP(RESULTATS!CL37,RESULTATS!$DW$8:$DW$43,RESULTATS!$EL$8:$EL$43,"",0,1),_xlfn.XLOOKUP(CL37,$BX$5:$BX$12,$BV$5:$BV$12,_xlfn.XLOOKUP(CL37,$AX$5:$AX$12,$AW$5:$AW$12,"",0,1),0,1)),"")</f>
        <v>2</v>
      </c>
      <c r="DJ37" s="453" t="str">
        <f t="shared" si="25"/>
        <v/>
      </c>
      <c r="DK37" s="453" t="str">
        <f>IF('GESTION DES JOUEURS'!$D$8="Poules",_xlfn.XLOOKUP(RESULTATS!CL37,'Phase finale'!$BV$7:$BV$42,'Phase finale'!$CM$7:$CM$42,"",0,1),IF(AND(CL37&lt;&gt;0,DQ37&gt;_xlfn.XLOOKUP('GESTION DES JOUEURS'!$D$4,Distances[Mode de jeu et cat.],Distances[M 3],"",0,1)),_xlfn.XLOOKUP('GESTION DES JOUEURS'!$D$4,Distances[Mode de jeu et cat.],Distances[BT3],"",0,1),IF(AND(CL37&lt;&gt;0,DQ37&gt;_xlfn.XLOOKUP('GESTION DES JOUEURS'!$D$4,Distances[Mode de jeu et cat.],Distances[M 2],"",0,1)),_xlfn.XLOOKUP('GESTION DES JOUEURS'!$D$4,Distances[Mode de jeu et cat.],Distances[BT2],"",0,1),IF(AND(CL37&lt;&gt;0,DQ37&gt;_xlfn.XLOOKUP('GESTION DES JOUEURS'!$D$4,Distances[Mode de jeu et cat.],Distances[M 1],"",0,1)),_xlfn.XLOOKUP('GESTION DES JOUEURS'!$D$4,Distances[Mode de jeu et cat.],Distances[BT1],"",0,1),0))))</f>
        <v/>
      </c>
      <c r="DL37" s="453">
        <f t="shared" si="26"/>
        <v>0</v>
      </c>
      <c r="DM37" s="453" t="str">
        <f>IF('GESTION DES JOUEURS'!$D$8="Open",_xlfn.XLOOKUP(CL37,RESULTATS!$DW$8:$DW$43,RESULTATS!$EH$8:$EH$43,"",0,1),_xlfn.XLOOKUP(CL37,$BX$5:$BX$48,$CH$5:$CH$48,"",0,1))</f>
        <v/>
      </c>
      <c r="DN37" s="451" t="str">
        <f>IFERROR(SUM(_xlfn.XLOOKUP(CL37,_xlfn.ANCHORARRAY('Phase finale'!$DK$7),'Phase finale'!$DP$7:$DP$42,"",0,1),_xlfn.XLOOKUP(CL37,_xlfn.ANCHORARRAY('Phase finale'!$DK$7),'Phase finale'!$DL$7:$DL$42,"",0,1)),"")</f>
        <v/>
      </c>
      <c r="DO37" s="451" t="str">
        <f>IFERROR(SUM(_xlfn.XLOOKUP(CL37,_xlfn.ANCHORARRAY('Phase finale'!$DK$7),'Phase finale'!$DQ$7:$DQ$42,"",0,1),_xlfn.XLOOKUP(CL37,_xlfn.ANCHORARRAY('Phase finale'!$DK$7),'Phase finale'!$DM$7:$DM$42,"",0,1)),"")</f>
        <v/>
      </c>
      <c r="DP37" s="517" t="str">
        <f t="shared" si="27"/>
        <v/>
      </c>
      <c r="DQ37" s="456" t="str">
        <f t="shared" si="28"/>
        <v/>
      </c>
      <c r="DR37" s="456">
        <f t="shared" si="29"/>
        <v>0</v>
      </c>
      <c r="DS37" s="518">
        <f t="shared" si="15"/>
        <v>37</v>
      </c>
      <c r="DU37" s="244">
        <v>30</v>
      </c>
      <c r="DV37" s="244">
        <v>14</v>
      </c>
      <c r="DW37" s="244" t="str">
        <v/>
      </c>
      <c r="DX37" s="244" t="str">
        <v/>
      </c>
      <c r="DY37" s="244">
        <v>0</v>
      </c>
      <c r="DZ37" s="244" t="str">
        <v/>
      </c>
      <c r="EA37" s="244">
        <v>0</v>
      </c>
      <c r="EB37" s="244">
        <v>0</v>
      </c>
      <c r="EC37" s="244" t="str">
        <v/>
      </c>
      <c r="ED37" s="244">
        <v>0</v>
      </c>
      <c r="EE37" s="244">
        <v>0</v>
      </c>
      <c r="EF37" s="244">
        <v>0</v>
      </c>
      <c r="EG37" s="244" t="str">
        <v/>
      </c>
      <c r="EH37" s="244" t="str">
        <v/>
      </c>
      <c r="EI37" s="244" t="e">
        <v>#DIV/0!</v>
      </c>
      <c r="EJ37" s="244">
        <v>0</v>
      </c>
      <c r="EK37" s="244">
        <v>0</v>
      </c>
      <c r="EL37" s="244" t="str">
        <v/>
      </c>
      <c r="EM37" s="244">
        <v>0</v>
      </c>
      <c r="EN37" s="244">
        <v>0</v>
      </c>
    </row>
    <row r="38" spans="1:144" ht="24" customHeight="1" thickBot="1" x14ac:dyDescent="0.35">
      <c r="A38" s="452" t="str">
        <f>IF('GESTION DES JOUEURS'!A40=MAX('GESTION DES JOUEURS'!$A$10:'GESTION DES JOUEURS'!$A$46),"",A37+1)</f>
        <v/>
      </c>
      <c r="B38" s="451" t="str">
        <v/>
      </c>
      <c r="C38" s="1218" t="str">
        <f>_xlfn.XLOOKUP(B38,Tableau19[Licence],Tableau19[Nom],"",0,1)</f>
        <v/>
      </c>
      <c r="D38" s="1218"/>
      <c r="E38" s="1218"/>
      <c r="F38" s="1218"/>
      <c r="G38" s="1218"/>
      <c r="H38" s="1218"/>
      <c r="I38" s="1218" t="str">
        <f>_xlfn.XLOOKUP(B38,Tableau19[Licence],Tableau19[[prénom ]],"",0,1)</f>
        <v/>
      </c>
      <c r="J38" s="1218"/>
      <c r="K38" s="1218"/>
      <c r="L38" s="1218"/>
      <c r="M38" s="1218"/>
      <c r="N38" s="1218" t="str">
        <f>_xlfn.XLOOKUP(B38,Tableau19[Licence],Tableau19[Club],"",0,1)</f>
        <v/>
      </c>
      <c r="O38" s="1218"/>
      <c r="P38" s="1218"/>
      <c r="Q38" s="1218"/>
      <c r="R38" s="1218"/>
      <c r="S38" s="1218"/>
      <c r="T38" s="1218"/>
      <c r="U38" s="1218"/>
      <c r="V38" s="1218"/>
      <c r="W38" s="1218"/>
      <c r="X38" s="455" t="str">
        <f t="shared" si="16"/>
        <v/>
      </c>
      <c r="Y38" s="455" t="str">
        <f t="shared" si="17"/>
        <v/>
      </c>
      <c r="Z38" s="451" t="str">
        <f>IF(B38="","",IF('GESTION DES JOUEURS'!$D$8="Open","",IF(AND('GESTION DES JOUEURS'!$D$8="poules",A38&lt;&gt;""),_xlfn.XLOOKUP(RESULTATS!B38,'Phase finale'!$BV$7:$BV$42,'Phase finale'!$CL$7:$CL$42,"",0,1),IF(AND(B38&lt;&gt;"",MAX('GESTION DES JOUEURS'!$A$11:$A$46)&gt;6,'GESTION DES JOUEURS'!$Y$8="JDSR"),_xlfn.XLOOKUP(A38,PTSRKMINITOURNOI[Clt],PTSRKMINITOURNOI[PR JDS 9],"",0,1),IF(AND(B38&lt;&gt;"",MAX('GESTION DES JOUEURS'!$A$11:$A$46)&lt;7,'GESTION DES JOUEURS'!$Y$8="JDSR"),_xlfn.XLOOKUP(A38,PTSRKMINITOURNOI[Clt],PTSRKMINITOURNOI[PR JDS],"",0,1),IF(AND(B38&lt;&gt;"",MAX('GESTION DES JOUEURS'!$A$11:$A$46)&lt;7,'GESTION DES JOUEURS'!$Y$8="R"),_xlfn.XLOOKUP(A38,PTSRKMINITOURNOI[Clt],PTSRKMINITOURNOI[PR 3B],"",0,1),IF(AND(B38&lt;&gt;"",MAX('GESTION DES JOUEURS'!$A$11:$A$46)&gt;6,'GESTION DES JOUEURS'!$Y$8="R"),_xlfn.XLOOKUP(A38,PTSRKTOURNOI[Clt],PTSRKTOURNOI[PR 3B],"",0,1),IF(AND(B38&lt;&gt;"",MAX('GESTION DES JOUEURS'!$A$11:$A$46)&gt;6,'GESTION DES JOUEURS'!$Y$8="Dames"),_xlfn.XLOOKUP(A38,PTSRKTOURNOI[Clt],PTSRKTOURNOI[[PR DAMES ]],"",0,1),IF(AND(B38&lt;&gt;"",'GESTION DES JOUEURS'!$Y$8="D"),_xlfn.XLOOKUP(A38,PTSRKMINITOURNOI[Clt],PTSRKMINITOURNOI[PR DISTRICT],"",0,1),"")))))))))</f>
        <v/>
      </c>
      <c r="AA38" s="451" t="str">
        <f>IF(AE38=0,"",IF('GESTION DES JOUEURS'!$D$8="Open","",_xlfn.XLOOKUP(B38,$CL$8:$CL$43,$DK$8:$DK$43,"",0,1)))</f>
        <v/>
      </c>
      <c r="AB38" s="451" t="str">
        <f t="shared" si="11"/>
        <v/>
      </c>
      <c r="AC38" s="451" t="str">
        <f t="shared" si="18"/>
        <v/>
      </c>
      <c r="AD38" s="451" t="str">
        <f t="shared" si="19"/>
        <v/>
      </c>
      <c r="AE38" s="538" t="str">
        <f t="shared" si="20"/>
        <v/>
      </c>
      <c r="AF38" s="451" t="str">
        <f t="shared" si="21"/>
        <v/>
      </c>
      <c r="AG38" s="456" t="str">
        <f t="shared" si="22"/>
        <v/>
      </c>
      <c r="AH38" s="456" t="str">
        <f t="shared" si="23"/>
        <v/>
      </c>
      <c r="AI38" s="446"/>
      <c r="AK38" s="734"/>
      <c r="AV38" s="1224"/>
      <c r="AW38" s="244">
        <v>26</v>
      </c>
      <c r="AX38" s="244" t="str">
        <v>118031R</v>
      </c>
      <c r="AY38" s="244" t="str">
        <v>LE HUAN CUA</v>
      </c>
      <c r="AZ38" s="244">
        <v>0</v>
      </c>
      <c r="BA38" s="244" t="str">
        <v>TRAN</v>
      </c>
      <c r="BB38" s="244">
        <v>0</v>
      </c>
      <c r="BC38" s="244" t="str">
        <v>ACADEMIE DE BILLARD DE MAISONS ALFORT</v>
      </c>
      <c r="BD38" s="244">
        <v>0</v>
      </c>
      <c r="BE38" s="244">
        <v>0</v>
      </c>
      <c r="BF38" s="244">
        <v>0</v>
      </c>
      <c r="BG38" s="244">
        <v>0</v>
      </c>
      <c r="BH38" s="244">
        <v>0</v>
      </c>
      <c r="BI38" s="244">
        <v>4</v>
      </c>
      <c r="BJ38" s="244">
        <v>4.166666666666667</v>
      </c>
      <c r="BK38" s="244">
        <v>4.3478260869565215</v>
      </c>
      <c r="BL38" s="244">
        <v>20</v>
      </c>
      <c r="BM38" s="244">
        <v>1</v>
      </c>
      <c r="BN38" s="244">
        <v>8</v>
      </c>
      <c r="BO38" s="244">
        <v>4</v>
      </c>
      <c r="BV38" s="506"/>
      <c r="BW38" s="506">
        <f t="shared" si="30"/>
        <v>26</v>
      </c>
      <c r="BX38" s="506" t="str">
        <f t="shared" si="31"/>
        <v>118031R</v>
      </c>
      <c r="BY38" s="506" t="str">
        <f t="shared" si="32"/>
        <v>LE HUAN CUA</v>
      </c>
      <c r="BZ38" s="506" t="str">
        <f t="shared" si="33"/>
        <v>TRAN</v>
      </c>
      <c r="CA38" s="506" t="str">
        <f t="shared" si="34"/>
        <v>ACADEMIE DE BILLARD DE MAISONS ALFORT</v>
      </c>
      <c r="CB38" s="506">
        <f t="shared" si="35"/>
        <v>4.166666666666667</v>
      </c>
      <c r="CC38" s="506">
        <f t="shared" si="36"/>
        <v>4.3478260869565215</v>
      </c>
      <c r="CD38" s="506">
        <f t="shared" si="37"/>
        <v>20</v>
      </c>
      <c r="CE38" s="506">
        <f t="shared" si="3"/>
        <v>8</v>
      </c>
      <c r="CF38" s="506">
        <f t="shared" si="4"/>
        <v>4</v>
      </c>
      <c r="CG38" s="506">
        <f t="shared" si="5"/>
        <v>12</v>
      </c>
      <c r="CH38" s="506">
        <f t="shared" si="38"/>
        <v>4</v>
      </c>
      <c r="CI38" s="244">
        <f>IF(BX38="",37,IF(BX38='Phase finale'!$C$38,1,IF(BX38='Phase finale'!$C$39,2,IF(BX38='Phase finale'!$C$40,3,IF(BX38='Phase finale'!$C$41,4,IF(BX38='Phase finale'!$C$42,5,IF(BX38='Phase finale'!$C$43,6,IF(BX38='Phase finale'!$C$44,7,IF(BX38='Phase finale'!$C$45,8,IF(OR(BX38='Phase finale'!F43,BX38='Phase finale'!$F$10,BX38='Phase finale'!$V$11,BX38='Phase finale'!$V$10),3,IF(OR(BX38='Phase finale'!F45,BX38='Phase finale'!F46,BX38='Phase finale'!F47,BX38='Phase finale'!F48,BX38='Phase finale'!V45,BX38='Phase finale'!V46,BX38='Phase finale'!V47,BX38='Phase finale'!V48),5,IF(_xlfn.XLOOKUP(BX38,Tableau19[Licence],Tableau19[Forfait],"",0,1)=TRUE,36,9))))))))))))</f>
        <v>9</v>
      </c>
      <c r="CL38" s="451">
        <f>IF('GESTION DES JOUEURS'!B41="",0,'GESTION DES JOUEURS'!B41)</f>
        <v>0</v>
      </c>
      <c r="CM38" s="453" t="str">
        <f t="shared" si="24"/>
        <v/>
      </c>
      <c r="CN38" s="453"/>
      <c r="CO38" s="453"/>
      <c r="CP38" s="453"/>
      <c r="CQ38" s="453"/>
      <c r="CR38" s="453"/>
      <c r="CS38" s="453" t="str">
        <f t="shared" si="12"/>
        <v/>
      </c>
      <c r="CT38" s="453"/>
      <c r="CU38" s="453"/>
      <c r="CV38" s="453"/>
      <c r="CW38" s="453"/>
      <c r="CX38" s="453" t="str">
        <f t="shared" si="13"/>
        <v/>
      </c>
      <c r="CY38" s="453"/>
      <c r="CZ38" s="453"/>
      <c r="DA38" s="453"/>
      <c r="DB38" s="453"/>
      <c r="DC38" s="453"/>
      <c r="DD38" s="453"/>
      <c r="DE38" s="453"/>
      <c r="DF38" s="453"/>
      <c r="DG38" s="453"/>
      <c r="DH38" s="509" t="str">
        <f t="shared" si="14"/>
        <v/>
      </c>
      <c r="DI38" s="509">
        <f>IFERROR(IF('GESTION DES JOUEURS'!$D$8="Open",_xlfn.XLOOKUP(RESULTATS!CL38,RESULTATS!$DW$8:$DW$43,RESULTATS!$EL$8:$EL$43,"",0,1),_xlfn.XLOOKUP(CL38,$BX$5:$BX$12,$BV$5:$BV$12,_xlfn.XLOOKUP(CL38,$AX$5:$AX$12,$AW$5:$AW$12,"",0,1),0,1)),"")</f>
        <v>2</v>
      </c>
      <c r="DJ38" s="453" t="str">
        <f t="shared" si="25"/>
        <v/>
      </c>
      <c r="DK38" s="453" t="str">
        <f>IF('GESTION DES JOUEURS'!$D$8="Poules",_xlfn.XLOOKUP(RESULTATS!CL38,'Phase finale'!$BV$7:$BV$42,'Phase finale'!$CM$7:$CM$42,"",0,1),IF(AND(CL38&lt;&gt;0,DQ38&gt;_xlfn.XLOOKUP('GESTION DES JOUEURS'!$D$4,Distances[Mode de jeu et cat.],Distances[M 3],"",0,1)),_xlfn.XLOOKUP('GESTION DES JOUEURS'!$D$4,Distances[Mode de jeu et cat.],Distances[BT3],"",0,1),IF(AND(CL38&lt;&gt;0,DQ38&gt;_xlfn.XLOOKUP('GESTION DES JOUEURS'!$D$4,Distances[Mode de jeu et cat.],Distances[M 2],"",0,1)),_xlfn.XLOOKUP('GESTION DES JOUEURS'!$D$4,Distances[Mode de jeu et cat.],Distances[BT2],"",0,1),IF(AND(CL38&lt;&gt;0,DQ38&gt;_xlfn.XLOOKUP('GESTION DES JOUEURS'!$D$4,Distances[Mode de jeu et cat.],Distances[M 1],"",0,1)),_xlfn.XLOOKUP('GESTION DES JOUEURS'!$D$4,Distances[Mode de jeu et cat.],Distances[BT1],"",0,1),0))))</f>
        <v/>
      </c>
      <c r="DL38" s="453">
        <f t="shared" si="26"/>
        <v>0</v>
      </c>
      <c r="DM38" s="453" t="str">
        <f>IF('GESTION DES JOUEURS'!$D$8="Open",_xlfn.XLOOKUP(CL38,RESULTATS!$DW$8:$DW$43,RESULTATS!$EH$8:$EH$43,"",0,1),_xlfn.XLOOKUP(CL38,$BX$5:$BX$48,$CH$5:$CH$48,"",0,1))</f>
        <v/>
      </c>
      <c r="DN38" s="451" t="str">
        <f>IFERROR(SUM(_xlfn.XLOOKUP(CL38,_xlfn.ANCHORARRAY('Phase finale'!$DK$7),'Phase finale'!$DP$7:$DP$42,"",0,1),_xlfn.XLOOKUP(CL38,_xlfn.ANCHORARRAY('Phase finale'!$DK$7),'Phase finale'!$DL$7:$DL$42,"",0,1)),"")</f>
        <v/>
      </c>
      <c r="DO38" s="451" t="str">
        <f>IFERROR(SUM(_xlfn.XLOOKUP(CL38,_xlfn.ANCHORARRAY('Phase finale'!$DK$7),'Phase finale'!$DQ$7:$DQ$42,"",0,1),_xlfn.XLOOKUP(CL38,_xlfn.ANCHORARRAY('Phase finale'!$DK$7),'Phase finale'!$DM$7:$DM$42,"",0,1)),"")</f>
        <v/>
      </c>
      <c r="DP38" s="517" t="str">
        <f t="shared" si="27"/>
        <v/>
      </c>
      <c r="DQ38" s="456" t="str">
        <f t="shared" si="28"/>
        <v/>
      </c>
      <c r="DR38" s="456">
        <f t="shared" si="29"/>
        <v>0</v>
      </c>
      <c r="DS38" s="518">
        <f t="shared" si="15"/>
        <v>37</v>
      </c>
      <c r="DU38" s="244">
        <v>31</v>
      </c>
      <c r="DV38" s="244">
        <v>15</v>
      </c>
      <c r="DW38" s="244" t="str">
        <v/>
      </c>
      <c r="DX38" s="244" t="str">
        <v/>
      </c>
      <c r="DY38" s="244">
        <v>0</v>
      </c>
      <c r="DZ38" s="244" t="str">
        <v/>
      </c>
      <c r="EA38" s="244">
        <v>0</v>
      </c>
      <c r="EB38" s="244">
        <v>0</v>
      </c>
      <c r="EC38" s="244" t="str">
        <v/>
      </c>
      <c r="ED38" s="244">
        <v>0</v>
      </c>
      <c r="EE38" s="244">
        <v>0</v>
      </c>
      <c r="EF38" s="244">
        <v>0</v>
      </c>
      <c r="EG38" s="244" t="str">
        <v/>
      </c>
      <c r="EH38" s="244" t="str">
        <v/>
      </c>
      <c r="EI38" s="244" t="e">
        <v>#DIV/0!</v>
      </c>
      <c r="EJ38" s="244">
        <v>0</v>
      </c>
      <c r="EK38" s="244">
        <v>0</v>
      </c>
      <c r="EL38" s="244" t="str">
        <v/>
      </c>
      <c r="EM38" s="244">
        <v>0</v>
      </c>
      <c r="EN38" s="244">
        <v>0</v>
      </c>
    </row>
    <row r="39" spans="1:144" ht="24" customHeight="1" thickBot="1" x14ac:dyDescent="0.35">
      <c r="A39" s="452" t="str">
        <f>IF('GESTION DES JOUEURS'!A41=MAX('GESTION DES JOUEURS'!$A$10:'GESTION DES JOUEURS'!$A$46),"",A38+1)</f>
        <v/>
      </c>
      <c r="B39" s="451" t="str">
        <v/>
      </c>
      <c r="C39" s="1218" t="str">
        <f>_xlfn.XLOOKUP(B39,Tableau19[Licence],Tableau19[Nom],"",0,1)</f>
        <v/>
      </c>
      <c r="D39" s="1218"/>
      <c r="E39" s="1218"/>
      <c r="F39" s="1218"/>
      <c r="G39" s="1218"/>
      <c r="H39" s="1218"/>
      <c r="I39" s="1218" t="str">
        <f>_xlfn.XLOOKUP(B39,Tableau19[Licence],Tableau19[[prénom ]],"",0,1)</f>
        <v/>
      </c>
      <c r="J39" s="1218"/>
      <c r="K39" s="1218"/>
      <c r="L39" s="1218"/>
      <c r="M39" s="1218"/>
      <c r="N39" s="1218" t="str">
        <f>_xlfn.XLOOKUP(B39,Tableau19[Licence],Tableau19[Club],"",0,1)</f>
        <v/>
      </c>
      <c r="O39" s="1218"/>
      <c r="P39" s="1218"/>
      <c r="Q39" s="1218"/>
      <c r="R39" s="1218"/>
      <c r="S39" s="1218"/>
      <c r="T39" s="1218"/>
      <c r="U39" s="1218"/>
      <c r="V39" s="1218"/>
      <c r="W39" s="1218"/>
      <c r="X39" s="455" t="str">
        <f t="shared" si="16"/>
        <v/>
      </c>
      <c r="Y39" s="455" t="str">
        <f t="shared" si="17"/>
        <v/>
      </c>
      <c r="Z39" s="451" t="str">
        <f>IF(B39="","",IF('GESTION DES JOUEURS'!$D$8="Open","",IF(AND('GESTION DES JOUEURS'!$D$8="poules",A39&lt;&gt;""),_xlfn.XLOOKUP(RESULTATS!B39,'Phase finale'!$BV$7:$BV$42,'Phase finale'!$CL$7:$CL$42,"",0,1),IF(AND(B39&lt;&gt;"",MAX('GESTION DES JOUEURS'!$A$11:$A$46)&gt;6,'GESTION DES JOUEURS'!$Y$8="JDSR"),_xlfn.XLOOKUP(A39,PTSRKMINITOURNOI[Clt],PTSRKMINITOURNOI[PR JDS 9],"",0,1),IF(AND(B39&lt;&gt;"",MAX('GESTION DES JOUEURS'!$A$11:$A$46)&lt;7,'GESTION DES JOUEURS'!$Y$8="JDSR"),_xlfn.XLOOKUP(A39,PTSRKMINITOURNOI[Clt],PTSRKMINITOURNOI[PR JDS],"",0,1),IF(AND(B39&lt;&gt;"",MAX('GESTION DES JOUEURS'!$A$11:$A$46)&lt;7,'GESTION DES JOUEURS'!$Y$8="R"),_xlfn.XLOOKUP(A39,PTSRKMINITOURNOI[Clt],PTSRKMINITOURNOI[PR 3B],"",0,1),IF(AND(B39&lt;&gt;"",MAX('GESTION DES JOUEURS'!$A$11:$A$46)&gt;6,'GESTION DES JOUEURS'!$Y$8="R"),_xlfn.XLOOKUP(A39,PTSRKTOURNOI[Clt],PTSRKTOURNOI[PR 3B],"",0,1),IF(AND(B39&lt;&gt;"",MAX('GESTION DES JOUEURS'!$A$11:$A$46)&gt;6,'GESTION DES JOUEURS'!$Y$8="Dames"),_xlfn.XLOOKUP(A39,PTSRKTOURNOI[Clt],PTSRKTOURNOI[[PR DAMES ]],"",0,1),IF(AND(B39&lt;&gt;"",'GESTION DES JOUEURS'!$Y$8="D"),_xlfn.XLOOKUP(A39,PTSRKMINITOURNOI[Clt],PTSRKMINITOURNOI[PR DISTRICT],"",0,1),"")))))))))</f>
        <v/>
      </c>
      <c r="AA39" s="451" t="str">
        <f>IF(AE39=0,"",IF('GESTION DES JOUEURS'!$D$8="Open","",_xlfn.XLOOKUP(B39,$CL$8:$CL$43,$DK$8:$DK$43,"",0,1)))</f>
        <v/>
      </c>
      <c r="AB39" s="451" t="str">
        <f t="shared" si="11"/>
        <v/>
      </c>
      <c r="AC39" s="451" t="str">
        <f t="shared" si="18"/>
        <v/>
      </c>
      <c r="AD39" s="451" t="str">
        <f t="shared" si="19"/>
        <v/>
      </c>
      <c r="AE39" s="538" t="str">
        <f t="shared" si="20"/>
        <v/>
      </c>
      <c r="AF39" s="451" t="str">
        <f t="shared" si="21"/>
        <v/>
      </c>
      <c r="AG39" s="456" t="str">
        <f t="shared" si="22"/>
        <v/>
      </c>
      <c r="AH39" s="456" t="str">
        <f t="shared" si="23"/>
        <v/>
      </c>
      <c r="AI39" s="446"/>
      <c r="AV39" s="1224"/>
      <c r="AW39" s="244">
        <v>27</v>
      </c>
      <c r="AX39" s="244" t="str">
        <v>111337F</v>
      </c>
      <c r="AY39" s="244" t="str">
        <v>GONTHIER</v>
      </c>
      <c r="AZ39" s="244">
        <v>0</v>
      </c>
      <c r="BA39" s="244" t="str">
        <v>ARNAUD</v>
      </c>
      <c r="BB39" s="244">
        <v>0</v>
      </c>
      <c r="BC39" s="244" t="str">
        <v>ASS. BILLARD AMATEUR DE SAINT MAUR</v>
      </c>
      <c r="BD39" s="244">
        <v>0</v>
      </c>
      <c r="BE39" s="244">
        <v>0</v>
      </c>
      <c r="BF39" s="244">
        <v>0</v>
      </c>
      <c r="BG39" s="244">
        <v>0</v>
      </c>
      <c r="BH39" s="244">
        <v>0</v>
      </c>
      <c r="BI39" s="244">
        <v>4</v>
      </c>
      <c r="BJ39" s="244">
        <v>3.0303030303030303</v>
      </c>
      <c r="BK39" s="244">
        <v>3.5714285714285716</v>
      </c>
      <c r="BL39" s="244">
        <v>19</v>
      </c>
      <c r="BM39" s="244">
        <v>1</v>
      </c>
      <c r="BN39" s="244">
        <v>8</v>
      </c>
      <c r="BO39" s="244">
        <v>2</v>
      </c>
      <c r="BV39" s="506"/>
      <c r="BW39" s="506">
        <f t="shared" si="30"/>
        <v>27</v>
      </c>
      <c r="BX39" s="506" t="str">
        <f t="shared" si="31"/>
        <v>111337F</v>
      </c>
      <c r="BY39" s="506" t="str">
        <f t="shared" si="32"/>
        <v>GONTHIER</v>
      </c>
      <c r="BZ39" s="506" t="str">
        <f t="shared" si="33"/>
        <v>ARNAUD</v>
      </c>
      <c r="CA39" s="506" t="str">
        <f t="shared" si="34"/>
        <v>ASS. BILLARD AMATEUR DE SAINT MAUR</v>
      </c>
      <c r="CB39" s="506">
        <f t="shared" si="35"/>
        <v>3.0303030303030303</v>
      </c>
      <c r="CC39" s="506">
        <f t="shared" si="36"/>
        <v>3.5714285714285716</v>
      </c>
      <c r="CD39" s="506">
        <f t="shared" si="37"/>
        <v>19</v>
      </c>
      <c r="CE39" s="506">
        <f t="shared" si="3"/>
        <v>8</v>
      </c>
      <c r="CF39" s="506">
        <f t="shared" si="4"/>
        <v>2</v>
      </c>
      <c r="CG39" s="506">
        <f t="shared" si="5"/>
        <v>10</v>
      </c>
      <c r="CH39" s="506">
        <f t="shared" si="38"/>
        <v>4</v>
      </c>
      <c r="CI39" s="244">
        <f>IF(BX39="",37,IF(BX39='Phase finale'!$C$38,1,IF(BX39='Phase finale'!$C$39,2,IF(BX39='Phase finale'!$C$40,3,IF(BX39='Phase finale'!$C$41,4,IF(BX39='Phase finale'!$C$42,5,IF(BX39='Phase finale'!$C$43,6,IF(BX39='Phase finale'!$C$44,7,IF(BX39='Phase finale'!$C$45,8,IF(OR(BX39='Phase finale'!F44,BX39='Phase finale'!$F$10,BX39='Phase finale'!$V$11,BX39='Phase finale'!$V$10),3,IF(OR(BX39='Phase finale'!F46,BX39='Phase finale'!F47,BX39='Phase finale'!F48,BX39='Phase finale'!F49,BX39='Phase finale'!V46,BX39='Phase finale'!V47,BX39='Phase finale'!V48,BX39='Phase finale'!V49),5,IF(_xlfn.XLOOKUP(BX39,Tableau19[Licence],Tableau19[Forfait],"",0,1)=TRUE,36,9))))))))))))</f>
        <v>9</v>
      </c>
      <c r="CL39" s="451">
        <f>IF('GESTION DES JOUEURS'!B42="",0,'GESTION DES JOUEURS'!B42)</f>
        <v>0</v>
      </c>
      <c r="CM39" s="453" t="str">
        <f t="shared" si="24"/>
        <v/>
      </c>
      <c r="CN39" s="453"/>
      <c r="CO39" s="453"/>
      <c r="CP39" s="453"/>
      <c r="CQ39" s="453"/>
      <c r="CR39" s="453"/>
      <c r="CS39" s="453" t="str">
        <f t="shared" si="12"/>
        <v/>
      </c>
      <c r="CT39" s="453"/>
      <c r="CU39" s="453"/>
      <c r="CV39" s="453"/>
      <c r="CW39" s="453"/>
      <c r="CX39" s="453" t="str">
        <f t="shared" si="13"/>
        <v/>
      </c>
      <c r="CY39" s="453"/>
      <c r="CZ39" s="453"/>
      <c r="DA39" s="453"/>
      <c r="DB39" s="453"/>
      <c r="DC39" s="453"/>
      <c r="DD39" s="453"/>
      <c r="DE39" s="453"/>
      <c r="DF39" s="453"/>
      <c r="DG39" s="453"/>
      <c r="DH39" s="509" t="str">
        <f t="shared" si="14"/>
        <v/>
      </c>
      <c r="DI39" s="509">
        <f>IFERROR(IF('GESTION DES JOUEURS'!$D$8="Open",_xlfn.XLOOKUP(RESULTATS!CL39,RESULTATS!$DW$8:$DW$43,RESULTATS!$EL$8:$EL$43,"",0,1),_xlfn.XLOOKUP(CL39,$BX$5:$BX$12,$BV$5:$BV$12,_xlfn.XLOOKUP(CL39,$AX$5:$AX$12,$AW$5:$AW$12,"",0,1),0,1)),"")</f>
        <v>2</v>
      </c>
      <c r="DJ39" s="453" t="str">
        <f t="shared" si="25"/>
        <v/>
      </c>
      <c r="DK39" s="453" t="str">
        <f>IF('GESTION DES JOUEURS'!$D$8="Poules",_xlfn.XLOOKUP(RESULTATS!CL39,'Phase finale'!$BV$7:$BV$42,'Phase finale'!$CM$7:$CM$42,"",0,1),IF(AND(CL39&lt;&gt;0,DQ39&gt;_xlfn.XLOOKUP('GESTION DES JOUEURS'!$D$4,Distances[Mode de jeu et cat.],Distances[M 3],"",0,1)),_xlfn.XLOOKUP('GESTION DES JOUEURS'!$D$4,Distances[Mode de jeu et cat.],Distances[BT3],"",0,1),IF(AND(CL39&lt;&gt;0,DQ39&gt;_xlfn.XLOOKUP('GESTION DES JOUEURS'!$D$4,Distances[Mode de jeu et cat.],Distances[M 2],"",0,1)),_xlfn.XLOOKUP('GESTION DES JOUEURS'!$D$4,Distances[Mode de jeu et cat.],Distances[BT2],"",0,1),IF(AND(CL39&lt;&gt;0,DQ39&gt;_xlfn.XLOOKUP('GESTION DES JOUEURS'!$D$4,Distances[Mode de jeu et cat.],Distances[M 1],"",0,1)),_xlfn.XLOOKUP('GESTION DES JOUEURS'!$D$4,Distances[Mode de jeu et cat.],Distances[BT1],"",0,1),0))))</f>
        <v/>
      </c>
      <c r="DL39" s="453">
        <f t="shared" si="26"/>
        <v>0</v>
      </c>
      <c r="DM39" s="453" t="str">
        <f>IF('GESTION DES JOUEURS'!$D$8="Open",_xlfn.XLOOKUP(CL39,RESULTATS!$DW$8:$DW$43,RESULTATS!$EH$8:$EH$43,"",0,1),_xlfn.XLOOKUP(CL39,$BX$5:$BX$48,$CH$5:$CH$48,"",0,1))</f>
        <v/>
      </c>
      <c r="DN39" s="451" t="str">
        <f>IFERROR(SUM(_xlfn.XLOOKUP(CL39,_xlfn.ANCHORARRAY('Phase finale'!$DK$7),'Phase finale'!$DP$7:$DP$42,"",0,1),_xlfn.XLOOKUP(CL39,_xlfn.ANCHORARRAY('Phase finale'!$DK$7),'Phase finale'!$DL$7:$DL$42,"",0,1)),"")</f>
        <v/>
      </c>
      <c r="DO39" s="451" t="str">
        <f>IFERROR(SUM(_xlfn.XLOOKUP(CL39,_xlfn.ANCHORARRAY('Phase finale'!$DK$7),'Phase finale'!$DQ$7:$DQ$42,"",0,1),_xlfn.XLOOKUP(CL39,_xlfn.ANCHORARRAY('Phase finale'!$DK$7),'Phase finale'!$DM$7:$DM$42,"",0,1)),"")</f>
        <v/>
      </c>
      <c r="DP39" s="517" t="str">
        <f t="shared" si="27"/>
        <v/>
      </c>
      <c r="DQ39" s="456" t="str">
        <f t="shared" si="28"/>
        <v/>
      </c>
      <c r="DR39" s="456">
        <f t="shared" si="29"/>
        <v>0</v>
      </c>
      <c r="DS39" s="518">
        <f t="shared" si="15"/>
        <v>37</v>
      </c>
      <c r="DU39" s="244">
        <v>32</v>
      </c>
      <c r="DV39" s="244">
        <v>16</v>
      </c>
      <c r="DW39" s="244" t="str">
        <v/>
      </c>
      <c r="DX39" s="244" t="str">
        <v/>
      </c>
      <c r="DY39" s="244">
        <v>0</v>
      </c>
      <c r="DZ39" s="244" t="str">
        <v/>
      </c>
      <c r="EA39" s="244">
        <v>0</v>
      </c>
      <c r="EB39" s="244">
        <v>0</v>
      </c>
      <c r="EC39" s="244" t="str">
        <v/>
      </c>
      <c r="ED39" s="244">
        <v>0</v>
      </c>
      <c r="EE39" s="244">
        <v>0</v>
      </c>
      <c r="EF39" s="244">
        <v>0</v>
      </c>
      <c r="EG39" s="244" t="str">
        <v/>
      </c>
      <c r="EH39" s="244" t="str">
        <v/>
      </c>
      <c r="EI39" s="244" t="e">
        <v>#DIV/0!</v>
      </c>
      <c r="EJ39" s="244">
        <v>0</v>
      </c>
      <c r="EK39" s="244">
        <v>0</v>
      </c>
      <c r="EL39" s="244" t="str">
        <v/>
      </c>
      <c r="EM39" s="244">
        <v>0</v>
      </c>
      <c r="EN39" s="244">
        <v>0</v>
      </c>
    </row>
    <row r="40" spans="1:144" ht="24" customHeight="1" x14ac:dyDescent="0.3">
      <c r="A40" s="452" t="str">
        <f>IF('GESTION DES JOUEURS'!A42=MAX('GESTION DES JOUEURS'!$A$10:'GESTION DES JOUEURS'!$A$46),"",A39+1)</f>
        <v/>
      </c>
      <c r="B40" s="451" t="str">
        <v/>
      </c>
      <c r="C40" s="1218" t="str">
        <f>_xlfn.XLOOKUP(B40,Tableau19[Licence],Tableau19[Nom],"",0,1)</f>
        <v/>
      </c>
      <c r="D40" s="1218"/>
      <c r="E40" s="1218"/>
      <c r="F40" s="1218"/>
      <c r="G40" s="1218"/>
      <c r="H40" s="1218"/>
      <c r="I40" s="1218" t="str">
        <f>_xlfn.XLOOKUP(B40,Tableau19[Licence],Tableau19[[prénom ]],"",0,1)</f>
        <v/>
      </c>
      <c r="J40" s="1218"/>
      <c r="K40" s="1218"/>
      <c r="L40" s="1218"/>
      <c r="M40" s="1218"/>
      <c r="N40" s="1218" t="str">
        <f>_xlfn.XLOOKUP(B40,Tableau19[Licence],Tableau19[Club],"",0,1)</f>
        <v/>
      </c>
      <c r="O40" s="1218"/>
      <c r="P40" s="1218"/>
      <c r="Q40" s="1218"/>
      <c r="R40" s="1218"/>
      <c r="S40" s="1218"/>
      <c r="T40" s="1218"/>
      <c r="U40" s="1218"/>
      <c r="V40" s="1218"/>
      <c r="W40" s="1218"/>
      <c r="X40" s="455" t="str">
        <f t="shared" si="16"/>
        <v/>
      </c>
      <c r="Y40" s="455" t="str">
        <f t="shared" si="17"/>
        <v/>
      </c>
      <c r="Z40" s="451" t="str">
        <f>IF(B40="","",IF('GESTION DES JOUEURS'!$D$8="Open","",IF(AND('GESTION DES JOUEURS'!$D$8="poules",A40&lt;&gt;""),_xlfn.XLOOKUP(RESULTATS!B40,'Phase finale'!$BV$7:$BV$42,'Phase finale'!$CL$7:$CL$42,"",0,1),IF(AND(B40&lt;&gt;"",MAX('GESTION DES JOUEURS'!$A$11:$A$46)&gt;6,'GESTION DES JOUEURS'!$Y$8="JDSR"),_xlfn.XLOOKUP(A40,PTSRKMINITOURNOI[Clt],PTSRKMINITOURNOI[PR JDS 9],"",0,1),IF(AND(B40&lt;&gt;"",MAX('GESTION DES JOUEURS'!$A$11:$A$46)&lt;7,'GESTION DES JOUEURS'!$Y$8="JDSR"),_xlfn.XLOOKUP(A40,PTSRKMINITOURNOI[Clt],PTSRKMINITOURNOI[PR JDS],"",0,1),IF(AND(B40&lt;&gt;"",MAX('GESTION DES JOUEURS'!$A$11:$A$46)&lt;7,'GESTION DES JOUEURS'!$Y$8="R"),_xlfn.XLOOKUP(A40,PTSRKMINITOURNOI[Clt],PTSRKMINITOURNOI[PR 3B],"",0,1),IF(AND(B40&lt;&gt;"",MAX('GESTION DES JOUEURS'!$A$11:$A$46)&gt;6,'GESTION DES JOUEURS'!$Y$8="R"),_xlfn.XLOOKUP(A40,PTSRKTOURNOI[Clt],PTSRKTOURNOI[PR 3B],"",0,1),IF(AND(B40&lt;&gt;"",MAX('GESTION DES JOUEURS'!$A$11:$A$46)&gt;6,'GESTION DES JOUEURS'!$Y$8="Dames"),_xlfn.XLOOKUP(A40,PTSRKTOURNOI[Clt],PTSRKTOURNOI[[PR DAMES ]],"",0,1),IF(AND(B40&lt;&gt;"",'GESTION DES JOUEURS'!$Y$8="D"),_xlfn.XLOOKUP(A40,PTSRKMINITOURNOI[Clt],PTSRKMINITOURNOI[PR DISTRICT],"",0,1),"")))))))))</f>
        <v/>
      </c>
      <c r="AA40" s="451" t="str">
        <f>IF(AE40=0,"",IF('GESTION DES JOUEURS'!$D$8="Open","",_xlfn.XLOOKUP(B40,$CL$8:$CL$43,$DK$8:$DK$43,"",0,1)))</f>
        <v/>
      </c>
      <c r="AB40" s="451" t="str">
        <f t="shared" si="11"/>
        <v/>
      </c>
      <c r="AC40" s="451" t="str">
        <f t="shared" si="18"/>
        <v/>
      </c>
      <c r="AD40" s="451" t="str">
        <f t="shared" si="19"/>
        <v/>
      </c>
      <c r="AE40" s="538" t="str">
        <f t="shared" si="20"/>
        <v/>
      </c>
      <c r="AF40" s="451" t="str">
        <f t="shared" si="21"/>
        <v/>
      </c>
      <c r="AG40" s="456" t="str">
        <f t="shared" si="22"/>
        <v/>
      </c>
      <c r="AH40" s="456" t="str">
        <f t="shared" si="23"/>
        <v/>
      </c>
      <c r="AI40" s="446"/>
      <c r="AK40" s="710" t="s">
        <v>5447</v>
      </c>
      <c r="AV40" s="1224"/>
      <c r="AW40" s="244">
        <v>28</v>
      </c>
      <c r="AX40" s="244" t="str">
        <v>148333G</v>
      </c>
      <c r="AY40" s="244" t="str">
        <v>MA PHUOC</v>
      </c>
      <c r="AZ40" s="244">
        <v>0</v>
      </c>
      <c r="BA40" s="244" t="str">
        <v>BICH</v>
      </c>
      <c r="BB40" s="244">
        <v>0</v>
      </c>
      <c r="BC40" s="244" t="str">
        <v>ACADEMIE DE BILLARD DE MAISONS ALFORT</v>
      </c>
      <c r="BD40" s="244">
        <v>0</v>
      </c>
      <c r="BE40" s="244">
        <v>0</v>
      </c>
      <c r="BF40" s="244">
        <v>0</v>
      </c>
      <c r="BG40" s="244">
        <v>0</v>
      </c>
      <c r="BH40" s="244">
        <v>0</v>
      </c>
      <c r="BI40" s="244">
        <v>4</v>
      </c>
      <c r="BJ40" s="244">
        <v>2.9411764705882355</v>
      </c>
      <c r="BK40" s="244">
        <v>3.4482758620689653</v>
      </c>
      <c r="BL40" s="244">
        <v>19</v>
      </c>
      <c r="BM40" s="244">
        <v>1</v>
      </c>
      <c r="BN40" s="244">
        <v>8</v>
      </c>
      <c r="BO40" s="244">
        <v>1</v>
      </c>
      <c r="BV40" s="506"/>
      <c r="BW40" s="506">
        <f t="shared" si="30"/>
        <v>28</v>
      </c>
      <c r="BX40" s="506" t="str">
        <f t="shared" si="31"/>
        <v>148333G</v>
      </c>
      <c r="BY40" s="506" t="str">
        <f t="shared" si="32"/>
        <v>MA PHUOC</v>
      </c>
      <c r="BZ40" s="506" t="str">
        <f t="shared" si="33"/>
        <v>BICH</v>
      </c>
      <c r="CA40" s="506" t="str">
        <f t="shared" si="34"/>
        <v>ACADEMIE DE BILLARD DE MAISONS ALFORT</v>
      </c>
      <c r="CB40" s="506">
        <f t="shared" si="35"/>
        <v>2.9411764705882355</v>
      </c>
      <c r="CC40" s="506">
        <f t="shared" si="36"/>
        <v>3.4482758620689653</v>
      </c>
      <c r="CD40" s="506">
        <f t="shared" si="37"/>
        <v>19</v>
      </c>
      <c r="CE40" s="506">
        <f t="shared" si="3"/>
        <v>8</v>
      </c>
      <c r="CF40" s="506">
        <f t="shared" si="4"/>
        <v>1</v>
      </c>
      <c r="CG40" s="506">
        <f t="shared" si="5"/>
        <v>9</v>
      </c>
      <c r="CH40" s="506">
        <f t="shared" si="38"/>
        <v>4</v>
      </c>
      <c r="CI40" s="244">
        <f>IF(BX40="",37,IF(BX40='Phase finale'!$C$38,1,IF(BX40='Phase finale'!$C$39,2,IF(BX40='Phase finale'!$C$40,3,IF(BX40='Phase finale'!$C$41,4,IF(BX40='Phase finale'!$C$42,5,IF(BX40='Phase finale'!$C$43,6,IF(BX40='Phase finale'!$C$44,7,IF(BX40='Phase finale'!$C$45,8,IF(OR(BX40='Phase finale'!F45,BX40='Phase finale'!$F$10,BX40='Phase finale'!$V$11,BX40='Phase finale'!$V$10),3,IF(OR(BX40='Phase finale'!F47,BX40='Phase finale'!F48,BX40='Phase finale'!F49,BX40='Phase finale'!F50,BX40='Phase finale'!V47,BX40='Phase finale'!V48,BX40='Phase finale'!V49,BX40='Phase finale'!V50),5,IF(_xlfn.XLOOKUP(BX40,Tableau19[Licence],Tableau19[Forfait],"",0,1)=TRUE,36,9))))))))))))</f>
        <v>9</v>
      </c>
      <c r="CL40" s="451">
        <f>IF('GESTION DES JOUEURS'!B43="",0,'GESTION DES JOUEURS'!B43)</f>
        <v>0</v>
      </c>
      <c r="CM40" s="453" t="str">
        <f t="shared" si="24"/>
        <v/>
      </c>
      <c r="CN40" s="453"/>
      <c r="CO40" s="453"/>
      <c r="CP40" s="453"/>
      <c r="CQ40" s="453"/>
      <c r="CR40" s="453"/>
      <c r="CS40" s="453" t="str">
        <f t="shared" si="12"/>
        <v/>
      </c>
      <c r="CT40" s="453"/>
      <c r="CU40" s="453"/>
      <c r="CV40" s="453"/>
      <c r="CW40" s="453"/>
      <c r="CX40" s="453" t="str">
        <f t="shared" si="13"/>
        <v/>
      </c>
      <c r="CY40" s="453"/>
      <c r="CZ40" s="453"/>
      <c r="DA40" s="453"/>
      <c r="DB40" s="453"/>
      <c r="DC40" s="453"/>
      <c r="DD40" s="453"/>
      <c r="DE40" s="453"/>
      <c r="DF40" s="453"/>
      <c r="DG40" s="453"/>
      <c r="DH40" s="509" t="str">
        <f t="shared" si="14"/>
        <v/>
      </c>
      <c r="DI40" s="509">
        <f>IFERROR(IF('GESTION DES JOUEURS'!$D$8="Open",_xlfn.XLOOKUP(RESULTATS!CL40,RESULTATS!$DW$8:$DW$43,RESULTATS!$EL$8:$EL$43,"",0,1),_xlfn.XLOOKUP(CL40,$BX$5:$BX$12,$BV$5:$BV$12,_xlfn.XLOOKUP(CL40,$AX$5:$AX$12,$AW$5:$AW$12,"",0,1),0,1)),"")</f>
        <v>2</v>
      </c>
      <c r="DJ40" s="453" t="str">
        <f t="shared" si="25"/>
        <v/>
      </c>
      <c r="DK40" s="453" t="str">
        <f>IF('GESTION DES JOUEURS'!$D$8="Poules",_xlfn.XLOOKUP(RESULTATS!CL40,'Phase finale'!$BV$7:$BV$42,'Phase finale'!$CM$7:$CM$42,"",0,1),IF(AND(CL40&lt;&gt;0,DQ40&gt;_xlfn.XLOOKUP('GESTION DES JOUEURS'!$D$4,Distances[Mode de jeu et cat.],Distances[M 3],"",0,1)),_xlfn.XLOOKUP('GESTION DES JOUEURS'!$D$4,Distances[Mode de jeu et cat.],Distances[BT3],"",0,1),IF(AND(CL40&lt;&gt;0,DQ40&gt;_xlfn.XLOOKUP('GESTION DES JOUEURS'!$D$4,Distances[Mode de jeu et cat.],Distances[M 2],"",0,1)),_xlfn.XLOOKUP('GESTION DES JOUEURS'!$D$4,Distances[Mode de jeu et cat.],Distances[BT2],"",0,1),IF(AND(CL40&lt;&gt;0,DQ40&gt;_xlfn.XLOOKUP('GESTION DES JOUEURS'!$D$4,Distances[Mode de jeu et cat.],Distances[M 1],"",0,1)),_xlfn.XLOOKUP('GESTION DES JOUEURS'!$D$4,Distances[Mode de jeu et cat.],Distances[BT1],"",0,1),0))))</f>
        <v/>
      </c>
      <c r="DL40" s="453">
        <f t="shared" si="26"/>
        <v>0</v>
      </c>
      <c r="DM40" s="453" t="str">
        <f>IF('GESTION DES JOUEURS'!$D$8="Open",_xlfn.XLOOKUP(CL40,RESULTATS!$DW$8:$DW$43,RESULTATS!$EH$8:$EH$43,"",0,1),_xlfn.XLOOKUP(CL40,$BX$5:$BX$48,$CH$5:$CH$48,"",0,1))</f>
        <v/>
      </c>
      <c r="DN40" s="451" t="str">
        <f>IFERROR(SUM(_xlfn.XLOOKUP(CL40,_xlfn.ANCHORARRAY('Phase finale'!$DK$7),'Phase finale'!$DP$7:$DP$42,"",0,1),_xlfn.XLOOKUP(CL40,_xlfn.ANCHORARRAY('Phase finale'!$DK$7),'Phase finale'!$DL$7:$DL$42,"",0,1)),"")</f>
        <v/>
      </c>
      <c r="DO40" s="451" t="str">
        <f>IFERROR(SUM(_xlfn.XLOOKUP(CL40,_xlfn.ANCHORARRAY('Phase finale'!$DK$7),'Phase finale'!$DQ$7:$DQ$42,"",0,1),_xlfn.XLOOKUP(CL40,_xlfn.ANCHORARRAY('Phase finale'!$DK$7),'Phase finale'!$DM$7:$DM$42,"",0,1)),"")</f>
        <v/>
      </c>
      <c r="DP40" s="517" t="str">
        <f t="shared" si="27"/>
        <v/>
      </c>
      <c r="DQ40" s="456" t="str">
        <f t="shared" si="28"/>
        <v/>
      </c>
      <c r="DR40" s="456">
        <f t="shared" si="29"/>
        <v>0</v>
      </c>
      <c r="DS40" s="518">
        <f t="shared" si="15"/>
        <v>37</v>
      </c>
      <c r="DU40" s="244">
        <v>33</v>
      </c>
      <c r="DV40" s="244">
        <v>33</v>
      </c>
      <c r="DW40" s="244" t="str">
        <f>'Phase finale'!CP39</f>
        <v/>
      </c>
      <c r="DX40" s="244" t="str">
        <f>_xlfn.XLOOKUP(DW40,$CL$8:$CL$43,$CM$8:$CM$43,"",0,1)</f>
        <v/>
      </c>
      <c r="DZ40" s="244" t="str">
        <f>_xlfn.XLOOKUP(DW40,$CL$8:$CL$43,$CS$8:$CS$43,"",0,1)</f>
        <v/>
      </c>
      <c r="EC40" s="244" t="str">
        <f>_xlfn.XLOOKUP(DW40,$CL$8:$CL$43,$CX$8:$CX$43,"",0,1)</f>
        <v/>
      </c>
      <c r="EH40" s="244" t="str">
        <f>_xlfn.XLOOKUP(DW40,$BX$5:$BX$48,$CH$5:$CH$48,"",0,1)</f>
        <v/>
      </c>
    </row>
    <row r="41" spans="1:144" ht="24" customHeight="1" x14ac:dyDescent="0.3">
      <c r="A41" s="452" t="str">
        <f>IF('GESTION DES JOUEURS'!A43=MAX('GESTION DES JOUEURS'!$A$10:'GESTION DES JOUEURS'!$A$46),"",A40+1)</f>
        <v/>
      </c>
      <c r="B41" s="451" t="str">
        <v/>
      </c>
      <c r="C41" s="1218" t="str">
        <f>_xlfn.XLOOKUP(B41,Tableau19[Licence],Tableau19[Nom],"",0,1)</f>
        <v/>
      </c>
      <c r="D41" s="1218"/>
      <c r="E41" s="1218"/>
      <c r="F41" s="1218"/>
      <c r="G41" s="1218"/>
      <c r="H41" s="1218"/>
      <c r="I41" s="1218" t="str">
        <f>_xlfn.XLOOKUP(B41,Tableau19[Licence],Tableau19[[prénom ]],"",0,1)</f>
        <v/>
      </c>
      <c r="J41" s="1218"/>
      <c r="K41" s="1218"/>
      <c r="L41" s="1218"/>
      <c r="M41" s="1218"/>
      <c r="N41" s="1218" t="str">
        <f>_xlfn.XLOOKUP(B41,Tableau19[Licence],Tableau19[Club],"",0,1)</f>
        <v/>
      </c>
      <c r="O41" s="1218"/>
      <c r="P41" s="1218"/>
      <c r="Q41" s="1218"/>
      <c r="R41" s="1218"/>
      <c r="S41" s="1218"/>
      <c r="T41" s="1218"/>
      <c r="U41" s="1218"/>
      <c r="V41" s="1218"/>
      <c r="W41" s="1218"/>
      <c r="X41" s="455" t="str">
        <f t="shared" si="16"/>
        <v/>
      </c>
      <c r="Y41" s="455" t="str">
        <f t="shared" si="17"/>
        <v/>
      </c>
      <c r="Z41" s="451" t="str">
        <f>IF(B41="","",IF('GESTION DES JOUEURS'!$D$8="Open","",IF(AND('GESTION DES JOUEURS'!$D$8="poules",A41&lt;&gt;""),_xlfn.XLOOKUP(RESULTATS!B41,'Phase finale'!$BV$7:$BV$42,'Phase finale'!$CL$7:$CL$42,"",0,1),IF(AND(B41&lt;&gt;"",MAX('GESTION DES JOUEURS'!$A$11:$A$46)&gt;6,'GESTION DES JOUEURS'!$Y$8="JDSR"),_xlfn.XLOOKUP(A41,PTSRKMINITOURNOI[Clt],PTSRKMINITOURNOI[PR JDS 9],"",0,1),IF(AND(B41&lt;&gt;"",MAX('GESTION DES JOUEURS'!$A$11:$A$46)&lt;7,'GESTION DES JOUEURS'!$Y$8="JDSR"),_xlfn.XLOOKUP(A41,PTSRKMINITOURNOI[Clt],PTSRKMINITOURNOI[PR JDS],"",0,1),IF(AND(B41&lt;&gt;"",MAX('GESTION DES JOUEURS'!$A$11:$A$46)&lt;7,'GESTION DES JOUEURS'!$Y$8="R"),_xlfn.XLOOKUP(A41,PTSRKMINITOURNOI[Clt],PTSRKMINITOURNOI[PR 3B],"",0,1),IF(AND(B41&lt;&gt;"",MAX('GESTION DES JOUEURS'!$A$11:$A$46)&gt;6,'GESTION DES JOUEURS'!$Y$8="R"),_xlfn.XLOOKUP(A41,PTSRKTOURNOI[Clt],PTSRKTOURNOI[PR 3B],"",0,1),IF(AND(B41&lt;&gt;"",MAX('GESTION DES JOUEURS'!$A$11:$A$46)&gt;6,'GESTION DES JOUEURS'!$Y$8="Dames"),_xlfn.XLOOKUP(A41,PTSRKTOURNOI[Clt],PTSRKTOURNOI[[PR DAMES ]],"",0,1),IF(AND(B41&lt;&gt;"",'GESTION DES JOUEURS'!$Y$8="D"),_xlfn.XLOOKUP(A41,PTSRKMINITOURNOI[Clt],PTSRKMINITOURNOI[PR DISTRICT],"",0,1),"")))))))))</f>
        <v/>
      </c>
      <c r="AA41" s="451" t="str">
        <f>IF(AE41=0,"",IF('GESTION DES JOUEURS'!$D$8="Open","",_xlfn.XLOOKUP(B41,$CL$8:$CL$43,$DK$8:$DK$43,"",0,1)))</f>
        <v/>
      </c>
      <c r="AB41" s="451" t="str">
        <f t="shared" si="11"/>
        <v/>
      </c>
      <c r="AC41" s="451" t="str">
        <f t="shared" si="18"/>
        <v/>
      </c>
      <c r="AD41" s="451" t="str">
        <f t="shared" si="19"/>
        <v/>
      </c>
      <c r="AE41" s="538" t="str">
        <f t="shared" si="20"/>
        <v/>
      </c>
      <c r="AF41" s="451" t="str">
        <f t="shared" si="21"/>
        <v/>
      </c>
      <c r="AG41" s="456" t="str">
        <f t="shared" si="22"/>
        <v/>
      </c>
      <c r="AH41" s="456" t="str">
        <f t="shared" si="23"/>
        <v/>
      </c>
      <c r="AI41" s="446"/>
      <c r="AK41" s="711"/>
      <c r="AV41" s="1224"/>
      <c r="AW41" s="244">
        <v>29</v>
      </c>
      <c r="AX41" s="244" t="str">
        <v>154178K</v>
      </c>
      <c r="AY41" s="244" t="str">
        <v>PONCE</v>
      </c>
      <c r="AZ41" s="244">
        <v>0</v>
      </c>
      <c r="BA41" s="244" t="str">
        <v>FREDERIC</v>
      </c>
      <c r="BB41" s="244">
        <v>0</v>
      </c>
      <c r="BC41" s="244" t="str">
        <v>ACADEMIE DE BILLARD DE MAISONS ALFORT</v>
      </c>
      <c r="BD41" s="244">
        <v>0</v>
      </c>
      <c r="BE41" s="244">
        <v>0</v>
      </c>
      <c r="BF41" s="244">
        <v>0</v>
      </c>
      <c r="BG41" s="244">
        <v>0</v>
      </c>
      <c r="BH41" s="244">
        <v>0</v>
      </c>
      <c r="BI41" s="244">
        <v>4</v>
      </c>
      <c r="BJ41" s="244">
        <v>2.7777777777777777</v>
      </c>
      <c r="BK41" s="244">
        <v>2.8571428571428572</v>
      </c>
      <c r="BL41" s="244">
        <v>14</v>
      </c>
      <c r="BM41" s="244">
        <v>1</v>
      </c>
      <c r="BN41" s="244">
        <v>8</v>
      </c>
      <c r="BO41" s="244">
        <v>2</v>
      </c>
      <c r="BV41" s="506"/>
      <c r="BW41" s="506">
        <f t="shared" si="30"/>
        <v>29</v>
      </c>
      <c r="BX41" s="506" t="str">
        <f t="shared" si="31"/>
        <v>154178K</v>
      </c>
      <c r="BY41" s="506" t="str">
        <f t="shared" si="32"/>
        <v>PONCE</v>
      </c>
      <c r="BZ41" s="506" t="str">
        <f t="shared" si="33"/>
        <v>FREDERIC</v>
      </c>
      <c r="CA41" s="506" t="str">
        <f t="shared" si="34"/>
        <v>ACADEMIE DE BILLARD DE MAISONS ALFORT</v>
      </c>
      <c r="CB41" s="506">
        <f t="shared" si="35"/>
        <v>2.7777777777777777</v>
      </c>
      <c r="CC41" s="506">
        <f t="shared" si="36"/>
        <v>2.8571428571428572</v>
      </c>
      <c r="CD41" s="506">
        <f t="shared" si="37"/>
        <v>14</v>
      </c>
      <c r="CE41" s="506">
        <f t="shared" si="3"/>
        <v>8</v>
      </c>
      <c r="CF41" s="506">
        <f t="shared" si="4"/>
        <v>2</v>
      </c>
      <c r="CG41" s="506">
        <f t="shared" si="5"/>
        <v>10</v>
      </c>
      <c r="CH41" s="506">
        <f t="shared" si="38"/>
        <v>4</v>
      </c>
      <c r="CI41" s="244">
        <f>IF(BX41="",37,IF(BX41='Phase finale'!$C$38,1,IF(BX41='Phase finale'!$C$39,2,IF(BX41='Phase finale'!$C$40,3,IF(BX41='Phase finale'!$C$41,4,IF(BX41='Phase finale'!$C$42,5,IF(BX41='Phase finale'!$C$43,6,IF(BX41='Phase finale'!$C$44,7,IF(BX41='Phase finale'!$C$45,8,IF(OR(BX41='Phase finale'!F46,BX41='Phase finale'!$F$10,BX41='Phase finale'!$V$11,BX41='Phase finale'!$V$10),3,IF(OR(BX41='Phase finale'!F48,BX41='Phase finale'!F49,BX41='Phase finale'!F50,BX41='Phase finale'!F51,BX41='Phase finale'!V48,BX41='Phase finale'!V49,BX41='Phase finale'!V50,BX41='Phase finale'!V51),5,IF(_xlfn.XLOOKUP(BX41,Tableau19[Licence],Tableau19[Forfait],"",0,1)=TRUE,36,9))))))))))))</f>
        <v>9</v>
      </c>
      <c r="CL41" s="451">
        <f>IF('GESTION DES JOUEURS'!B44="",0,'GESTION DES JOUEURS'!B44)</f>
        <v>0</v>
      </c>
      <c r="CM41" s="453" t="str">
        <f t="shared" si="24"/>
        <v/>
      </c>
      <c r="CN41" s="453"/>
      <c r="CO41" s="453"/>
      <c r="CP41" s="453"/>
      <c r="CQ41" s="453"/>
      <c r="CR41" s="453"/>
      <c r="CS41" s="453" t="str">
        <f t="shared" si="12"/>
        <v/>
      </c>
      <c r="CT41" s="453"/>
      <c r="CU41" s="453"/>
      <c r="CV41" s="453"/>
      <c r="CW41" s="453"/>
      <c r="CX41" s="453" t="str">
        <f t="shared" si="13"/>
        <v/>
      </c>
      <c r="CY41" s="453"/>
      <c r="CZ41" s="453"/>
      <c r="DA41" s="453"/>
      <c r="DB41" s="453"/>
      <c r="DC41" s="453"/>
      <c r="DD41" s="453"/>
      <c r="DE41" s="453"/>
      <c r="DF41" s="453"/>
      <c r="DG41" s="453"/>
      <c r="DH41" s="509" t="str">
        <f t="shared" si="14"/>
        <v/>
      </c>
      <c r="DI41" s="509">
        <f>IFERROR(IF('GESTION DES JOUEURS'!$D$8="Open",_xlfn.XLOOKUP(RESULTATS!CL41,RESULTATS!$DW$8:$DW$43,RESULTATS!$EL$8:$EL$43,"",0,1),_xlfn.XLOOKUP(CL41,$BX$5:$BX$12,$BV$5:$BV$12,_xlfn.XLOOKUP(CL41,$AX$5:$AX$12,$AW$5:$AW$12,"",0,1),0,1)),"")</f>
        <v>2</v>
      </c>
      <c r="DJ41" s="453" t="str">
        <f t="shared" si="25"/>
        <v/>
      </c>
      <c r="DK41" s="453" t="str">
        <f>IF('GESTION DES JOUEURS'!$D$8="Poules",_xlfn.XLOOKUP(RESULTATS!CL41,'Phase finale'!$BV$7:$BV$42,'Phase finale'!$CM$7:$CM$42,"",0,1),IF(AND(CL41&lt;&gt;0,DQ41&gt;_xlfn.XLOOKUP('GESTION DES JOUEURS'!$D$4,Distances[Mode de jeu et cat.],Distances[M 3],"",0,1)),_xlfn.XLOOKUP('GESTION DES JOUEURS'!$D$4,Distances[Mode de jeu et cat.],Distances[BT3],"",0,1),IF(AND(CL41&lt;&gt;0,DQ41&gt;_xlfn.XLOOKUP('GESTION DES JOUEURS'!$D$4,Distances[Mode de jeu et cat.],Distances[M 2],"",0,1)),_xlfn.XLOOKUP('GESTION DES JOUEURS'!$D$4,Distances[Mode de jeu et cat.],Distances[BT2],"",0,1),IF(AND(CL41&lt;&gt;0,DQ41&gt;_xlfn.XLOOKUP('GESTION DES JOUEURS'!$D$4,Distances[Mode de jeu et cat.],Distances[M 1],"",0,1)),_xlfn.XLOOKUP('GESTION DES JOUEURS'!$D$4,Distances[Mode de jeu et cat.],Distances[BT1],"",0,1),0))))</f>
        <v/>
      </c>
      <c r="DL41" s="453">
        <f t="shared" si="26"/>
        <v>0</v>
      </c>
      <c r="DM41" s="453" t="str">
        <f>IF('GESTION DES JOUEURS'!$D$8="Open",_xlfn.XLOOKUP(CL41,RESULTATS!$DW$8:$DW$43,RESULTATS!$EH$8:$EH$43,"",0,1),_xlfn.XLOOKUP(CL41,$BX$5:$BX$48,$CH$5:$CH$48,"",0,1))</f>
        <v/>
      </c>
      <c r="DN41" s="451" t="str">
        <f>IFERROR(SUM(_xlfn.XLOOKUP(CL41,_xlfn.ANCHORARRAY('Phase finale'!$DK$7),'Phase finale'!$DP$7:$DP$42,"",0,1),_xlfn.XLOOKUP(CL41,_xlfn.ANCHORARRAY('Phase finale'!$DK$7),'Phase finale'!$DL$7:$DL$42,"",0,1)),"")</f>
        <v/>
      </c>
      <c r="DO41" s="451" t="str">
        <f>IFERROR(SUM(_xlfn.XLOOKUP(CL41,_xlfn.ANCHORARRAY('Phase finale'!$DK$7),'Phase finale'!$DQ$7:$DQ$42,"",0,1),_xlfn.XLOOKUP(CL41,_xlfn.ANCHORARRAY('Phase finale'!$DK$7),'Phase finale'!$DM$7:$DM$42,"",0,1)),"")</f>
        <v/>
      </c>
      <c r="DP41" s="517" t="str">
        <f t="shared" si="27"/>
        <v/>
      </c>
      <c r="DQ41" s="456" t="str">
        <f t="shared" si="28"/>
        <v/>
      </c>
      <c r="DR41" s="456">
        <f t="shared" si="29"/>
        <v>0</v>
      </c>
      <c r="DS41" s="518">
        <f t="shared" si="15"/>
        <v>37</v>
      </c>
      <c r="DU41" s="244">
        <v>34</v>
      </c>
      <c r="DV41" s="244">
        <v>34</v>
      </c>
      <c r="DW41" s="244" t="str">
        <f>'Phase finale'!CP40</f>
        <v/>
      </c>
      <c r="DX41" s="244" t="str">
        <f t="shared" ref="DX41:DX43" si="39">_xlfn.XLOOKUP(DW41,$CL$8:$CL$43,$CM$8:$CM$43,"",0,1)</f>
        <v/>
      </c>
      <c r="DZ41" s="244" t="str">
        <f t="shared" ref="DZ41:DZ43" si="40">_xlfn.XLOOKUP(DW41,$CL$8:$CL$43,$CS$8:$CS$43,"",0,1)</f>
        <v/>
      </c>
      <c r="EC41" s="244" t="str">
        <f t="shared" ref="EC41:EC43" si="41">_xlfn.XLOOKUP(DW41,$CL$8:$CL$43,$CX$8:$CX$43,"",0,1)</f>
        <v/>
      </c>
      <c r="EH41" s="244" t="str">
        <f t="shared" ref="EH41:EH43" si="42">_xlfn.XLOOKUP(DW41,$BX$5:$BX$48,$CH$5:$CH$48,"",0,1)</f>
        <v/>
      </c>
    </row>
    <row r="42" spans="1:144" ht="24" customHeight="1" thickBot="1" x14ac:dyDescent="0.35">
      <c r="A42" s="452" t="str">
        <f>IF('GESTION DES JOUEURS'!A44=MAX('GESTION DES JOUEURS'!$A$10:'GESTION DES JOUEURS'!$A$46),"",A41+1)</f>
        <v/>
      </c>
      <c r="B42" s="451" t="str">
        <v/>
      </c>
      <c r="C42" s="1218" t="str">
        <f>_xlfn.XLOOKUP(B42,Tableau19[Licence],Tableau19[Nom],"",0,1)</f>
        <v/>
      </c>
      <c r="D42" s="1218"/>
      <c r="E42" s="1218"/>
      <c r="F42" s="1218"/>
      <c r="G42" s="1218"/>
      <c r="H42" s="1218"/>
      <c r="I42" s="1218" t="str">
        <f>_xlfn.XLOOKUP(B42,Tableau19[Licence],Tableau19[[prénom ]],"",0,1)</f>
        <v/>
      </c>
      <c r="J42" s="1218"/>
      <c r="K42" s="1218"/>
      <c r="L42" s="1218"/>
      <c r="M42" s="1218"/>
      <c r="N42" s="1218" t="str">
        <f>_xlfn.XLOOKUP(B42,Tableau19[Licence],Tableau19[Club],"",0,1)</f>
        <v/>
      </c>
      <c r="O42" s="1218"/>
      <c r="P42" s="1218"/>
      <c r="Q42" s="1218"/>
      <c r="R42" s="1218"/>
      <c r="S42" s="1218"/>
      <c r="T42" s="1218"/>
      <c r="U42" s="1218"/>
      <c r="V42" s="1218"/>
      <c r="W42" s="1218"/>
      <c r="X42" s="455" t="str">
        <f t="shared" si="16"/>
        <v/>
      </c>
      <c r="Y42" s="455" t="str">
        <f t="shared" si="17"/>
        <v/>
      </c>
      <c r="Z42" s="451" t="str">
        <f>IF(B42="","",IF('GESTION DES JOUEURS'!$D$8="Open","",IF(AND('GESTION DES JOUEURS'!$D$8="poules",A42&lt;&gt;""),_xlfn.XLOOKUP(RESULTATS!B42,'Phase finale'!$BV$7:$BV$42,'Phase finale'!$CL$7:$CL$42,"",0,1),IF(AND(B42&lt;&gt;"",MAX('GESTION DES JOUEURS'!$A$11:$A$46)&gt;6,'GESTION DES JOUEURS'!$Y$8="JDSR"),_xlfn.XLOOKUP(A42,PTSRKMINITOURNOI[Clt],PTSRKMINITOURNOI[PR JDS 9],"",0,1),IF(AND(B42&lt;&gt;"",MAX('GESTION DES JOUEURS'!$A$11:$A$46)&lt;7,'GESTION DES JOUEURS'!$Y$8="JDSR"),_xlfn.XLOOKUP(A42,PTSRKMINITOURNOI[Clt],PTSRKMINITOURNOI[PR JDS],"",0,1),IF(AND(B42&lt;&gt;"",MAX('GESTION DES JOUEURS'!$A$11:$A$46)&lt;7,'GESTION DES JOUEURS'!$Y$8="R"),_xlfn.XLOOKUP(A42,PTSRKMINITOURNOI[Clt],PTSRKMINITOURNOI[PR 3B],"",0,1),IF(AND(B42&lt;&gt;"",MAX('GESTION DES JOUEURS'!$A$11:$A$46)&gt;6,'GESTION DES JOUEURS'!$Y$8="R"),_xlfn.XLOOKUP(A42,PTSRKTOURNOI[Clt],PTSRKTOURNOI[PR 3B],"",0,1),IF(AND(B42&lt;&gt;"",MAX('GESTION DES JOUEURS'!$A$11:$A$46)&gt;6,'GESTION DES JOUEURS'!$Y$8="Dames"),_xlfn.XLOOKUP(A42,PTSRKTOURNOI[Clt],PTSRKTOURNOI[[PR DAMES ]],"",0,1),IF(AND(B42&lt;&gt;"",'GESTION DES JOUEURS'!$Y$8="D"),_xlfn.XLOOKUP(A42,PTSRKMINITOURNOI[Clt],PTSRKMINITOURNOI[PR DISTRICT],"",0,1),"")))))))))</f>
        <v/>
      </c>
      <c r="AA42" s="451" t="str">
        <f>IF(AE42=0,"",IF('GESTION DES JOUEURS'!$D$8="Open","",_xlfn.XLOOKUP(B42,$CL$8:$CL$43,$DK$8:$DK$43,"",0,1)))</f>
        <v/>
      </c>
      <c r="AB42" s="451" t="str">
        <f t="shared" si="11"/>
        <v/>
      </c>
      <c r="AC42" s="451" t="str">
        <f t="shared" si="18"/>
        <v/>
      </c>
      <c r="AD42" s="451" t="str">
        <f t="shared" si="19"/>
        <v/>
      </c>
      <c r="AE42" s="538" t="str">
        <f t="shared" si="20"/>
        <v/>
      </c>
      <c r="AF42" s="451" t="str">
        <f t="shared" si="21"/>
        <v/>
      </c>
      <c r="AG42" s="456" t="str">
        <f t="shared" si="22"/>
        <v/>
      </c>
      <c r="AH42" s="456" t="str">
        <f t="shared" si="23"/>
        <v/>
      </c>
      <c r="AI42" s="511"/>
      <c r="AK42" s="712"/>
      <c r="AV42" s="1224"/>
      <c r="AW42" s="244">
        <v>30</v>
      </c>
      <c r="AX42" s="244" t="str">
        <v>183133H</v>
      </c>
      <c r="AY42" s="244" t="str">
        <v>ROCHE</v>
      </c>
      <c r="AZ42" s="244">
        <v>0</v>
      </c>
      <c r="BA42" s="244" t="str">
        <v>PATRICK</v>
      </c>
      <c r="BB42" s="244">
        <v>0</v>
      </c>
      <c r="BC42" s="244" t="str">
        <v>BILLARD CLUB DE LIVRY GARGAN</v>
      </c>
      <c r="BD42" s="244">
        <v>0</v>
      </c>
      <c r="BE42" s="244">
        <v>0</v>
      </c>
      <c r="BF42" s="244">
        <v>0</v>
      </c>
      <c r="BG42" s="244">
        <v>0</v>
      </c>
      <c r="BH42" s="244">
        <v>0</v>
      </c>
      <c r="BI42" s="244">
        <v>2</v>
      </c>
      <c r="BJ42" s="244">
        <v>2.3194444444444446</v>
      </c>
      <c r="BK42" s="244">
        <v>3.0303030303030303</v>
      </c>
      <c r="BL42" s="244">
        <v>18</v>
      </c>
      <c r="BM42" s="244">
        <v>2</v>
      </c>
      <c r="BN42" s="244">
        <v>5</v>
      </c>
      <c r="BO42" s="244">
        <v>1</v>
      </c>
      <c r="BV42" s="506"/>
      <c r="BW42" s="506">
        <f t="shared" si="30"/>
        <v>30</v>
      </c>
      <c r="BX42" s="506" t="str">
        <f t="shared" si="31"/>
        <v>183133H</v>
      </c>
      <c r="BY42" s="506" t="str">
        <f t="shared" si="32"/>
        <v>ROCHE</v>
      </c>
      <c r="BZ42" s="506" t="str">
        <f t="shared" si="33"/>
        <v>PATRICK</v>
      </c>
      <c r="CA42" s="506" t="str">
        <f t="shared" si="34"/>
        <v>BILLARD CLUB DE LIVRY GARGAN</v>
      </c>
      <c r="CB42" s="506">
        <f t="shared" si="35"/>
        <v>2.3194444444444446</v>
      </c>
      <c r="CC42" s="506">
        <f t="shared" si="36"/>
        <v>3.0303030303030303</v>
      </c>
      <c r="CD42" s="506">
        <f t="shared" si="37"/>
        <v>18</v>
      </c>
      <c r="CE42" s="506">
        <f t="shared" si="3"/>
        <v>5</v>
      </c>
      <c r="CF42" s="506">
        <f t="shared" si="4"/>
        <v>1</v>
      </c>
      <c r="CG42" s="506">
        <f t="shared" si="5"/>
        <v>6</v>
      </c>
      <c r="CH42" s="506">
        <f t="shared" si="38"/>
        <v>2</v>
      </c>
      <c r="CI42" s="244">
        <f>IF(BX42="",37,IF(BX42='Phase finale'!$C$38,1,IF(BX42='Phase finale'!$C$39,2,IF(BX42='Phase finale'!$C$40,3,IF(BX42='Phase finale'!$C$41,4,IF(BX42='Phase finale'!$C$42,5,IF(BX42='Phase finale'!$C$43,6,IF(BX42='Phase finale'!$C$44,7,IF(BX42='Phase finale'!$C$45,8,IF(OR(BX42='Phase finale'!F47,BX42='Phase finale'!$F$10,BX42='Phase finale'!$V$11,BX42='Phase finale'!$V$10),3,IF(OR(BX42='Phase finale'!F49,BX42='Phase finale'!F50,BX42='Phase finale'!F51,BX42='Phase finale'!F52,BX42='Phase finale'!V49,BX42='Phase finale'!V50,BX42='Phase finale'!V51,BX42='Phase finale'!V52),5,IF(_xlfn.XLOOKUP(BX42,Tableau19[Licence],Tableau19[Forfait],"",0,1)=TRUE,36,9))))))))))))</f>
        <v>9</v>
      </c>
      <c r="CL42" s="451">
        <f>IF('GESTION DES JOUEURS'!B45="",0,'GESTION DES JOUEURS'!B45)</f>
        <v>0</v>
      </c>
      <c r="CM42" s="453" t="str">
        <f t="shared" si="24"/>
        <v/>
      </c>
      <c r="CN42" s="453"/>
      <c r="CO42" s="453"/>
      <c r="CP42" s="453"/>
      <c r="CQ42" s="453"/>
      <c r="CR42" s="453"/>
      <c r="CS42" s="453" t="str">
        <f t="shared" si="12"/>
        <v/>
      </c>
      <c r="CT42" s="453"/>
      <c r="CU42" s="453"/>
      <c r="CV42" s="453"/>
      <c r="CW42" s="453"/>
      <c r="CX42" s="453" t="str">
        <f t="shared" si="13"/>
        <v/>
      </c>
      <c r="CY42" s="453"/>
      <c r="CZ42" s="453"/>
      <c r="DA42" s="453"/>
      <c r="DB42" s="453"/>
      <c r="DC42" s="453"/>
      <c r="DD42" s="453"/>
      <c r="DE42" s="453"/>
      <c r="DF42" s="453"/>
      <c r="DG42" s="453"/>
      <c r="DH42" s="509" t="str">
        <f t="shared" si="14"/>
        <v/>
      </c>
      <c r="DI42" s="509">
        <f>IFERROR(IF('GESTION DES JOUEURS'!$D$8="Open",_xlfn.XLOOKUP(RESULTATS!CL42,RESULTATS!$DW$8:$DW$43,RESULTATS!$EL$8:$EL$43,"",0,1),_xlfn.XLOOKUP(CL42,$BX$5:$BX$12,$BV$5:$BV$12,_xlfn.XLOOKUP(CL42,$AX$5:$AX$12,$AW$5:$AW$12,"",0,1),0,1)),"")</f>
        <v>2</v>
      </c>
      <c r="DJ42" s="453" t="str">
        <f t="shared" si="25"/>
        <v/>
      </c>
      <c r="DK42" s="453" t="str">
        <f>IF('GESTION DES JOUEURS'!$D$8="Poules",_xlfn.XLOOKUP(RESULTATS!CL42,'Phase finale'!$BV$7:$BV$42,'Phase finale'!$CM$7:$CM$42,"",0,1),IF(AND(CL42&lt;&gt;0,DQ42&gt;_xlfn.XLOOKUP('GESTION DES JOUEURS'!$D$4,Distances[Mode de jeu et cat.],Distances[M 3],"",0,1)),_xlfn.XLOOKUP('GESTION DES JOUEURS'!$D$4,Distances[Mode de jeu et cat.],Distances[BT3],"",0,1),IF(AND(CL42&lt;&gt;0,DQ42&gt;_xlfn.XLOOKUP('GESTION DES JOUEURS'!$D$4,Distances[Mode de jeu et cat.],Distances[M 2],"",0,1)),_xlfn.XLOOKUP('GESTION DES JOUEURS'!$D$4,Distances[Mode de jeu et cat.],Distances[BT2],"",0,1),IF(AND(CL42&lt;&gt;0,DQ42&gt;_xlfn.XLOOKUP('GESTION DES JOUEURS'!$D$4,Distances[Mode de jeu et cat.],Distances[M 1],"",0,1)),_xlfn.XLOOKUP('GESTION DES JOUEURS'!$D$4,Distances[Mode de jeu et cat.],Distances[BT1],"",0,1),0))))</f>
        <v/>
      </c>
      <c r="DL42" s="453">
        <f t="shared" si="26"/>
        <v>0</v>
      </c>
      <c r="DM42" s="453" t="str">
        <f>IF('GESTION DES JOUEURS'!$D$8="Open",_xlfn.XLOOKUP(CL42,RESULTATS!$DW$8:$DW$43,RESULTATS!$EH$8:$EH$43,"",0,1),_xlfn.XLOOKUP(CL42,$BX$5:$BX$48,$CH$5:$CH$48,"",0,1))</f>
        <v/>
      </c>
      <c r="DN42" s="451" t="str">
        <f>IFERROR(SUM(_xlfn.XLOOKUP(CL42,_xlfn.ANCHORARRAY('Phase finale'!$DK$7),'Phase finale'!$DP$7:$DP$42,"",0,1),_xlfn.XLOOKUP(CL42,_xlfn.ANCHORARRAY('Phase finale'!$DK$7),'Phase finale'!$DL$7:$DL$42,"",0,1)),"")</f>
        <v/>
      </c>
      <c r="DO42" s="451" t="str">
        <f>IFERROR(SUM(_xlfn.XLOOKUP(CL42,_xlfn.ANCHORARRAY('Phase finale'!$DK$7),'Phase finale'!$DQ$7:$DQ$42,"",0,1),_xlfn.XLOOKUP(CL42,_xlfn.ANCHORARRAY('Phase finale'!$DK$7),'Phase finale'!$DM$7:$DM$42,"",0,1)),"")</f>
        <v/>
      </c>
      <c r="DP42" s="517" t="str">
        <f t="shared" si="27"/>
        <v/>
      </c>
      <c r="DQ42" s="456" t="str">
        <f t="shared" si="28"/>
        <v/>
      </c>
      <c r="DR42" s="456">
        <f t="shared" si="29"/>
        <v>0</v>
      </c>
      <c r="DS42" s="518">
        <f t="shared" si="15"/>
        <v>37</v>
      </c>
      <c r="DU42" s="244">
        <v>35</v>
      </c>
      <c r="DV42" s="244">
        <v>35</v>
      </c>
      <c r="DW42" s="244" t="str">
        <f>'Phase finale'!CP41</f>
        <v/>
      </c>
      <c r="DX42" s="244" t="str">
        <f t="shared" si="39"/>
        <v/>
      </c>
      <c r="DZ42" s="244" t="str">
        <f t="shared" si="40"/>
        <v/>
      </c>
      <c r="EC42" s="244" t="str">
        <f t="shared" si="41"/>
        <v/>
      </c>
      <c r="EH42" s="244" t="str">
        <f t="shared" si="42"/>
        <v/>
      </c>
    </row>
    <row r="43" spans="1:144" ht="24" customHeight="1" x14ac:dyDescent="0.3">
      <c r="A43" s="452" t="str">
        <f>IF('GESTION DES JOUEURS'!A45=MAX('GESTION DES JOUEURS'!$A$10:'GESTION DES JOUEURS'!$A$46),"",A42+1)</f>
        <v/>
      </c>
      <c r="B43" s="451" t="str">
        <v/>
      </c>
      <c r="C43" s="1218" t="str">
        <f>_xlfn.XLOOKUP(B43,Tableau19[Licence],Tableau19[Nom],"",0,1)</f>
        <v/>
      </c>
      <c r="D43" s="1218"/>
      <c r="E43" s="1218"/>
      <c r="F43" s="1218"/>
      <c r="G43" s="1218"/>
      <c r="H43" s="1218"/>
      <c r="I43" s="1218" t="str">
        <f>_xlfn.XLOOKUP(B43,Tableau19[Licence],Tableau19[[prénom ]],"",0,1)</f>
        <v/>
      </c>
      <c r="J43" s="1218"/>
      <c r="K43" s="1218"/>
      <c r="L43" s="1218"/>
      <c r="M43" s="1218"/>
      <c r="N43" s="1218" t="str">
        <f>_xlfn.XLOOKUP(B43,Tableau19[Licence],Tableau19[Club],"",0,1)</f>
        <v/>
      </c>
      <c r="O43" s="1218"/>
      <c r="P43" s="1218"/>
      <c r="Q43" s="1218"/>
      <c r="R43" s="1218"/>
      <c r="S43" s="1218"/>
      <c r="T43" s="1218"/>
      <c r="U43" s="1218"/>
      <c r="V43" s="1218"/>
      <c r="W43" s="1218"/>
      <c r="X43" s="455" t="str">
        <f t="shared" si="16"/>
        <v/>
      </c>
      <c r="Y43" s="455" t="str">
        <f t="shared" si="17"/>
        <v/>
      </c>
      <c r="Z43" s="451" t="str">
        <f>IF(B43="","",IF('GESTION DES JOUEURS'!$D$8="Open","",IF(AND('GESTION DES JOUEURS'!$D$8="poules",A43&lt;&gt;""),_xlfn.XLOOKUP(RESULTATS!B43,'Phase finale'!$BV$7:$BV$42,'Phase finale'!$CL$7:$CL$42,"",0,1),IF(AND(B43&lt;&gt;"",MAX('GESTION DES JOUEURS'!$A$11:$A$46)&gt;6,'GESTION DES JOUEURS'!$Y$8="JDSR"),_xlfn.XLOOKUP(A43,PTSRKMINITOURNOI[Clt],PTSRKMINITOURNOI[PR JDS 9],"",0,1),IF(AND(B43&lt;&gt;"",MAX('GESTION DES JOUEURS'!$A$11:$A$46)&lt;7,'GESTION DES JOUEURS'!$Y$8="JDSR"),_xlfn.XLOOKUP(A43,PTSRKMINITOURNOI[Clt],PTSRKMINITOURNOI[PR JDS],"",0,1),IF(AND(B43&lt;&gt;"",MAX('GESTION DES JOUEURS'!$A$11:$A$46)&lt;7,'GESTION DES JOUEURS'!$Y$8="R"),_xlfn.XLOOKUP(A43,PTSRKMINITOURNOI[Clt],PTSRKMINITOURNOI[PR 3B],"",0,1),IF(AND(B43&lt;&gt;"",MAX('GESTION DES JOUEURS'!$A$11:$A$46)&gt;6,'GESTION DES JOUEURS'!$Y$8="R"),_xlfn.XLOOKUP(A43,PTSRKTOURNOI[Clt],PTSRKTOURNOI[PR 3B],"",0,1),IF(AND(B43&lt;&gt;"",MAX('GESTION DES JOUEURS'!$A$11:$A$46)&gt;6,'GESTION DES JOUEURS'!$Y$8="Dames"),_xlfn.XLOOKUP(A43,PTSRKTOURNOI[Clt],PTSRKTOURNOI[[PR DAMES ]],"",0,1),IF(AND(B43&lt;&gt;"",'GESTION DES JOUEURS'!$Y$8="D"),_xlfn.XLOOKUP(A43,PTSRKMINITOURNOI[Clt],PTSRKMINITOURNOI[PR DISTRICT],"",0,1),"")))))))))</f>
        <v/>
      </c>
      <c r="AA43" s="451" t="str">
        <f>IF(AE43=0,"",IF('GESTION DES JOUEURS'!$D$8="Open","",_xlfn.XLOOKUP(B43,$CL$8:$CL$43,$DK$8:$DK$43,"",0,1)))</f>
        <v/>
      </c>
      <c r="AB43" s="451" t="str">
        <f t="shared" si="11"/>
        <v/>
      </c>
      <c r="AC43" s="451" t="str">
        <f t="shared" si="18"/>
        <v/>
      </c>
      <c r="AD43" s="451" t="str">
        <f t="shared" si="19"/>
        <v/>
      </c>
      <c r="AE43" s="538" t="str">
        <f t="shared" si="20"/>
        <v/>
      </c>
      <c r="AF43" s="451" t="str">
        <f t="shared" si="21"/>
        <v/>
      </c>
      <c r="AG43" s="456" t="str">
        <f t="shared" si="22"/>
        <v/>
      </c>
      <c r="AH43" s="456" t="str">
        <f t="shared" si="23"/>
        <v/>
      </c>
      <c r="AI43" s="446"/>
      <c r="AV43" s="1224"/>
      <c r="AW43" s="244">
        <v>31</v>
      </c>
      <c r="AX43" s="244" t="str">
        <v>157535J</v>
      </c>
      <c r="AY43" s="244" t="str">
        <v>PIBOURDIN</v>
      </c>
      <c r="AZ43" s="244">
        <v>0</v>
      </c>
      <c r="BA43" s="244" t="str">
        <v>ERIC</v>
      </c>
      <c r="BB43" s="244">
        <v>0</v>
      </c>
      <c r="BC43" s="244" t="str">
        <v>ACADEMIE DE BILLARD DE MAISONS ALFORT</v>
      </c>
      <c r="BD43" s="244">
        <v>0</v>
      </c>
      <c r="BE43" s="244">
        <v>0</v>
      </c>
      <c r="BF43" s="244">
        <v>0</v>
      </c>
      <c r="BG43" s="244">
        <v>0</v>
      </c>
      <c r="BH43" s="244">
        <v>0</v>
      </c>
      <c r="BI43" s="244">
        <v>2</v>
      </c>
      <c r="BJ43" s="244">
        <v>2.2857142857142856</v>
      </c>
      <c r="BK43" s="244">
        <v>2.125</v>
      </c>
      <c r="BL43" s="244">
        <v>23</v>
      </c>
      <c r="BM43" s="244">
        <v>2</v>
      </c>
      <c r="BN43" s="244">
        <v>5</v>
      </c>
      <c r="BO43" s="244">
        <v>2</v>
      </c>
      <c r="BV43" s="506"/>
      <c r="BW43" s="506">
        <f t="shared" si="30"/>
        <v>31</v>
      </c>
      <c r="BX43" s="506" t="str">
        <f t="shared" si="31"/>
        <v>157535J</v>
      </c>
      <c r="BY43" s="506" t="str">
        <f t="shared" si="32"/>
        <v>PIBOURDIN</v>
      </c>
      <c r="BZ43" s="506" t="str">
        <f t="shared" si="33"/>
        <v>ERIC</v>
      </c>
      <c r="CA43" s="506" t="str">
        <f t="shared" si="34"/>
        <v>ACADEMIE DE BILLARD DE MAISONS ALFORT</v>
      </c>
      <c r="CB43" s="506">
        <f t="shared" si="35"/>
        <v>2.2857142857142856</v>
      </c>
      <c r="CC43" s="506">
        <f t="shared" si="36"/>
        <v>2.125</v>
      </c>
      <c r="CD43" s="506">
        <f t="shared" si="37"/>
        <v>23</v>
      </c>
      <c r="CE43" s="506">
        <f t="shared" si="3"/>
        <v>5</v>
      </c>
      <c r="CF43" s="506">
        <f t="shared" si="4"/>
        <v>2</v>
      </c>
      <c r="CG43" s="506">
        <f t="shared" si="5"/>
        <v>7</v>
      </c>
      <c r="CH43" s="506">
        <f t="shared" si="38"/>
        <v>2</v>
      </c>
      <c r="CI43" s="244">
        <f>IF(BX43="",37,IF(BX43='Phase finale'!$C$38,1,IF(BX43='Phase finale'!$C$39,2,IF(BX43='Phase finale'!$C$40,3,IF(BX43='Phase finale'!$C$41,4,IF(BX43='Phase finale'!$C$42,5,IF(BX43='Phase finale'!$C$43,6,IF(BX43='Phase finale'!$C$44,7,IF(BX43='Phase finale'!$C$45,8,IF(OR(BX43='Phase finale'!F48,BX43='Phase finale'!$F$10,BX43='Phase finale'!$V$11,BX43='Phase finale'!$V$10),3,IF(OR(BX43='Phase finale'!F50,BX43='Phase finale'!F51,BX43='Phase finale'!F52,BX43='Phase finale'!F53,BX43='Phase finale'!V50,BX43='Phase finale'!V51,BX43='Phase finale'!V52,BX43='Phase finale'!V53),5,IF(_xlfn.XLOOKUP(BX43,Tableau19[Licence],Tableau19[Forfait],"",0,1)=TRUE,36,9))))))))))))</f>
        <v>9</v>
      </c>
      <c r="CL43" s="451">
        <f>IF('GESTION DES JOUEURS'!B46="",0,'GESTION DES JOUEURS'!B46)</f>
        <v>0</v>
      </c>
      <c r="CM43" s="453" t="str">
        <f t="shared" si="24"/>
        <v/>
      </c>
      <c r="CN43" s="453"/>
      <c r="CO43" s="453"/>
      <c r="CP43" s="453"/>
      <c r="CQ43" s="453"/>
      <c r="CR43" s="453"/>
      <c r="CS43" s="453" t="str">
        <f t="shared" si="12"/>
        <v/>
      </c>
      <c r="CT43" s="453"/>
      <c r="CU43" s="453"/>
      <c r="CV43" s="453"/>
      <c r="CW43" s="453"/>
      <c r="CX43" s="453" t="str">
        <f t="shared" si="13"/>
        <v/>
      </c>
      <c r="CY43" s="453"/>
      <c r="CZ43" s="453"/>
      <c r="DA43" s="453"/>
      <c r="DB43" s="453"/>
      <c r="DC43" s="453"/>
      <c r="DD43" s="453"/>
      <c r="DE43" s="453"/>
      <c r="DF43" s="453"/>
      <c r="DG43" s="453"/>
      <c r="DH43" s="509" t="str">
        <f t="shared" si="14"/>
        <v/>
      </c>
      <c r="DI43" s="509">
        <f>IFERROR(IF('GESTION DES JOUEURS'!$D$8="Open",_xlfn.XLOOKUP(RESULTATS!CL43,RESULTATS!$DW$8:$DW$43,RESULTATS!$EL$8:$EL$43,"",0,1),_xlfn.XLOOKUP(CL43,$BX$5:$BX$12,$BV$5:$BV$12,_xlfn.XLOOKUP(CL43,$AX$5:$AX$12,$AW$5:$AW$12,"",0,1),0,1)),"")</f>
        <v>2</v>
      </c>
      <c r="DJ43" s="453" t="str">
        <f t="shared" si="25"/>
        <v/>
      </c>
      <c r="DK43" s="453" t="str">
        <f>IF('GESTION DES JOUEURS'!$D$8="Poules",_xlfn.XLOOKUP(RESULTATS!CL43,'Phase finale'!$BV$7:$BV$42,'Phase finale'!$CM$7:$CM$42,"",0,1),IF(AND(CL43&lt;&gt;0,DQ43&gt;_xlfn.XLOOKUP('GESTION DES JOUEURS'!$D$4,Distances[Mode de jeu et cat.],Distances[M 3],"",0,1)),_xlfn.XLOOKUP('GESTION DES JOUEURS'!$D$4,Distances[Mode de jeu et cat.],Distances[BT3],"",0,1),IF(AND(CL43&lt;&gt;0,DQ43&gt;_xlfn.XLOOKUP('GESTION DES JOUEURS'!$D$4,Distances[Mode de jeu et cat.],Distances[M 2],"",0,1)),_xlfn.XLOOKUP('GESTION DES JOUEURS'!$D$4,Distances[Mode de jeu et cat.],Distances[BT2],"",0,1),IF(AND(CL43&lt;&gt;0,DQ43&gt;_xlfn.XLOOKUP('GESTION DES JOUEURS'!$D$4,Distances[Mode de jeu et cat.],Distances[M 1],"",0,1)),_xlfn.XLOOKUP('GESTION DES JOUEURS'!$D$4,Distances[Mode de jeu et cat.],Distances[BT1],"",0,1),0))))</f>
        <v/>
      </c>
      <c r="DL43" s="453">
        <f t="shared" si="26"/>
        <v>0</v>
      </c>
      <c r="DM43" s="453" t="str">
        <f>IF('GESTION DES JOUEURS'!$D$8="Open",_xlfn.XLOOKUP(CL43,RESULTATS!$DW$8:$DW$43,RESULTATS!$EH$8:$EH$43,"",0,1),_xlfn.XLOOKUP(CL43,$BX$5:$BX$48,$CH$5:$CH$48,"",0,1))</f>
        <v/>
      </c>
      <c r="DN43" s="451" t="str">
        <f>IFERROR(SUM(_xlfn.XLOOKUP(CL43,_xlfn.ANCHORARRAY('Phase finale'!$DK$7),'Phase finale'!$DP$7:$DP$42,"",0,1),_xlfn.XLOOKUP(CL43,_xlfn.ANCHORARRAY('Phase finale'!$DK$7),'Phase finale'!$DL$7:$DL$42,"",0,1)),"")</f>
        <v/>
      </c>
      <c r="DO43" s="451" t="str">
        <f>IFERROR(SUM(_xlfn.XLOOKUP(CL43,_xlfn.ANCHORARRAY('Phase finale'!$DK$7),'Phase finale'!$DQ$7:$DQ$42,"",0,1),_xlfn.XLOOKUP(CL43,_xlfn.ANCHORARRAY('Phase finale'!$DK$7),'Phase finale'!$DM$7:$DM$42,"",0,1)),"")</f>
        <v/>
      </c>
      <c r="DP43" s="517" t="str">
        <f t="shared" si="27"/>
        <v/>
      </c>
      <c r="DQ43" s="456" t="str">
        <f t="shared" si="28"/>
        <v/>
      </c>
      <c r="DR43" s="456">
        <f t="shared" si="29"/>
        <v>0</v>
      </c>
      <c r="DS43" s="518">
        <f t="shared" si="15"/>
        <v>37</v>
      </c>
      <c r="DU43" s="244">
        <v>36</v>
      </c>
      <c r="DV43" s="244">
        <v>36</v>
      </c>
      <c r="DW43" s="244" t="str">
        <f>'Phase finale'!CP42</f>
        <v/>
      </c>
      <c r="DX43" s="244" t="str">
        <f t="shared" si="39"/>
        <v/>
      </c>
      <c r="DZ43" s="244" t="str">
        <f t="shared" si="40"/>
        <v/>
      </c>
      <c r="EC43" s="244" t="str">
        <f t="shared" si="41"/>
        <v/>
      </c>
      <c r="EH43" s="244" t="str">
        <f t="shared" si="42"/>
        <v/>
      </c>
    </row>
    <row r="44" spans="1:144" ht="24" customHeight="1" x14ac:dyDescent="0.3">
      <c r="A44" s="446"/>
      <c r="B44" s="446"/>
      <c r="C44" s="512"/>
      <c r="D44" s="1220"/>
      <c r="E44" s="1220"/>
      <c r="F44" s="446"/>
      <c r="G44" s="492"/>
      <c r="H44" s="446"/>
      <c r="I44" s="446"/>
      <c r="J44" s="446"/>
      <c r="K44" s="446"/>
      <c r="L44" s="446"/>
      <c r="M44" s="446"/>
      <c r="N44" s="446"/>
      <c r="O44" s="1222"/>
      <c r="P44" s="1222"/>
      <c r="Q44" s="1222"/>
      <c r="R44" s="1223"/>
      <c r="S44" s="1223"/>
      <c r="T44" s="446"/>
      <c r="U44" s="492"/>
      <c r="V44" s="446"/>
      <c r="W44" s="446"/>
      <c r="X44" s="446"/>
      <c r="Y44" s="446"/>
      <c r="Z44" s="446"/>
      <c r="AA44" s="446"/>
      <c r="AB44" s="1222"/>
      <c r="AC44" s="1222"/>
      <c r="AD44" s="513"/>
      <c r="AE44" s="446"/>
      <c r="AF44" s="446"/>
      <c r="AG44" s="446"/>
      <c r="AH44" s="446"/>
      <c r="AI44" s="446"/>
      <c r="AV44" s="1224"/>
      <c r="AW44" s="244">
        <v>32</v>
      </c>
      <c r="AX44" s="244" t="str">
        <v>154522J</v>
      </c>
      <c r="AY44" s="244" t="str">
        <v>PIVONET</v>
      </c>
      <c r="AZ44" s="244">
        <v>0</v>
      </c>
      <c r="BA44" s="244" t="str">
        <v>FRANCIS</v>
      </c>
      <c r="BB44" s="244">
        <v>0</v>
      </c>
      <c r="BC44" s="244" t="str">
        <v>ASS. BILLARD AMATEUR DE SAINT MAUR</v>
      </c>
      <c r="BD44" s="244">
        <v>0</v>
      </c>
      <c r="BE44" s="244">
        <v>0</v>
      </c>
      <c r="BF44" s="244">
        <v>0</v>
      </c>
      <c r="BG44" s="244">
        <v>0</v>
      </c>
      <c r="BH44" s="244">
        <v>0</v>
      </c>
      <c r="BI44" s="244">
        <v>2</v>
      </c>
      <c r="BJ44" s="244">
        <v>2.2205882352941178</v>
      </c>
      <c r="BK44" s="244">
        <v>2.375</v>
      </c>
      <c r="BL44" s="244">
        <v>23</v>
      </c>
      <c r="BM44" s="244">
        <v>2</v>
      </c>
      <c r="BN44" s="244">
        <v>5</v>
      </c>
      <c r="BO44" s="244">
        <v>2</v>
      </c>
      <c r="BV44" s="506"/>
      <c r="BW44" s="506">
        <f t="shared" si="30"/>
        <v>32</v>
      </c>
      <c r="BX44" s="506" t="str">
        <f t="shared" si="31"/>
        <v>154522J</v>
      </c>
      <c r="BY44" s="506" t="str">
        <f t="shared" si="32"/>
        <v>PIVONET</v>
      </c>
      <c r="BZ44" s="506" t="str">
        <f t="shared" si="33"/>
        <v>FRANCIS</v>
      </c>
      <c r="CA44" s="506" t="str">
        <f t="shared" si="34"/>
        <v>ASS. BILLARD AMATEUR DE SAINT MAUR</v>
      </c>
      <c r="CB44" s="506">
        <f t="shared" si="35"/>
        <v>2.2205882352941178</v>
      </c>
      <c r="CC44" s="506">
        <f t="shared" si="36"/>
        <v>2.375</v>
      </c>
      <c r="CD44" s="506">
        <f t="shared" si="37"/>
        <v>23</v>
      </c>
      <c r="CE44" s="506">
        <f t="shared" si="3"/>
        <v>5</v>
      </c>
      <c r="CF44" s="506">
        <f t="shared" si="4"/>
        <v>2</v>
      </c>
      <c r="CG44" s="506">
        <f t="shared" si="5"/>
        <v>7</v>
      </c>
      <c r="CH44" s="506">
        <f t="shared" si="38"/>
        <v>2</v>
      </c>
      <c r="CI44" s="244">
        <f>IF(BX44="",37,IF(BX44='Phase finale'!$C$38,1,IF(BX44='Phase finale'!$C$39,2,IF(BX44='Phase finale'!$C$40,3,IF(BX44='Phase finale'!$C$41,4,IF(BX44='Phase finale'!$C$42,5,IF(BX44='Phase finale'!$C$43,6,IF(BX44='Phase finale'!$C$44,7,IF(BX44='Phase finale'!$C$45,8,IF(OR(BX44='Phase finale'!F49,BX44='Phase finale'!$F$10,BX44='Phase finale'!$V$11,BX44='Phase finale'!$V$10),3,IF(OR(BX44='Phase finale'!F51,BX44='Phase finale'!F52,BX44='Phase finale'!F53,BX44='Phase finale'!F54,BX44='Phase finale'!V51,BX44='Phase finale'!V52,BX44='Phase finale'!V53,BX44='Phase finale'!V54),5,IF(_xlfn.XLOOKUP(BX44,Tableau19[Licence],Tableau19[Forfait],"",0,1)=TRUE,36,9))))))))))))</f>
        <v>9</v>
      </c>
    </row>
    <row r="45" spans="1:144" ht="24" customHeight="1" x14ac:dyDescent="0.25">
      <c r="B45" s="1075"/>
      <c r="C45" s="1075"/>
      <c r="D45" s="1075"/>
      <c r="E45" s="1075"/>
      <c r="G45" s="365"/>
      <c r="H45" s="365"/>
      <c r="I45" s="365"/>
      <c r="J45" s="365"/>
      <c r="K45" s="365"/>
      <c r="AA45" s="1075"/>
      <c r="AB45" s="1075"/>
      <c r="AC45" s="1075"/>
      <c r="AD45" s="1075"/>
      <c r="AV45" s="1224"/>
      <c r="AW45" s="244">
        <v>33</v>
      </c>
      <c r="AX45" s="244" t="str">
        <v>013428M</v>
      </c>
      <c r="AY45" s="244" t="str">
        <v>KEREBEL</v>
      </c>
      <c r="AZ45" s="244">
        <v>0</v>
      </c>
      <c r="BA45" s="244" t="str">
        <v>ERIC</v>
      </c>
      <c r="BB45" s="244">
        <v>0</v>
      </c>
      <c r="BC45" s="244" t="str">
        <v>ASS. BILLARD AMATEUR DE SAINT MAUR</v>
      </c>
      <c r="BD45" s="244">
        <v>0</v>
      </c>
      <c r="BE45" s="244">
        <v>0</v>
      </c>
      <c r="BF45" s="244">
        <v>0</v>
      </c>
      <c r="BG45" s="244">
        <v>0</v>
      </c>
      <c r="BH45" s="244">
        <v>0</v>
      </c>
      <c r="BI45" s="244">
        <v>0</v>
      </c>
      <c r="BJ45" s="244">
        <v>2.75</v>
      </c>
      <c r="BK45" s="244" t="str">
        <v>/</v>
      </c>
      <c r="BL45" s="244">
        <v>20</v>
      </c>
      <c r="BM45" s="244">
        <v>2</v>
      </c>
      <c r="BN45" s="244">
        <v>5</v>
      </c>
      <c r="BO45" s="244">
        <v>2</v>
      </c>
      <c r="BV45" s="506"/>
      <c r="BW45" s="506">
        <f t="shared" si="30"/>
        <v>33</v>
      </c>
      <c r="BX45" s="506" t="str">
        <f t="shared" si="31"/>
        <v>013428M</v>
      </c>
      <c r="BY45" s="506" t="str">
        <f t="shared" si="32"/>
        <v>KEREBEL</v>
      </c>
      <c r="BZ45" s="506" t="str">
        <f t="shared" si="33"/>
        <v>ERIC</v>
      </c>
      <c r="CA45" s="506" t="str">
        <f t="shared" si="34"/>
        <v>ASS. BILLARD AMATEUR DE SAINT MAUR</v>
      </c>
      <c r="CB45" s="506">
        <f t="shared" si="35"/>
        <v>2.75</v>
      </c>
      <c r="CC45" s="506" t="str">
        <f t="shared" si="36"/>
        <v>/</v>
      </c>
      <c r="CD45" s="506">
        <f t="shared" si="37"/>
        <v>20</v>
      </c>
      <c r="CE45" s="506">
        <f t="shared" si="3"/>
        <v>5</v>
      </c>
      <c r="CF45" s="506">
        <f t="shared" si="4"/>
        <v>2</v>
      </c>
      <c r="CG45" s="506">
        <f t="shared" si="5"/>
        <v>7</v>
      </c>
      <c r="CH45" s="506">
        <f t="shared" si="38"/>
        <v>0</v>
      </c>
      <c r="CI45" s="244">
        <f>IF(BX45="",37,IF(BX45='Phase finale'!$C$38,1,IF(BX45='Phase finale'!$C$39,2,IF(BX45='Phase finale'!$C$40,3,IF(BX45='Phase finale'!$C$41,4,IF(BX45='Phase finale'!$C$42,5,IF(BX45='Phase finale'!$C$43,6,IF(BX45='Phase finale'!$C$44,7,IF(BX45='Phase finale'!$C$45,8,IF(OR(BX45='Phase finale'!F50,BX45='Phase finale'!$F$10,BX45='Phase finale'!$V$11,BX45='Phase finale'!$V$10),3,IF(OR(BX45='Phase finale'!F52,BX45='Phase finale'!F53,BX45='Phase finale'!F54,BX45='Phase finale'!F55,BX45='Phase finale'!V52,BX45='Phase finale'!V53,BX45='Phase finale'!V54,BX45='Phase finale'!V55),5,IF(_xlfn.XLOOKUP(BX45,Tableau19[Licence],Tableau19[Forfait],"",0,1)=TRUE,36,9))))))))))))</f>
        <v>9</v>
      </c>
    </row>
    <row r="46" spans="1:144" ht="24" customHeight="1" x14ac:dyDescent="0.25">
      <c r="B46" s="365"/>
      <c r="C46" s="365"/>
      <c r="D46" s="365"/>
      <c r="E46" s="365"/>
      <c r="N46" s="365"/>
      <c r="O46" s="365"/>
      <c r="P46" s="365"/>
      <c r="Q46" s="365"/>
      <c r="R46" s="365"/>
      <c r="S46" s="365"/>
      <c r="AA46" s="365"/>
      <c r="AB46" s="365"/>
      <c r="AC46" s="365"/>
      <c r="AD46" s="365"/>
      <c r="AV46" s="1224"/>
      <c r="AW46" s="244">
        <v>34</v>
      </c>
      <c r="AX46" s="244" t="str">
        <v>156543F</v>
      </c>
      <c r="AY46" s="244" t="str">
        <v>FERNANDES ALVES</v>
      </c>
      <c r="AZ46" s="244">
        <v>0</v>
      </c>
      <c r="BA46" s="244" t="str">
        <v>FRANCISCO</v>
      </c>
      <c r="BB46" s="244">
        <v>0</v>
      </c>
      <c r="BC46" s="244" t="str">
        <v>ACADEMIE DE BILLARD DE MAISONS ALFORT</v>
      </c>
      <c r="BD46" s="244">
        <v>0</v>
      </c>
      <c r="BE46" s="244">
        <v>0</v>
      </c>
      <c r="BF46" s="244">
        <v>0</v>
      </c>
      <c r="BG46" s="244">
        <v>0</v>
      </c>
      <c r="BH46" s="244">
        <v>0</v>
      </c>
      <c r="BI46" s="244">
        <v>0</v>
      </c>
      <c r="BJ46" s="244">
        <v>2.129032258064516</v>
      </c>
      <c r="BK46" s="244" t="str">
        <v>/</v>
      </c>
      <c r="BL46" s="244">
        <v>16</v>
      </c>
      <c r="BM46" s="244">
        <v>3</v>
      </c>
      <c r="BN46" s="244">
        <v>3</v>
      </c>
      <c r="BO46" s="244">
        <v>1</v>
      </c>
      <c r="BV46" s="506"/>
      <c r="BW46" s="506">
        <f t="shared" si="30"/>
        <v>34</v>
      </c>
      <c r="BX46" s="506" t="str">
        <f t="shared" si="31"/>
        <v>156543F</v>
      </c>
      <c r="BY46" s="506" t="str">
        <f t="shared" si="32"/>
        <v>FERNANDES ALVES</v>
      </c>
      <c r="BZ46" s="506" t="str">
        <f t="shared" si="33"/>
        <v>FRANCISCO</v>
      </c>
      <c r="CA46" s="506" t="str">
        <f t="shared" si="34"/>
        <v>ACADEMIE DE BILLARD DE MAISONS ALFORT</v>
      </c>
      <c r="CB46" s="506">
        <f t="shared" si="35"/>
        <v>2.129032258064516</v>
      </c>
      <c r="CC46" s="506" t="str">
        <f t="shared" si="36"/>
        <v>/</v>
      </c>
      <c r="CD46" s="506">
        <f t="shared" si="37"/>
        <v>16</v>
      </c>
      <c r="CE46" s="506">
        <f t="shared" si="3"/>
        <v>3</v>
      </c>
      <c r="CF46" s="506">
        <f t="shared" si="4"/>
        <v>1</v>
      </c>
      <c r="CG46" s="506">
        <f t="shared" si="5"/>
        <v>4</v>
      </c>
      <c r="CH46" s="506">
        <f t="shared" si="38"/>
        <v>0</v>
      </c>
      <c r="CI46" s="244">
        <f>IF(BX46="",37,IF(BX46='Phase finale'!$C$38,1,IF(BX46='Phase finale'!$C$39,2,IF(BX46='Phase finale'!$C$40,3,IF(BX46='Phase finale'!$C$41,4,IF(BX46='Phase finale'!$C$42,5,IF(BX46='Phase finale'!$C$43,6,IF(BX46='Phase finale'!$C$44,7,IF(BX46='Phase finale'!$C$45,8,IF(OR(BX46='Phase finale'!F51,BX46='Phase finale'!$F$10,BX46='Phase finale'!$V$11,BX46='Phase finale'!$V$10),3,IF(OR(BX46='Phase finale'!F53,BX46='Phase finale'!F54,BX46='Phase finale'!F55,BX46='Phase finale'!F56,BX46='Phase finale'!V53,BX46='Phase finale'!V54,BX46='Phase finale'!V55,BX46='Phase finale'!V56),5,IF(_xlfn.XLOOKUP(BX46,Tableau19[Licence],Tableau19[Forfait],"",0,1)=TRUE,36,9))))))))))))</f>
        <v>9</v>
      </c>
    </row>
    <row r="47" spans="1:144" ht="24" customHeight="1" x14ac:dyDescent="0.3">
      <c r="G47" s="1216"/>
      <c r="H47" s="1216"/>
      <c r="I47" s="1216"/>
      <c r="J47" s="1215"/>
      <c r="K47" s="1215"/>
      <c r="U47" s="1216"/>
      <c r="V47" s="1216"/>
      <c r="W47" s="1216"/>
      <c r="X47" s="1215"/>
      <c r="Y47" s="1215"/>
      <c r="AF47" s="1216"/>
      <c r="AG47" s="1216"/>
      <c r="AH47" s="1215"/>
      <c r="AI47" s="1215"/>
      <c r="AV47" s="1224"/>
      <c r="AW47" s="244">
        <v>35</v>
      </c>
      <c r="AX47" s="244" t="str">
        <v>013922M</v>
      </c>
      <c r="AY47" s="244" t="str">
        <v>PEYROLE</v>
      </c>
      <c r="AZ47" s="244">
        <v>0</v>
      </c>
      <c r="BA47" s="244" t="str">
        <v>PHILIPPE</v>
      </c>
      <c r="BB47" s="244">
        <v>0</v>
      </c>
      <c r="BC47" s="244" t="str">
        <v>BILLARD CLUB DE LIVRY GARGAN</v>
      </c>
      <c r="BD47" s="244">
        <v>0</v>
      </c>
      <c r="BE47" s="244">
        <v>0</v>
      </c>
      <c r="BF47" s="244">
        <v>0</v>
      </c>
      <c r="BG47" s="244">
        <v>0</v>
      </c>
      <c r="BH47" s="244">
        <v>0</v>
      </c>
      <c r="BI47" s="244">
        <v>0</v>
      </c>
      <c r="BJ47" s="244">
        <v>2.0256410256410255</v>
      </c>
      <c r="BK47" s="244" t="str">
        <v>/</v>
      </c>
      <c r="BL47" s="244">
        <v>14</v>
      </c>
      <c r="BM47" s="244">
        <v>3</v>
      </c>
      <c r="BN47" s="244">
        <v>3</v>
      </c>
      <c r="BO47" s="244">
        <v>2</v>
      </c>
      <c r="BV47" s="506"/>
      <c r="BW47" s="506">
        <f t="shared" si="30"/>
        <v>35</v>
      </c>
      <c r="BX47" s="506" t="str">
        <f t="shared" si="31"/>
        <v>013922M</v>
      </c>
      <c r="BY47" s="506" t="str">
        <f t="shared" si="32"/>
        <v>PEYROLE</v>
      </c>
      <c r="BZ47" s="506" t="str">
        <f t="shared" si="33"/>
        <v>PHILIPPE</v>
      </c>
      <c r="CA47" s="506" t="str">
        <f t="shared" si="34"/>
        <v>BILLARD CLUB DE LIVRY GARGAN</v>
      </c>
      <c r="CB47" s="506">
        <f t="shared" si="35"/>
        <v>2.0256410256410255</v>
      </c>
      <c r="CC47" s="506" t="str">
        <f t="shared" si="36"/>
        <v>/</v>
      </c>
      <c r="CD47" s="506">
        <f t="shared" si="37"/>
        <v>14</v>
      </c>
      <c r="CE47" s="506">
        <f t="shared" si="3"/>
        <v>3</v>
      </c>
      <c r="CF47" s="506">
        <f t="shared" si="4"/>
        <v>2</v>
      </c>
      <c r="CG47" s="506">
        <f t="shared" si="5"/>
        <v>5</v>
      </c>
      <c r="CH47" s="506">
        <f t="shared" si="38"/>
        <v>0</v>
      </c>
      <c r="CI47" s="244">
        <f>IF(BX47="",37,IF(BX47='Phase finale'!$C$38,1,IF(BX47='Phase finale'!$C$39,2,IF(BX47='Phase finale'!$C$40,3,IF(BX47='Phase finale'!$C$41,4,IF(BX47='Phase finale'!$C$42,5,IF(BX47='Phase finale'!$C$43,6,IF(BX47='Phase finale'!$C$44,7,IF(BX47='Phase finale'!$C$45,8,IF(OR(BX47='Phase finale'!F52,BX47='Phase finale'!$F$10,BX47='Phase finale'!$V$11,BX47='Phase finale'!$V$10),3,IF(OR(BX47='Phase finale'!F54,BX47='Phase finale'!F55,BX47='Phase finale'!F56,BX47='Phase finale'!F57,BX47='Phase finale'!V54,BX47='Phase finale'!V55,BX47='Phase finale'!V56,BX47='Phase finale'!V57),5,IF(_xlfn.XLOOKUP(BX47,Tableau19[Licence],Tableau19[Forfait],"",0,1)=TRUE,36,9))))))))))))</f>
        <v>9</v>
      </c>
    </row>
    <row r="48" spans="1:144" ht="24" customHeight="1" x14ac:dyDescent="0.25">
      <c r="F48" s="1075"/>
      <c r="G48" s="1075"/>
      <c r="H48" s="1075"/>
      <c r="I48" s="1075"/>
      <c r="J48" s="1075"/>
      <c r="K48" s="1075"/>
      <c r="T48" s="1075"/>
      <c r="U48" s="1075"/>
      <c r="V48" s="1075"/>
      <c r="W48" s="1075"/>
      <c r="X48" s="1075"/>
      <c r="Y48" s="1075"/>
      <c r="AE48" s="1075"/>
      <c r="AF48" s="1075"/>
      <c r="AG48" s="1075"/>
      <c r="AH48" s="1075"/>
      <c r="AI48" s="1075"/>
      <c r="AV48" s="1224"/>
      <c r="AW48" s="244">
        <v>36</v>
      </c>
      <c r="AX48" s="244" t="str">
        <v>013335x</v>
      </c>
      <c r="AY48" s="244" t="str">
        <v>HANSEL</v>
      </c>
      <c r="AZ48" s="244">
        <v>0</v>
      </c>
      <c r="BA48" s="244" t="str">
        <v>GERARD</v>
      </c>
      <c r="BB48" s="244">
        <v>0</v>
      </c>
      <c r="BC48" s="244" t="str">
        <v>ACADEMIE DE BILLARD DE MAISONS ALFORT</v>
      </c>
      <c r="BD48" s="244">
        <v>0</v>
      </c>
      <c r="BE48" s="244">
        <v>0</v>
      </c>
      <c r="BF48" s="244">
        <v>0</v>
      </c>
      <c r="BG48" s="244">
        <v>0</v>
      </c>
      <c r="BH48" s="244">
        <v>0</v>
      </c>
      <c r="BI48" s="244">
        <v>0</v>
      </c>
      <c r="BJ48" s="244">
        <v>1.8266666666666667</v>
      </c>
      <c r="BK48" s="244" t="str">
        <v>/</v>
      </c>
      <c r="BL48" s="244">
        <v>9</v>
      </c>
      <c r="BM48" s="244">
        <v>3</v>
      </c>
      <c r="BN48" s="244">
        <v>3</v>
      </c>
      <c r="BO48" s="244">
        <v>2</v>
      </c>
      <c r="BV48" s="506"/>
      <c r="BW48" s="506">
        <f t="shared" si="30"/>
        <v>36</v>
      </c>
      <c r="BX48" s="506" t="str">
        <f t="shared" si="31"/>
        <v>013335x</v>
      </c>
      <c r="BY48" s="506" t="str">
        <f t="shared" si="32"/>
        <v>HANSEL</v>
      </c>
      <c r="BZ48" s="506" t="str">
        <f t="shared" si="33"/>
        <v>GERARD</v>
      </c>
      <c r="CA48" s="506" t="str">
        <f t="shared" si="34"/>
        <v>ACADEMIE DE BILLARD DE MAISONS ALFORT</v>
      </c>
      <c r="CB48" s="506">
        <f t="shared" si="35"/>
        <v>1.8266666666666667</v>
      </c>
      <c r="CC48" s="506" t="str">
        <f t="shared" si="36"/>
        <v>/</v>
      </c>
      <c r="CD48" s="506">
        <f t="shared" si="37"/>
        <v>9</v>
      </c>
      <c r="CE48" s="506">
        <f t="shared" si="3"/>
        <v>3</v>
      </c>
      <c r="CF48" s="506">
        <f t="shared" si="4"/>
        <v>2</v>
      </c>
      <c r="CG48" s="506">
        <f t="shared" si="5"/>
        <v>5</v>
      </c>
      <c r="CH48" s="506">
        <f t="shared" si="38"/>
        <v>0</v>
      </c>
      <c r="CI48" s="244">
        <f>IF(BX48="",37,IF(BX48='Phase finale'!$C$38,1,IF(BX48='Phase finale'!$C$39,2,IF(BX48='Phase finale'!$C$40,3,IF(BX48='Phase finale'!$C$41,4,IF(BX48='Phase finale'!$C$42,5,IF(BX48='Phase finale'!$C$43,6,IF(BX48='Phase finale'!$C$44,7,IF(BX48='Phase finale'!$C$45,8,IF(OR(BX48='Phase finale'!F53,BX48='Phase finale'!$F$10,BX48='Phase finale'!$V$11,BX48='Phase finale'!$V$10),3,IF(OR(BX48='Phase finale'!F55,BX48='Phase finale'!F56,BX48='Phase finale'!F57,BX48='Phase finale'!F58,BX48='Phase finale'!V55,BX48='Phase finale'!V56,BX48='Phase finale'!V57,BX48='Phase finale'!V58),5,IF(_xlfn.XLOOKUP(BX48,Tableau19[Licence],Tableau19[Forfait],"",0,1)=TRUE,36,9))))))))))))</f>
        <v>9</v>
      </c>
    </row>
    <row r="49" spans="2:35" ht="24" customHeight="1" x14ac:dyDescent="0.25">
      <c r="F49" s="365"/>
      <c r="G49" s="365"/>
      <c r="H49" s="365"/>
      <c r="I49" s="365"/>
      <c r="J49" s="365"/>
      <c r="K49" s="365"/>
      <c r="T49" s="365"/>
      <c r="U49" s="365"/>
      <c r="V49" s="365"/>
      <c r="W49" s="365"/>
      <c r="X49" s="365"/>
      <c r="Y49" s="365"/>
      <c r="AE49" s="365"/>
      <c r="AF49" s="365"/>
      <c r="AG49" s="365"/>
      <c r="AH49" s="365"/>
      <c r="AI49" s="365"/>
    </row>
    <row r="50" spans="2:35" ht="24" customHeight="1" x14ac:dyDescent="0.3">
      <c r="C50" s="503"/>
      <c r="D50" s="1215"/>
      <c r="E50" s="1215"/>
      <c r="G50" s="505"/>
      <c r="O50" s="1216"/>
      <c r="P50" s="1216"/>
      <c r="Q50" s="1216"/>
      <c r="R50" s="1215"/>
      <c r="S50" s="1215"/>
      <c r="AB50" s="1216"/>
      <c r="AC50" s="1216"/>
      <c r="AD50" s="504"/>
    </row>
    <row r="51" spans="2:35" ht="24" customHeight="1" x14ac:dyDescent="0.25">
      <c r="B51" s="1075"/>
      <c r="C51" s="1075"/>
      <c r="D51" s="1075"/>
      <c r="E51" s="1075"/>
      <c r="N51" s="1075"/>
      <c r="O51" s="1075"/>
      <c r="P51" s="1075"/>
      <c r="Q51" s="1075"/>
      <c r="R51" s="1075"/>
      <c r="S51" s="1075"/>
      <c r="AA51" s="1075"/>
      <c r="AB51" s="1075"/>
      <c r="AC51" s="1075"/>
      <c r="AD51" s="1075"/>
    </row>
  </sheetData>
  <sheetProtection algorithmName="SHA-512" hashValue="jRt1dxrFxzTC+EtPwQPdkgrRiCVCiaaUg7VlrDfgaMflAIEcrc17M9wzPF4I7hzgUMxiKZUjNHFAAKuNosHsdQ==" saltValue="if6bT0vFkkngR/9ETmQDHw==" spinCount="100000" sheet="1" objects="1" scenarios="1"/>
  <mergeCells count="170">
    <mergeCell ref="DU5:FE5"/>
    <mergeCell ref="CM7:CR7"/>
    <mergeCell ref="CS7:CW7"/>
    <mergeCell ref="CX7:DG7"/>
    <mergeCell ref="N11:W11"/>
    <mergeCell ref="AD5:AI5"/>
    <mergeCell ref="A1:E1"/>
    <mergeCell ref="F1:AF3"/>
    <mergeCell ref="AG1:AI3"/>
    <mergeCell ref="A2:E2"/>
    <mergeCell ref="A3:E3"/>
    <mergeCell ref="A5:C5"/>
    <mergeCell ref="D5:K5"/>
    <mergeCell ref="L5:R5"/>
    <mergeCell ref="S5:Y5"/>
    <mergeCell ref="Z5:AC5"/>
    <mergeCell ref="BA3:BC3"/>
    <mergeCell ref="BD3:BH3"/>
    <mergeCell ref="I7:M7"/>
    <mergeCell ref="N7:W7"/>
    <mergeCell ref="N10:W10"/>
    <mergeCell ref="I11:M11"/>
    <mergeCell ref="C9:H9"/>
    <mergeCell ref="I9:M9"/>
    <mergeCell ref="C10:H10"/>
    <mergeCell ref="AE48:AI48"/>
    <mergeCell ref="O50:Q50"/>
    <mergeCell ref="R50:S50"/>
    <mergeCell ref="AB50:AC50"/>
    <mergeCell ref="AA45:AD45"/>
    <mergeCell ref="G47:I47"/>
    <mergeCell ref="J47:K47"/>
    <mergeCell ref="U47:W47"/>
    <mergeCell ref="X47:Y47"/>
    <mergeCell ref="AB44:AC44"/>
    <mergeCell ref="C39:H39"/>
    <mergeCell ref="I39:M39"/>
    <mergeCell ref="N39:W39"/>
    <mergeCell ref="C40:H40"/>
    <mergeCell ref="C35:H35"/>
    <mergeCell ref="C11:H11"/>
    <mergeCell ref="N16:W16"/>
    <mergeCell ref="C17:H17"/>
    <mergeCell ref="I17:M17"/>
    <mergeCell ref="N17:W17"/>
    <mergeCell ref="C18:H18"/>
    <mergeCell ref="I18:M18"/>
    <mergeCell ref="C14:H14"/>
    <mergeCell ref="AV13:AV48"/>
    <mergeCell ref="N18:W18"/>
    <mergeCell ref="C26:H26"/>
    <mergeCell ref="I26:M26"/>
    <mergeCell ref="N26:W26"/>
    <mergeCell ref="I32:M32"/>
    <mergeCell ref="N32:W32"/>
    <mergeCell ref="C33:H33"/>
    <mergeCell ref="I33:M33"/>
    <mergeCell ref="N33:W33"/>
    <mergeCell ref="C34:H34"/>
    <mergeCell ref="I34:M34"/>
    <mergeCell ref="N34:W34"/>
    <mergeCell ref="I28:M28"/>
    <mergeCell ref="N28:W28"/>
    <mergeCell ref="C29:H29"/>
    <mergeCell ref="AF47:AG47"/>
    <mergeCell ref="AH47:AI47"/>
    <mergeCell ref="AK27:AK28"/>
    <mergeCell ref="AK29:AK30"/>
    <mergeCell ref="AK31:AK32"/>
    <mergeCell ref="AK34:AK35"/>
    <mergeCell ref="AK37:AK38"/>
    <mergeCell ref="I16:M16"/>
    <mergeCell ref="AA51:AD51"/>
    <mergeCell ref="AY3:AZ3"/>
    <mergeCell ref="B45:E45"/>
    <mergeCell ref="D44:E44"/>
    <mergeCell ref="I35:M35"/>
    <mergeCell ref="N35:W35"/>
    <mergeCell ref="C36:H36"/>
    <mergeCell ref="C31:H31"/>
    <mergeCell ref="I31:M31"/>
    <mergeCell ref="N31:W31"/>
    <mergeCell ref="C32:H32"/>
    <mergeCell ref="C27:H27"/>
    <mergeCell ref="I27:M27"/>
    <mergeCell ref="N27:W27"/>
    <mergeCell ref="C28:H28"/>
    <mergeCell ref="C23:H23"/>
    <mergeCell ref="I23:M23"/>
    <mergeCell ref="D50:E50"/>
    <mergeCell ref="C7:H7"/>
    <mergeCell ref="C8:H8"/>
    <mergeCell ref="I8:M8"/>
    <mergeCell ref="N8:W8"/>
    <mergeCell ref="O44:Q44"/>
    <mergeCell ref="R44:S44"/>
    <mergeCell ref="C15:H15"/>
    <mergeCell ref="I15:M15"/>
    <mergeCell ref="N15:W15"/>
    <mergeCell ref="C16:H16"/>
    <mergeCell ref="C25:H25"/>
    <mergeCell ref="C21:H21"/>
    <mergeCell ref="I21:M21"/>
    <mergeCell ref="N21:W21"/>
    <mergeCell ref="C22:H22"/>
    <mergeCell ref="I22:M22"/>
    <mergeCell ref="N22:W22"/>
    <mergeCell ref="N23:W23"/>
    <mergeCell ref="C24:H24"/>
    <mergeCell ref="N40:W40"/>
    <mergeCell ref="C41:H41"/>
    <mergeCell ref="B51:E51"/>
    <mergeCell ref="N51:S51"/>
    <mergeCell ref="F48:K48"/>
    <mergeCell ref="T48:Y48"/>
    <mergeCell ref="C19:H19"/>
    <mergeCell ref="I19:M19"/>
    <mergeCell ref="N19:W19"/>
    <mergeCell ref="C20:H20"/>
    <mergeCell ref="C43:H43"/>
    <mergeCell ref="I43:M43"/>
    <mergeCell ref="N43:W43"/>
    <mergeCell ref="AK7:AK8"/>
    <mergeCell ref="AK9:AK10"/>
    <mergeCell ref="I14:M14"/>
    <mergeCell ref="N14:W14"/>
    <mergeCell ref="C42:H42"/>
    <mergeCell ref="I42:M42"/>
    <mergeCell ref="N42:W42"/>
    <mergeCell ref="I36:M36"/>
    <mergeCell ref="N36:W36"/>
    <mergeCell ref="C37:H37"/>
    <mergeCell ref="C12:H12"/>
    <mergeCell ref="I12:M12"/>
    <mergeCell ref="N12:W12"/>
    <mergeCell ref="C13:H13"/>
    <mergeCell ref="I13:M13"/>
    <mergeCell ref="C38:H38"/>
    <mergeCell ref="I38:M38"/>
    <mergeCell ref="N38:W38"/>
    <mergeCell ref="I29:M29"/>
    <mergeCell ref="N29:W29"/>
    <mergeCell ref="C30:H30"/>
    <mergeCell ref="I30:M30"/>
    <mergeCell ref="N30:W30"/>
    <mergeCell ref="I40:M40"/>
    <mergeCell ref="AK11:AK12"/>
    <mergeCell ref="AK13:AK14"/>
    <mergeCell ref="I41:M41"/>
    <mergeCell ref="N41:W41"/>
    <mergeCell ref="AV5:AV12"/>
    <mergeCell ref="AK40:AK42"/>
    <mergeCell ref="AK15:AK16"/>
    <mergeCell ref="AK17:AK18"/>
    <mergeCell ref="AK19:AK20"/>
    <mergeCell ref="AK21:AK22"/>
    <mergeCell ref="AK23:AK24"/>
    <mergeCell ref="AK25:AK26"/>
    <mergeCell ref="I37:M37"/>
    <mergeCell ref="N37:W37"/>
    <mergeCell ref="N13:W13"/>
    <mergeCell ref="I24:M24"/>
    <mergeCell ref="N24:W24"/>
    <mergeCell ref="N9:W9"/>
    <mergeCell ref="I10:M10"/>
    <mergeCell ref="I25:M25"/>
    <mergeCell ref="N25:W25"/>
    <mergeCell ref="I20:M20"/>
    <mergeCell ref="N20:W20"/>
    <mergeCell ref="AK4:AK5"/>
  </mergeCells>
  <hyperlinks>
    <hyperlink ref="AK4:AK5" location="'GESTION DES JOUEURS'!D4" display="GESTION DES JOUEURS" xr:uid="{FE7A306C-E4B5-4ED1-BB03-8BCE671A9BA3}"/>
    <hyperlink ref="AK9:AK10" location="PA!N18" display="PA!N18" xr:uid="{0CF59962-A2BF-4499-9F6B-0EDF18B2C24E}"/>
    <hyperlink ref="AK11:AK12" location="PB!N18" display="Poule B" xr:uid="{81F1EC1B-871A-4CE1-8EBE-82A26DF0C251}"/>
    <hyperlink ref="AK13:AK14" location="PC!N18" display="Poule C" xr:uid="{2354EDC1-C7CF-49F6-BBE3-AE8C8414DD7E}"/>
    <hyperlink ref="AK15:AK16" location="PD!N18" display="Poule D" xr:uid="{95A57F7D-3FC9-4276-AF94-EFEA794DAAAD}"/>
    <hyperlink ref="AK17:AK18" location="PE!N18" display="Poule E" xr:uid="{0FFB129A-6529-44A7-BA28-CBFE68DBD9A5}"/>
    <hyperlink ref="AK19:AK20" location="PF!N18" display="Poule F" xr:uid="{5EFBF720-3AB4-4FEF-90ED-E9985735D4A3}"/>
    <hyperlink ref="AK21:AK22" location="PG!N18" display="Poule G" xr:uid="{BABC505A-7047-4E33-854A-81F4DD1E86B8}"/>
    <hyperlink ref="AK23:AK24" location="PH!N18" display="Poule H" xr:uid="{2375FCEC-5349-4F4D-97CA-23CC2B0E3D74}"/>
    <hyperlink ref="AK25:AK26" location="PI!N18" display="Poule I" xr:uid="{6F323DD3-5098-439C-8B30-6E1B7139C281}"/>
    <hyperlink ref="AK27:AK28" location="PJ!N18" display="Poule J" xr:uid="{4122A53B-6A61-4D91-9E56-E8F5E23E7B1F}"/>
    <hyperlink ref="AK29:AK30" location="PK!N18" display="Poule K" xr:uid="{B507FB36-E01C-4B90-BFC1-A711B3223289}"/>
    <hyperlink ref="AK31:AK32" location="PL!N18" display="Poule L" xr:uid="{5F405885-B3EA-4259-8839-1CB8FD8F4C2A}"/>
    <hyperlink ref="AK37:AK38" location="Consolante!A1" display="Consolante" xr:uid="{25EE2658-0F7F-4523-AB07-BF5AA1862109}"/>
    <hyperlink ref="AK40:AK42" location="RESULTATS!A1" display="RESULTATS" xr:uid="{BBF2C9E1-9F28-4174-A4DD-651C40E42A76}"/>
    <hyperlink ref="AK34:AK35" location="'Phase finale'!A1" display="Phase Finale" xr:uid="{2C6DACD9-5E5C-4A28-9CCB-4EE462B06BBB}"/>
  </hyperlinks>
  <pageMargins left="0.7" right="0.7" top="0.75" bottom="0.75" header="0.3" footer="0.3"/>
  <pageSetup paperSize="9" scale="40" orientation="landscape" r:id="rId1"/>
  <extLst>
    <ext xmlns:x14="http://schemas.microsoft.com/office/spreadsheetml/2009/9/main" uri="{78C0D931-6437-407d-A8EE-F0AAD7539E65}">
      <x14:conditionalFormattings>
        <x14:conditionalFormatting xmlns:xm="http://schemas.microsoft.com/office/excel/2006/main">
          <x14:cfRule type="expression" priority="2" id="{9EC5608D-C6CB-4816-A2F3-6C991A098AE5}">
            <xm:f>'GESTION DES JOUEURS'!$D$8="Open"</xm:f>
            <x14:dxf>
              <fill>
                <patternFill>
                  <bgColor theme="7" tint="0.59996337778862885"/>
                </patternFill>
              </fill>
            </x14:dxf>
          </x14:cfRule>
          <xm:sqref>A24:AH39</xm:sqref>
        </x14:conditionalFormatting>
        <x14:conditionalFormatting xmlns:xm="http://schemas.microsoft.com/office/excel/2006/main">
          <x14:cfRule type="expression" priority="1" id="{C8584DD6-3BFA-4092-96BB-FD73DD4AE707}">
            <xm:f>'GESTION DES JOUEURS'!$D$8="Open"</xm:f>
            <x14:dxf>
              <fill>
                <patternFill>
                  <bgColor rgb="FFFFC409"/>
                </patternFill>
              </fill>
            </x14:dxf>
          </x14:cfRule>
          <xm:sqref>A40:AH43</xm:sqref>
        </x14:conditionalFormatting>
        <x14:conditionalFormatting xmlns:xm="http://schemas.microsoft.com/office/excel/2006/main">
          <x14:cfRule type="expression" priority="3" id="{40624D08-2A1E-4B8A-89BD-67EBF18F1C8B}">
            <xm:f>'GESTION DES JOUEURS'!$X$8&lt;&gt;"3 Bandes"</xm:f>
            <x14:dxf>
              <numFmt numFmtId="2" formatCode="0.00"/>
            </x14:dxf>
          </x14:cfRule>
          <xm:sqref>AG8:AH43</xm:sqref>
        </x14:conditionalFormatting>
        <x14:conditionalFormatting xmlns:xm="http://schemas.microsoft.com/office/excel/2006/main">
          <x14:cfRule type="expression" priority="21" id="{0D748234-6511-42F3-929E-67FF67D6F140}">
            <xm:f>'GESTION DES JOUEURS'!$T$8&lt;2</xm:f>
            <x14:dxf>
              <font>
                <color theme="0" tint="-0.24994659260841701"/>
              </font>
              <fill>
                <patternFill>
                  <bgColor theme="0" tint="-0.24994659260841701"/>
                </patternFill>
              </fill>
            </x14:dxf>
          </x14:cfRule>
          <x14:cfRule type="expression" priority="22" id="{55E134E1-FED2-4E4E-BC4B-222C500CB3F3}">
            <xm:f>'GESTION DES JOUEURS'!$D$8="Finale"</xm:f>
            <x14:dxf>
              <font>
                <color theme="0" tint="-0.24994659260841701"/>
              </font>
              <fill>
                <patternFill>
                  <bgColor theme="0" tint="-0.24994659260841701"/>
                </patternFill>
              </fill>
            </x14:dxf>
          </x14:cfRule>
          <xm:sqref>AK11:AK32</xm:sqref>
        </x14:conditionalFormatting>
        <x14:conditionalFormatting xmlns:xm="http://schemas.microsoft.com/office/excel/2006/main">
          <x14:cfRule type="expression" priority="20" id="{79D166BB-2EFD-42A8-A1A1-9E3B804F8F9C}">
            <xm:f>'GESTION DES JOUEURS'!$T$8&lt;3</xm:f>
            <x14:dxf>
              <font>
                <color theme="0" tint="-0.24994659260841701"/>
              </font>
              <fill>
                <patternFill>
                  <bgColor theme="0" tint="-0.24994659260841701"/>
                </patternFill>
              </fill>
            </x14:dxf>
          </x14:cfRule>
          <xm:sqref>AK13:AK32</xm:sqref>
        </x14:conditionalFormatting>
        <x14:conditionalFormatting xmlns:xm="http://schemas.microsoft.com/office/excel/2006/main">
          <x14:cfRule type="expression" priority="19" id="{EA2B639E-E09A-4126-A52B-A77E11BEE02A}">
            <xm:f>'GESTION DES JOUEURS'!$T$8&lt;4</xm:f>
            <x14:dxf>
              <font>
                <color theme="0" tint="-0.24994659260841701"/>
              </font>
              <fill>
                <patternFill>
                  <bgColor theme="0" tint="-0.24994659260841701"/>
                </patternFill>
              </fill>
            </x14:dxf>
          </x14:cfRule>
          <xm:sqref>AK15:AK32</xm:sqref>
        </x14:conditionalFormatting>
        <x14:conditionalFormatting xmlns:xm="http://schemas.microsoft.com/office/excel/2006/main">
          <x14:cfRule type="expression" priority="18" id="{090C6DB2-D06F-48FB-B6EC-13F6C5D91E71}">
            <xm:f>'GESTION DES JOUEURS'!$T$8&lt;5</xm:f>
            <x14:dxf>
              <font>
                <color theme="0" tint="-0.24994659260841701"/>
              </font>
              <fill>
                <patternFill>
                  <bgColor theme="0" tint="-0.24994659260841701"/>
                </patternFill>
              </fill>
            </x14:dxf>
          </x14:cfRule>
          <xm:sqref>AK17:AK32</xm:sqref>
        </x14:conditionalFormatting>
        <x14:conditionalFormatting xmlns:xm="http://schemas.microsoft.com/office/excel/2006/main">
          <x14:cfRule type="expression" priority="17" id="{02AC4952-0E4C-417A-9469-8DF39BA23F6D}">
            <xm:f>'GESTION DES JOUEURS'!$T$8&lt;6</xm:f>
            <x14:dxf>
              <font>
                <color theme="0" tint="-0.24994659260841701"/>
              </font>
              <fill>
                <patternFill>
                  <fgColor auto="1"/>
                  <bgColor theme="0" tint="-0.24994659260841701"/>
                </patternFill>
              </fill>
            </x14:dxf>
          </x14:cfRule>
          <xm:sqref>AK19:AK32</xm:sqref>
        </x14:conditionalFormatting>
        <x14:conditionalFormatting xmlns:xm="http://schemas.microsoft.com/office/excel/2006/main">
          <x14:cfRule type="expression" priority="16" id="{C71E2AEF-8356-4F90-8136-D48A91A91E88}">
            <xm:f>'GESTION DES JOUEURS'!$T$8&lt;7</xm:f>
            <x14:dxf>
              <font>
                <color theme="0" tint="-0.24994659260841701"/>
              </font>
              <fill>
                <patternFill>
                  <bgColor theme="0" tint="-0.24994659260841701"/>
                </patternFill>
              </fill>
            </x14:dxf>
          </x14:cfRule>
          <xm:sqref>AK21:AK32</xm:sqref>
        </x14:conditionalFormatting>
        <x14:conditionalFormatting xmlns:xm="http://schemas.microsoft.com/office/excel/2006/main">
          <x14:cfRule type="expression" priority="15" id="{3F7D645E-3E57-430F-A9A5-A22040C719E8}">
            <xm:f>'GESTION DES JOUEURS'!$T$8&lt;8</xm:f>
            <x14:dxf>
              <font>
                <color theme="0" tint="-0.24994659260841701"/>
              </font>
              <fill>
                <patternFill>
                  <bgColor theme="0" tint="-0.24994659260841701"/>
                </patternFill>
              </fill>
            </x14:dxf>
          </x14:cfRule>
          <xm:sqref>AK23:AK32</xm:sqref>
        </x14:conditionalFormatting>
        <x14:conditionalFormatting xmlns:xm="http://schemas.microsoft.com/office/excel/2006/main">
          <x14:cfRule type="expression" priority="14" id="{FA7970E1-E9B9-4387-AE61-3EC6D0395D08}">
            <xm:f>'GESTION DES JOUEURS'!$T$8&lt;9</xm:f>
            <x14:dxf>
              <font>
                <color theme="0" tint="-0.24994659260841701"/>
              </font>
              <fill>
                <patternFill>
                  <bgColor theme="0" tint="-0.24994659260841701"/>
                </patternFill>
              </fill>
            </x14:dxf>
          </x14:cfRule>
          <xm:sqref>AK25:AK32</xm:sqref>
        </x14:conditionalFormatting>
        <x14:conditionalFormatting xmlns:xm="http://schemas.microsoft.com/office/excel/2006/main">
          <x14:cfRule type="expression" priority="13" id="{E75C4BCD-A0C5-4435-811C-09DED2AA3B10}">
            <xm:f>'GESTION DES JOUEURS'!$T$8&lt;10</xm:f>
            <x14:dxf>
              <font>
                <color theme="0" tint="-0.24994659260841701"/>
              </font>
              <fill>
                <patternFill>
                  <bgColor theme="0" tint="-0.24994659260841701"/>
                </patternFill>
              </fill>
            </x14:dxf>
          </x14:cfRule>
          <xm:sqref>AK27:AK32</xm:sqref>
        </x14:conditionalFormatting>
        <x14:conditionalFormatting xmlns:xm="http://schemas.microsoft.com/office/excel/2006/main">
          <x14:cfRule type="expression" priority="5" id="{A2F7B603-6E26-4D97-BB19-3FDF5581FD92}">
            <xm:f>OR('GESTION DES JOUEURS'!$D$8="poules",'GESTION DES JOUEURS'!$D$8="Finale")</xm:f>
            <x14:dxf>
              <font>
                <color theme="0" tint="-0.24994659260841701"/>
              </font>
              <fill>
                <patternFill>
                  <fgColor auto="1"/>
                  <bgColor theme="0" tint="-0.24994659260841701"/>
                </patternFill>
              </fill>
            </x14:dxf>
          </x14:cfRule>
          <xm:sqref>AK34:AK35</xm:sqref>
        </x14:conditionalFormatting>
        <x14:conditionalFormatting xmlns:xm="http://schemas.microsoft.com/office/excel/2006/main">
          <x14:cfRule type="expression" priority="4" id="{062CE5EA-B096-4D2B-B91D-3DE0AD897A5D}">
            <xm:f>'GESTION DES JOUEURS'!$T$8=1</xm:f>
            <x14:dxf>
              <font>
                <color theme="0" tint="-0.24994659260841701"/>
              </font>
              <fill>
                <patternFill>
                  <bgColor theme="0" tint="-0.24994659260841701"/>
                </patternFill>
              </fill>
            </x14:dxf>
          </x14:cfRule>
          <x14:cfRule type="expression" priority="6" id="{62CADCB6-2366-4CDB-B480-FE5647102AD9}">
            <xm:f>'GESTION DES JOUEURS'!$D$8="Finale"</xm:f>
            <x14:dxf>
              <font>
                <color theme="0" tint="-0.24994659260841701"/>
              </font>
              <fill>
                <patternFill>
                  <bgColor theme="0" tint="-0.24994659260841701"/>
                </patternFill>
              </fill>
            </x14:dxf>
          </x14:cfRule>
          <xm:sqref>AK34:AK38</xm:sqref>
        </x14:conditionalFormatting>
        <x14:conditionalFormatting xmlns:xm="http://schemas.microsoft.com/office/excel/2006/main">
          <x14:cfRule type="expression" priority="8" id="{DF023311-AE9C-46C6-A4D9-BDB56BD6141D}">
            <xm:f>OR('GESTION DES JOUEURS'!$D$8="Poules",'GESTION DES JOUEURS'!$D$8="Finale",'GESTION DES JOUEURS'!$D$8="Tournoi")</xm:f>
            <x14:dxf>
              <font>
                <color theme="0" tint="-0.24994659260841701"/>
              </font>
              <fill>
                <patternFill>
                  <bgColor theme="0" tint="-0.24994659260841701"/>
                </patternFill>
              </fill>
            </x14:dxf>
          </x14:cfRule>
          <xm:sqref>AK37:AK38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754A-4C3A-4B1C-BE23-6E2FB98C5922}">
  <sheetPr codeName="Feuil2"/>
  <dimension ref="A1:C45"/>
  <sheetViews>
    <sheetView workbookViewId="0">
      <selection activeCell="E46" sqref="E46"/>
    </sheetView>
  </sheetViews>
  <sheetFormatPr baseColWidth="10" defaultRowHeight="15" x14ac:dyDescent="0.25"/>
  <cols>
    <col min="1" max="1" width="11.42578125" bestFit="1" customWidth="1"/>
    <col min="2" max="2" width="37.140625" bestFit="1" customWidth="1"/>
    <col min="3" max="3" width="9.140625" bestFit="1" customWidth="1"/>
  </cols>
  <sheetData>
    <row r="1" spans="1:3" x14ac:dyDescent="0.25">
      <c r="A1" s="17" t="s">
        <v>5501</v>
      </c>
      <c r="B1" s="17" t="s">
        <v>10</v>
      </c>
      <c r="C1" s="17" t="s">
        <v>5500</v>
      </c>
    </row>
    <row r="2" spans="1:3" x14ac:dyDescent="0.25">
      <c r="A2" s="17">
        <v>9002</v>
      </c>
      <c r="B2" t="str">
        <f>_xlfn.XLOOKUP(A2,'CLUBS IDF'!$B$2:$B$45,'CLUBS IDF'!$F$2:$F$45,"",0,1)</f>
        <v>BILLARD CLUB DE BUCHELAY</v>
      </c>
      <c r="C2" s="17" t="e" vm="6">
        <v>#VALUE!</v>
      </c>
    </row>
    <row r="3" spans="1:3" x14ac:dyDescent="0.25">
      <c r="A3" s="17">
        <v>9007</v>
      </c>
      <c r="B3" t="str">
        <f>_xlfn.XLOOKUP(A3,'CLUBS IDF'!$B$2:$B$45,'CLUBS IDF'!$F$2:$F$45,"",0,1)</f>
        <v>BILLARD BOIS COLOMBES</v>
      </c>
      <c r="C3" s="17" t="e" vm="7">
        <v>#VALUE!</v>
      </c>
    </row>
    <row r="4" spans="1:3" x14ac:dyDescent="0.25">
      <c r="A4" s="17">
        <v>9009</v>
      </c>
      <c r="B4" t="str">
        <f>_xlfn.XLOOKUP(A4,'CLUBS IDF'!$B$2:$B$45,'CLUBS IDF'!$F$2:$F$45,"",0,1)</f>
        <v>CMO MORANGIS</v>
      </c>
      <c r="C4" s="17" t="e" vm="8">
        <v>#VALUE!</v>
      </c>
    </row>
    <row r="5" spans="1:3" x14ac:dyDescent="0.25">
      <c r="A5" s="17">
        <v>9010</v>
      </c>
      <c r="B5" t="str">
        <f>_xlfn.XLOOKUP(A5,'CLUBS IDF'!$B$2:$B$45,'CLUBS IDF'!$F$2:$F$45,"",0,1)</f>
        <v>ACADEMIE DE BILLARD D ARGENTEUIL</v>
      </c>
      <c r="C5" s="17" t="e" vm="9">
        <v>#VALUE!</v>
      </c>
    </row>
    <row r="6" spans="1:3" x14ac:dyDescent="0.25">
      <c r="A6" s="17">
        <v>9016</v>
      </c>
      <c r="B6" t="str">
        <f>_xlfn.XLOOKUP(A6,'CLUBS IDF'!$B$2:$B$45,'CLUBS IDF'!$F$2:$F$45,"",0,1)</f>
        <v>BILLARD CLUB DE GARGENVILLE</v>
      </c>
      <c r="C6" s="17" t="e" vm="10">
        <v>#VALUE!</v>
      </c>
    </row>
    <row r="7" spans="1:3" x14ac:dyDescent="0.25">
      <c r="A7" s="17">
        <v>9017</v>
      </c>
      <c r="B7" t="str">
        <f>_xlfn.XLOOKUP(A7,'CLUBS IDF'!$B$2:$B$45,'CLUBS IDF'!$F$2:$F$45,"",0,1)</f>
        <v>A. DE BILLARD COURBEVOIE-LA DEFENSE</v>
      </c>
      <c r="C7" s="17" t="e" vm="11">
        <v>#VALUE!</v>
      </c>
    </row>
    <row r="8" spans="1:3" x14ac:dyDescent="0.25">
      <c r="A8" s="17">
        <v>9021</v>
      </c>
      <c r="B8" t="str">
        <f>_xlfn.XLOOKUP(A8,'CLUBS IDF'!$B$2:$B$45,'CLUBS IDF'!$F$2:$F$45,"",0,1)</f>
        <v>UNITE SPORTIVE AVONNAISE BILLARD</v>
      </c>
      <c r="C8" s="17" t="e" vm="12">
        <v>#VALUE!</v>
      </c>
    </row>
    <row r="9" spans="1:3" x14ac:dyDescent="0.25">
      <c r="A9" s="17">
        <v>9024</v>
      </c>
      <c r="B9" t="str">
        <f>_xlfn.XLOOKUP(A9,'CLUBS IDF'!$B$2:$B$45,'CLUBS IDF'!$F$2:$F$45,"",0,1)</f>
        <v>ASS. BILLARD AMATEUR DE SAINT MAUR</v>
      </c>
      <c r="C9" s="17" t="e" vm="13">
        <v>#VALUE!</v>
      </c>
    </row>
    <row r="10" spans="1:3" x14ac:dyDescent="0.25">
      <c r="A10" s="17">
        <v>9025</v>
      </c>
      <c r="B10" t="str">
        <f>_xlfn.XLOOKUP(A10,'CLUBS IDF'!$B$2:$B$45,'CLUBS IDF'!$F$2:$F$45,"",0,1)</f>
        <v>ASS.SPORT CORBEIL ESSONNES</v>
      </c>
      <c r="C10" s="17" t="e" vm="14">
        <v>#VALUE!</v>
      </c>
    </row>
    <row r="11" spans="1:3" x14ac:dyDescent="0.25">
      <c r="A11" s="17">
        <v>9026</v>
      </c>
      <c r="B11" t="str">
        <f>_xlfn.XLOOKUP(A11,'CLUBS IDF'!$B$2:$B$45,'CLUBS IDF'!$F$2:$F$45,"",0,1)</f>
        <v>BILLARD CLUB BRIARD</v>
      </c>
      <c r="C11" s="17" t="e" vm="15">
        <v>#VALUE!</v>
      </c>
    </row>
    <row r="12" spans="1:3" x14ac:dyDescent="0.25">
      <c r="A12" s="17">
        <v>9028</v>
      </c>
      <c r="B12" t="str">
        <f>_xlfn.XLOOKUP(A12,'CLUBS IDF'!$B$2:$B$45,'CLUBS IDF'!$F$2:$F$45,"",0,1)</f>
        <v>M. J. C. PROVINS</v>
      </c>
      <c r="C12" s="17" t="e" vm="16">
        <v>#VALUE!</v>
      </c>
    </row>
    <row r="13" spans="1:3" x14ac:dyDescent="0.25">
      <c r="A13" s="17">
        <v>9030</v>
      </c>
      <c r="B13" t="str">
        <f>_xlfn.XLOOKUP(A13,'CLUBS IDF'!$B$2:$B$45,'CLUBS IDF'!$F$2:$F$45,"",0,1)</f>
        <v>BILLARD CLUB VICINOIS</v>
      </c>
      <c r="C13" s="17" t="e" vm="17">
        <v>#VALUE!</v>
      </c>
    </row>
    <row r="14" spans="1:3" x14ac:dyDescent="0.25">
      <c r="A14" s="17">
        <v>9031</v>
      </c>
      <c r="B14" t="str">
        <f>_xlfn.XLOOKUP(A14,'CLUBS IDF'!$B$2:$B$45,'CLUBS IDF'!$F$2:$F$45,"",0,1)</f>
        <v>ACADEMIE DE BILLARD DE MAISONS ALFORT</v>
      </c>
      <c r="C14" s="17" t="e" vm="18">
        <v>#VALUE!</v>
      </c>
    </row>
    <row r="15" spans="1:3" x14ac:dyDescent="0.25">
      <c r="A15" s="17">
        <v>9032</v>
      </c>
      <c r="B15" t="str">
        <f>_xlfn.XLOOKUP(A15,'CLUBS IDF'!$B$2:$B$45,'CLUBS IDF'!$F$2:$F$45,"",0,1)</f>
        <v>BILLARD CLUB LA GARENNE CLAMART</v>
      </c>
      <c r="C15" s="17" t="e" vm="19">
        <v>#VALUE!</v>
      </c>
    </row>
    <row r="16" spans="1:3" x14ac:dyDescent="0.25">
      <c r="A16" s="17">
        <v>9033</v>
      </c>
      <c r="B16" t="str">
        <f>_xlfn.XLOOKUP(A16,'CLUBS IDF'!$B$2:$B$45,'CLUBS IDF'!$F$2:$F$45,"",0,1)</f>
        <v>ACADEMIE BILLARD CLUB DE GARGES</v>
      </c>
      <c r="C16" s="17" t="e" vm="20">
        <v>#VALUE!</v>
      </c>
    </row>
    <row r="17" spans="1:3" x14ac:dyDescent="0.25">
      <c r="A17" s="17">
        <v>9038</v>
      </c>
      <c r="B17" t="str">
        <f>_xlfn.XLOOKUP(A17,'CLUBS IDF'!$B$2:$B$45,'CLUBS IDF'!$F$2:$F$45,"",0,1)</f>
        <v>U.S CONFLANS STE HONORINE</v>
      </c>
      <c r="C17" s="17" t="e" vm="21">
        <v>#VALUE!</v>
      </c>
    </row>
    <row r="18" spans="1:3" x14ac:dyDescent="0.25">
      <c r="A18" s="17">
        <v>9040</v>
      </c>
      <c r="B18" t="str">
        <f>_xlfn.XLOOKUP(A18,'CLUBS IDF'!$B$2:$B$45,'CLUBS IDF'!$F$2:$F$45,"",0,1)</f>
        <v>BILLARD CLUB DE CHAMPAGNE</v>
      </c>
      <c r="C18" s="17" t="e" vm="22">
        <v>#VALUE!</v>
      </c>
    </row>
    <row r="19" spans="1:3" x14ac:dyDescent="0.25">
      <c r="A19" s="17">
        <v>9043</v>
      </c>
      <c r="B19" t="str">
        <f>_xlfn.XLOOKUP(A19,'CLUBS IDF'!$B$2:$B$45,'CLUBS IDF'!$F$2:$F$45,"",0,1)</f>
        <v>BILLARD CLUB D ETAMPES</v>
      </c>
      <c r="C19" s="17" t="e" vm="23">
        <v>#VALUE!</v>
      </c>
    </row>
    <row r="20" spans="1:3" x14ac:dyDescent="0.25">
      <c r="A20" s="17">
        <v>9045</v>
      </c>
      <c r="B20" t="str">
        <f>_xlfn.XLOOKUP(A20,'CLUBS IDF'!$B$2:$B$45,'CLUBS IDF'!$F$2:$F$45,"",0,1)</f>
        <v>BILLARD CLUB DU KREMLIN BCK</v>
      </c>
      <c r="C20" s="17" t="e" vm="24">
        <v>#VALUE!</v>
      </c>
    </row>
    <row r="21" spans="1:3" x14ac:dyDescent="0.25">
      <c r="A21" s="17">
        <v>9049</v>
      </c>
      <c r="B21" t="str">
        <f>_xlfn.XLOOKUP(A21,'CLUBS IDF'!$B$2:$B$45,'CLUBS IDF'!$F$2:$F$45,"",0,1)</f>
        <v>BILLARD CLUB FERTOIS</v>
      </c>
      <c r="C21" s="17" t="e" vm="25">
        <v>#VALUE!</v>
      </c>
    </row>
    <row r="22" spans="1:3" x14ac:dyDescent="0.25">
      <c r="A22" s="17">
        <v>9052</v>
      </c>
      <c r="B22" t="str">
        <f>_xlfn.XLOOKUP(A22,'CLUBS IDF'!$B$2:$B$45,'CLUBS IDF'!$F$2:$F$45,"",0,1)</f>
        <v>BEYNES BILLARD CARAMBOLE</v>
      </c>
      <c r="C22" s="17" t="e" vm="26">
        <v>#VALUE!</v>
      </c>
    </row>
    <row r="23" spans="1:3" x14ac:dyDescent="0.25">
      <c r="A23" s="17">
        <v>9055</v>
      </c>
      <c r="B23" t="str">
        <f>_xlfn.XLOOKUP(A23,'CLUBS IDF'!$B$2:$B$45,'CLUBS IDF'!$F$2:$F$45,"",0,1)</f>
        <v>A.S. THIERRY PONTAINE DE BILLARD</v>
      </c>
      <c r="C23" s="17" t="e" vm="27">
        <v>#VALUE!</v>
      </c>
    </row>
    <row r="24" spans="1:3" x14ac:dyDescent="0.25">
      <c r="A24" s="17">
        <v>9056</v>
      </c>
      <c r="B24" t="str">
        <f>_xlfn.XLOOKUP(A24,'CLUBS IDF'!$B$2:$B$45,'CLUBS IDF'!$F$2:$F$45,"",0,1)</f>
        <v>AC.ROYALE DE BILLARD DE VERSAILLES</v>
      </c>
      <c r="C24" s="17" t="e" vm="28">
        <v>#VALUE!</v>
      </c>
    </row>
    <row r="25" spans="1:3" x14ac:dyDescent="0.25">
      <c r="A25" s="17">
        <v>9059</v>
      </c>
      <c r="B25" t="str">
        <f>_xlfn.XLOOKUP(A25,'CLUBS IDF'!$B$2:$B$45,'CLUBS IDF'!$F$2:$F$45,"",0,1)</f>
        <v>A. B. OZOIR LA FERRIERE</v>
      </c>
      <c r="C25" s="17" t="e" vm="29">
        <v>#VALUE!</v>
      </c>
    </row>
    <row r="26" spans="1:3" x14ac:dyDescent="0.25">
      <c r="A26" s="17">
        <v>9060</v>
      </c>
      <c r="B26" t="str">
        <f>_xlfn.XLOOKUP(A26,'CLUBS IDF'!$B$2:$B$45,'CLUBS IDF'!$F$2:$F$45,"",0,1)</f>
        <v>BILLARD CLUB DE LIVRY GARGAN</v>
      </c>
      <c r="C26" s="17" t="e" vm="30">
        <v>#VALUE!</v>
      </c>
    </row>
    <row r="27" spans="1:3" x14ac:dyDescent="0.25">
      <c r="A27" s="17">
        <v>9061</v>
      </c>
      <c r="B27" t="str">
        <f>_xlfn.XLOOKUP(A27,'CLUBS IDF'!$B$2:$B$45,'CLUBS IDF'!$F$2:$F$45,"",0,1)</f>
        <v>ACADEMIE DE BILLARD DE MARINES</v>
      </c>
      <c r="C27" s="17" t="e" vm="31">
        <v>#VALUE!</v>
      </c>
    </row>
    <row r="28" spans="1:3" x14ac:dyDescent="0.25">
      <c r="A28" s="17">
        <v>9064</v>
      </c>
      <c r="B28" t="str">
        <f>_xlfn.XLOOKUP(A28,'CLUBS IDF'!$B$2:$B$45,'CLUBS IDF'!$F$2:$F$45,"",0,1)</f>
        <v>ENTENTE SPORTIVE DE MASSY</v>
      </c>
      <c r="C28" s="17" t="e" vm="32">
        <v>#VALUE!</v>
      </c>
    </row>
    <row r="29" spans="1:3" x14ac:dyDescent="0.25">
      <c r="A29" s="17">
        <v>9065</v>
      </c>
      <c r="B29" t="str">
        <f>_xlfn.XLOOKUP(A29,'CLUBS IDF'!$B$2:$B$45,'CLUBS IDF'!$F$2:$F$45,"",0,1)</f>
        <v>BILLARDS PASSION</v>
      </c>
      <c r="C29" s="17" t="e" vm="33">
        <v>#VALUE!</v>
      </c>
    </row>
    <row r="30" spans="1:3" x14ac:dyDescent="0.25">
      <c r="A30" s="17">
        <v>9068</v>
      </c>
      <c r="B30" t="str">
        <f>_xlfn.XLOOKUP(A30,'CLUBS IDF'!$B$2:$B$45,'CLUBS IDF'!$F$2:$F$45,"",0,1)</f>
        <v>S.C.M.C BILLARD CLUB</v>
      </c>
      <c r="C30" s="17" t="e" vm="34">
        <v>#VALUE!</v>
      </c>
    </row>
    <row r="31" spans="1:3" x14ac:dyDescent="0.25">
      <c r="A31" s="17">
        <v>9069</v>
      </c>
      <c r="B31" t="str">
        <f>_xlfn.XLOOKUP(A31,'CLUBS IDF'!$B$2:$B$45,'CLUBS IDF'!$F$2:$F$45,"",0,1)</f>
        <v>BILLARD CLUB FRANCONVILLE</v>
      </c>
      <c r="C31" s="17" t="e" vm="35">
        <v>#VALUE!</v>
      </c>
    </row>
    <row r="32" spans="1:3" x14ac:dyDescent="0.25">
      <c r="A32" s="17">
        <v>9070</v>
      </c>
      <c r="B32" t="str">
        <f>_xlfn.XLOOKUP(A32,'CLUBS IDF'!$B$2:$B$45,'CLUBS IDF'!$F$2:$F$45,"",0,1)</f>
        <v>BILLARD CLUB PARISIEN</v>
      </c>
      <c r="C32" s="17" t="e" vm="36">
        <v>#VALUE!</v>
      </c>
    </row>
    <row r="33" spans="1:3" x14ac:dyDescent="0.25">
      <c r="A33" s="17">
        <v>9077</v>
      </c>
      <c r="B33" t="str">
        <f>_xlfn.XLOOKUP(A33,'CLUBS IDF'!$B$2:$B$45,'CLUBS IDF'!$F$2:$F$45,"",0,1)</f>
        <v>BILLARD ACADEMIE DE COULOMMIERS</v>
      </c>
      <c r="C33" s="17" t="e" vm="37">
        <v>#VALUE!</v>
      </c>
    </row>
    <row r="34" spans="1:3" x14ac:dyDescent="0.25">
      <c r="A34" s="17">
        <v>9082</v>
      </c>
      <c r="B34" t="str">
        <f>_xlfn.XLOOKUP(A34,'CLUBS IDF'!$B$2:$B$45,'CLUBS IDF'!$F$2:$F$45,"",0,1)</f>
        <v>BILLARD CLUB DRAVEIL</v>
      </c>
      <c r="C34" s="17" t="e" vm="38">
        <v>#VALUE!</v>
      </c>
    </row>
    <row r="35" spans="1:3" x14ac:dyDescent="0.25">
      <c r="A35" s="17">
        <v>9084</v>
      </c>
      <c r="B35" t="str">
        <f>_xlfn.XLOOKUP(A35,'CLUBS IDF'!$B$2:$B$45,'CLUBS IDF'!$F$2:$F$45,"",0,1)</f>
        <v>BIILLARD CLUB DE VERNOUILLET</v>
      </c>
      <c r="C35" s="17" t="e" vm="39">
        <v>#VALUE!</v>
      </c>
    </row>
    <row r="36" spans="1:3" x14ac:dyDescent="0.25">
      <c r="A36" s="17">
        <v>9088</v>
      </c>
      <c r="B36" t="str">
        <f>_xlfn.XLOOKUP(A36,'CLUBS IDF'!$B$2:$B$45,'CLUBS IDF'!$F$2:$F$45,"",0,1)</f>
        <v>BILLARD CLUB CLICHOIS</v>
      </c>
      <c r="C36" s="17" t="e" vm="40">
        <v>#VALUE!</v>
      </c>
    </row>
    <row r="37" spans="1:3" x14ac:dyDescent="0.25">
      <c r="A37" s="17">
        <v>9095</v>
      </c>
      <c r="B37" t="str">
        <f>_xlfn.XLOOKUP(A37,'CLUBS IDF'!$B$2:$B$45,'CLUBS IDF'!$F$2:$F$45,"",0,1)</f>
        <v>A.M.B. ARPAJON</v>
      </c>
      <c r="C37" s="17" t="e" vm="41">
        <v>#VALUE!</v>
      </c>
    </row>
    <row r="38" spans="1:3" x14ac:dyDescent="0.25">
      <c r="A38" s="17">
        <v>9096</v>
      </c>
      <c r="B38" t="str">
        <f>_xlfn.XLOOKUP(A38,'CLUBS IDF'!$B$2:$B$45,'CLUBS IDF'!$F$2:$F$45,"",0,1)</f>
        <v>BILLARD CLUB STREPINIACOIS</v>
      </c>
      <c r="C38" s="17" t="e" vm="42">
        <v>#VALUE!</v>
      </c>
    </row>
    <row r="39" spans="1:3" x14ac:dyDescent="0.25">
      <c r="A39" s="17">
        <v>9101</v>
      </c>
      <c r="B39" t="str">
        <f>_xlfn.XLOOKUP(A39,'CLUBS IDF'!$B$2:$B$45,'CLUBS IDF'!$F$2:$F$45,"",0,1)</f>
        <v>BULLDOG COMPETITION ILE DE FRANCE</v>
      </c>
      <c r="C39" s="17" t="e" vm="43">
        <v>#VALUE!</v>
      </c>
    </row>
    <row r="40" spans="1:3" x14ac:dyDescent="0.25">
      <c r="A40" s="17">
        <v>9105</v>
      </c>
      <c r="B40" t="str">
        <f>_xlfn.XLOOKUP(A40,'CLUBS IDF'!$B$2:$B$45,'CLUBS IDF'!$F$2:$F$45,"",0,1)</f>
        <v>BILLARD CLUB DE NANDY</v>
      </c>
      <c r="C40" s="17" t="e" vm="44">
        <v>#VALUE!</v>
      </c>
    </row>
    <row r="41" spans="1:3" x14ac:dyDescent="0.25">
      <c r="A41" s="17">
        <v>9122</v>
      </c>
      <c r="B41" t="str">
        <f>_xlfn.XLOOKUP(A41,'CLUBS IDF'!$B$2:$B$45,'CLUBS IDF'!$F$2:$F$45,"",0,1)</f>
        <v>U. S. M. GAGNY BILLARD</v>
      </c>
      <c r="C41" s="17" t="e" vm="45">
        <v>#VALUE!</v>
      </c>
    </row>
    <row r="42" spans="1:3" x14ac:dyDescent="0.25">
      <c r="A42" s="17">
        <v>9126</v>
      </c>
      <c r="B42" t="str">
        <f>_xlfn.XLOOKUP(A42,'CLUBS IDF'!$B$2:$B$45,'CLUBS IDF'!$F$2:$F$45,"",0,1)</f>
        <v>BILLARD CLUB 8&amp;9</v>
      </c>
      <c r="C42" s="17" t="e" vm="46">
        <v>#VALUE!</v>
      </c>
    </row>
    <row r="43" spans="1:3" x14ac:dyDescent="0.25">
      <c r="A43" s="17">
        <v>9127</v>
      </c>
      <c r="B43" t="str">
        <f>_xlfn.XLOOKUP(A43,'CLUBS IDF'!$B$2:$B$45,'CLUBS IDF'!$F$2:$F$45,"",0,1)</f>
        <v>PLAYER'S 95</v>
      </c>
      <c r="C43" s="17" t="e" vm="47">
        <v>#VALUE!</v>
      </c>
    </row>
    <row r="44" spans="1:3" x14ac:dyDescent="0.25">
      <c r="A44" s="17">
        <v>9129</v>
      </c>
      <c r="B44" t="str">
        <f>_xlfn.XLOOKUP(A44,'CLUBS IDF'!$B$2:$B$45,'CLUBS IDF'!$F$2:$F$45,"",0,1)</f>
        <v>BLUE BIDA HOUSE CLUB</v>
      </c>
      <c r="C44" s="17" t="e" vm="48">
        <v>#VALUE!</v>
      </c>
    </row>
    <row r="45" spans="1:3" x14ac:dyDescent="0.25">
      <c r="A45" s="17">
        <v>9130</v>
      </c>
      <c r="B45" t="str">
        <f>_xlfn.XLOOKUP(A45,'CLUBS IDF'!$B$2:$B$45,'CLUBS IDF'!$F$2:$F$45,"",0,1)</f>
        <v>PHOENIX BILLARD CLUB</v>
      </c>
      <c r="C45" s="17" t="e" vm="49">
        <v>#VALUE!</v>
      </c>
    </row>
  </sheetData>
  <sheetProtection algorithmName="SHA-512" hashValue="8RotB62gPwmPEQY8scwp3Z/1cah8hDJKK+SLGl8A+yVudhsP22s4xbJDZ5YZdDsW9wMCdk//pPYIbSViFlXIwA==" saltValue="3jUNqnOP48DIUrZ0NMndBA==" spinCount="100000" sheet="1" objects="1" scenarios="1"/>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9377C-BBC9-4D30-80DA-26219FAD9B6F}">
  <sheetPr codeName="Feuil3"/>
  <dimension ref="A1:E106"/>
  <sheetViews>
    <sheetView workbookViewId="0">
      <selection activeCell="G39" sqref="G39"/>
    </sheetView>
  </sheetViews>
  <sheetFormatPr baseColWidth="10" defaultRowHeight="15" x14ac:dyDescent="0.25"/>
  <cols>
    <col min="2" max="2" width="14.5703125" bestFit="1" customWidth="1"/>
    <col min="3" max="3" width="15.28515625" customWidth="1"/>
  </cols>
  <sheetData>
    <row r="1" spans="1:4" ht="18.75" x14ac:dyDescent="0.3">
      <c r="A1" s="27" t="s">
        <v>5407</v>
      </c>
      <c r="B1" s="27">
        <v>3</v>
      </c>
      <c r="C1" s="28"/>
      <c r="D1" s="28"/>
    </row>
    <row r="2" spans="1:4" ht="18.75" x14ac:dyDescent="0.25">
      <c r="A2" s="29" t="s">
        <v>5408</v>
      </c>
      <c r="B2" s="29" t="s">
        <v>31</v>
      </c>
      <c r="C2" s="29" t="s">
        <v>32</v>
      </c>
      <c r="D2" s="29" t="s">
        <v>5409</v>
      </c>
    </row>
    <row r="3" spans="1:4" x14ac:dyDescent="0.25">
      <c r="A3" s="1" t="s">
        <v>5410</v>
      </c>
      <c r="B3" s="1">
        <v>2</v>
      </c>
      <c r="C3" s="1">
        <v>3</v>
      </c>
      <c r="D3" s="1">
        <v>1</v>
      </c>
    </row>
    <row r="4" spans="1:4" x14ac:dyDescent="0.25">
      <c r="A4" s="1" t="s">
        <v>5411</v>
      </c>
      <c r="B4" s="1">
        <v>1</v>
      </c>
      <c r="C4" s="1" t="s">
        <v>5412</v>
      </c>
      <c r="D4" s="1">
        <v>1</v>
      </c>
    </row>
    <row r="5" spans="1:4" x14ac:dyDescent="0.25">
      <c r="A5" s="1" t="s">
        <v>5413</v>
      </c>
      <c r="B5" s="1">
        <v>1</v>
      </c>
      <c r="C5" s="1" t="s">
        <v>22</v>
      </c>
      <c r="D5" s="1">
        <v>1</v>
      </c>
    </row>
    <row r="7" spans="1:4" ht="18.75" x14ac:dyDescent="0.3">
      <c r="A7" s="27" t="s">
        <v>5407</v>
      </c>
      <c r="B7" s="27">
        <v>3</v>
      </c>
      <c r="C7" s="28" t="s">
        <v>5414</v>
      </c>
      <c r="D7" s="28"/>
    </row>
    <row r="8" spans="1:4" ht="18.75" x14ac:dyDescent="0.25">
      <c r="A8" s="29" t="s">
        <v>5408</v>
      </c>
      <c r="B8" s="29" t="s">
        <v>31</v>
      </c>
      <c r="C8" s="29" t="s">
        <v>32</v>
      </c>
      <c r="D8" s="29" t="s">
        <v>5409</v>
      </c>
    </row>
    <row r="9" spans="1:4" x14ac:dyDescent="0.25">
      <c r="A9" s="1" t="s">
        <v>5410</v>
      </c>
      <c r="B9" s="1">
        <v>2</v>
      </c>
      <c r="C9" s="1">
        <v>3</v>
      </c>
      <c r="D9" s="1">
        <v>1</v>
      </c>
    </row>
    <row r="10" spans="1:4" x14ac:dyDescent="0.25">
      <c r="A10" s="1" t="s">
        <v>5411</v>
      </c>
      <c r="B10" s="1">
        <v>1</v>
      </c>
      <c r="C10" s="1" t="s">
        <v>22</v>
      </c>
      <c r="D10" s="1">
        <v>1</v>
      </c>
    </row>
    <row r="11" spans="1:4" x14ac:dyDescent="0.25">
      <c r="A11" s="1" t="s">
        <v>5413</v>
      </c>
      <c r="B11" s="1">
        <v>1</v>
      </c>
      <c r="C11" s="1" t="s">
        <v>5412</v>
      </c>
      <c r="D11" s="1">
        <v>1</v>
      </c>
    </row>
    <row r="13" spans="1:4" ht="18.75" x14ac:dyDescent="0.3">
      <c r="A13" s="27" t="s">
        <v>5415</v>
      </c>
      <c r="B13" s="27">
        <v>4</v>
      </c>
      <c r="C13" s="28"/>
      <c r="D13" s="28"/>
    </row>
    <row r="14" spans="1:4" ht="19.5" thickBot="1" x14ac:dyDescent="0.3">
      <c r="A14" s="29" t="s">
        <v>5408</v>
      </c>
      <c r="B14" s="29" t="s">
        <v>31</v>
      </c>
      <c r="C14" s="29" t="s">
        <v>32</v>
      </c>
      <c r="D14" s="29" t="s">
        <v>5409</v>
      </c>
    </row>
    <row r="15" spans="1:4" x14ac:dyDescent="0.25">
      <c r="A15" s="2" t="s">
        <v>5410</v>
      </c>
      <c r="B15" s="15">
        <v>2</v>
      </c>
      <c r="C15" s="15">
        <v>3</v>
      </c>
      <c r="D15" s="16">
        <v>1</v>
      </c>
    </row>
    <row r="16" spans="1:4" ht="15.75" thickBot="1" x14ac:dyDescent="0.3">
      <c r="A16" s="3" t="s">
        <v>5411</v>
      </c>
      <c r="B16" s="4">
        <v>1</v>
      </c>
      <c r="C16" s="4">
        <v>4</v>
      </c>
      <c r="D16" s="5">
        <v>2</v>
      </c>
    </row>
    <row r="17" spans="1:5" x14ac:dyDescent="0.25">
      <c r="A17" s="2" t="s">
        <v>5413</v>
      </c>
      <c r="B17" s="15" t="s">
        <v>5416</v>
      </c>
      <c r="C17" s="15" t="s">
        <v>5417</v>
      </c>
      <c r="D17" s="16">
        <v>1</v>
      </c>
      <c r="E17" t="s">
        <v>5418</v>
      </c>
    </row>
    <row r="18" spans="1:5" ht="15.75" thickBot="1" x14ac:dyDescent="0.3">
      <c r="A18" s="3" t="s">
        <v>5419</v>
      </c>
      <c r="B18" s="4" t="s">
        <v>5420</v>
      </c>
      <c r="C18" s="4" t="s">
        <v>5421</v>
      </c>
      <c r="D18" s="5">
        <v>2</v>
      </c>
      <c r="E18" t="s">
        <v>5418</v>
      </c>
    </row>
    <row r="19" spans="1:5" x14ac:dyDescent="0.25">
      <c r="A19" s="2" t="s">
        <v>5422</v>
      </c>
      <c r="B19" s="15" t="s">
        <v>5423</v>
      </c>
      <c r="C19" s="15">
        <v>4</v>
      </c>
      <c r="D19" s="16">
        <v>1</v>
      </c>
    </row>
    <row r="20" spans="1:5" ht="15.75" thickBot="1" x14ac:dyDescent="0.3">
      <c r="A20" s="3" t="s">
        <v>5424</v>
      </c>
      <c r="B20" s="4" t="s">
        <v>5423</v>
      </c>
      <c r="C20" s="4">
        <v>1</v>
      </c>
      <c r="D20" s="5">
        <v>2</v>
      </c>
    </row>
    <row r="22" spans="1:5" ht="18.75" x14ac:dyDescent="0.3">
      <c r="A22" s="27" t="s">
        <v>5407</v>
      </c>
      <c r="B22" s="27">
        <v>5</v>
      </c>
      <c r="C22" s="28"/>
      <c r="D22" s="28"/>
    </row>
    <row r="23" spans="1:5" ht="19.5" thickBot="1" x14ac:dyDescent="0.3">
      <c r="A23" s="29" t="s">
        <v>5408</v>
      </c>
      <c r="B23" s="29" t="s">
        <v>31</v>
      </c>
      <c r="C23" s="29" t="s">
        <v>32</v>
      </c>
      <c r="D23" s="29" t="s">
        <v>5409</v>
      </c>
    </row>
    <row r="24" spans="1:5" x14ac:dyDescent="0.25">
      <c r="A24" s="2" t="s">
        <v>5410</v>
      </c>
      <c r="B24" s="15">
        <v>2</v>
      </c>
      <c r="C24" s="15">
        <v>5</v>
      </c>
      <c r="D24" s="16">
        <v>1</v>
      </c>
    </row>
    <row r="25" spans="1:5" ht="15.75" thickBot="1" x14ac:dyDescent="0.3">
      <c r="A25" s="3" t="s">
        <v>5411</v>
      </c>
      <c r="B25" s="4">
        <v>3</v>
      </c>
      <c r="C25" s="4">
        <v>4</v>
      </c>
      <c r="D25" s="5">
        <v>2</v>
      </c>
    </row>
    <row r="26" spans="1:5" x14ac:dyDescent="0.25">
      <c r="A26" s="2" t="s">
        <v>5413</v>
      </c>
      <c r="B26" s="15">
        <v>2</v>
      </c>
      <c r="C26" s="15">
        <v>3</v>
      </c>
      <c r="D26" s="16">
        <v>1</v>
      </c>
    </row>
    <row r="27" spans="1:5" ht="15.75" thickBot="1" x14ac:dyDescent="0.3">
      <c r="A27" s="3" t="s">
        <v>5419</v>
      </c>
      <c r="B27" s="4">
        <v>1</v>
      </c>
      <c r="C27" s="4">
        <v>5</v>
      </c>
      <c r="D27" s="5">
        <v>2</v>
      </c>
    </row>
    <row r="28" spans="1:5" x14ac:dyDescent="0.25">
      <c r="A28" s="2" t="s">
        <v>5422</v>
      </c>
      <c r="B28" s="15">
        <v>1</v>
      </c>
      <c r="C28" s="15">
        <v>4</v>
      </c>
      <c r="D28" s="16">
        <v>1</v>
      </c>
    </row>
    <row r="29" spans="1:5" ht="15.75" thickBot="1" x14ac:dyDescent="0.3">
      <c r="A29" s="3" t="s">
        <v>5424</v>
      </c>
      <c r="B29" s="4">
        <v>3</v>
      </c>
      <c r="C29" s="4">
        <v>5</v>
      </c>
      <c r="D29" s="5">
        <v>2</v>
      </c>
    </row>
    <row r="30" spans="1:5" x14ac:dyDescent="0.25">
      <c r="A30" s="2" t="s">
        <v>5425</v>
      </c>
      <c r="B30" s="15">
        <v>1</v>
      </c>
      <c r="C30" s="15">
        <v>3</v>
      </c>
      <c r="D30" s="16">
        <v>1</v>
      </c>
    </row>
    <row r="31" spans="1:5" ht="15.75" thickBot="1" x14ac:dyDescent="0.3">
      <c r="A31" s="3" t="s">
        <v>5426</v>
      </c>
      <c r="B31" s="4">
        <v>2</v>
      </c>
      <c r="C31" s="4">
        <v>4</v>
      </c>
      <c r="D31" s="5">
        <v>2</v>
      </c>
    </row>
    <row r="32" spans="1:5" x14ac:dyDescent="0.25">
      <c r="A32" s="2" t="s">
        <v>5427</v>
      </c>
      <c r="B32" s="15">
        <v>4</v>
      </c>
      <c r="C32" s="15">
        <v>5</v>
      </c>
      <c r="D32" s="16">
        <v>1</v>
      </c>
    </row>
    <row r="33" spans="1:4" ht="15.75" thickBot="1" x14ac:dyDescent="0.3">
      <c r="A33" s="3" t="s">
        <v>5428</v>
      </c>
      <c r="B33" s="4">
        <v>1</v>
      </c>
      <c r="C33" s="4">
        <v>2</v>
      </c>
      <c r="D33" s="5">
        <v>2</v>
      </c>
    </row>
    <row r="35" spans="1:4" ht="18.75" x14ac:dyDescent="0.3">
      <c r="A35" s="27" t="s">
        <v>5407</v>
      </c>
      <c r="B35" s="27">
        <v>6</v>
      </c>
      <c r="C35" s="28"/>
      <c r="D35" s="28"/>
    </row>
    <row r="36" spans="1:4" ht="19.5" thickBot="1" x14ac:dyDescent="0.3">
      <c r="A36" s="29" t="s">
        <v>5408</v>
      </c>
      <c r="B36" s="29" t="s">
        <v>31</v>
      </c>
      <c r="C36" s="29" t="s">
        <v>32</v>
      </c>
      <c r="D36" s="29" t="s">
        <v>5409</v>
      </c>
    </row>
    <row r="37" spans="1:4" x14ac:dyDescent="0.25">
      <c r="A37" s="2" t="s">
        <v>5410</v>
      </c>
      <c r="B37" s="15">
        <v>1</v>
      </c>
      <c r="C37" s="15">
        <v>6</v>
      </c>
      <c r="D37" s="16">
        <v>1</v>
      </c>
    </row>
    <row r="38" spans="1:4" x14ac:dyDescent="0.25">
      <c r="A38" s="6" t="s">
        <v>5411</v>
      </c>
      <c r="B38" s="1">
        <v>2</v>
      </c>
      <c r="C38" s="1">
        <v>5</v>
      </c>
      <c r="D38" s="7">
        <v>2</v>
      </c>
    </row>
    <row r="39" spans="1:4" ht="15.75" thickBot="1" x14ac:dyDescent="0.3">
      <c r="A39" s="3" t="s">
        <v>5413</v>
      </c>
      <c r="B39" s="4">
        <v>3</v>
      </c>
      <c r="C39" s="4">
        <v>4</v>
      </c>
      <c r="D39" s="5">
        <v>3</v>
      </c>
    </row>
    <row r="40" spans="1:4" x14ac:dyDescent="0.25">
      <c r="A40" s="2" t="s">
        <v>5419</v>
      </c>
      <c r="B40" s="15">
        <v>2</v>
      </c>
      <c r="C40" s="15">
        <v>3</v>
      </c>
      <c r="D40" s="16">
        <v>1</v>
      </c>
    </row>
    <row r="41" spans="1:4" x14ac:dyDescent="0.25">
      <c r="A41" s="6" t="s">
        <v>5422</v>
      </c>
      <c r="B41" s="1">
        <v>4</v>
      </c>
      <c r="C41" s="1">
        <v>6</v>
      </c>
      <c r="D41" s="7">
        <v>2</v>
      </c>
    </row>
    <row r="42" spans="1:4" ht="15.75" thickBot="1" x14ac:dyDescent="0.3">
      <c r="A42" s="3" t="s">
        <v>5424</v>
      </c>
      <c r="B42" s="4">
        <v>1</v>
      </c>
      <c r="C42" s="4">
        <v>5</v>
      </c>
      <c r="D42" s="5">
        <v>3</v>
      </c>
    </row>
    <row r="43" spans="1:4" x14ac:dyDescent="0.25">
      <c r="A43" s="2" t="s">
        <v>5425</v>
      </c>
      <c r="B43" s="15">
        <v>1</v>
      </c>
      <c r="C43" s="15">
        <v>4</v>
      </c>
      <c r="D43" s="16">
        <v>1</v>
      </c>
    </row>
    <row r="44" spans="1:4" x14ac:dyDescent="0.25">
      <c r="A44" s="6" t="s">
        <v>5426</v>
      </c>
      <c r="B44" s="1">
        <v>3</v>
      </c>
      <c r="C44" s="1">
        <v>5</v>
      </c>
      <c r="D44" s="7">
        <v>2</v>
      </c>
    </row>
    <row r="45" spans="1:4" ht="15.75" thickBot="1" x14ac:dyDescent="0.3">
      <c r="A45" s="3" t="s">
        <v>5427</v>
      </c>
      <c r="B45" s="4">
        <v>2</v>
      </c>
      <c r="C45" s="4">
        <v>6</v>
      </c>
      <c r="D45" s="5">
        <v>3</v>
      </c>
    </row>
    <row r="46" spans="1:4" x14ac:dyDescent="0.25">
      <c r="A46" s="2" t="s">
        <v>5428</v>
      </c>
      <c r="B46" s="15">
        <v>5</v>
      </c>
      <c r="C46" s="15">
        <v>6</v>
      </c>
      <c r="D46" s="16">
        <v>1</v>
      </c>
    </row>
    <row r="47" spans="1:4" x14ac:dyDescent="0.25">
      <c r="A47" s="6" t="s">
        <v>5429</v>
      </c>
      <c r="B47" s="1">
        <v>1</v>
      </c>
      <c r="C47" s="1">
        <v>3</v>
      </c>
      <c r="D47" s="7">
        <v>2</v>
      </c>
    </row>
    <row r="48" spans="1:4" ht="15.75" thickBot="1" x14ac:dyDescent="0.3">
      <c r="A48" s="3" t="s">
        <v>5430</v>
      </c>
      <c r="B48" s="4">
        <v>2</v>
      </c>
      <c r="C48" s="4">
        <v>4</v>
      </c>
      <c r="D48" s="5">
        <v>3</v>
      </c>
    </row>
    <row r="49" spans="1:4" x14ac:dyDescent="0.25">
      <c r="A49" s="2" t="s">
        <v>5431</v>
      </c>
      <c r="B49" s="15">
        <v>4</v>
      </c>
      <c r="C49" s="15">
        <v>5</v>
      </c>
      <c r="D49" s="16">
        <v>1</v>
      </c>
    </row>
    <row r="50" spans="1:4" x14ac:dyDescent="0.25">
      <c r="A50" s="6" t="s">
        <v>5432</v>
      </c>
      <c r="B50" s="1">
        <v>1</v>
      </c>
      <c r="C50" s="1">
        <v>2</v>
      </c>
      <c r="D50" s="7">
        <v>2</v>
      </c>
    </row>
    <row r="51" spans="1:4" ht="15.75" thickBot="1" x14ac:dyDescent="0.3">
      <c r="A51" s="3" t="s">
        <v>5433</v>
      </c>
      <c r="B51" s="4">
        <v>3</v>
      </c>
      <c r="C51" s="4">
        <v>6</v>
      </c>
      <c r="D51" s="5">
        <v>3</v>
      </c>
    </row>
    <row r="53" spans="1:4" ht="18.75" x14ac:dyDescent="0.3">
      <c r="A53" s="27" t="s">
        <v>5407</v>
      </c>
      <c r="B53" s="27">
        <v>7</v>
      </c>
      <c r="C53" s="28"/>
      <c r="D53" s="28"/>
    </row>
    <row r="54" spans="1:4" ht="19.5" thickBot="1" x14ac:dyDescent="0.3">
      <c r="A54" s="29" t="s">
        <v>5408</v>
      </c>
      <c r="B54" s="29" t="s">
        <v>31</v>
      </c>
      <c r="C54" s="29" t="s">
        <v>32</v>
      </c>
      <c r="D54" s="29" t="s">
        <v>5409</v>
      </c>
    </row>
    <row r="55" spans="1:4" x14ac:dyDescent="0.25">
      <c r="A55" s="2" t="s">
        <v>5410</v>
      </c>
      <c r="B55" s="15">
        <v>4</v>
      </c>
      <c r="C55" s="15">
        <v>5</v>
      </c>
      <c r="D55" s="16">
        <v>1</v>
      </c>
    </row>
    <row r="56" spans="1:4" x14ac:dyDescent="0.25">
      <c r="A56" s="6" t="s">
        <v>5411</v>
      </c>
      <c r="B56" s="1">
        <v>2</v>
      </c>
      <c r="C56" s="1">
        <v>7</v>
      </c>
      <c r="D56" s="7">
        <v>2</v>
      </c>
    </row>
    <row r="57" spans="1:4" ht="15.75" thickBot="1" x14ac:dyDescent="0.3">
      <c r="A57" s="3" t="s">
        <v>5413</v>
      </c>
      <c r="B57" s="4">
        <v>3</v>
      </c>
      <c r="C57" s="4">
        <v>6</v>
      </c>
      <c r="D57" s="5">
        <v>3</v>
      </c>
    </row>
    <row r="58" spans="1:4" x14ac:dyDescent="0.25">
      <c r="A58" s="2" t="s">
        <v>5419</v>
      </c>
      <c r="B58" s="15">
        <v>2</v>
      </c>
      <c r="C58" s="15">
        <v>5</v>
      </c>
      <c r="D58" s="16">
        <v>1</v>
      </c>
    </row>
    <row r="59" spans="1:4" x14ac:dyDescent="0.25">
      <c r="A59" s="6" t="s">
        <v>5422</v>
      </c>
      <c r="B59" s="1">
        <v>1</v>
      </c>
      <c r="C59" s="1">
        <v>7</v>
      </c>
      <c r="D59" s="7">
        <v>2</v>
      </c>
    </row>
    <row r="60" spans="1:4" ht="15.75" thickBot="1" x14ac:dyDescent="0.3">
      <c r="A60" s="3" t="s">
        <v>5424</v>
      </c>
      <c r="B60" s="4">
        <v>3</v>
      </c>
      <c r="C60" s="4">
        <v>4</v>
      </c>
      <c r="D60" s="5">
        <v>3</v>
      </c>
    </row>
    <row r="61" spans="1:4" x14ac:dyDescent="0.25">
      <c r="A61" s="2" t="s">
        <v>5425</v>
      </c>
      <c r="B61" s="15">
        <v>1</v>
      </c>
      <c r="C61" s="15">
        <v>6</v>
      </c>
      <c r="D61" s="16">
        <v>1</v>
      </c>
    </row>
    <row r="62" spans="1:4" x14ac:dyDescent="0.25">
      <c r="A62" s="6" t="s">
        <v>5426</v>
      </c>
      <c r="B62" s="1">
        <v>5</v>
      </c>
      <c r="C62" s="1">
        <v>7</v>
      </c>
      <c r="D62" s="7">
        <v>2</v>
      </c>
    </row>
    <row r="63" spans="1:4" ht="15.75" thickBot="1" x14ac:dyDescent="0.3">
      <c r="A63" s="3" t="s">
        <v>5427</v>
      </c>
      <c r="B63" s="4">
        <v>2</v>
      </c>
      <c r="C63" s="4">
        <v>3</v>
      </c>
      <c r="D63" s="5">
        <v>3</v>
      </c>
    </row>
    <row r="64" spans="1:4" x14ac:dyDescent="0.25">
      <c r="A64" s="2" t="s">
        <v>5428</v>
      </c>
      <c r="B64" s="15">
        <v>3</v>
      </c>
      <c r="C64" s="15">
        <v>7</v>
      </c>
      <c r="D64" s="16">
        <v>1</v>
      </c>
    </row>
    <row r="65" spans="1:4" x14ac:dyDescent="0.25">
      <c r="A65" s="6" t="s">
        <v>5429</v>
      </c>
      <c r="B65" s="1">
        <v>4</v>
      </c>
      <c r="C65" s="1">
        <v>6</v>
      </c>
      <c r="D65" s="7">
        <v>2</v>
      </c>
    </row>
    <row r="66" spans="1:4" ht="15.75" thickBot="1" x14ac:dyDescent="0.3">
      <c r="A66" s="3" t="s">
        <v>5430</v>
      </c>
      <c r="B66" s="4">
        <v>1</v>
      </c>
      <c r="C66" s="4">
        <v>5</v>
      </c>
      <c r="D66" s="5">
        <v>3</v>
      </c>
    </row>
    <row r="67" spans="1:4" x14ac:dyDescent="0.25">
      <c r="A67" s="2" t="s">
        <v>5431</v>
      </c>
      <c r="B67" s="15">
        <v>2</v>
      </c>
      <c r="C67" s="15">
        <v>6</v>
      </c>
      <c r="D67" s="16">
        <v>1</v>
      </c>
    </row>
    <row r="68" spans="1:4" x14ac:dyDescent="0.25">
      <c r="A68" s="6" t="s">
        <v>5432</v>
      </c>
      <c r="B68" s="1">
        <v>3</v>
      </c>
      <c r="C68" s="1">
        <v>5</v>
      </c>
      <c r="D68" s="7">
        <v>2</v>
      </c>
    </row>
    <row r="69" spans="1:4" ht="15.75" thickBot="1" x14ac:dyDescent="0.3">
      <c r="A69" s="3" t="s">
        <v>5433</v>
      </c>
      <c r="B69" s="4">
        <v>1</v>
      </c>
      <c r="C69" s="4">
        <v>4</v>
      </c>
      <c r="D69" s="5">
        <v>3</v>
      </c>
    </row>
    <row r="70" spans="1:4" x14ac:dyDescent="0.25">
      <c r="A70" s="2" t="s">
        <v>5434</v>
      </c>
      <c r="B70" s="15">
        <v>1</v>
      </c>
      <c r="C70" s="15">
        <v>3</v>
      </c>
      <c r="D70" s="16">
        <v>1</v>
      </c>
    </row>
    <row r="71" spans="1:4" x14ac:dyDescent="0.25">
      <c r="A71" s="6" t="s">
        <v>5435</v>
      </c>
      <c r="B71" s="1">
        <v>2</v>
      </c>
      <c r="C71" s="1">
        <v>4</v>
      </c>
      <c r="D71" s="7">
        <v>2</v>
      </c>
    </row>
    <row r="72" spans="1:4" ht="15.75" thickBot="1" x14ac:dyDescent="0.3">
      <c r="A72" s="3" t="s">
        <v>5436</v>
      </c>
      <c r="B72" s="4">
        <v>6</v>
      </c>
      <c r="C72" s="4">
        <v>7</v>
      </c>
      <c r="D72" s="5">
        <v>3</v>
      </c>
    </row>
    <row r="73" spans="1:4" x14ac:dyDescent="0.25">
      <c r="A73" s="2" t="s">
        <v>5437</v>
      </c>
      <c r="B73" s="15">
        <v>4</v>
      </c>
      <c r="C73" s="15">
        <v>7</v>
      </c>
      <c r="D73" s="16">
        <v>1</v>
      </c>
    </row>
    <row r="74" spans="1:4" x14ac:dyDescent="0.25">
      <c r="A74" s="6" t="s">
        <v>5438</v>
      </c>
      <c r="B74" s="1">
        <v>1</v>
      </c>
      <c r="C74" s="1">
        <v>2</v>
      </c>
      <c r="D74" s="7">
        <v>2</v>
      </c>
    </row>
    <row r="75" spans="1:4" ht="15.75" thickBot="1" x14ac:dyDescent="0.3">
      <c r="A75" s="3" t="s">
        <v>5439</v>
      </c>
      <c r="B75" s="4">
        <v>5</v>
      </c>
      <c r="C75" s="4">
        <v>6</v>
      </c>
      <c r="D75" s="5">
        <v>3</v>
      </c>
    </row>
    <row r="77" spans="1:4" ht="18.75" x14ac:dyDescent="0.3">
      <c r="A77" s="27" t="s">
        <v>5407</v>
      </c>
      <c r="B77" s="27">
        <v>8</v>
      </c>
      <c r="C77" s="28"/>
      <c r="D77" s="28"/>
    </row>
    <row r="78" spans="1:4" ht="19.5" thickBot="1" x14ac:dyDescent="0.3">
      <c r="A78" s="29" t="s">
        <v>5408</v>
      </c>
      <c r="B78" s="29" t="s">
        <v>31</v>
      </c>
      <c r="C78" s="29" t="s">
        <v>32</v>
      </c>
      <c r="D78" s="29" t="s">
        <v>5409</v>
      </c>
    </row>
    <row r="79" spans="1:4" x14ac:dyDescent="0.25">
      <c r="A79" s="2" t="s">
        <v>5410</v>
      </c>
      <c r="B79" s="15">
        <v>4</v>
      </c>
      <c r="C79" s="15">
        <v>5</v>
      </c>
      <c r="D79" s="16">
        <v>1</v>
      </c>
    </row>
    <row r="80" spans="1:4" x14ac:dyDescent="0.25">
      <c r="A80" s="6" t="s">
        <v>5411</v>
      </c>
      <c r="B80" s="1">
        <v>3</v>
      </c>
      <c r="C80" s="1">
        <v>6</v>
      </c>
      <c r="D80" s="7">
        <v>2</v>
      </c>
    </row>
    <row r="81" spans="1:4" x14ac:dyDescent="0.25">
      <c r="A81" s="6" t="s">
        <v>5413</v>
      </c>
      <c r="B81" s="1">
        <v>1</v>
      </c>
      <c r="C81" s="1">
        <v>8</v>
      </c>
      <c r="D81" s="7">
        <v>3</v>
      </c>
    </row>
    <row r="82" spans="1:4" ht="15.75" thickBot="1" x14ac:dyDescent="0.3">
      <c r="A82" s="3" t="s">
        <v>5419</v>
      </c>
      <c r="B82" s="4">
        <v>2</v>
      </c>
      <c r="C82" s="4">
        <v>7</v>
      </c>
      <c r="D82" s="5">
        <v>4</v>
      </c>
    </row>
    <row r="83" spans="1:4" x14ac:dyDescent="0.25">
      <c r="A83" s="2" t="s">
        <v>5422</v>
      </c>
      <c r="B83" s="15">
        <v>3</v>
      </c>
      <c r="C83" s="15">
        <v>4</v>
      </c>
      <c r="D83" s="16">
        <v>1</v>
      </c>
    </row>
    <row r="84" spans="1:4" x14ac:dyDescent="0.25">
      <c r="A84" s="6" t="s">
        <v>5424</v>
      </c>
      <c r="B84" s="1">
        <v>1</v>
      </c>
      <c r="C84" s="1">
        <v>7</v>
      </c>
      <c r="D84" s="7">
        <v>2</v>
      </c>
    </row>
    <row r="85" spans="1:4" x14ac:dyDescent="0.25">
      <c r="A85" s="6" t="s">
        <v>5425</v>
      </c>
      <c r="B85" s="1">
        <v>2</v>
      </c>
      <c r="C85" s="1">
        <v>5</v>
      </c>
      <c r="D85" s="7">
        <v>3</v>
      </c>
    </row>
    <row r="86" spans="1:4" ht="15.75" thickBot="1" x14ac:dyDescent="0.3">
      <c r="A86" s="3" t="s">
        <v>5426</v>
      </c>
      <c r="B86" s="4">
        <v>6</v>
      </c>
      <c r="C86" s="4">
        <v>8</v>
      </c>
      <c r="D86" s="5">
        <v>4</v>
      </c>
    </row>
    <row r="87" spans="1:4" x14ac:dyDescent="0.25">
      <c r="A87" s="2" t="s">
        <v>5427</v>
      </c>
      <c r="B87" s="15">
        <v>1</v>
      </c>
      <c r="C87" s="15">
        <v>6</v>
      </c>
      <c r="D87" s="16">
        <v>1</v>
      </c>
    </row>
    <row r="88" spans="1:4" x14ac:dyDescent="0.25">
      <c r="A88" s="6" t="s">
        <v>5428</v>
      </c>
      <c r="B88" s="1">
        <v>4</v>
      </c>
      <c r="C88" s="1">
        <v>8</v>
      </c>
      <c r="D88" s="7">
        <v>2</v>
      </c>
    </row>
    <row r="89" spans="1:4" x14ac:dyDescent="0.25">
      <c r="A89" s="6" t="s">
        <v>5429</v>
      </c>
      <c r="B89" s="1">
        <v>5</v>
      </c>
      <c r="C89" s="1">
        <v>7</v>
      </c>
      <c r="D89" s="7">
        <v>3</v>
      </c>
    </row>
    <row r="90" spans="1:4" ht="15.75" thickBot="1" x14ac:dyDescent="0.3">
      <c r="A90" s="3" t="s">
        <v>5430</v>
      </c>
      <c r="B90" s="4">
        <v>2</v>
      </c>
      <c r="C90" s="4">
        <v>3</v>
      </c>
      <c r="D90" s="5">
        <v>4</v>
      </c>
    </row>
    <row r="91" spans="1:4" x14ac:dyDescent="0.25">
      <c r="A91" s="2" t="s">
        <v>5431</v>
      </c>
      <c r="B91" s="15">
        <v>3</v>
      </c>
      <c r="C91" s="15">
        <v>7</v>
      </c>
      <c r="D91" s="16">
        <v>1</v>
      </c>
    </row>
    <row r="92" spans="1:4" x14ac:dyDescent="0.25">
      <c r="A92" s="6" t="s">
        <v>5432</v>
      </c>
      <c r="B92" s="1">
        <v>2</v>
      </c>
      <c r="C92" s="1">
        <v>8</v>
      </c>
      <c r="D92" s="7">
        <v>2</v>
      </c>
    </row>
    <row r="93" spans="1:4" x14ac:dyDescent="0.25">
      <c r="A93" s="6" t="s">
        <v>5433</v>
      </c>
      <c r="B93" s="1">
        <v>4</v>
      </c>
      <c r="C93" s="1">
        <v>6</v>
      </c>
      <c r="D93" s="7">
        <v>3</v>
      </c>
    </row>
    <row r="94" spans="1:4" ht="15.75" thickBot="1" x14ac:dyDescent="0.3">
      <c r="A94" s="3" t="s">
        <v>5434</v>
      </c>
      <c r="B94" s="4">
        <v>1</v>
      </c>
      <c r="C94" s="4">
        <v>5</v>
      </c>
      <c r="D94" s="5">
        <v>4</v>
      </c>
    </row>
    <row r="95" spans="1:4" x14ac:dyDescent="0.25">
      <c r="A95" s="2" t="s">
        <v>5435</v>
      </c>
      <c r="B95" s="15">
        <v>2</v>
      </c>
      <c r="C95" s="15">
        <v>6</v>
      </c>
      <c r="D95" s="16">
        <v>1</v>
      </c>
    </row>
    <row r="96" spans="1:4" x14ac:dyDescent="0.25">
      <c r="A96" s="6" t="s">
        <v>5436</v>
      </c>
      <c r="B96" s="1">
        <v>3</v>
      </c>
      <c r="C96" s="1">
        <v>5</v>
      </c>
      <c r="D96" s="7">
        <v>2</v>
      </c>
    </row>
    <row r="97" spans="1:4" x14ac:dyDescent="0.25">
      <c r="A97" s="6" t="s">
        <v>5437</v>
      </c>
      <c r="B97" s="1">
        <v>1</v>
      </c>
      <c r="C97" s="1">
        <v>4</v>
      </c>
      <c r="D97" s="7">
        <v>3</v>
      </c>
    </row>
    <row r="98" spans="1:4" ht="15.75" thickBot="1" x14ac:dyDescent="0.3">
      <c r="A98" s="3" t="s">
        <v>5438</v>
      </c>
      <c r="B98" s="4">
        <v>7</v>
      </c>
      <c r="C98" s="4">
        <v>8</v>
      </c>
      <c r="D98" s="5">
        <v>4</v>
      </c>
    </row>
    <row r="99" spans="1:4" x14ac:dyDescent="0.25">
      <c r="A99" s="2" t="s">
        <v>5439</v>
      </c>
      <c r="B99" s="15">
        <v>5</v>
      </c>
      <c r="C99" s="15">
        <v>8</v>
      </c>
      <c r="D99" s="16">
        <v>1</v>
      </c>
    </row>
    <row r="100" spans="1:4" x14ac:dyDescent="0.25">
      <c r="A100" s="6" t="s">
        <v>5440</v>
      </c>
      <c r="B100" s="1">
        <v>1</v>
      </c>
      <c r="C100" s="1">
        <v>3</v>
      </c>
      <c r="D100" s="7">
        <v>2</v>
      </c>
    </row>
    <row r="101" spans="1:4" x14ac:dyDescent="0.25">
      <c r="A101" s="6" t="s">
        <v>5441</v>
      </c>
      <c r="B101" s="1">
        <v>6</v>
      </c>
      <c r="C101" s="1">
        <v>7</v>
      </c>
      <c r="D101" s="7">
        <v>3</v>
      </c>
    </row>
    <row r="102" spans="1:4" ht="15.75" thickBot="1" x14ac:dyDescent="0.3">
      <c r="A102" s="3" t="s">
        <v>5442</v>
      </c>
      <c r="B102" s="4">
        <v>2</v>
      </c>
      <c r="C102" s="4">
        <v>4</v>
      </c>
      <c r="D102" s="5">
        <v>4</v>
      </c>
    </row>
    <row r="103" spans="1:4" x14ac:dyDescent="0.25">
      <c r="A103" s="2" t="s">
        <v>5443</v>
      </c>
      <c r="B103" s="15">
        <v>1</v>
      </c>
      <c r="C103" s="15">
        <v>2</v>
      </c>
      <c r="D103" s="16">
        <v>1</v>
      </c>
    </row>
    <row r="104" spans="1:4" x14ac:dyDescent="0.25">
      <c r="A104" s="6" t="s">
        <v>5444</v>
      </c>
      <c r="B104" s="1">
        <v>5</v>
      </c>
      <c r="C104" s="1">
        <v>6</v>
      </c>
      <c r="D104" s="7">
        <v>2</v>
      </c>
    </row>
    <row r="105" spans="1:4" x14ac:dyDescent="0.25">
      <c r="A105" s="6" t="s">
        <v>5445</v>
      </c>
      <c r="B105" s="1">
        <v>3</v>
      </c>
      <c r="C105" s="1">
        <v>8</v>
      </c>
      <c r="D105" s="7">
        <v>3</v>
      </c>
    </row>
    <row r="106" spans="1:4" ht="15.75" thickBot="1" x14ac:dyDescent="0.3">
      <c r="A106" s="3" t="s">
        <v>5446</v>
      </c>
      <c r="B106" s="4">
        <v>4</v>
      </c>
      <c r="C106" s="4">
        <v>7</v>
      </c>
      <c r="D106" s="5">
        <v>4</v>
      </c>
    </row>
  </sheetData>
  <sheetProtection algorithmName="SHA-512" hashValue="f93EtrR5FzdU3cM3rLRfTBz/J926IedusNFbDECLJp39gJX4Zia3NYmtOM40Yf0/N8+6FwhhGv7j1k/icVPtOg==" saltValue="O1KiKVIcpIkusm6a0GxaK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D1EB-C659-404D-976F-6FF857EED937}">
  <sheetPr codeName="Feuil4"/>
  <dimension ref="A1:BO45"/>
  <sheetViews>
    <sheetView workbookViewId="0">
      <selection activeCell="E52" sqref="E52"/>
    </sheetView>
  </sheetViews>
  <sheetFormatPr baseColWidth="10" defaultRowHeight="15" x14ac:dyDescent="0.25"/>
  <cols>
    <col min="1" max="1" width="43.85546875" bestFit="1" customWidth="1"/>
    <col min="2" max="2" width="9.85546875" bestFit="1" customWidth="1"/>
    <col min="7" max="7" width="15.28515625" customWidth="1"/>
    <col min="11" max="11" width="12.7109375" customWidth="1"/>
    <col min="16" max="16" width="13.42578125" customWidth="1"/>
    <col min="26" max="26" width="17.7109375" customWidth="1"/>
    <col min="29" max="29" width="15.42578125" customWidth="1"/>
    <col min="32" max="32" width="22.28515625" customWidth="1"/>
    <col min="35" max="35" width="20.42578125" customWidth="1"/>
    <col min="38" max="38" width="22.5703125" customWidth="1"/>
    <col min="41" max="41" width="21.42578125" customWidth="1"/>
    <col min="44" max="44" width="21.140625" customWidth="1"/>
    <col min="47" max="47" width="20.5703125" customWidth="1"/>
    <col min="50" max="50" width="21.5703125" customWidth="1"/>
    <col min="53" max="54" width="20.5703125" customWidth="1"/>
    <col min="55" max="55" width="31.5703125" customWidth="1"/>
    <col min="56" max="56" width="13" customWidth="1"/>
    <col min="57" max="57" width="12.42578125" customWidth="1"/>
    <col min="58" max="58" width="13.28515625" customWidth="1"/>
    <col min="59" max="59" width="13.5703125" customWidth="1"/>
    <col min="60" max="60" width="16.85546875" customWidth="1"/>
    <col min="66" max="66" width="21.85546875" customWidth="1"/>
    <col min="67" max="67" width="19" customWidth="1"/>
  </cols>
  <sheetData>
    <row r="1" spans="1:67" x14ac:dyDescent="0.25">
      <c r="A1" t="s">
        <v>8656</v>
      </c>
      <c r="B1" t="s">
        <v>5025</v>
      </c>
      <c r="C1" t="s">
        <v>33</v>
      </c>
      <c r="D1" t="s">
        <v>34</v>
      </c>
      <c r="E1" t="s">
        <v>10</v>
      </c>
      <c r="F1" t="s">
        <v>8</v>
      </c>
      <c r="G1" t="s">
        <v>5026</v>
      </c>
      <c r="H1" t="s">
        <v>40</v>
      </c>
      <c r="I1" t="s">
        <v>41</v>
      </c>
      <c r="J1" t="s">
        <v>42</v>
      </c>
      <c r="K1" t="s">
        <v>43</v>
      </c>
      <c r="L1" t="s">
        <v>44</v>
      </c>
      <c r="M1" t="s">
        <v>5027</v>
      </c>
      <c r="N1" t="s">
        <v>48</v>
      </c>
      <c r="O1" t="s">
        <v>5028</v>
      </c>
      <c r="P1" t="s">
        <v>5029</v>
      </c>
      <c r="Q1" t="s">
        <v>5030</v>
      </c>
      <c r="R1" t="s">
        <v>5031</v>
      </c>
      <c r="S1" t="s">
        <v>8657</v>
      </c>
      <c r="T1" t="s">
        <v>5032</v>
      </c>
      <c r="U1" t="s">
        <v>8658</v>
      </c>
      <c r="V1" t="s">
        <v>8659</v>
      </c>
      <c r="W1" t="s">
        <v>5033</v>
      </c>
      <c r="X1" t="s">
        <v>8660</v>
      </c>
      <c r="Y1" t="s">
        <v>8661</v>
      </c>
      <c r="Z1" t="s">
        <v>5034</v>
      </c>
      <c r="AA1" t="s">
        <v>8662</v>
      </c>
      <c r="AB1" t="s">
        <v>8663</v>
      </c>
      <c r="AC1" t="s">
        <v>5035</v>
      </c>
      <c r="AD1" t="s">
        <v>8664</v>
      </c>
      <c r="AE1" t="s">
        <v>8665</v>
      </c>
      <c r="AF1" t="s">
        <v>5036</v>
      </c>
      <c r="AG1" t="s">
        <v>8666</v>
      </c>
      <c r="AH1" t="s">
        <v>8667</v>
      </c>
      <c r="AI1" t="s">
        <v>5037</v>
      </c>
      <c r="AJ1" t="s">
        <v>8668</v>
      </c>
      <c r="AK1" t="s">
        <v>8669</v>
      </c>
      <c r="AL1" t="s">
        <v>5038</v>
      </c>
      <c r="AM1" t="s">
        <v>8670</v>
      </c>
      <c r="AN1" t="s">
        <v>8671</v>
      </c>
      <c r="AO1" t="s">
        <v>5039</v>
      </c>
      <c r="AP1" t="s">
        <v>8672</v>
      </c>
      <c r="AQ1" t="s">
        <v>8673</v>
      </c>
      <c r="AR1" t="s">
        <v>5040</v>
      </c>
      <c r="AS1" t="s">
        <v>8674</v>
      </c>
      <c r="AT1" t="s">
        <v>8675</v>
      </c>
      <c r="AU1" t="s">
        <v>5041</v>
      </c>
      <c r="AV1" t="s">
        <v>8676</v>
      </c>
      <c r="AW1" t="s">
        <v>8677</v>
      </c>
      <c r="AX1" t="s">
        <v>5042</v>
      </c>
      <c r="AY1" t="s">
        <v>8678</v>
      </c>
      <c r="AZ1" t="s">
        <v>8679</v>
      </c>
      <c r="BA1" t="s">
        <v>5043</v>
      </c>
      <c r="BB1" t="s">
        <v>5044</v>
      </c>
      <c r="BC1" t="s">
        <v>5045</v>
      </c>
      <c r="BD1" t="s">
        <v>5046</v>
      </c>
      <c r="BE1" t="s">
        <v>5047</v>
      </c>
      <c r="BF1" t="s">
        <v>5048</v>
      </c>
      <c r="BG1" t="s">
        <v>5049</v>
      </c>
      <c r="BH1" t="s">
        <v>5050</v>
      </c>
      <c r="BI1" t="s">
        <v>5051</v>
      </c>
      <c r="BJ1" t="s">
        <v>5052</v>
      </c>
      <c r="BK1" t="s">
        <v>5053</v>
      </c>
      <c r="BL1" t="s">
        <v>5054</v>
      </c>
      <c r="BM1" t="s">
        <v>5055</v>
      </c>
      <c r="BN1" t="s">
        <v>5056</v>
      </c>
      <c r="BO1" t="s">
        <v>5057</v>
      </c>
    </row>
    <row r="2" spans="1:67" x14ac:dyDescent="0.25">
      <c r="A2" t="str">
        <f t="shared" ref="A2:A45" si="0">B2&amp;" - "&amp;F2</f>
        <v>9002 - BILLARD CLUB DE BUCHELAY</v>
      </c>
      <c r="B2">
        <v>9002</v>
      </c>
      <c r="C2">
        <v>11</v>
      </c>
      <c r="D2">
        <v>78</v>
      </c>
      <c r="E2">
        <v>2</v>
      </c>
      <c r="F2" t="s">
        <v>558</v>
      </c>
      <c r="G2" s="26">
        <v>45180</v>
      </c>
      <c r="H2" t="s">
        <v>5058</v>
      </c>
      <c r="K2">
        <v>78200</v>
      </c>
      <c r="L2" t="s">
        <v>609</v>
      </c>
      <c r="M2">
        <v>134786502</v>
      </c>
      <c r="N2" t="s">
        <v>5059</v>
      </c>
      <c r="P2" t="s">
        <v>5060</v>
      </c>
      <c r="Q2" t="s">
        <v>1990</v>
      </c>
      <c r="R2" t="s">
        <v>5061</v>
      </c>
      <c r="S2" t="s">
        <v>1994</v>
      </c>
      <c r="T2" t="s">
        <v>1990</v>
      </c>
      <c r="U2" t="s">
        <v>5061</v>
      </c>
      <c r="V2" t="s">
        <v>1994</v>
      </c>
      <c r="W2" t="s">
        <v>557</v>
      </c>
      <c r="X2" t="s">
        <v>5062</v>
      </c>
      <c r="Y2" t="s">
        <v>562</v>
      </c>
      <c r="Z2" t="s">
        <v>557</v>
      </c>
      <c r="AA2" t="s">
        <v>5062</v>
      </c>
      <c r="AB2" t="s">
        <v>562</v>
      </c>
      <c r="AC2" t="s">
        <v>1990</v>
      </c>
      <c r="AD2" t="s">
        <v>5061</v>
      </c>
      <c r="AE2" t="s">
        <v>1994</v>
      </c>
      <c r="AI2" t="s">
        <v>2768</v>
      </c>
      <c r="AJ2" t="s">
        <v>5063</v>
      </c>
      <c r="AK2" t="s">
        <v>2770</v>
      </c>
      <c r="AL2" t="s">
        <v>2768</v>
      </c>
      <c r="AM2" t="s">
        <v>5063</v>
      </c>
      <c r="AN2" t="s">
        <v>2770</v>
      </c>
      <c r="BA2">
        <v>1</v>
      </c>
      <c r="BB2">
        <v>5</v>
      </c>
      <c r="BC2">
        <v>0</v>
      </c>
      <c r="BD2">
        <v>0</v>
      </c>
      <c r="BE2">
        <v>0</v>
      </c>
      <c r="BF2">
        <v>0</v>
      </c>
      <c r="BG2" t="s">
        <v>5064</v>
      </c>
      <c r="BH2" t="s">
        <v>5065</v>
      </c>
      <c r="BO2" t="s">
        <v>5065</v>
      </c>
    </row>
    <row r="3" spans="1:67" x14ac:dyDescent="0.25">
      <c r="A3" t="str">
        <f t="shared" si="0"/>
        <v>9007 - BILLARD BOIS COLOMBES</v>
      </c>
      <c r="B3">
        <v>9007</v>
      </c>
      <c r="C3">
        <v>11</v>
      </c>
      <c r="D3">
        <v>92</v>
      </c>
      <c r="E3">
        <v>7</v>
      </c>
      <c r="F3" t="s">
        <v>121</v>
      </c>
      <c r="G3" s="26">
        <v>45162</v>
      </c>
      <c r="H3" t="s">
        <v>5066</v>
      </c>
      <c r="K3">
        <v>92270</v>
      </c>
      <c r="L3" t="s">
        <v>796</v>
      </c>
      <c r="M3">
        <v>952182356</v>
      </c>
      <c r="N3" t="s">
        <v>5067</v>
      </c>
      <c r="P3" t="s">
        <v>5060</v>
      </c>
      <c r="Q3" t="s">
        <v>945</v>
      </c>
      <c r="R3" t="s">
        <v>5068</v>
      </c>
      <c r="S3" t="s">
        <v>5067</v>
      </c>
      <c r="W3" t="s">
        <v>750</v>
      </c>
      <c r="X3" t="s">
        <v>5069</v>
      </c>
      <c r="Y3" t="s">
        <v>5067</v>
      </c>
      <c r="AC3" t="s">
        <v>945</v>
      </c>
      <c r="AD3" t="s">
        <v>5068</v>
      </c>
      <c r="AE3" t="s">
        <v>5067</v>
      </c>
      <c r="AL3" t="s">
        <v>750</v>
      </c>
      <c r="AM3" t="s">
        <v>5069</v>
      </c>
      <c r="AN3" t="s">
        <v>753</v>
      </c>
      <c r="BA3">
        <v>2</v>
      </c>
      <c r="BB3">
        <v>4</v>
      </c>
      <c r="BC3">
        <v>0</v>
      </c>
      <c r="BD3">
        <v>1</v>
      </c>
      <c r="BE3">
        <v>0</v>
      </c>
      <c r="BF3">
        <v>0</v>
      </c>
      <c r="BG3" t="s">
        <v>5064</v>
      </c>
      <c r="BH3" t="s">
        <v>5060</v>
      </c>
      <c r="BJ3" t="s">
        <v>5070</v>
      </c>
      <c r="BM3">
        <v>633662389</v>
      </c>
      <c r="BN3">
        <v>660433749</v>
      </c>
      <c r="BO3" t="s">
        <v>5065</v>
      </c>
    </row>
    <row r="4" spans="1:67" x14ac:dyDescent="0.25">
      <c r="A4" t="str">
        <f t="shared" si="0"/>
        <v>9009 - CMO MORANGIS</v>
      </c>
      <c r="B4">
        <v>9009</v>
      </c>
      <c r="C4">
        <v>11</v>
      </c>
      <c r="D4">
        <v>91</v>
      </c>
      <c r="E4">
        <v>9</v>
      </c>
      <c r="F4" t="s">
        <v>159</v>
      </c>
      <c r="G4" s="26">
        <v>45161</v>
      </c>
      <c r="H4" t="s">
        <v>5071</v>
      </c>
      <c r="I4" t="s">
        <v>5072</v>
      </c>
      <c r="K4">
        <v>91420</v>
      </c>
      <c r="L4" t="s">
        <v>1675</v>
      </c>
      <c r="M4">
        <v>169340094</v>
      </c>
      <c r="N4" t="s">
        <v>5073</v>
      </c>
      <c r="O4" t="s">
        <v>5074</v>
      </c>
      <c r="P4" t="s">
        <v>5060</v>
      </c>
      <c r="Q4" t="s">
        <v>2083</v>
      </c>
      <c r="R4" t="s">
        <v>5075</v>
      </c>
      <c r="S4" t="s">
        <v>2086</v>
      </c>
      <c r="T4" t="s">
        <v>696</v>
      </c>
      <c r="U4" t="s">
        <v>5076</v>
      </c>
      <c r="V4" t="s">
        <v>700</v>
      </c>
      <c r="W4" t="s">
        <v>349</v>
      </c>
      <c r="X4" t="s">
        <v>5077</v>
      </c>
      <c r="Y4" t="s">
        <v>353</v>
      </c>
      <c r="Z4" t="s">
        <v>2083</v>
      </c>
      <c r="AA4" t="s">
        <v>5075</v>
      </c>
      <c r="AB4" t="s">
        <v>2086</v>
      </c>
      <c r="AC4" t="s">
        <v>2083</v>
      </c>
      <c r="AD4" t="s">
        <v>5075</v>
      </c>
      <c r="AE4" t="s">
        <v>2086</v>
      </c>
      <c r="AI4" t="s">
        <v>1936</v>
      </c>
      <c r="AJ4" t="s">
        <v>5078</v>
      </c>
      <c r="AK4" t="s">
        <v>1939</v>
      </c>
      <c r="AL4" t="s">
        <v>1936</v>
      </c>
      <c r="AM4" t="s">
        <v>5078</v>
      </c>
      <c r="AN4" t="s">
        <v>1939</v>
      </c>
      <c r="BA4">
        <v>3</v>
      </c>
      <c r="BB4">
        <v>4</v>
      </c>
      <c r="BC4">
        <v>0</v>
      </c>
      <c r="BD4">
        <v>0</v>
      </c>
      <c r="BE4">
        <v>0</v>
      </c>
      <c r="BF4">
        <v>0</v>
      </c>
      <c r="BG4" t="s">
        <v>5064</v>
      </c>
      <c r="BH4" t="s">
        <v>5060</v>
      </c>
      <c r="BM4">
        <v>609111237</v>
      </c>
      <c r="BO4" t="s">
        <v>5065</v>
      </c>
    </row>
    <row r="5" spans="1:67" x14ac:dyDescent="0.25">
      <c r="A5" t="str">
        <f t="shared" si="0"/>
        <v>9010 - ACADEMIE DE BILLARD D ARGENTEUIL</v>
      </c>
      <c r="B5">
        <v>9010</v>
      </c>
      <c r="C5">
        <v>11</v>
      </c>
      <c r="D5">
        <v>95</v>
      </c>
      <c r="E5">
        <v>10</v>
      </c>
      <c r="F5" t="s">
        <v>6</v>
      </c>
      <c r="G5" s="26">
        <v>45167</v>
      </c>
      <c r="H5" t="s">
        <v>5079</v>
      </c>
      <c r="I5" t="s">
        <v>5080</v>
      </c>
      <c r="K5">
        <v>95100</v>
      </c>
      <c r="L5" t="s">
        <v>311</v>
      </c>
      <c r="M5">
        <v>139828699</v>
      </c>
      <c r="N5" t="s">
        <v>236</v>
      </c>
      <c r="O5" t="s">
        <v>5081</v>
      </c>
      <c r="P5" t="s">
        <v>5060</v>
      </c>
      <c r="Q5" t="s">
        <v>729</v>
      </c>
      <c r="R5" t="s">
        <v>5082</v>
      </c>
      <c r="S5" t="s">
        <v>236</v>
      </c>
      <c r="T5" t="s">
        <v>3851</v>
      </c>
      <c r="U5" t="s">
        <v>5083</v>
      </c>
      <c r="V5" t="s">
        <v>236</v>
      </c>
      <c r="W5" t="s">
        <v>3717</v>
      </c>
      <c r="X5" t="s">
        <v>5084</v>
      </c>
      <c r="Y5" t="s">
        <v>236</v>
      </c>
      <c r="Z5" t="s">
        <v>729</v>
      </c>
      <c r="AA5" t="s">
        <v>5082</v>
      </c>
      <c r="AB5" t="s">
        <v>236</v>
      </c>
      <c r="AC5" t="s">
        <v>3851</v>
      </c>
      <c r="AD5" t="s">
        <v>5083</v>
      </c>
      <c r="AE5" t="s">
        <v>236</v>
      </c>
      <c r="AF5" t="s">
        <v>729</v>
      </c>
      <c r="AG5" t="s">
        <v>5082</v>
      </c>
      <c r="AH5" t="s">
        <v>5085</v>
      </c>
      <c r="AI5" t="s">
        <v>105</v>
      </c>
      <c r="AJ5" t="s">
        <v>5086</v>
      </c>
      <c r="AK5" t="s">
        <v>236</v>
      </c>
      <c r="AL5" t="s">
        <v>105</v>
      </c>
      <c r="AM5" t="s">
        <v>5086</v>
      </c>
      <c r="AN5" t="s">
        <v>236</v>
      </c>
      <c r="AO5" t="s">
        <v>1781</v>
      </c>
      <c r="AP5" t="s">
        <v>5087</v>
      </c>
      <c r="AQ5" t="s">
        <v>236</v>
      </c>
      <c r="AR5" t="s">
        <v>3674</v>
      </c>
      <c r="AS5" t="s">
        <v>5088</v>
      </c>
      <c r="AT5" t="s">
        <v>236</v>
      </c>
      <c r="AU5" t="s">
        <v>2531</v>
      </c>
      <c r="AV5" t="s">
        <v>5089</v>
      </c>
      <c r="AW5" t="s">
        <v>236</v>
      </c>
      <c r="AX5" t="s">
        <v>1015</v>
      </c>
      <c r="AY5" t="s">
        <v>5090</v>
      </c>
      <c r="AZ5" t="s">
        <v>236</v>
      </c>
      <c r="BA5">
        <v>4</v>
      </c>
      <c r="BB5">
        <v>9</v>
      </c>
      <c r="BC5">
        <v>3</v>
      </c>
      <c r="BD5">
        <v>4</v>
      </c>
      <c r="BE5">
        <v>2</v>
      </c>
      <c r="BF5">
        <v>4</v>
      </c>
      <c r="BG5" t="s">
        <v>5064</v>
      </c>
      <c r="BH5" t="s">
        <v>5060</v>
      </c>
      <c r="BJ5" t="s">
        <v>5091</v>
      </c>
      <c r="BO5" t="s">
        <v>5065</v>
      </c>
    </row>
    <row r="6" spans="1:67" x14ac:dyDescent="0.25">
      <c r="A6" t="str">
        <f t="shared" si="0"/>
        <v>9016 - BILLARD CLUB DE GARGENVILLE</v>
      </c>
      <c r="B6">
        <v>9016</v>
      </c>
      <c r="C6">
        <v>11</v>
      </c>
      <c r="D6">
        <v>78</v>
      </c>
      <c r="E6">
        <v>16</v>
      </c>
      <c r="F6" t="s">
        <v>362</v>
      </c>
      <c r="G6" s="26">
        <v>45183</v>
      </c>
      <c r="H6" t="s">
        <v>5092</v>
      </c>
      <c r="I6" t="s">
        <v>5093</v>
      </c>
      <c r="K6">
        <v>78440</v>
      </c>
      <c r="L6" t="s">
        <v>1646</v>
      </c>
      <c r="M6">
        <v>130936409</v>
      </c>
      <c r="N6" t="s">
        <v>5094</v>
      </c>
      <c r="P6" t="s">
        <v>5060</v>
      </c>
      <c r="Q6" t="s">
        <v>361</v>
      </c>
      <c r="R6" t="s">
        <v>5095</v>
      </c>
      <c r="S6" t="s">
        <v>366</v>
      </c>
      <c r="T6" t="s">
        <v>1643</v>
      </c>
      <c r="U6" t="s">
        <v>5096</v>
      </c>
      <c r="V6" t="s">
        <v>1647</v>
      </c>
      <c r="W6" t="s">
        <v>3531</v>
      </c>
      <c r="X6" t="s">
        <v>5097</v>
      </c>
      <c r="Y6" t="s">
        <v>3532</v>
      </c>
      <c r="AC6" t="s">
        <v>361</v>
      </c>
      <c r="AD6" t="s">
        <v>5095</v>
      </c>
      <c r="AE6" t="s">
        <v>366</v>
      </c>
      <c r="AF6" t="s">
        <v>1915</v>
      </c>
      <c r="AG6" t="s">
        <v>5098</v>
      </c>
      <c r="AH6" t="s">
        <v>1919</v>
      </c>
      <c r="AI6" t="s">
        <v>1915</v>
      </c>
      <c r="AJ6" t="s">
        <v>5098</v>
      </c>
      <c r="AK6" t="s">
        <v>1919</v>
      </c>
      <c r="AL6" t="s">
        <v>361</v>
      </c>
      <c r="AM6" t="s">
        <v>5095</v>
      </c>
      <c r="AN6" t="s">
        <v>366</v>
      </c>
      <c r="BA6">
        <v>0</v>
      </c>
      <c r="BB6">
        <v>4</v>
      </c>
      <c r="BC6">
        <v>0</v>
      </c>
      <c r="BD6">
        <v>1</v>
      </c>
      <c r="BE6">
        <v>0</v>
      </c>
      <c r="BF6">
        <v>0</v>
      </c>
      <c r="BG6" t="s">
        <v>5064</v>
      </c>
      <c r="BH6" t="s">
        <v>5065</v>
      </c>
      <c r="BO6" t="s">
        <v>5065</v>
      </c>
    </row>
    <row r="7" spans="1:67" x14ac:dyDescent="0.25">
      <c r="A7" t="str">
        <f t="shared" si="0"/>
        <v>9017 - A. DE BILLARD COURBEVOIE-LA DEFENSE</v>
      </c>
      <c r="B7">
        <v>9017</v>
      </c>
      <c r="C7">
        <v>11</v>
      </c>
      <c r="D7">
        <v>92</v>
      </c>
      <c r="E7">
        <v>17</v>
      </c>
      <c r="F7" t="s">
        <v>211</v>
      </c>
      <c r="G7" s="26">
        <v>45173</v>
      </c>
      <c r="H7" t="s">
        <v>1669</v>
      </c>
      <c r="K7">
        <v>92400</v>
      </c>
      <c r="L7" t="s">
        <v>478</v>
      </c>
      <c r="M7">
        <v>147888375</v>
      </c>
      <c r="N7" t="s">
        <v>5099</v>
      </c>
      <c r="O7" t="s">
        <v>5100</v>
      </c>
      <c r="P7" t="s">
        <v>5060</v>
      </c>
      <c r="Q7" t="s">
        <v>1667</v>
      </c>
      <c r="R7" t="s">
        <v>5101</v>
      </c>
      <c r="S7" t="s">
        <v>5102</v>
      </c>
      <c r="T7" t="s">
        <v>4378</v>
      </c>
      <c r="U7" t="s">
        <v>5103</v>
      </c>
      <c r="W7" t="s">
        <v>926</v>
      </c>
      <c r="X7" t="s">
        <v>5104</v>
      </c>
      <c r="Y7" t="s">
        <v>930</v>
      </c>
      <c r="Z7" t="s">
        <v>1667</v>
      </c>
      <c r="AA7" t="s">
        <v>5101</v>
      </c>
      <c r="AB7" t="s">
        <v>1670</v>
      </c>
      <c r="AC7" t="s">
        <v>1667</v>
      </c>
      <c r="AD7" t="s">
        <v>5101</v>
      </c>
      <c r="AE7" t="s">
        <v>1670</v>
      </c>
      <c r="AL7" t="s">
        <v>1667</v>
      </c>
      <c r="AM7" t="s">
        <v>5101</v>
      </c>
      <c r="AN7" t="s">
        <v>1670</v>
      </c>
      <c r="AX7" t="s">
        <v>1667</v>
      </c>
      <c r="AY7" t="s">
        <v>5101</v>
      </c>
      <c r="AZ7" t="s">
        <v>1670</v>
      </c>
      <c r="BA7">
        <v>6</v>
      </c>
      <c r="BB7">
        <v>4</v>
      </c>
      <c r="BC7">
        <v>0</v>
      </c>
      <c r="BD7">
        <v>1</v>
      </c>
      <c r="BE7">
        <v>0</v>
      </c>
      <c r="BF7">
        <v>0</v>
      </c>
      <c r="BG7" t="s">
        <v>5064</v>
      </c>
      <c r="BH7" t="s">
        <v>5065</v>
      </c>
      <c r="BI7" s="26">
        <v>45215</v>
      </c>
      <c r="BJ7" t="s">
        <v>5105</v>
      </c>
      <c r="BO7" t="s">
        <v>5065</v>
      </c>
    </row>
    <row r="8" spans="1:67" x14ac:dyDescent="0.25">
      <c r="A8" t="str">
        <f t="shared" si="0"/>
        <v>9021 - UNITE SPORTIVE AVONNAISE BILLARD</v>
      </c>
      <c r="B8">
        <v>9021</v>
      </c>
      <c r="C8">
        <v>11</v>
      </c>
      <c r="D8">
        <v>77</v>
      </c>
      <c r="E8">
        <v>21</v>
      </c>
      <c r="F8" t="s">
        <v>229</v>
      </c>
      <c r="G8" s="26">
        <v>45192</v>
      </c>
      <c r="H8" t="s">
        <v>5106</v>
      </c>
      <c r="I8" t="s">
        <v>5107</v>
      </c>
      <c r="K8">
        <v>77210</v>
      </c>
      <c r="L8" t="s">
        <v>391</v>
      </c>
      <c r="N8" t="s">
        <v>5108</v>
      </c>
      <c r="P8" t="s">
        <v>5060</v>
      </c>
      <c r="T8" t="s">
        <v>1449</v>
      </c>
      <c r="U8" t="s">
        <v>5109</v>
      </c>
      <c r="V8" t="s">
        <v>1451</v>
      </c>
      <c r="W8" t="s">
        <v>5110</v>
      </c>
      <c r="X8" t="s">
        <v>5111</v>
      </c>
      <c r="Y8" t="s">
        <v>5112</v>
      </c>
      <c r="Z8" t="s">
        <v>5110</v>
      </c>
      <c r="AA8" t="s">
        <v>5111</v>
      </c>
      <c r="AB8" t="s">
        <v>5112</v>
      </c>
      <c r="BA8">
        <v>0</v>
      </c>
      <c r="BB8">
        <v>3</v>
      </c>
      <c r="BC8">
        <v>0</v>
      </c>
      <c r="BD8">
        <v>0</v>
      </c>
      <c r="BE8">
        <v>0</v>
      </c>
      <c r="BF8">
        <v>0</v>
      </c>
      <c r="BG8" t="s">
        <v>5064</v>
      </c>
      <c r="BH8" t="s">
        <v>5065</v>
      </c>
      <c r="BJ8" t="s">
        <v>5113</v>
      </c>
      <c r="BM8">
        <v>164224617</v>
      </c>
      <c r="BN8">
        <v>604506367</v>
      </c>
      <c r="BO8" t="s">
        <v>5065</v>
      </c>
    </row>
    <row r="9" spans="1:67" x14ac:dyDescent="0.25">
      <c r="A9" t="str">
        <f t="shared" si="0"/>
        <v>9024 - ASS. BILLARD AMATEUR DE SAINT MAUR</v>
      </c>
      <c r="B9">
        <v>9024</v>
      </c>
      <c r="C9">
        <v>11</v>
      </c>
      <c r="D9">
        <v>94</v>
      </c>
      <c r="E9">
        <v>24</v>
      </c>
      <c r="F9" t="s">
        <v>4</v>
      </c>
      <c r="G9" s="26">
        <v>45163</v>
      </c>
      <c r="H9" t="s">
        <v>5114</v>
      </c>
      <c r="K9">
        <v>94100</v>
      </c>
      <c r="L9" t="s">
        <v>971</v>
      </c>
      <c r="M9">
        <v>148835944</v>
      </c>
      <c r="N9" t="s">
        <v>5115</v>
      </c>
      <c r="O9" t="s">
        <v>5116</v>
      </c>
      <c r="P9" t="s">
        <v>5060</v>
      </c>
      <c r="Q9" t="s">
        <v>136</v>
      </c>
      <c r="R9" t="s">
        <v>5117</v>
      </c>
      <c r="S9" t="s">
        <v>141</v>
      </c>
      <c r="T9" t="s">
        <v>321</v>
      </c>
      <c r="U9" t="s">
        <v>5118</v>
      </c>
      <c r="V9" t="s">
        <v>325</v>
      </c>
      <c r="W9" t="s">
        <v>412</v>
      </c>
      <c r="X9" t="s">
        <v>5119</v>
      </c>
      <c r="Y9" t="s">
        <v>415</v>
      </c>
      <c r="Z9" t="s">
        <v>321</v>
      </c>
      <c r="AA9" t="s">
        <v>5118</v>
      </c>
      <c r="AB9" t="s">
        <v>325</v>
      </c>
      <c r="AC9" t="s">
        <v>321</v>
      </c>
      <c r="AD9" t="s">
        <v>5118</v>
      </c>
      <c r="AE9" t="s">
        <v>325</v>
      </c>
      <c r="AL9" t="s">
        <v>321</v>
      </c>
      <c r="AM9" t="s">
        <v>5118</v>
      </c>
      <c r="AN9" t="s">
        <v>325</v>
      </c>
      <c r="BA9">
        <v>7</v>
      </c>
      <c r="BB9">
        <v>10</v>
      </c>
      <c r="BC9">
        <v>0</v>
      </c>
      <c r="BD9">
        <v>0</v>
      </c>
      <c r="BE9">
        <v>0</v>
      </c>
      <c r="BF9">
        <v>5</v>
      </c>
      <c r="BG9" t="s">
        <v>5064</v>
      </c>
      <c r="BH9" t="s">
        <v>5060</v>
      </c>
      <c r="BI9" s="26">
        <v>45205</v>
      </c>
      <c r="BJ9" t="s">
        <v>5120</v>
      </c>
      <c r="BO9" t="s">
        <v>5065</v>
      </c>
    </row>
    <row r="10" spans="1:67" x14ac:dyDescent="0.25">
      <c r="A10" t="str">
        <f t="shared" si="0"/>
        <v>9025 - ASS.SPORT CORBEIL ESSONNES</v>
      </c>
      <c r="B10">
        <v>9025</v>
      </c>
      <c r="C10">
        <v>11</v>
      </c>
      <c r="D10">
        <v>91</v>
      </c>
      <c r="E10">
        <v>25</v>
      </c>
      <c r="F10" t="s">
        <v>188</v>
      </c>
      <c r="G10" s="26">
        <v>45167</v>
      </c>
      <c r="H10" t="s">
        <v>5092</v>
      </c>
      <c r="I10" t="s">
        <v>5121</v>
      </c>
      <c r="K10">
        <v>91100</v>
      </c>
      <c r="L10" t="s">
        <v>1427</v>
      </c>
      <c r="M10">
        <v>765542004</v>
      </c>
      <c r="N10" t="s">
        <v>5122</v>
      </c>
      <c r="O10" t="s">
        <v>5123</v>
      </c>
      <c r="P10" t="s">
        <v>5060</v>
      </c>
      <c r="Q10" t="s">
        <v>3318</v>
      </c>
      <c r="R10" t="s">
        <v>5124</v>
      </c>
      <c r="S10" t="s">
        <v>3321</v>
      </c>
      <c r="T10" t="s">
        <v>1490</v>
      </c>
      <c r="U10" t="s">
        <v>5125</v>
      </c>
      <c r="V10" t="s">
        <v>1492</v>
      </c>
      <c r="W10" t="s">
        <v>3687</v>
      </c>
      <c r="X10" t="s">
        <v>5126</v>
      </c>
      <c r="Y10" t="s">
        <v>3688</v>
      </c>
      <c r="Z10" t="s">
        <v>1490</v>
      </c>
      <c r="AA10" t="s">
        <v>5125</v>
      </c>
      <c r="AB10" t="s">
        <v>1492</v>
      </c>
      <c r="AC10" t="s">
        <v>3318</v>
      </c>
      <c r="AD10" t="s">
        <v>5124</v>
      </c>
      <c r="AE10" t="s">
        <v>3321</v>
      </c>
      <c r="AF10" t="s">
        <v>3318</v>
      </c>
      <c r="AG10" t="s">
        <v>5124</v>
      </c>
      <c r="AH10" t="s">
        <v>3321</v>
      </c>
      <c r="AL10" t="s">
        <v>1490</v>
      </c>
      <c r="AM10" t="s">
        <v>5125</v>
      </c>
      <c r="AN10" t="s">
        <v>1492</v>
      </c>
      <c r="AO10" t="s">
        <v>935</v>
      </c>
      <c r="AP10" t="s">
        <v>5127</v>
      </c>
      <c r="AQ10" t="s">
        <v>938</v>
      </c>
      <c r="AR10" t="s">
        <v>3318</v>
      </c>
      <c r="AS10" t="s">
        <v>5124</v>
      </c>
      <c r="AT10" t="s">
        <v>3321</v>
      </c>
      <c r="BA10">
        <v>2</v>
      </c>
      <c r="BB10">
        <v>4</v>
      </c>
      <c r="BC10">
        <v>0</v>
      </c>
      <c r="BD10">
        <v>4</v>
      </c>
      <c r="BE10">
        <v>0</v>
      </c>
      <c r="BF10">
        <v>0</v>
      </c>
      <c r="BG10" t="s">
        <v>5064</v>
      </c>
      <c r="BH10" t="s">
        <v>5060</v>
      </c>
      <c r="BM10">
        <v>160889982</v>
      </c>
      <c r="BO10" t="s">
        <v>5065</v>
      </c>
    </row>
    <row r="11" spans="1:67" x14ac:dyDescent="0.25">
      <c r="A11" t="str">
        <f t="shared" si="0"/>
        <v>9026 - BILLARD CLUB BRIARD</v>
      </c>
      <c r="B11">
        <v>9026</v>
      </c>
      <c r="C11">
        <v>11</v>
      </c>
      <c r="D11">
        <v>77</v>
      </c>
      <c r="E11">
        <v>26</v>
      </c>
      <c r="F11" t="s">
        <v>508</v>
      </c>
      <c r="G11" s="26">
        <v>45192</v>
      </c>
      <c r="H11" t="s">
        <v>5128</v>
      </c>
      <c r="K11">
        <v>77170</v>
      </c>
      <c r="L11" t="s">
        <v>281</v>
      </c>
      <c r="M11">
        <v>160346236</v>
      </c>
      <c r="N11" t="s">
        <v>5129</v>
      </c>
      <c r="P11" t="s">
        <v>5060</v>
      </c>
      <c r="Q11" t="s">
        <v>3698</v>
      </c>
      <c r="R11" t="s">
        <v>5130</v>
      </c>
      <c r="S11" t="s">
        <v>3701</v>
      </c>
      <c r="T11" t="s">
        <v>2445</v>
      </c>
      <c r="U11" t="s">
        <v>5131</v>
      </c>
      <c r="V11" t="s">
        <v>2449</v>
      </c>
      <c r="W11" t="s">
        <v>2803</v>
      </c>
      <c r="X11" t="s">
        <v>5132</v>
      </c>
      <c r="AF11" t="s">
        <v>870</v>
      </c>
      <c r="AG11" t="s">
        <v>5133</v>
      </c>
      <c r="AL11" t="s">
        <v>3698</v>
      </c>
      <c r="AM11" t="s">
        <v>5130</v>
      </c>
      <c r="AN11" t="s">
        <v>3701</v>
      </c>
      <c r="BA11">
        <v>1</v>
      </c>
      <c r="BB11">
        <v>4</v>
      </c>
      <c r="BC11">
        <v>0</v>
      </c>
      <c r="BD11">
        <v>0</v>
      </c>
      <c r="BE11">
        <v>0</v>
      </c>
      <c r="BF11">
        <v>0</v>
      </c>
      <c r="BG11" t="s">
        <v>5064</v>
      </c>
      <c r="BH11" t="s">
        <v>5060</v>
      </c>
      <c r="BI11" s="26">
        <v>45192</v>
      </c>
      <c r="BO11" t="s">
        <v>5065</v>
      </c>
    </row>
    <row r="12" spans="1:67" x14ac:dyDescent="0.25">
      <c r="A12" t="str">
        <f t="shared" si="0"/>
        <v>9028 - M. J. C. PROVINS</v>
      </c>
      <c r="B12">
        <v>9028</v>
      </c>
      <c r="C12">
        <v>11</v>
      </c>
      <c r="D12">
        <v>77</v>
      </c>
      <c r="E12">
        <v>28</v>
      </c>
      <c r="F12" t="s">
        <v>452</v>
      </c>
      <c r="G12" s="26">
        <v>45179</v>
      </c>
      <c r="H12" t="s">
        <v>5092</v>
      </c>
      <c r="I12" t="s">
        <v>5134</v>
      </c>
      <c r="K12">
        <v>77160</v>
      </c>
      <c r="L12" t="s">
        <v>458</v>
      </c>
      <c r="M12">
        <v>160520509</v>
      </c>
      <c r="N12" t="s">
        <v>5135</v>
      </c>
      <c r="P12" t="s">
        <v>5060</v>
      </c>
      <c r="Q12" t="s">
        <v>451</v>
      </c>
      <c r="R12" t="s">
        <v>5136</v>
      </c>
      <c r="S12" t="s">
        <v>5135</v>
      </c>
      <c r="T12" t="s">
        <v>3141</v>
      </c>
      <c r="U12" t="s">
        <v>5137</v>
      </c>
      <c r="V12" t="s">
        <v>3145</v>
      </c>
      <c r="W12" t="s">
        <v>1829</v>
      </c>
      <c r="X12" t="s">
        <v>5138</v>
      </c>
      <c r="Y12" t="s">
        <v>1832</v>
      </c>
      <c r="AC12" t="s">
        <v>451</v>
      </c>
      <c r="AD12" t="s">
        <v>5136</v>
      </c>
      <c r="AE12" t="s">
        <v>5135</v>
      </c>
      <c r="AL12" t="s">
        <v>451</v>
      </c>
      <c r="AM12" t="s">
        <v>5136</v>
      </c>
      <c r="AN12" t="s">
        <v>5135</v>
      </c>
      <c r="BA12">
        <v>2</v>
      </c>
      <c r="BB12">
        <v>3</v>
      </c>
      <c r="BC12">
        <v>0</v>
      </c>
      <c r="BD12">
        <v>0</v>
      </c>
      <c r="BE12">
        <v>0</v>
      </c>
      <c r="BF12">
        <v>0</v>
      </c>
      <c r="BG12" t="s">
        <v>5064</v>
      </c>
      <c r="BH12" t="s">
        <v>5060</v>
      </c>
      <c r="BO12" t="s">
        <v>5060</v>
      </c>
    </row>
    <row r="13" spans="1:67" x14ac:dyDescent="0.25">
      <c r="A13" t="str">
        <f t="shared" si="0"/>
        <v>9030 - BILLARD CLUB VICINOIS</v>
      </c>
      <c r="B13">
        <v>9030</v>
      </c>
      <c r="C13">
        <v>11</v>
      </c>
      <c r="D13">
        <v>78</v>
      </c>
      <c r="E13">
        <v>30</v>
      </c>
      <c r="F13" t="s">
        <v>96</v>
      </c>
      <c r="G13" s="26">
        <v>45162</v>
      </c>
      <c r="H13" t="s">
        <v>5139</v>
      </c>
      <c r="K13">
        <v>78960</v>
      </c>
      <c r="L13" t="s">
        <v>566</v>
      </c>
      <c r="M13">
        <v>952383720</v>
      </c>
      <c r="N13" t="s">
        <v>5140</v>
      </c>
      <c r="O13" t="s">
        <v>5141</v>
      </c>
      <c r="P13" t="s">
        <v>5060</v>
      </c>
      <c r="Q13" t="s">
        <v>260</v>
      </c>
      <c r="R13" t="s">
        <v>5142</v>
      </c>
      <c r="S13" t="s">
        <v>264</v>
      </c>
      <c r="T13" t="s">
        <v>3112</v>
      </c>
      <c r="U13" t="s">
        <v>5143</v>
      </c>
      <c r="V13" t="s">
        <v>3114</v>
      </c>
      <c r="W13" t="s">
        <v>2161</v>
      </c>
      <c r="X13" t="s">
        <v>5144</v>
      </c>
      <c r="Y13" t="s">
        <v>2162</v>
      </c>
      <c r="AF13" t="s">
        <v>563</v>
      </c>
      <c r="AG13" t="s">
        <v>5145</v>
      </c>
      <c r="AH13" t="s">
        <v>567</v>
      </c>
      <c r="AI13" t="s">
        <v>1307</v>
      </c>
      <c r="AJ13" t="s">
        <v>5146</v>
      </c>
      <c r="AK13" t="s">
        <v>1310</v>
      </c>
      <c r="AL13" t="s">
        <v>1884</v>
      </c>
      <c r="AM13" t="s">
        <v>5147</v>
      </c>
      <c r="AN13" t="s">
        <v>1888</v>
      </c>
      <c r="AX13" t="s">
        <v>2167</v>
      </c>
      <c r="AY13" t="s">
        <v>5148</v>
      </c>
      <c r="AZ13" t="s">
        <v>2170</v>
      </c>
      <c r="BA13">
        <v>2</v>
      </c>
      <c r="BB13">
        <v>5</v>
      </c>
      <c r="BC13">
        <v>0</v>
      </c>
      <c r="BD13">
        <v>1</v>
      </c>
      <c r="BE13">
        <v>0</v>
      </c>
      <c r="BF13">
        <v>0</v>
      </c>
      <c r="BG13" t="s">
        <v>5064</v>
      </c>
      <c r="BH13" t="s">
        <v>5065</v>
      </c>
      <c r="BJ13" t="s">
        <v>5149</v>
      </c>
      <c r="BK13">
        <v>44793403500026</v>
      </c>
      <c r="BL13" t="s">
        <v>5150</v>
      </c>
      <c r="BO13" t="s">
        <v>5065</v>
      </c>
    </row>
    <row r="14" spans="1:67" x14ac:dyDescent="0.25">
      <c r="A14" t="str">
        <f t="shared" si="0"/>
        <v>9031 - ACADEMIE DE BILLARD DE MAISONS ALFORT</v>
      </c>
      <c r="B14">
        <v>9031</v>
      </c>
      <c r="C14">
        <v>11</v>
      </c>
      <c r="D14">
        <v>94</v>
      </c>
      <c r="E14">
        <v>31</v>
      </c>
      <c r="F14" t="s">
        <v>7</v>
      </c>
      <c r="G14" s="26">
        <v>45179</v>
      </c>
      <c r="H14" t="s">
        <v>5151</v>
      </c>
      <c r="K14">
        <v>94700</v>
      </c>
      <c r="L14" t="s">
        <v>163</v>
      </c>
      <c r="M14">
        <v>142074584</v>
      </c>
      <c r="N14" t="s">
        <v>890</v>
      </c>
      <c r="O14" t="s">
        <v>5152</v>
      </c>
      <c r="P14" t="s">
        <v>5060</v>
      </c>
      <c r="Q14" t="s">
        <v>2866</v>
      </c>
      <c r="R14" t="s">
        <v>5153</v>
      </c>
      <c r="S14" t="s">
        <v>890</v>
      </c>
      <c r="T14" t="s">
        <v>4057</v>
      </c>
      <c r="U14" t="s">
        <v>5154</v>
      </c>
      <c r="V14" t="s">
        <v>4060</v>
      </c>
      <c r="W14" t="s">
        <v>2413</v>
      </c>
      <c r="X14" t="s">
        <v>5155</v>
      </c>
      <c r="Y14" t="s">
        <v>2416</v>
      </c>
      <c r="AC14" t="s">
        <v>2866</v>
      </c>
      <c r="AD14" t="s">
        <v>5153</v>
      </c>
      <c r="AE14" t="s">
        <v>890</v>
      </c>
      <c r="AI14" t="s">
        <v>494</v>
      </c>
      <c r="AJ14" t="s">
        <v>5156</v>
      </c>
      <c r="AK14" t="s">
        <v>498</v>
      </c>
      <c r="AL14" t="s">
        <v>2995</v>
      </c>
      <c r="AM14" t="s">
        <v>5157</v>
      </c>
      <c r="AN14" t="s">
        <v>2999</v>
      </c>
      <c r="BA14">
        <v>3</v>
      </c>
      <c r="BB14">
        <v>5</v>
      </c>
      <c r="BC14">
        <v>0</v>
      </c>
      <c r="BD14">
        <v>0</v>
      </c>
      <c r="BE14">
        <v>0</v>
      </c>
      <c r="BF14">
        <v>0</v>
      </c>
      <c r="BG14" t="s">
        <v>5064</v>
      </c>
      <c r="BH14" t="s">
        <v>5060</v>
      </c>
      <c r="BO14" t="s">
        <v>5065</v>
      </c>
    </row>
    <row r="15" spans="1:67" x14ac:dyDescent="0.25">
      <c r="A15" t="str">
        <f t="shared" si="0"/>
        <v>9032 - BILLARD CLUB LA GARENNE CLAMART</v>
      </c>
      <c r="B15">
        <v>9032</v>
      </c>
      <c r="C15">
        <v>11</v>
      </c>
      <c r="D15">
        <v>92</v>
      </c>
      <c r="E15">
        <v>32</v>
      </c>
      <c r="F15" t="s">
        <v>102</v>
      </c>
      <c r="G15" s="26">
        <v>45168</v>
      </c>
      <c r="H15" t="s">
        <v>5158</v>
      </c>
      <c r="I15" t="s">
        <v>5159</v>
      </c>
      <c r="K15">
        <v>92140</v>
      </c>
      <c r="L15" t="s">
        <v>1380</v>
      </c>
      <c r="M15">
        <v>146324378</v>
      </c>
      <c r="N15" t="s">
        <v>1381</v>
      </c>
      <c r="O15" t="s">
        <v>5160</v>
      </c>
      <c r="P15" t="s">
        <v>5060</v>
      </c>
      <c r="Q15" t="s">
        <v>2742</v>
      </c>
      <c r="R15" t="s">
        <v>5161</v>
      </c>
      <c r="S15" t="s">
        <v>2745</v>
      </c>
      <c r="T15" t="s">
        <v>2838</v>
      </c>
      <c r="U15" t="s">
        <v>5162</v>
      </c>
      <c r="V15" t="s">
        <v>2839</v>
      </c>
      <c r="W15" t="s">
        <v>3341</v>
      </c>
      <c r="X15" t="s">
        <v>5163</v>
      </c>
      <c r="Y15" t="s">
        <v>3343</v>
      </c>
      <c r="AL15" t="s">
        <v>2742</v>
      </c>
      <c r="AM15" t="s">
        <v>5161</v>
      </c>
      <c r="AN15" t="s">
        <v>2745</v>
      </c>
      <c r="BA15">
        <v>2</v>
      </c>
      <c r="BB15">
        <v>3</v>
      </c>
      <c r="BC15">
        <v>0</v>
      </c>
      <c r="BD15">
        <v>0</v>
      </c>
      <c r="BE15">
        <v>0</v>
      </c>
      <c r="BF15">
        <v>0</v>
      </c>
      <c r="BG15" t="s">
        <v>5064</v>
      </c>
      <c r="BH15" t="s">
        <v>5060</v>
      </c>
      <c r="BI15" s="26">
        <v>45212</v>
      </c>
      <c r="BJ15" t="s">
        <v>5164</v>
      </c>
      <c r="BO15" t="s">
        <v>5065</v>
      </c>
    </row>
    <row r="16" spans="1:67" x14ac:dyDescent="0.25">
      <c r="A16" t="str">
        <f t="shared" si="0"/>
        <v>9033 - ACADEMIE BILLARD CLUB DE GARGES</v>
      </c>
      <c r="B16">
        <v>9033</v>
      </c>
      <c r="C16">
        <v>11</v>
      </c>
      <c r="D16">
        <v>95</v>
      </c>
      <c r="E16">
        <v>33</v>
      </c>
      <c r="F16" t="s">
        <v>500</v>
      </c>
      <c r="G16" s="26">
        <v>45173</v>
      </c>
      <c r="H16" t="s">
        <v>5165</v>
      </c>
      <c r="I16" t="s">
        <v>5166</v>
      </c>
      <c r="K16">
        <v>95140</v>
      </c>
      <c r="L16" t="s">
        <v>501</v>
      </c>
      <c r="M16">
        <v>139930306</v>
      </c>
      <c r="N16" t="s">
        <v>5167</v>
      </c>
      <c r="O16" t="s">
        <v>5168</v>
      </c>
      <c r="P16" t="s">
        <v>5065</v>
      </c>
      <c r="Q16" t="s">
        <v>499</v>
      </c>
      <c r="R16" t="s">
        <v>5169</v>
      </c>
      <c r="S16" t="s">
        <v>5167</v>
      </c>
      <c r="T16" t="s">
        <v>2021</v>
      </c>
      <c r="U16" t="s">
        <v>5170</v>
      </c>
      <c r="V16" t="s">
        <v>5167</v>
      </c>
      <c r="W16" t="s">
        <v>1706</v>
      </c>
      <c r="X16" t="s">
        <v>5171</v>
      </c>
      <c r="Y16" t="s">
        <v>5167</v>
      </c>
      <c r="Z16" t="s">
        <v>499</v>
      </c>
      <c r="AA16" t="s">
        <v>5169</v>
      </c>
      <c r="AB16" t="s">
        <v>5167</v>
      </c>
      <c r="AC16" t="s">
        <v>499</v>
      </c>
      <c r="AD16" t="s">
        <v>5169</v>
      </c>
      <c r="AE16" t="s">
        <v>5167</v>
      </c>
      <c r="AF16" t="s">
        <v>499</v>
      </c>
      <c r="AG16" t="s">
        <v>5169</v>
      </c>
      <c r="AH16" t="s">
        <v>5167</v>
      </c>
      <c r="AI16" t="s">
        <v>993</v>
      </c>
      <c r="AJ16" t="s">
        <v>5172</v>
      </c>
      <c r="AK16" t="s">
        <v>5167</v>
      </c>
      <c r="AL16" t="s">
        <v>499</v>
      </c>
      <c r="AM16" t="s">
        <v>5169</v>
      </c>
      <c r="AN16" t="s">
        <v>5167</v>
      </c>
      <c r="AO16" t="s">
        <v>499</v>
      </c>
      <c r="AP16" t="s">
        <v>5169</v>
      </c>
      <c r="AQ16" t="s">
        <v>5167</v>
      </c>
      <c r="AR16" t="s">
        <v>2021</v>
      </c>
      <c r="AS16" t="s">
        <v>5170</v>
      </c>
      <c r="AT16" t="s">
        <v>5167</v>
      </c>
      <c r="AX16" t="s">
        <v>993</v>
      </c>
      <c r="AY16" t="s">
        <v>5172</v>
      </c>
      <c r="AZ16" t="s">
        <v>5167</v>
      </c>
      <c r="BA16">
        <v>3</v>
      </c>
      <c r="BB16">
        <v>5</v>
      </c>
      <c r="BC16">
        <v>0</v>
      </c>
      <c r="BD16">
        <v>2</v>
      </c>
      <c r="BE16">
        <v>0</v>
      </c>
      <c r="BF16">
        <v>2</v>
      </c>
      <c r="BG16" t="s">
        <v>5064</v>
      </c>
      <c r="BH16" t="s">
        <v>5060</v>
      </c>
      <c r="BI16" s="26">
        <v>45220</v>
      </c>
      <c r="BJ16" t="s">
        <v>5173</v>
      </c>
      <c r="BK16">
        <v>44972723900013</v>
      </c>
      <c r="BL16" t="s">
        <v>5174</v>
      </c>
      <c r="BM16">
        <v>687441490</v>
      </c>
      <c r="BN16">
        <v>687441490</v>
      </c>
      <c r="BO16" t="s">
        <v>5065</v>
      </c>
    </row>
    <row r="17" spans="1:67" x14ac:dyDescent="0.25">
      <c r="A17" t="str">
        <f t="shared" si="0"/>
        <v>9038 - U.S CONFLANS STE HONORINE</v>
      </c>
      <c r="B17">
        <v>9038</v>
      </c>
      <c r="C17">
        <v>11</v>
      </c>
      <c r="D17">
        <v>78</v>
      </c>
      <c r="E17">
        <v>38</v>
      </c>
      <c r="F17" t="s">
        <v>484</v>
      </c>
      <c r="G17" s="26">
        <v>45176</v>
      </c>
      <c r="H17" t="s">
        <v>5175</v>
      </c>
      <c r="I17" t="s">
        <v>5176</v>
      </c>
      <c r="J17" t="s">
        <v>5177</v>
      </c>
      <c r="K17">
        <v>78700</v>
      </c>
      <c r="L17" t="s">
        <v>273</v>
      </c>
      <c r="M17">
        <v>134909980</v>
      </c>
      <c r="N17" t="s">
        <v>5178</v>
      </c>
      <c r="O17" t="s">
        <v>5179</v>
      </c>
      <c r="P17" t="s">
        <v>5060</v>
      </c>
      <c r="Q17" t="s">
        <v>1315</v>
      </c>
      <c r="R17" t="s">
        <v>5180</v>
      </c>
      <c r="S17" t="s">
        <v>1319</v>
      </c>
      <c r="T17" t="s">
        <v>3807</v>
      </c>
      <c r="U17" t="s">
        <v>5181</v>
      </c>
      <c r="V17" t="s">
        <v>5178</v>
      </c>
      <c r="W17" t="s">
        <v>1270</v>
      </c>
      <c r="X17" t="s">
        <v>5182</v>
      </c>
      <c r="Y17" t="s">
        <v>1275</v>
      </c>
      <c r="AF17" t="s">
        <v>1270</v>
      </c>
      <c r="AG17" t="s">
        <v>5182</v>
      </c>
      <c r="AH17" t="s">
        <v>1275</v>
      </c>
      <c r="AI17" t="s">
        <v>4309</v>
      </c>
      <c r="AJ17" t="s">
        <v>5183</v>
      </c>
      <c r="AK17" t="s">
        <v>4312</v>
      </c>
      <c r="AL17" t="s">
        <v>4309</v>
      </c>
      <c r="AM17" t="s">
        <v>5183</v>
      </c>
      <c r="AN17" t="s">
        <v>4312</v>
      </c>
      <c r="BA17">
        <v>0</v>
      </c>
      <c r="BB17">
        <v>4</v>
      </c>
      <c r="BC17">
        <v>0</v>
      </c>
      <c r="BD17">
        <v>0</v>
      </c>
      <c r="BE17">
        <v>0</v>
      </c>
      <c r="BF17">
        <v>0</v>
      </c>
      <c r="BG17" t="s">
        <v>5064</v>
      </c>
      <c r="BH17" t="s">
        <v>5060</v>
      </c>
      <c r="BJ17" t="s">
        <v>5184</v>
      </c>
      <c r="BO17" t="s">
        <v>5065</v>
      </c>
    </row>
    <row r="18" spans="1:67" x14ac:dyDescent="0.25">
      <c r="A18" t="str">
        <f t="shared" si="0"/>
        <v>9040 - BILLARD CLUB DE CHAMPAGNE</v>
      </c>
      <c r="B18">
        <v>9040</v>
      </c>
      <c r="C18">
        <v>11</v>
      </c>
      <c r="D18">
        <v>77</v>
      </c>
      <c r="E18">
        <v>40</v>
      </c>
      <c r="F18" t="s">
        <v>612</v>
      </c>
      <c r="G18" s="26">
        <v>45171</v>
      </c>
      <c r="H18" t="s">
        <v>5185</v>
      </c>
      <c r="I18" t="s">
        <v>5186</v>
      </c>
      <c r="J18" t="s">
        <v>5187</v>
      </c>
      <c r="K18">
        <v>77430</v>
      </c>
      <c r="L18" t="s">
        <v>615</v>
      </c>
      <c r="M18">
        <v>164230910</v>
      </c>
      <c r="N18" t="s">
        <v>5188</v>
      </c>
      <c r="P18" t="s">
        <v>5060</v>
      </c>
      <c r="Q18" t="s">
        <v>815</v>
      </c>
      <c r="R18" t="s">
        <v>5189</v>
      </c>
      <c r="S18" t="s">
        <v>818</v>
      </c>
      <c r="T18" t="s">
        <v>622</v>
      </c>
      <c r="U18" t="s">
        <v>5190</v>
      </c>
      <c r="V18" t="s">
        <v>627</v>
      </c>
      <c r="W18" t="s">
        <v>2130</v>
      </c>
      <c r="X18" t="s">
        <v>5191</v>
      </c>
      <c r="Y18" t="s">
        <v>2135</v>
      </c>
      <c r="Z18" t="s">
        <v>2130</v>
      </c>
      <c r="AA18" t="s">
        <v>5191</v>
      </c>
      <c r="AB18" t="s">
        <v>2135</v>
      </c>
      <c r="AC18" t="s">
        <v>622</v>
      </c>
      <c r="AD18" t="s">
        <v>5190</v>
      </c>
      <c r="AE18" t="s">
        <v>627</v>
      </c>
      <c r="AL18" t="s">
        <v>622</v>
      </c>
      <c r="AM18" t="s">
        <v>5190</v>
      </c>
      <c r="AN18" t="s">
        <v>627</v>
      </c>
      <c r="BA18">
        <v>2</v>
      </c>
      <c r="BB18">
        <v>4</v>
      </c>
      <c r="BC18">
        <v>0</v>
      </c>
      <c r="BD18">
        <v>0</v>
      </c>
      <c r="BE18">
        <v>0</v>
      </c>
      <c r="BF18">
        <v>0</v>
      </c>
      <c r="BG18" t="s">
        <v>5064</v>
      </c>
      <c r="BH18" t="s">
        <v>5065</v>
      </c>
      <c r="BJ18" t="s">
        <v>5192</v>
      </c>
      <c r="BK18">
        <v>48288644700010</v>
      </c>
      <c r="BL18" t="s">
        <v>5193</v>
      </c>
      <c r="BO18" t="s">
        <v>5065</v>
      </c>
    </row>
    <row r="19" spans="1:67" x14ac:dyDescent="0.25">
      <c r="A19" t="str">
        <f t="shared" si="0"/>
        <v>9043 - BILLARD CLUB D ETAMPES</v>
      </c>
      <c r="B19">
        <v>9043</v>
      </c>
      <c r="C19">
        <v>11</v>
      </c>
      <c r="D19">
        <v>91</v>
      </c>
      <c r="E19">
        <v>43</v>
      </c>
      <c r="F19" t="s">
        <v>99</v>
      </c>
      <c r="G19" s="26">
        <v>45190</v>
      </c>
      <c r="H19" t="s">
        <v>5194</v>
      </c>
      <c r="K19">
        <v>91150</v>
      </c>
      <c r="L19" t="s">
        <v>101</v>
      </c>
      <c r="M19">
        <v>164941740</v>
      </c>
      <c r="N19" t="s">
        <v>5195</v>
      </c>
      <c r="P19" t="s">
        <v>5060</v>
      </c>
      <c r="Q19" t="s">
        <v>2115</v>
      </c>
      <c r="R19" t="s">
        <v>5196</v>
      </c>
      <c r="S19" t="s">
        <v>2116</v>
      </c>
      <c r="T19" t="s">
        <v>4175</v>
      </c>
      <c r="U19" t="s">
        <v>5197</v>
      </c>
      <c r="V19" t="s">
        <v>4176</v>
      </c>
      <c r="W19" t="s">
        <v>3988</v>
      </c>
      <c r="X19" t="s">
        <v>5198</v>
      </c>
      <c r="Y19" t="s">
        <v>3989</v>
      </c>
      <c r="AL19" t="s">
        <v>3922</v>
      </c>
      <c r="AM19" t="s">
        <v>5199</v>
      </c>
      <c r="AN19" t="s">
        <v>5200</v>
      </c>
      <c r="BA19">
        <v>1</v>
      </c>
      <c r="BB19">
        <v>3</v>
      </c>
      <c r="BC19">
        <v>0</v>
      </c>
      <c r="BD19">
        <v>0</v>
      </c>
      <c r="BE19">
        <v>0</v>
      </c>
      <c r="BF19">
        <v>0</v>
      </c>
      <c r="BG19" t="s">
        <v>5064</v>
      </c>
      <c r="BH19" t="s">
        <v>5060</v>
      </c>
      <c r="BI19" s="26">
        <v>45184</v>
      </c>
      <c r="BO19" t="s">
        <v>5065</v>
      </c>
    </row>
    <row r="20" spans="1:67" x14ac:dyDescent="0.25">
      <c r="A20" t="str">
        <f t="shared" si="0"/>
        <v>9045 - BILLARD CLUB DU KREMLIN BCK</v>
      </c>
      <c r="B20">
        <v>9045</v>
      </c>
      <c r="C20">
        <v>11</v>
      </c>
      <c r="D20">
        <v>94</v>
      </c>
      <c r="E20">
        <v>45</v>
      </c>
      <c r="F20" t="s">
        <v>1234</v>
      </c>
      <c r="G20" s="26">
        <v>45168</v>
      </c>
      <c r="H20" t="s">
        <v>5201</v>
      </c>
      <c r="I20" t="s">
        <v>5202</v>
      </c>
      <c r="K20">
        <v>94270</v>
      </c>
      <c r="L20" t="s">
        <v>2800</v>
      </c>
      <c r="M20">
        <v>146725151</v>
      </c>
      <c r="N20" t="s">
        <v>5203</v>
      </c>
      <c r="O20" t="s">
        <v>5204</v>
      </c>
      <c r="P20" t="s">
        <v>5060</v>
      </c>
      <c r="Q20" t="s">
        <v>2063</v>
      </c>
      <c r="R20" t="s">
        <v>5205</v>
      </c>
      <c r="S20" t="s">
        <v>2067</v>
      </c>
      <c r="T20" t="s">
        <v>2068</v>
      </c>
      <c r="U20" t="s">
        <v>5206</v>
      </c>
      <c r="V20" t="s">
        <v>2070</v>
      </c>
      <c r="W20" t="s">
        <v>3799</v>
      </c>
      <c r="X20" t="s">
        <v>5207</v>
      </c>
      <c r="Y20" t="s">
        <v>3802</v>
      </c>
      <c r="Z20" t="s">
        <v>2063</v>
      </c>
      <c r="AA20" t="s">
        <v>5205</v>
      </c>
      <c r="AB20" t="s">
        <v>2067</v>
      </c>
      <c r="AC20" t="s">
        <v>2063</v>
      </c>
      <c r="AD20" t="s">
        <v>5205</v>
      </c>
      <c r="AE20" t="s">
        <v>2067</v>
      </c>
      <c r="BA20">
        <v>3</v>
      </c>
      <c r="BB20">
        <v>4</v>
      </c>
      <c r="BC20">
        <v>0</v>
      </c>
      <c r="BD20">
        <v>0</v>
      </c>
      <c r="BE20">
        <v>2</v>
      </c>
      <c r="BF20">
        <v>24</v>
      </c>
      <c r="BG20" t="s">
        <v>5208</v>
      </c>
      <c r="BH20" t="s">
        <v>5060</v>
      </c>
      <c r="BI20" s="26">
        <v>45177</v>
      </c>
      <c r="BJ20" t="s">
        <v>5209</v>
      </c>
      <c r="BL20" t="s">
        <v>5210</v>
      </c>
      <c r="BM20">
        <v>663093572</v>
      </c>
      <c r="BO20" t="s">
        <v>5065</v>
      </c>
    </row>
    <row r="21" spans="1:67" x14ac:dyDescent="0.25">
      <c r="A21" t="str">
        <f t="shared" si="0"/>
        <v>9049 - BILLARD CLUB FERTOIS</v>
      </c>
      <c r="B21">
        <v>9049</v>
      </c>
      <c r="C21">
        <v>11</v>
      </c>
      <c r="D21">
        <v>77</v>
      </c>
      <c r="E21">
        <v>49</v>
      </c>
      <c r="F21" t="s">
        <v>902</v>
      </c>
      <c r="G21" s="26">
        <v>45168</v>
      </c>
      <c r="H21" t="s">
        <v>5211</v>
      </c>
      <c r="K21">
        <v>77260</v>
      </c>
      <c r="L21" t="s">
        <v>5212</v>
      </c>
      <c r="M21">
        <v>160221037</v>
      </c>
      <c r="N21" t="s">
        <v>5213</v>
      </c>
      <c r="P21" t="s">
        <v>5060</v>
      </c>
      <c r="Q21" t="s">
        <v>1620</v>
      </c>
      <c r="R21" t="s">
        <v>5214</v>
      </c>
      <c r="S21" t="s">
        <v>1624</v>
      </c>
      <c r="T21" t="s">
        <v>1822</v>
      </c>
      <c r="U21" t="s">
        <v>5215</v>
      </c>
      <c r="V21" t="s">
        <v>1828</v>
      </c>
      <c r="W21" t="s">
        <v>3253</v>
      </c>
      <c r="X21" t="s">
        <v>5216</v>
      </c>
      <c r="Y21" t="s">
        <v>3257</v>
      </c>
      <c r="AC21" t="s">
        <v>1620</v>
      </c>
      <c r="AD21" t="s">
        <v>5214</v>
      </c>
      <c r="AE21" t="s">
        <v>1624</v>
      </c>
      <c r="AL21" t="s">
        <v>1822</v>
      </c>
      <c r="AM21" t="s">
        <v>5215</v>
      </c>
      <c r="AN21" t="s">
        <v>1828</v>
      </c>
      <c r="BA21">
        <v>1</v>
      </c>
      <c r="BB21">
        <v>6</v>
      </c>
      <c r="BC21">
        <v>0</v>
      </c>
      <c r="BD21">
        <v>1</v>
      </c>
      <c r="BE21">
        <v>0</v>
      </c>
      <c r="BF21">
        <v>0</v>
      </c>
      <c r="BG21" t="s">
        <v>5217</v>
      </c>
      <c r="BH21" t="s">
        <v>5060</v>
      </c>
      <c r="BO21" t="s">
        <v>5065</v>
      </c>
    </row>
    <row r="22" spans="1:67" x14ac:dyDescent="0.25">
      <c r="A22" t="str">
        <f t="shared" si="0"/>
        <v>9052 - BEYNES BILLARD CARAMBOLE</v>
      </c>
      <c r="B22">
        <v>9052</v>
      </c>
      <c r="C22">
        <v>11</v>
      </c>
      <c r="D22">
        <v>78</v>
      </c>
      <c r="E22">
        <v>52</v>
      </c>
      <c r="F22" t="s">
        <v>337</v>
      </c>
      <c r="G22" s="26">
        <v>45174</v>
      </c>
      <c r="H22" t="s">
        <v>5218</v>
      </c>
      <c r="I22" t="s">
        <v>5219</v>
      </c>
      <c r="J22" t="s">
        <v>5220</v>
      </c>
      <c r="K22">
        <v>78650</v>
      </c>
      <c r="L22" t="s">
        <v>2463</v>
      </c>
      <c r="M22">
        <v>134898067</v>
      </c>
      <c r="N22" t="s">
        <v>5221</v>
      </c>
      <c r="P22" t="s">
        <v>5060</v>
      </c>
      <c r="Q22" t="s">
        <v>879</v>
      </c>
      <c r="R22" t="s">
        <v>5222</v>
      </c>
      <c r="S22" t="s">
        <v>883</v>
      </c>
      <c r="T22" t="s">
        <v>3222</v>
      </c>
      <c r="U22" t="s">
        <v>5223</v>
      </c>
      <c r="V22" t="s">
        <v>3225</v>
      </c>
      <c r="W22" t="s">
        <v>2363</v>
      </c>
      <c r="X22" t="s">
        <v>5224</v>
      </c>
      <c r="Y22" t="s">
        <v>5225</v>
      </c>
      <c r="Z22" t="s">
        <v>879</v>
      </c>
      <c r="AA22" t="s">
        <v>5222</v>
      </c>
      <c r="AB22" t="s">
        <v>883</v>
      </c>
      <c r="AC22" t="s">
        <v>879</v>
      </c>
      <c r="AD22" t="s">
        <v>5222</v>
      </c>
      <c r="AE22" t="s">
        <v>883</v>
      </c>
      <c r="AF22" t="s">
        <v>3222</v>
      </c>
      <c r="AG22" t="s">
        <v>5223</v>
      </c>
      <c r="AH22" t="s">
        <v>3225</v>
      </c>
      <c r="AI22" t="s">
        <v>2360</v>
      </c>
      <c r="AJ22" t="s">
        <v>5226</v>
      </c>
      <c r="AK22" t="s">
        <v>5227</v>
      </c>
      <c r="AL22" t="s">
        <v>879</v>
      </c>
      <c r="AM22" t="s">
        <v>5222</v>
      </c>
      <c r="AN22" t="s">
        <v>883</v>
      </c>
      <c r="AX22" t="s">
        <v>3222</v>
      </c>
      <c r="AY22" t="s">
        <v>5223</v>
      </c>
      <c r="AZ22" t="s">
        <v>3225</v>
      </c>
      <c r="BA22">
        <v>0</v>
      </c>
      <c r="BB22">
        <v>4</v>
      </c>
      <c r="BC22">
        <v>0</v>
      </c>
      <c r="BD22">
        <v>0</v>
      </c>
      <c r="BE22">
        <v>0</v>
      </c>
      <c r="BF22">
        <v>0</v>
      </c>
      <c r="BG22" t="s">
        <v>5064</v>
      </c>
      <c r="BH22" t="s">
        <v>5060</v>
      </c>
      <c r="BI22" s="26">
        <v>45191</v>
      </c>
      <c r="BJ22" t="s">
        <v>5070</v>
      </c>
      <c r="BK22">
        <v>50220954700012</v>
      </c>
      <c r="BL22" t="s">
        <v>5228</v>
      </c>
      <c r="BO22" t="s">
        <v>5065</v>
      </c>
    </row>
    <row r="23" spans="1:67" x14ac:dyDescent="0.25">
      <c r="A23" t="str">
        <f t="shared" si="0"/>
        <v>9055 - A.S. THIERRY PONTAINE DE BILLARD</v>
      </c>
      <c r="B23">
        <v>9055</v>
      </c>
      <c r="C23">
        <v>11</v>
      </c>
      <c r="D23">
        <v>77</v>
      </c>
      <c r="E23">
        <v>55</v>
      </c>
      <c r="F23" t="s">
        <v>341</v>
      </c>
      <c r="G23" s="26">
        <v>45182</v>
      </c>
      <c r="H23" t="s">
        <v>5229</v>
      </c>
      <c r="K23">
        <v>77310</v>
      </c>
      <c r="L23" t="s">
        <v>5230</v>
      </c>
      <c r="M23">
        <v>160656139</v>
      </c>
      <c r="N23" t="s">
        <v>5231</v>
      </c>
      <c r="P23" t="s">
        <v>5060</v>
      </c>
      <c r="Q23" t="s">
        <v>3278</v>
      </c>
      <c r="R23" t="s">
        <v>5232</v>
      </c>
      <c r="S23" t="s">
        <v>3281</v>
      </c>
      <c r="T23" t="s">
        <v>1018</v>
      </c>
      <c r="U23" t="s">
        <v>5233</v>
      </c>
      <c r="V23" t="s">
        <v>1023</v>
      </c>
      <c r="W23" t="s">
        <v>340</v>
      </c>
      <c r="X23" t="s">
        <v>5234</v>
      </c>
      <c r="Y23" t="s">
        <v>5235</v>
      </c>
      <c r="AC23" t="s">
        <v>340</v>
      </c>
      <c r="AD23" t="s">
        <v>5234</v>
      </c>
      <c r="AE23" t="s">
        <v>5231</v>
      </c>
      <c r="AL23" t="s">
        <v>340</v>
      </c>
      <c r="AM23" t="s">
        <v>5234</v>
      </c>
      <c r="AN23" t="s">
        <v>5231</v>
      </c>
      <c r="BA23">
        <v>0</v>
      </c>
      <c r="BB23">
        <v>4</v>
      </c>
      <c r="BC23">
        <v>0</v>
      </c>
      <c r="BD23">
        <v>0</v>
      </c>
      <c r="BE23">
        <v>0</v>
      </c>
      <c r="BF23">
        <v>0</v>
      </c>
      <c r="BG23" t="s">
        <v>5064</v>
      </c>
      <c r="BH23" t="s">
        <v>5065</v>
      </c>
      <c r="BI23" s="26">
        <v>45206</v>
      </c>
      <c r="BJ23" t="s">
        <v>5236</v>
      </c>
      <c r="BO23" t="s">
        <v>5065</v>
      </c>
    </row>
    <row r="24" spans="1:67" x14ac:dyDescent="0.25">
      <c r="A24" t="str">
        <f t="shared" si="0"/>
        <v>9056 - AC.ROYALE DE BILLARD DE VERSAILLES</v>
      </c>
      <c r="B24">
        <v>9056</v>
      </c>
      <c r="C24">
        <v>11</v>
      </c>
      <c r="D24">
        <v>78</v>
      </c>
      <c r="E24">
        <v>56</v>
      </c>
      <c r="F24" t="s">
        <v>214</v>
      </c>
      <c r="G24" s="26">
        <v>45163</v>
      </c>
      <c r="H24" t="s">
        <v>5237</v>
      </c>
      <c r="K24">
        <v>78000</v>
      </c>
      <c r="L24" t="s">
        <v>1334</v>
      </c>
      <c r="M24" t="s">
        <v>5238</v>
      </c>
      <c r="N24" t="s">
        <v>5239</v>
      </c>
      <c r="O24" t="s">
        <v>5240</v>
      </c>
      <c r="P24" t="s">
        <v>5060</v>
      </c>
      <c r="Q24" t="s">
        <v>2385</v>
      </c>
      <c r="R24" t="s">
        <v>5241</v>
      </c>
      <c r="S24" t="s">
        <v>2388</v>
      </c>
      <c r="T24" t="s">
        <v>3230</v>
      </c>
      <c r="U24" t="s">
        <v>5242</v>
      </c>
      <c r="V24" t="s">
        <v>3233</v>
      </c>
      <c r="W24" t="s">
        <v>2977</v>
      </c>
      <c r="X24" t="s">
        <v>5243</v>
      </c>
      <c r="Y24" t="s">
        <v>2981</v>
      </c>
      <c r="Z24" t="s">
        <v>3230</v>
      </c>
      <c r="AA24" t="s">
        <v>5242</v>
      </c>
      <c r="AB24" t="s">
        <v>3233</v>
      </c>
      <c r="AF24" t="s">
        <v>998</v>
      </c>
      <c r="AG24" t="s">
        <v>5244</v>
      </c>
      <c r="AH24" t="s">
        <v>999</v>
      </c>
      <c r="AI24" t="s">
        <v>3373</v>
      </c>
      <c r="AJ24" t="s">
        <v>5245</v>
      </c>
      <c r="AK24" t="s">
        <v>3374</v>
      </c>
      <c r="AL24" t="s">
        <v>3395</v>
      </c>
      <c r="AM24" t="s">
        <v>5246</v>
      </c>
      <c r="AN24" t="s">
        <v>3398</v>
      </c>
      <c r="BA24">
        <v>2</v>
      </c>
      <c r="BB24">
        <v>4</v>
      </c>
      <c r="BC24">
        <v>0</v>
      </c>
      <c r="BD24">
        <v>0</v>
      </c>
      <c r="BE24">
        <v>0</v>
      </c>
      <c r="BF24">
        <v>0</v>
      </c>
      <c r="BG24" t="s">
        <v>5064</v>
      </c>
      <c r="BH24" t="s">
        <v>5060</v>
      </c>
      <c r="BJ24" t="s">
        <v>5247</v>
      </c>
      <c r="BK24">
        <v>38429277700016</v>
      </c>
      <c r="BL24" t="s">
        <v>5248</v>
      </c>
      <c r="BO24" t="s">
        <v>5065</v>
      </c>
    </row>
    <row r="25" spans="1:67" x14ac:dyDescent="0.25">
      <c r="A25" t="str">
        <f t="shared" si="0"/>
        <v>9059 - A. B. OZOIR LA FERRIERE</v>
      </c>
      <c r="B25">
        <v>9059</v>
      </c>
      <c r="C25">
        <v>11</v>
      </c>
      <c r="D25">
        <v>77</v>
      </c>
      <c r="E25">
        <v>59</v>
      </c>
      <c r="F25" t="s">
        <v>197</v>
      </c>
      <c r="G25" s="26">
        <v>45163</v>
      </c>
      <c r="H25" t="s">
        <v>5249</v>
      </c>
      <c r="K25">
        <v>77330</v>
      </c>
      <c r="L25" t="s">
        <v>209</v>
      </c>
      <c r="M25">
        <v>160624679</v>
      </c>
      <c r="N25" t="s">
        <v>5250</v>
      </c>
      <c r="P25" t="s">
        <v>5060</v>
      </c>
      <c r="Q25" t="s">
        <v>471</v>
      </c>
      <c r="R25" t="s">
        <v>5251</v>
      </c>
      <c r="S25" t="s">
        <v>474</v>
      </c>
      <c r="T25" t="s">
        <v>2230</v>
      </c>
      <c r="U25" t="s">
        <v>5252</v>
      </c>
      <c r="V25" t="s">
        <v>2233</v>
      </c>
      <c r="W25" t="s">
        <v>206</v>
      </c>
      <c r="X25" t="s">
        <v>5253</v>
      </c>
      <c r="Y25" t="s">
        <v>210</v>
      </c>
      <c r="Z25" t="s">
        <v>206</v>
      </c>
      <c r="AA25" t="s">
        <v>5253</v>
      </c>
      <c r="AB25" t="s">
        <v>210</v>
      </c>
      <c r="AC25" t="s">
        <v>206</v>
      </c>
      <c r="AD25" t="s">
        <v>5253</v>
      </c>
      <c r="AE25" t="s">
        <v>210</v>
      </c>
      <c r="AF25" t="s">
        <v>471</v>
      </c>
      <c r="AG25" t="s">
        <v>5251</v>
      </c>
      <c r="AH25" t="s">
        <v>474</v>
      </c>
      <c r="AI25" t="s">
        <v>1577</v>
      </c>
      <c r="AJ25" t="s">
        <v>5254</v>
      </c>
      <c r="AK25" t="s">
        <v>1581</v>
      </c>
      <c r="AL25" t="s">
        <v>1098</v>
      </c>
      <c r="AM25" t="s">
        <v>5255</v>
      </c>
      <c r="AN25" t="s">
        <v>1103</v>
      </c>
      <c r="BA25">
        <v>2</v>
      </c>
      <c r="BB25">
        <v>4</v>
      </c>
      <c r="BC25">
        <v>0</v>
      </c>
      <c r="BD25">
        <v>0</v>
      </c>
      <c r="BE25">
        <v>0</v>
      </c>
      <c r="BF25">
        <v>0</v>
      </c>
      <c r="BG25" t="s">
        <v>5064</v>
      </c>
      <c r="BH25" t="s">
        <v>5060</v>
      </c>
      <c r="BJ25" t="s">
        <v>5256</v>
      </c>
      <c r="BO25" t="s">
        <v>5065</v>
      </c>
    </row>
    <row r="26" spans="1:67" x14ac:dyDescent="0.25">
      <c r="A26" t="str">
        <f t="shared" si="0"/>
        <v>9060 - BILLARD CLUB DE LIVRY GARGAN</v>
      </c>
      <c r="B26">
        <v>9060</v>
      </c>
      <c r="C26">
        <v>11</v>
      </c>
      <c r="D26">
        <v>93</v>
      </c>
      <c r="E26">
        <v>60</v>
      </c>
      <c r="F26" t="s">
        <v>203</v>
      </c>
      <c r="G26" s="26">
        <v>45173</v>
      </c>
      <c r="H26" t="s">
        <v>5257</v>
      </c>
      <c r="K26">
        <v>93190</v>
      </c>
      <c r="L26" t="s">
        <v>205</v>
      </c>
      <c r="M26">
        <v>143328969</v>
      </c>
      <c r="N26" t="s">
        <v>5258</v>
      </c>
      <c r="P26" t="s">
        <v>5060</v>
      </c>
      <c r="Q26" t="s">
        <v>1329</v>
      </c>
      <c r="R26" t="s">
        <v>5259</v>
      </c>
      <c r="S26" t="s">
        <v>1333</v>
      </c>
      <c r="T26" t="s">
        <v>2804</v>
      </c>
      <c r="U26" t="s">
        <v>5260</v>
      </c>
      <c r="V26" t="s">
        <v>2807</v>
      </c>
      <c r="W26" t="s">
        <v>1940</v>
      </c>
      <c r="X26" t="s">
        <v>5261</v>
      </c>
      <c r="Y26" t="s">
        <v>1943</v>
      </c>
      <c r="Z26" t="s">
        <v>1329</v>
      </c>
      <c r="AA26" t="s">
        <v>5259</v>
      </c>
      <c r="AB26" t="s">
        <v>1333</v>
      </c>
      <c r="AC26" t="s">
        <v>1329</v>
      </c>
      <c r="AD26" t="s">
        <v>5259</v>
      </c>
      <c r="AE26" t="s">
        <v>1333</v>
      </c>
      <c r="AF26" t="s">
        <v>1329</v>
      </c>
      <c r="AG26" t="s">
        <v>5259</v>
      </c>
      <c r="AH26" t="s">
        <v>1333</v>
      </c>
      <c r="AI26" t="s">
        <v>2948</v>
      </c>
      <c r="AJ26" t="s">
        <v>5262</v>
      </c>
      <c r="AK26" t="s">
        <v>2952</v>
      </c>
      <c r="AL26" t="s">
        <v>2948</v>
      </c>
      <c r="AM26" t="s">
        <v>5262</v>
      </c>
      <c r="AN26" t="s">
        <v>2952</v>
      </c>
      <c r="BA26">
        <v>2</v>
      </c>
      <c r="BB26">
        <v>5</v>
      </c>
      <c r="BC26">
        <v>1</v>
      </c>
      <c r="BD26">
        <v>1</v>
      </c>
      <c r="BE26">
        <v>0</v>
      </c>
      <c r="BF26">
        <v>1</v>
      </c>
      <c r="BG26" t="s">
        <v>5064</v>
      </c>
      <c r="BH26" t="s">
        <v>5060</v>
      </c>
      <c r="BI26" s="26">
        <v>45206</v>
      </c>
      <c r="BJ26" t="s">
        <v>5263</v>
      </c>
      <c r="BO26" t="s">
        <v>5065</v>
      </c>
    </row>
    <row r="27" spans="1:67" x14ac:dyDescent="0.25">
      <c r="A27" t="str">
        <f t="shared" si="0"/>
        <v>9061 - ACADEMIE DE BILLARD DE MARINES</v>
      </c>
      <c r="B27">
        <v>9061</v>
      </c>
      <c r="C27">
        <v>11</v>
      </c>
      <c r="D27">
        <v>95</v>
      </c>
      <c r="E27">
        <v>61</v>
      </c>
      <c r="F27" t="s">
        <v>360</v>
      </c>
      <c r="G27" s="26">
        <v>45166</v>
      </c>
      <c r="H27" t="s">
        <v>5264</v>
      </c>
      <c r="K27">
        <v>95640</v>
      </c>
      <c r="L27" t="s">
        <v>2901</v>
      </c>
      <c r="M27">
        <v>130399357</v>
      </c>
      <c r="N27" t="s">
        <v>2500</v>
      </c>
      <c r="P27" t="s">
        <v>5060</v>
      </c>
      <c r="Q27" t="s">
        <v>589</v>
      </c>
      <c r="R27" t="s">
        <v>5265</v>
      </c>
      <c r="S27" t="s">
        <v>592</v>
      </c>
      <c r="T27" t="s">
        <v>692</v>
      </c>
      <c r="U27" t="s">
        <v>5266</v>
      </c>
      <c r="V27" t="s">
        <v>695</v>
      </c>
      <c r="W27" t="s">
        <v>2111</v>
      </c>
      <c r="X27" t="s">
        <v>5267</v>
      </c>
      <c r="Z27" t="s">
        <v>589</v>
      </c>
      <c r="AA27" t="s">
        <v>5265</v>
      </c>
      <c r="AB27" t="s">
        <v>592</v>
      </c>
      <c r="AC27" t="s">
        <v>589</v>
      </c>
      <c r="AD27" t="s">
        <v>5265</v>
      </c>
      <c r="AE27" t="s">
        <v>592</v>
      </c>
      <c r="AL27" t="s">
        <v>692</v>
      </c>
      <c r="AM27" t="s">
        <v>5266</v>
      </c>
      <c r="AN27" t="s">
        <v>695</v>
      </c>
      <c r="BA27">
        <v>2</v>
      </c>
      <c r="BB27">
        <v>4</v>
      </c>
      <c r="BC27">
        <v>0</v>
      </c>
      <c r="BD27">
        <v>0</v>
      </c>
      <c r="BE27">
        <v>0</v>
      </c>
      <c r="BF27">
        <v>0</v>
      </c>
      <c r="BG27" t="s">
        <v>5064</v>
      </c>
      <c r="BH27" t="s">
        <v>5060</v>
      </c>
      <c r="BI27" s="26">
        <v>44813</v>
      </c>
      <c r="BJ27" t="s">
        <v>5268</v>
      </c>
      <c r="BO27" t="s">
        <v>5060</v>
      </c>
    </row>
    <row r="28" spans="1:67" x14ac:dyDescent="0.25">
      <c r="A28" t="str">
        <f t="shared" si="0"/>
        <v>9064 - ENTENTE SPORTIVE DE MASSY</v>
      </c>
      <c r="B28">
        <v>9064</v>
      </c>
      <c r="C28">
        <v>11</v>
      </c>
      <c r="D28">
        <v>91</v>
      </c>
      <c r="E28">
        <v>64</v>
      </c>
      <c r="F28" t="s">
        <v>266</v>
      </c>
      <c r="G28" s="26">
        <v>45187</v>
      </c>
      <c r="H28" t="s">
        <v>5269</v>
      </c>
      <c r="I28" t="s">
        <v>5270</v>
      </c>
      <c r="K28">
        <v>91300</v>
      </c>
      <c r="L28" t="s">
        <v>675</v>
      </c>
      <c r="N28" t="s">
        <v>5271</v>
      </c>
      <c r="O28" t="s">
        <v>5272</v>
      </c>
      <c r="P28" t="s">
        <v>5060</v>
      </c>
      <c r="Q28" t="s">
        <v>530</v>
      </c>
      <c r="R28" t="s">
        <v>5273</v>
      </c>
      <c r="S28" t="s">
        <v>534</v>
      </c>
      <c r="T28" t="s">
        <v>2592</v>
      </c>
      <c r="U28" t="s">
        <v>5274</v>
      </c>
      <c r="V28" t="s">
        <v>2597</v>
      </c>
      <c r="W28" t="s">
        <v>673</v>
      </c>
      <c r="X28" t="s">
        <v>5275</v>
      </c>
      <c r="Y28" t="s">
        <v>676</v>
      </c>
      <c r="Z28" t="s">
        <v>2592</v>
      </c>
      <c r="AA28" t="s">
        <v>5274</v>
      </c>
      <c r="AB28" t="s">
        <v>2597</v>
      </c>
      <c r="AC28" t="s">
        <v>530</v>
      </c>
      <c r="AD28" t="s">
        <v>5273</v>
      </c>
      <c r="AE28" t="s">
        <v>534</v>
      </c>
      <c r="AF28" t="s">
        <v>530</v>
      </c>
      <c r="AG28" t="s">
        <v>5273</v>
      </c>
      <c r="AH28" t="s">
        <v>534</v>
      </c>
      <c r="AI28" t="s">
        <v>2273</v>
      </c>
      <c r="AJ28" t="s">
        <v>5276</v>
      </c>
      <c r="AK28" t="s">
        <v>2277</v>
      </c>
      <c r="AL28" t="s">
        <v>2273</v>
      </c>
      <c r="AM28" t="s">
        <v>5276</v>
      </c>
      <c r="AN28" t="s">
        <v>2277</v>
      </c>
      <c r="BA28">
        <v>1</v>
      </c>
      <c r="BB28">
        <v>4</v>
      </c>
      <c r="BC28">
        <v>0</v>
      </c>
      <c r="BD28">
        <v>0</v>
      </c>
      <c r="BE28">
        <v>0</v>
      </c>
      <c r="BF28">
        <v>0</v>
      </c>
      <c r="BG28" t="s">
        <v>5064</v>
      </c>
      <c r="BH28" t="s">
        <v>5060</v>
      </c>
      <c r="BI28" s="26">
        <v>45210</v>
      </c>
      <c r="BM28" t="s">
        <v>5277</v>
      </c>
      <c r="BO28" t="s">
        <v>5065</v>
      </c>
    </row>
    <row r="29" spans="1:67" x14ac:dyDescent="0.25">
      <c r="A29" t="str">
        <f t="shared" si="0"/>
        <v>9065 - BILLARDS PASSION</v>
      </c>
      <c r="B29">
        <v>9065</v>
      </c>
      <c r="C29">
        <v>11</v>
      </c>
      <c r="D29">
        <v>92</v>
      </c>
      <c r="E29">
        <v>65</v>
      </c>
      <c r="F29" t="s">
        <v>426</v>
      </c>
      <c r="G29" s="26">
        <v>45165</v>
      </c>
      <c r="H29" t="s">
        <v>5278</v>
      </c>
      <c r="K29">
        <v>92160</v>
      </c>
      <c r="L29" t="s">
        <v>320</v>
      </c>
      <c r="N29" t="s">
        <v>1765</v>
      </c>
      <c r="O29" t="s">
        <v>5279</v>
      </c>
      <c r="P29" t="s">
        <v>5060</v>
      </c>
      <c r="Q29" t="s">
        <v>1761</v>
      </c>
      <c r="R29" t="s">
        <v>5280</v>
      </c>
      <c r="S29" t="s">
        <v>1765</v>
      </c>
      <c r="T29" t="s">
        <v>1276</v>
      </c>
      <c r="U29" t="s">
        <v>5281</v>
      </c>
      <c r="V29" t="s">
        <v>1280</v>
      </c>
      <c r="W29" t="s">
        <v>1755</v>
      </c>
      <c r="X29" t="s">
        <v>5282</v>
      </c>
      <c r="Y29" t="s">
        <v>1760</v>
      </c>
      <c r="Z29" t="s">
        <v>1761</v>
      </c>
      <c r="AA29" t="s">
        <v>5280</v>
      </c>
      <c r="AB29" t="s">
        <v>1765</v>
      </c>
      <c r="AC29" t="s">
        <v>1761</v>
      </c>
      <c r="AD29" t="s">
        <v>5280</v>
      </c>
      <c r="AE29" t="s">
        <v>1765</v>
      </c>
      <c r="BA29">
        <v>0</v>
      </c>
      <c r="BB29">
        <v>0</v>
      </c>
      <c r="BC29">
        <v>0</v>
      </c>
      <c r="BD29">
        <v>10</v>
      </c>
      <c r="BE29">
        <v>0</v>
      </c>
      <c r="BF29">
        <v>9</v>
      </c>
      <c r="BG29" t="s">
        <v>5208</v>
      </c>
      <c r="BH29" t="s">
        <v>5065</v>
      </c>
      <c r="BM29">
        <v>614451804</v>
      </c>
      <c r="BO29" t="s">
        <v>5065</v>
      </c>
    </row>
    <row r="30" spans="1:67" x14ac:dyDescent="0.25">
      <c r="A30" t="str">
        <f t="shared" si="0"/>
        <v>9068 - S.C.M.C BILLARD CLUB</v>
      </c>
      <c r="B30">
        <v>9068</v>
      </c>
      <c r="C30">
        <v>11</v>
      </c>
      <c r="D30">
        <v>92</v>
      </c>
      <c r="E30">
        <v>68</v>
      </c>
      <c r="F30" t="s">
        <v>119</v>
      </c>
      <c r="G30" s="26">
        <v>45170</v>
      </c>
      <c r="H30" t="s">
        <v>5283</v>
      </c>
      <c r="I30" t="s">
        <v>5284</v>
      </c>
      <c r="K30">
        <v>92320</v>
      </c>
      <c r="L30" t="s">
        <v>228</v>
      </c>
      <c r="M30">
        <v>953054780</v>
      </c>
      <c r="N30" t="s">
        <v>5285</v>
      </c>
      <c r="O30" t="s">
        <v>5286</v>
      </c>
      <c r="P30" t="s">
        <v>5060</v>
      </c>
      <c r="Q30" t="s">
        <v>781</v>
      </c>
      <c r="R30" t="s">
        <v>5287</v>
      </c>
      <c r="S30" t="s">
        <v>786</v>
      </c>
      <c r="T30" t="s">
        <v>1927</v>
      </c>
      <c r="U30" t="s">
        <v>5288</v>
      </c>
      <c r="V30" t="s">
        <v>1930</v>
      </c>
      <c r="W30" t="s">
        <v>5289</v>
      </c>
      <c r="X30" t="s">
        <v>5290</v>
      </c>
      <c r="Y30" t="s">
        <v>5291</v>
      </c>
      <c r="AC30" t="s">
        <v>1090</v>
      </c>
      <c r="AD30" t="s">
        <v>5292</v>
      </c>
      <c r="AE30" t="s">
        <v>1092</v>
      </c>
      <c r="AL30" t="s">
        <v>3027</v>
      </c>
      <c r="AM30" t="s">
        <v>5293</v>
      </c>
      <c r="AN30" t="s">
        <v>3031</v>
      </c>
      <c r="BA30">
        <v>4</v>
      </c>
      <c r="BB30">
        <v>7</v>
      </c>
      <c r="BC30">
        <v>0</v>
      </c>
      <c r="BD30">
        <v>2</v>
      </c>
      <c r="BE30">
        <v>0</v>
      </c>
      <c r="BG30" t="s">
        <v>5064</v>
      </c>
      <c r="BH30" t="s">
        <v>5060</v>
      </c>
      <c r="BJ30" t="s">
        <v>5294</v>
      </c>
      <c r="BK30">
        <v>78531701700016</v>
      </c>
      <c r="BL30" t="s">
        <v>5295</v>
      </c>
      <c r="BO30" t="s">
        <v>5065</v>
      </c>
    </row>
    <row r="31" spans="1:67" x14ac:dyDescent="0.25">
      <c r="A31" t="str">
        <f t="shared" si="0"/>
        <v>9069 - BILLARD CLUB FRANCONVILLE</v>
      </c>
      <c r="B31">
        <v>9069</v>
      </c>
      <c r="C31">
        <v>11</v>
      </c>
      <c r="D31">
        <v>95</v>
      </c>
      <c r="E31">
        <v>69</v>
      </c>
      <c r="F31" t="s">
        <v>129</v>
      </c>
      <c r="G31" s="26">
        <v>45162</v>
      </c>
      <c r="H31" t="s">
        <v>5296</v>
      </c>
      <c r="I31" t="s">
        <v>5297</v>
      </c>
      <c r="K31">
        <v>95130</v>
      </c>
      <c r="L31" t="s">
        <v>878</v>
      </c>
      <c r="M31">
        <v>130729067</v>
      </c>
      <c r="N31" t="s">
        <v>5298</v>
      </c>
      <c r="O31" t="s">
        <v>5299</v>
      </c>
      <c r="P31" t="s">
        <v>5060</v>
      </c>
      <c r="Q31" t="s">
        <v>2075</v>
      </c>
      <c r="R31" t="s">
        <v>5300</v>
      </c>
      <c r="S31" t="s">
        <v>2078</v>
      </c>
      <c r="T31" t="s">
        <v>3672</v>
      </c>
      <c r="U31" t="s">
        <v>5301</v>
      </c>
      <c r="V31" t="s">
        <v>3673</v>
      </c>
      <c r="W31" t="s">
        <v>128</v>
      </c>
      <c r="X31" t="s">
        <v>5302</v>
      </c>
      <c r="Y31" t="s">
        <v>133</v>
      </c>
      <c r="Z31" t="s">
        <v>2075</v>
      </c>
      <c r="AA31" t="s">
        <v>5300</v>
      </c>
      <c r="AB31" t="s">
        <v>2078</v>
      </c>
      <c r="AC31" t="s">
        <v>2075</v>
      </c>
      <c r="AD31" t="s">
        <v>5300</v>
      </c>
      <c r="AE31" t="s">
        <v>2078</v>
      </c>
      <c r="AF31" t="s">
        <v>2075</v>
      </c>
      <c r="AG31" t="s">
        <v>5300</v>
      </c>
      <c r="AH31" t="s">
        <v>2078</v>
      </c>
      <c r="AI31" t="s">
        <v>2727</v>
      </c>
      <c r="AJ31" t="s">
        <v>5303</v>
      </c>
      <c r="AK31" t="s">
        <v>2731</v>
      </c>
      <c r="AL31" t="s">
        <v>128</v>
      </c>
      <c r="AM31" t="s">
        <v>5302</v>
      </c>
      <c r="AN31" t="s">
        <v>133</v>
      </c>
      <c r="AO31" t="s">
        <v>4068</v>
      </c>
      <c r="AP31" t="s">
        <v>5304</v>
      </c>
      <c r="AQ31" t="s">
        <v>4071</v>
      </c>
      <c r="AX31" t="s">
        <v>3061</v>
      </c>
      <c r="AY31" t="s">
        <v>5305</v>
      </c>
      <c r="AZ31" t="s">
        <v>3064</v>
      </c>
      <c r="BA31">
        <v>2</v>
      </c>
      <c r="BB31">
        <v>8</v>
      </c>
      <c r="BC31">
        <v>0</v>
      </c>
      <c r="BD31">
        <v>0</v>
      </c>
      <c r="BE31">
        <v>0</v>
      </c>
      <c r="BF31">
        <v>2</v>
      </c>
      <c r="BG31" t="s">
        <v>5064</v>
      </c>
      <c r="BH31" t="s">
        <v>5065</v>
      </c>
      <c r="BJ31" t="s">
        <v>5306</v>
      </c>
      <c r="BO31" t="s">
        <v>5065</v>
      </c>
    </row>
    <row r="32" spans="1:67" x14ac:dyDescent="0.25">
      <c r="A32" t="str">
        <f t="shared" si="0"/>
        <v>9070 - BILLARD CLUB PARISIEN</v>
      </c>
      <c r="B32">
        <v>9070</v>
      </c>
      <c r="C32">
        <v>11</v>
      </c>
      <c r="D32">
        <v>75</v>
      </c>
      <c r="E32">
        <v>70</v>
      </c>
      <c r="F32" t="s">
        <v>168</v>
      </c>
      <c r="G32" s="26">
        <v>45160</v>
      </c>
      <c r="H32" t="s">
        <v>5307</v>
      </c>
      <c r="I32" t="s">
        <v>5308</v>
      </c>
      <c r="K32">
        <v>75001</v>
      </c>
      <c r="L32" t="s">
        <v>330</v>
      </c>
      <c r="N32" t="s">
        <v>5309</v>
      </c>
      <c r="P32" t="s">
        <v>5060</v>
      </c>
      <c r="Q32" t="s">
        <v>167</v>
      </c>
      <c r="R32" t="s">
        <v>5310</v>
      </c>
      <c r="S32" t="s">
        <v>173</v>
      </c>
      <c r="T32" t="s">
        <v>3209</v>
      </c>
      <c r="U32" t="s">
        <v>5311</v>
      </c>
      <c r="V32" t="s">
        <v>3212</v>
      </c>
      <c r="W32" t="s">
        <v>2234</v>
      </c>
      <c r="X32" t="s">
        <v>5312</v>
      </c>
      <c r="Y32" t="s">
        <v>2237</v>
      </c>
      <c r="Z32" t="s">
        <v>1479</v>
      </c>
      <c r="AA32" t="s">
        <v>5313</v>
      </c>
      <c r="AB32" t="s">
        <v>1484</v>
      </c>
      <c r="AC32" t="s">
        <v>1479</v>
      </c>
      <c r="AD32" t="s">
        <v>5313</v>
      </c>
      <c r="AE32" t="s">
        <v>1484</v>
      </c>
      <c r="AF32" t="s">
        <v>954</v>
      </c>
      <c r="AG32" t="s">
        <v>5314</v>
      </c>
      <c r="AH32" t="s">
        <v>960</v>
      </c>
      <c r="AO32" t="s">
        <v>3155</v>
      </c>
      <c r="AP32" t="s">
        <v>5315</v>
      </c>
      <c r="AQ32" t="s">
        <v>3159</v>
      </c>
      <c r="BA32">
        <v>0</v>
      </c>
      <c r="BB32">
        <v>0</v>
      </c>
      <c r="BC32">
        <v>0</v>
      </c>
      <c r="BD32">
        <v>0</v>
      </c>
      <c r="BE32">
        <v>0</v>
      </c>
      <c r="BF32">
        <v>10</v>
      </c>
      <c r="BG32" t="s">
        <v>5064</v>
      </c>
      <c r="BH32" t="s">
        <v>5060</v>
      </c>
      <c r="BJ32" t="s">
        <v>5316</v>
      </c>
      <c r="BM32">
        <v>664002713</v>
      </c>
      <c r="BO32" t="s">
        <v>5065</v>
      </c>
    </row>
    <row r="33" spans="1:67" x14ac:dyDescent="0.25">
      <c r="A33" t="str">
        <f t="shared" si="0"/>
        <v>9077 - BILLARD ACADEMIE DE COULOMMIERS</v>
      </c>
      <c r="B33">
        <v>9077</v>
      </c>
      <c r="C33">
        <v>11</v>
      </c>
      <c r="D33">
        <v>77</v>
      </c>
      <c r="E33">
        <v>77</v>
      </c>
      <c r="F33" t="s">
        <v>90</v>
      </c>
      <c r="G33" s="26">
        <v>45170</v>
      </c>
      <c r="H33" t="s">
        <v>5317</v>
      </c>
      <c r="K33">
        <v>77120</v>
      </c>
      <c r="L33" t="s">
        <v>1954</v>
      </c>
      <c r="M33">
        <v>164046206</v>
      </c>
      <c r="N33" t="s">
        <v>4482</v>
      </c>
      <c r="P33" t="s">
        <v>5060</v>
      </c>
      <c r="Q33" t="s">
        <v>1956</v>
      </c>
      <c r="R33" t="s">
        <v>5318</v>
      </c>
      <c r="S33" t="s">
        <v>1960</v>
      </c>
      <c r="T33" t="s">
        <v>640</v>
      </c>
      <c r="U33" t="s">
        <v>5319</v>
      </c>
      <c r="V33" t="s">
        <v>5320</v>
      </c>
      <c r="W33" t="s">
        <v>89</v>
      </c>
      <c r="X33" t="s">
        <v>5321</v>
      </c>
      <c r="Y33" t="s">
        <v>95</v>
      </c>
      <c r="Z33" t="s">
        <v>1956</v>
      </c>
      <c r="AA33" t="s">
        <v>5318</v>
      </c>
      <c r="AB33" t="s">
        <v>1960</v>
      </c>
      <c r="AL33" t="s">
        <v>640</v>
      </c>
      <c r="AM33" t="s">
        <v>5319</v>
      </c>
      <c r="AN33" t="s">
        <v>5320</v>
      </c>
      <c r="BA33">
        <v>1</v>
      </c>
      <c r="BB33">
        <v>5</v>
      </c>
      <c r="BC33">
        <v>0</v>
      </c>
      <c r="BD33">
        <v>0</v>
      </c>
      <c r="BE33">
        <v>0</v>
      </c>
      <c r="BF33">
        <v>0</v>
      </c>
      <c r="BG33" t="s">
        <v>5217</v>
      </c>
      <c r="BH33" t="s">
        <v>5060</v>
      </c>
      <c r="BI33" s="26">
        <v>45177</v>
      </c>
      <c r="BM33">
        <v>677037246</v>
      </c>
      <c r="BO33" t="s">
        <v>5065</v>
      </c>
    </row>
    <row r="34" spans="1:67" x14ac:dyDescent="0.25">
      <c r="A34" t="str">
        <f t="shared" si="0"/>
        <v>9082 - BILLARD CLUB DRAVEIL</v>
      </c>
      <c r="B34">
        <v>9082</v>
      </c>
      <c r="C34">
        <v>11</v>
      </c>
      <c r="D34">
        <v>91</v>
      </c>
      <c r="E34">
        <v>82</v>
      </c>
      <c r="F34" t="s">
        <v>67</v>
      </c>
      <c r="G34" s="26">
        <v>45170</v>
      </c>
      <c r="H34" t="s">
        <v>5322</v>
      </c>
      <c r="I34" t="s">
        <v>5323</v>
      </c>
      <c r="K34">
        <v>91210</v>
      </c>
      <c r="L34" t="s">
        <v>226</v>
      </c>
      <c r="M34" t="s">
        <v>5324</v>
      </c>
      <c r="N34" t="s">
        <v>1403</v>
      </c>
      <c r="O34" t="s">
        <v>5325</v>
      </c>
      <c r="P34" t="s">
        <v>5060</v>
      </c>
      <c r="Q34" t="s">
        <v>2330</v>
      </c>
      <c r="R34" t="s">
        <v>5326</v>
      </c>
      <c r="S34" t="s">
        <v>1403</v>
      </c>
      <c r="T34" t="s">
        <v>4228</v>
      </c>
      <c r="U34" t="s">
        <v>5327</v>
      </c>
      <c r="V34" t="s">
        <v>4231</v>
      </c>
      <c r="W34" t="s">
        <v>3304</v>
      </c>
      <c r="X34" t="s">
        <v>5328</v>
      </c>
      <c r="Y34" t="s">
        <v>3307</v>
      </c>
      <c r="Z34" t="s">
        <v>3304</v>
      </c>
      <c r="AA34" t="s">
        <v>5328</v>
      </c>
      <c r="AB34" t="s">
        <v>1403</v>
      </c>
      <c r="AC34" t="s">
        <v>2330</v>
      </c>
      <c r="AD34" t="s">
        <v>5326</v>
      </c>
      <c r="AE34" t="s">
        <v>2333</v>
      </c>
      <c r="AF34" t="s">
        <v>2330</v>
      </c>
      <c r="AG34" t="s">
        <v>5326</v>
      </c>
      <c r="AH34" t="s">
        <v>2333</v>
      </c>
      <c r="AI34" t="s">
        <v>2330</v>
      </c>
      <c r="AJ34" t="s">
        <v>5326</v>
      </c>
      <c r="AK34" t="s">
        <v>2333</v>
      </c>
      <c r="AL34" t="s">
        <v>2330</v>
      </c>
      <c r="AM34" t="s">
        <v>5326</v>
      </c>
      <c r="AN34" t="s">
        <v>2333</v>
      </c>
      <c r="AR34" t="s">
        <v>2330</v>
      </c>
      <c r="AS34" t="s">
        <v>5326</v>
      </c>
      <c r="AT34" t="s">
        <v>2333</v>
      </c>
      <c r="BA34">
        <v>1</v>
      </c>
      <c r="BB34">
        <v>4</v>
      </c>
      <c r="BC34">
        <v>0</v>
      </c>
      <c r="BD34">
        <v>1</v>
      </c>
      <c r="BE34">
        <v>0</v>
      </c>
      <c r="BF34">
        <v>0</v>
      </c>
      <c r="BG34" t="s">
        <v>5064</v>
      </c>
      <c r="BH34" t="s">
        <v>5065</v>
      </c>
      <c r="BI34" s="26">
        <v>45176</v>
      </c>
      <c r="BJ34" t="s">
        <v>5329</v>
      </c>
      <c r="BM34" t="s">
        <v>5324</v>
      </c>
      <c r="BO34" t="s">
        <v>5065</v>
      </c>
    </row>
    <row r="35" spans="1:67" x14ac:dyDescent="0.25">
      <c r="A35" t="str">
        <f t="shared" si="0"/>
        <v>9084 - BIILLARD CLUB DE VERNOUILLET</v>
      </c>
      <c r="B35">
        <v>9084</v>
      </c>
      <c r="C35">
        <v>11</v>
      </c>
      <c r="D35">
        <v>78</v>
      </c>
      <c r="E35">
        <v>84</v>
      </c>
      <c r="F35" t="s">
        <v>216</v>
      </c>
      <c r="G35" s="26">
        <v>45160</v>
      </c>
      <c r="H35" t="s">
        <v>5092</v>
      </c>
      <c r="I35" t="s">
        <v>5330</v>
      </c>
      <c r="K35">
        <v>78540</v>
      </c>
      <c r="L35" t="s">
        <v>1059</v>
      </c>
      <c r="M35">
        <v>139658560</v>
      </c>
      <c r="N35" t="s">
        <v>5331</v>
      </c>
      <c r="O35" t="s">
        <v>5332</v>
      </c>
      <c r="P35" t="s">
        <v>5060</v>
      </c>
      <c r="Q35" t="s">
        <v>545</v>
      </c>
      <c r="R35" t="s">
        <v>5333</v>
      </c>
      <c r="S35" t="s">
        <v>549</v>
      </c>
      <c r="T35" t="s">
        <v>3308</v>
      </c>
      <c r="U35" t="s">
        <v>5334</v>
      </c>
      <c r="V35" t="s">
        <v>3311</v>
      </c>
      <c r="W35" t="s">
        <v>2143</v>
      </c>
      <c r="X35" t="s">
        <v>5335</v>
      </c>
      <c r="Y35" t="s">
        <v>2146</v>
      </c>
      <c r="Z35" t="s">
        <v>545</v>
      </c>
      <c r="AA35" t="s">
        <v>5333</v>
      </c>
      <c r="AB35" t="s">
        <v>549</v>
      </c>
      <c r="AC35" t="s">
        <v>2143</v>
      </c>
      <c r="AD35" t="s">
        <v>5335</v>
      </c>
      <c r="AE35" t="s">
        <v>2146</v>
      </c>
      <c r="AF35" t="s">
        <v>3015</v>
      </c>
      <c r="AG35" t="s">
        <v>5336</v>
      </c>
      <c r="AH35" t="s">
        <v>3019</v>
      </c>
      <c r="AL35" t="s">
        <v>1207</v>
      </c>
      <c r="AM35" t="s">
        <v>5337</v>
      </c>
      <c r="AN35" t="s">
        <v>1208</v>
      </c>
      <c r="BA35">
        <v>1</v>
      </c>
      <c r="BB35">
        <v>4</v>
      </c>
      <c r="BC35">
        <v>0</v>
      </c>
      <c r="BD35">
        <v>0</v>
      </c>
      <c r="BE35">
        <v>0</v>
      </c>
      <c r="BF35">
        <v>0</v>
      </c>
      <c r="BG35" t="s">
        <v>5064</v>
      </c>
      <c r="BH35" t="s">
        <v>5065</v>
      </c>
      <c r="BI35" s="26">
        <v>45108</v>
      </c>
      <c r="BJ35" t="s">
        <v>5338</v>
      </c>
      <c r="BK35">
        <v>50938349300012</v>
      </c>
      <c r="BL35" t="s">
        <v>5339</v>
      </c>
      <c r="BO35" t="s">
        <v>5065</v>
      </c>
    </row>
    <row r="36" spans="1:67" x14ac:dyDescent="0.25">
      <c r="A36" t="str">
        <f t="shared" si="0"/>
        <v>9088 - BILLARD CLUB CLICHOIS</v>
      </c>
      <c r="B36">
        <v>9088</v>
      </c>
      <c r="C36">
        <v>11</v>
      </c>
      <c r="D36">
        <v>92</v>
      </c>
      <c r="E36">
        <v>88</v>
      </c>
      <c r="F36" t="s">
        <v>1</v>
      </c>
      <c r="G36" s="26">
        <v>45176</v>
      </c>
      <c r="H36" t="s">
        <v>5340</v>
      </c>
      <c r="K36">
        <v>92110</v>
      </c>
      <c r="L36" t="s">
        <v>4937</v>
      </c>
      <c r="M36">
        <v>147391364</v>
      </c>
      <c r="N36" t="s">
        <v>5341</v>
      </c>
      <c r="O36" t="s">
        <v>5342</v>
      </c>
      <c r="P36" t="s">
        <v>5060</v>
      </c>
      <c r="Q36" t="s">
        <v>148</v>
      </c>
      <c r="R36" t="s">
        <v>5343</v>
      </c>
      <c r="S36" t="s">
        <v>152</v>
      </c>
      <c r="T36" t="s">
        <v>4388</v>
      </c>
      <c r="U36" t="s">
        <v>5344</v>
      </c>
      <c r="V36" t="s">
        <v>4390</v>
      </c>
      <c r="W36" t="s">
        <v>313</v>
      </c>
      <c r="X36" t="s">
        <v>5345</v>
      </c>
      <c r="Y36" t="s">
        <v>316</v>
      </c>
      <c r="AL36" t="s">
        <v>773</v>
      </c>
      <c r="AM36" t="s">
        <v>5346</v>
      </c>
      <c r="AN36" t="s">
        <v>775</v>
      </c>
      <c r="BA36">
        <v>2</v>
      </c>
      <c r="BB36">
        <v>4</v>
      </c>
      <c r="BC36">
        <v>0</v>
      </c>
      <c r="BD36">
        <v>0</v>
      </c>
      <c r="BE36">
        <v>0</v>
      </c>
      <c r="BF36">
        <v>0</v>
      </c>
      <c r="BG36" t="s">
        <v>5064</v>
      </c>
      <c r="BH36" t="s">
        <v>5065</v>
      </c>
      <c r="BM36">
        <v>624743621</v>
      </c>
      <c r="BO36" t="s">
        <v>5065</v>
      </c>
    </row>
    <row r="37" spans="1:67" x14ac:dyDescent="0.25">
      <c r="A37" t="str">
        <f t="shared" si="0"/>
        <v>9095 - A.M.B. ARPAJON</v>
      </c>
      <c r="B37">
        <v>9095</v>
      </c>
      <c r="C37">
        <v>11</v>
      </c>
      <c r="D37">
        <v>91</v>
      </c>
      <c r="E37">
        <v>95</v>
      </c>
      <c r="F37" t="s">
        <v>113</v>
      </c>
      <c r="G37" s="26">
        <v>45172</v>
      </c>
      <c r="H37" t="s">
        <v>5347</v>
      </c>
      <c r="I37" t="s">
        <v>5348</v>
      </c>
      <c r="K37">
        <v>91290</v>
      </c>
      <c r="L37" t="s">
        <v>2342</v>
      </c>
      <c r="M37">
        <v>981617491</v>
      </c>
      <c r="N37" t="s">
        <v>5349</v>
      </c>
      <c r="P37" t="s">
        <v>5060</v>
      </c>
      <c r="Q37" t="s">
        <v>651</v>
      </c>
      <c r="R37" t="s">
        <v>5350</v>
      </c>
      <c r="S37" t="s">
        <v>656</v>
      </c>
      <c r="T37" t="s">
        <v>2620</v>
      </c>
      <c r="U37" t="s">
        <v>5351</v>
      </c>
      <c r="V37" t="s">
        <v>2623</v>
      </c>
      <c r="W37" t="s">
        <v>178</v>
      </c>
      <c r="X37" t="s">
        <v>5352</v>
      </c>
      <c r="Y37" t="s">
        <v>181</v>
      </c>
      <c r="AF37" t="s">
        <v>651</v>
      </c>
      <c r="AG37" t="s">
        <v>5350</v>
      </c>
      <c r="AH37" t="s">
        <v>656</v>
      </c>
      <c r="AL37" t="s">
        <v>1751</v>
      </c>
      <c r="AM37" t="s">
        <v>5353</v>
      </c>
      <c r="AN37" t="s">
        <v>1754</v>
      </c>
      <c r="BA37">
        <v>3</v>
      </c>
      <c r="BB37">
        <v>4</v>
      </c>
      <c r="BC37">
        <v>0</v>
      </c>
      <c r="BD37">
        <v>0</v>
      </c>
      <c r="BE37">
        <v>0</v>
      </c>
      <c r="BF37">
        <v>0</v>
      </c>
      <c r="BG37" t="s">
        <v>5064</v>
      </c>
      <c r="BH37" t="s">
        <v>5065</v>
      </c>
      <c r="BJ37" t="s">
        <v>5354</v>
      </c>
      <c r="BK37">
        <v>50294366500013</v>
      </c>
      <c r="BL37" t="s">
        <v>5355</v>
      </c>
      <c r="BO37" t="s">
        <v>5065</v>
      </c>
    </row>
    <row r="38" spans="1:67" x14ac:dyDescent="0.25">
      <c r="A38" t="str">
        <f t="shared" si="0"/>
        <v>9096 - BILLARD CLUB STREPINIACOIS</v>
      </c>
      <c r="B38">
        <v>9096</v>
      </c>
      <c r="C38">
        <v>11</v>
      </c>
      <c r="D38">
        <v>91</v>
      </c>
      <c r="E38">
        <v>96</v>
      </c>
      <c r="F38" t="s">
        <v>526</v>
      </c>
      <c r="G38" s="26">
        <v>45164</v>
      </c>
      <c r="H38" t="s">
        <v>5356</v>
      </c>
      <c r="K38">
        <v>91580</v>
      </c>
      <c r="L38" t="s">
        <v>528</v>
      </c>
      <c r="M38">
        <v>768974835</v>
      </c>
      <c r="N38" t="s">
        <v>5357</v>
      </c>
      <c r="P38" t="s">
        <v>5065</v>
      </c>
      <c r="Q38" t="s">
        <v>2125</v>
      </c>
      <c r="R38" t="s">
        <v>5358</v>
      </c>
      <c r="S38" t="s">
        <v>2128</v>
      </c>
      <c r="T38" t="s">
        <v>3766</v>
      </c>
      <c r="U38" t="s">
        <v>5359</v>
      </c>
      <c r="V38" t="s">
        <v>3769</v>
      </c>
      <c r="W38" t="s">
        <v>1901</v>
      </c>
      <c r="X38" t="s">
        <v>5360</v>
      </c>
      <c r="Y38" t="s">
        <v>5357</v>
      </c>
      <c r="Z38" t="s">
        <v>2125</v>
      </c>
      <c r="AA38" t="s">
        <v>5358</v>
      </c>
      <c r="AB38" t="s">
        <v>2128</v>
      </c>
      <c r="AC38" t="s">
        <v>2125</v>
      </c>
      <c r="AD38" t="s">
        <v>5358</v>
      </c>
      <c r="AE38" t="s">
        <v>2128</v>
      </c>
      <c r="AL38" t="s">
        <v>1901</v>
      </c>
      <c r="AM38" t="s">
        <v>5360</v>
      </c>
      <c r="AN38" t="s">
        <v>5357</v>
      </c>
      <c r="AR38" t="s">
        <v>2125</v>
      </c>
      <c r="AS38" t="s">
        <v>5358</v>
      </c>
      <c r="AT38" t="s">
        <v>2128</v>
      </c>
      <c r="BA38">
        <v>0</v>
      </c>
      <c r="BB38">
        <v>4</v>
      </c>
      <c r="BC38">
        <v>0</v>
      </c>
      <c r="BD38">
        <v>1</v>
      </c>
      <c r="BE38">
        <v>0</v>
      </c>
      <c r="BF38">
        <v>0</v>
      </c>
      <c r="BG38" t="s">
        <v>5064</v>
      </c>
      <c r="BH38" t="s">
        <v>5060</v>
      </c>
      <c r="BJ38" t="s">
        <v>5361</v>
      </c>
      <c r="BO38" t="s">
        <v>5065</v>
      </c>
    </row>
    <row r="39" spans="1:67" x14ac:dyDescent="0.25">
      <c r="A39" t="str">
        <f t="shared" si="0"/>
        <v>9101 - BULLDOG COMPETITION ILE DE FRANCE</v>
      </c>
      <c r="B39">
        <v>9101</v>
      </c>
      <c r="C39">
        <v>11</v>
      </c>
      <c r="D39">
        <v>78</v>
      </c>
      <c r="E39">
        <v>101</v>
      </c>
      <c r="F39" t="s">
        <v>1165</v>
      </c>
      <c r="G39" s="26">
        <v>45174</v>
      </c>
      <c r="H39" t="s">
        <v>5362</v>
      </c>
      <c r="K39">
        <v>78220</v>
      </c>
      <c r="L39" t="s">
        <v>258</v>
      </c>
      <c r="M39">
        <v>170443775</v>
      </c>
      <c r="N39" t="s">
        <v>5363</v>
      </c>
      <c r="O39" t="s">
        <v>5364</v>
      </c>
      <c r="P39" t="s">
        <v>5060</v>
      </c>
      <c r="Q39" t="s">
        <v>1259</v>
      </c>
      <c r="R39" t="s">
        <v>5365</v>
      </c>
      <c r="S39" t="s">
        <v>1263</v>
      </c>
      <c r="T39" t="s">
        <v>2578</v>
      </c>
      <c r="U39" t="s">
        <v>5366</v>
      </c>
      <c r="V39" t="s">
        <v>2581</v>
      </c>
      <c r="W39" t="s">
        <v>1711</v>
      </c>
      <c r="X39" t="s">
        <v>5367</v>
      </c>
      <c r="Y39" t="s">
        <v>1714</v>
      </c>
      <c r="Z39" t="s">
        <v>2578</v>
      </c>
      <c r="AA39" t="s">
        <v>5366</v>
      </c>
      <c r="AB39" t="s">
        <v>2581</v>
      </c>
      <c r="AC39" t="s">
        <v>2578</v>
      </c>
      <c r="AD39" t="s">
        <v>5366</v>
      </c>
      <c r="AE39" t="s">
        <v>2581</v>
      </c>
      <c r="BA39">
        <v>0</v>
      </c>
      <c r="BB39">
        <v>0</v>
      </c>
      <c r="BC39">
        <v>0</v>
      </c>
      <c r="BD39">
        <v>10</v>
      </c>
      <c r="BE39">
        <v>0</v>
      </c>
      <c r="BF39">
        <v>0</v>
      </c>
      <c r="BG39" t="s">
        <v>5208</v>
      </c>
      <c r="BH39" t="s">
        <v>5065</v>
      </c>
      <c r="BM39">
        <v>663090022</v>
      </c>
      <c r="BO39" t="s">
        <v>5060</v>
      </c>
    </row>
    <row r="40" spans="1:67" x14ac:dyDescent="0.25">
      <c r="A40" t="str">
        <f t="shared" si="0"/>
        <v>9105 - BILLARD CLUB DE NANDY</v>
      </c>
      <c r="B40">
        <v>9105</v>
      </c>
      <c r="C40">
        <v>11</v>
      </c>
      <c r="D40">
        <v>77</v>
      </c>
      <c r="E40">
        <v>105</v>
      </c>
      <c r="F40" t="s">
        <v>124</v>
      </c>
      <c r="G40" s="26">
        <v>45169</v>
      </c>
      <c r="H40" t="s">
        <v>5368</v>
      </c>
      <c r="I40" t="s">
        <v>5369</v>
      </c>
      <c r="J40" t="s">
        <v>5370</v>
      </c>
      <c r="K40">
        <v>77176</v>
      </c>
      <c r="L40" t="s">
        <v>177</v>
      </c>
      <c r="M40">
        <v>164190705</v>
      </c>
      <c r="N40" t="s">
        <v>5371</v>
      </c>
      <c r="P40" t="s">
        <v>5060</v>
      </c>
      <c r="Q40" t="s">
        <v>1702</v>
      </c>
      <c r="R40" t="s">
        <v>5372</v>
      </c>
      <c r="S40" t="s">
        <v>5373</v>
      </c>
      <c r="T40" t="s">
        <v>372</v>
      </c>
      <c r="U40" t="s">
        <v>5374</v>
      </c>
      <c r="V40" t="s">
        <v>376</v>
      </c>
      <c r="W40" t="s">
        <v>1866</v>
      </c>
      <c r="X40" t="s">
        <v>5375</v>
      </c>
      <c r="Y40" t="s">
        <v>1870</v>
      </c>
      <c r="AL40" t="s">
        <v>283</v>
      </c>
      <c r="AM40" t="s">
        <v>5376</v>
      </c>
      <c r="AN40" t="s">
        <v>288</v>
      </c>
      <c r="BA40">
        <v>2</v>
      </c>
      <c r="BB40">
        <v>3</v>
      </c>
      <c r="BC40">
        <v>0</v>
      </c>
      <c r="BD40">
        <v>0</v>
      </c>
      <c r="BE40">
        <v>0</v>
      </c>
      <c r="BF40">
        <v>0</v>
      </c>
      <c r="BG40" t="s">
        <v>5064</v>
      </c>
      <c r="BH40" t="s">
        <v>5065</v>
      </c>
      <c r="BO40" t="s">
        <v>5060</v>
      </c>
    </row>
    <row r="41" spans="1:67" x14ac:dyDescent="0.25">
      <c r="A41" t="str">
        <f t="shared" si="0"/>
        <v>9122 - U. S. M. GAGNY BILLARD</v>
      </c>
      <c r="B41">
        <v>9122</v>
      </c>
      <c r="C41">
        <v>11</v>
      </c>
      <c r="D41">
        <v>93</v>
      </c>
      <c r="E41">
        <v>122</v>
      </c>
      <c r="F41" t="s">
        <v>1030</v>
      </c>
      <c r="G41" s="26">
        <v>45168</v>
      </c>
      <c r="H41" t="s">
        <v>5377</v>
      </c>
      <c r="K41">
        <v>93220</v>
      </c>
      <c r="L41" t="s">
        <v>662</v>
      </c>
      <c r="N41" t="s">
        <v>5378</v>
      </c>
      <c r="P41" t="s">
        <v>5060</v>
      </c>
      <c r="Q41" t="s">
        <v>4012</v>
      </c>
      <c r="R41" t="s">
        <v>5379</v>
      </c>
      <c r="S41" t="s">
        <v>4016</v>
      </c>
      <c r="T41" t="s">
        <v>3239</v>
      </c>
      <c r="U41" t="s">
        <v>5380</v>
      </c>
      <c r="V41" t="s">
        <v>3242</v>
      </c>
      <c r="W41" t="s">
        <v>3747</v>
      </c>
      <c r="X41" t="s">
        <v>5381</v>
      </c>
      <c r="Y41" t="s">
        <v>3750</v>
      </c>
      <c r="Z41" t="s">
        <v>3747</v>
      </c>
      <c r="AA41" t="s">
        <v>5381</v>
      </c>
      <c r="AB41" t="s">
        <v>5378</v>
      </c>
      <c r="AC41" t="s">
        <v>3747</v>
      </c>
      <c r="AD41" t="s">
        <v>5381</v>
      </c>
      <c r="AE41" t="s">
        <v>5378</v>
      </c>
      <c r="BA41">
        <v>0</v>
      </c>
      <c r="BB41">
        <v>1</v>
      </c>
      <c r="BC41">
        <v>0</v>
      </c>
      <c r="BD41">
        <v>1</v>
      </c>
      <c r="BE41">
        <v>0</v>
      </c>
      <c r="BF41">
        <v>4</v>
      </c>
      <c r="BG41" t="s">
        <v>5064</v>
      </c>
      <c r="BH41" t="s">
        <v>5060</v>
      </c>
      <c r="BI41" s="26">
        <v>45182</v>
      </c>
      <c r="BJ41" t="s">
        <v>5382</v>
      </c>
      <c r="BM41">
        <v>665883847</v>
      </c>
      <c r="BO41" t="s">
        <v>5065</v>
      </c>
    </row>
    <row r="42" spans="1:67" x14ac:dyDescent="0.25">
      <c r="A42" t="str">
        <f t="shared" si="0"/>
        <v>9126 - BILLARD CLUB 8&amp;9</v>
      </c>
      <c r="B42">
        <v>9126</v>
      </c>
      <c r="C42">
        <v>11</v>
      </c>
      <c r="D42">
        <v>75</v>
      </c>
      <c r="E42">
        <v>126</v>
      </c>
      <c r="F42" t="s">
        <v>1818</v>
      </c>
      <c r="G42" s="26">
        <v>45163</v>
      </c>
      <c r="H42" t="s">
        <v>5383</v>
      </c>
      <c r="K42">
        <v>75011</v>
      </c>
      <c r="L42" t="s">
        <v>330</v>
      </c>
      <c r="N42" t="s">
        <v>5384</v>
      </c>
      <c r="P42" t="s">
        <v>5060</v>
      </c>
      <c r="Q42" t="s">
        <v>1817</v>
      </c>
      <c r="R42" t="s">
        <v>5385</v>
      </c>
      <c r="S42" t="s">
        <v>5384</v>
      </c>
      <c r="T42" t="s">
        <v>5386</v>
      </c>
      <c r="U42" t="s">
        <v>5387</v>
      </c>
      <c r="V42" t="s">
        <v>5388</v>
      </c>
      <c r="Z42" t="s">
        <v>1817</v>
      </c>
      <c r="AA42" t="s">
        <v>5385</v>
      </c>
      <c r="AB42" t="s">
        <v>1821</v>
      </c>
      <c r="AC42" t="s">
        <v>1817</v>
      </c>
      <c r="AD42" t="s">
        <v>5385</v>
      </c>
      <c r="AE42" t="s">
        <v>1821</v>
      </c>
      <c r="BB42">
        <v>2</v>
      </c>
      <c r="BF42">
        <v>19</v>
      </c>
      <c r="BG42" t="s">
        <v>5208</v>
      </c>
      <c r="BH42" t="s">
        <v>5060</v>
      </c>
      <c r="BO42" t="s">
        <v>5065</v>
      </c>
    </row>
    <row r="43" spans="1:67" x14ac:dyDescent="0.25">
      <c r="A43" t="str">
        <f t="shared" si="0"/>
        <v>9127 - PLAYER'S 95</v>
      </c>
      <c r="B43">
        <v>9127</v>
      </c>
      <c r="C43">
        <v>11</v>
      </c>
      <c r="D43">
        <v>95</v>
      </c>
      <c r="E43">
        <v>127</v>
      </c>
      <c r="F43" t="s">
        <v>536</v>
      </c>
      <c r="G43" s="26">
        <v>45165</v>
      </c>
      <c r="H43" t="s">
        <v>5389</v>
      </c>
      <c r="K43">
        <v>95000</v>
      </c>
      <c r="L43" t="s">
        <v>77</v>
      </c>
      <c r="M43">
        <v>672821842</v>
      </c>
      <c r="N43" t="s">
        <v>5390</v>
      </c>
      <c r="P43" t="s">
        <v>5060</v>
      </c>
      <c r="Q43" t="s">
        <v>1436</v>
      </c>
      <c r="R43" t="s">
        <v>5391</v>
      </c>
      <c r="S43" t="s">
        <v>5390</v>
      </c>
      <c r="T43" t="s">
        <v>1527</v>
      </c>
      <c r="U43" t="s">
        <v>5392</v>
      </c>
      <c r="V43" t="s">
        <v>5390</v>
      </c>
      <c r="W43" t="s">
        <v>3058</v>
      </c>
      <c r="X43" t="s">
        <v>5393</v>
      </c>
      <c r="Y43" t="s">
        <v>5390</v>
      </c>
      <c r="AC43" t="s">
        <v>1527</v>
      </c>
      <c r="AD43" t="s">
        <v>5392</v>
      </c>
      <c r="AE43" t="s">
        <v>5390</v>
      </c>
      <c r="AO43" t="s">
        <v>5394</v>
      </c>
      <c r="AP43" t="s">
        <v>5395</v>
      </c>
      <c r="AQ43" t="s">
        <v>5390</v>
      </c>
      <c r="BD43">
        <v>9</v>
      </c>
      <c r="BE43">
        <v>1</v>
      </c>
      <c r="BF43">
        <v>10</v>
      </c>
      <c r="BG43" t="s">
        <v>5208</v>
      </c>
      <c r="BH43" t="s">
        <v>5065</v>
      </c>
      <c r="BO43" t="s">
        <v>5065</v>
      </c>
    </row>
    <row r="44" spans="1:67" x14ac:dyDescent="0.25">
      <c r="A44" t="str">
        <f t="shared" si="0"/>
        <v>9129 - BLUE BIDA HOUSE CLUB</v>
      </c>
      <c r="B44">
        <v>9129</v>
      </c>
      <c r="C44">
        <v>11</v>
      </c>
      <c r="D44">
        <v>94</v>
      </c>
      <c r="E44">
        <v>129</v>
      </c>
      <c r="F44" t="s">
        <v>1549</v>
      </c>
      <c r="G44" s="26">
        <v>45167</v>
      </c>
      <c r="H44" t="s">
        <v>1551</v>
      </c>
      <c r="K44">
        <v>94140</v>
      </c>
      <c r="L44" t="s">
        <v>959</v>
      </c>
      <c r="N44" t="s">
        <v>5396</v>
      </c>
      <c r="O44" t="s">
        <v>5397</v>
      </c>
      <c r="P44" t="s">
        <v>5060</v>
      </c>
      <c r="Q44" t="s">
        <v>2657</v>
      </c>
      <c r="R44" t="s">
        <v>5398</v>
      </c>
      <c r="S44" t="s">
        <v>5396</v>
      </c>
      <c r="T44" t="s">
        <v>3858</v>
      </c>
      <c r="U44" t="s">
        <v>5399</v>
      </c>
      <c r="V44" t="s">
        <v>5396</v>
      </c>
      <c r="W44" t="s">
        <v>1548</v>
      </c>
      <c r="X44" t="s">
        <v>5400</v>
      </c>
      <c r="Y44" t="s">
        <v>5396</v>
      </c>
      <c r="Z44" t="s">
        <v>2657</v>
      </c>
      <c r="AA44" t="s">
        <v>5398</v>
      </c>
      <c r="AB44" t="s">
        <v>5396</v>
      </c>
      <c r="AC44" t="s">
        <v>2657</v>
      </c>
      <c r="AD44" t="s">
        <v>5398</v>
      </c>
      <c r="AE44" t="s">
        <v>5396</v>
      </c>
      <c r="AF44" t="s">
        <v>2657</v>
      </c>
      <c r="AG44" t="s">
        <v>5398</v>
      </c>
      <c r="AH44" t="s">
        <v>5396</v>
      </c>
      <c r="AO44" t="s">
        <v>2657</v>
      </c>
      <c r="AP44" t="s">
        <v>5398</v>
      </c>
      <c r="AQ44" t="s">
        <v>5396</v>
      </c>
      <c r="BF44">
        <v>1</v>
      </c>
      <c r="BG44" t="s">
        <v>5217</v>
      </c>
      <c r="BH44" t="s">
        <v>5060</v>
      </c>
      <c r="BI44" s="26">
        <v>45190</v>
      </c>
      <c r="BJ44" t="s">
        <v>5401</v>
      </c>
      <c r="BO44" t="s">
        <v>5060</v>
      </c>
    </row>
    <row r="45" spans="1:67" x14ac:dyDescent="0.25">
      <c r="A45" t="str">
        <f t="shared" si="0"/>
        <v>9130 - PHOENIX BILLARD CLUB</v>
      </c>
      <c r="B45">
        <v>9130</v>
      </c>
      <c r="C45">
        <v>11</v>
      </c>
      <c r="D45">
        <v>78</v>
      </c>
      <c r="E45">
        <v>130</v>
      </c>
      <c r="F45" t="s">
        <v>1159</v>
      </c>
      <c r="G45" s="26">
        <v>45168</v>
      </c>
      <c r="H45" t="s">
        <v>5402</v>
      </c>
      <c r="K45">
        <v>78230</v>
      </c>
      <c r="L45" t="s">
        <v>4484</v>
      </c>
      <c r="M45">
        <v>967207826</v>
      </c>
      <c r="N45" t="s">
        <v>5403</v>
      </c>
      <c r="P45" t="s">
        <v>5060</v>
      </c>
      <c r="Q45" t="s">
        <v>3758</v>
      </c>
      <c r="R45" t="s">
        <v>5404</v>
      </c>
      <c r="S45" t="s">
        <v>3760</v>
      </c>
      <c r="T45" t="s">
        <v>3756</v>
      </c>
      <c r="U45" t="s">
        <v>5405</v>
      </c>
      <c r="V45" t="s">
        <v>3757</v>
      </c>
      <c r="W45" t="s">
        <v>1219</v>
      </c>
      <c r="X45" t="s">
        <v>5406</v>
      </c>
      <c r="Y45" t="s">
        <v>1223</v>
      </c>
      <c r="Z45" t="s">
        <v>3758</v>
      </c>
      <c r="AA45" t="s">
        <v>5404</v>
      </c>
      <c r="AB45" t="s">
        <v>3760</v>
      </c>
      <c r="AR45" t="s">
        <v>1219</v>
      </c>
      <c r="AS45" t="s">
        <v>5406</v>
      </c>
      <c r="AT45" t="s">
        <v>1223</v>
      </c>
      <c r="AX45" t="s">
        <v>3756</v>
      </c>
      <c r="AY45" t="s">
        <v>5405</v>
      </c>
      <c r="AZ45" t="s">
        <v>3757</v>
      </c>
      <c r="BD45">
        <v>6</v>
      </c>
      <c r="BG45" t="s">
        <v>5208</v>
      </c>
      <c r="BH45" t="s">
        <v>5060</v>
      </c>
      <c r="BO45" t="s">
        <v>5065</v>
      </c>
    </row>
  </sheetData>
  <sheetProtection algorithmName="SHA-512" hashValue="XEACMvIBj/gnRJG5hFbPjX3ztMJzG0Am46w7HxhvqimnPs8tkFa3/g/35sqyThfTLYfUb7QA4wkjADAoO0N/Vw==" saltValue="+gSZ5wVBIJ9GctSUulXYBg==" spinCount="100000" sheet="1" objects="1" scenarios="1"/>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9C09-3AE6-41D9-8F5A-CB1BA588D9A7}">
  <sheetPr codeName="Feuil5"/>
  <dimension ref="A1:Y1728"/>
  <sheetViews>
    <sheetView workbookViewId="0">
      <selection activeCell="A2" sqref="A2"/>
    </sheetView>
  </sheetViews>
  <sheetFormatPr baseColWidth="10" defaultRowHeight="15" x14ac:dyDescent="0.25"/>
  <cols>
    <col min="1" max="1" width="9.85546875" bestFit="1" customWidth="1"/>
    <col min="2" max="2" width="7.42578125" bestFit="1" customWidth="1"/>
    <col min="3" max="3" width="6.5703125" bestFit="1" customWidth="1"/>
    <col min="4" max="4" width="11.28515625" bestFit="1" customWidth="1"/>
    <col min="5" max="5" width="38.140625" bestFit="1" customWidth="1"/>
    <col min="6" max="6" width="18.85546875" bestFit="1" customWidth="1"/>
    <col min="7" max="7" width="24.5703125" bestFit="1" customWidth="1"/>
    <col min="8" max="8" width="18.28515625" bestFit="1" customWidth="1"/>
    <col min="9" max="9" width="6.85546875" bestFit="1" customWidth="1"/>
    <col min="10" max="10" width="38.140625" bestFit="1" customWidth="1"/>
    <col min="11" max="11" width="32.140625" bestFit="1" customWidth="1"/>
    <col min="12" max="12" width="11.140625" bestFit="1" customWidth="1"/>
    <col min="13" max="13" width="13" bestFit="1" customWidth="1"/>
    <col min="14" max="14" width="27" bestFit="1" customWidth="1"/>
    <col min="15" max="15" width="12.7109375" bestFit="1" customWidth="1"/>
    <col min="16" max="17" width="11.85546875" bestFit="1" customWidth="1"/>
    <col min="18" max="18" width="35.5703125" bestFit="1" customWidth="1"/>
    <col min="19" max="19" width="21.85546875" bestFit="1" customWidth="1"/>
    <col min="20" max="20" width="11.140625" bestFit="1" customWidth="1"/>
    <col min="21" max="21" width="11" bestFit="1" customWidth="1"/>
    <col min="22" max="22" width="9" bestFit="1" customWidth="1"/>
    <col min="23" max="23" width="13.140625" bestFit="1" customWidth="1"/>
    <col min="24" max="24" width="25" bestFit="1" customWidth="1"/>
    <col min="25" max="25" width="11" bestFit="1" customWidth="1"/>
  </cols>
  <sheetData>
    <row r="1" spans="1:25" x14ac:dyDescent="0.25">
      <c r="A1" t="s">
        <v>21</v>
      </c>
      <c r="B1" t="s">
        <v>33</v>
      </c>
      <c r="C1" t="s">
        <v>34</v>
      </c>
      <c r="D1" t="s">
        <v>35</v>
      </c>
      <c r="E1" t="s">
        <v>36</v>
      </c>
      <c r="F1" t="s">
        <v>37</v>
      </c>
      <c r="G1" t="s">
        <v>8</v>
      </c>
      <c r="H1" t="s">
        <v>38</v>
      </c>
      <c r="I1" t="s">
        <v>39</v>
      </c>
      <c r="J1" t="s">
        <v>40</v>
      </c>
      <c r="K1" t="s">
        <v>41</v>
      </c>
      <c r="L1" t="s">
        <v>42</v>
      </c>
      <c r="M1" t="s">
        <v>43</v>
      </c>
      <c r="N1" t="s">
        <v>44</v>
      </c>
      <c r="O1" t="s">
        <v>45</v>
      </c>
      <c r="P1" t="s">
        <v>46</v>
      </c>
      <c r="Q1" t="s">
        <v>47</v>
      </c>
      <c r="R1" t="s">
        <v>48</v>
      </c>
      <c r="S1" t="s">
        <v>49</v>
      </c>
      <c r="T1" t="s">
        <v>50</v>
      </c>
      <c r="U1" t="s">
        <v>51</v>
      </c>
      <c r="V1" t="s">
        <v>52</v>
      </c>
      <c r="W1" t="s">
        <v>53</v>
      </c>
      <c r="X1" t="s">
        <v>54</v>
      </c>
      <c r="Y1" t="s">
        <v>8596</v>
      </c>
    </row>
    <row r="2" spans="1:25" x14ac:dyDescent="0.25">
      <c r="A2" t="s">
        <v>55</v>
      </c>
      <c r="B2">
        <v>11</v>
      </c>
      <c r="C2">
        <v>94</v>
      </c>
      <c r="D2">
        <v>9024</v>
      </c>
      <c r="E2" t="s">
        <v>4</v>
      </c>
      <c r="F2" t="s">
        <v>56</v>
      </c>
      <c r="G2" t="s">
        <v>57</v>
      </c>
      <c r="H2" s="26">
        <v>25050</v>
      </c>
      <c r="I2" t="s">
        <v>58</v>
      </c>
      <c r="J2" t="s">
        <v>59</v>
      </c>
      <c r="M2">
        <v>94370</v>
      </c>
      <c r="N2" t="s">
        <v>60</v>
      </c>
      <c r="O2" t="s">
        <v>61</v>
      </c>
      <c r="Q2">
        <v>624328628</v>
      </c>
      <c r="R2" t="s">
        <v>62</v>
      </c>
      <c r="S2" t="s">
        <v>63</v>
      </c>
      <c r="T2" t="s">
        <v>64</v>
      </c>
      <c r="U2" t="s">
        <v>65</v>
      </c>
      <c r="W2" s="26">
        <v>45537</v>
      </c>
      <c r="X2" t="s">
        <v>61</v>
      </c>
      <c r="Y2" t="s">
        <v>237</v>
      </c>
    </row>
    <row r="3" spans="1:25" x14ac:dyDescent="0.25">
      <c r="A3" t="s">
        <v>66</v>
      </c>
      <c r="B3">
        <v>11</v>
      </c>
      <c r="C3">
        <v>91</v>
      </c>
      <c r="D3">
        <v>9082</v>
      </c>
      <c r="E3" t="s">
        <v>67</v>
      </c>
      <c r="F3" t="s">
        <v>68</v>
      </c>
      <c r="G3" t="s">
        <v>69</v>
      </c>
      <c r="H3" s="26">
        <v>26368</v>
      </c>
      <c r="I3" t="s">
        <v>58</v>
      </c>
      <c r="J3" t="s">
        <v>70</v>
      </c>
      <c r="M3">
        <v>91230</v>
      </c>
      <c r="N3" t="s">
        <v>71</v>
      </c>
      <c r="O3" t="s">
        <v>61</v>
      </c>
      <c r="P3">
        <v>638817623</v>
      </c>
      <c r="R3" t="s">
        <v>72</v>
      </c>
      <c r="S3" t="s">
        <v>63</v>
      </c>
      <c r="T3" t="s">
        <v>64</v>
      </c>
      <c r="U3" t="s">
        <v>65</v>
      </c>
      <c r="W3" s="26">
        <v>45544</v>
      </c>
      <c r="X3" t="s">
        <v>61</v>
      </c>
      <c r="Y3" t="s">
        <v>237</v>
      </c>
    </row>
    <row r="4" spans="1:25" x14ac:dyDescent="0.25">
      <c r="A4" t="s">
        <v>73</v>
      </c>
      <c r="B4">
        <v>11</v>
      </c>
      <c r="C4">
        <v>95</v>
      </c>
      <c r="D4">
        <v>9010</v>
      </c>
      <c r="E4" t="s">
        <v>6</v>
      </c>
      <c r="F4" t="s">
        <v>74</v>
      </c>
      <c r="G4" t="s">
        <v>75</v>
      </c>
      <c r="H4" s="26">
        <v>23778</v>
      </c>
      <c r="I4" t="s">
        <v>58</v>
      </c>
      <c r="J4" t="s">
        <v>76</v>
      </c>
      <c r="M4">
        <v>95800</v>
      </c>
      <c r="N4" t="s">
        <v>77</v>
      </c>
      <c r="O4" t="s">
        <v>61</v>
      </c>
      <c r="R4" t="s">
        <v>78</v>
      </c>
      <c r="S4" t="s">
        <v>63</v>
      </c>
      <c r="T4" t="s">
        <v>64</v>
      </c>
      <c r="U4" t="s">
        <v>65</v>
      </c>
      <c r="W4" s="26">
        <v>45555</v>
      </c>
      <c r="X4" t="s">
        <v>61</v>
      </c>
      <c r="Y4" t="s">
        <v>237</v>
      </c>
    </row>
    <row r="5" spans="1:25" x14ac:dyDescent="0.25">
      <c r="A5" t="s">
        <v>79</v>
      </c>
      <c r="B5">
        <v>11</v>
      </c>
      <c r="C5">
        <v>92</v>
      </c>
      <c r="D5">
        <v>9088</v>
      </c>
      <c r="E5" t="s">
        <v>1</v>
      </c>
      <c r="F5" t="s">
        <v>13</v>
      </c>
      <c r="G5" t="s">
        <v>80</v>
      </c>
      <c r="H5" s="26">
        <v>23476</v>
      </c>
      <c r="I5" t="s">
        <v>58</v>
      </c>
      <c r="J5" t="s">
        <v>81</v>
      </c>
      <c r="M5">
        <v>95150</v>
      </c>
      <c r="N5" t="s">
        <v>82</v>
      </c>
      <c r="O5" t="s">
        <v>61</v>
      </c>
      <c r="P5">
        <v>661125494</v>
      </c>
      <c r="R5" t="s">
        <v>83</v>
      </c>
      <c r="S5" t="s">
        <v>63</v>
      </c>
      <c r="T5" t="s">
        <v>64</v>
      </c>
      <c r="U5" t="s">
        <v>65</v>
      </c>
      <c r="W5" s="26">
        <v>45562</v>
      </c>
      <c r="X5" t="s">
        <v>61</v>
      </c>
      <c r="Y5" t="s">
        <v>237</v>
      </c>
    </row>
    <row r="6" spans="1:25" x14ac:dyDescent="0.25">
      <c r="A6" t="s">
        <v>8680</v>
      </c>
      <c r="B6">
        <v>11</v>
      </c>
      <c r="C6">
        <v>91</v>
      </c>
      <c r="D6">
        <v>9009</v>
      </c>
      <c r="E6" t="s">
        <v>159</v>
      </c>
      <c r="F6" t="s">
        <v>886</v>
      </c>
      <c r="G6" t="s">
        <v>8681</v>
      </c>
      <c r="H6" s="26">
        <v>20246</v>
      </c>
      <c r="I6" t="s">
        <v>58</v>
      </c>
      <c r="J6" t="s">
        <v>8682</v>
      </c>
      <c r="M6">
        <v>91420</v>
      </c>
      <c r="N6" t="s">
        <v>1675</v>
      </c>
      <c r="O6" t="s">
        <v>61</v>
      </c>
      <c r="P6">
        <v>681573054</v>
      </c>
      <c r="R6" t="s">
        <v>8683</v>
      </c>
      <c r="S6" t="s">
        <v>63</v>
      </c>
      <c r="T6" t="s">
        <v>64</v>
      </c>
      <c r="U6" t="s">
        <v>65</v>
      </c>
      <c r="W6" s="26">
        <v>45537</v>
      </c>
      <c r="X6" t="s">
        <v>61</v>
      </c>
      <c r="Y6" t="s">
        <v>237</v>
      </c>
    </row>
    <row r="7" spans="1:25" x14ac:dyDescent="0.25">
      <c r="A7" t="s">
        <v>84</v>
      </c>
      <c r="B7">
        <v>11</v>
      </c>
      <c r="C7">
        <v>94</v>
      </c>
      <c r="D7">
        <v>9031</v>
      </c>
      <c r="E7" t="s">
        <v>7</v>
      </c>
      <c r="F7" t="s">
        <v>85</v>
      </c>
      <c r="G7" t="s">
        <v>86</v>
      </c>
      <c r="H7" s="26">
        <v>22482</v>
      </c>
      <c r="I7" t="s">
        <v>58</v>
      </c>
      <c r="J7" t="s">
        <v>1187</v>
      </c>
      <c r="M7">
        <v>77138</v>
      </c>
      <c r="N7" t="s">
        <v>87</v>
      </c>
      <c r="O7" t="s">
        <v>61</v>
      </c>
      <c r="Q7">
        <v>782075472</v>
      </c>
      <c r="R7" t="s">
        <v>88</v>
      </c>
      <c r="S7" t="s">
        <v>63</v>
      </c>
      <c r="T7" t="s">
        <v>64</v>
      </c>
      <c r="U7" t="s">
        <v>65</v>
      </c>
      <c r="W7" s="26">
        <v>45550</v>
      </c>
      <c r="X7" t="s">
        <v>61</v>
      </c>
      <c r="Y7" t="s">
        <v>237</v>
      </c>
    </row>
    <row r="8" spans="1:25" x14ac:dyDescent="0.25">
      <c r="A8" t="s">
        <v>89</v>
      </c>
      <c r="B8">
        <v>11</v>
      </c>
      <c r="C8">
        <v>77</v>
      </c>
      <c r="D8">
        <v>9077</v>
      </c>
      <c r="E8" t="s">
        <v>90</v>
      </c>
      <c r="F8" t="s">
        <v>91</v>
      </c>
      <c r="G8" t="s">
        <v>92</v>
      </c>
      <c r="H8" s="26">
        <v>19096</v>
      </c>
      <c r="I8" t="s">
        <v>58</v>
      </c>
      <c r="J8" t="s">
        <v>93</v>
      </c>
      <c r="M8">
        <v>77169</v>
      </c>
      <c r="N8" t="s">
        <v>94</v>
      </c>
      <c r="O8" t="s">
        <v>61</v>
      </c>
      <c r="Q8">
        <v>682783250</v>
      </c>
      <c r="R8" t="s">
        <v>95</v>
      </c>
      <c r="S8" t="s">
        <v>63</v>
      </c>
      <c r="T8" t="s">
        <v>64</v>
      </c>
      <c r="U8" t="s">
        <v>65</v>
      </c>
      <c r="W8" s="26">
        <v>45545</v>
      </c>
      <c r="X8" t="s">
        <v>61</v>
      </c>
      <c r="Y8" t="s">
        <v>237</v>
      </c>
    </row>
    <row r="9" spans="1:25" x14ac:dyDescent="0.25">
      <c r="A9" t="s">
        <v>11149</v>
      </c>
      <c r="B9">
        <v>11</v>
      </c>
      <c r="C9">
        <v>92</v>
      </c>
      <c r="D9">
        <v>9032</v>
      </c>
      <c r="E9" t="s">
        <v>102</v>
      </c>
      <c r="F9" t="s">
        <v>103</v>
      </c>
      <c r="G9" t="s">
        <v>11150</v>
      </c>
      <c r="H9" s="26">
        <v>15260</v>
      </c>
      <c r="I9" t="s">
        <v>58</v>
      </c>
      <c r="J9" t="s">
        <v>11151</v>
      </c>
      <c r="M9">
        <v>92100</v>
      </c>
      <c r="N9" t="s">
        <v>104</v>
      </c>
      <c r="O9" t="s">
        <v>61</v>
      </c>
      <c r="P9">
        <v>149100559</v>
      </c>
      <c r="S9" t="s">
        <v>63</v>
      </c>
      <c r="T9" t="s">
        <v>64</v>
      </c>
      <c r="U9" t="s">
        <v>65</v>
      </c>
      <c r="W9" s="26">
        <v>45588</v>
      </c>
      <c r="X9" t="s">
        <v>61</v>
      </c>
      <c r="Y9" t="s">
        <v>237</v>
      </c>
    </row>
    <row r="10" spans="1:25" x14ac:dyDescent="0.25">
      <c r="A10" t="s">
        <v>105</v>
      </c>
      <c r="B10">
        <v>11</v>
      </c>
      <c r="C10">
        <v>95</v>
      </c>
      <c r="D10">
        <v>9010</v>
      </c>
      <c r="E10" t="s">
        <v>6</v>
      </c>
      <c r="F10" t="s">
        <v>106</v>
      </c>
      <c r="G10" t="s">
        <v>107</v>
      </c>
      <c r="H10" s="26">
        <v>23684</v>
      </c>
      <c r="I10" t="s">
        <v>58</v>
      </c>
      <c r="J10" t="s">
        <v>108</v>
      </c>
      <c r="M10">
        <v>78500</v>
      </c>
      <c r="N10" t="s">
        <v>109</v>
      </c>
      <c r="O10" t="s">
        <v>61</v>
      </c>
      <c r="R10" t="s">
        <v>110</v>
      </c>
      <c r="S10" t="s">
        <v>63</v>
      </c>
      <c r="T10" t="s">
        <v>64</v>
      </c>
      <c r="U10" t="s">
        <v>65</v>
      </c>
      <c r="V10" t="s">
        <v>111</v>
      </c>
      <c r="W10" s="26">
        <v>45524</v>
      </c>
      <c r="X10" t="s">
        <v>61</v>
      </c>
      <c r="Y10" t="s">
        <v>237</v>
      </c>
    </row>
    <row r="11" spans="1:25" x14ac:dyDescent="0.25">
      <c r="A11" t="s">
        <v>112</v>
      </c>
      <c r="B11">
        <v>11</v>
      </c>
      <c r="C11">
        <v>91</v>
      </c>
      <c r="D11">
        <v>9095</v>
      </c>
      <c r="E11" t="s">
        <v>113</v>
      </c>
      <c r="F11" t="s">
        <v>114</v>
      </c>
      <c r="G11" t="s">
        <v>115</v>
      </c>
      <c r="H11" s="26">
        <v>17398</v>
      </c>
      <c r="I11" t="s">
        <v>58</v>
      </c>
      <c r="J11" t="s">
        <v>116</v>
      </c>
      <c r="M11">
        <v>91080</v>
      </c>
      <c r="N11" t="s">
        <v>117</v>
      </c>
      <c r="O11" t="s">
        <v>61</v>
      </c>
      <c r="Q11">
        <v>685226385</v>
      </c>
      <c r="R11" t="s">
        <v>118</v>
      </c>
      <c r="S11" t="s">
        <v>63</v>
      </c>
      <c r="T11" t="s">
        <v>64</v>
      </c>
      <c r="U11" t="s">
        <v>65</v>
      </c>
      <c r="W11" s="26">
        <v>45544</v>
      </c>
      <c r="X11" t="s">
        <v>61</v>
      </c>
      <c r="Y11" t="s">
        <v>237</v>
      </c>
    </row>
    <row r="12" spans="1:25" x14ac:dyDescent="0.25">
      <c r="A12" t="s">
        <v>10291</v>
      </c>
      <c r="B12">
        <v>11</v>
      </c>
      <c r="C12">
        <v>92</v>
      </c>
      <c r="D12">
        <v>9007</v>
      </c>
      <c r="E12" t="s">
        <v>121</v>
      </c>
      <c r="F12" t="s">
        <v>10292</v>
      </c>
      <c r="G12" t="s">
        <v>10293</v>
      </c>
      <c r="H12" s="26">
        <v>19278</v>
      </c>
      <c r="I12" t="s">
        <v>58</v>
      </c>
      <c r="J12" t="s">
        <v>10294</v>
      </c>
      <c r="M12">
        <v>92500</v>
      </c>
      <c r="N12" t="s">
        <v>122</v>
      </c>
      <c r="O12" t="s">
        <v>61</v>
      </c>
      <c r="R12" t="s">
        <v>10295</v>
      </c>
      <c r="S12" t="s">
        <v>63</v>
      </c>
      <c r="T12" t="s">
        <v>64</v>
      </c>
      <c r="U12" t="s">
        <v>65</v>
      </c>
      <c r="W12" s="26">
        <v>45574</v>
      </c>
      <c r="X12" t="s">
        <v>61</v>
      </c>
      <c r="Y12" t="s">
        <v>237</v>
      </c>
    </row>
    <row r="13" spans="1:25" x14ac:dyDescent="0.25">
      <c r="A13" t="s">
        <v>123</v>
      </c>
      <c r="B13">
        <v>11</v>
      </c>
      <c r="C13">
        <v>77</v>
      </c>
      <c r="D13">
        <v>9105</v>
      </c>
      <c r="E13" t="s">
        <v>124</v>
      </c>
      <c r="F13" t="s">
        <v>91</v>
      </c>
      <c r="G13" t="s">
        <v>125</v>
      </c>
      <c r="H13" s="26">
        <v>21638</v>
      </c>
      <c r="I13" t="s">
        <v>58</v>
      </c>
      <c r="J13" t="s">
        <v>126</v>
      </c>
      <c r="M13">
        <v>91480</v>
      </c>
      <c r="N13" t="s">
        <v>127</v>
      </c>
      <c r="O13" t="s">
        <v>61</v>
      </c>
      <c r="P13">
        <v>950318834</v>
      </c>
      <c r="S13" t="s">
        <v>63</v>
      </c>
      <c r="T13" t="s">
        <v>64</v>
      </c>
      <c r="U13" t="s">
        <v>65</v>
      </c>
      <c r="W13" s="26">
        <v>45539</v>
      </c>
      <c r="X13" t="s">
        <v>61</v>
      </c>
      <c r="Y13" t="s">
        <v>237</v>
      </c>
    </row>
    <row r="14" spans="1:25" x14ac:dyDescent="0.25">
      <c r="A14" t="s">
        <v>128</v>
      </c>
      <c r="B14">
        <v>11</v>
      </c>
      <c r="C14">
        <v>95</v>
      </c>
      <c r="D14">
        <v>9069</v>
      </c>
      <c r="E14" t="s">
        <v>129</v>
      </c>
      <c r="F14" t="s">
        <v>13</v>
      </c>
      <c r="G14" t="s">
        <v>130</v>
      </c>
      <c r="H14" s="26">
        <v>19099</v>
      </c>
      <c r="I14" t="s">
        <v>58</v>
      </c>
      <c r="J14" t="s">
        <v>131</v>
      </c>
      <c r="M14">
        <v>95320</v>
      </c>
      <c r="N14" t="s">
        <v>132</v>
      </c>
      <c r="O14" t="s">
        <v>61</v>
      </c>
      <c r="Q14">
        <v>610310914</v>
      </c>
      <c r="R14" t="s">
        <v>133</v>
      </c>
      <c r="S14" t="s">
        <v>63</v>
      </c>
      <c r="T14" t="s">
        <v>64</v>
      </c>
      <c r="U14" t="s">
        <v>65</v>
      </c>
      <c r="V14" t="s">
        <v>111</v>
      </c>
      <c r="W14" s="26">
        <v>45557</v>
      </c>
      <c r="X14" t="s">
        <v>61</v>
      </c>
      <c r="Y14" t="s">
        <v>237</v>
      </c>
    </row>
    <row r="15" spans="1:25" x14ac:dyDescent="0.25">
      <c r="A15" t="s">
        <v>11152</v>
      </c>
      <c r="B15">
        <v>11</v>
      </c>
      <c r="C15">
        <v>94</v>
      </c>
      <c r="D15">
        <v>9024</v>
      </c>
      <c r="E15" t="s">
        <v>4</v>
      </c>
      <c r="F15" t="s">
        <v>1288</v>
      </c>
      <c r="G15" t="s">
        <v>11153</v>
      </c>
      <c r="H15" s="26">
        <v>13798</v>
      </c>
      <c r="I15" t="s">
        <v>58</v>
      </c>
      <c r="J15" t="s">
        <v>11154</v>
      </c>
      <c r="M15">
        <v>94520</v>
      </c>
      <c r="N15" t="s">
        <v>11155</v>
      </c>
      <c r="O15" t="s">
        <v>61</v>
      </c>
      <c r="Q15">
        <v>623137816</v>
      </c>
      <c r="R15" t="s">
        <v>11156</v>
      </c>
      <c r="S15" t="s">
        <v>63</v>
      </c>
      <c r="T15" t="s">
        <v>64</v>
      </c>
      <c r="U15" t="s">
        <v>65</v>
      </c>
      <c r="W15" s="26">
        <v>45590</v>
      </c>
      <c r="X15" t="s">
        <v>61</v>
      </c>
      <c r="Y15" t="s">
        <v>237</v>
      </c>
    </row>
    <row r="16" spans="1:25" x14ac:dyDescent="0.25">
      <c r="A16" t="s">
        <v>9896</v>
      </c>
      <c r="B16">
        <v>11</v>
      </c>
      <c r="C16">
        <v>92</v>
      </c>
      <c r="D16">
        <v>9088</v>
      </c>
      <c r="E16" t="s">
        <v>1</v>
      </c>
      <c r="F16" t="s">
        <v>134</v>
      </c>
      <c r="G16" t="s">
        <v>9897</v>
      </c>
      <c r="H16" s="26">
        <v>15811</v>
      </c>
      <c r="I16" t="s">
        <v>58</v>
      </c>
      <c r="J16" t="s">
        <v>9898</v>
      </c>
      <c r="M16">
        <v>92110</v>
      </c>
      <c r="N16" t="s">
        <v>135</v>
      </c>
      <c r="O16" t="s">
        <v>61</v>
      </c>
      <c r="P16">
        <v>142706997</v>
      </c>
      <c r="Q16">
        <v>640503718</v>
      </c>
      <c r="R16" t="s">
        <v>9899</v>
      </c>
      <c r="S16" t="s">
        <v>63</v>
      </c>
      <c r="T16" t="s">
        <v>64</v>
      </c>
      <c r="U16" t="s">
        <v>65</v>
      </c>
      <c r="W16" s="26">
        <v>45570</v>
      </c>
      <c r="X16" t="s">
        <v>61</v>
      </c>
      <c r="Y16" t="s">
        <v>237</v>
      </c>
    </row>
    <row r="17" spans="1:25" x14ac:dyDescent="0.25">
      <c r="A17" t="s">
        <v>136</v>
      </c>
      <c r="B17">
        <v>11</v>
      </c>
      <c r="C17">
        <v>94</v>
      </c>
      <c r="D17">
        <v>9024</v>
      </c>
      <c r="E17" t="s">
        <v>4</v>
      </c>
      <c r="F17" t="s">
        <v>137</v>
      </c>
      <c r="G17" t="s">
        <v>138</v>
      </c>
      <c r="H17" s="26">
        <v>19105</v>
      </c>
      <c r="I17" t="s">
        <v>58</v>
      </c>
      <c r="J17" t="s">
        <v>139</v>
      </c>
      <c r="M17">
        <v>94430</v>
      </c>
      <c r="N17" t="s">
        <v>140</v>
      </c>
      <c r="O17" t="s">
        <v>61</v>
      </c>
      <c r="P17">
        <v>145762476</v>
      </c>
      <c r="Q17">
        <v>685340563</v>
      </c>
      <c r="R17" t="s">
        <v>141</v>
      </c>
      <c r="S17" t="s">
        <v>63</v>
      </c>
      <c r="T17" t="s">
        <v>64</v>
      </c>
      <c r="U17" t="s">
        <v>65</v>
      </c>
      <c r="W17" s="26">
        <v>45537</v>
      </c>
      <c r="X17" t="s">
        <v>61</v>
      </c>
      <c r="Y17" t="s">
        <v>237</v>
      </c>
    </row>
    <row r="18" spans="1:25" x14ac:dyDescent="0.25">
      <c r="A18" t="s">
        <v>142</v>
      </c>
      <c r="B18">
        <v>11</v>
      </c>
      <c r="C18">
        <v>78</v>
      </c>
      <c r="D18">
        <v>9030</v>
      </c>
      <c r="E18" t="s">
        <v>96</v>
      </c>
      <c r="F18" t="s">
        <v>143</v>
      </c>
      <c r="G18" t="s">
        <v>144</v>
      </c>
      <c r="H18" s="26">
        <v>20032</v>
      </c>
      <c r="I18" t="s">
        <v>58</v>
      </c>
      <c r="J18" t="s">
        <v>145</v>
      </c>
      <c r="M18">
        <v>78720</v>
      </c>
      <c r="N18" t="s">
        <v>146</v>
      </c>
      <c r="O18" t="s">
        <v>61</v>
      </c>
      <c r="P18">
        <v>134851270</v>
      </c>
      <c r="Q18">
        <v>672095597</v>
      </c>
      <c r="R18" t="s">
        <v>147</v>
      </c>
      <c r="S18" t="s">
        <v>63</v>
      </c>
      <c r="T18" t="s">
        <v>64</v>
      </c>
      <c r="U18" t="s">
        <v>65</v>
      </c>
      <c r="W18" s="26">
        <v>45548</v>
      </c>
      <c r="X18" t="s">
        <v>61</v>
      </c>
      <c r="Y18" t="s">
        <v>237</v>
      </c>
    </row>
    <row r="19" spans="1:25" x14ac:dyDescent="0.25">
      <c r="A19" t="s">
        <v>148</v>
      </c>
      <c r="B19">
        <v>11</v>
      </c>
      <c r="C19">
        <v>92</v>
      </c>
      <c r="D19">
        <v>9088</v>
      </c>
      <c r="E19" t="s">
        <v>1</v>
      </c>
      <c r="F19" t="s">
        <v>13</v>
      </c>
      <c r="G19" t="s">
        <v>149</v>
      </c>
      <c r="H19" s="26">
        <v>24408</v>
      </c>
      <c r="I19" t="s">
        <v>58</v>
      </c>
      <c r="J19" t="s">
        <v>150</v>
      </c>
      <c r="M19">
        <v>92700</v>
      </c>
      <c r="N19" t="s">
        <v>151</v>
      </c>
      <c r="O19" t="s">
        <v>61</v>
      </c>
      <c r="Q19">
        <v>684641357</v>
      </c>
      <c r="R19" t="s">
        <v>152</v>
      </c>
      <c r="S19" t="s">
        <v>63</v>
      </c>
      <c r="T19" t="s">
        <v>64</v>
      </c>
      <c r="U19" t="s">
        <v>65</v>
      </c>
      <c r="W19" s="26">
        <v>45558</v>
      </c>
      <c r="X19" t="s">
        <v>61</v>
      </c>
      <c r="Y19" t="s">
        <v>237</v>
      </c>
    </row>
    <row r="20" spans="1:25" x14ac:dyDescent="0.25">
      <c r="A20" t="s">
        <v>153</v>
      </c>
      <c r="B20">
        <v>11</v>
      </c>
      <c r="C20">
        <v>95</v>
      </c>
      <c r="D20">
        <v>9010</v>
      </c>
      <c r="E20" t="s">
        <v>6</v>
      </c>
      <c r="F20" t="s">
        <v>154</v>
      </c>
      <c r="G20" t="s">
        <v>155</v>
      </c>
      <c r="H20" s="26">
        <v>17059</v>
      </c>
      <c r="I20" t="s">
        <v>58</v>
      </c>
      <c r="J20" t="s">
        <v>156</v>
      </c>
      <c r="M20">
        <v>95800</v>
      </c>
      <c r="N20" t="s">
        <v>77</v>
      </c>
      <c r="O20" t="s">
        <v>61</v>
      </c>
      <c r="R20" t="s">
        <v>157</v>
      </c>
      <c r="S20" t="s">
        <v>63</v>
      </c>
      <c r="T20" t="s">
        <v>64</v>
      </c>
      <c r="U20" t="s">
        <v>65</v>
      </c>
      <c r="W20" s="26">
        <v>45558</v>
      </c>
      <c r="X20" t="s">
        <v>61</v>
      </c>
      <c r="Y20" t="s">
        <v>237</v>
      </c>
    </row>
    <row r="21" spans="1:25" x14ac:dyDescent="0.25">
      <c r="A21" t="s">
        <v>158</v>
      </c>
      <c r="B21">
        <v>11</v>
      </c>
      <c r="C21">
        <v>94</v>
      </c>
      <c r="D21">
        <v>9024</v>
      </c>
      <c r="E21" t="s">
        <v>4</v>
      </c>
      <c r="F21" t="s">
        <v>160</v>
      </c>
      <c r="G21" t="s">
        <v>161</v>
      </c>
      <c r="H21" s="26">
        <v>21855</v>
      </c>
      <c r="I21" t="s">
        <v>58</v>
      </c>
      <c r="J21" t="s">
        <v>162</v>
      </c>
      <c r="M21">
        <v>94700</v>
      </c>
      <c r="N21" t="s">
        <v>163</v>
      </c>
      <c r="O21" t="s">
        <v>61</v>
      </c>
      <c r="Q21">
        <v>617246668</v>
      </c>
      <c r="R21" t="s">
        <v>164</v>
      </c>
      <c r="S21" t="s">
        <v>63</v>
      </c>
      <c r="T21" t="s">
        <v>64</v>
      </c>
      <c r="U21" t="s">
        <v>65</v>
      </c>
      <c r="V21" t="s">
        <v>111</v>
      </c>
      <c r="W21" s="26">
        <v>45545</v>
      </c>
      <c r="X21" t="s">
        <v>61</v>
      </c>
      <c r="Y21" t="s">
        <v>237</v>
      </c>
    </row>
    <row r="22" spans="1:25" x14ac:dyDescent="0.25">
      <c r="A22" t="s">
        <v>167</v>
      </c>
      <c r="B22">
        <v>11</v>
      </c>
      <c r="C22">
        <v>75</v>
      </c>
      <c r="D22">
        <v>9070</v>
      </c>
      <c r="E22" t="s">
        <v>168</v>
      </c>
      <c r="F22" t="s">
        <v>169</v>
      </c>
      <c r="G22" t="s">
        <v>170</v>
      </c>
      <c r="H22" s="26">
        <v>28697</v>
      </c>
      <c r="I22" t="s">
        <v>58</v>
      </c>
      <c r="J22" t="s">
        <v>171</v>
      </c>
      <c r="M22">
        <v>94350</v>
      </c>
      <c r="N22" t="s">
        <v>172</v>
      </c>
      <c r="O22" t="s">
        <v>61</v>
      </c>
      <c r="Q22">
        <v>635027579</v>
      </c>
      <c r="R22" t="s">
        <v>173</v>
      </c>
      <c r="S22" t="s">
        <v>63</v>
      </c>
      <c r="T22" t="s">
        <v>64</v>
      </c>
      <c r="U22" t="s">
        <v>8684</v>
      </c>
      <c r="W22" s="26">
        <v>45527</v>
      </c>
      <c r="X22" t="s">
        <v>61</v>
      </c>
      <c r="Y22" t="s">
        <v>237</v>
      </c>
    </row>
    <row r="23" spans="1:25" x14ac:dyDescent="0.25">
      <c r="A23" t="s">
        <v>174</v>
      </c>
      <c r="B23">
        <v>11</v>
      </c>
      <c r="C23">
        <v>77</v>
      </c>
      <c r="D23">
        <v>9105</v>
      </c>
      <c r="E23" t="s">
        <v>124</v>
      </c>
      <c r="F23" t="s">
        <v>114</v>
      </c>
      <c r="G23" t="s">
        <v>175</v>
      </c>
      <c r="H23" s="26">
        <v>24807</v>
      </c>
      <c r="I23" t="s">
        <v>58</v>
      </c>
      <c r="J23" t="s">
        <v>176</v>
      </c>
      <c r="M23">
        <v>77176</v>
      </c>
      <c r="N23" t="s">
        <v>177</v>
      </c>
      <c r="O23" t="s">
        <v>61</v>
      </c>
      <c r="S23" t="s">
        <v>63</v>
      </c>
      <c r="T23" t="s">
        <v>64</v>
      </c>
      <c r="U23" t="s">
        <v>65</v>
      </c>
      <c r="W23" s="26">
        <v>45540</v>
      </c>
      <c r="X23" t="s">
        <v>61</v>
      </c>
      <c r="Y23" t="s">
        <v>237</v>
      </c>
    </row>
    <row r="24" spans="1:25" x14ac:dyDescent="0.25">
      <c r="A24" t="s">
        <v>178</v>
      </c>
      <c r="B24">
        <v>11</v>
      </c>
      <c r="C24">
        <v>91</v>
      </c>
      <c r="D24">
        <v>9095</v>
      </c>
      <c r="E24" t="s">
        <v>113</v>
      </c>
      <c r="F24" t="s">
        <v>68</v>
      </c>
      <c r="G24" t="s">
        <v>97</v>
      </c>
      <c r="H24" s="26">
        <v>24534</v>
      </c>
      <c r="I24" t="s">
        <v>58</v>
      </c>
      <c r="J24" t="s">
        <v>179</v>
      </c>
      <c r="M24">
        <v>91090</v>
      </c>
      <c r="N24" t="s">
        <v>180</v>
      </c>
      <c r="O24" t="s">
        <v>61</v>
      </c>
      <c r="P24">
        <v>164975231</v>
      </c>
      <c r="Q24">
        <v>681564147</v>
      </c>
      <c r="R24" t="s">
        <v>181</v>
      </c>
      <c r="S24" t="s">
        <v>63</v>
      </c>
      <c r="T24" t="s">
        <v>64</v>
      </c>
      <c r="U24" t="s">
        <v>65</v>
      </c>
      <c r="W24" s="26">
        <v>45544</v>
      </c>
      <c r="X24" t="s">
        <v>61</v>
      </c>
      <c r="Y24" t="s">
        <v>237</v>
      </c>
    </row>
    <row r="25" spans="1:25" x14ac:dyDescent="0.25">
      <c r="A25" t="s">
        <v>182</v>
      </c>
      <c r="B25">
        <v>11</v>
      </c>
      <c r="C25">
        <v>95</v>
      </c>
      <c r="D25">
        <v>9069</v>
      </c>
      <c r="E25" t="s">
        <v>129</v>
      </c>
      <c r="F25" t="s">
        <v>183</v>
      </c>
      <c r="G25" t="s">
        <v>97</v>
      </c>
      <c r="H25" s="26">
        <v>15900</v>
      </c>
      <c r="I25" t="s">
        <v>58</v>
      </c>
      <c r="J25" t="s">
        <v>184</v>
      </c>
      <c r="M25">
        <v>95600</v>
      </c>
      <c r="N25" t="s">
        <v>185</v>
      </c>
      <c r="O25" t="s">
        <v>61</v>
      </c>
      <c r="Q25">
        <v>680544847</v>
      </c>
      <c r="R25" t="s">
        <v>186</v>
      </c>
      <c r="S25" t="s">
        <v>63</v>
      </c>
      <c r="T25" t="s">
        <v>64</v>
      </c>
      <c r="U25" t="s">
        <v>65</v>
      </c>
      <c r="W25" s="26">
        <v>45537</v>
      </c>
      <c r="X25" t="s">
        <v>61</v>
      </c>
      <c r="Y25" t="s">
        <v>237</v>
      </c>
    </row>
    <row r="26" spans="1:25" x14ac:dyDescent="0.25">
      <c r="A26" t="s">
        <v>10296</v>
      </c>
      <c r="B26">
        <v>11</v>
      </c>
      <c r="C26">
        <v>92</v>
      </c>
      <c r="D26">
        <v>9007</v>
      </c>
      <c r="E26" t="s">
        <v>121</v>
      </c>
      <c r="F26" t="s">
        <v>187</v>
      </c>
      <c r="G26" t="s">
        <v>10297</v>
      </c>
      <c r="H26" s="26">
        <v>20544</v>
      </c>
      <c r="I26" t="s">
        <v>58</v>
      </c>
      <c r="J26" t="s">
        <v>10298</v>
      </c>
      <c r="M26">
        <v>92700</v>
      </c>
      <c r="N26" t="s">
        <v>151</v>
      </c>
      <c r="O26" t="s">
        <v>61</v>
      </c>
      <c r="P26">
        <v>147823063</v>
      </c>
      <c r="Q26">
        <v>606663846</v>
      </c>
      <c r="R26" t="s">
        <v>10299</v>
      </c>
      <c r="S26" t="s">
        <v>63</v>
      </c>
      <c r="T26" t="s">
        <v>64</v>
      </c>
      <c r="U26" t="s">
        <v>65</v>
      </c>
      <c r="W26" s="26">
        <v>45574</v>
      </c>
      <c r="X26" t="s">
        <v>61</v>
      </c>
      <c r="Y26" t="s">
        <v>237</v>
      </c>
    </row>
    <row r="27" spans="1:25" x14ac:dyDescent="0.25">
      <c r="A27" t="s">
        <v>8685</v>
      </c>
      <c r="B27">
        <v>11</v>
      </c>
      <c r="C27">
        <v>91</v>
      </c>
      <c r="D27">
        <v>9131</v>
      </c>
      <c r="E27" t="s">
        <v>8686</v>
      </c>
      <c r="F27" t="s">
        <v>864</v>
      </c>
      <c r="G27" t="s">
        <v>8687</v>
      </c>
      <c r="H27" s="26">
        <v>17882</v>
      </c>
      <c r="I27" t="s">
        <v>58</v>
      </c>
      <c r="J27" t="s">
        <v>8688</v>
      </c>
      <c r="K27" t="s">
        <v>8689</v>
      </c>
      <c r="M27">
        <v>91210</v>
      </c>
      <c r="N27" t="s">
        <v>226</v>
      </c>
      <c r="O27" t="s">
        <v>61</v>
      </c>
      <c r="Q27">
        <v>660762294</v>
      </c>
      <c r="R27" t="s">
        <v>8690</v>
      </c>
      <c r="S27" t="s">
        <v>63</v>
      </c>
      <c r="T27" t="s">
        <v>64</v>
      </c>
      <c r="U27" t="s">
        <v>65</v>
      </c>
      <c r="W27" s="26">
        <v>45555</v>
      </c>
      <c r="X27" t="s">
        <v>61</v>
      </c>
      <c r="Y27" t="s">
        <v>237</v>
      </c>
    </row>
    <row r="28" spans="1:25" x14ac:dyDescent="0.25">
      <c r="A28" t="s">
        <v>191</v>
      </c>
      <c r="B28">
        <v>11</v>
      </c>
      <c r="C28">
        <v>92</v>
      </c>
      <c r="D28">
        <v>9088</v>
      </c>
      <c r="E28" t="s">
        <v>1</v>
      </c>
      <c r="F28" t="s">
        <v>68</v>
      </c>
      <c r="G28" t="s">
        <v>192</v>
      </c>
      <c r="H28" s="26">
        <v>22303</v>
      </c>
      <c r="I28" t="s">
        <v>58</v>
      </c>
      <c r="J28" t="s">
        <v>193</v>
      </c>
      <c r="M28">
        <v>93200</v>
      </c>
      <c r="N28" t="s">
        <v>194</v>
      </c>
      <c r="O28" t="s">
        <v>61</v>
      </c>
      <c r="Q28">
        <v>628233309</v>
      </c>
      <c r="R28" t="s">
        <v>195</v>
      </c>
      <c r="S28" t="s">
        <v>63</v>
      </c>
      <c r="T28" t="s">
        <v>64</v>
      </c>
      <c r="U28" t="s">
        <v>65</v>
      </c>
      <c r="W28" s="26">
        <v>45562</v>
      </c>
      <c r="X28" t="s">
        <v>61</v>
      </c>
      <c r="Y28" t="s">
        <v>237</v>
      </c>
    </row>
    <row r="29" spans="1:25" x14ac:dyDescent="0.25">
      <c r="A29" t="s">
        <v>196</v>
      </c>
      <c r="B29">
        <v>11</v>
      </c>
      <c r="C29">
        <v>77</v>
      </c>
      <c r="D29">
        <v>9059</v>
      </c>
      <c r="E29" t="s">
        <v>197</v>
      </c>
      <c r="F29" t="s">
        <v>198</v>
      </c>
      <c r="G29" t="s">
        <v>199</v>
      </c>
      <c r="H29" s="26">
        <v>27282</v>
      </c>
      <c r="I29" t="s">
        <v>58</v>
      </c>
      <c r="J29" t="s">
        <v>200</v>
      </c>
      <c r="M29">
        <v>77340</v>
      </c>
      <c r="N29" t="s">
        <v>201</v>
      </c>
      <c r="O29" t="s">
        <v>61</v>
      </c>
      <c r="Q29">
        <v>625618701</v>
      </c>
      <c r="R29" t="s">
        <v>202</v>
      </c>
      <c r="S29" t="s">
        <v>63</v>
      </c>
      <c r="T29" t="s">
        <v>64</v>
      </c>
      <c r="U29" t="s">
        <v>65</v>
      </c>
      <c r="W29" s="26">
        <v>45561</v>
      </c>
      <c r="X29" t="s">
        <v>61</v>
      </c>
      <c r="Y29" t="s">
        <v>237</v>
      </c>
    </row>
    <row r="30" spans="1:25" x14ac:dyDescent="0.25">
      <c r="A30" t="s">
        <v>206</v>
      </c>
      <c r="B30">
        <v>11</v>
      </c>
      <c r="C30">
        <v>77</v>
      </c>
      <c r="D30">
        <v>9059</v>
      </c>
      <c r="E30" t="s">
        <v>197</v>
      </c>
      <c r="F30" t="s">
        <v>137</v>
      </c>
      <c r="G30" t="s">
        <v>207</v>
      </c>
      <c r="H30" s="26">
        <v>18443</v>
      </c>
      <c r="I30" t="s">
        <v>58</v>
      </c>
      <c r="J30" t="s">
        <v>208</v>
      </c>
      <c r="M30">
        <v>77330</v>
      </c>
      <c r="N30" t="s">
        <v>209</v>
      </c>
      <c r="O30" t="s">
        <v>61</v>
      </c>
      <c r="P30">
        <v>160027764</v>
      </c>
      <c r="Q30">
        <v>784198372</v>
      </c>
      <c r="R30" t="s">
        <v>210</v>
      </c>
      <c r="S30" t="s">
        <v>63</v>
      </c>
      <c r="T30" t="s">
        <v>64</v>
      </c>
      <c r="U30" t="s">
        <v>65</v>
      </c>
      <c r="V30" t="s">
        <v>111</v>
      </c>
      <c r="W30" s="26">
        <v>45528</v>
      </c>
      <c r="X30" t="s">
        <v>61</v>
      </c>
      <c r="Y30" t="s">
        <v>237</v>
      </c>
    </row>
    <row r="31" spans="1:25" x14ac:dyDescent="0.25">
      <c r="A31" t="s">
        <v>8691</v>
      </c>
      <c r="B31">
        <v>11</v>
      </c>
      <c r="C31">
        <v>91</v>
      </c>
      <c r="D31">
        <v>9131</v>
      </c>
      <c r="E31" t="s">
        <v>8686</v>
      </c>
      <c r="F31" t="s">
        <v>480</v>
      </c>
      <c r="G31" t="s">
        <v>3152</v>
      </c>
      <c r="H31" s="26">
        <v>19112</v>
      </c>
      <c r="I31" t="s">
        <v>58</v>
      </c>
      <c r="J31" t="s">
        <v>8692</v>
      </c>
      <c r="M31">
        <v>91800</v>
      </c>
      <c r="N31" t="s">
        <v>4094</v>
      </c>
      <c r="O31" t="s">
        <v>61</v>
      </c>
      <c r="Q31">
        <v>676457802</v>
      </c>
      <c r="R31" t="s">
        <v>8693</v>
      </c>
      <c r="S31" t="s">
        <v>63</v>
      </c>
      <c r="T31" t="s">
        <v>64</v>
      </c>
      <c r="U31" t="s">
        <v>65</v>
      </c>
      <c r="W31" s="26">
        <v>45539</v>
      </c>
      <c r="X31" t="s">
        <v>61</v>
      </c>
      <c r="Y31" t="s">
        <v>237</v>
      </c>
    </row>
    <row r="32" spans="1:25" x14ac:dyDescent="0.25">
      <c r="A32" t="s">
        <v>10300</v>
      </c>
      <c r="B32">
        <v>11</v>
      </c>
      <c r="C32">
        <v>78</v>
      </c>
      <c r="D32">
        <v>9056</v>
      </c>
      <c r="E32" t="s">
        <v>214</v>
      </c>
      <c r="F32" t="s">
        <v>103</v>
      </c>
      <c r="G32" t="s">
        <v>10301</v>
      </c>
      <c r="H32" s="26">
        <v>16339</v>
      </c>
      <c r="I32" t="s">
        <v>58</v>
      </c>
      <c r="J32" t="s">
        <v>10302</v>
      </c>
      <c r="M32">
        <v>78150</v>
      </c>
      <c r="N32" t="s">
        <v>10164</v>
      </c>
      <c r="O32" t="s">
        <v>61</v>
      </c>
      <c r="P32">
        <v>170443197</v>
      </c>
      <c r="Q32">
        <v>607270330</v>
      </c>
      <c r="R32" t="s">
        <v>10303</v>
      </c>
      <c r="S32" t="s">
        <v>63</v>
      </c>
      <c r="T32" t="s">
        <v>64</v>
      </c>
      <c r="U32" t="s">
        <v>65</v>
      </c>
      <c r="W32" s="26">
        <v>45575</v>
      </c>
      <c r="X32" t="s">
        <v>61</v>
      </c>
      <c r="Y32" t="s">
        <v>237</v>
      </c>
    </row>
    <row r="33" spans="1:25" x14ac:dyDescent="0.25">
      <c r="A33" t="s">
        <v>215</v>
      </c>
      <c r="B33">
        <v>11</v>
      </c>
      <c r="C33">
        <v>78</v>
      </c>
      <c r="D33">
        <v>9084</v>
      </c>
      <c r="E33" t="s">
        <v>216</v>
      </c>
      <c r="F33" t="s">
        <v>217</v>
      </c>
      <c r="G33" t="s">
        <v>218</v>
      </c>
      <c r="H33" s="26">
        <v>26645</v>
      </c>
      <c r="I33" t="s">
        <v>58</v>
      </c>
      <c r="J33" t="s">
        <v>219</v>
      </c>
      <c r="M33">
        <v>78480</v>
      </c>
      <c r="N33" t="s">
        <v>220</v>
      </c>
      <c r="O33" t="s">
        <v>61</v>
      </c>
      <c r="P33">
        <v>139710205</v>
      </c>
      <c r="Q33">
        <v>615766215</v>
      </c>
      <c r="R33" t="s">
        <v>221</v>
      </c>
      <c r="S33" t="s">
        <v>63</v>
      </c>
      <c r="T33" t="s">
        <v>64</v>
      </c>
      <c r="U33" t="s">
        <v>65</v>
      </c>
      <c r="W33" s="26">
        <v>45559</v>
      </c>
      <c r="X33" t="s">
        <v>61</v>
      </c>
      <c r="Y33" t="s">
        <v>237</v>
      </c>
    </row>
    <row r="34" spans="1:25" x14ac:dyDescent="0.25">
      <c r="A34" t="s">
        <v>222</v>
      </c>
      <c r="B34">
        <v>11</v>
      </c>
      <c r="C34">
        <v>91</v>
      </c>
      <c r="D34">
        <v>9131</v>
      </c>
      <c r="E34" t="s">
        <v>8686</v>
      </c>
      <c r="F34" t="s">
        <v>223</v>
      </c>
      <c r="G34" t="s">
        <v>224</v>
      </c>
      <c r="H34" s="26">
        <v>24536</v>
      </c>
      <c r="I34" t="s">
        <v>58</v>
      </c>
      <c r="J34" t="s">
        <v>225</v>
      </c>
      <c r="M34">
        <v>91210</v>
      </c>
      <c r="N34" t="s">
        <v>226</v>
      </c>
      <c r="O34" t="s">
        <v>61</v>
      </c>
      <c r="P34">
        <v>169830678</v>
      </c>
      <c r="Q34">
        <v>673617266</v>
      </c>
      <c r="R34" t="s">
        <v>227</v>
      </c>
      <c r="S34" t="s">
        <v>63</v>
      </c>
      <c r="T34" t="s">
        <v>64</v>
      </c>
      <c r="U34" t="s">
        <v>65</v>
      </c>
      <c r="W34" s="26">
        <v>45539</v>
      </c>
      <c r="X34" t="s">
        <v>61</v>
      </c>
      <c r="Y34" t="s">
        <v>237</v>
      </c>
    </row>
    <row r="35" spans="1:25" x14ac:dyDescent="0.25">
      <c r="A35" t="s">
        <v>10304</v>
      </c>
      <c r="B35">
        <v>11</v>
      </c>
      <c r="C35">
        <v>92</v>
      </c>
      <c r="D35">
        <v>9068</v>
      </c>
      <c r="E35" t="s">
        <v>119</v>
      </c>
      <c r="F35" t="s">
        <v>115</v>
      </c>
      <c r="G35" t="s">
        <v>10305</v>
      </c>
      <c r="H35" s="26">
        <v>22709</v>
      </c>
      <c r="I35" t="s">
        <v>58</v>
      </c>
      <c r="J35" t="s">
        <v>10306</v>
      </c>
      <c r="M35">
        <v>92320</v>
      </c>
      <c r="N35" t="s">
        <v>228</v>
      </c>
      <c r="O35" t="s">
        <v>61</v>
      </c>
      <c r="P35">
        <v>140930701</v>
      </c>
      <c r="Q35">
        <v>650587868</v>
      </c>
      <c r="R35" t="s">
        <v>10307</v>
      </c>
      <c r="S35" t="s">
        <v>63</v>
      </c>
      <c r="T35" t="s">
        <v>64</v>
      </c>
      <c r="U35" t="s">
        <v>65</v>
      </c>
      <c r="W35" s="26">
        <v>45579</v>
      </c>
      <c r="X35" t="s">
        <v>61</v>
      </c>
      <c r="Y35" t="s">
        <v>237</v>
      </c>
    </row>
    <row r="36" spans="1:25" x14ac:dyDescent="0.25">
      <c r="A36" t="s">
        <v>230</v>
      </c>
      <c r="B36">
        <v>11</v>
      </c>
      <c r="C36">
        <v>95</v>
      </c>
      <c r="D36">
        <v>9010</v>
      </c>
      <c r="E36" t="s">
        <v>6</v>
      </c>
      <c r="F36" t="s">
        <v>231</v>
      </c>
      <c r="G36" t="s">
        <v>232</v>
      </c>
      <c r="H36" s="26">
        <v>19306</v>
      </c>
      <c r="I36" t="s">
        <v>58</v>
      </c>
      <c r="J36" t="s">
        <v>233</v>
      </c>
      <c r="K36" t="s">
        <v>234</v>
      </c>
      <c r="M36">
        <v>95120</v>
      </c>
      <c r="N36" t="s">
        <v>235</v>
      </c>
      <c r="O36" t="s">
        <v>61</v>
      </c>
      <c r="R36" t="s">
        <v>236</v>
      </c>
      <c r="S36" t="s">
        <v>237</v>
      </c>
      <c r="T36" t="s">
        <v>64</v>
      </c>
      <c r="U36" t="s">
        <v>65</v>
      </c>
      <c r="W36" s="26">
        <v>45555</v>
      </c>
      <c r="X36" t="s">
        <v>61</v>
      </c>
      <c r="Y36" t="s">
        <v>237</v>
      </c>
    </row>
    <row r="37" spans="1:25" x14ac:dyDescent="0.25">
      <c r="A37" t="s">
        <v>238</v>
      </c>
      <c r="B37">
        <v>11</v>
      </c>
      <c r="C37">
        <v>78</v>
      </c>
      <c r="D37">
        <v>9030</v>
      </c>
      <c r="E37" t="s">
        <v>96</v>
      </c>
      <c r="F37" t="s">
        <v>239</v>
      </c>
      <c r="G37" t="s">
        <v>240</v>
      </c>
      <c r="H37" s="26">
        <v>19632</v>
      </c>
      <c r="I37" t="s">
        <v>16</v>
      </c>
      <c r="J37" t="s">
        <v>241</v>
      </c>
      <c r="M37">
        <v>78280</v>
      </c>
      <c r="N37" t="s">
        <v>98</v>
      </c>
      <c r="O37" t="s">
        <v>61</v>
      </c>
      <c r="Q37">
        <v>769305842</v>
      </c>
      <c r="R37" t="s">
        <v>8694</v>
      </c>
      <c r="S37" t="s">
        <v>63</v>
      </c>
      <c r="T37" t="s">
        <v>64</v>
      </c>
      <c r="U37" t="s">
        <v>486</v>
      </c>
      <c r="W37" s="26">
        <v>45539</v>
      </c>
      <c r="X37" t="s">
        <v>61</v>
      </c>
      <c r="Y37" t="s">
        <v>237</v>
      </c>
    </row>
    <row r="38" spans="1:25" x14ac:dyDescent="0.25">
      <c r="A38" t="s">
        <v>242</v>
      </c>
      <c r="B38">
        <v>11</v>
      </c>
      <c r="C38">
        <v>92</v>
      </c>
      <c r="D38">
        <v>9088</v>
      </c>
      <c r="E38" t="s">
        <v>1</v>
      </c>
      <c r="F38" t="s">
        <v>243</v>
      </c>
      <c r="G38" t="s">
        <v>244</v>
      </c>
      <c r="H38" s="26">
        <v>25771</v>
      </c>
      <c r="I38" t="s">
        <v>58</v>
      </c>
      <c r="J38" t="s">
        <v>245</v>
      </c>
      <c r="M38">
        <v>92120</v>
      </c>
      <c r="N38" t="s">
        <v>246</v>
      </c>
      <c r="O38" t="s">
        <v>61</v>
      </c>
      <c r="P38">
        <v>179413082</v>
      </c>
      <c r="Q38">
        <v>659900023</v>
      </c>
      <c r="R38" t="s">
        <v>247</v>
      </c>
      <c r="S38" t="s">
        <v>63</v>
      </c>
      <c r="T38" t="s">
        <v>64</v>
      </c>
      <c r="U38" t="s">
        <v>65</v>
      </c>
      <c r="V38" t="s">
        <v>111</v>
      </c>
      <c r="W38" s="26">
        <v>45558</v>
      </c>
      <c r="X38" t="s">
        <v>61</v>
      </c>
      <c r="Y38" t="s">
        <v>237</v>
      </c>
    </row>
    <row r="39" spans="1:25" x14ac:dyDescent="0.25">
      <c r="A39" t="s">
        <v>248</v>
      </c>
      <c r="B39">
        <v>11</v>
      </c>
      <c r="C39">
        <v>78</v>
      </c>
      <c r="D39">
        <v>9084</v>
      </c>
      <c r="E39" t="s">
        <v>216</v>
      </c>
      <c r="F39" t="s">
        <v>249</v>
      </c>
      <c r="G39" t="s">
        <v>250</v>
      </c>
      <c r="H39" s="26">
        <v>21735</v>
      </c>
      <c r="I39" t="s">
        <v>58</v>
      </c>
      <c r="J39" t="s">
        <v>251</v>
      </c>
      <c r="M39">
        <v>78630</v>
      </c>
      <c r="N39" t="s">
        <v>252</v>
      </c>
      <c r="O39" t="s">
        <v>61</v>
      </c>
      <c r="Q39">
        <v>643142632</v>
      </c>
      <c r="R39" t="s">
        <v>253</v>
      </c>
      <c r="S39" t="s">
        <v>63</v>
      </c>
      <c r="T39" t="s">
        <v>64</v>
      </c>
      <c r="U39" t="s">
        <v>65</v>
      </c>
      <c r="W39" s="26">
        <v>45551</v>
      </c>
      <c r="X39" t="s">
        <v>61</v>
      </c>
      <c r="Y39" t="s">
        <v>237</v>
      </c>
    </row>
    <row r="40" spans="1:25" x14ac:dyDescent="0.25">
      <c r="A40" t="s">
        <v>254</v>
      </c>
      <c r="B40">
        <v>11</v>
      </c>
      <c r="C40">
        <v>92</v>
      </c>
      <c r="D40">
        <v>9032</v>
      </c>
      <c r="E40" t="s">
        <v>102</v>
      </c>
      <c r="F40" t="s">
        <v>255</v>
      </c>
      <c r="G40" t="s">
        <v>256</v>
      </c>
      <c r="H40" s="26">
        <v>23543</v>
      </c>
      <c r="I40" t="s">
        <v>58</v>
      </c>
      <c r="J40" t="s">
        <v>257</v>
      </c>
      <c r="M40">
        <v>78220</v>
      </c>
      <c r="N40" t="s">
        <v>258</v>
      </c>
      <c r="O40" t="s">
        <v>61</v>
      </c>
      <c r="Q40">
        <v>612681833</v>
      </c>
      <c r="R40" t="s">
        <v>259</v>
      </c>
      <c r="S40" t="s">
        <v>63</v>
      </c>
      <c r="T40" t="s">
        <v>64</v>
      </c>
      <c r="U40" t="s">
        <v>65</v>
      </c>
      <c r="W40" s="26">
        <v>45549</v>
      </c>
      <c r="X40" t="s">
        <v>61</v>
      </c>
      <c r="Y40" t="s">
        <v>237</v>
      </c>
    </row>
    <row r="41" spans="1:25" x14ac:dyDescent="0.25">
      <c r="A41" t="s">
        <v>260</v>
      </c>
      <c r="B41">
        <v>11</v>
      </c>
      <c r="C41">
        <v>78</v>
      </c>
      <c r="D41">
        <v>9030</v>
      </c>
      <c r="E41" t="s">
        <v>96</v>
      </c>
      <c r="F41" t="s">
        <v>97</v>
      </c>
      <c r="G41" t="s">
        <v>261</v>
      </c>
      <c r="H41" s="26">
        <v>20309</v>
      </c>
      <c r="I41" t="s">
        <v>58</v>
      </c>
      <c r="J41" t="s">
        <v>262</v>
      </c>
      <c r="M41">
        <v>78114</v>
      </c>
      <c r="N41" t="s">
        <v>263</v>
      </c>
      <c r="O41" t="s">
        <v>61</v>
      </c>
      <c r="Q41">
        <v>685948484</v>
      </c>
      <c r="R41" t="s">
        <v>264</v>
      </c>
      <c r="S41" t="s">
        <v>63</v>
      </c>
      <c r="T41" t="s">
        <v>64</v>
      </c>
      <c r="U41" t="s">
        <v>65</v>
      </c>
      <c r="V41" t="s">
        <v>111</v>
      </c>
      <c r="W41" s="26">
        <v>45524</v>
      </c>
      <c r="X41" t="s">
        <v>61</v>
      </c>
      <c r="Y41" t="s">
        <v>237</v>
      </c>
    </row>
    <row r="42" spans="1:25" x14ac:dyDescent="0.25">
      <c r="A42" t="s">
        <v>265</v>
      </c>
      <c r="B42">
        <v>11</v>
      </c>
      <c r="C42">
        <v>91</v>
      </c>
      <c r="D42">
        <v>9064</v>
      </c>
      <c r="E42" t="s">
        <v>266</v>
      </c>
      <c r="F42" t="s">
        <v>267</v>
      </c>
      <c r="G42" t="s">
        <v>268</v>
      </c>
      <c r="H42" s="26">
        <v>21792</v>
      </c>
      <c r="I42" t="s">
        <v>58</v>
      </c>
      <c r="J42" t="s">
        <v>269</v>
      </c>
      <c r="M42">
        <v>91360</v>
      </c>
      <c r="N42" t="s">
        <v>270</v>
      </c>
      <c r="O42" t="s">
        <v>61</v>
      </c>
      <c r="Q42">
        <v>689345661</v>
      </c>
      <c r="R42" t="s">
        <v>271</v>
      </c>
      <c r="S42" t="s">
        <v>63</v>
      </c>
      <c r="T42" t="s">
        <v>64</v>
      </c>
      <c r="U42" t="s">
        <v>65</v>
      </c>
      <c r="V42" t="s">
        <v>111</v>
      </c>
      <c r="W42" s="26">
        <v>45538</v>
      </c>
      <c r="X42" t="s">
        <v>61</v>
      </c>
      <c r="Y42" t="s">
        <v>237</v>
      </c>
    </row>
    <row r="43" spans="1:25" x14ac:dyDescent="0.25">
      <c r="A43" t="s">
        <v>8695</v>
      </c>
      <c r="B43">
        <v>11</v>
      </c>
      <c r="C43">
        <v>77</v>
      </c>
      <c r="D43">
        <v>9040</v>
      </c>
      <c r="E43" t="s">
        <v>612</v>
      </c>
      <c r="F43" t="s">
        <v>816</v>
      </c>
      <c r="G43" t="s">
        <v>8696</v>
      </c>
      <c r="H43" s="26">
        <v>25353</v>
      </c>
      <c r="I43" t="s">
        <v>58</v>
      </c>
      <c r="J43" t="s">
        <v>8697</v>
      </c>
      <c r="M43">
        <v>77250</v>
      </c>
      <c r="N43" t="s">
        <v>3522</v>
      </c>
      <c r="O43" t="s">
        <v>61</v>
      </c>
      <c r="Q43">
        <v>608809003</v>
      </c>
      <c r="R43" t="s">
        <v>8698</v>
      </c>
      <c r="S43" t="s">
        <v>63</v>
      </c>
      <c r="T43" t="s">
        <v>64</v>
      </c>
      <c r="U43" t="s">
        <v>65</v>
      </c>
      <c r="W43" s="26">
        <v>45548</v>
      </c>
      <c r="X43" t="s">
        <v>61</v>
      </c>
      <c r="Y43" t="s">
        <v>237</v>
      </c>
    </row>
    <row r="44" spans="1:25" x14ac:dyDescent="0.25">
      <c r="A44" t="s">
        <v>274</v>
      </c>
      <c r="B44">
        <v>11</v>
      </c>
      <c r="C44">
        <v>94</v>
      </c>
      <c r="D44">
        <v>9024</v>
      </c>
      <c r="E44" t="s">
        <v>4</v>
      </c>
      <c r="F44" t="s">
        <v>85</v>
      </c>
      <c r="G44" t="s">
        <v>275</v>
      </c>
      <c r="H44" s="26">
        <v>18454</v>
      </c>
      <c r="I44" t="s">
        <v>58</v>
      </c>
      <c r="J44" t="s">
        <v>276</v>
      </c>
      <c r="M44">
        <v>94000</v>
      </c>
      <c r="N44" t="s">
        <v>277</v>
      </c>
      <c r="O44" t="s">
        <v>61</v>
      </c>
      <c r="P44">
        <v>148981903</v>
      </c>
      <c r="Q44">
        <v>681356878</v>
      </c>
      <c r="R44" t="s">
        <v>278</v>
      </c>
      <c r="S44" t="s">
        <v>63</v>
      </c>
      <c r="T44" t="s">
        <v>64</v>
      </c>
      <c r="U44" t="s">
        <v>65</v>
      </c>
      <c r="W44" s="26">
        <v>45562</v>
      </c>
      <c r="X44" t="s">
        <v>61</v>
      </c>
      <c r="Y44" t="s">
        <v>237</v>
      </c>
    </row>
    <row r="45" spans="1:25" x14ac:dyDescent="0.25">
      <c r="A45" t="s">
        <v>279</v>
      </c>
      <c r="B45">
        <v>11</v>
      </c>
      <c r="C45">
        <v>77</v>
      </c>
      <c r="D45">
        <v>9059</v>
      </c>
      <c r="E45" t="s">
        <v>197</v>
      </c>
      <c r="F45" t="s">
        <v>115</v>
      </c>
      <c r="G45" t="s">
        <v>280</v>
      </c>
      <c r="H45" s="26">
        <v>17576</v>
      </c>
      <c r="I45" t="s">
        <v>58</v>
      </c>
      <c r="J45" t="s">
        <v>8699</v>
      </c>
      <c r="M45">
        <v>94350</v>
      </c>
      <c r="N45" t="s">
        <v>172</v>
      </c>
      <c r="O45" t="s">
        <v>61</v>
      </c>
      <c r="Q45">
        <v>609858205</v>
      </c>
      <c r="R45" t="s">
        <v>282</v>
      </c>
      <c r="S45" t="s">
        <v>63</v>
      </c>
      <c r="T45" t="s">
        <v>64</v>
      </c>
      <c r="U45" t="s">
        <v>65</v>
      </c>
      <c r="W45" s="26">
        <v>45558</v>
      </c>
      <c r="X45" t="s">
        <v>61</v>
      </c>
      <c r="Y45" t="s">
        <v>237</v>
      </c>
    </row>
    <row r="46" spans="1:25" x14ac:dyDescent="0.25">
      <c r="A46" t="s">
        <v>283</v>
      </c>
      <c r="B46">
        <v>11</v>
      </c>
      <c r="C46">
        <v>77</v>
      </c>
      <c r="D46">
        <v>9105</v>
      </c>
      <c r="E46" t="s">
        <v>124</v>
      </c>
      <c r="F46" t="s">
        <v>284</v>
      </c>
      <c r="G46" t="s">
        <v>285</v>
      </c>
      <c r="H46" s="26">
        <v>21920</v>
      </c>
      <c r="I46" t="s">
        <v>58</v>
      </c>
      <c r="J46" t="s">
        <v>286</v>
      </c>
      <c r="M46">
        <v>77240</v>
      </c>
      <c r="N46" t="s">
        <v>287</v>
      </c>
      <c r="O46" t="s">
        <v>61</v>
      </c>
      <c r="Q46">
        <v>767443911</v>
      </c>
      <c r="R46" t="s">
        <v>288</v>
      </c>
      <c r="S46" t="s">
        <v>63</v>
      </c>
      <c r="T46" t="s">
        <v>64</v>
      </c>
      <c r="U46" t="s">
        <v>65</v>
      </c>
      <c r="W46" s="26">
        <v>45537</v>
      </c>
      <c r="X46" t="s">
        <v>61</v>
      </c>
      <c r="Y46" t="s">
        <v>237</v>
      </c>
    </row>
    <row r="47" spans="1:25" x14ac:dyDescent="0.25">
      <c r="A47" t="s">
        <v>10308</v>
      </c>
      <c r="B47">
        <v>11</v>
      </c>
      <c r="C47">
        <v>95</v>
      </c>
      <c r="D47">
        <v>9010</v>
      </c>
      <c r="E47" t="s">
        <v>6</v>
      </c>
      <c r="F47" t="s">
        <v>289</v>
      </c>
      <c r="G47" t="s">
        <v>10309</v>
      </c>
      <c r="H47" s="26">
        <v>25577</v>
      </c>
      <c r="I47" t="s">
        <v>58</v>
      </c>
      <c r="J47" t="s">
        <v>10310</v>
      </c>
      <c r="M47">
        <v>95520</v>
      </c>
      <c r="N47" t="s">
        <v>290</v>
      </c>
      <c r="O47" t="s">
        <v>61</v>
      </c>
      <c r="Q47">
        <v>663278848</v>
      </c>
      <c r="R47" t="s">
        <v>10311</v>
      </c>
      <c r="S47" t="s">
        <v>63</v>
      </c>
      <c r="T47" t="s">
        <v>64</v>
      </c>
      <c r="U47" t="s">
        <v>65</v>
      </c>
      <c r="V47" t="s">
        <v>111</v>
      </c>
      <c r="W47" s="26">
        <v>45574</v>
      </c>
      <c r="X47" t="s">
        <v>61</v>
      </c>
      <c r="Y47" t="s">
        <v>237</v>
      </c>
    </row>
    <row r="48" spans="1:25" x14ac:dyDescent="0.25">
      <c r="A48" t="s">
        <v>9944</v>
      </c>
      <c r="B48">
        <v>11</v>
      </c>
      <c r="C48">
        <v>94</v>
      </c>
      <c r="D48">
        <v>9024</v>
      </c>
      <c r="E48" t="s">
        <v>4</v>
      </c>
      <c r="F48" t="s">
        <v>106</v>
      </c>
      <c r="G48" t="s">
        <v>9945</v>
      </c>
      <c r="H48" s="26">
        <v>18156</v>
      </c>
      <c r="I48" t="s">
        <v>58</v>
      </c>
      <c r="J48" t="s">
        <v>9946</v>
      </c>
      <c r="M48">
        <v>93360</v>
      </c>
      <c r="N48" t="s">
        <v>291</v>
      </c>
      <c r="O48" t="s">
        <v>61</v>
      </c>
      <c r="Q48">
        <v>619708241</v>
      </c>
      <c r="R48" t="s">
        <v>9947</v>
      </c>
      <c r="S48" t="s">
        <v>63</v>
      </c>
      <c r="T48" t="s">
        <v>64</v>
      </c>
      <c r="U48" t="s">
        <v>65</v>
      </c>
      <c r="W48" s="26">
        <v>45569</v>
      </c>
      <c r="X48" t="s">
        <v>61</v>
      </c>
      <c r="Y48" t="s">
        <v>237</v>
      </c>
    </row>
    <row r="49" spans="1:25" x14ac:dyDescent="0.25">
      <c r="A49" t="s">
        <v>292</v>
      </c>
      <c r="B49">
        <v>11</v>
      </c>
      <c r="C49">
        <v>94</v>
      </c>
      <c r="D49">
        <v>9031</v>
      </c>
      <c r="E49" t="s">
        <v>7</v>
      </c>
      <c r="F49" t="s">
        <v>289</v>
      </c>
      <c r="G49" t="s">
        <v>293</v>
      </c>
      <c r="H49" s="26">
        <v>21177</v>
      </c>
      <c r="I49" t="s">
        <v>58</v>
      </c>
      <c r="J49" t="s">
        <v>294</v>
      </c>
      <c r="M49">
        <v>94170</v>
      </c>
      <c r="N49" t="s">
        <v>295</v>
      </c>
      <c r="O49" t="s">
        <v>61</v>
      </c>
      <c r="Q49">
        <v>632946482</v>
      </c>
      <c r="R49" t="s">
        <v>296</v>
      </c>
      <c r="S49" t="s">
        <v>63</v>
      </c>
      <c r="T49" t="s">
        <v>64</v>
      </c>
      <c r="U49" t="s">
        <v>65</v>
      </c>
      <c r="W49" s="26">
        <v>45548</v>
      </c>
      <c r="X49" t="s">
        <v>61</v>
      </c>
      <c r="Y49" t="s">
        <v>237</v>
      </c>
    </row>
    <row r="50" spans="1:25" x14ac:dyDescent="0.25">
      <c r="A50" t="s">
        <v>300</v>
      </c>
      <c r="B50">
        <v>11</v>
      </c>
      <c r="C50">
        <v>77</v>
      </c>
      <c r="D50">
        <v>9105</v>
      </c>
      <c r="E50" t="s">
        <v>124</v>
      </c>
      <c r="F50" t="s">
        <v>301</v>
      </c>
      <c r="G50" t="s">
        <v>302</v>
      </c>
      <c r="H50" s="26">
        <v>17056</v>
      </c>
      <c r="I50" t="s">
        <v>58</v>
      </c>
      <c r="J50" t="s">
        <v>303</v>
      </c>
      <c r="M50">
        <v>77000</v>
      </c>
      <c r="N50" t="s">
        <v>190</v>
      </c>
      <c r="O50" t="s">
        <v>61</v>
      </c>
      <c r="S50" t="s">
        <v>63</v>
      </c>
      <c r="T50" t="s">
        <v>64</v>
      </c>
      <c r="U50" t="s">
        <v>65</v>
      </c>
      <c r="W50" s="26">
        <v>45539</v>
      </c>
      <c r="X50" t="s">
        <v>61</v>
      </c>
      <c r="Y50" t="s">
        <v>237</v>
      </c>
    </row>
    <row r="51" spans="1:25" x14ac:dyDescent="0.25">
      <c r="A51" t="s">
        <v>304</v>
      </c>
      <c r="B51">
        <v>11</v>
      </c>
      <c r="C51">
        <v>95</v>
      </c>
      <c r="D51">
        <v>9010</v>
      </c>
      <c r="E51" t="s">
        <v>6</v>
      </c>
      <c r="F51" t="s">
        <v>305</v>
      </c>
      <c r="G51" t="s">
        <v>306</v>
      </c>
      <c r="H51" s="26">
        <v>20650</v>
      </c>
      <c r="I51" t="s">
        <v>58</v>
      </c>
      <c r="J51" t="s">
        <v>307</v>
      </c>
      <c r="M51">
        <v>95210</v>
      </c>
      <c r="N51" t="s">
        <v>308</v>
      </c>
      <c r="O51" t="s">
        <v>61</v>
      </c>
      <c r="R51" t="s">
        <v>309</v>
      </c>
      <c r="S51" t="s">
        <v>63</v>
      </c>
      <c r="T51" t="s">
        <v>64</v>
      </c>
      <c r="U51" t="s">
        <v>65</v>
      </c>
      <c r="W51" s="26">
        <v>45561</v>
      </c>
      <c r="X51" t="s">
        <v>310</v>
      </c>
      <c r="Y51" t="s">
        <v>237</v>
      </c>
    </row>
    <row r="52" spans="1:25" x14ac:dyDescent="0.25">
      <c r="A52" t="s">
        <v>10312</v>
      </c>
      <c r="B52">
        <v>11</v>
      </c>
      <c r="C52">
        <v>95</v>
      </c>
      <c r="D52">
        <v>9010</v>
      </c>
      <c r="E52" t="s">
        <v>6</v>
      </c>
      <c r="F52" t="s">
        <v>143</v>
      </c>
      <c r="G52" t="s">
        <v>10313</v>
      </c>
      <c r="H52" s="26">
        <v>21610</v>
      </c>
      <c r="I52" t="s">
        <v>58</v>
      </c>
      <c r="J52" t="s">
        <v>10314</v>
      </c>
      <c r="M52">
        <v>95100</v>
      </c>
      <c r="N52" t="s">
        <v>311</v>
      </c>
      <c r="O52" t="s">
        <v>61</v>
      </c>
      <c r="R52" t="s">
        <v>236</v>
      </c>
      <c r="S52" t="s">
        <v>63</v>
      </c>
      <c r="T52" t="s">
        <v>64</v>
      </c>
      <c r="U52" t="s">
        <v>65</v>
      </c>
      <c r="W52" s="26">
        <v>45574</v>
      </c>
      <c r="X52" t="s">
        <v>310</v>
      </c>
      <c r="Y52" t="s">
        <v>237</v>
      </c>
    </row>
    <row r="53" spans="1:25" x14ac:dyDescent="0.25">
      <c r="A53" t="s">
        <v>313</v>
      </c>
      <c r="B53">
        <v>11</v>
      </c>
      <c r="C53">
        <v>92</v>
      </c>
      <c r="D53">
        <v>9088</v>
      </c>
      <c r="E53" t="s">
        <v>1</v>
      </c>
      <c r="F53" t="s">
        <v>97</v>
      </c>
      <c r="G53" t="s">
        <v>314</v>
      </c>
      <c r="H53" s="26">
        <v>19029</v>
      </c>
      <c r="I53" t="s">
        <v>58</v>
      </c>
      <c r="J53" t="s">
        <v>315</v>
      </c>
      <c r="M53">
        <v>92110</v>
      </c>
      <c r="N53" t="s">
        <v>135</v>
      </c>
      <c r="O53" t="s">
        <v>61</v>
      </c>
      <c r="P53">
        <v>662128496</v>
      </c>
      <c r="R53" t="s">
        <v>316</v>
      </c>
      <c r="S53" t="s">
        <v>63</v>
      </c>
      <c r="T53" t="s">
        <v>64</v>
      </c>
      <c r="U53" t="s">
        <v>65</v>
      </c>
      <c r="W53" s="26">
        <v>45558</v>
      </c>
      <c r="X53" t="s">
        <v>61</v>
      </c>
      <c r="Y53" t="s">
        <v>237</v>
      </c>
    </row>
    <row r="54" spans="1:25" x14ac:dyDescent="0.25">
      <c r="A54" t="s">
        <v>317</v>
      </c>
      <c r="B54">
        <v>11</v>
      </c>
      <c r="C54">
        <v>91</v>
      </c>
      <c r="D54">
        <v>9064</v>
      </c>
      <c r="E54" t="s">
        <v>266</v>
      </c>
      <c r="F54" t="s">
        <v>85</v>
      </c>
      <c r="G54" t="s">
        <v>318</v>
      </c>
      <c r="H54" s="26">
        <v>18298</v>
      </c>
      <c r="I54" t="s">
        <v>58</v>
      </c>
      <c r="J54" t="s">
        <v>319</v>
      </c>
      <c r="M54">
        <v>92160</v>
      </c>
      <c r="N54" t="s">
        <v>320</v>
      </c>
      <c r="O54" t="s">
        <v>61</v>
      </c>
      <c r="P54">
        <v>146669558</v>
      </c>
      <c r="S54" t="s">
        <v>63</v>
      </c>
      <c r="T54" t="s">
        <v>64</v>
      </c>
      <c r="U54" t="s">
        <v>65</v>
      </c>
      <c r="W54" s="26">
        <v>45539</v>
      </c>
      <c r="X54" t="s">
        <v>61</v>
      </c>
      <c r="Y54" t="s">
        <v>237</v>
      </c>
    </row>
    <row r="55" spans="1:25" x14ac:dyDescent="0.25">
      <c r="A55" t="s">
        <v>321</v>
      </c>
      <c r="B55">
        <v>11</v>
      </c>
      <c r="C55">
        <v>94</v>
      </c>
      <c r="D55">
        <v>9024</v>
      </c>
      <c r="E55" t="s">
        <v>4</v>
      </c>
      <c r="F55" t="s">
        <v>322</v>
      </c>
      <c r="G55" t="s">
        <v>323</v>
      </c>
      <c r="H55" s="26">
        <v>27350</v>
      </c>
      <c r="I55" t="s">
        <v>58</v>
      </c>
      <c r="J55" t="s">
        <v>324</v>
      </c>
      <c r="M55">
        <v>94370</v>
      </c>
      <c r="N55" t="s">
        <v>60</v>
      </c>
      <c r="O55" t="s">
        <v>61</v>
      </c>
      <c r="Q55">
        <v>688474509</v>
      </c>
      <c r="R55" t="s">
        <v>325</v>
      </c>
      <c r="S55" t="s">
        <v>63</v>
      </c>
      <c r="T55" t="s">
        <v>64</v>
      </c>
      <c r="U55" t="s">
        <v>65</v>
      </c>
      <c r="W55" s="26">
        <v>45561</v>
      </c>
      <c r="X55" t="s">
        <v>61</v>
      </c>
      <c r="Y55" t="s">
        <v>237</v>
      </c>
    </row>
    <row r="56" spans="1:25" x14ac:dyDescent="0.25">
      <c r="A56" t="s">
        <v>326</v>
      </c>
      <c r="B56">
        <v>11</v>
      </c>
      <c r="C56">
        <v>94</v>
      </c>
      <c r="D56">
        <v>9031</v>
      </c>
      <c r="E56" t="s">
        <v>7</v>
      </c>
      <c r="F56" t="s">
        <v>327</v>
      </c>
      <c r="G56" t="s">
        <v>328</v>
      </c>
      <c r="H56" s="26">
        <v>22404</v>
      </c>
      <c r="I56" t="s">
        <v>58</v>
      </c>
      <c r="J56" t="s">
        <v>329</v>
      </c>
      <c r="M56">
        <v>75011</v>
      </c>
      <c r="N56" t="s">
        <v>330</v>
      </c>
      <c r="O56" t="s">
        <v>61</v>
      </c>
      <c r="Q56">
        <v>669315659</v>
      </c>
      <c r="R56" t="s">
        <v>331</v>
      </c>
      <c r="S56" t="s">
        <v>63</v>
      </c>
      <c r="T56" t="s">
        <v>64</v>
      </c>
      <c r="U56" t="s">
        <v>65</v>
      </c>
      <c r="W56" s="26">
        <v>45550</v>
      </c>
      <c r="X56" t="s">
        <v>61</v>
      </c>
      <c r="Y56" t="s">
        <v>237</v>
      </c>
    </row>
    <row r="57" spans="1:25" x14ac:dyDescent="0.25">
      <c r="A57" t="s">
        <v>332</v>
      </c>
      <c r="B57">
        <v>11</v>
      </c>
      <c r="C57">
        <v>91</v>
      </c>
      <c r="D57">
        <v>9064</v>
      </c>
      <c r="E57" t="s">
        <v>266</v>
      </c>
      <c r="F57" t="s">
        <v>106</v>
      </c>
      <c r="G57" t="s">
        <v>333</v>
      </c>
      <c r="H57" s="26">
        <v>19847</v>
      </c>
      <c r="I57" t="s">
        <v>58</v>
      </c>
      <c r="J57" t="s">
        <v>334</v>
      </c>
      <c r="M57">
        <v>91120</v>
      </c>
      <c r="N57" t="s">
        <v>335</v>
      </c>
      <c r="O57" t="s">
        <v>61</v>
      </c>
      <c r="P57">
        <v>169310791</v>
      </c>
      <c r="Q57">
        <v>781253091</v>
      </c>
      <c r="R57" t="s">
        <v>336</v>
      </c>
      <c r="S57" t="s">
        <v>63</v>
      </c>
      <c r="T57" t="s">
        <v>64</v>
      </c>
      <c r="U57" t="s">
        <v>65</v>
      </c>
      <c r="W57" s="26">
        <v>45566</v>
      </c>
      <c r="X57" t="s">
        <v>61</v>
      </c>
      <c r="Y57" t="s">
        <v>237</v>
      </c>
    </row>
    <row r="58" spans="1:25" x14ac:dyDescent="0.25">
      <c r="A58" t="s">
        <v>9964</v>
      </c>
      <c r="B58">
        <v>11</v>
      </c>
      <c r="C58">
        <v>78</v>
      </c>
      <c r="D58">
        <v>9052</v>
      </c>
      <c r="E58" t="s">
        <v>337</v>
      </c>
      <c r="F58" t="s">
        <v>91</v>
      </c>
      <c r="G58" t="s">
        <v>9965</v>
      </c>
      <c r="H58" s="26">
        <v>15723</v>
      </c>
      <c r="I58" t="s">
        <v>58</v>
      </c>
      <c r="J58" t="s">
        <v>9966</v>
      </c>
      <c r="M58">
        <v>78370</v>
      </c>
      <c r="N58" t="s">
        <v>338</v>
      </c>
      <c r="O58" t="s">
        <v>61</v>
      </c>
      <c r="P58">
        <v>130542178</v>
      </c>
      <c r="Q58">
        <v>611421155</v>
      </c>
      <c r="R58" t="s">
        <v>9967</v>
      </c>
      <c r="S58" t="s">
        <v>63</v>
      </c>
      <c r="T58" t="s">
        <v>64</v>
      </c>
      <c r="U58" t="s">
        <v>65</v>
      </c>
      <c r="V58" t="s">
        <v>111</v>
      </c>
      <c r="W58" s="26">
        <v>45570</v>
      </c>
      <c r="X58" t="s">
        <v>61</v>
      </c>
      <c r="Y58" t="s">
        <v>237</v>
      </c>
    </row>
    <row r="59" spans="1:25" x14ac:dyDescent="0.25">
      <c r="A59" t="s">
        <v>10315</v>
      </c>
      <c r="B59">
        <v>11</v>
      </c>
      <c r="C59">
        <v>94</v>
      </c>
      <c r="D59">
        <v>9024</v>
      </c>
      <c r="E59" t="s">
        <v>4</v>
      </c>
      <c r="F59" t="s">
        <v>183</v>
      </c>
      <c r="G59" t="s">
        <v>10316</v>
      </c>
      <c r="H59" s="26">
        <v>16436</v>
      </c>
      <c r="I59" t="s">
        <v>58</v>
      </c>
      <c r="J59" t="s">
        <v>10317</v>
      </c>
      <c r="M59">
        <v>94500</v>
      </c>
      <c r="N59" t="s">
        <v>339</v>
      </c>
      <c r="O59" t="s">
        <v>61</v>
      </c>
      <c r="Q59">
        <v>608165577</v>
      </c>
      <c r="R59" t="s">
        <v>10318</v>
      </c>
      <c r="S59" t="s">
        <v>63</v>
      </c>
      <c r="T59" t="s">
        <v>64</v>
      </c>
      <c r="U59" t="s">
        <v>65</v>
      </c>
      <c r="W59" s="26">
        <v>45576</v>
      </c>
      <c r="X59" t="s">
        <v>61</v>
      </c>
      <c r="Y59" t="s">
        <v>237</v>
      </c>
    </row>
    <row r="60" spans="1:25" x14ac:dyDescent="0.25">
      <c r="A60" t="s">
        <v>340</v>
      </c>
      <c r="B60">
        <v>11</v>
      </c>
      <c r="C60">
        <v>77</v>
      </c>
      <c r="D60">
        <v>9055</v>
      </c>
      <c r="E60" t="s">
        <v>341</v>
      </c>
      <c r="F60" t="s">
        <v>342</v>
      </c>
      <c r="G60" t="s">
        <v>343</v>
      </c>
      <c r="H60" s="26">
        <v>19783</v>
      </c>
      <c r="I60" t="s">
        <v>58</v>
      </c>
      <c r="J60" t="s">
        <v>344</v>
      </c>
      <c r="M60">
        <v>77350</v>
      </c>
      <c r="N60" t="s">
        <v>345</v>
      </c>
      <c r="O60" t="s">
        <v>61</v>
      </c>
      <c r="Q60">
        <v>685535492</v>
      </c>
      <c r="R60" t="s">
        <v>346</v>
      </c>
      <c r="S60" t="s">
        <v>63</v>
      </c>
      <c r="T60" t="s">
        <v>64</v>
      </c>
      <c r="U60" t="s">
        <v>65</v>
      </c>
      <c r="W60" s="26">
        <v>45539</v>
      </c>
      <c r="X60" t="s">
        <v>61</v>
      </c>
      <c r="Y60" t="s">
        <v>237</v>
      </c>
    </row>
    <row r="61" spans="1:25" x14ac:dyDescent="0.25">
      <c r="A61" t="s">
        <v>8700</v>
      </c>
      <c r="B61">
        <v>11</v>
      </c>
      <c r="C61">
        <v>91</v>
      </c>
      <c r="D61">
        <v>9096</v>
      </c>
      <c r="E61" t="s">
        <v>526</v>
      </c>
      <c r="F61" t="s">
        <v>243</v>
      </c>
      <c r="G61" t="s">
        <v>8701</v>
      </c>
      <c r="H61" s="26">
        <v>24418</v>
      </c>
      <c r="I61" t="s">
        <v>58</v>
      </c>
      <c r="J61" t="s">
        <v>8702</v>
      </c>
      <c r="M61">
        <v>91610</v>
      </c>
      <c r="N61" t="s">
        <v>8703</v>
      </c>
      <c r="O61" t="s">
        <v>61</v>
      </c>
      <c r="Q61">
        <v>630082751</v>
      </c>
      <c r="R61" t="s">
        <v>8704</v>
      </c>
      <c r="S61" t="s">
        <v>63</v>
      </c>
      <c r="T61" t="s">
        <v>64</v>
      </c>
      <c r="U61" t="s">
        <v>65</v>
      </c>
      <c r="W61" s="26">
        <v>45542</v>
      </c>
      <c r="X61" t="s">
        <v>61</v>
      </c>
      <c r="Y61" t="s">
        <v>237</v>
      </c>
    </row>
    <row r="62" spans="1:25" x14ac:dyDescent="0.25">
      <c r="A62" t="s">
        <v>349</v>
      </c>
      <c r="B62">
        <v>11</v>
      </c>
      <c r="C62">
        <v>91</v>
      </c>
      <c r="D62">
        <v>9009</v>
      </c>
      <c r="E62" t="s">
        <v>159</v>
      </c>
      <c r="F62" t="s">
        <v>12</v>
      </c>
      <c r="G62" t="s">
        <v>350</v>
      </c>
      <c r="H62" s="26">
        <v>26656</v>
      </c>
      <c r="I62" t="s">
        <v>58</v>
      </c>
      <c r="J62" t="s">
        <v>351</v>
      </c>
      <c r="M62">
        <v>77127</v>
      </c>
      <c r="N62" t="s">
        <v>352</v>
      </c>
      <c r="O62" t="s">
        <v>61</v>
      </c>
      <c r="Q62">
        <v>619612517</v>
      </c>
      <c r="R62" t="s">
        <v>353</v>
      </c>
      <c r="S62" t="s">
        <v>63</v>
      </c>
      <c r="T62" t="s">
        <v>64</v>
      </c>
      <c r="U62" t="s">
        <v>65</v>
      </c>
      <c r="W62" s="26">
        <v>45538</v>
      </c>
      <c r="X62" t="s">
        <v>61</v>
      </c>
      <c r="Y62" t="s">
        <v>237</v>
      </c>
    </row>
    <row r="63" spans="1:25" x14ac:dyDescent="0.25">
      <c r="A63" t="s">
        <v>354</v>
      </c>
      <c r="B63">
        <v>11</v>
      </c>
      <c r="C63">
        <v>94</v>
      </c>
      <c r="D63">
        <v>9024</v>
      </c>
      <c r="E63" t="s">
        <v>4</v>
      </c>
      <c r="F63" t="s">
        <v>355</v>
      </c>
      <c r="G63" t="s">
        <v>356</v>
      </c>
      <c r="H63" s="26">
        <v>20975</v>
      </c>
      <c r="I63" t="s">
        <v>58</v>
      </c>
      <c r="J63" t="s">
        <v>357</v>
      </c>
      <c r="M63">
        <v>45120</v>
      </c>
      <c r="N63" t="s">
        <v>358</v>
      </c>
      <c r="O63" t="s">
        <v>61</v>
      </c>
      <c r="Q63">
        <v>620371522</v>
      </c>
      <c r="R63" t="s">
        <v>359</v>
      </c>
      <c r="S63" t="s">
        <v>63</v>
      </c>
      <c r="T63" t="s">
        <v>64</v>
      </c>
      <c r="U63" t="s">
        <v>65</v>
      </c>
      <c r="W63" s="26">
        <v>45536</v>
      </c>
      <c r="X63" t="s">
        <v>61</v>
      </c>
      <c r="Y63" t="s">
        <v>237</v>
      </c>
    </row>
    <row r="64" spans="1:25" x14ac:dyDescent="0.25">
      <c r="A64" t="s">
        <v>361</v>
      </c>
      <c r="B64">
        <v>11</v>
      </c>
      <c r="C64">
        <v>78</v>
      </c>
      <c r="D64">
        <v>9016</v>
      </c>
      <c r="E64" t="s">
        <v>362</v>
      </c>
      <c r="F64" t="s">
        <v>103</v>
      </c>
      <c r="G64" t="s">
        <v>363</v>
      </c>
      <c r="H64" s="26">
        <v>16991</v>
      </c>
      <c r="I64" t="s">
        <v>58</v>
      </c>
      <c r="J64" t="s">
        <v>364</v>
      </c>
      <c r="M64">
        <v>78520</v>
      </c>
      <c r="N64" t="s">
        <v>365</v>
      </c>
      <c r="O64" t="s">
        <v>61</v>
      </c>
      <c r="P64">
        <v>134772291</v>
      </c>
      <c r="Q64">
        <v>615072685</v>
      </c>
      <c r="R64" t="s">
        <v>366</v>
      </c>
      <c r="S64" t="s">
        <v>63</v>
      </c>
      <c r="T64" t="s">
        <v>64</v>
      </c>
      <c r="U64" t="s">
        <v>65</v>
      </c>
      <c r="W64" s="26">
        <v>45539</v>
      </c>
      <c r="X64" t="s">
        <v>61</v>
      </c>
      <c r="Y64" t="s">
        <v>237</v>
      </c>
    </row>
    <row r="65" spans="1:25" x14ac:dyDescent="0.25">
      <c r="A65" t="s">
        <v>367</v>
      </c>
      <c r="B65">
        <v>11</v>
      </c>
      <c r="C65">
        <v>95</v>
      </c>
      <c r="D65">
        <v>9010</v>
      </c>
      <c r="E65" t="s">
        <v>6</v>
      </c>
      <c r="F65" t="s">
        <v>368</v>
      </c>
      <c r="G65" t="s">
        <v>369</v>
      </c>
      <c r="H65" s="26">
        <v>28770</v>
      </c>
      <c r="I65" t="s">
        <v>58</v>
      </c>
      <c r="J65" t="s">
        <v>370</v>
      </c>
      <c r="M65">
        <v>95100</v>
      </c>
      <c r="N65" t="s">
        <v>311</v>
      </c>
      <c r="O65" t="s">
        <v>61</v>
      </c>
      <c r="R65" t="s">
        <v>371</v>
      </c>
      <c r="S65" t="s">
        <v>63</v>
      </c>
      <c r="T65" t="s">
        <v>64</v>
      </c>
      <c r="U65" t="s">
        <v>65</v>
      </c>
      <c r="W65" s="26">
        <v>45544</v>
      </c>
      <c r="X65" t="s">
        <v>61</v>
      </c>
      <c r="Y65" t="s">
        <v>237</v>
      </c>
    </row>
    <row r="66" spans="1:25" x14ac:dyDescent="0.25">
      <c r="A66" t="s">
        <v>372</v>
      </c>
      <c r="B66">
        <v>11</v>
      </c>
      <c r="C66">
        <v>77</v>
      </c>
      <c r="D66">
        <v>9105</v>
      </c>
      <c r="E66" t="s">
        <v>124</v>
      </c>
      <c r="F66" t="s">
        <v>106</v>
      </c>
      <c r="G66" t="s">
        <v>373</v>
      </c>
      <c r="H66" s="26">
        <v>19891</v>
      </c>
      <c r="I66" t="s">
        <v>58</v>
      </c>
      <c r="J66" t="s">
        <v>374</v>
      </c>
      <c r="M66">
        <v>77310</v>
      </c>
      <c r="N66" t="s">
        <v>375</v>
      </c>
      <c r="O66" t="s">
        <v>61</v>
      </c>
      <c r="P66">
        <v>164382387</v>
      </c>
      <c r="Q66">
        <v>603945430</v>
      </c>
      <c r="R66" t="s">
        <v>376</v>
      </c>
      <c r="S66" t="s">
        <v>63</v>
      </c>
      <c r="T66" t="s">
        <v>64</v>
      </c>
      <c r="U66" t="s">
        <v>65</v>
      </c>
      <c r="W66" s="26">
        <v>45537</v>
      </c>
      <c r="X66" t="s">
        <v>61</v>
      </c>
      <c r="Y66" t="s">
        <v>237</v>
      </c>
    </row>
    <row r="67" spans="1:25" x14ac:dyDescent="0.25">
      <c r="A67" t="s">
        <v>377</v>
      </c>
      <c r="B67">
        <v>11</v>
      </c>
      <c r="C67">
        <v>94</v>
      </c>
      <c r="D67">
        <v>9024</v>
      </c>
      <c r="E67" t="s">
        <v>4</v>
      </c>
      <c r="F67" t="s">
        <v>378</v>
      </c>
      <c r="G67" t="s">
        <v>379</v>
      </c>
      <c r="H67" s="26">
        <v>25033</v>
      </c>
      <c r="I67" t="s">
        <v>58</v>
      </c>
      <c r="J67" t="s">
        <v>380</v>
      </c>
      <c r="M67">
        <v>77177</v>
      </c>
      <c r="N67" t="s">
        <v>381</v>
      </c>
      <c r="O67" t="s">
        <v>61</v>
      </c>
      <c r="Q67">
        <v>761004945</v>
      </c>
      <c r="R67" t="s">
        <v>382</v>
      </c>
      <c r="S67" t="s">
        <v>63</v>
      </c>
      <c r="T67" t="s">
        <v>64</v>
      </c>
      <c r="U67" t="s">
        <v>8684</v>
      </c>
      <c r="W67" s="26">
        <v>45562</v>
      </c>
      <c r="X67" t="s">
        <v>310</v>
      </c>
      <c r="Y67" t="s">
        <v>237</v>
      </c>
    </row>
    <row r="68" spans="1:25" x14ac:dyDescent="0.25">
      <c r="A68" t="s">
        <v>384</v>
      </c>
      <c r="B68">
        <v>11</v>
      </c>
      <c r="C68">
        <v>94</v>
      </c>
      <c r="D68">
        <v>9031</v>
      </c>
      <c r="E68" t="s">
        <v>7</v>
      </c>
      <c r="F68" t="s">
        <v>312</v>
      </c>
      <c r="G68" t="s">
        <v>385</v>
      </c>
      <c r="H68" s="26">
        <v>25321</v>
      </c>
      <c r="I68" t="s">
        <v>58</v>
      </c>
      <c r="J68" t="s">
        <v>8705</v>
      </c>
      <c r="M68">
        <v>94700</v>
      </c>
      <c r="N68" t="s">
        <v>163</v>
      </c>
      <c r="O68" t="s">
        <v>61</v>
      </c>
      <c r="Q68">
        <v>620101304</v>
      </c>
      <c r="R68" t="s">
        <v>8706</v>
      </c>
      <c r="S68" t="s">
        <v>63</v>
      </c>
      <c r="T68" t="s">
        <v>64</v>
      </c>
      <c r="U68" t="s">
        <v>65</v>
      </c>
      <c r="W68" s="26">
        <v>45555</v>
      </c>
      <c r="X68" t="s">
        <v>61</v>
      </c>
      <c r="Y68" t="s">
        <v>237</v>
      </c>
    </row>
    <row r="69" spans="1:25" x14ac:dyDescent="0.25">
      <c r="A69" t="s">
        <v>387</v>
      </c>
      <c r="B69">
        <v>11</v>
      </c>
      <c r="C69">
        <v>77</v>
      </c>
      <c r="D69">
        <v>9021</v>
      </c>
      <c r="E69" t="s">
        <v>229</v>
      </c>
      <c r="F69" t="s">
        <v>388</v>
      </c>
      <c r="G69" t="s">
        <v>389</v>
      </c>
      <c r="H69" s="26">
        <v>32496</v>
      </c>
      <c r="I69" t="s">
        <v>58</v>
      </c>
      <c r="J69" t="s">
        <v>390</v>
      </c>
      <c r="M69">
        <v>77210</v>
      </c>
      <c r="N69" t="s">
        <v>391</v>
      </c>
      <c r="O69" t="s">
        <v>61</v>
      </c>
      <c r="Q69">
        <v>687512773</v>
      </c>
      <c r="R69" t="s">
        <v>5108</v>
      </c>
      <c r="S69" t="s">
        <v>63</v>
      </c>
      <c r="T69" t="s">
        <v>64</v>
      </c>
      <c r="U69" t="s">
        <v>65</v>
      </c>
      <c r="W69" s="26">
        <v>45527</v>
      </c>
      <c r="X69" t="s">
        <v>61</v>
      </c>
      <c r="Y69" t="s">
        <v>237</v>
      </c>
    </row>
    <row r="70" spans="1:25" x14ac:dyDescent="0.25">
      <c r="A70" t="s">
        <v>392</v>
      </c>
      <c r="B70">
        <v>11</v>
      </c>
      <c r="C70">
        <v>94</v>
      </c>
      <c r="D70">
        <v>9031</v>
      </c>
      <c r="E70" t="s">
        <v>7</v>
      </c>
      <c r="F70" t="s">
        <v>204</v>
      </c>
      <c r="G70" t="s">
        <v>393</v>
      </c>
      <c r="H70" s="26">
        <v>19016</v>
      </c>
      <c r="I70" t="s">
        <v>58</v>
      </c>
      <c r="J70" t="s">
        <v>394</v>
      </c>
      <c r="M70">
        <v>75004</v>
      </c>
      <c r="N70" t="s">
        <v>330</v>
      </c>
      <c r="O70" t="s">
        <v>61</v>
      </c>
      <c r="Q70">
        <v>630956702</v>
      </c>
      <c r="R70" t="s">
        <v>395</v>
      </c>
      <c r="S70" t="s">
        <v>63</v>
      </c>
      <c r="T70" t="s">
        <v>64</v>
      </c>
      <c r="U70" t="s">
        <v>65</v>
      </c>
      <c r="W70" s="26">
        <v>45558</v>
      </c>
      <c r="X70" t="s">
        <v>61</v>
      </c>
      <c r="Y70" t="s">
        <v>237</v>
      </c>
    </row>
    <row r="71" spans="1:25" x14ac:dyDescent="0.25">
      <c r="A71" t="s">
        <v>396</v>
      </c>
      <c r="B71">
        <v>11</v>
      </c>
      <c r="C71">
        <v>92</v>
      </c>
      <c r="D71">
        <v>9007</v>
      </c>
      <c r="E71" t="s">
        <v>121</v>
      </c>
      <c r="F71" t="s">
        <v>397</v>
      </c>
      <c r="G71" t="s">
        <v>398</v>
      </c>
      <c r="H71" s="26">
        <v>17734</v>
      </c>
      <c r="I71" t="s">
        <v>58</v>
      </c>
      <c r="J71" t="s">
        <v>399</v>
      </c>
      <c r="K71" t="s">
        <v>400</v>
      </c>
      <c r="M71">
        <v>75011</v>
      </c>
      <c r="N71" t="s">
        <v>330</v>
      </c>
      <c r="O71" t="s">
        <v>61</v>
      </c>
      <c r="Q71">
        <v>671498453</v>
      </c>
      <c r="R71" t="s">
        <v>401</v>
      </c>
      <c r="S71" t="s">
        <v>63</v>
      </c>
      <c r="T71" t="s">
        <v>64</v>
      </c>
      <c r="U71" t="s">
        <v>65</v>
      </c>
      <c r="W71" s="26">
        <v>45537</v>
      </c>
      <c r="X71" t="s">
        <v>310</v>
      </c>
      <c r="Y71" t="s">
        <v>237</v>
      </c>
    </row>
    <row r="72" spans="1:25" x14ac:dyDescent="0.25">
      <c r="A72" t="s">
        <v>8707</v>
      </c>
      <c r="B72">
        <v>11</v>
      </c>
      <c r="C72">
        <v>95</v>
      </c>
      <c r="D72">
        <v>9069</v>
      </c>
      <c r="E72" t="s">
        <v>129</v>
      </c>
      <c r="F72" t="s">
        <v>397</v>
      </c>
      <c r="G72" t="s">
        <v>398</v>
      </c>
      <c r="H72" s="26">
        <v>19321</v>
      </c>
      <c r="I72" t="s">
        <v>58</v>
      </c>
      <c r="J72" t="s">
        <v>8708</v>
      </c>
      <c r="M72">
        <v>95310</v>
      </c>
      <c r="N72" t="s">
        <v>757</v>
      </c>
      <c r="O72" t="s">
        <v>61</v>
      </c>
      <c r="Q72">
        <v>683968333</v>
      </c>
      <c r="R72" t="s">
        <v>8709</v>
      </c>
      <c r="S72" t="s">
        <v>63</v>
      </c>
      <c r="T72" t="s">
        <v>64</v>
      </c>
      <c r="U72" t="s">
        <v>65</v>
      </c>
      <c r="W72" s="26">
        <v>45561</v>
      </c>
      <c r="X72" t="s">
        <v>61</v>
      </c>
      <c r="Y72" t="s">
        <v>237</v>
      </c>
    </row>
    <row r="73" spans="1:25" x14ac:dyDescent="0.25">
      <c r="A73" t="s">
        <v>402</v>
      </c>
      <c r="B73">
        <v>11</v>
      </c>
      <c r="C73">
        <v>77</v>
      </c>
      <c r="D73">
        <v>9077</v>
      </c>
      <c r="E73" t="s">
        <v>90</v>
      </c>
      <c r="F73" t="s">
        <v>12</v>
      </c>
      <c r="G73" t="s">
        <v>403</v>
      </c>
      <c r="H73" s="26">
        <v>23689</v>
      </c>
      <c r="I73" t="s">
        <v>58</v>
      </c>
      <c r="J73" t="s">
        <v>404</v>
      </c>
      <c r="M73">
        <v>77169</v>
      </c>
      <c r="N73" t="s">
        <v>405</v>
      </c>
      <c r="O73" t="s">
        <v>61</v>
      </c>
      <c r="P73">
        <v>164201885</v>
      </c>
      <c r="S73" t="s">
        <v>63</v>
      </c>
      <c r="T73" t="s">
        <v>64</v>
      </c>
      <c r="U73" t="s">
        <v>65</v>
      </c>
      <c r="W73" s="26">
        <v>45562</v>
      </c>
      <c r="X73" t="s">
        <v>61</v>
      </c>
      <c r="Y73" t="s">
        <v>237</v>
      </c>
    </row>
    <row r="74" spans="1:25" x14ac:dyDescent="0.25">
      <c r="A74" t="s">
        <v>407</v>
      </c>
      <c r="B74">
        <v>11</v>
      </c>
      <c r="C74">
        <v>92</v>
      </c>
      <c r="D74">
        <v>9007</v>
      </c>
      <c r="E74" t="s">
        <v>121</v>
      </c>
      <c r="F74" t="s">
        <v>327</v>
      </c>
      <c r="G74" t="s">
        <v>408</v>
      </c>
      <c r="H74" s="26">
        <v>20023</v>
      </c>
      <c r="I74" t="s">
        <v>58</v>
      </c>
      <c r="J74" t="s">
        <v>409</v>
      </c>
      <c r="M74">
        <v>92600</v>
      </c>
      <c r="N74" t="s">
        <v>410</v>
      </c>
      <c r="O74" t="s">
        <v>61</v>
      </c>
      <c r="P74">
        <v>147902078</v>
      </c>
      <c r="R74" t="s">
        <v>411</v>
      </c>
      <c r="S74" t="s">
        <v>63</v>
      </c>
      <c r="T74" t="s">
        <v>64</v>
      </c>
      <c r="U74" t="s">
        <v>65</v>
      </c>
      <c r="W74" s="26">
        <v>45537</v>
      </c>
      <c r="X74" t="s">
        <v>61</v>
      </c>
      <c r="Y74" t="s">
        <v>237</v>
      </c>
    </row>
    <row r="75" spans="1:25" x14ac:dyDescent="0.25">
      <c r="A75" t="s">
        <v>412</v>
      </c>
      <c r="B75">
        <v>11</v>
      </c>
      <c r="C75">
        <v>94</v>
      </c>
      <c r="D75">
        <v>9024</v>
      </c>
      <c r="E75" t="s">
        <v>4</v>
      </c>
      <c r="F75" t="s">
        <v>255</v>
      </c>
      <c r="G75" t="s">
        <v>413</v>
      </c>
      <c r="H75" s="26">
        <v>24271</v>
      </c>
      <c r="I75" t="s">
        <v>58</v>
      </c>
      <c r="J75" t="s">
        <v>414</v>
      </c>
      <c r="M75">
        <v>94350</v>
      </c>
      <c r="N75" t="s">
        <v>172</v>
      </c>
      <c r="O75" t="s">
        <v>61</v>
      </c>
      <c r="P75">
        <v>149302611</v>
      </c>
      <c r="Q75">
        <v>621266056</v>
      </c>
      <c r="R75" t="s">
        <v>415</v>
      </c>
      <c r="S75" t="s">
        <v>63</v>
      </c>
      <c r="T75" t="s">
        <v>64</v>
      </c>
      <c r="U75" t="s">
        <v>65</v>
      </c>
      <c r="W75" s="26">
        <v>45536</v>
      </c>
      <c r="X75" t="s">
        <v>61</v>
      </c>
      <c r="Y75" t="s">
        <v>237</v>
      </c>
    </row>
    <row r="76" spans="1:25" x14ac:dyDescent="0.25">
      <c r="A76" t="s">
        <v>416</v>
      </c>
      <c r="B76">
        <v>11</v>
      </c>
      <c r="C76">
        <v>92</v>
      </c>
      <c r="D76">
        <v>9017</v>
      </c>
      <c r="E76" t="s">
        <v>211</v>
      </c>
      <c r="F76" t="s">
        <v>312</v>
      </c>
      <c r="G76" t="s">
        <v>417</v>
      </c>
      <c r="H76" s="26">
        <v>23284</v>
      </c>
      <c r="I76" t="s">
        <v>58</v>
      </c>
      <c r="J76" t="s">
        <v>418</v>
      </c>
      <c r="M76">
        <v>75012</v>
      </c>
      <c r="N76" t="s">
        <v>330</v>
      </c>
      <c r="O76" t="s">
        <v>61</v>
      </c>
      <c r="Q76">
        <v>624285661</v>
      </c>
      <c r="R76" t="s">
        <v>419</v>
      </c>
      <c r="S76" t="s">
        <v>63</v>
      </c>
      <c r="T76" t="s">
        <v>64</v>
      </c>
      <c r="U76" t="s">
        <v>65</v>
      </c>
      <c r="W76" s="26">
        <v>45537</v>
      </c>
      <c r="X76" t="s">
        <v>61</v>
      </c>
      <c r="Y76" t="s">
        <v>237</v>
      </c>
    </row>
    <row r="77" spans="1:25" x14ac:dyDescent="0.25">
      <c r="A77" t="s">
        <v>420</v>
      </c>
      <c r="B77">
        <v>11</v>
      </c>
      <c r="C77">
        <v>95</v>
      </c>
      <c r="D77">
        <v>9069</v>
      </c>
      <c r="E77" t="s">
        <v>129</v>
      </c>
      <c r="F77" t="s">
        <v>12</v>
      </c>
      <c r="G77" t="s">
        <v>421</v>
      </c>
      <c r="H77" s="26">
        <v>26299</v>
      </c>
      <c r="I77" t="s">
        <v>58</v>
      </c>
      <c r="J77" t="s">
        <v>422</v>
      </c>
      <c r="M77">
        <v>95250</v>
      </c>
      <c r="N77" t="s">
        <v>423</v>
      </c>
      <c r="O77" t="s">
        <v>61</v>
      </c>
      <c r="Q77">
        <v>684140204</v>
      </c>
      <c r="R77" t="s">
        <v>424</v>
      </c>
      <c r="S77" t="s">
        <v>63</v>
      </c>
      <c r="T77" t="s">
        <v>64</v>
      </c>
      <c r="U77" t="s">
        <v>65</v>
      </c>
      <c r="W77" s="26">
        <v>45541</v>
      </c>
      <c r="X77" t="s">
        <v>61</v>
      </c>
      <c r="Y77" t="s">
        <v>237</v>
      </c>
    </row>
    <row r="78" spans="1:25" x14ac:dyDescent="0.25">
      <c r="A78" t="s">
        <v>425</v>
      </c>
      <c r="B78">
        <v>11</v>
      </c>
      <c r="C78">
        <v>92</v>
      </c>
      <c r="D78">
        <v>9065</v>
      </c>
      <c r="E78" t="s">
        <v>426</v>
      </c>
      <c r="F78" t="s">
        <v>243</v>
      </c>
      <c r="G78" t="s">
        <v>427</v>
      </c>
      <c r="H78" s="26">
        <v>26421</v>
      </c>
      <c r="I78" t="s">
        <v>58</v>
      </c>
      <c r="J78" t="s">
        <v>428</v>
      </c>
      <c r="M78">
        <v>91390</v>
      </c>
      <c r="N78" t="s">
        <v>429</v>
      </c>
      <c r="O78" t="s">
        <v>61</v>
      </c>
      <c r="Q78">
        <v>603477346</v>
      </c>
      <c r="R78" t="s">
        <v>430</v>
      </c>
      <c r="S78" t="s">
        <v>63</v>
      </c>
      <c r="T78" t="s">
        <v>64</v>
      </c>
      <c r="U78" t="s">
        <v>8684</v>
      </c>
      <c r="W78" s="26">
        <v>45524</v>
      </c>
      <c r="X78" t="s">
        <v>61</v>
      </c>
      <c r="Y78" t="s">
        <v>237</v>
      </c>
    </row>
    <row r="79" spans="1:25" x14ac:dyDescent="0.25">
      <c r="A79" t="s">
        <v>431</v>
      </c>
      <c r="B79">
        <v>11</v>
      </c>
      <c r="C79">
        <v>95</v>
      </c>
      <c r="D79">
        <v>9061</v>
      </c>
      <c r="E79" t="s">
        <v>360</v>
      </c>
      <c r="F79" t="s">
        <v>106</v>
      </c>
      <c r="G79" t="s">
        <v>432</v>
      </c>
      <c r="H79" s="26">
        <v>15497</v>
      </c>
      <c r="I79" t="s">
        <v>58</v>
      </c>
      <c r="J79" t="s">
        <v>433</v>
      </c>
      <c r="M79">
        <v>27140</v>
      </c>
      <c r="N79" t="s">
        <v>434</v>
      </c>
      <c r="O79" t="s">
        <v>61</v>
      </c>
      <c r="P79">
        <v>232551267</v>
      </c>
      <c r="S79" t="s">
        <v>63</v>
      </c>
      <c r="T79" t="s">
        <v>64</v>
      </c>
      <c r="U79" t="s">
        <v>65</v>
      </c>
      <c r="W79" s="26">
        <v>45545</v>
      </c>
      <c r="X79" t="s">
        <v>61</v>
      </c>
      <c r="Y79" t="s">
        <v>237</v>
      </c>
    </row>
    <row r="80" spans="1:25" x14ac:dyDescent="0.25">
      <c r="A80" t="s">
        <v>435</v>
      </c>
      <c r="B80">
        <v>11</v>
      </c>
      <c r="C80">
        <v>78</v>
      </c>
      <c r="D80">
        <v>9084</v>
      </c>
      <c r="E80" t="s">
        <v>216</v>
      </c>
      <c r="F80" t="s">
        <v>13</v>
      </c>
      <c r="G80" t="s">
        <v>436</v>
      </c>
      <c r="H80" s="26">
        <v>17373</v>
      </c>
      <c r="I80" t="s">
        <v>58</v>
      </c>
      <c r="J80" t="s">
        <v>437</v>
      </c>
      <c r="M80">
        <v>78580</v>
      </c>
      <c r="N80" t="s">
        <v>438</v>
      </c>
      <c r="O80" t="s">
        <v>61</v>
      </c>
      <c r="P80">
        <v>139756962</v>
      </c>
      <c r="Q80">
        <v>674671571</v>
      </c>
      <c r="R80" t="s">
        <v>439</v>
      </c>
      <c r="S80" t="s">
        <v>63</v>
      </c>
      <c r="T80" t="s">
        <v>64</v>
      </c>
      <c r="U80" t="s">
        <v>65</v>
      </c>
      <c r="V80" t="s">
        <v>111</v>
      </c>
      <c r="W80" s="26">
        <v>45559</v>
      </c>
      <c r="X80" t="s">
        <v>61</v>
      </c>
      <c r="Y80" t="s">
        <v>237</v>
      </c>
    </row>
    <row r="81" spans="1:25" x14ac:dyDescent="0.25">
      <c r="A81" t="s">
        <v>11157</v>
      </c>
      <c r="B81">
        <v>11</v>
      </c>
      <c r="C81">
        <v>78</v>
      </c>
      <c r="D81">
        <v>9056</v>
      </c>
      <c r="E81" t="s">
        <v>214</v>
      </c>
      <c r="F81" t="s">
        <v>97</v>
      </c>
      <c r="G81" t="s">
        <v>11158</v>
      </c>
      <c r="H81" s="26">
        <v>11754</v>
      </c>
      <c r="I81" t="s">
        <v>58</v>
      </c>
      <c r="J81" t="s">
        <v>11159</v>
      </c>
      <c r="M81">
        <v>78000</v>
      </c>
      <c r="N81" t="s">
        <v>1334</v>
      </c>
      <c r="O81" t="s">
        <v>61</v>
      </c>
      <c r="P81">
        <v>139550824</v>
      </c>
      <c r="S81" t="s">
        <v>63</v>
      </c>
      <c r="T81" t="s">
        <v>64</v>
      </c>
      <c r="U81" t="s">
        <v>65</v>
      </c>
      <c r="V81" t="s">
        <v>111</v>
      </c>
      <c r="W81" s="26">
        <v>45588</v>
      </c>
      <c r="X81" t="s">
        <v>61</v>
      </c>
      <c r="Y81" t="s">
        <v>237</v>
      </c>
    </row>
    <row r="82" spans="1:25" x14ac:dyDescent="0.25">
      <c r="A82" t="s">
        <v>441</v>
      </c>
      <c r="B82">
        <v>11</v>
      </c>
      <c r="C82">
        <v>95</v>
      </c>
      <c r="D82">
        <v>9061</v>
      </c>
      <c r="E82" t="s">
        <v>360</v>
      </c>
      <c r="F82" t="s">
        <v>442</v>
      </c>
      <c r="G82" t="s">
        <v>443</v>
      </c>
      <c r="H82" s="26">
        <v>31473</v>
      </c>
      <c r="I82" t="s">
        <v>58</v>
      </c>
      <c r="J82" t="s">
        <v>444</v>
      </c>
      <c r="M82">
        <v>95830</v>
      </c>
      <c r="N82" t="s">
        <v>445</v>
      </c>
      <c r="O82" t="s">
        <v>61</v>
      </c>
      <c r="Q82">
        <v>674125276</v>
      </c>
      <c r="R82" t="s">
        <v>446</v>
      </c>
      <c r="S82" t="s">
        <v>63</v>
      </c>
      <c r="T82" t="s">
        <v>64</v>
      </c>
      <c r="U82" t="s">
        <v>65</v>
      </c>
      <c r="W82" s="26">
        <v>45562</v>
      </c>
      <c r="X82" t="s">
        <v>61</v>
      </c>
      <c r="Y82" t="s">
        <v>237</v>
      </c>
    </row>
    <row r="83" spans="1:25" x14ac:dyDescent="0.25">
      <c r="A83" t="s">
        <v>447</v>
      </c>
      <c r="B83">
        <v>11</v>
      </c>
      <c r="C83">
        <v>95</v>
      </c>
      <c r="D83">
        <v>9061</v>
      </c>
      <c r="E83" t="s">
        <v>360</v>
      </c>
      <c r="F83" t="s">
        <v>448</v>
      </c>
      <c r="G83" t="s">
        <v>443</v>
      </c>
      <c r="H83" s="26">
        <v>19754</v>
      </c>
      <c r="I83" t="s">
        <v>58</v>
      </c>
      <c r="J83" t="s">
        <v>449</v>
      </c>
      <c r="M83">
        <v>95830</v>
      </c>
      <c r="N83" t="s">
        <v>445</v>
      </c>
      <c r="O83" t="s">
        <v>61</v>
      </c>
      <c r="Q83">
        <v>622775665</v>
      </c>
      <c r="R83" t="s">
        <v>450</v>
      </c>
      <c r="S83" t="s">
        <v>63</v>
      </c>
      <c r="T83" t="s">
        <v>64</v>
      </c>
      <c r="U83" t="s">
        <v>65</v>
      </c>
      <c r="W83" s="26">
        <v>45545</v>
      </c>
      <c r="X83" t="s">
        <v>61</v>
      </c>
      <c r="Y83" t="s">
        <v>237</v>
      </c>
    </row>
    <row r="84" spans="1:25" x14ac:dyDescent="0.25">
      <c r="A84" t="s">
        <v>451</v>
      </c>
      <c r="B84">
        <v>11</v>
      </c>
      <c r="C84">
        <v>77</v>
      </c>
      <c r="D84">
        <v>9028</v>
      </c>
      <c r="E84" t="s">
        <v>452</v>
      </c>
      <c r="F84" t="s">
        <v>255</v>
      </c>
      <c r="G84" t="s">
        <v>453</v>
      </c>
      <c r="H84" s="26">
        <v>23388</v>
      </c>
      <c r="I84" t="s">
        <v>58</v>
      </c>
      <c r="J84" t="s">
        <v>454</v>
      </c>
      <c r="M84">
        <v>77650</v>
      </c>
      <c r="N84" t="s">
        <v>455</v>
      </c>
      <c r="O84" t="s">
        <v>61</v>
      </c>
      <c r="P84">
        <v>160677814</v>
      </c>
      <c r="R84" t="s">
        <v>456</v>
      </c>
      <c r="S84" t="s">
        <v>63</v>
      </c>
      <c r="T84" t="s">
        <v>64</v>
      </c>
      <c r="U84" t="s">
        <v>65</v>
      </c>
      <c r="V84" t="s">
        <v>111</v>
      </c>
      <c r="W84" s="26">
        <v>45545</v>
      </c>
      <c r="X84" t="s">
        <v>61</v>
      </c>
      <c r="Y84" t="s">
        <v>237</v>
      </c>
    </row>
    <row r="85" spans="1:25" x14ac:dyDescent="0.25">
      <c r="A85" t="s">
        <v>10021</v>
      </c>
      <c r="B85">
        <v>11</v>
      </c>
      <c r="C85">
        <v>77</v>
      </c>
      <c r="D85">
        <v>9028</v>
      </c>
      <c r="E85" t="s">
        <v>452</v>
      </c>
      <c r="F85" t="s">
        <v>457</v>
      </c>
      <c r="G85" t="s">
        <v>453</v>
      </c>
      <c r="H85" s="26">
        <v>24820</v>
      </c>
      <c r="I85" t="s">
        <v>58</v>
      </c>
      <c r="J85" t="s">
        <v>10022</v>
      </c>
      <c r="M85">
        <v>77160</v>
      </c>
      <c r="N85" t="s">
        <v>458</v>
      </c>
      <c r="O85" t="s">
        <v>61</v>
      </c>
      <c r="R85" s="240" t="s">
        <v>10023</v>
      </c>
      <c r="S85" t="s">
        <v>63</v>
      </c>
      <c r="T85" t="s">
        <v>64</v>
      </c>
      <c r="U85" t="s">
        <v>65</v>
      </c>
      <c r="W85" s="26">
        <v>45567</v>
      </c>
      <c r="X85" t="s">
        <v>61</v>
      </c>
      <c r="Y85" t="s">
        <v>237</v>
      </c>
    </row>
    <row r="86" spans="1:25" x14ac:dyDescent="0.25">
      <c r="A86" t="s">
        <v>459</v>
      </c>
      <c r="B86">
        <v>11</v>
      </c>
      <c r="C86">
        <v>91</v>
      </c>
      <c r="D86">
        <v>9064</v>
      </c>
      <c r="E86" t="s">
        <v>266</v>
      </c>
      <c r="F86" t="s">
        <v>460</v>
      </c>
      <c r="G86" t="s">
        <v>461</v>
      </c>
      <c r="H86" s="26">
        <v>26132</v>
      </c>
      <c r="I86" t="s">
        <v>58</v>
      </c>
      <c r="J86" t="s">
        <v>462</v>
      </c>
      <c r="M86">
        <v>91400</v>
      </c>
      <c r="N86" t="s">
        <v>463</v>
      </c>
      <c r="O86" t="s">
        <v>61</v>
      </c>
      <c r="P86">
        <v>777284701</v>
      </c>
      <c r="Q86">
        <v>777284701</v>
      </c>
      <c r="R86" t="s">
        <v>464</v>
      </c>
      <c r="S86" t="s">
        <v>63</v>
      </c>
      <c r="T86" t="s">
        <v>64</v>
      </c>
      <c r="U86" t="s">
        <v>65</v>
      </c>
      <c r="W86" s="26">
        <v>45545</v>
      </c>
      <c r="X86" t="s">
        <v>61</v>
      </c>
      <c r="Y86" t="s">
        <v>237</v>
      </c>
    </row>
    <row r="87" spans="1:25" x14ac:dyDescent="0.25">
      <c r="A87" t="s">
        <v>10024</v>
      </c>
      <c r="B87">
        <v>11</v>
      </c>
      <c r="C87">
        <v>78</v>
      </c>
      <c r="D87">
        <v>9030</v>
      </c>
      <c r="E87" t="s">
        <v>96</v>
      </c>
      <c r="F87" t="s">
        <v>448</v>
      </c>
      <c r="G87" t="s">
        <v>10025</v>
      </c>
      <c r="H87" s="26">
        <v>19011</v>
      </c>
      <c r="I87" t="s">
        <v>58</v>
      </c>
      <c r="J87" t="s">
        <v>10026</v>
      </c>
      <c r="M87">
        <v>78990</v>
      </c>
      <c r="N87" t="s">
        <v>465</v>
      </c>
      <c r="O87" t="s">
        <v>61</v>
      </c>
      <c r="Q87">
        <v>613807068</v>
      </c>
      <c r="R87" t="s">
        <v>10027</v>
      </c>
      <c r="S87" t="s">
        <v>63</v>
      </c>
      <c r="T87" t="s">
        <v>64</v>
      </c>
      <c r="U87" t="s">
        <v>65</v>
      </c>
      <c r="W87" s="26">
        <v>45569</v>
      </c>
      <c r="X87" t="s">
        <v>61</v>
      </c>
      <c r="Y87" t="s">
        <v>237</v>
      </c>
    </row>
    <row r="88" spans="1:25" x14ac:dyDescent="0.25">
      <c r="A88" t="s">
        <v>466</v>
      </c>
      <c r="B88">
        <v>11</v>
      </c>
      <c r="C88">
        <v>93</v>
      </c>
      <c r="D88">
        <v>9060</v>
      </c>
      <c r="E88" t="s">
        <v>203</v>
      </c>
      <c r="F88" t="s">
        <v>106</v>
      </c>
      <c r="G88" t="s">
        <v>467</v>
      </c>
      <c r="H88" s="26">
        <v>15926</v>
      </c>
      <c r="I88" t="s">
        <v>58</v>
      </c>
      <c r="J88" t="s">
        <v>468</v>
      </c>
      <c r="M88">
        <v>93130</v>
      </c>
      <c r="N88" t="s">
        <v>469</v>
      </c>
      <c r="O88" t="s">
        <v>61</v>
      </c>
      <c r="P88">
        <v>148439034</v>
      </c>
      <c r="Q88">
        <v>612447536</v>
      </c>
      <c r="R88" t="s">
        <v>470</v>
      </c>
      <c r="S88" t="s">
        <v>63</v>
      </c>
      <c r="T88" t="s">
        <v>64</v>
      </c>
      <c r="U88" t="s">
        <v>65</v>
      </c>
      <c r="W88" s="26">
        <v>45556</v>
      </c>
      <c r="X88" t="s">
        <v>61</v>
      </c>
      <c r="Y88" t="s">
        <v>237</v>
      </c>
    </row>
    <row r="89" spans="1:25" x14ac:dyDescent="0.25">
      <c r="A89" t="s">
        <v>475</v>
      </c>
      <c r="B89">
        <v>11</v>
      </c>
      <c r="C89">
        <v>92</v>
      </c>
      <c r="D89">
        <v>9017</v>
      </c>
      <c r="E89" t="s">
        <v>211</v>
      </c>
      <c r="F89" t="s">
        <v>85</v>
      </c>
      <c r="G89" t="s">
        <v>476</v>
      </c>
      <c r="H89" s="26">
        <v>22500</v>
      </c>
      <c r="I89" t="s">
        <v>58</v>
      </c>
      <c r="J89" t="s">
        <v>477</v>
      </c>
      <c r="M89">
        <v>92400</v>
      </c>
      <c r="N89" t="s">
        <v>478</v>
      </c>
      <c r="O89" t="s">
        <v>61</v>
      </c>
      <c r="S89" t="s">
        <v>63</v>
      </c>
      <c r="T89" t="s">
        <v>64</v>
      </c>
      <c r="U89" t="s">
        <v>65</v>
      </c>
      <c r="W89" s="26">
        <v>45537</v>
      </c>
      <c r="X89" t="s">
        <v>61</v>
      </c>
      <c r="Y89" t="s">
        <v>237</v>
      </c>
    </row>
    <row r="90" spans="1:25" x14ac:dyDescent="0.25">
      <c r="A90" t="s">
        <v>479</v>
      </c>
      <c r="B90">
        <v>11</v>
      </c>
      <c r="C90">
        <v>77</v>
      </c>
      <c r="D90">
        <v>9059</v>
      </c>
      <c r="E90" t="s">
        <v>197</v>
      </c>
      <c r="F90" t="s">
        <v>480</v>
      </c>
      <c r="G90" t="s">
        <v>481</v>
      </c>
      <c r="H90" s="26">
        <v>20387</v>
      </c>
      <c r="I90" t="s">
        <v>58</v>
      </c>
      <c r="J90" t="s">
        <v>482</v>
      </c>
      <c r="M90">
        <v>77340</v>
      </c>
      <c r="N90" t="s">
        <v>201</v>
      </c>
      <c r="O90" t="s">
        <v>61</v>
      </c>
      <c r="R90" t="s">
        <v>483</v>
      </c>
      <c r="S90" t="s">
        <v>63</v>
      </c>
      <c r="T90" t="s">
        <v>64</v>
      </c>
      <c r="U90" t="s">
        <v>65</v>
      </c>
      <c r="W90" s="26">
        <v>45537</v>
      </c>
      <c r="X90" t="s">
        <v>61</v>
      </c>
      <c r="Y90" t="s">
        <v>237</v>
      </c>
    </row>
    <row r="91" spans="1:25" x14ac:dyDescent="0.25">
      <c r="A91" t="s">
        <v>8710</v>
      </c>
      <c r="B91">
        <v>11</v>
      </c>
      <c r="C91">
        <v>78</v>
      </c>
      <c r="D91">
        <v>9016</v>
      </c>
      <c r="E91" t="s">
        <v>362</v>
      </c>
      <c r="F91" t="s">
        <v>8711</v>
      </c>
      <c r="G91" t="s">
        <v>3416</v>
      </c>
      <c r="H91" s="26">
        <v>20480</v>
      </c>
      <c r="I91" t="s">
        <v>58</v>
      </c>
      <c r="J91" t="s">
        <v>3417</v>
      </c>
      <c r="M91">
        <v>78410</v>
      </c>
      <c r="N91" t="s">
        <v>3418</v>
      </c>
      <c r="O91" t="s">
        <v>61</v>
      </c>
      <c r="P91">
        <v>130911073</v>
      </c>
      <c r="Q91">
        <v>667925016</v>
      </c>
      <c r="R91" t="s">
        <v>8712</v>
      </c>
      <c r="S91" t="s">
        <v>63</v>
      </c>
      <c r="T91" t="s">
        <v>64</v>
      </c>
      <c r="U91" t="s">
        <v>65</v>
      </c>
      <c r="W91" s="26">
        <v>45561</v>
      </c>
      <c r="X91" t="s">
        <v>61</v>
      </c>
      <c r="Y91" t="s">
        <v>237</v>
      </c>
    </row>
    <row r="92" spans="1:25" x14ac:dyDescent="0.25">
      <c r="A92" t="s">
        <v>10319</v>
      </c>
      <c r="B92">
        <v>11</v>
      </c>
      <c r="C92">
        <v>95</v>
      </c>
      <c r="D92">
        <v>9010</v>
      </c>
      <c r="E92" t="s">
        <v>6</v>
      </c>
      <c r="F92" t="s">
        <v>284</v>
      </c>
      <c r="G92" t="s">
        <v>10320</v>
      </c>
      <c r="H92" s="26">
        <v>29016</v>
      </c>
      <c r="I92" t="s">
        <v>58</v>
      </c>
      <c r="J92" t="s">
        <v>10321</v>
      </c>
      <c r="M92">
        <v>92150</v>
      </c>
      <c r="N92" t="s">
        <v>485</v>
      </c>
      <c r="O92" t="s">
        <v>61</v>
      </c>
      <c r="R92" t="s">
        <v>10322</v>
      </c>
      <c r="S92" t="s">
        <v>63</v>
      </c>
      <c r="T92" t="s">
        <v>64</v>
      </c>
      <c r="U92" t="s">
        <v>486</v>
      </c>
      <c r="W92" s="26">
        <v>45574</v>
      </c>
      <c r="X92" t="s">
        <v>61</v>
      </c>
      <c r="Y92" t="s">
        <v>237</v>
      </c>
    </row>
    <row r="93" spans="1:25" x14ac:dyDescent="0.25">
      <c r="A93" t="s">
        <v>10323</v>
      </c>
      <c r="B93">
        <v>11</v>
      </c>
      <c r="C93">
        <v>78</v>
      </c>
      <c r="D93">
        <v>9038</v>
      </c>
      <c r="E93" t="s">
        <v>484</v>
      </c>
      <c r="F93" t="s">
        <v>97</v>
      </c>
      <c r="G93" t="s">
        <v>10324</v>
      </c>
      <c r="H93" s="26">
        <v>17436</v>
      </c>
      <c r="I93" t="s">
        <v>58</v>
      </c>
      <c r="J93" t="s">
        <v>10325</v>
      </c>
      <c r="M93">
        <v>95610</v>
      </c>
      <c r="N93" t="s">
        <v>487</v>
      </c>
      <c r="O93" t="s">
        <v>61</v>
      </c>
      <c r="P93">
        <v>134641126</v>
      </c>
      <c r="Q93">
        <v>671974853</v>
      </c>
      <c r="R93" t="s">
        <v>10326</v>
      </c>
      <c r="S93" t="s">
        <v>63</v>
      </c>
      <c r="T93" t="s">
        <v>64</v>
      </c>
      <c r="U93" t="s">
        <v>65</v>
      </c>
      <c r="W93" s="26">
        <v>45579</v>
      </c>
      <c r="X93" t="s">
        <v>61</v>
      </c>
      <c r="Y93" t="s">
        <v>237</v>
      </c>
    </row>
    <row r="94" spans="1:25" x14ac:dyDescent="0.25">
      <c r="A94" t="s">
        <v>490</v>
      </c>
      <c r="B94">
        <v>11</v>
      </c>
      <c r="C94">
        <v>94</v>
      </c>
      <c r="D94">
        <v>9031</v>
      </c>
      <c r="E94" t="s">
        <v>7</v>
      </c>
      <c r="F94" t="s">
        <v>457</v>
      </c>
      <c r="G94" t="s">
        <v>491</v>
      </c>
      <c r="H94" s="26">
        <v>22788</v>
      </c>
      <c r="I94" t="s">
        <v>58</v>
      </c>
      <c r="J94" t="s">
        <v>492</v>
      </c>
      <c r="M94">
        <v>94700</v>
      </c>
      <c r="N94" t="s">
        <v>163</v>
      </c>
      <c r="O94" t="s">
        <v>61</v>
      </c>
      <c r="Q94">
        <v>664095336</v>
      </c>
      <c r="R94" t="s">
        <v>493</v>
      </c>
      <c r="S94" t="s">
        <v>63</v>
      </c>
      <c r="T94" t="s">
        <v>64</v>
      </c>
      <c r="U94" t="s">
        <v>65</v>
      </c>
      <c r="W94" s="26">
        <v>45543</v>
      </c>
      <c r="X94" t="s">
        <v>61</v>
      </c>
      <c r="Y94" t="s">
        <v>237</v>
      </c>
    </row>
    <row r="95" spans="1:25" x14ac:dyDescent="0.25">
      <c r="A95" t="s">
        <v>494</v>
      </c>
      <c r="B95">
        <v>11</v>
      </c>
      <c r="C95">
        <v>94</v>
      </c>
      <c r="D95">
        <v>9031</v>
      </c>
      <c r="E95" t="s">
        <v>7</v>
      </c>
      <c r="F95" t="s">
        <v>495</v>
      </c>
      <c r="G95" t="s">
        <v>496</v>
      </c>
      <c r="H95" s="26">
        <v>22264</v>
      </c>
      <c r="I95" t="s">
        <v>58</v>
      </c>
      <c r="J95" t="s">
        <v>497</v>
      </c>
      <c r="M95">
        <v>77340</v>
      </c>
      <c r="N95" t="s">
        <v>201</v>
      </c>
      <c r="O95" t="s">
        <v>61</v>
      </c>
      <c r="Q95">
        <v>618280376</v>
      </c>
      <c r="R95" t="s">
        <v>498</v>
      </c>
      <c r="S95" t="s">
        <v>63</v>
      </c>
      <c r="T95" t="s">
        <v>64</v>
      </c>
      <c r="U95" t="s">
        <v>65</v>
      </c>
      <c r="W95" s="26">
        <v>45550</v>
      </c>
      <c r="X95" t="s">
        <v>61</v>
      </c>
      <c r="Y95" t="s">
        <v>237</v>
      </c>
    </row>
    <row r="96" spans="1:25" x14ac:dyDescent="0.25">
      <c r="A96" t="s">
        <v>10327</v>
      </c>
      <c r="B96">
        <v>11</v>
      </c>
      <c r="C96">
        <v>77</v>
      </c>
      <c r="D96">
        <v>9059</v>
      </c>
      <c r="E96" t="s">
        <v>197</v>
      </c>
      <c r="F96" t="s">
        <v>267</v>
      </c>
      <c r="G96" t="s">
        <v>10328</v>
      </c>
      <c r="H96" s="26">
        <v>18007</v>
      </c>
      <c r="I96" t="s">
        <v>58</v>
      </c>
      <c r="J96" t="s">
        <v>10329</v>
      </c>
      <c r="M96">
        <v>77330</v>
      </c>
      <c r="N96" t="s">
        <v>209</v>
      </c>
      <c r="O96" t="s">
        <v>61</v>
      </c>
      <c r="P96">
        <v>160029660</v>
      </c>
      <c r="S96" t="s">
        <v>63</v>
      </c>
      <c r="T96" t="s">
        <v>64</v>
      </c>
      <c r="U96" t="s">
        <v>65</v>
      </c>
      <c r="W96" s="26">
        <v>45576</v>
      </c>
      <c r="X96" t="s">
        <v>61</v>
      </c>
      <c r="Y96" t="s">
        <v>237</v>
      </c>
    </row>
    <row r="97" spans="1:25" x14ac:dyDescent="0.25">
      <c r="A97" t="s">
        <v>502</v>
      </c>
      <c r="B97">
        <v>11</v>
      </c>
      <c r="C97">
        <v>94</v>
      </c>
      <c r="D97">
        <v>9031</v>
      </c>
      <c r="E97" t="s">
        <v>7</v>
      </c>
      <c r="F97" t="s">
        <v>106</v>
      </c>
      <c r="G97" t="s">
        <v>503</v>
      </c>
      <c r="H97" s="26">
        <v>15892</v>
      </c>
      <c r="I97" t="s">
        <v>58</v>
      </c>
      <c r="J97" t="s">
        <v>504</v>
      </c>
      <c r="M97">
        <v>94320</v>
      </c>
      <c r="N97" t="s">
        <v>505</v>
      </c>
      <c r="O97" t="s">
        <v>61</v>
      </c>
      <c r="Q97">
        <v>664024443</v>
      </c>
      <c r="R97" t="s">
        <v>506</v>
      </c>
      <c r="S97" t="s">
        <v>63</v>
      </c>
      <c r="T97" t="s">
        <v>64</v>
      </c>
      <c r="U97" t="s">
        <v>65</v>
      </c>
      <c r="W97" s="26">
        <v>45553</v>
      </c>
      <c r="X97" t="s">
        <v>61</v>
      </c>
      <c r="Y97" t="s">
        <v>237</v>
      </c>
    </row>
    <row r="98" spans="1:25" x14ac:dyDescent="0.25">
      <c r="A98" t="s">
        <v>507</v>
      </c>
      <c r="B98">
        <v>11</v>
      </c>
      <c r="C98">
        <v>77</v>
      </c>
      <c r="D98">
        <v>9026</v>
      </c>
      <c r="E98" t="s">
        <v>508</v>
      </c>
      <c r="F98" t="s">
        <v>509</v>
      </c>
      <c r="G98" t="s">
        <v>510</v>
      </c>
      <c r="H98" s="26">
        <v>28402</v>
      </c>
      <c r="I98" t="s">
        <v>58</v>
      </c>
      <c r="J98" t="s">
        <v>511</v>
      </c>
      <c r="K98" t="s">
        <v>512</v>
      </c>
      <c r="M98">
        <v>77170</v>
      </c>
      <c r="N98" t="s">
        <v>281</v>
      </c>
      <c r="O98" t="s">
        <v>61</v>
      </c>
      <c r="Q98">
        <v>661035786</v>
      </c>
      <c r="R98" t="s">
        <v>513</v>
      </c>
      <c r="S98" t="s">
        <v>63</v>
      </c>
      <c r="T98" t="s">
        <v>64</v>
      </c>
      <c r="U98" t="s">
        <v>65</v>
      </c>
      <c r="W98" s="26">
        <v>45549</v>
      </c>
      <c r="X98" t="s">
        <v>61</v>
      </c>
      <c r="Y98" t="s">
        <v>237</v>
      </c>
    </row>
    <row r="99" spans="1:25" x14ac:dyDescent="0.25">
      <c r="A99" t="s">
        <v>514</v>
      </c>
      <c r="B99">
        <v>11</v>
      </c>
      <c r="C99">
        <v>78</v>
      </c>
      <c r="D99">
        <v>9038</v>
      </c>
      <c r="E99" t="s">
        <v>484</v>
      </c>
      <c r="F99" t="s">
        <v>515</v>
      </c>
      <c r="G99" t="s">
        <v>516</v>
      </c>
      <c r="H99" s="26">
        <v>19162</v>
      </c>
      <c r="I99" t="s">
        <v>58</v>
      </c>
      <c r="J99" t="s">
        <v>517</v>
      </c>
      <c r="M99">
        <v>78700</v>
      </c>
      <c r="N99" t="s">
        <v>273</v>
      </c>
      <c r="O99" t="s">
        <v>61</v>
      </c>
      <c r="P99">
        <v>139196373</v>
      </c>
      <c r="Q99">
        <v>661966373</v>
      </c>
      <c r="R99" t="s">
        <v>518</v>
      </c>
      <c r="S99" t="s">
        <v>63</v>
      </c>
      <c r="T99" t="s">
        <v>64</v>
      </c>
      <c r="U99" t="s">
        <v>65</v>
      </c>
      <c r="V99" t="s">
        <v>111</v>
      </c>
      <c r="W99" s="26">
        <v>45561</v>
      </c>
      <c r="X99" t="s">
        <v>61</v>
      </c>
      <c r="Y99" t="s">
        <v>237</v>
      </c>
    </row>
    <row r="100" spans="1:25" x14ac:dyDescent="0.25">
      <c r="A100" t="s">
        <v>519</v>
      </c>
      <c r="B100">
        <v>11</v>
      </c>
      <c r="C100">
        <v>78</v>
      </c>
      <c r="D100">
        <v>9030</v>
      </c>
      <c r="E100" t="s">
        <v>96</v>
      </c>
      <c r="F100" t="s">
        <v>520</v>
      </c>
      <c r="G100" t="s">
        <v>521</v>
      </c>
      <c r="H100" s="26">
        <v>27519</v>
      </c>
      <c r="I100" t="s">
        <v>58</v>
      </c>
      <c r="J100" t="s">
        <v>522</v>
      </c>
      <c r="M100">
        <v>78640</v>
      </c>
      <c r="N100" t="s">
        <v>523</v>
      </c>
      <c r="O100" t="s">
        <v>61</v>
      </c>
      <c r="Q100">
        <v>623802268</v>
      </c>
      <c r="R100" t="s">
        <v>524</v>
      </c>
      <c r="S100" t="s">
        <v>63</v>
      </c>
      <c r="T100" t="s">
        <v>64</v>
      </c>
      <c r="U100" t="s">
        <v>65</v>
      </c>
      <c r="W100" s="26">
        <v>45553</v>
      </c>
      <c r="X100" t="s">
        <v>61</v>
      </c>
      <c r="Y100" t="s">
        <v>237</v>
      </c>
    </row>
    <row r="101" spans="1:25" x14ac:dyDescent="0.25">
      <c r="A101" t="s">
        <v>525</v>
      </c>
      <c r="B101">
        <v>11</v>
      </c>
      <c r="C101">
        <v>91</v>
      </c>
      <c r="D101">
        <v>9096</v>
      </c>
      <c r="E101" t="s">
        <v>526</v>
      </c>
      <c r="F101" t="s">
        <v>91</v>
      </c>
      <c r="G101" t="s">
        <v>527</v>
      </c>
      <c r="H101" s="26">
        <v>24210</v>
      </c>
      <c r="I101" t="s">
        <v>58</v>
      </c>
      <c r="J101" t="s">
        <v>11160</v>
      </c>
      <c r="M101">
        <v>91580</v>
      </c>
      <c r="N101" t="s">
        <v>528</v>
      </c>
      <c r="O101" t="s">
        <v>61</v>
      </c>
      <c r="P101">
        <v>611391180</v>
      </c>
      <c r="Q101">
        <v>611391180</v>
      </c>
      <c r="R101" t="s">
        <v>529</v>
      </c>
      <c r="S101" t="s">
        <v>63</v>
      </c>
      <c r="T101" t="s">
        <v>64</v>
      </c>
      <c r="U101" t="s">
        <v>65</v>
      </c>
      <c r="W101" s="26">
        <v>45552</v>
      </c>
      <c r="X101" t="s">
        <v>61</v>
      </c>
      <c r="Y101" t="s">
        <v>237</v>
      </c>
    </row>
    <row r="102" spans="1:25" x14ac:dyDescent="0.25">
      <c r="A102" t="s">
        <v>530</v>
      </c>
      <c r="B102">
        <v>11</v>
      </c>
      <c r="C102">
        <v>91</v>
      </c>
      <c r="D102">
        <v>9064</v>
      </c>
      <c r="E102" t="s">
        <v>266</v>
      </c>
      <c r="F102" t="s">
        <v>13</v>
      </c>
      <c r="G102" t="s">
        <v>531</v>
      </c>
      <c r="H102" s="26">
        <v>23986</v>
      </c>
      <c r="I102" t="s">
        <v>58</v>
      </c>
      <c r="J102" t="s">
        <v>532</v>
      </c>
      <c r="M102">
        <v>91640</v>
      </c>
      <c r="N102" t="s">
        <v>533</v>
      </c>
      <c r="O102" t="s">
        <v>61</v>
      </c>
      <c r="P102">
        <v>164900420</v>
      </c>
      <c r="Q102">
        <v>623767293</v>
      </c>
      <c r="R102" t="s">
        <v>534</v>
      </c>
      <c r="S102" t="s">
        <v>63</v>
      </c>
      <c r="T102" t="s">
        <v>64</v>
      </c>
      <c r="U102" t="s">
        <v>65</v>
      </c>
      <c r="W102" s="26">
        <v>45538</v>
      </c>
      <c r="X102" t="s">
        <v>61</v>
      </c>
      <c r="Y102" t="s">
        <v>237</v>
      </c>
    </row>
    <row r="103" spans="1:25" x14ac:dyDescent="0.25">
      <c r="A103" t="s">
        <v>535</v>
      </c>
      <c r="B103">
        <v>11</v>
      </c>
      <c r="C103">
        <v>95</v>
      </c>
      <c r="D103">
        <v>9127</v>
      </c>
      <c r="E103" t="s">
        <v>536</v>
      </c>
      <c r="F103" t="s">
        <v>537</v>
      </c>
      <c r="G103" t="s">
        <v>538</v>
      </c>
      <c r="H103" s="26">
        <v>25780</v>
      </c>
      <c r="I103" t="s">
        <v>16</v>
      </c>
      <c r="J103" t="s">
        <v>539</v>
      </c>
      <c r="M103">
        <v>45320</v>
      </c>
      <c r="N103" t="s">
        <v>540</v>
      </c>
      <c r="O103" t="s">
        <v>61</v>
      </c>
      <c r="P103">
        <v>660684471</v>
      </c>
      <c r="Q103">
        <v>660684471</v>
      </c>
      <c r="R103" t="s">
        <v>541</v>
      </c>
      <c r="S103" t="s">
        <v>63</v>
      </c>
      <c r="T103" t="s">
        <v>64</v>
      </c>
      <c r="U103" t="s">
        <v>8684</v>
      </c>
      <c r="W103" s="26">
        <v>45526</v>
      </c>
      <c r="X103" t="s">
        <v>61</v>
      </c>
      <c r="Y103" t="s">
        <v>237</v>
      </c>
    </row>
    <row r="104" spans="1:25" x14ac:dyDescent="0.25">
      <c r="A104" t="s">
        <v>8713</v>
      </c>
      <c r="B104">
        <v>11</v>
      </c>
      <c r="C104">
        <v>91</v>
      </c>
      <c r="D104">
        <v>9009</v>
      </c>
      <c r="E104" t="s">
        <v>159</v>
      </c>
      <c r="F104" t="s">
        <v>243</v>
      </c>
      <c r="G104" t="s">
        <v>543</v>
      </c>
      <c r="H104" s="26">
        <v>22544</v>
      </c>
      <c r="I104" t="s">
        <v>58</v>
      </c>
      <c r="J104" t="s">
        <v>8714</v>
      </c>
      <c r="M104">
        <v>94230</v>
      </c>
      <c r="N104" t="s">
        <v>1236</v>
      </c>
      <c r="O104" t="s">
        <v>61</v>
      </c>
      <c r="Q104">
        <v>660659277</v>
      </c>
      <c r="R104" t="s">
        <v>8715</v>
      </c>
      <c r="S104" t="s">
        <v>63</v>
      </c>
      <c r="T104" t="s">
        <v>64</v>
      </c>
      <c r="U104" t="s">
        <v>65</v>
      </c>
      <c r="W104" s="26">
        <v>45554</v>
      </c>
      <c r="X104" t="s">
        <v>61</v>
      </c>
      <c r="Y104" t="s">
        <v>237</v>
      </c>
    </row>
    <row r="105" spans="1:25" x14ac:dyDescent="0.25">
      <c r="A105" t="s">
        <v>545</v>
      </c>
      <c r="B105">
        <v>11</v>
      </c>
      <c r="C105">
        <v>78</v>
      </c>
      <c r="D105">
        <v>9084</v>
      </c>
      <c r="E105" t="s">
        <v>216</v>
      </c>
      <c r="F105" t="s">
        <v>440</v>
      </c>
      <c r="G105" t="s">
        <v>546</v>
      </c>
      <c r="H105" s="26">
        <v>18941</v>
      </c>
      <c r="I105" t="s">
        <v>58</v>
      </c>
      <c r="J105" t="s">
        <v>547</v>
      </c>
      <c r="M105">
        <v>7880</v>
      </c>
      <c r="N105" t="s">
        <v>548</v>
      </c>
      <c r="O105" t="s">
        <v>61</v>
      </c>
      <c r="P105">
        <v>139725884</v>
      </c>
      <c r="Q105">
        <v>683782445</v>
      </c>
      <c r="R105" t="s">
        <v>549</v>
      </c>
      <c r="S105" t="s">
        <v>63</v>
      </c>
      <c r="T105" t="s">
        <v>64</v>
      </c>
      <c r="U105" t="s">
        <v>65</v>
      </c>
      <c r="V105" t="s">
        <v>111</v>
      </c>
      <c r="W105" s="26">
        <v>45532</v>
      </c>
      <c r="X105" t="s">
        <v>61</v>
      </c>
      <c r="Y105" t="s">
        <v>237</v>
      </c>
    </row>
    <row r="106" spans="1:25" x14ac:dyDescent="0.25">
      <c r="A106" t="s">
        <v>550</v>
      </c>
      <c r="B106">
        <v>11</v>
      </c>
      <c r="C106">
        <v>92</v>
      </c>
      <c r="D106">
        <v>9088</v>
      </c>
      <c r="E106" t="s">
        <v>1</v>
      </c>
      <c r="F106" t="s">
        <v>551</v>
      </c>
      <c r="G106" t="s">
        <v>552</v>
      </c>
      <c r="H106" s="26">
        <v>23129</v>
      </c>
      <c r="I106" t="s">
        <v>58</v>
      </c>
      <c r="J106" t="s">
        <v>553</v>
      </c>
      <c r="M106">
        <v>75017</v>
      </c>
      <c r="N106" t="s">
        <v>330</v>
      </c>
      <c r="O106" t="s">
        <v>61</v>
      </c>
      <c r="Q106">
        <v>659039417</v>
      </c>
      <c r="R106" t="s">
        <v>554</v>
      </c>
      <c r="S106" t="s">
        <v>63</v>
      </c>
      <c r="T106" t="s">
        <v>64</v>
      </c>
      <c r="U106" t="s">
        <v>65</v>
      </c>
      <c r="W106" s="26">
        <v>45558</v>
      </c>
      <c r="X106" t="s">
        <v>61</v>
      </c>
      <c r="Y106" t="s">
        <v>237</v>
      </c>
    </row>
    <row r="107" spans="1:25" x14ac:dyDescent="0.25">
      <c r="A107" t="s">
        <v>10058</v>
      </c>
      <c r="B107">
        <v>11</v>
      </c>
      <c r="C107">
        <v>94</v>
      </c>
      <c r="D107">
        <v>9024</v>
      </c>
      <c r="E107" t="s">
        <v>4</v>
      </c>
      <c r="F107" t="s">
        <v>555</v>
      </c>
      <c r="G107" t="s">
        <v>10059</v>
      </c>
      <c r="H107" s="26">
        <v>24393</v>
      </c>
      <c r="I107" t="s">
        <v>58</v>
      </c>
      <c r="J107" t="s">
        <v>10060</v>
      </c>
      <c r="M107">
        <v>93110</v>
      </c>
      <c r="N107" t="s">
        <v>556</v>
      </c>
      <c r="O107" t="s">
        <v>61</v>
      </c>
      <c r="P107">
        <v>148557329</v>
      </c>
      <c r="Q107">
        <v>607587193</v>
      </c>
      <c r="R107" t="s">
        <v>10061</v>
      </c>
      <c r="S107" t="s">
        <v>63</v>
      </c>
      <c r="T107" t="s">
        <v>64</v>
      </c>
      <c r="U107" t="s">
        <v>65</v>
      </c>
      <c r="W107" s="26">
        <v>45567</v>
      </c>
      <c r="X107" t="s">
        <v>61</v>
      </c>
      <c r="Y107" t="s">
        <v>237</v>
      </c>
    </row>
    <row r="108" spans="1:25" x14ac:dyDescent="0.25">
      <c r="A108" t="s">
        <v>557</v>
      </c>
      <c r="B108">
        <v>11</v>
      </c>
      <c r="C108">
        <v>78</v>
      </c>
      <c r="D108">
        <v>9002</v>
      </c>
      <c r="E108" t="s">
        <v>558</v>
      </c>
      <c r="F108" t="s">
        <v>204</v>
      </c>
      <c r="G108" t="s">
        <v>559</v>
      </c>
      <c r="H108" s="26">
        <v>18940</v>
      </c>
      <c r="I108" t="s">
        <v>58</v>
      </c>
      <c r="J108" t="s">
        <v>560</v>
      </c>
      <c r="M108">
        <v>78440</v>
      </c>
      <c r="N108" t="s">
        <v>561</v>
      </c>
      <c r="O108" t="s">
        <v>61</v>
      </c>
      <c r="Q108">
        <v>629942159</v>
      </c>
      <c r="R108" t="s">
        <v>562</v>
      </c>
      <c r="S108" t="s">
        <v>63</v>
      </c>
      <c r="T108" t="s">
        <v>64</v>
      </c>
      <c r="U108" t="s">
        <v>65</v>
      </c>
      <c r="W108" s="26">
        <v>45531</v>
      </c>
      <c r="X108" t="s">
        <v>61</v>
      </c>
      <c r="Y108" t="s">
        <v>237</v>
      </c>
    </row>
    <row r="109" spans="1:25" x14ac:dyDescent="0.25">
      <c r="A109" t="s">
        <v>563</v>
      </c>
      <c r="B109">
        <v>11</v>
      </c>
      <c r="C109">
        <v>78</v>
      </c>
      <c r="D109">
        <v>9030</v>
      </c>
      <c r="E109" t="s">
        <v>96</v>
      </c>
      <c r="F109" t="s">
        <v>100</v>
      </c>
      <c r="G109" t="s">
        <v>564</v>
      </c>
      <c r="H109" s="26">
        <v>20710</v>
      </c>
      <c r="I109" t="s">
        <v>58</v>
      </c>
      <c r="J109" t="s">
        <v>565</v>
      </c>
      <c r="M109">
        <v>78960</v>
      </c>
      <c r="N109" t="s">
        <v>566</v>
      </c>
      <c r="O109" t="s">
        <v>61</v>
      </c>
      <c r="P109">
        <v>130489117</v>
      </c>
      <c r="Q109">
        <v>678371033</v>
      </c>
      <c r="R109" t="s">
        <v>567</v>
      </c>
      <c r="S109" t="s">
        <v>63</v>
      </c>
      <c r="T109" t="s">
        <v>64</v>
      </c>
      <c r="U109" t="s">
        <v>65</v>
      </c>
      <c r="W109" s="26">
        <v>45542</v>
      </c>
      <c r="X109" t="s">
        <v>61</v>
      </c>
      <c r="Y109" t="s">
        <v>237</v>
      </c>
    </row>
    <row r="110" spans="1:25" x14ac:dyDescent="0.25">
      <c r="A110" t="s">
        <v>568</v>
      </c>
      <c r="B110">
        <v>11</v>
      </c>
      <c r="C110">
        <v>91</v>
      </c>
      <c r="D110">
        <v>9009</v>
      </c>
      <c r="E110" t="s">
        <v>159</v>
      </c>
      <c r="F110" t="s">
        <v>212</v>
      </c>
      <c r="G110" t="s">
        <v>569</v>
      </c>
      <c r="H110" s="26">
        <v>21728</v>
      </c>
      <c r="I110" t="s">
        <v>58</v>
      </c>
      <c r="J110" t="s">
        <v>570</v>
      </c>
      <c r="M110">
        <v>91550</v>
      </c>
      <c r="N110" t="s">
        <v>571</v>
      </c>
      <c r="O110" t="s">
        <v>61</v>
      </c>
      <c r="Q110">
        <v>668294099</v>
      </c>
      <c r="R110" t="s">
        <v>572</v>
      </c>
      <c r="S110" t="s">
        <v>63</v>
      </c>
      <c r="T110" t="s">
        <v>64</v>
      </c>
      <c r="U110" t="s">
        <v>65</v>
      </c>
      <c r="W110" s="26">
        <v>45561</v>
      </c>
      <c r="X110" t="s">
        <v>61</v>
      </c>
      <c r="Y110" t="s">
        <v>237</v>
      </c>
    </row>
    <row r="111" spans="1:25" x14ac:dyDescent="0.25">
      <c r="A111" t="s">
        <v>8716</v>
      </c>
      <c r="B111">
        <v>11</v>
      </c>
      <c r="C111">
        <v>91</v>
      </c>
      <c r="D111">
        <v>9009</v>
      </c>
      <c r="E111" t="s">
        <v>159</v>
      </c>
      <c r="F111" t="s">
        <v>782</v>
      </c>
      <c r="G111" t="s">
        <v>8717</v>
      </c>
      <c r="H111" s="26">
        <v>27733</v>
      </c>
      <c r="I111" t="s">
        <v>58</v>
      </c>
      <c r="J111" t="s">
        <v>8718</v>
      </c>
      <c r="M111">
        <v>91600</v>
      </c>
      <c r="N111" t="s">
        <v>1680</v>
      </c>
      <c r="O111" t="s">
        <v>61</v>
      </c>
      <c r="Q111">
        <v>620800827</v>
      </c>
      <c r="R111" t="s">
        <v>8719</v>
      </c>
      <c r="S111" t="s">
        <v>63</v>
      </c>
      <c r="T111" t="s">
        <v>64</v>
      </c>
      <c r="U111" t="s">
        <v>65</v>
      </c>
      <c r="W111" s="26">
        <v>45538</v>
      </c>
      <c r="X111" t="s">
        <v>61</v>
      </c>
      <c r="Y111" t="s">
        <v>237</v>
      </c>
    </row>
    <row r="112" spans="1:25" x14ac:dyDescent="0.25">
      <c r="A112" t="s">
        <v>573</v>
      </c>
      <c r="B112">
        <v>11</v>
      </c>
      <c r="C112">
        <v>95</v>
      </c>
      <c r="D112">
        <v>9069</v>
      </c>
      <c r="E112" t="s">
        <v>129</v>
      </c>
      <c r="F112" t="s">
        <v>368</v>
      </c>
      <c r="G112" t="s">
        <v>574</v>
      </c>
      <c r="H112" s="26">
        <v>21878</v>
      </c>
      <c r="I112" t="s">
        <v>58</v>
      </c>
      <c r="J112" t="s">
        <v>575</v>
      </c>
      <c r="M112">
        <v>93200</v>
      </c>
      <c r="N112" t="s">
        <v>194</v>
      </c>
      <c r="O112" t="s">
        <v>61</v>
      </c>
      <c r="Q112">
        <v>676263217</v>
      </c>
      <c r="R112" t="s">
        <v>576</v>
      </c>
      <c r="S112" t="s">
        <v>63</v>
      </c>
      <c r="T112" t="s">
        <v>64</v>
      </c>
      <c r="U112" t="s">
        <v>65</v>
      </c>
      <c r="W112" s="26">
        <v>45559</v>
      </c>
      <c r="X112" t="s">
        <v>61</v>
      </c>
      <c r="Y112" t="s">
        <v>237</v>
      </c>
    </row>
    <row r="113" spans="1:25" x14ac:dyDescent="0.25">
      <c r="A113" t="s">
        <v>577</v>
      </c>
      <c r="B113">
        <v>11</v>
      </c>
      <c r="C113">
        <v>91</v>
      </c>
      <c r="D113">
        <v>9064</v>
      </c>
      <c r="E113" t="s">
        <v>266</v>
      </c>
      <c r="F113" t="s">
        <v>578</v>
      </c>
      <c r="G113" t="s">
        <v>579</v>
      </c>
      <c r="H113" s="26">
        <v>19070</v>
      </c>
      <c r="I113" t="s">
        <v>58</v>
      </c>
      <c r="J113" t="s">
        <v>580</v>
      </c>
      <c r="M113">
        <v>91940</v>
      </c>
      <c r="N113" t="s">
        <v>581</v>
      </c>
      <c r="O113" t="s">
        <v>61</v>
      </c>
      <c r="Q113">
        <v>651539857</v>
      </c>
      <c r="S113" t="s">
        <v>63</v>
      </c>
      <c r="T113" t="s">
        <v>64</v>
      </c>
      <c r="U113" t="s">
        <v>65</v>
      </c>
      <c r="W113" s="26">
        <v>45560</v>
      </c>
      <c r="X113" t="s">
        <v>61</v>
      </c>
      <c r="Y113" t="s">
        <v>237</v>
      </c>
    </row>
    <row r="114" spans="1:25" x14ac:dyDescent="0.25">
      <c r="A114" t="s">
        <v>582</v>
      </c>
      <c r="B114">
        <v>11</v>
      </c>
      <c r="C114">
        <v>77</v>
      </c>
      <c r="D114">
        <v>9059</v>
      </c>
      <c r="E114" t="s">
        <v>197</v>
      </c>
      <c r="F114" t="s">
        <v>137</v>
      </c>
      <c r="G114" t="s">
        <v>583</v>
      </c>
      <c r="H114" s="26">
        <v>23943</v>
      </c>
      <c r="I114" t="s">
        <v>58</v>
      </c>
      <c r="J114" t="s">
        <v>584</v>
      </c>
      <c r="M114">
        <v>77400</v>
      </c>
      <c r="N114" t="s">
        <v>585</v>
      </c>
      <c r="O114" t="s">
        <v>61</v>
      </c>
      <c r="Q114">
        <v>659575200</v>
      </c>
      <c r="R114" t="s">
        <v>586</v>
      </c>
      <c r="S114" t="s">
        <v>63</v>
      </c>
      <c r="T114" t="s">
        <v>64</v>
      </c>
      <c r="U114" t="s">
        <v>65</v>
      </c>
      <c r="V114" t="s">
        <v>111</v>
      </c>
      <c r="W114" s="26">
        <v>45542</v>
      </c>
      <c r="X114" t="s">
        <v>61</v>
      </c>
      <c r="Y114" t="s">
        <v>237</v>
      </c>
    </row>
    <row r="115" spans="1:25" x14ac:dyDescent="0.25">
      <c r="A115" t="s">
        <v>589</v>
      </c>
      <c r="B115">
        <v>11</v>
      </c>
      <c r="C115">
        <v>95</v>
      </c>
      <c r="D115">
        <v>9061</v>
      </c>
      <c r="E115" t="s">
        <v>360</v>
      </c>
      <c r="F115" t="s">
        <v>590</v>
      </c>
      <c r="G115" t="s">
        <v>587</v>
      </c>
      <c r="H115" s="26">
        <v>29584</v>
      </c>
      <c r="I115" t="s">
        <v>58</v>
      </c>
      <c r="J115" t="s">
        <v>591</v>
      </c>
      <c r="M115">
        <v>95640</v>
      </c>
      <c r="N115" t="s">
        <v>588</v>
      </c>
      <c r="O115" t="s">
        <v>61</v>
      </c>
      <c r="Q115">
        <v>789545089</v>
      </c>
      <c r="R115" t="s">
        <v>592</v>
      </c>
      <c r="S115" t="s">
        <v>63</v>
      </c>
      <c r="T115" t="s">
        <v>64</v>
      </c>
      <c r="U115" t="s">
        <v>65</v>
      </c>
      <c r="V115" t="s">
        <v>111</v>
      </c>
      <c r="W115" s="26">
        <v>45535</v>
      </c>
      <c r="X115" t="s">
        <v>61</v>
      </c>
      <c r="Y115" t="s">
        <v>237</v>
      </c>
    </row>
    <row r="116" spans="1:25" x14ac:dyDescent="0.25">
      <c r="A116" t="s">
        <v>10070</v>
      </c>
      <c r="B116">
        <v>11</v>
      </c>
      <c r="C116">
        <v>94</v>
      </c>
      <c r="D116">
        <v>9024</v>
      </c>
      <c r="E116" t="s">
        <v>4</v>
      </c>
      <c r="F116" t="s">
        <v>91</v>
      </c>
      <c r="G116" t="s">
        <v>11</v>
      </c>
      <c r="H116" s="26">
        <v>15453</v>
      </c>
      <c r="I116" t="s">
        <v>58</v>
      </c>
      <c r="J116" t="s">
        <v>10071</v>
      </c>
      <c r="M116">
        <v>94700</v>
      </c>
      <c r="N116" t="s">
        <v>163</v>
      </c>
      <c r="O116" t="s">
        <v>61</v>
      </c>
      <c r="P116">
        <v>142071441</v>
      </c>
      <c r="Q116">
        <v>688227756</v>
      </c>
      <c r="R116" t="s">
        <v>10069</v>
      </c>
      <c r="S116" t="s">
        <v>63</v>
      </c>
      <c r="T116" t="s">
        <v>64</v>
      </c>
      <c r="U116" t="s">
        <v>65</v>
      </c>
      <c r="W116" s="26">
        <v>45569</v>
      </c>
      <c r="X116" t="s">
        <v>61</v>
      </c>
      <c r="Y116" t="s">
        <v>237</v>
      </c>
    </row>
    <row r="117" spans="1:25" x14ac:dyDescent="0.25">
      <c r="A117" t="s">
        <v>0</v>
      </c>
      <c r="B117">
        <v>11</v>
      </c>
      <c r="C117">
        <v>92</v>
      </c>
      <c r="D117">
        <v>9017</v>
      </c>
      <c r="E117" t="s">
        <v>211</v>
      </c>
      <c r="F117" t="s">
        <v>85</v>
      </c>
      <c r="G117" t="s">
        <v>11</v>
      </c>
      <c r="H117" s="26">
        <v>23802</v>
      </c>
      <c r="I117" t="s">
        <v>58</v>
      </c>
      <c r="J117" t="s">
        <v>593</v>
      </c>
      <c r="M117">
        <v>93260</v>
      </c>
      <c r="N117" t="s">
        <v>594</v>
      </c>
      <c r="O117" t="s">
        <v>61</v>
      </c>
      <c r="Q117">
        <v>658373505</v>
      </c>
      <c r="R117" t="s">
        <v>595</v>
      </c>
      <c r="S117" t="s">
        <v>63</v>
      </c>
      <c r="T117" t="s">
        <v>64</v>
      </c>
      <c r="U117" t="s">
        <v>65</v>
      </c>
      <c r="W117" s="26">
        <v>45537</v>
      </c>
      <c r="X117" t="s">
        <v>61</v>
      </c>
      <c r="Y117" t="s">
        <v>237</v>
      </c>
    </row>
    <row r="118" spans="1:25" x14ac:dyDescent="0.25">
      <c r="A118" t="s">
        <v>596</v>
      </c>
      <c r="B118">
        <v>11</v>
      </c>
      <c r="C118">
        <v>91</v>
      </c>
      <c r="D118">
        <v>9064</v>
      </c>
      <c r="E118" t="s">
        <v>266</v>
      </c>
      <c r="F118" t="s">
        <v>297</v>
      </c>
      <c r="G118" t="s">
        <v>597</v>
      </c>
      <c r="H118" s="26">
        <v>22138</v>
      </c>
      <c r="I118" t="s">
        <v>58</v>
      </c>
      <c r="J118" t="s">
        <v>598</v>
      </c>
      <c r="M118">
        <v>91430</v>
      </c>
      <c r="N118" t="s">
        <v>599</v>
      </c>
      <c r="O118" t="s">
        <v>61</v>
      </c>
      <c r="Q118">
        <v>602103638</v>
      </c>
      <c r="R118" t="s">
        <v>600</v>
      </c>
      <c r="S118" t="s">
        <v>63</v>
      </c>
      <c r="T118" t="s">
        <v>64</v>
      </c>
      <c r="U118" t="s">
        <v>65</v>
      </c>
      <c r="W118" s="26">
        <v>45539</v>
      </c>
      <c r="X118" t="s">
        <v>61</v>
      </c>
      <c r="Y118" t="s">
        <v>237</v>
      </c>
    </row>
    <row r="119" spans="1:25" x14ac:dyDescent="0.25">
      <c r="A119" t="s">
        <v>601</v>
      </c>
      <c r="B119">
        <v>11</v>
      </c>
      <c r="C119">
        <v>92</v>
      </c>
      <c r="D119">
        <v>9088</v>
      </c>
      <c r="E119" t="s">
        <v>1</v>
      </c>
      <c r="F119" t="s">
        <v>85</v>
      </c>
      <c r="G119" t="s">
        <v>602</v>
      </c>
      <c r="H119" s="26">
        <v>22296</v>
      </c>
      <c r="I119" t="s">
        <v>58</v>
      </c>
      <c r="J119" t="s">
        <v>603</v>
      </c>
      <c r="M119">
        <v>93260</v>
      </c>
      <c r="N119" t="s">
        <v>594</v>
      </c>
      <c r="O119" t="s">
        <v>61</v>
      </c>
      <c r="Q119">
        <v>672917999</v>
      </c>
      <c r="R119" t="s">
        <v>604</v>
      </c>
      <c r="S119" t="s">
        <v>63</v>
      </c>
      <c r="T119" t="s">
        <v>64</v>
      </c>
      <c r="U119" t="s">
        <v>65</v>
      </c>
      <c r="W119" s="26">
        <v>45562</v>
      </c>
      <c r="X119" t="s">
        <v>61</v>
      </c>
      <c r="Y119" t="s">
        <v>237</v>
      </c>
    </row>
    <row r="120" spans="1:25" x14ac:dyDescent="0.25">
      <c r="A120" t="s">
        <v>606</v>
      </c>
      <c r="B120">
        <v>11</v>
      </c>
      <c r="C120">
        <v>78</v>
      </c>
      <c r="D120">
        <v>9002</v>
      </c>
      <c r="E120" t="s">
        <v>558</v>
      </c>
      <c r="F120" t="s">
        <v>272</v>
      </c>
      <c r="G120" t="s">
        <v>607</v>
      </c>
      <c r="H120" s="26">
        <v>15896</v>
      </c>
      <c r="I120" t="s">
        <v>58</v>
      </c>
      <c r="J120" t="s">
        <v>608</v>
      </c>
      <c r="M120">
        <v>78200</v>
      </c>
      <c r="N120" t="s">
        <v>609</v>
      </c>
      <c r="O120" t="s">
        <v>61</v>
      </c>
      <c r="P120">
        <v>130920240</v>
      </c>
      <c r="Q120">
        <v>607136539</v>
      </c>
      <c r="R120" t="s">
        <v>610</v>
      </c>
      <c r="S120" t="s">
        <v>63</v>
      </c>
      <c r="T120" t="s">
        <v>64</v>
      </c>
      <c r="U120" t="s">
        <v>65</v>
      </c>
      <c r="W120" s="26">
        <v>45551</v>
      </c>
      <c r="X120" t="s">
        <v>61</v>
      </c>
      <c r="Y120" t="s">
        <v>237</v>
      </c>
    </row>
    <row r="121" spans="1:25" x14ac:dyDescent="0.25">
      <c r="A121" t="s">
        <v>611</v>
      </c>
      <c r="B121">
        <v>11</v>
      </c>
      <c r="C121">
        <v>77</v>
      </c>
      <c r="D121">
        <v>9040</v>
      </c>
      <c r="E121" t="s">
        <v>612</v>
      </c>
      <c r="F121" t="s">
        <v>120</v>
      </c>
      <c r="G121" t="s">
        <v>613</v>
      </c>
      <c r="H121" s="26">
        <v>18726</v>
      </c>
      <c r="I121" t="s">
        <v>58</v>
      </c>
      <c r="J121" t="s">
        <v>614</v>
      </c>
      <c r="M121">
        <v>77430</v>
      </c>
      <c r="N121" t="s">
        <v>615</v>
      </c>
      <c r="O121" t="s">
        <v>61</v>
      </c>
      <c r="P121">
        <v>160744071</v>
      </c>
      <c r="R121" t="s">
        <v>616</v>
      </c>
      <c r="S121" t="s">
        <v>63</v>
      </c>
      <c r="T121" t="s">
        <v>64</v>
      </c>
      <c r="U121" t="s">
        <v>65</v>
      </c>
      <c r="W121" s="26">
        <v>45544</v>
      </c>
      <c r="X121" t="s">
        <v>61</v>
      </c>
      <c r="Y121" t="s">
        <v>237</v>
      </c>
    </row>
    <row r="122" spans="1:25" x14ac:dyDescent="0.25">
      <c r="A122" t="s">
        <v>617</v>
      </c>
      <c r="B122">
        <v>11</v>
      </c>
      <c r="C122">
        <v>78</v>
      </c>
      <c r="D122">
        <v>9030</v>
      </c>
      <c r="E122" t="s">
        <v>96</v>
      </c>
      <c r="F122" t="s">
        <v>13</v>
      </c>
      <c r="G122" t="s">
        <v>618</v>
      </c>
      <c r="H122" s="26">
        <v>19941</v>
      </c>
      <c r="I122" t="s">
        <v>58</v>
      </c>
      <c r="J122" t="s">
        <v>619</v>
      </c>
      <c r="M122">
        <v>78340</v>
      </c>
      <c r="N122" t="s">
        <v>620</v>
      </c>
      <c r="O122" t="s">
        <v>61</v>
      </c>
      <c r="P122">
        <v>130547804</v>
      </c>
      <c r="Q122">
        <v>680836512</v>
      </c>
      <c r="R122" t="s">
        <v>621</v>
      </c>
      <c r="S122" t="s">
        <v>63</v>
      </c>
      <c r="T122" t="s">
        <v>64</v>
      </c>
      <c r="U122" t="s">
        <v>65</v>
      </c>
      <c r="V122" t="s">
        <v>111</v>
      </c>
      <c r="W122" s="26">
        <v>45542</v>
      </c>
      <c r="X122" t="s">
        <v>61</v>
      </c>
      <c r="Y122" t="s">
        <v>237</v>
      </c>
    </row>
    <row r="123" spans="1:25" x14ac:dyDescent="0.25">
      <c r="A123" t="s">
        <v>622</v>
      </c>
      <c r="B123">
        <v>11</v>
      </c>
      <c r="C123">
        <v>77</v>
      </c>
      <c r="D123">
        <v>9040</v>
      </c>
      <c r="E123" t="s">
        <v>612</v>
      </c>
      <c r="F123" t="s">
        <v>623</v>
      </c>
      <c r="G123" t="s">
        <v>624</v>
      </c>
      <c r="H123" s="26">
        <v>19909</v>
      </c>
      <c r="I123" t="s">
        <v>58</v>
      </c>
      <c r="J123" t="s">
        <v>625</v>
      </c>
      <c r="M123">
        <v>77210</v>
      </c>
      <c r="N123" t="s">
        <v>626</v>
      </c>
      <c r="O123" t="s">
        <v>61</v>
      </c>
      <c r="Q123">
        <v>685225350</v>
      </c>
      <c r="R123" t="s">
        <v>627</v>
      </c>
      <c r="S123" t="s">
        <v>63</v>
      </c>
      <c r="T123" t="s">
        <v>64</v>
      </c>
      <c r="U123" t="s">
        <v>65</v>
      </c>
      <c r="V123" t="s">
        <v>111</v>
      </c>
      <c r="W123" s="26">
        <v>45537</v>
      </c>
      <c r="X123" t="s">
        <v>61</v>
      </c>
      <c r="Y123" t="s">
        <v>237</v>
      </c>
    </row>
    <row r="124" spans="1:25" x14ac:dyDescent="0.25">
      <c r="A124" t="s">
        <v>628</v>
      </c>
      <c r="B124">
        <v>11</v>
      </c>
      <c r="C124">
        <v>93</v>
      </c>
      <c r="D124">
        <v>9060</v>
      </c>
      <c r="E124" t="s">
        <v>203</v>
      </c>
      <c r="F124" t="s">
        <v>629</v>
      </c>
      <c r="G124" t="s">
        <v>630</v>
      </c>
      <c r="H124" s="26">
        <v>22309</v>
      </c>
      <c r="I124" t="s">
        <v>58</v>
      </c>
      <c r="J124" t="s">
        <v>631</v>
      </c>
      <c r="M124">
        <v>93150</v>
      </c>
      <c r="N124" t="s">
        <v>632</v>
      </c>
      <c r="O124" t="s">
        <v>61</v>
      </c>
      <c r="Q124">
        <v>660990562</v>
      </c>
      <c r="R124" t="s">
        <v>633</v>
      </c>
      <c r="S124" t="s">
        <v>63</v>
      </c>
      <c r="T124" t="s">
        <v>64</v>
      </c>
      <c r="U124" t="s">
        <v>65</v>
      </c>
      <c r="W124" s="26">
        <v>45556</v>
      </c>
      <c r="X124" t="s">
        <v>61</v>
      </c>
      <c r="Y124" t="s">
        <v>237</v>
      </c>
    </row>
    <row r="125" spans="1:25" x14ac:dyDescent="0.25">
      <c r="A125" t="s">
        <v>634</v>
      </c>
      <c r="B125">
        <v>11</v>
      </c>
      <c r="C125">
        <v>77</v>
      </c>
      <c r="D125">
        <v>9059</v>
      </c>
      <c r="E125" t="s">
        <v>197</v>
      </c>
      <c r="F125" t="s">
        <v>97</v>
      </c>
      <c r="G125" t="s">
        <v>635</v>
      </c>
      <c r="H125" s="26">
        <v>17789</v>
      </c>
      <c r="I125" t="s">
        <v>58</v>
      </c>
      <c r="J125" t="s">
        <v>636</v>
      </c>
      <c r="M125">
        <v>77500</v>
      </c>
      <c r="N125" t="s">
        <v>637</v>
      </c>
      <c r="O125" t="s">
        <v>61</v>
      </c>
      <c r="Q125">
        <v>698752232</v>
      </c>
      <c r="R125" t="s">
        <v>638</v>
      </c>
      <c r="S125" t="s">
        <v>63</v>
      </c>
      <c r="T125" t="s">
        <v>64</v>
      </c>
      <c r="U125" t="s">
        <v>65</v>
      </c>
      <c r="W125" s="26">
        <v>45537</v>
      </c>
      <c r="X125" t="s">
        <v>61</v>
      </c>
      <c r="Y125" t="s">
        <v>237</v>
      </c>
    </row>
    <row r="126" spans="1:25" x14ac:dyDescent="0.25">
      <c r="A126" t="s">
        <v>10330</v>
      </c>
      <c r="B126">
        <v>11</v>
      </c>
      <c r="C126">
        <v>95</v>
      </c>
      <c r="D126">
        <v>9010</v>
      </c>
      <c r="E126" t="s">
        <v>6</v>
      </c>
      <c r="F126" t="s">
        <v>448</v>
      </c>
      <c r="G126" t="s">
        <v>10331</v>
      </c>
      <c r="H126" s="26">
        <v>21278</v>
      </c>
      <c r="I126" t="s">
        <v>58</v>
      </c>
      <c r="J126" t="s">
        <v>10332</v>
      </c>
      <c r="M126">
        <v>95160</v>
      </c>
      <c r="N126" t="s">
        <v>639</v>
      </c>
      <c r="O126" t="s">
        <v>61</v>
      </c>
      <c r="R126" t="s">
        <v>10333</v>
      </c>
      <c r="S126" t="s">
        <v>237</v>
      </c>
      <c r="T126" t="s">
        <v>64</v>
      </c>
      <c r="U126" t="s">
        <v>65</v>
      </c>
      <c r="W126" s="26">
        <v>45574</v>
      </c>
      <c r="X126" t="s">
        <v>61</v>
      </c>
      <c r="Y126" t="s">
        <v>237</v>
      </c>
    </row>
    <row r="127" spans="1:25" x14ac:dyDescent="0.25">
      <c r="A127" t="s">
        <v>10334</v>
      </c>
      <c r="B127">
        <v>11</v>
      </c>
      <c r="C127">
        <v>93</v>
      </c>
      <c r="D127">
        <v>9060</v>
      </c>
      <c r="E127" t="s">
        <v>203</v>
      </c>
      <c r="F127" t="s">
        <v>106</v>
      </c>
      <c r="G127" t="s">
        <v>10335</v>
      </c>
      <c r="H127" s="26">
        <v>20206</v>
      </c>
      <c r="I127" t="s">
        <v>58</v>
      </c>
      <c r="J127" t="s">
        <v>10336</v>
      </c>
      <c r="M127">
        <v>93110</v>
      </c>
      <c r="N127" t="s">
        <v>556</v>
      </c>
      <c r="O127" t="s">
        <v>61</v>
      </c>
      <c r="P127">
        <v>142877183</v>
      </c>
      <c r="Q127">
        <v>671406924</v>
      </c>
      <c r="R127" t="s">
        <v>10337</v>
      </c>
      <c r="S127" t="s">
        <v>63</v>
      </c>
      <c r="T127" t="s">
        <v>64</v>
      </c>
      <c r="U127" t="s">
        <v>65</v>
      </c>
      <c r="W127" s="26">
        <v>45581</v>
      </c>
      <c r="X127" t="s">
        <v>61</v>
      </c>
      <c r="Y127" t="s">
        <v>237</v>
      </c>
    </row>
    <row r="128" spans="1:25" x14ac:dyDescent="0.25">
      <c r="A128" t="s">
        <v>640</v>
      </c>
      <c r="B128">
        <v>11</v>
      </c>
      <c r="C128">
        <v>77</v>
      </c>
      <c r="D128">
        <v>9077</v>
      </c>
      <c r="E128" t="s">
        <v>90</v>
      </c>
      <c r="F128" t="s">
        <v>641</v>
      </c>
      <c r="G128" t="s">
        <v>642</v>
      </c>
      <c r="H128" s="26">
        <v>15626</v>
      </c>
      <c r="I128" t="s">
        <v>58</v>
      </c>
      <c r="J128" t="s">
        <v>643</v>
      </c>
      <c r="M128">
        <v>77515</v>
      </c>
      <c r="N128" t="s">
        <v>644</v>
      </c>
      <c r="O128" t="s">
        <v>61</v>
      </c>
      <c r="P128">
        <v>164042648</v>
      </c>
      <c r="Q128">
        <v>677037246</v>
      </c>
      <c r="R128" t="s">
        <v>645</v>
      </c>
      <c r="S128" t="s">
        <v>63</v>
      </c>
      <c r="T128" t="s">
        <v>64</v>
      </c>
      <c r="U128" t="s">
        <v>65</v>
      </c>
      <c r="V128" t="s">
        <v>111</v>
      </c>
      <c r="W128" s="26">
        <v>45545</v>
      </c>
      <c r="X128" t="s">
        <v>61</v>
      </c>
      <c r="Y128" t="s">
        <v>237</v>
      </c>
    </row>
    <row r="129" spans="1:25" x14ac:dyDescent="0.25">
      <c r="A129" t="s">
        <v>646</v>
      </c>
      <c r="B129">
        <v>11</v>
      </c>
      <c r="C129">
        <v>77</v>
      </c>
      <c r="D129">
        <v>9105</v>
      </c>
      <c r="E129" t="s">
        <v>124</v>
      </c>
      <c r="F129" t="s">
        <v>289</v>
      </c>
      <c r="G129" t="s">
        <v>647</v>
      </c>
      <c r="H129" s="26">
        <v>21172</v>
      </c>
      <c r="I129" t="s">
        <v>58</v>
      </c>
      <c r="J129" t="s">
        <v>648</v>
      </c>
      <c r="M129">
        <v>93160</v>
      </c>
      <c r="N129" t="s">
        <v>649</v>
      </c>
      <c r="O129" t="s">
        <v>61</v>
      </c>
      <c r="P129">
        <v>158842964</v>
      </c>
      <c r="R129" t="s">
        <v>650</v>
      </c>
      <c r="S129" t="s">
        <v>63</v>
      </c>
      <c r="T129" t="s">
        <v>64</v>
      </c>
      <c r="U129" t="s">
        <v>65</v>
      </c>
      <c r="W129" s="26">
        <v>45540</v>
      </c>
      <c r="X129" t="s">
        <v>61</v>
      </c>
      <c r="Y129" t="s">
        <v>237</v>
      </c>
    </row>
    <row r="130" spans="1:25" x14ac:dyDescent="0.25">
      <c r="A130" t="s">
        <v>11161</v>
      </c>
      <c r="B130">
        <v>11</v>
      </c>
      <c r="C130">
        <v>77</v>
      </c>
      <c r="D130">
        <v>9059</v>
      </c>
      <c r="E130" t="s">
        <v>197</v>
      </c>
      <c r="F130" t="s">
        <v>137</v>
      </c>
      <c r="G130" t="s">
        <v>239</v>
      </c>
      <c r="H130" s="26">
        <v>20712</v>
      </c>
      <c r="I130" t="s">
        <v>58</v>
      </c>
      <c r="J130" t="s">
        <v>11162</v>
      </c>
      <c r="M130">
        <v>77330</v>
      </c>
      <c r="N130" t="s">
        <v>209</v>
      </c>
      <c r="O130" t="s">
        <v>61</v>
      </c>
      <c r="R130" t="s">
        <v>11163</v>
      </c>
      <c r="S130" t="s">
        <v>63</v>
      </c>
      <c r="T130" t="s">
        <v>64</v>
      </c>
      <c r="U130" t="s">
        <v>65</v>
      </c>
      <c r="W130" s="26">
        <v>45589</v>
      </c>
      <c r="X130" t="s">
        <v>61</v>
      </c>
      <c r="Y130" t="s">
        <v>237</v>
      </c>
    </row>
    <row r="131" spans="1:25" x14ac:dyDescent="0.25">
      <c r="A131" t="s">
        <v>651</v>
      </c>
      <c r="B131">
        <v>11</v>
      </c>
      <c r="C131">
        <v>91</v>
      </c>
      <c r="D131">
        <v>9095</v>
      </c>
      <c r="E131" t="s">
        <v>113</v>
      </c>
      <c r="F131" t="s">
        <v>652</v>
      </c>
      <c r="G131" t="s">
        <v>653</v>
      </c>
      <c r="H131" s="26">
        <v>23401</v>
      </c>
      <c r="I131" t="s">
        <v>58</v>
      </c>
      <c r="J131" t="s">
        <v>654</v>
      </c>
      <c r="M131">
        <v>91680</v>
      </c>
      <c r="N131" t="s">
        <v>655</v>
      </c>
      <c r="O131" t="s">
        <v>61</v>
      </c>
      <c r="Q131">
        <v>613168299</v>
      </c>
      <c r="R131" t="s">
        <v>656</v>
      </c>
      <c r="S131" t="s">
        <v>63</v>
      </c>
      <c r="T131" t="s">
        <v>64</v>
      </c>
      <c r="U131" t="s">
        <v>65</v>
      </c>
      <c r="V131" t="s">
        <v>111</v>
      </c>
      <c r="W131" s="26">
        <v>45544</v>
      </c>
      <c r="X131" t="s">
        <v>61</v>
      </c>
      <c r="Y131" t="s">
        <v>237</v>
      </c>
    </row>
    <row r="132" spans="1:25" x14ac:dyDescent="0.25">
      <c r="A132" t="s">
        <v>10338</v>
      </c>
      <c r="B132">
        <v>11</v>
      </c>
      <c r="C132">
        <v>78</v>
      </c>
      <c r="D132">
        <v>9030</v>
      </c>
      <c r="E132" t="s">
        <v>96</v>
      </c>
      <c r="F132" t="s">
        <v>183</v>
      </c>
      <c r="G132" t="s">
        <v>10339</v>
      </c>
      <c r="H132" s="26">
        <v>19387</v>
      </c>
      <c r="I132" t="s">
        <v>58</v>
      </c>
      <c r="J132" t="s">
        <v>10340</v>
      </c>
      <c r="M132">
        <v>78340</v>
      </c>
      <c r="N132" t="s">
        <v>620</v>
      </c>
      <c r="O132" t="s">
        <v>61</v>
      </c>
      <c r="P132">
        <v>130809815</v>
      </c>
      <c r="Q132">
        <v>652926464</v>
      </c>
      <c r="R132" t="s">
        <v>10341</v>
      </c>
      <c r="S132" t="s">
        <v>63</v>
      </c>
      <c r="T132" t="s">
        <v>64</v>
      </c>
      <c r="U132" t="s">
        <v>65</v>
      </c>
      <c r="W132" s="26">
        <v>45580</v>
      </c>
      <c r="X132" t="s">
        <v>61</v>
      </c>
      <c r="Y132" t="s">
        <v>237</v>
      </c>
    </row>
    <row r="133" spans="1:25" x14ac:dyDescent="0.25">
      <c r="A133" t="s">
        <v>657</v>
      </c>
      <c r="B133">
        <v>11</v>
      </c>
      <c r="C133">
        <v>95</v>
      </c>
      <c r="D133">
        <v>9061</v>
      </c>
      <c r="E133" t="s">
        <v>360</v>
      </c>
      <c r="F133" t="s">
        <v>97</v>
      </c>
      <c r="G133" t="s">
        <v>658</v>
      </c>
      <c r="H133" s="26">
        <v>19161</v>
      </c>
      <c r="I133" t="s">
        <v>58</v>
      </c>
      <c r="J133" t="s">
        <v>659</v>
      </c>
      <c r="M133">
        <v>60110</v>
      </c>
      <c r="N133" t="s">
        <v>660</v>
      </c>
      <c r="O133" t="s">
        <v>61</v>
      </c>
      <c r="P133">
        <v>344528342</v>
      </c>
      <c r="Q133">
        <v>631785693</v>
      </c>
      <c r="R133" t="s">
        <v>661</v>
      </c>
      <c r="S133" t="s">
        <v>63</v>
      </c>
      <c r="T133" t="s">
        <v>64</v>
      </c>
      <c r="U133" t="s">
        <v>65</v>
      </c>
      <c r="W133" s="26">
        <v>45535</v>
      </c>
      <c r="X133" t="s">
        <v>61</v>
      </c>
      <c r="Y133" t="s">
        <v>237</v>
      </c>
    </row>
    <row r="134" spans="1:25" x14ac:dyDescent="0.25">
      <c r="A134" t="s">
        <v>10342</v>
      </c>
      <c r="B134">
        <v>11</v>
      </c>
      <c r="C134">
        <v>93</v>
      </c>
      <c r="D134">
        <v>9060</v>
      </c>
      <c r="E134" t="s">
        <v>203</v>
      </c>
      <c r="F134" t="s">
        <v>85</v>
      </c>
      <c r="G134" t="s">
        <v>10343</v>
      </c>
      <c r="H134" s="26">
        <v>21826</v>
      </c>
      <c r="I134" t="s">
        <v>58</v>
      </c>
      <c r="J134" t="s">
        <v>10344</v>
      </c>
      <c r="M134">
        <v>93220</v>
      </c>
      <c r="N134" t="s">
        <v>662</v>
      </c>
      <c r="O134" t="s">
        <v>61</v>
      </c>
      <c r="P134">
        <v>143088369</v>
      </c>
      <c r="S134" t="s">
        <v>63</v>
      </c>
      <c r="T134" t="s">
        <v>64</v>
      </c>
      <c r="U134" t="s">
        <v>65</v>
      </c>
      <c r="W134" s="26">
        <v>45576</v>
      </c>
      <c r="X134" t="s">
        <v>61</v>
      </c>
      <c r="Y134" t="s">
        <v>237</v>
      </c>
    </row>
    <row r="135" spans="1:25" x14ac:dyDescent="0.25">
      <c r="A135" t="s">
        <v>663</v>
      </c>
      <c r="B135">
        <v>11</v>
      </c>
      <c r="C135">
        <v>78</v>
      </c>
      <c r="D135">
        <v>9038</v>
      </c>
      <c r="E135" t="s">
        <v>484</v>
      </c>
      <c r="F135" t="s">
        <v>103</v>
      </c>
      <c r="G135" t="s">
        <v>664</v>
      </c>
      <c r="H135" s="26">
        <v>13926</v>
      </c>
      <c r="I135" t="s">
        <v>58</v>
      </c>
      <c r="J135" t="s">
        <v>665</v>
      </c>
      <c r="M135">
        <v>78700</v>
      </c>
      <c r="N135" t="s">
        <v>273</v>
      </c>
      <c r="O135" t="s">
        <v>61</v>
      </c>
      <c r="P135">
        <v>139198859</v>
      </c>
      <c r="Q135">
        <v>629121547</v>
      </c>
      <c r="R135" t="s">
        <v>666</v>
      </c>
      <c r="S135" t="s">
        <v>63</v>
      </c>
      <c r="T135" t="s">
        <v>64</v>
      </c>
      <c r="U135" t="s">
        <v>65</v>
      </c>
      <c r="W135" s="26">
        <v>45553</v>
      </c>
      <c r="X135" t="s">
        <v>61</v>
      </c>
      <c r="Y135" t="s">
        <v>237</v>
      </c>
    </row>
    <row r="136" spans="1:25" x14ac:dyDescent="0.25">
      <c r="A136" t="s">
        <v>667</v>
      </c>
      <c r="B136">
        <v>11</v>
      </c>
      <c r="C136">
        <v>75</v>
      </c>
      <c r="D136">
        <v>9070</v>
      </c>
      <c r="E136" t="s">
        <v>168</v>
      </c>
      <c r="F136" t="s">
        <v>3968</v>
      </c>
      <c r="G136" t="s">
        <v>669</v>
      </c>
      <c r="H136" s="26">
        <v>26995</v>
      </c>
      <c r="I136" t="s">
        <v>58</v>
      </c>
      <c r="J136" t="s">
        <v>670</v>
      </c>
      <c r="M136">
        <v>95370</v>
      </c>
      <c r="N136" t="s">
        <v>671</v>
      </c>
      <c r="O136" t="s">
        <v>61</v>
      </c>
      <c r="R136" t="s">
        <v>672</v>
      </c>
      <c r="S136" t="s">
        <v>237</v>
      </c>
      <c r="T136" t="s">
        <v>64</v>
      </c>
      <c r="U136" t="s">
        <v>8684</v>
      </c>
      <c r="W136" s="26">
        <v>45536</v>
      </c>
      <c r="X136" t="s">
        <v>61</v>
      </c>
      <c r="Y136" t="s">
        <v>237</v>
      </c>
    </row>
    <row r="137" spans="1:25" x14ac:dyDescent="0.25">
      <c r="A137" t="s">
        <v>8720</v>
      </c>
      <c r="B137">
        <v>11</v>
      </c>
      <c r="C137">
        <v>91</v>
      </c>
      <c r="D137">
        <v>9082</v>
      </c>
      <c r="E137" t="s">
        <v>67</v>
      </c>
      <c r="F137" t="s">
        <v>68</v>
      </c>
      <c r="G137" t="s">
        <v>8721</v>
      </c>
      <c r="H137" s="26">
        <v>20022</v>
      </c>
      <c r="I137" t="s">
        <v>58</v>
      </c>
      <c r="J137" t="s">
        <v>8722</v>
      </c>
      <c r="M137">
        <v>91210</v>
      </c>
      <c r="N137" t="s">
        <v>226</v>
      </c>
      <c r="O137" t="s">
        <v>61</v>
      </c>
      <c r="P137">
        <v>169406220</v>
      </c>
      <c r="Q137">
        <v>607172564</v>
      </c>
      <c r="R137" t="s">
        <v>8723</v>
      </c>
      <c r="S137" t="s">
        <v>63</v>
      </c>
      <c r="T137" t="s">
        <v>64</v>
      </c>
      <c r="U137" t="s">
        <v>65</v>
      </c>
      <c r="V137" t="s">
        <v>111</v>
      </c>
      <c r="W137" s="26">
        <v>45547</v>
      </c>
      <c r="X137" t="s">
        <v>61</v>
      </c>
      <c r="Y137" t="s">
        <v>237</v>
      </c>
    </row>
    <row r="138" spans="1:25" x14ac:dyDescent="0.25">
      <c r="A138" t="s">
        <v>673</v>
      </c>
      <c r="B138">
        <v>11</v>
      </c>
      <c r="C138">
        <v>91</v>
      </c>
      <c r="D138">
        <v>9064</v>
      </c>
      <c r="E138" t="s">
        <v>266</v>
      </c>
      <c r="F138" t="s">
        <v>355</v>
      </c>
      <c r="G138" t="s">
        <v>91</v>
      </c>
      <c r="H138" s="26">
        <v>20266</v>
      </c>
      <c r="I138" t="s">
        <v>58</v>
      </c>
      <c r="J138" t="s">
        <v>674</v>
      </c>
      <c r="M138">
        <v>91300</v>
      </c>
      <c r="N138" t="s">
        <v>675</v>
      </c>
      <c r="O138" t="s">
        <v>61</v>
      </c>
      <c r="P138">
        <v>951452090</v>
      </c>
      <c r="Q138">
        <v>630028989</v>
      </c>
      <c r="R138" t="s">
        <v>676</v>
      </c>
      <c r="S138" t="s">
        <v>63</v>
      </c>
      <c r="T138" t="s">
        <v>64</v>
      </c>
      <c r="U138" t="s">
        <v>65</v>
      </c>
      <c r="W138" s="26">
        <v>45560</v>
      </c>
      <c r="X138" t="s">
        <v>61</v>
      </c>
      <c r="Y138" t="s">
        <v>237</v>
      </c>
    </row>
    <row r="139" spans="1:25" x14ac:dyDescent="0.25">
      <c r="A139" t="s">
        <v>677</v>
      </c>
      <c r="B139">
        <v>11</v>
      </c>
      <c r="C139">
        <v>94</v>
      </c>
      <c r="D139">
        <v>9024</v>
      </c>
      <c r="E139" t="s">
        <v>4</v>
      </c>
      <c r="F139" t="s">
        <v>440</v>
      </c>
      <c r="G139" t="s">
        <v>678</v>
      </c>
      <c r="H139" s="26">
        <v>24359</v>
      </c>
      <c r="I139" t="s">
        <v>58</v>
      </c>
      <c r="J139" t="s">
        <v>679</v>
      </c>
      <c r="M139">
        <v>94500</v>
      </c>
      <c r="N139" t="s">
        <v>680</v>
      </c>
      <c r="O139" t="s">
        <v>61</v>
      </c>
      <c r="Q139">
        <v>781087548</v>
      </c>
      <c r="R139" t="s">
        <v>681</v>
      </c>
      <c r="S139" t="s">
        <v>63</v>
      </c>
      <c r="T139" t="s">
        <v>64</v>
      </c>
      <c r="U139" t="s">
        <v>65</v>
      </c>
      <c r="V139" t="s">
        <v>111</v>
      </c>
      <c r="W139" s="26">
        <v>45537</v>
      </c>
      <c r="X139" t="s">
        <v>61</v>
      </c>
      <c r="Y139" t="s">
        <v>237</v>
      </c>
    </row>
    <row r="140" spans="1:25" x14ac:dyDescent="0.25">
      <c r="A140" t="s">
        <v>682</v>
      </c>
      <c r="B140">
        <v>11</v>
      </c>
      <c r="C140">
        <v>77</v>
      </c>
      <c r="D140">
        <v>9105</v>
      </c>
      <c r="E140" t="s">
        <v>124</v>
      </c>
      <c r="F140" t="s">
        <v>106</v>
      </c>
      <c r="G140" t="s">
        <v>683</v>
      </c>
      <c r="H140" s="26">
        <v>19366</v>
      </c>
      <c r="I140" t="s">
        <v>58</v>
      </c>
      <c r="J140" t="s">
        <v>684</v>
      </c>
      <c r="M140">
        <v>77000</v>
      </c>
      <c r="N140" t="s">
        <v>685</v>
      </c>
      <c r="O140" t="s">
        <v>61</v>
      </c>
      <c r="P140">
        <v>164096502</v>
      </c>
      <c r="Q140">
        <v>688706836</v>
      </c>
      <c r="R140" t="s">
        <v>686</v>
      </c>
      <c r="S140" t="s">
        <v>63</v>
      </c>
      <c r="T140" t="s">
        <v>64</v>
      </c>
      <c r="U140" t="s">
        <v>65</v>
      </c>
      <c r="W140" s="26">
        <v>45537</v>
      </c>
      <c r="X140" t="s">
        <v>61</v>
      </c>
      <c r="Y140" t="s">
        <v>237</v>
      </c>
    </row>
    <row r="141" spans="1:25" x14ac:dyDescent="0.25">
      <c r="A141" t="s">
        <v>11164</v>
      </c>
      <c r="B141">
        <v>11</v>
      </c>
      <c r="C141">
        <v>91</v>
      </c>
      <c r="D141">
        <v>9082</v>
      </c>
      <c r="E141" t="s">
        <v>67</v>
      </c>
      <c r="F141" t="s">
        <v>653</v>
      </c>
      <c r="G141" t="s">
        <v>11165</v>
      </c>
      <c r="H141" s="26">
        <v>17962</v>
      </c>
      <c r="I141" t="s">
        <v>58</v>
      </c>
      <c r="J141" t="s">
        <v>11166</v>
      </c>
      <c r="K141" t="s">
        <v>11167</v>
      </c>
      <c r="M141">
        <v>91330</v>
      </c>
      <c r="N141" t="s">
        <v>688</v>
      </c>
      <c r="O141" t="s">
        <v>61</v>
      </c>
      <c r="Q141">
        <v>618508246</v>
      </c>
      <c r="R141" t="s">
        <v>11168</v>
      </c>
      <c r="S141" t="s">
        <v>63</v>
      </c>
      <c r="T141" t="s">
        <v>64</v>
      </c>
      <c r="U141" t="s">
        <v>65</v>
      </c>
      <c r="W141" s="26">
        <v>45586</v>
      </c>
      <c r="X141" t="s">
        <v>61</v>
      </c>
      <c r="Y141" t="s">
        <v>237</v>
      </c>
    </row>
    <row r="142" spans="1:25" x14ac:dyDescent="0.25">
      <c r="A142" t="s">
        <v>10345</v>
      </c>
      <c r="B142">
        <v>11</v>
      </c>
      <c r="C142">
        <v>94</v>
      </c>
      <c r="D142">
        <v>9024</v>
      </c>
      <c r="E142" t="s">
        <v>4</v>
      </c>
      <c r="F142" t="s">
        <v>154</v>
      </c>
      <c r="G142" t="s">
        <v>10346</v>
      </c>
      <c r="H142" s="26">
        <v>18620</v>
      </c>
      <c r="I142" t="s">
        <v>58</v>
      </c>
      <c r="J142" t="s">
        <v>10347</v>
      </c>
      <c r="M142">
        <v>77500</v>
      </c>
      <c r="N142" t="s">
        <v>637</v>
      </c>
      <c r="O142" t="s">
        <v>61</v>
      </c>
      <c r="P142">
        <v>160083462</v>
      </c>
      <c r="Q142">
        <v>613018352</v>
      </c>
      <c r="R142" t="s">
        <v>10348</v>
      </c>
      <c r="S142" t="s">
        <v>63</v>
      </c>
      <c r="T142" t="s">
        <v>64</v>
      </c>
      <c r="U142" t="s">
        <v>65</v>
      </c>
      <c r="W142" s="26">
        <v>45573</v>
      </c>
      <c r="X142" t="s">
        <v>61</v>
      </c>
      <c r="Y142" t="s">
        <v>237</v>
      </c>
    </row>
    <row r="143" spans="1:25" x14ac:dyDescent="0.25">
      <c r="A143" t="s">
        <v>689</v>
      </c>
      <c r="B143">
        <v>11</v>
      </c>
      <c r="C143">
        <v>95</v>
      </c>
      <c r="D143">
        <v>9127</v>
      </c>
      <c r="E143" t="s">
        <v>536</v>
      </c>
      <c r="F143" t="s">
        <v>12</v>
      </c>
      <c r="G143" t="s">
        <v>690</v>
      </c>
      <c r="H143" s="26">
        <v>24943</v>
      </c>
      <c r="I143" t="s">
        <v>58</v>
      </c>
      <c r="J143" t="s">
        <v>8724</v>
      </c>
      <c r="M143">
        <v>78490</v>
      </c>
      <c r="N143" t="s">
        <v>8725</v>
      </c>
      <c r="O143" t="s">
        <v>61</v>
      </c>
      <c r="Q143">
        <v>630831805</v>
      </c>
      <c r="R143" t="s">
        <v>691</v>
      </c>
      <c r="S143" t="s">
        <v>63</v>
      </c>
      <c r="T143" t="s">
        <v>64</v>
      </c>
      <c r="U143" t="s">
        <v>8684</v>
      </c>
      <c r="W143" s="26">
        <v>45534</v>
      </c>
      <c r="X143" t="s">
        <v>61</v>
      </c>
      <c r="Y143" t="s">
        <v>237</v>
      </c>
    </row>
    <row r="144" spans="1:25" x14ac:dyDescent="0.25">
      <c r="A144" t="s">
        <v>692</v>
      </c>
      <c r="B144">
        <v>11</v>
      </c>
      <c r="C144">
        <v>95</v>
      </c>
      <c r="D144">
        <v>9061</v>
      </c>
      <c r="E144" t="s">
        <v>360</v>
      </c>
      <c r="F144" t="s">
        <v>693</v>
      </c>
      <c r="G144" t="s">
        <v>694</v>
      </c>
      <c r="H144" s="26">
        <v>22940</v>
      </c>
      <c r="I144" t="s">
        <v>16</v>
      </c>
      <c r="J144" t="s">
        <v>659</v>
      </c>
      <c r="M144">
        <v>60110</v>
      </c>
      <c r="N144" t="s">
        <v>660</v>
      </c>
      <c r="O144" t="s">
        <v>61</v>
      </c>
      <c r="P144">
        <v>344528342</v>
      </c>
      <c r="Q144">
        <v>698042229</v>
      </c>
      <c r="R144" t="s">
        <v>695</v>
      </c>
      <c r="S144" t="s">
        <v>63</v>
      </c>
      <c r="T144" t="s">
        <v>64</v>
      </c>
      <c r="U144" t="s">
        <v>65</v>
      </c>
      <c r="V144" t="s">
        <v>111</v>
      </c>
      <c r="W144" s="26">
        <v>45535</v>
      </c>
      <c r="X144" t="s">
        <v>61</v>
      </c>
      <c r="Y144" t="s">
        <v>237</v>
      </c>
    </row>
    <row r="145" spans="1:25" x14ac:dyDescent="0.25">
      <c r="A145" t="s">
        <v>696</v>
      </c>
      <c r="B145">
        <v>11</v>
      </c>
      <c r="C145">
        <v>91</v>
      </c>
      <c r="D145">
        <v>9009</v>
      </c>
      <c r="E145" t="s">
        <v>159</v>
      </c>
      <c r="F145" t="s">
        <v>697</v>
      </c>
      <c r="G145" t="s">
        <v>694</v>
      </c>
      <c r="H145" s="26">
        <v>18895</v>
      </c>
      <c r="I145" t="s">
        <v>58</v>
      </c>
      <c r="J145" t="s">
        <v>698</v>
      </c>
      <c r="M145">
        <v>91770</v>
      </c>
      <c r="N145" t="s">
        <v>699</v>
      </c>
      <c r="O145" t="s">
        <v>61</v>
      </c>
      <c r="Q145">
        <v>671339768</v>
      </c>
      <c r="R145" t="s">
        <v>700</v>
      </c>
      <c r="S145" t="s">
        <v>63</v>
      </c>
      <c r="T145" t="s">
        <v>64</v>
      </c>
      <c r="U145" t="s">
        <v>65</v>
      </c>
      <c r="W145" s="26">
        <v>45554</v>
      </c>
      <c r="X145" t="s">
        <v>61</v>
      </c>
      <c r="Y145" t="s">
        <v>237</v>
      </c>
    </row>
    <row r="146" spans="1:25" x14ac:dyDescent="0.25">
      <c r="A146" t="s">
        <v>701</v>
      </c>
      <c r="B146">
        <v>11</v>
      </c>
      <c r="C146">
        <v>77</v>
      </c>
      <c r="D146">
        <v>9040</v>
      </c>
      <c r="E146" t="s">
        <v>612</v>
      </c>
      <c r="F146" t="s">
        <v>91</v>
      </c>
      <c r="G146" t="s">
        <v>702</v>
      </c>
      <c r="H146" s="26">
        <v>13478</v>
      </c>
      <c r="I146" t="s">
        <v>58</v>
      </c>
      <c r="J146" t="s">
        <v>703</v>
      </c>
      <c r="M146">
        <v>77250</v>
      </c>
      <c r="N146" t="s">
        <v>704</v>
      </c>
      <c r="O146" t="s">
        <v>61</v>
      </c>
      <c r="P146">
        <v>160702125</v>
      </c>
      <c r="R146" t="s">
        <v>705</v>
      </c>
      <c r="S146" t="s">
        <v>63</v>
      </c>
      <c r="T146" t="s">
        <v>64</v>
      </c>
      <c r="U146" t="s">
        <v>65</v>
      </c>
      <c r="W146" s="26">
        <v>45539</v>
      </c>
      <c r="X146" t="s">
        <v>61</v>
      </c>
      <c r="Y146" t="s">
        <v>237</v>
      </c>
    </row>
    <row r="147" spans="1:25" x14ac:dyDescent="0.25">
      <c r="A147" t="s">
        <v>706</v>
      </c>
      <c r="B147">
        <v>11</v>
      </c>
      <c r="C147">
        <v>91</v>
      </c>
      <c r="D147">
        <v>9082</v>
      </c>
      <c r="E147" t="s">
        <v>67</v>
      </c>
      <c r="F147" t="s">
        <v>551</v>
      </c>
      <c r="G147" t="s">
        <v>707</v>
      </c>
      <c r="H147" s="26">
        <v>18857</v>
      </c>
      <c r="I147" t="s">
        <v>58</v>
      </c>
      <c r="J147" t="s">
        <v>708</v>
      </c>
      <c r="M147">
        <v>91450</v>
      </c>
      <c r="N147" t="s">
        <v>709</v>
      </c>
      <c r="O147" t="s">
        <v>61</v>
      </c>
      <c r="P147">
        <v>160758167</v>
      </c>
      <c r="Q147">
        <v>630638828</v>
      </c>
      <c r="R147" t="s">
        <v>710</v>
      </c>
      <c r="S147" t="s">
        <v>63</v>
      </c>
      <c r="T147" t="s">
        <v>64</v>
      </c>
      <c r="U147" t="s">
        <v>65</v>
      </c>
      <c r="W147" s="26">
        <v>45554</v>
      </c>
      <c r="X147" t="s">
        <v>61</v>
      </c>
      <c r="Y147" t="s">
        <v>237</v>
      </c>
    </row>
    <row r="148" spans="1:25" x14ac:dyDescent="0.25">
      <c r="A148" t="s">
        <v>711</v>
      </c>
      <c r="B148">
        <v>11</v>
      </c>
      <c r="C148">
        <v>92</v>
      </c>
      <c r="D148">
        <v>9088</v>
      </c>
      <c r="E148" t="s">
        <v>1</v>
      </c>
      <c r="F148" t="s">
        <v>712</v>
      </c>
      <c r="G148" t="s">
        <v>713</v>
      </c>
      <c r="H148" s="26">
        <v>22751</v>
      </c>
      <c r="I148" t="s">
        <v>58</v>
      </c>
      <c r="J148" t="s">
        <v>714</v>
      </c>
      <c r="M148">
        <v>75012</v>
      </c>
      <c r="N148" t="s">
        <v>330</v>
      </c>
      <c r="O148" t="s">
        <v>61</v>
      </c>
      <c r="Q148">
        <v>630137700</v>
      </c>
      <c r="R148" t="s">
        <v>715</v>
      </c>
      <c r="S148" t="s">
        <v>63</v>
      </c>
      <c r="T148" t="s">
        <v>64</v>
      </c>
      <c r="U148" t="s">
        <v>65</v>
      </c>
      <c r="W148" s="26">
        <v>45563</v>
      </c>
      <c r="X148" t="s">
        <v>716</v>
      </c>
      <c r="Y148" t="s">
        <v>237</v>
      </c>
    </row>
    <row r="149" spans="1:25" x14ac:dyDescent="0.25">
      <c r="A149" t="s">
        <v>717</v>
      </c>
      <c r="B149">
        <v>11</v>
      </c>
      <c r="C149">
        <v>78</v>
      </c>
      <c r="D149">
        <v>9084</v>
      </c>
      <c r="E149" t="s">
        <v>216</v>
      </c>
      <c r="F149" t="s">
        <v>718</v>
      </c>
      <c r="G149" t="s">
        <v>719</v>
      </c>
      <c r="H149" s="26">
        <v>17234</v>
      </c>
      <c r="I149" t="s">
        <v>58</v>
      </c>
      <c r="J149" t="s">
        <v>720</v>
      </c>
      <c r="M149">
        <v>78130</v>
      </c>
      <c r="N149" t="s">
        <v>721</v>
      </c>
      <c r="O149" t="s">
        <v>61</v>
      </c>
      <c r="P149">
        <v>130998823</v>
      </c>
      <c r="R149" t="s">
        <v>722</v>
      </c>
      <c r="S149" t="s">
        <v>63</v>
      </c>
      <c r="T149" t="s">
        <v>64</v>
      </c>
      <c r="U149" t="s">
        <v>65</v>
      </c>
      <c r="W149" s="26">
        <v>45545</v>
      </c>
      <c r="X149" t="s">
        <v>61</v>
      </c>
      <c r="Y149" t="s">
        <v>237</v>
      </c>
    </row>
    <row r="150" spans="1:25" x14ac:dyDescent="0.25">
      <c r="A150" t="s">
        <v>10349</v>
      </c>
      <c r="B150">
        <v>11</v>
      </c>
      <c r="C150">
        <v>95</v>
      </c>
      <c r="D150">
        <v>9010</v>
      </c>
      <c r="E150" t="s">
        <v>6</v>
      </c>
      <c r="F150" t="s">
        <v>723</v>
      </c>
      <c r="G150" t="s">
        <v>10350</v>
      </c>
      <c r="H150" s="26">
        <v>16236</v>
      </c>
      <c r="I150" t="s">
        <v>58</v>
      </c>
      <c r="J150" t="s">
        <v>10351</v>
      </c>
      <c r="K150" t="s">
        <v>10352</v>
      </c>
      <c r="M150">
        <v>78500</v>
      </c>
      <c r="N150" t="s">
        <v>109</v>
      </c>
      <c r="O150" t="s">
        <v>61</v>
      </c>
      <c r="R150" t="s">
        <v>10353</v>
      </c>
      <c r="S150" t="s">
        <v>63</v>
      </c>
      <c r="T150" t="s">
        <v>64</v>
      </c>
      <c r="U150" t="s">
        <v>65</v>
      </c>
      <c r="V150" t="s">
        <v>111</v>
      </c>
      <c r="W150" s="26">
        <v>45574</v>
      </c>
      <c r="X150" t="s">
        <v>61</v>
      </c>
      <c r="Y150" t="s">
        <v>237</v>
      </c>
    </row>
    <row r="151" spans="1:25" x14ac:dyDescent="0.25">
      <c r="A151" t="s">
        <v>724</v>
      </c>
      <c r="B151">
        <v>11</v>
      </c>
      <c r="C151">
        <v>92</v>
      </c>
      <c r="D151">
        <v>9017</v>
      </c>
      <c r="E151" t="s">
        <v>211</v>
      </c>
      <c r="F151" t="s">
        <v>243</v>
      </c>
      <c r="G151" t="s">
        <v>725</v>
      </c>
      <c r="H151" s="26">
        <v>31715</v>
      </c>
      <c r="I151" t="s">
        <v>58</v>
      </c>
      <c r="J151" t="s">
        <v>726</v>
      </c>
      <c r="M151">
        <v>95250</v>
      </c>
      <c r="N151" t="s">
        <v>423</v>
      </c>
      <c r="O151" t="s">
        <v>61</v>
      </c>
      <c r="Q151">
        <v>683859315</v>
      </c>
      <c r="R151" t="s">
        <v>727</v>
      </c>
      <c r="S151" t="s">
        <v>63</v>
      </c>
      <c r="T151" t="s">
        <v>64</v>
      </c>
      <c r="U151" t="s">
        <v>65</v>
      </c>
      <c r="W151" s="26">
        <v>45537</v>
      </c>
      <c r="X151" t="s">
        <v>61</v>
      </c>
      <c r="Y151" t="s">
        <v>237</v>
      </c>
    </row>
    <row r="152" spans="1:25" x14ac:dyDescent="0.25">
      <c r="A152" t="s">
        <v>729</v>
      </c>
      <c r="B152">
        <v>11</v>
      </c>
      <c r="C152">
        <v>95</v>
      </c>
      <c r="D152">
        <v>9010</v>
      </c>
      <c r="E152" t="s">
        <v>6</v>
      </c>
      <c r="F152" t="s">
        <v>13</v>
      </c>
      <c r="G152" t="s">
        <v>730</v>
      </c>
      <c r="H152" s="26">
        <v>18174</v>
      </c>
      <c r="I152" t="s">
        <v>58</v>
      </c>
      <c r="J152" t="s">
        <v>731</v>
      </c>
      <c r="M152">
        <v>95100</v>
      </c>
      <c r="N152" t="s">
        <v>311</v>
      </c>
      <c r="O152" t="s">
        <v>61</v>
      </c>
      <c r="Q152">
        <v>614133733</v>
      </c>
      <c r="R152" t="s">
        <v>732</v>
      </c>
      <c r="S152" t="s">
        <v>63</v>
      </c>
      <c r="T152" t="s">
        <v>64</v>
      </c>
      <c r="U152" t="s">
        <v>65</v>
      </c>
      <c r="W152" s="26">
        <v>45524</v>
      </c>
      <c r="X152" t="s">
        <v>61</v>
      </c>
      <c r="Y152" t="s">
        <v>237</v>
      </c>
    </row>
    <row r="153" spans="1:25" x14ac:dyDescent="0.25">
      <c r="A153" t="s">
        <v>733</v>
      </c>
      <c r="B153">
        <v>11</v>
      </c>
      <c r="C153">
        <v>95</v>
      </c>
      <c r="D153">
        <v>9061</v>
      </c>
      <c r="E153" t="s">
        <v>360</v>
      </c>
      <c r="F153" t="s">
        <v>734</v>
      </c>
      <c r="G153" t="s">
        <v>735</v>
      </c>
      <c r="H153" s="26">
        <v>26151</v>
      </c>
      <c r="I153" t="s">
        <v>58</v>
      </c>
      <c r="J153" t="s">
        <v>736</v>
      </c>
      <c r="M153">
        <v>92000</v>
      </c>
      <c r="N153" t="s">
        <v>737</v>
      </c>
      <c r="O153" t="s">
        <v>61</v>
      </c>
      <c r="Q153">
        <v>667665823</v>
      </c>
      <c r="R153" t="s">
        <v>738</v>
      </c>
      <c r="S153" t="s">
        <v>63</v>
      </c>
      <c r="T153" t="s">
        <v>64</v>
      </c>
      <c r="U153" t="s">
        <v>65</v>
      </c>
      <c r="W153" s="26">
        <v>45535</v>
      </c>
      <c r="X153" t="s">
        <v>61</v>
      </c>
      <c r="Y153" t="s">
        <v>237</v>
      </c>
    </row>
    <row r="154" spans="1:25" x14ac:dyDescent="0.25">
      <c r="A154" t="s">
        <v>739</v>
      </c>
      <c r="B154">
        <v>11</v>
      </c>
      <c r="C154">
        <v>91</v>
      </c>
      <c r="D154">
        <v>9025</v>
      </c>
      <c r="E154" t="s">
        <v>188</v>
      </c>
      <c r="F154" t="s">
        <v>740</v>
      </c>
      <c r="G154" t="s">
        <v>741</v>
      </c>
      <c r="H154" s="26">
        <v>13585</v>
      </c>
      <c r="I154" t="s">
        <v>58</v>
      </c>
      <c r="J154" t="s">
        <v>742</v>
      </c>
      <c r="M154">
        <v>91000</v>
      </c>
      <c r="N154" t="s">
        <v>743</v>
      </c>
      <c r="O154" t="s">
        <v>61</v>
      </c>
      <c r="P154">
        <v>160770744</v>
      </c>
      <c r="Q154">
        <v>760486416</v>
      </c>
      <c r="R154" t="s">
        <v>744</v>
      </c>
      <c r="S154" t="s">
        <v>63</v>
      </c>
      <c r="T154" t="s">
        <v>64</v>
      </c>
      <c r="U154" t="s">
        <v>65</v>
      </c>
      <c r="W154" s="26">
        <v>45555</v>
      </c>
      <c r="X154" t="s">
        <v>61</v>
      </c>
      <c r="Y154" t="s">
        <v>237</v>
      </c>
    </row>
    <row r="155" spans="1:25" x14ac:dyDescent="0.25">
      <c r="A155" t="s">
        <v>10117</v>
      </c>
      <c r="B155">
        <v>11</v>
      </c>
      <c r="C155">
        <v>94</v>
      </c>
      <c r="D155">
        <v>9024</v>
      </c>
      <c r="E155" t="s">
        <v>4</v>
      </c>
      <c r="F155" t="s">
        <v>154</v>
      </c>
      <c r="G155" t="s">
        <v>10118</v>
      </c>
      <c r="H155" s="26">
        <v>20384</v>
      </c>
      <c r="I155" t="s">
        <v>58</v>
      </c>
      <c r="J155" t="s">
        <v>10119</v>
      </c>
      <c r="M155">
        <v>94460</v>
      </c>
      <c r="N155" t="s">
        <v>10120</v>
      </c>
      <c r="O155" t="s">
        <v>61</v>
      </c>
      <c r="P155">
        <v>143826042</v>
      </c>
      <c r="Q155">
        <v>663459673</v>
      </c>
      <c r="R155" t="s">
        <v>10121</v>
      </c>
      <c r="S155" t="s">
        <v>63</v>
      </c>
      <c r="T155" t="s">
        <v>64</v>
      </c>
      <c r="U155" t="s">
        <v>65</v>
      </c>
      <c r="V155" t="s">
        <v>111</v>
      </c>
      <c r="W155" s="26">
        <v>45569</v>
      </c>
      <c r="X155" t="s">
        <v>61</v>
      </c>
      <c r="Y155" t="s">
        <v>237</v>
      </c>
    </row>
    <row r="156" spans="1:25" x14ac:dyDescent="0.25">
      <c r="A156" t="s">
        <v>10354</v>
      </c>
      <c r="B156">
        <v>11</v>
      </c>
      <c r="C156">
        <v>94</v>
      </c>
      <c r="D156">
        <v>9024</v>
      </c>
      <c r="E156" t="s">
        <v>4</v>
      </c>
      <c r="F156" t="s">
        <v>91</v>
      </c>
      <c r="G156" t="s">
        <v>10355</v>
      </c>
      <c r="H156" s="26">
        <v>19274</v>
      </c>
      <c r="I156" t="s">
        <v>58</v>
      </c>
      <c r="J156" t="s">
        <v>10356</v>
      </c>
      <c r="M156">
        <v>75020</v>
      </c>
      <c r="N156" t="s">
        <v>330</v>
      </c>
      <c r="O156" t="s">
        <v>61</v>
      </c>
      <c r="Q156">
        <v>660807538</v>
      </c>
      <c r="R156" t="s">
        <v>10357</v>
      </c>
      <c r="S156" t="s">
        <v>63</v>
      </c>
      <c r="T156" t="s">
        <v>64</v>
      </c>
      <c r="U156" t="s">
        <v>65</v>
      </c>
      <c r="W156" s="26">
        <v>45573</v>
      </c>
      <c r="X156" t="s">
        <v>61</v>
      </c>
      <c r="Y156" t="s">
        <v>237</v>
      </c>
    </row>
    <row r="157" spans="1:25" x14ac:dyDescent="0.25">
      <c r="A157" t="s">
        <v>745</v>
      </c>
      <c r="B157">
        <v>11</v>
      </c>
      <c r="C157">
        <v>91</v>
      </c>
      <c r="D157">
        <v>9095</v>
      </c>
      <c r="E157" t="s">
        <v>113</v>
      </c>
      <c r="F157" t="s">
        <v>255</v>
      </c>
      <c r="G157" t="s">
        <v>746</v>
      </c>
      <c r="H157" s="26">
        <v>22818</v>
      </c>
      <c r="I157" t="s">
        <v>58</v>
      </c>
      <c r="J157" t="s">
        <v>747</v>
      </c>
      <c r="M157">
        <v>91630</v>
      </c>
      <c r="N157" t="s">
        <v>748</v>
      </c>
      <c r="O157" t="s">
        <v>61</v>
      </c>
      <c r="P157">
        <v>977384919</v>
      </c>
      <c r="Q157">
        <v>660580895</v>
      </c>
      <c r="R157" t="s">
        <v>749</v>
      </c>
      <c r="S157" t="s">
        <v>63</v>
      </c>
      <c r="T157" t="s">
        <v>64</v>
      </c>
      <c r="U157" t="s">
        <v>65</v>
      </c>
      <c r="W157" s="26">
        <v>45544</v>
      </c>
      <c r="X157" t="s">
        <v>61</v>
      </c>
      <c r="Y157" t="s">
        <v>237</v>
      </c>
    </row>
    <row r="158" spans="1:25" x14ac:dyDescent="0.25">
      <c r="A158" t="s">
        <v>750</v>
      </c>
      <c r="B158">
        <v>11</v>
      </c>
      <c r="C158">
        <v>92</v>
      </c>
      <c r="D158">
        <v>9007</v>
      </c>
      <c r="E158" t="s">
        <v>121</v>
      </c>
      <c r="F158" t="s">
        <v>137</v>
      </c>
      <c r="G158" t="s">
        <v>751</v>
      </c>
      <c r="H158" s="26">
        <v>21121</v>
      </c>
      <c r="I158" t="s">
        <v>58</v>
      </c>
      <c r="J158" t="s">
        <v>752</v>
      </c>
      <c r="M158">
        <v>92600</v>
      </c>
      <c r="N158" t="s">
        <v>410</v>
      </c>
      <c r="O158" t="s">
        <v>61</v>
      </c>
      <c r="Q158">
        <v>633662389</v>
      </c>
      <c r="R158" t="s">
        <v>753</v>
      </c>
      <c r="S158" t="s">
        <v>63</v>
      </c>
      <c r="T158" t="s">
        <v>64</v>
      </c>
      <c r="U158" t="s">
        <v>65</v>
      </c>
      <c r="W158" s="26">
        <v>45525</v>
      </c>
      <c r="X158" t="s">
        <v>61</v>
      </c>
      <c r="Y158" t="s">
        <v>237</v>
      </c>
    </row>
    <row r="159" spans="1:25" x14ac:dyDescent="0.25">
      <c r="A159" t="s">
        <v>754</v>
      </c>
      <c r="B159">
        <v>11</v>
      </c>
      <c r="C159">
        <v>92</v>
      </c>
      <c r="D159">
        <v>9007</v>
      </c>
      <c r="E159" t="s">
        <v>121</v>
      </c>
      <c r="F159" t="s">
        <v>160</v>
      </c>
      <c r="G159" t="s">
        <v>755</v>
      </c>
      <c r="H159" s="26">
        <v>23205</v>
      </c>
      <c r="I159" t="s">
        <v>58</v>
      </c>
      <c r="J159" t="s">
        <v>756</v>
      </c>
      <c r="M159">
        <v>95310</v>
      </c>
      <c r="N159" t="s">
        <v>757</v>
      </c>
      <c r="O159" t="s">
        <v>61</v>
      </c>
      <c r="P159">
        <v>134021803</v>
      </c>
      <c r="Q159">
        <v>676061164</v>
      </c>
      <c r="S159" t="s">
        <v>63</v>
      </c>
      <c r="T159" t="s">
        <v>64</v>
      </c>
      <c r="U159" t="s">
        <v>65</v>
      </c>
      <c r="W159" s="26">
        <v>45561</v>
      </c>
      <c r="X159" t="s">
        <v>61</v>
      </c>
      <c r="Y159" t="s">
        <v>237</v>
      </c>
    </row>
    <row r="160" spans="1:25" x14ac:dyDescent="0.25">
      <c r="A160" t="s">
        <v>758</v>
      </c>
      <c r="B160">
        <v>11</v>
      </c>
      <c r="C160">
        <v>78</v>
      </c>
      <c r="D160">
        <v>9030</v>
      </c>
      <c r="E160" t="s">
        <v>96</v>
      </c>
      <c r="F160" t="s">
        <v>551</v>
      </c>
      <c r="G160" t="s">
        <v>759</v>
      </c>
      <c r="H160" s="26">
        <v>21487</v>
      </c>
      <c r="I160" t="s">
        <v>58</v>
      </c>
      <c r="J160" t="s">
        <v>760</v>
      </c>
      <c r="M160">
        <v>78760</v>
      </c>
      <c r="N160" t="s">
        <v>761</v>
      </c>
      <c r="O160" t="s">
        <v>61</v>
      </c>
      <c r="Q160">
        <v>644744110</v>
      </c>
      <c r="R160" t="s">
        <v>762</v>
      </c>
      <c r="S160" t="s">
        <v>63</v>
      </c>
      <c r="T160" t="s">
        <v>64</v>
      </c>
      <c r="U160" t="s">
        <v>65</v>
      </c>
      <c r="W160" s="26">
        <v>45562</v>
      </c>
      <c r="X160" t="s">
        <v>61</v>
      </c>
      <c r="Y160" t="s">
        <v>237</v>
      </c>
    </row>
    <row r="161" spans="1:25" x14ac:dyDescent="0.25">
      <c r="A161" t="s">
        <v>763</v>
      </c>
      <c r="B161">
        <v>11</v>
      </c>
      <c r="C161">
        <v>93</v>
      </c>
      <c r="D161">
        <v>9060</v>
      </c>
      <c r="E161" t="s">
        <v>203</v>
      </c>
      <c r="F161" t="s">
        <v>85</v>
      </c>
      <c r="G161" t="s">
        <v>764</v>
      </c>
      <c r="H161" s="26">
        <v>18458</v>
      </c>
      <c r="I161" t="s">
        <v>58</v>
      </c>
      <c r="J161" t="s">
        <v>765</v>
      </c>
      <c r="M161">
        <v>75020</v>
      </c>
      <c r="N161" t="s">
        <v>330</v>
      </c>
      <c r="O161" t="s">
        <v>61</v>
      </c>
      <c r="Q161">
        <v>631665012</v>
      </c>
      <c r="R161" t="s">
        <v>766</v>
      </c>
      <c r="S161" t="s">
        <v>63</v>
      </c>
      <c r="T161" t="s">
        <v>64</v>
      </c>
      <c r="U161" t="s">
        <v>65</v>
      </c>
      <c r="W161" s="26">
        <v>45546</v>
      </c>
      <c r="X161" t="s">
        <v>61</v>
      </c>
      <c r="Y161" t="s">
        <v>237</v>
      </c>
    </row>
    <row r="162" spans="1:25" x14ac:dyDescent="0.25">
      <c r="A162" t="s">
        <v>767</v>
      </c>
      <c r="B162">
        <v>11</v>
      </c>
      <c r="C162">
        <v>92</v>
      </c>
      <c r="D162">
        <v>9017</v>
      </c>
      <c r="E162" t="s">
        <v>211</v>
      </c>
      <c r="F162" t="s">
        <v>768</v>
      </c>
      <c r="G162" t="s">
        <v>769</v>
      </c>
      <c r="H162" s="26">
        <v>25506</v>
      </c>
      <c r="I162" t="s">
        <v>58</v>
      </c>
      <c r="J162" t="s">
        <v>770</v>
      </c>
      <c r="M162">
        <v>94110</v>
      </c>
      <c r="N162" t="s">
        <v>771</v>
      </c>
      <c r="O162" t="s">
        <v>61</v>
      </c>
      <c r="Q162">
        <v>631504711</v>
      </c>
      <c r="R162" t="s">
        <v>772</v>
      </c>
      <c r="S162" t="s">
        <v>63</v>
      </c>
      <c r="T162" t="s">
        <v>64</v>
      </c>
      <c r="U162" t="s">
        <v>65</v>
      </c>
      <c r="W162" s="26">
        <v>45537</v>
      </c>
      <c r="X162" t="s">
        <v>61</v>
      </c>
      <c r="Y162" t="s">
        <v>237</v>
      </c>
    </row>
    <row r="163" spans="1:25" x14ac:dyDescent="0.25">
      <c r="A163" t="s">
        <v>776</v>
      </c>
      <c r="B163">
        <v>11</v>
      </c>
      <c r="C163">
        <v>92</v>
      </c>
      <c r="D163">
        <v>9007</v>
      </c>
      <c r="E163" t="s">
        <v>121</v>
      </c>
      <c r="F163" t="s">
        <v>777</v>
      </c>
      <c r="G163" t="s">
        <v>778</v>
      </c>
      <c r="H163" s="26">
        <v>22064</v>
      </c>
      <c r="I163" t="s">
        <v>58</v>
      </c>
      <c r="J163" t="s">
        <v>779</v>
      </c>
      <c r="M163">
        <v>78800</v>
      </c>
      <c r="N163" t="s">
        <v>330</v>
      </c>
      <c r="O163" t="s">
        <v>61</v>
      </c>
      <c r="R163" t="s">
        <v>780</v>
      </c>
      <c r="S163" t="s">
        <v>63</v>
      </c>
      <c r="T163" t="s">
        <v>64</v>
      </c>
      <c r="U163" t="s">
        <v>65</v>
      </c>
      <c r="W163" s="26">
        <v>45537</v>
      </c>
      <c r="X163" t="s">
        <v>61</v>
      </c>
      <c r="Y163" t="s">
        <v>237</v>
      </c>
    </row>
    <row r="164" spans="1:25" x14ac:dyDescent="0.25">
      <c r="A164" t="s">
        <v>781</v>
      </c>
      <c r="B164">
        <v>11</v>
      </c>
      <c r="C164">
        <v>92</v>
      </c>
      <c r="D164">
        <v>9068</v>
      </c>
      <c r="E164" t="s">
        <v>119</v>
      </c>
      <c r="F164" t="s">
        <v>782</v>
      </c>
      <c r="G164" t="s">
        <v>783</v>
      </c>
      <c r="H164" s="26">
        <v>21719</v>
      </c>
      <c r="I164" t="s">
        <v>58</v>
      </c>
      <c r="J164" t="s">
        <v>784</v>
      </c>
      <c r="M164">
        <v>92170</v>
      </c>
      <c r="N164" t="s">
        <v>785</v>
      </c>
      <c r="O164" t="s">
        <v>61</v>
      </c>
      <c r="Q164">
        <v>660471171</v>
      </c>
      <c r="R164" t="s">
        <v>786</v>
      </c>
      <c r="S164" t="s">
        <v>63</v>
      </c>
      <c r="T164" t="s">
        <v>64</v>
      </c>
      <c r="U164" t="s">
        <v>65</v>
      </c>
      <c r="W164" s="26">
        <v>45544</v>
      </c>
      <c r="X164" t="s">
        <v>61</v>
      </c>
      <c r="Y164" t="s">
        <v>237</v>
      </c>
    </row>
    <row r="165" spans="1:25" x14ac:dyDescent="0.25">
      <c r="A165" t="s">
        <v>10138</v>
      </c>
      <c r="B165">
        <v>11</v>
      </c>
      <c r="C165">
        <v>91</v>
      </c>
      <c r="D165">
        <v>9025</v>
      </c>
      <c r="E165" t="s">
        <v>188</v>
      </c>
      <c r="F165" t="s">
        <v>183</v>
      </c>
      <c r="G165" t="s">
        <v>10139</v>
      </c>
      <c r="H165" s="26">
        <v>16355</v>
      </c>
      <c r="I165" t="s">
        <v>58</v>
      </c>
      <c r="J165" t="s">
        <v>10140</v>
      </c>
      <c r="M165">
        <v>91100</v>
      </c>
      <c r="N165" t="s">
        <v>787</v>
      </c>
      <c r="O165" t="s">
        <v>61</v>
      </c>
      <c r="P165">
        <v>160861870</v>
      </c>
      <c r="Q165">
        <v>781816854</v>
      </c>
      <c r="R165" t="s">
        <v>10141</v>
      </c>
      <c r="S165" t="s">
        <v>63</v>
      </c>
      <c r="T165" t="s">
        <v>64</v>
      </c>
      <c r="U165" t="s">
        <v>65</v>
      </c>
      <c r="W165" s="26">
        <v>45568</v>
      </c>
      <c r="X165" t="s">
        <v>61</v>
      </c>
      <c r="Y165" t="s">
        <v>237</v>
      </c>
    </row>
    <row r="166" spans="1:25" x14ac:dyDescent="0.25">
      <c r="A166" t="s">
        <v>788</v>
      </c>
      <c r="B166">
        <v>11</v>
      </c>
      <c r="C166">
        <v>78</v>
      </c>
      <c r="D166">
        <v>9030</v>
      </c>
      <c r="E166" t="s">
        <v>96</v>
      </c>
      <c r="F166" t="s">
        <v>106</v>
      </c>
      <c r="G166" t="s">
        <v>789</v>
      </c>
      <c r="H166" s="26">
        <v>19385</v>
      </c>
      <c r="I166" t="s">
        <v>58</v>
      </c>
      <c r="J166" t="s">
        <v>790</v>
      </c>
      <c r="M166">
        <v>78870</v>
      </c>
      <c r="N166" t="s">
        <v>791</v>
      </c>
      <c r="O166" t="s">
        <v>61</v>
      </c>
      <c r="P166">
        <v>134629519</v>
      </c>
      <c r="Q166">
        <v>662984727</v>
      </c>
      <c r="R166" t="s">
        <v>8726</v>
      </c>
      <c r="S166" t="s">
        <v>63</v>
      </c>
      <c r="T166" t="s">
        <v>64</v>
      </c>
      <c r="U166" t="s">
        <v>65</v>
      </c>
      <c r="W166" s="26">
        <v>45555</v>
      </c>
      <c r="X166" t="s">
        <v>61</v>
      </c>
      <c r="Y166" t="s">
        <v>237</v>
      </c>
    </row>
    <row r="167" spans="1:25" x14ac:dyDescent="0.25">
      <c r="A167" t="s">
        <v>792</v>
      </c>
      <c r="B167">
        <v>11</v>
      </c>
      <c r="C167">
        <v>77</v>
      </c>
      <c r="D167">
        <v>9105</v>
      </c>
      <c r="E167" t="s">
        <v>124</v>
      </c>
      <c r="F167" t="s">
        <v>154</v>
      </c>
      <c r="G167" t="s">
        <v>793</v>
      </c>
      <c r="H167" s="26">
        <v>14222</v>
      </c>
      <c r="I167" t="s">
        <v>58</v>
      </c>
      <c r="J167" t="s">
        <v>794</v>
      </c>
      <c r="M167">
        <v>77240</v>
      </c>
      <c r="N167" t="s">
        <v>287</v>
      </c>
      <c r="O167" t="s">
        <v>61</v>
      </c>
      <c r="P167">
        <v>164108289</v>
      </c>
      <c r="Q167">
        <v>689209748</v>
      </c>
      <c r="R167" t="s">
        <v>795</v>
      </c>
      <c r="S167" t="s">
        <v>63</v>
      </c>
      <c r="T167" t="s">
        <v>64</v>
      </c>
      <c r="U167" t="s">
        <v>65</v>
      </c>
      <c r="W167" s="26">
        <v>45548</v>
      </c>
      <c r="X167" t="s">
        <v>61</v>
      </c>
      <c r="Y167" t="s">
        <v>237</v>
      </c>
    </row>
    <row r="168" spans="1:25" x14ac:dyDescent="0.25">
      <c r="A168" t="s">
        <v>10358</v>
      </c>
      <c r="B168">
        <v>11</v>
      </c>
      <c r="C168">
        <v>92</v>
      </c>
      <c r="D168">
        <v>9007</v>
      </c>
      <c r="E168" t="s">
        <v>121</v>
      </c>
      <c r="F168" t="s">
        <v>97</v>
      </c>
      <c r="G168" t="s">
        <v>10359</v>
      </c>
      <c r="H168" s="26">
        <v>16132</v>
      </c>
      <c r="I168" t="s">
        <v>58</v>
      </c>
      <c r="J168" t="s">
        <v>10360</v>
      </c>
      <c r="M168">
        <v>92270</v>
      </c>
      <c r="N168" t="s">
        <v>796</v>
      </c>
      <c r="O168" t="s">
        <v>61</v>
      </c>
      <c r="R168" t="s">
        <v>10361</v>
      </c>
      <c r="S168" t="s">
        <v>63</v>
      </c>
      <c r="T168" t="s">
        <v>64</v>
      </c>
      <c r="U168" t="s">
        <v>65</v>
      </c>
      <c r="W168" s="26">
        <v>45574</v>
      </c>
      <c r="X168" t="s">
        <v>61</v>
      </c>
      <c r="Y168" t="s">
        <v>237</v>
      </c>
    </row>
    <row r="169" spans="1:25" x14ac:dyDescent="0.25">
      <c r="A169" t="s">
        <v>797</v>
      </c>
      <c r="B169">
        <v>11</v>
      </c>
      <c r="C169">
        <v>92</v>
      </c>
      <c r="D169">
        <v>9007</v>
      </c>
      <c r="E169" t="s">
        <v>121</v>
      </c>
      <c r="F169" t="s">
        <v>538</v>
      </c>
      <c r="G169" t="s">
        <v>798</v>
      </c>
      <c r="H169" s="26">
        <v>27930</v>
      </c>
      <c r="I169" t="s">
        <v>58</v>
      </c>
      <c r="J169" t="s">
        <v>8727</v>
      </c>
      <c r="M169">
        <v>92600</v>
      </c>
      <c r="N169" t="s">
        <v>410</v>
      </c>
      <c r="O169" t="s">
        <v>61</v>
      </c>
      <c r="R169" t="s">
        <v>8728</v>
      </c>
      <c r="S169" t="s">
        <v>63</v>
      </c>
      <c r="T169" t="s">
        <v>64</v>
      </c>
      <c r="U169" t="s">
        <v>65</v>
      </c>
      <c r="W169" s="26">
        <v>45561</v>
      </c>
      <c r="X169" t="s">
        <v>61</v>
      </c>
      <c r="Y169" t="s">
        <v>237</v>
      </c>
    </row>
    <row r="170" spans="1:25" x14ac:dyDescent="0.25">
      <c r="A170" t="s">
        <v>799</v>
      </c>
      <c r="B170">
        <v>11</v>
      </c>
      <c r="C170">
        <v>77</v>
      </c>
      <c r="D170">
        <v>9049</v>
      </c>
      <c r="E170" t="s">
        <v>902</v>
      </c>
      <c r="F170" t="s">
        <v>800</v>
      </c>
      <c r="G170" t="s">
        <v>801</v>
      </c>
      <c r="H170" s="26">
        <v>20913</v>
      </c>
      <c r="I170" t="s">
        <v>58</v>
      </c>
      <c r="J170" t="s">
        <v>802</v>
      </c>
      <c r="M170">
        <v>77120</v>
      </c>
      <c r="N170" t="s">
        <v>902</v>
      </c>
      <c r="O170" t="s">
        <v>61</v>
      </c>
      <c r="Q170">
        <v>673197763</v>
      </c>
      <c r="R170" t="s">
        <v>8729</v>
      </c>
      <c r="S170" t="s">
        <v>63</v>
      </c>
      <c r="T170" t="s">
        <v>64</v>
      </c>
      <c r="U170" t="s">
        <v>65</v>
      </c>
      <c r="W170" s="26">
        <v>45527</v>
      </c>
      <c r="X170" t="s">
        <v>61</v>
      </c>
      <c r="Y170" t="s">
        <v>237</v>
      </c>
    </row>
    <row r="171" spans="1:25" x14ac:dyDescent="0.25">
      <c r="A171" t="s">
        <v>10362</v>
      </c>
      <c r="B171">
        <v>11</v>
      </c>
      <c r="C171">
        <v>78</v>
      </c>
      <c r="D171">
        <v>9002</v>
      </c>
      <c r="E171" t="s">
        <v>558</v>
      </c>
      <c r="F171" t="s">
        <v>804</v>
      </c>
      <c r="G171" t="s">
        <v>10363</v>
      </c>
      <c r="H171" s="26">
        <v>11897</v>
      </c>
      <c r="I171" t="s">
        <v>58</v>
      </c>
      <c r="J171" t="s">
        <v>10364</v>
      </c>
      <c r="M171">
        <v>78200</v>
      </c>
      <c r="N171" t="s">
        <v>10365</v>
      </c>
      <c r="O171" t="s">
        <v>61</v>
      </c>
      <c r="R171" t="s">
        <v>10366</v>
      </c>
      <c r="S171" t="s">
        <v>63</v>
      </c>
      <c r="T171" t="s">
        <v>64</v>
      </c>
      <c r="U171" t="s">
        <v>65</v>
      </c>
      <c r="W171" s="26">
        <v>45573</v>
      </c>
      <c r="X171" t="s">
        <v>61</v>
      </c>
      <c r="Y171" t="s">
        <v>237</v>
      </c>
    </row>
    <row r="172" spans="1:25" x14ac:dyDescent="0.25">
      <c r="A172" t="s">
        <v>805</v>
      </c>
      <c r="B172">
        <v>11</v>
      </c>
      <c r="C172">
        <v>91</v>
      </c>
      <c r="D172">
        <v>9009</v>
      </c>
      <c r="E172" t="s">
        <v>159</v>
      </c>
      <c r="F172" t="s">
        <v>555</v>
      </c>
      <c r="G172" t="s">
        <v>806</v>
      </c>
      <c r="H172" s="26">
        <v>23922</v>
      </c>
      <c r="I172" t="s">
        <v>58</v>
      </c>
      <c r="J172" t="s">
        <v>807</v>
      </c>
      <c r="K172" t="s">
        <v>808</v>
      </c>
      <c r="M172">
        <v>91160</v>
      </c>
      <c r="N172" t="s">
        <v>809</v>
      </c>
      <c r="O172" t="s">
        <v>61</v>
      </c>
      <c r="P172">
        <v>169341617</v>
      </c>
      <c r="Q172">
        <v>766556119</v>
      </c>
      <c r="R172" t="s">
        <v>810</v>
      </c>
      <c r="S172" t="s">
        <v>63</v>
      </c>
      <c r="T172" t="s">
        <v>64</v>
      </c>
      <c r="U172" t="s">
        <v>65</v>
      </c>
      <c r="W172" s="26">
        <v>45540</v>
      </c>
      <c r="X172" t="s">
        <v>61</v>
      </c>
      <c r="Y172" t="s">
        <v>237</v>
      </c>
    </row>
    <row r="173" spans="1:25" x14ac:dyDescent="0.25">
      <c r="A173" t="s">
        <v>811</v>
      </c>
      <c r="B173">
        <v>11</v>
      </c>
      <c r="C173">
        <v>91</v>
      </c>
      <c r="D173">
        <v>9009</v>
      </c>
      <c r="E173" t="s">
        <v>159</v>
      </c>
      <c r="F173" t="s">
        <v>272</v>
      </c>
      <c r="G173" t="s">
        <v>812</v>
      </c>
      <c r="H173" s="26">
        <v>23379</v>
      </c>
      <c r="I173" t="s">
        <v>58</v>
      </c>
      <c r="J173" t="s">
        <v>813</v>
      </c>
      <c r="M173">
        <v>91300</v>
      </c>
      <c r="N173" t="s">
        <v>675</v>
      </c>
      <c r="O173" t="s">
        <v>61</v>
      </c>
      <c r="P173">
        <v>169819267</v>
      </c>
      <c r="Q173">
        <v>613238318</v>
      </c>
      <c r="R173" t="s">
        <v>814</v>
      </c>
      <c r="S173" t="s">
        <v>63</v>
      </c>
      <c r="T173" t="s">
        <v>64</v>
      </c>
      <c r="U173" t="s">
        <v>65</v>
      </c>
      <c r="W173" s="26">
        <v>45538</v>
      </c>
      <c r="X173" t="s">
        <v>61</v>
      </c>
      <c r="Y173" t="s">
        <v>237</v>
      </c>
    </row>
    <row r="174" spans="1:25" x14ac:dyDescent="0.25">
      <c r="A174" t="s">
        <v>815</v>
      </c>
      <c r="B174">
        <v>11</v>
      </c>
      <c r="C174">
        <v>77</v>
      </c>
      <c r="D174">
        <v>9040</v>
      </c>
      <c r="E174" t="s">
        <v>612</v>
      </c>
      <c r="F174" t="s">
        <v>816</v>
      </c>
      <c r="G174" t="s">
        <v>327</v>
      </c>
      <c r="H174" s="26">
        <v>25930</v>
      </c>
      <c r="I174" t="s">
        <v>58</v>
      </c>
      <c r="J174" t="s">
        <v>817</v>
      </c>
      <c r="M174">
        <v>77210</v>
      </c>
      <c r="N174" t="s">
        <v>626</v>
      </c>
      <c r="O174" t="s">
        <v>61</v>
      </c>
      <c r="Q174">
        <v>640667110</v>
      </c>
      <c r="R174" t="s">
        <v>818</v>
      </c>
      <c r="S174" t="s">
        <v>63</v>
      </c>
      <c r="T174" t="s">
        <v>64</v>
      </c>
      <c r="U174" t="s">
        <v>65</v>
      </c>
      <c r="W174" s="26">
        <v>45566</v>
      </c>
      <c r="X174" t="s">
        <v>61</v>
      </c>
      <c r="Y174" t="s">
        <v>237</v>
      </c>
    </row>
    <row r="175" spans="1:25" x14ac:dyDescent="0.25">
      <c r="A175" t="s">
        <v>819</v>
      </c>
      <c r="B175">
        <v>11</v>
      </c>
      <c r="C175">
        <v>94</v>
      </c>
      <c r="D175">
        <v>9024</v>
      </c>
      <c r="E175" t="s">
        <v>4</v>
      </c>
      <c r="F175" t="s">
        <v>820</v>
      </c>
      <c r="G175" t="s">
        <v>327</v>
      </c>
      <c r="H175" s="26">
        <v>26974</v>
      </c>
      <c r="I175" t="s">
        <v>58</v>
      </c>
      <c r="J175" t="s">
        <v>821</v>
      </c>
      <c r="K175" t="s">
        <v>822</v>
      </c>
      <c r="M175">
        <v>77260</v>
      </c>
      <c r="N175" t="s">
        <v>823</v>
      </c>
      <c r="O175" t="s">
        <v>61</v>
      </c>
      <c r="Q175">
        <v>616126059</v>
      </c>
      <c r="R175" t="s">
        <v>824</v>
      </c>
      <c r="S175" t="s">
        <v>63</v>
      </c>
      <c r="T175" t="s">
        <v>64</v>
      </c>
      <c r="U175" t="s">
        <v>65</v>
      </c>
      <c r="W175" s="26">
        <v>45526</v>
      </c>
      <c r="X175" t="s">
        <v>61</v>
      </c>
      <c r="Y175" t="s">
        <v>237</v>
      </c>
    </row>
    <row r="176" spans="1:25" x14ac:dyDescent="0.25">
      <c r="A176" t="s">
        <v>825</v>
      </c>
      <c r="B176">
        <v>11</v>
      </c>
      <c r="C176">
        <v>95</v>
      </c>
      <c r="D176">
        <v>9069</v>
      </c>
      <c r="E176" t="s">
        <v>129</v>
      </c>
      <c r="F176" t="s">
        <v>272</v>
      </c>
      <c r="G176" t="s">
        <v>826</v>
      </c>
      <c r="H176" s="26">
        <v>11787</v>
      </c>
      <c r="I176" t="s">
        <v>58</v>
      </c>
      <c r="J176" t="s">
        <v>827</v>
      </c>
      <c r="M176">
        <v>95130</v>
      </c>
      <c r="N176" t="s">
        <v>828</v>
      </c>
      <c r="O176" t="s">
        <v>61</v>
      </c>
      <c r="P176">
        <v>134147775</v>
      </c>
      <c r="S176" t="s">
        <v>63</v>
      </c>
      <c r="T176" t="s">
        <v>64</v>
      </c>
      <c r="U176" t="s">
        <v>65</v>
      </c>
      <c r="W176" s="26">
        <v>45552</v>
      </c>
      <c r="X176" t="s">
        <v>61</v>
      </c>
      <c r="Y176" t="s">
        <v>237</v>
      </c>
    </row>
    <row r="177" spans="1:25" x14ac:dyDescent="0.25">
      <c r="A177" t="s">
        <v>829</v>
      </c>
      <c r="B177">
        <v>11</v>
      </c>
      <c r="C177">
        <v>78</v>
      </c>
      <c r="D177">
        <v>9030</v>
      </c>
      <c r="E177" t="s">
        <v>96</v>
      </c>
      <c r="F177" t="s">
        <v>137</v>
      </c>
      <c r="G177" t="s">
        <v>830</v>
      </c>
      <c r="H177" s="26">
        <v>17602</v>
      </c>
      <c r="I177" t="s">
        <v>58</v>
      </c>
      <c r="J177" t="s">
        <v>831</v>
      </c>
      <c r="M177">
        <v>78960</v>
      </c>
      <c r="N177" t="s">
        <v>566</v>
      </c>
      <c r="O177" t="s">
        <v>61</v>
      </c>
      <c r="Q177">
        <v>611181162</v>
      </c>
      <c r="R177" t="s">
        <v>832</v>
      </c>
      <c r="S177" t="s">
        <v>63</v>
      </c>
      <c r="T177" t="s">
        <v>64</v>
      </c>
      <c r="U177" t="s">
        <v>65</v>
      </c>
      <c r="W177" s="26">
        <v>45551</v>
      </c>
      <c r="X177" t="s">
        <v>61</v>
      </c>
      <c r="Y177" t="s">
        <v>237</v>
      </c>
    </row>
    <row r="178" spans="1:25" x14ac:dyDescent="0.25">
      <c r="A178" t="s">
        <v>833</v>
      </c>
      <c r="B178">
        <v>11</v>
      </c>
      <c r="C178">
        <v>95</v>
      </c>
      <c r="D178">
        <v>9069</v>
      </c>
      <c r="E178" t="s">
        <v>129</v>
      </c>
      <c r="F178" t="s">
        <v>91</v>
      </c>
      <c r="G178" t="s">
        <v>834</v>
      </c>
      <c r="H178" s="26">
        <v>12997</v>
      </c>
      <c r="I178" t="s">
        <v>58</v>
      </c>
      <c r="J178" t="s">
        <v>835</v>
      </c>
      <c r="M178">
        <v>95130</v>
      </c>
      <c r="N178" t="s">
        <v>828</v>
      </c>
      <c r="O178" t="s">
        <v>61</v>
      </c>
      <c r="P178">
        <v>134135896</v>
      </c>
      <c r="Q178">
        <v>612666267</v>
      </c>
      <c r="R178" t="s">
        <v>836</v>
      </c>
      <c r="S178" t="s">
        <v>63</v>
      </c>
      <c r="T178" t="s">
        <v>64</v>
      </c>
      <c r="U178" t="s">
        <v>65</v>
      </c>
      <c r="V178" t="s">
        <v>111</v>
      </c>
      <c r="W178" s="26">
        <v>45538</v>
      </c>
      <c r="X178" t="s">
        <v>61</v>
      </c>
      <c r="Y178" t="s">
        <v>237</v>
      </c>
    </row>
    <row r="179" spans="1:25" x14ac:dyDescent="0.25">
      <c r="A179" t="s">
        <v>11169</v>
      </c>
      <c r="B179">
        <v>11</v>
      </c>
      <c r="C179">
        <v>94</v>
      </c>
      <c r="D179">
        <v>9024</v>
      </c>
      <c r="E179" t="s">
        <v>4</v>
      </c>
      <c r="F179" t="s">
        <v>837</v>
      </c>
      <c r="G179" t="s">
        <v>11170</v>
      </c>
      <c r="H179" s="26">
        <v>13700</v>
      </c>
      <c r="I179" t="s">
        <v>58</v>
      </c>
      <c r="J179" t="s">
        <v>11171</v>
      </c>
      <c r="M179">
        <v>94300</v>
      </c>
      <c r="N179" t="s">
        <v>838</v>
      </c>
      <c r="O179" t="s">
        <v>61</v>
      </c>
      <c r="P179">
        <v>143747413</v>
      </c>
      <c r="Q179">
        <v>679022971</v>
      </c>
      <c r="R179" t="s">
        <v>11172</v>
      </c>
      <c r="S179" t="s">
        <v>63</v>
      </c>
      <c r="T179" t="s">
        <v>64</v>
      </c>
      <c r="U179" t="s">
        <v>65</v>
      </c>
      <c r="V179" t="s">
        <v>111</v>
      </c>
      <c r="W179" s="26">
        <v>45586</v>
      </c>
      <c r="X179" t="s">
        <v>61</v>
      </c>
      <c r="Y179" t="s">
        <v>237</v>
      </c>
    </row>
    <row r="180" spans="1:25" x14ac:dyDescent="0.25">
      <c r="A180" t="s">
        <v>839</v>
      </c>
      <c r="B180">
        <v>11</v>
      </c>
      <c r="C180">
        <v>77</v>
      </c>
      <c r="D180">
        <v>9059</v>
      </c>
      <c r="E180" t="s">
        <v>197</v>
      </c>
      <c r="F180" t="s">
        <v>840</v>
      </c>
      <c r="G180" t="s">
        <v>841</v>
      </c>
      <c r="H180" s="26">
        <v>19271</v>
      </c>
      <c r="I180" t="s">
        <v>58</v>
      </c>
      <c r="J180" t="s">
        <v>842</v>
      </c>
      <c r="M180">
        <v>77400</v>
      </c>
      <c r="N180" t="s">
        <v>843</v>
      </c>
      <c r="O180" t="s">
        <v>61</v>
      </c>
      <c r="R180" t="s">
        <v>844</v>
      </c>
      <c r="S180" t="s">
        <v>63</v>
      </c>
      <c r="T180" t="s">
        <v>64</v>
      </c>
      <c r="U180" t="s">
        <v>65</v>
      </c>
      <c r="W180" s="26">
        <v>45537</v>
      </c>
      <c r="X180" t="s">
        <v>310</v>
      </c>
      <c r="Y180" t="s">
        <v>237</v>
      </c>
    </row>
    <row r="181" spans="1:25" x14ac:dyDescent="0.25">
      <c r="A181" t="s">
        <v>845</v>
      </c>
      <c r="B181">
        <v>11</v>
      </c>
      <c r="C181">
        <v>92</v>
      </c>
      <c r="D181">
        <v>9088</v>
      </c>
      <c r="E181" t="s">
        <v>1</v>
      </c>
      <c r="F181" t="s">
        <v>820</v>
      </c>
      <c r="G181" t="s">
        <v>846</v>
      </c>
      <c r="H181" s="26">
        <v>23127</v>
      </c>
      <c r="I181" t="s">
        <v>58</v>
      </c>
      <c r="J181" t="s">
        <v>847</v>
      </c>
      <c r="M181">
        <v>93200</v>
      </c>
      <c r="N181" t="s">
        <v>194</v>
      </c>
      <c r="O181" t="s">
        <v>61</v>
      </c>
      <c r="Q181">
        <v>673446814</v>
      </c>
      <c r="R181" t="s">
        <v>848</v>
      </c>
      <c r="S181" t="s">
        <v>63</v>
      </c>
      <c r="T181" t="s">
        <v>64</v>
      </c>
      <c r="U181" t="s">
        <v>65</v>
      </c>
      <c r="W181" s="26">
        <v>45560</v>
      </c>
      <c r="X181" t="s">
        <v>61</v>
      </c>
      <c r="Y181" t="s">
        <v>237</v>
      </c>
    </row>
    <row r="182" spans="1:25" x14ac:dyDescent="0.25">
      <c r="A182" t="s">
        <v>849</v>
      </c>
      <c r="B182">
        <v>11</v>
      </c>
      <c r="C182">
        <v>92</v>
      </c>
      <c r="D182">
        <v>9017</v>
      </c>
      <c r="E182" t="s">
        <v>211</v>
      </c>
      <c r="F182" t="s">
        <v>85</v>
      </c>
      <c r="G182" t="s">
        <v>850</v>
      </c>
      <c r="H182" s="26">
        <v>23699</v>
      </c>
      <c r="I182" t="s">
        <v>58</v>
      </c>
      <c r="J182" t="s">
        <v>851</v>
      </c>
      <c r="M182">
        <v>75116</v>
      </c>
      <c r="N182" t="s">
        <v>330</v>
      </c>
      <c r="O182" t="s">
        <v>61</v>
      </c>
      <c r="Q182">
        <v>608614021</v>
      </c>
      <c r="R182" t="s">
        <v>852</v>
      </c>
      <c r="S182" t="s">
        <v>237</v>
      </c>
      <c r="T182" t="s">
        <v>64</v>
      </c>
      <c r="U182" t="s">
        <v>65</v>
      </c>
      <c r="W182" s="26">
        <v>45546</v>
      </c>
      <c r="X182" t="s">
        <v>61</v>
      </c>
      <c r="Y182" t="s">
        <v>237</v>
      </c>
    </row>
    <row r="183" spans="1:25" x14ac:dyDescent="0.25">
      <c r="A183" t="s">
        <v>853</v>
      </c>
      <c r="B183">
        <v>11</v>
      </c>
      <c r="C183">
        <v>77</v>
      </c>
      <c r="D183">
        <v>9077</v>
      </c>
      <c r="E183" t="s">
        <v>90</v>
      </c>
      <c r="F183" t="s">
        <v>854</v>
      </c>
      <c r="G183" t="s">
        <v>855</v>
      </c>
      <c r="H183" s="26">
        <v>17157</v>
      </c>
      <c r="I183" t="s">
        <v>58</v>
      </c>
      <c r="J183" t="s">
        <v>856</v>
      </c>
      <c r="M183">
        <v>77610</v>
      </c>
      <c r="N183" t="s">
        <v>857</v>
      </c>
      <c r="O183" t="s">
        <v>61</v>
      </c>
      <c r="P183">
        <v>164074185</v>
      </c>
      <c r="S183" t="s">
        <v>63</v>
      </c>
      <c r="T183" t="s">
        <v>64</v>
      </c>
      <c r="U183" t="s">
        <v>65</v>
      </c>
      <c r="W183" s="26">
        <v>45562</v>
      </c>
      <c r="X183" t="s">
        <v>61</v>
      </c>
      <c r="Y183" t="s">
        <v>237</v>
      </c>
    </row>
    <row r="184" spans="1:25" x14ac:dyDescent="0.25">
      <c r="A184" t="s">
        <v>858</v>
      </c>
      <c r="B184">
        <v>11</v>
      </c>
      <c r="C184">
        <v>91</v>
      </c>
      <c r="D184">
        <v>9095</v>
      </c>
      <c r="E184" t="s">
        <v>113</v>
      </c>
      <c r="F184" t="s">
        <v>551</v>
      </c>
      <c r="G184" t="s">
        <v>859</v>
      </c>
      <c r="H184" s="26">
        <v>22942</v>
      </c>
      <c r="I184" t="s">
        <v>58</v>
      </c>
      <c r="J184" t="s">
        <v>860</v>
      </c>
      <c r="M184">
        <v>91630</v>
      </c>
      <c r="N184" t="s">
        <v>861</v>
      </c>
      <c r="O184" t="s">
        <v>61</v>
      </c>
      <c r="Q184">
        <v>670653660</v>
      </c>
      <c r="R184" t="s">
        <v>862</v>
      </c>
      <c r="S184" t="s">
        <v>63</v>
      </c>
      <c r="T184" t="s">
        <v>64</v>
      </c>
      <c r="U184" t="s">
        <v>65</v>
      </c>
      <c r="W184" s="26">
        <v>45544</v>
      </c>
      <c r="X184" t="s">
        <v>61</v>
      </c>
      <c r="Y184" t="s">
        <v>237</v>
      </c>
    </row>
    <row r="185" spans="1:25" x14ac:dyDescent="0.25">
      <c r="A185" t="s">
        <v>863</v>
      </c>
      <c r="B185">
        <v>11</v>
      </c>
      <c r="C185">
        <v>78</v>
      </c>
      <c r="D185">
        <v>9016</v>
      </c>
      <c r="E185" t="s">
        <v>362</v>
      </c>
      <c r="F185" t="s">
        <v>864</v>
      </c>
      <c r="G185" t="s">
        <v>865</v>
      </c>
      <c r="H185" s="26">
        <v>13551</v>
      </c>
      <c r="I185" t="s">
        <v>58</v>
      </c>
      <c r="J185" t="s">
        <v>866</v>
      </c>
      <c r="M185">
        <v>78520</v>
      </c>
      <c r="N185" t="s">
        <v>365</v>
      </c>
      <c r="O185" t="s">
        <v>61</v>
      </c>
      <c r="P185">
        <v>130926861</v>
      </c>
      <c r="R185" t="s">
        <v>867</v>
      </c>
      <c r="S185" t="s">
        <v>63</v>
      </c>
      <c r="T185" t="s">
        <v>64</v>
      </c>
      <c r="U185" t="s">
        <v>65</v>
      </c>
      <c r="W185" s="26">
        <v>45541</v>
      </c>
      <c r="X185" t="s">
        <v>61</v>
      </c>
      <c r="Y185" t="s">
        <v>237</v>
      </c>
    </row>
    <row r="186" spans="1:25" x14ac:dyDescent="0.25">
      <c r="A186" t="s">
        <v>10187</v>
      </c>
      <c r="B186">
        <v>11</v>
      </c>
      <c r="C186">
        <v>95</v>
      </c>
      <c r="D186">
        <v>9069</v>
      </c>
      <c r="E186" t="s">
        <v>129</v>
      </c>
      <c r="F186" t="s">
        <v>868</v>
      </c>
      <c r="G186" t="s">
        <v>869</v>
      </c>
      <c r="H186" s="26">
        <v>25330</v>
      </c>
      <c r="I186" t="s">
        <v>58</v>
      </c>
      <c r="J186" t="s">
        <v>10188</v>
      </c>
      <c r="M186">
        <v>95150</v>
      </c>
      <c r="N186" t="s">
        <v>82</v>
      </c>
      <c r="O186" t="s">
        <v>61</v>
      </c>
      <c r="Q186">
        <v>668000869</v>
      </c>
      <c r="R186" t="s">
        <v>10189</v>
      </c>
      <c r="S186" t="s">
        <v>63</v>
      </c>
      <c r="T186" t="s">
        <v>64</v>
      </c>
      <c r="U186" t="s">
        <v>65</v>
      </c>
      <c r="W186" s="26">
        <v>45567</v>
      </c>
      <c r="X186" t="s">
        <v>61</v>
      </c>
      <c r="Y186" t="s">
        <v>237</v>
      </c>
    </row>
    <row r="187" spans="1:25" x14ac:dyDescent="0.25">
      <c r="A187" t="s">
        <v>870</v>
      </c>
      <c r="B187">
        <v>11</v>
      </c>
      <c r="C187">
        <v>77</v>
      </c>
      <c r="D187">
        <v>9026</v>
      </c>
      <c r="E187" t="s">
        <v>508</v>
      </c>
      <c r="F187" t="s">
        <v>160</v>
      </c>
      <c r="G187" t="s">
        <v>871</v>
      </c>
      <c r="H187" s="26">
        <v>22990</v>
      </c>
      <c r="I187" t="s">
        <v>58</v>
      </c>
      <c r="J187" t="s">
        <v>872</v>
      </c>
      <c r="M187">
        <v>77170</v>
      </c>
      <c r="N187" t="s">
        <v>281</v>
      </c>
      <c r="O187" t="s">
        <v>61</v>
      </c>
      <c r="R187" t="s">
        <v>8730</v>
      </c>
      <c r="S187" t="s">
        <v>63</v>
      </c>
      <c r="T187" t="s">
        <v>64</v>
      </c>
      <c r="U187" t="s">
        <v>65</v>
      </c>
      <c r="W187" s="26">
        <v>45549</v>
      </c>
      <c r="X187" t="s">
        <v>61</v>
      </c>
      <c r="Y187" t="s">
        <v>237</v>
      </c>
    </row>
    <row r="188" spans="1:25" x14ac:dyDescent="0.25">
      <c r="A188" t="s">
        <v>873</v>
      </c>
      <c r="B188">
        <v>11</v>
      </c>
      <c r="C188">
        <v>91</v>
      </c>
      <c r="D188">
        <v>9009</v>
      </c>
      <c r="E188" t="s">
        <v>159</v>
      </c>
      <c r="F188" t="s">
        <v>137</v>
      </c>
      <c r="G188" t="s">
        <v>874</v>
      </c>
      <c r="H188" s="26">
        <v>20784</v>
      </c>
      <c r="I188" t="s">
        <v>58</v>
      </c>
      <c r="J188" t="s">
        <v>875</v>
      </c>
      <c r="M188">
        <v>91200</v>
      </c>
      <c r="N188" t="s">
        <v>876</v>
      </c>
      <c r="O188" t="s">
        <v>61</v>
      </c>
      <c r="Q188">
        <v>661148898</v>
      </c>
      <c r="R188" t="s">
        <v>877</v>
      </c>
      <c r="S188" t="s">
        <v>63</v>
      </c>
      <c r="T188" t="s">
        <v>64</v>
      </c>
      <c r="U188" t="s">
        <v>65</v>
      </c>
      <c r="W188" s="26">
        <v>45558</v>
      </c>
      <c r="X188" t="s">
        <v>61</v>
      </c>
      <c r="Y188" t="s">
        <v>237</v>
      </c>
    </row>
    <row r="189" spans="1:25" x14ac:dyDescent="0.25">
      <c r="A189" t="s">
        <v>879</v>
      </c>
      <c r="B189">
        <v>11</v>
      </c>
      <c r="C189">
        <v>78</v>
      </c>
      <c r="D189">
        <v>9052</v>
      </c>
      <c r="E189" t="s">
        <v>337</v>
      </c>
      <c r="F189" t="s">
        <v>13</v>
      </c>
      <c r="G189" t="s">
        <v>880</v>
      </c>
      <c r="H189" s="26">
        <v>18763</v>
      </c>
      <c r="I189" t="s">
        <v>58</v>
      </c>
      <c r="J189" t="s">
        <v>881</v>
      </c>
      <c r="M189">
        <v>78450</v>
      </c>
      <c r="N189" t="s">
        <v>882</v>
      </c>
      <c r="O189" t="s">
        <v>61</v>
      </c>
      <c r="P189">
        <v>130561419</v>
      </c>
      <c r="Q189">
        <v>683253754</v>
      </c>
      <c r="R189" t="s">
        <v>883</v>
      </c>
      <c r="S189" t="s">
        <v>63</v>
      </c>
      <c r="T189" t="s">
        <v>64</v>
      </c>
      <c r="U189" t="s">
        <v>65</v>
      </c>
      <c r="V189" t="s">
        <v>111</v>
      </c>
      <c r="W189" s="26">
        <v>45534</v>
      </c>
      <c r="X189" t="s">
        <v>61</v>
      </c>
      <c r="Y189" t="s">
        <v>237</v>
      </c>
    </row>
    <row r="190" spans="1:25" x14ac:dyDescent="0.25">
      <c r="A190" t="s">
        <v>10214</v>
      </c>
      <c r="B190">
        <v>11</v>
      </c>
      <c r="C190">
        <v>95</v>
      </c>
      <c r="D190">
        <v>9010</v>
      </c>
      <c r="E190" t="s">
        <v>6</v>
      </c>
      <c r="F190" t="s">
        <v>837</v>
      </c>
      <c r="G190" t="s">
        <v>10215</v>
      </c>
      <c r="H190" s="26">
        <v>21718</v>
      </c>
      <c r="I190" t="s">
        <v>58</v>
      </c>
      <c r="J190" t="s">
        <v>10216</v>
      </c>
      <c r="M190">
        <v>95160</v>
      </c>
      <c r="N190" t="s">
        <v>639</v>
      </c>
      <c r="O190" t="s">
        <v>61</v>
      </c>
      <c r="Q190">
        <v>610090479</v>
      </c>
      <c r="R190" t="s">
        <v>10217</v>
      </c>
      <c r="S190" t="s">
        <v>63</v>
      </c>
      <c r="T190" t="s">
        <v>64</v>
      </c>
      <c r="U190" t="s">
        <v>65</v>
      </c>
      <c r="W190" s="26">
        <v>45572</v>
      </c>
      <c r="X190" t="s">
        <v>61</v>
      </c>
      <c r="Y190" t="s">
        <v>237</v>
      </c>
    </row>
    <row r="191" spans="1:25" x14ac:dyDescent="0.25">
      <c r="A191" t="s">
        <v>885</v>
      </c>
      <c r="B191">
        <v>11</v>
      </c>
      <c r="C191">
        <v>94</v>
      </c>
      <c r="D191">
        <v>9031</v>
      </c>
      <c r="E191" t="s">
        <v>7</v>
      </c>
      <c r="F191" t="s">
        <v>886</v>
      </c>
      <c r="G191" t="s">
        <v>887</v>
      </c>
      <c r="H191" s="26">
        <v>17552</v>
      </c>
      <c r="I191" t="s">
        <v>58</v>
      </c>
      <c r="J191" t="s">
        <v>888</v>
      </c>
      <c r="M191">
        <v>94220</v>
      </c>
      <c r="N191" t="s">
        <v>889</v>
      </c>
      <c r="O191" t="s">
        <v>61</v>
      </c>
      <c r="Q191">
        <v>613433189</v>
      </c>
      <c r="R191" t="s">
        <v>10367</v>
      </c>
      <c r="S191" t="s">
        <v>63</v>
      </c>
      <c r="T191" t="s">
        <v>64</v>
      </c>
      <c r="U191" t="s">
        <v>65</v>
      </c>
      <c r="W191" s="26">
        <v>45550</v>
      </c>
      <c r="X191" t="s">
        <v>61</v>
      </c>
      <c r="Y191" t="s">
        <v>237</v>
      </c>
    </row>
    <row r="192" spans="1:25" x14ac:dyDescent="0.25">
      <c r="A192" t="s">
        <v>891</v>
      </c>
      <c r="B192">
        <v>11</v>
      </c>
      <c r="C192">
        <v>91</v>
      </c>
      <c r="D192">
        <v>9095</v>
      </c>
      <c r="E192" t="s">
        <v>113</v>
      </c>
      <c r="F192" t="s">
        <v>272</v>
      </c>
      <c r="G192" t="s">
        <v>892</v>
      </c>
      <c r="H192" s="26">
        <v>14487</v>
      </c>
      <c r="I192" t="s">
        <v>58</v>
      </c>
      <c r="J192" t="s">
        <v>893</v>
      </c>
      <c r="M192">
        <v>91850</v>
      </c>
      <c r="N192" t="s">
        <v>894</v>
      </c>
      <c r="O192" t="s">
        <v>61</v>
      </c>
      <c r="Q192">
        <v>688190833</v>
      </c>
      <c r="R192" t="s">
        <v>895</v>
      </c>
      <c r="S192" t="s">
        <v>63</v>
      </c>
      <c r="T192" t="s">
        <v>64</v>
      </c>
      <c r="U192" t="s">
        <v>65</v>
      </c>
      <c r="W192" s="26">
        <v>45544</v>
      </c>
      <c r="X192" t="s">
        <v>61</v>
      </c>
      <c r="Y192" t="s">
        <v>237</v>
      </c>
    </row>
    <row r="193" spans="1:25" x14ac:dyDescent="0.25">
      <c r="A193" t="s">
        <v>896</v>
      </c>
      <c r="B193">
        <v>11</v>
      </c>
      <c r="C193">
        <v>94</v>
      </c>
      <c r="D193">
        <v>9031</v>
      </c>
      <c r="E193" t="s">
        <v>7</v>
      </c>
      <c r="F193" t="s">
        <v>816</v>
      </c>
      <c r="G193" t="s">
        <v>897</v>
      </c>
      <c r="H193" s="26">
        <v>22522</v>
      </c>
      <c r="I193" t="s">
        <v>58</v>
      </c>
      <c r="J193" t="s">
        <v>898</v>
      </c>
      <c r="M193">
        <v>94200</v>
      </c>
      <c r="N193" t="s">
        <v>899</v>
      </c>
      <c r="O193" t="s">
        <v>61</v>
      </c>
      <c r="P193">
        <v>149599211</v>
      </c>
      <c r="Q193">
        <v>677159169</v>
      </c>
      <c r="R193" t="s">
        <v>8731</v>
      </c>
      <c r="S193" t="s">
        <v>63</v>
      </c>
      <c r="T193" t="s">
        <v>64</v>
      </c>
      <c r="U193" t="s">
        <v>65</v>
      </c>
      <c r="W193" s="26">
        <v>45550</v>
      </c>
      <c r="X193" t="s">
        <v>61</v>
      </c>
      <c r="Y193" t="s">
        <v>237</v>
      </c>
    </row>
    <row r="194" spans="1:25" x14ac:dyDescent="0.25">
      <c r="A194" t="s">
        <v>10368</v>
      </c>
      <c r="B194">
        <v>11</v>
      </c>
      <c r="C194">
        <v>95</v>
      </c>
      <c r="D194">
        <v>9010</v>
      </c>
      <c r="E194" t="s">
        <v>6</v>
      </c>
      <c r="F194" t="s">
        <v>10369</v>
      </c>
      <c r="G194" t="s">
        <v>10370</v>
      </c>
      <c r="H194" s="26">
        <v>18853</v>
      </c>
      <c r="I194" t="s">
        <v>16</v>
      </c>
      <c r="J194" t="s">
        <v>10371</v>
      </c>
      <c r="M194">
        <v>92000</v>
      </c>
      <c r="N194" t="s">
        <v>737</v>
      </c>
      <c r="O194" t="s">
        <v>61</v>
      </c>
      <c r="R194" t="s">
        <v>10372</v>
      </c>
      <c r="S194" t="s">
        <v>63</v>
      </c>
      <c r="T194" t="s">
        <v>64</v>
      </c>
      <c r="U194" t="s">
        <v>65</v>
      </c>
      <c r="W194" s="26">
        <v>45574</v>
      </c>
      <c r="X194" t="s">
        <v>61</v>
      </c>
      <c r="Y194" t="s">
        <v>237</v>
      </c>
    </row>
    <row r="195" spans="1:25" x14ac:dyDescent="0.25">
      <c r="A195" t="s">
        <v>901</v>
      </c>
      <c r="B195">
        <v>11</v>
      </c>
      <c r="C195">
        <v>94</v>
      </c>
      <c r="D195">
        <v>9031</v>
      </c>
      <c r="E195" t="s">
        <v>7</v>
      </c>
      <c r="F195" t="s">
        <v>12</v>
      </c>
      <c r="G195" t="s">
        <v>903</v>
      </c>
      <c r="H195" s="26">
        <v>26629</v>
      </c>
      <c r="I195" t="s">
        <v>58</v>
      </c>
      <c r="J195" t="s">
        <v>904</v>
      </c>
      <c r="M195">
        <v>77730</v>
      </c>
      <c r="N195" t="s">
        <v>905</v>
      </c>
      <c r="O195" t="s">
        <v>61</v>
      </c>
      <c r="Q195">
        <v>650075388</v>
      </c>
      <c r="R195" t="s">
        <v>906</v>
      </c>
      <c r="S195" t="s">
        <v>63</v>
      </c>
      <c r="T195" t="s">
        <v>64</v>
      </c>
      <c r="U195" t="s">
        <v>65</v>
      </c>
      <c r="V195" t="s">
        <v>111</v>
      </c>
      <c r="W195" s="26">
        <v>45525</v>
      </c>
      <c r="X195" t="s">
        <v>61</v>
      </c>
      <c r="Y195" t="s">
        <v>237</v>
      </c>
    </row>
    <row r="196" spans="1:25" x14ac:dyDescent="0.25">
      <c r="A196" t="s">
        <v>907</v>
      </c>
      <c r="B196">
        <v>11</v>
      </c>
      <c r="C196">
        <v>75</v>
      </c>
      <c r="D196">
        <v>9070</v>
      </c>
      <c r="E196" t="s">
        <v>168</v>
      </c>
      <c r="F196" t="s">
        <v>243</v>
      </c>
      <c r="G196" t="s">
        <v>908</v>
      </c>
      <c r="H196" s="26">
        <v>27441</v>
      </c>
      <c r="I196" t="s">
        <v>58</v>
      </c>
      <c r="J196" t="s">
        <v>909</v>
      </c>
      <c r="M196">
        <v>94000</v>
      </c>
      <c r="N196" t="s">
        <v>277</v>
      </c>
      <c r="O196" t="s">
        <v>61</v>
      </c>
      <c r="Q196">
        <v>620484848</v>
      </c>
      <c r="R196" t="s">
        <v>910</v>
      </c>
      <c r="S196" t="s">
        <v>63</v>
      </c>
      <c r="T196" t="s">
        <v>64</v>
      </c>
      <c r="U196" t="s">
        <v>8684</v>
      </c>
      <c r="W196" s="26">
        <v>45545</v>
      </c>
      <c r="X196" t="s">
        <v>61</v>
      </c>
      <c r="Y196" t="s">
        <v>237</v>
      </c>
    </row>
    <row r="197" spans="1:25" x14ac:dyDescent="0.25">
      <c r="A197" t="s">
        <v>911</v>
      </c>
      <c r="B197">
        <v>11</v>
      </c>
      <c r="C197">
        <v>91</v>
      </c>
      <c r="D197">
        <v>9064</v>
      </c>
      <c r="E197" t="s">
        <v>266</v>
      </c>
      <c r="F197" t="s">
        <v>289</v>
      </c>
      <c r="G197" t="s">
        <v>912</v>
      </c>
      <c r="H197" s="26">
        <v>18175</v>
      </c>
      <c r="I197" t="s">
        <v>58</v>
      </c>
      <c r="J197" t="s">
        <v>913</v>
      </c>
      <c r="M197">
        <v>91430</v>
      </c>
      <c r="N197" t="s">
        <v>599</v>
      </c>
      <c r="O197" t="s">
        <v>61</v>
      </c>
      <c r="Q197">
        <v>627165319</v>
      </c>
      <c r="R197" t="s">
        <v>914</v>
      </c>
      <c r="S197" t="s">
        <v>63</v>
      </c>
      <c r="T197" t="s">
        <v>64</v>
      </c>
      <c r="U197" t="s">
        <v>65</v>
      </c>
      <c r="W197" s="26">
        <v>45545</v>
      </c>
      <c r="X197" t="s">
        <v>61</v>
      </c>
      <c r="Y197" t="s">
        <v>237</v>
      </c>
    </row>
    <row r="198" spans="1:25" x14ac:dyDescent="0.25">
      <c r="A198" t="s">
        <v>915</v>
      </c>
      <c r="B198">
        <v>11</v>
      </c>
      <c r="C198">
        <v>77</v>
      </c>
      <c r="D198">
        <v>9049</v>
      </c>
      <c r="E198" t="s">
        <v>902</v>
      </c>
      <c r="F198" t="s">
        <v>916</v>
      </c>
      <c r="G198" t="s">
        <v>917</v>
      </c>
      <c r="H198" s="26">
        <v>28174</v>
      </c>
      <c r="I198" t="s">
        <v>58</v>
      </c>
      <c r="J198" t="s">
        <v>918</v>
      </c>
      <c r="M198">
        <v>77600</v>
      </c>
      <c r="N198" t="s">
        <v>919</v>
      </c>
      <c r="O198" t="s">
        <v>61</v>
      </c>
      <c r="Q198">
        <v>664662793</v>
      </c>
      <c r="R198" t="s">
        <v>920</v>
      </c>
      <c r="S198" t="s">
        <v>63</v>
      </c>
      <c r="T198" t="s">
        <v>64</v>
      </c>
      <c r="U198" t="s">
        <v>65</v>
      </c>
      <c r="W198" s="26">
        <v>45524</v>
      </c>
      <c r="X198" t="s">
        <v>61</v>
      </c>
      <c r="Y198" t="s">
        <v>237</v>
      </c>
    </row>
    <row r="199" spans="1:25" x14ac:dyDescent="0.25">
      <c r="A199" t="s">
        <v>921</v>
      </c>
      <c r="B199">
        <v>11</v>
      </c>
      <c r="C199">
        <v>91</v>
      </c>
      <c r="D199">
        <v>9009</v>
      </c>
      <c r="E199" t="s">
        <v>159</v>
      </c>
      <c r="F199" t="s">
        <v>480</v>
      </c>
      <c r="G199" t="s">
        <v>922</v>
      </c>
      <c r="H199" s="26">
        <v>24702</v>
      </c>
      <c r="I199" t="s">
        <v>58</v>
      </c>
      <c r="J199" t="s">
        <v>923</v>
      </c>
      <c r="M199">
        <v>94240</v>
      </c>
      <c r="N199" t="s">
        <v>924</v>
      </c>
      <c r="O199" t="s">
        <v>61</v>
      </c>
      <c r="P199">
        <v>178545762</v>
      </c>
      <c r="Q199">
        <v>766256620</v>
      </c>
      <c r="R199" t="s">
        <v>925</v>
      </c>
      <c r="S199" t="s">
        <v>63</v>
      </c>
      <c r="T199" t="s">
        <v>64</v>
      </c>
      <c r="U199" t="s">
        <v>65</v>
      </c>
      <c r="W199" s="26">
        <v>45552</v>
      </c>
      <c r="X199" t="s">
        <v>61</v>
      </c>
      <c r="Y199" t="s">
        <v>237</v>
      </c>
    </row>
    <row r="200" spans="1:25" x14ac:dyDescent="0.25">
      <c r="A200" t="s">
        <v>926</v>
      </c>
      <c r="B200">
        <v>11</v>
      </c>
      <c r="C200">
        <v>92</v>
      </c>
      <c r="D200">
        <v>9017</v>
      </c>
      <c r="E200" t="s">
        <v>211</v>
      </c>
      <c r="F200" t="s">
        <v>927</v>
      </c>
      <c r="G200" t="s">
        <v>928</v>
      </c>
      <c r="H200" s="26">
        <v>21180</v>
      </c>
      <c r="I200" t="s">
        <v>58</v>
      </c>
      <c r="J200" t="s">
        <v>929</v>
      </c>
      <c r="M200">
        <v>75015</v>
      </c>
      <c r="N200" t="s">
        <v>330</v>
      </c>
      <c r="O200" t="s">
        <v>61</v>
      </c>
      <c r="Q200">
        <v>685433145</v>
      </c>
      <c r="R200" t="s">
        <v>930</v>
      </c>
      <c r="S200" t="s">
        <v>63</v>
      </c>
      <c r="T200" t="s">
        <v>64</v>
      </c>
      <c r="U200" t="s">
        <v>65</v>
      </c>
      <c r="W200" s="26">
        <v>45537</v>
      </c>
      <c r="X200" t="s">
        <v>61</v>
      </c>
      <c r="Y200" t="s">
        <v>237</v>
      </c>
    </row>
    <row r="201" spans="1:25" x14ac:dyDescent="0.25">
      <c r="A201" t="s">
        <v>931</v>
      </c>
      <c r="B201">
        <v>11</v>
      </c>
      <c r="C201">
        <v>91</v>
      </c>
      <c r="D201">
        <v>9009</v>
      </c>
      <c r="E201" t="s">
        <v>159</v>
      </c>
      <c r="F201" t="s">
        <v>555</v>
      </c>
      <c r="G201" t="s">
        <v>932</v>
      </c>
      <c r="H201" s="26">
        <v>21707</v>
      </c>
      <c r="I201" t="s">
        <v>58</v>
      </c>
      <c r="J201" t="s">
        <v>933</v>
      </c>
      <c r="M201">
        <v>91200</v>
      </c>
      <c r="N201" t="s">
        <v>876</v>
      </c>
      <c r="O201" t="s">
        <v>61</v>
      </c>
      <c r="Q201">
        <v>622040313</v>
      </c>
      <c r="R201" t="s">
        <v>934</v>
      </c>
      <c r="S201" t="s">
        <v>63</v>
      </c>
      <c r="T201" t="s">
        <v>64</v>
      </c>
      <c r="U201" t="s">
        <v>65</v>
      </c>
      <c r="W201" s="26">
        <v>45539</v>
      </c>
      <c r="X201" t="s">
        <v>61</v>
      </c>
      <c r="Y201" t="s">
        <v>237</v>
      </c>
    </row>
    <row r="202" spans="1:25" x14ac:dyDescent="0.25">
      <c r="A202" t="s">
        <v>935</v>
      </c>
      <c r="B202">
        <v>11</v>
      </c>
      <c r="C202">
        <v>91</v>
      </c>
      <c r="D202">
        <v>9025</v>
      </c>
      <c r="E202" t="s">
        <v>188</v>
      </c>
      <c r="F202" t="s">
        <v>887</v>
      </c>
      <c r="G202" t="s">
        <v>936</v>
      </c>
      <c r="H202" s="26">
        <v>21539</v>
      </c>
      <c r="I202" t="s">
        <v>58</v>
      </c>
      <c r="J202" t="s">
        <v>937</v>
      </c>
      <c r="M202">
        <v>77170</v>
      </c>
      <c r="N202" t="s">
        <v>281</v>
      </c>
      <c r="O202" t="s">
        <v>61</v>
      </c>
      <c r="Q202">
        <v>699608963</v>
      </c>
      <c r="R202" t="s">
        <v>938</v>
      </c>
      <c r="S202" t="s">
        <v>63</v>
      </c>
      <c r="T202" t="s">
        <v>64</v>
      </c>
      <c r="U202" t="s">
        <v>65</v>
      </c>
      <c r="V202" t="s">
        <v>111</v>
      </c>
      <c r="W202" s="26">
        <v>45526</v>
      </c>
      <c r="X202" t="s">
        <v>61</v>
      </c>
      <c r="Y202" t="s">
        <v>237</v>
      </c>
    </row>
    <row r="203" spans="1:25" x14ac:dyDescent="0.25">
      <c r="A203" t="s">
        <v>939</v>
      </c>
      <c r="B203">
        <v>11</v>
      </c>
      <c r="C203">
        <v>94</v>
      </c>
      <c r="D203">
        <v>9024</v>
      </c>
      <c r="E203" t="s">
        <v>4</v>
      </c>
      <c r="F203" t="s">
        <v>940</v>
      </c>
      <c r="G203" t="s">
        <v>941</v>
      </c>
      <c r="H203" s="26">
        <v>18497</v>
      </c>
      <c r="I203" t="s">
        <v>58</v>
      </c>
      <c r="J203" t="s">
        <v>942</v>
      </c>
      <c r="M203">
        <v>94130</v>
      </c>
      <c r="N203" t="s">
        <v>943</v>
      </c>
      <c r="O203" t="s">
        <v>61</v>
      </c>
      <c r="P203">
        <v>148730745</v>
      </c>
      <c r="R203" t="s">
        <v>944</v>
      </c>
      <c r="S203" t="s">
        <v>63</v>
      </c>
      <c r="T203" t="s">
        <v>64</v>
      </c>
      <c r="U203" t="s">
        <v>65</v>
      </c>
      <c r="W203" s="26">
        <v>45565</v>
      </c>
      <c r="X203" t="s">
        <v>61</v>
      </c>
      <c r="Y203" t="s">
        <v>237</v>
      </c>
    </row>
    <row r="204" spans="1:25" x14ac:dyDescent="0.25">
      <c r="A204" t="s">
        <v>10193</v>
      </c>
      <c r="B204">
        <v>11</v>
      </c>
      <c r="C204">
        <v>94</v>
      </c>
      <c r="D204">
        <v>9031</v>
      </c>
      <c r="E204" t="s">
        <v>7</v>
      </c>
      <c r="F204" t="s">
        <v>137</v>
      </c>
      <c r="G204" t="s">
        <v>10194</v>
      </c>
      <c r="H204" s="26">
        <v>15469</v>
      </c>
      <c r="I204" t="s">
        <v>58</v>
      </c>
      <c r="J204" t="s">
        <v>10195</v>
      </c>
      <c r="M204">
        <v>94270</v>
      </c>
      <c r="N204" t="s">
        <v>2800</v>
      </c>
      <c r="O204" t="s">
        <v>61</v>
      </c>
      <c r="Q204">
        <v>667787492</v>
      </c>
      <c r="R204" t="s">
        <v>10196</v>
      </c>
      <c r="S204" t="s">
        <v>63</v>
      </c>
      <c r="T204" t="s">
        <v>64</v>
      </c>
      <c r="U204" t="s">
        <v>65</v>
      </c>
      <c r="W204" s="26">
        <v>45570</v>
      </c>
      <c r="X204" t="s">
        <v>61</v>
      </c>
      <c r="Y204" t="s">
        <v>237</v>
      </c>
    </row>
    <row r="205" spans="1:25" x14ac:dyDescent="0.25">
      <c r="A205" t="s">
        <v>10206</v>
      </c>
      <c r="B205">
        <v>11</v>
      </c>
      <c r="C205">
        <v>77</v>
      </c>
      <c r="D205">
        <v>9026</v>
      </c>
      <c r="E205" t="s">
        <v>508</v>
      </c>
      <c r="F205" t="s">
        <v>97</v>
      </c>
      <c r="G205" t="s">
        <v>10207</v>
      </c>
      <c r="H205" s="26">
        <v>16043</v>
      </c>
      <c r="I205" t="s">
        <v>58</v>
      </c>
      <c r="J205" t="s">
        <v>10208</v>
      </c>
      <c r="M205">
        <v>94370</v>
      </c>
      <c r="N205" t="s">
        <v>60</v>
      </c>
      <c r="O205" t="s">
        <v>61</v>
      </c>
      <c r="Q205">
        <v>675011652</v>
      </c>
      <c r="S205" t="s">
        <v>237</v>
      </c>
      <c r="T205" t="s">
        <v>64</v>
      </c>
      <c r="U205" t="s">
        <v>65</v>
      </c>
      <c r="W205" s="26">
        <v>45568</v>
      </c>
      <c r="X205" t="s">
        <v>61</v>
      </c>
      <c r="Y205" t="s">
        <v>237</v>
      </c>
    </row>
    <row r="206" spans="1:25" x14ac:dyDescent="0.25">
      <c r="A206" t="s">
        <v>945</v>
      </c>
      <c r="B206">
        <v>11</v>
      </c>
      <c r="C206">
        <v>92</v>
      </c>
      <c r="D206">
        <v>9007</v>
      </c>
      <c r="E206" t="s">
        <v>121</v>
      </c>
      <c r="F206" t="s">
        <v>115</v>
      </c>
      <c r="G206" t="s">
        <v>946</v>
      </c>
      <c r="H206" s="26">
        <v>21720</v>
      </c>
      <c r="I206" t="s">
        <v>58</v>
      </c>
      <c r="J206" t="s">
        <v>947</v>
      </c>
      <c r="M206">
        <v>92270</v>
      </c>
      <c r="N206" t="s">
        <v>796</v>
      </c>
      <c r="O206" t="s">
        <v>61</v>
      </c>
      <c r="Q206">
        <v>660433749</v>
      </c>
      <c r="R206" t="s">
        <v>948</v>
      </c>
      <c r="S206" t="s">
        <v>63</v>
      </c>
      <c r="T206" t="s">
        <v>64</v>
      </c>
      <c r="U206" t="s">
        <v>65</v>
      </c>
      <c r="W206" s="26">
        <v>45525</v>
      </c>
      <c r="X206" t="s">
        <v>61</v>
      </c>
      <c r="Y206" t="s">
        <v>237</v>
      </c>
    </row>
    <row r="207" spans="1:25" x14ac:dyDescent="0.25">
      <c r="A207" t="s">
        <v>949</v>
      </c>
      <c r="B207">
        <v>11</v>
      </c>
      <c r="C207">
        <v>92</v>
      </c>
      <c r="D207">
        <v>9017</v>
      </c>
      <c r="E207" t="s">
        <v>211</v>
      </c>
      <c r="F207" t="s">
        <v>950</v>
      </c>
      <c r="G207" t="s">
        <v>951</v>
      </c>
      <c r="H207" s="26">
        <v>30484</v>
      </c>
      <c r="I207" t="s">
        <v>58</v>
      </c>
      <c r="J207" t="s">
        <v>952</v>
      </c>
      <c r="M207">
        <v>92500</v>
      </c>
      <c r="N207" t="s">
        <v>122</v>
      </c>
      <c r="O207" t="s">
        <v>61</v>
      </c>
      <c r="Q207">
        <v>620827083</v>
      </c>
      <c r="R207" t="s">
        <v>953</v>
      </c>
      <c r="S207" t="s">
        <v>63</v>
      </c>
      <c r="T207" t="s">
        <v>64</v>
      </c>
      <c r="U207" t="s">
        <v>65</v>
      </c>
      <c r="W207" s="26">
        <v>45537</v>
      </c>
      <c r="X207" t="s">
        <v>61</v>
      </c>
      <c r="Y207" t="s">
        <v>237</v>
      </c>
    </row>
    <row r="208" spans="1:25" x14ac:dyDescent="0.25">
      <c r="A208" t="s">
        <v>954</v>
      </c>
      <c r="B208">
        <v>11</v>
      </c>
      <c r="C208">
        <v>75</v>
      </c>
      <c r="D208">
        <v>9070</v>
      </c>
      <c r="E208" t="s">
        <v>168</v>
      </c>
      <c r="F208" t="s">
        <v>955</v>
      </c>
      <c r="G208" t="s">
        <v>956</v>
      </c>
      <c r="H208" s="26">
        <v>27373</v>
      </c>
      <c r="I208" t="s">
        <v>58</v>
      </c>
      <c r="J208" t="s">
        <v>957</v>
      </c>
      <c r="K208" t="s">
        <v>958</v>
      </c>
      <c r="M208">
        <v>94140</v>
      </c>
      <c r="N208" t="s">
        <v>959</v>
      </c>
      <c r="O208" t="s">
        <v>61</v>
      </c>
      <c r="P208">
        <v>614708768</v>
      </c>
      <c r="Q208">
        <v>614708768</v>
      </c>
      <c r="R208" t="s">
        <v>960</v>
      </c>
      <c r="S208" t="s">
        <v>63</v>
      </c>
      <c r="T208" t="s">
        <v>64</v>
      </c>
      <c r="U208" t="s">
        <v>8684</v>
      </c>
      <c r="W208" s="26">
        <v>45527</v>
      </c>
      <c r="X208" t="s">
        <v>61</v>
      </c>
      <c r="Y208" t="s">
        <v>237</v>
      </c>
    </row>
    <row r="209" spans="1:25" x14ac:dyDescent="0.25">
      <c r="A209" t="s">
        <v>961</v>
      </c>
      <c r="B209">
        <v>11</v>
      </c>
      <c r="C209">
        <v>78</v>
      </c>
      <c r="D209">
        <v>9030</v>
      </c>
      <c r="E209" t="s">
        <v>96</v>
      </c>
      <c r="F209" t="s">
        <v>255</v>
      </c>
      <c r="G209" t="s">
        <v>962</v>
      </c>
      <c r="H209" s="26">
        <v>25128</v>
      </c>
      <c r="I209" t="s">
        <v>58</v>
      </c>
      <c r="J209" t="s">
        <v>963</v>
      </c>
      <c r="M209">
        <v>78640</v>
      </c>
      <c r="N209" t="s">
        <v>964</v>
      </c>
      <c r="O209" t="s">
        <v>61</v>
      </c>
      <c r="P209">
        <v>134898761</v>
      </c>
      <c r="Q209">
        <v>647617964</v>
      </c>
      <c r="R209" t="s">
        <v>965</v>
      </c>
      <c r="S209" t="s">
        <v>63</v>
      </c>
      <c r="T209" t="s">
        <v>64</v>
      </c>
      <c r="U209" t="s">
        <v>65</v>
      </c>
      <c r="W209" s="26">
        <v>45540</v>
      </c>
      <c r="X209" t="s">
        <v>61</v>
      </c>
      <c r="Y209" t="s">
        <v>237</v>
      </c>
    </row>
    <row r="210" spans="1:25" x14ac:dyDescent="0.25">
      <c r="A210" t="s">
        <v>966</v>
      </c>
      <c r="B210">
        <v>11</v>
      </c>
      <c r="C210">
        <v>94</v>
      </c>
      <c r="D210">
        <v>9024</v>
      </c>
      <c r="E210" t="s">
        <v>4</v>
      </c>
      <c r="F210" t="s">
        <v>967</v>
      </c>
      <c r="G210" t="s">
        <v>968</v>
      </c>
      <c r="H210" s="26">
        <v>24600</v>
      </c>
      <c r="I210" t="s">
        <v>16</v>
      </c>
      <c r="J210" t="s">
        <v>969</v>
      </c>
      <c r="K210" t="s">
        <v>970</v>
      </c>
      <c r="M210">
        <v>94100</v>
      </c>
      <c r="N210" t="s">
        <v>971</v>
      </c>
      <c r="O210" t="s">
        <v>61</v>
      </c>
      <c r="P210">
        <v>699162922</v>
      </c>
      <c r="Q210">
        <v>699162922</v>
      </c>
      <c r="R210" t="s">
        <v>972</v>
      </c>
      <c r="S210" t="s">
        <v>63</v>
      </c>
      <c r="T210" t="s">
        <v>64</v>
      </c>
      <c r="U210" t="s">
        <v>65</v>
      </c>
      <c r="W210" s="26">
        <v>45525</v>
      </c>
      <c r="X210" t="s">
        <v>61</v>
      </c>
      <c r="Y210" t="s">
        <v>237</v>
      </c>
    </row>
    <row r="211" spans="1:25" x14ac:dyDescent="0.25">
      <c r="A211" t="s">
        <v>973</v>
      </c>
      <c r="B211">
        <v>11</v>
      </c>
      <c r="C211">
        <v>78</v>
      </c>
      <c r="D211">
        <v>9030</v>
      </c>
      <c r="E211" t="s">
        <v>96</v>
      </c>
      <c r="F211" t="s">
        <v>68</v>
      </c>
      <c r="G211" t="s">
        <v>974</v>
      </c>
      <c r="H211" s="26">
        <v>19025</v>
      </c>
      <c r="I211" t="s">
        <v>58</v>
      </c>
      <c r="J211" t="s">
        <v>975</v>
      </c>
      <c r="K211" t="s">
        <v>976</v>
      </c>
      <c r="M211">
        <v>78190</v>
      </c>
      <c r="N211" t="s">
        <v>977</v>
      </c>
      <c r="O211" t="s">
        <v>61</v>
      </c>
      <c r="P211">
        <v>981821269</v>
      </c>
      <c r="Q211">
        <v>671462323</v>
      </c>
      <c r="R211" t="s">
        <v>8732</v>
      </c>
      <c r="S211" t="s">
        <v>63</v>
      </c>
      <c r="T211" t="s">
        <v>64</v>
      </c>
      <c r="U211" t="s">
        <v>65</v>
      </c>
      <c r="W211" s="26">
        <v>45547</v>
      </c>
      <c r="X211" t="s">
        <v>61</v>
      </c>
      <c r="Y211" t="s">
        <v>237</v>
      </c>
    </row>
    <row r="212" spans="1:25" x14ac:dyDescent="0.25">
      <c r="A212" t="s">
        <v>978</v>
      </c>
      <c r="B212">
        <v>11</v>
      </c>
      <c r="C212">
        <v>92</v>
      </c>
      <c r="D212">
        <v>9068</v>
      </c>
      <c r="E212" t="s">
        <v>119</v>
      </c>
      <c r="F212" t="s">
        <v>916</v>
      </c>
      <c r="G212" t="s">
        <v>979</v>
      </c>
      <c r="H212" s="26">
        <v>27355</v>
      </c>
      <c r="I212" t="s">
        <v>58</v>
      </c>
      <c r="J212" t="s">
        <v>980</v>
      </c>
      <c r="M212">
        <v>92170</v>
      </c>
      <c r="N212" t="s">
        <v>785</v>
      </c>
      <c r="O212" t="s">
        <v>61</v>
      </c>
      <c r="Q212">
        <v>685438715</v>
      </c>
      <c r="R212" t="s">
        <v>981</v>
      </c>
      <c r="S212" t="s">
        <v>63</v>
      </c>
      <c r="T212" t="s">
        <v>64</v>
      </c>
      <c r="U212" t="s">
        <v>65</v>
      </c>
      <c r="W212" s="26">
        <v>45536</v>
      </c>
      <c r="X212" t="s">
        <v>61</v>
      </c>
      <c r="Y212" t="s">
        <v>237</v>
      </c>
    </row>
    <row r="213" spans="1:25" x14ac:dyDescent="0.25">
      <c r="A213" t="s">
        <v>982</v>
      </c>
      <c r="B213">
        <v>11</v>
      </c>
      <c r="C213">
        <v>91</v>
      </c>
      <c r="D213">
        <v>9096</v>
      </c>
      <c r="E213" t="s">
        <v>526</v>
      </c>
      <c r="F213" t="s">
        <v>983</v>
      </c>
      <c r="G213" t="s">
        <v>984</v>
      </c>
      <c r="H213" s="26">
        <v>15561</v>
      </c>
      <c r="I213" t="s">
        <v>58</v>
      </c>
      <c r="J213" t="s">
        <v>985</v>
      </c>
      <c r="M213">
        <v>91650</v>
      </c>
      <c r="N213" t="s">
        <v>986</v>
      </c>
      <c r="O213" t="s">
        <v>61</v>
      </c>
      <c r="P213">
        <v>164584611</v>
      </c>
      <c r="Q213">
        <v>619255915</v>
      </c>
      <c r="R213" t="s">
        <v>987</v>
      </c>
      <c r="S213" t="s">
        <v>63</v>
      </c>
      <c r="T213" t="s">
        <v>64</v>
      </c>
      <c r="U213" t="s">
        <v>65</v>
      </c>
      <c r="W213" s="26">
        <v>45546</v>
      </c>
      <c r="X213" t="s">
        <v>61</v>
      </c>
      <c r="Y213" t="s">
        <v>237</v>
      </c>
    </row>
    <row r="214" spans="1:25" x14ac:dyDescent="0.25">
      <c r="A214" t="s">
        <v>988</v>
      </c>
      <c r="B214">
        <v>11</v>
      </c>
      <c r="C214">
        <v>78</v>
      </c>
      <c r="D214">
        <v>9030</v>
      </c>
      <c r="E214" t="s">
        <v>96</v>
      </c>
      <c r="F214" t="s">
        <v>289</v>
      </c>
      <c r="G214" t="s">
        <v>989</v>
      </c>
      <c r="H214" s="26">
        <v>18405</v>
      </c>
      <c r="I214" t="s">
        <v>58</v>
      </c>
      <c r="J214" t="s">
        <v>990</v>
      </c>
      <c r="M214">
        <v>78170</v>
      </c>
      <c r="N214" t="s">
        <v>991</v>
      </c>
      <c r="O214" t="s">
        <v>61</v>
      </c>
      <c r="Q214">
        <v>675412737</v>
      </c>
      <c r="R214" t="s">
        <v>992</v>
      </c>
      <c r="S214" t="s">
        <v>63</v>
      </c>
      <c r="T214" t="s">
        <v>64</v>
      </c>
      <c r="U214" t="s">
        <v>65</v>
      </c>
      <c r="W214" s="26">
        <v>45555</v>
      </c>
      <c r="X214" t="s">
        <v>61</v>
      </c>
      <c r="Y214" t="s">
        <v>237</v>
      </c>
    </row>
    <row r="215" spans="1:25" x14ac:dyDescent="0.25">
      <c r="A215" t="s">
        <v>993</v>
      </c>
      <c r="B215">
        <v>11</v>
      </c>
      <c r="C215">
        <v>95</v>
      </c>
      <c r="D215">
        <v>9033</v>
      </c>
      <c r="E215" t="s">
        <v>500</v>
      </c>
      <c r="F215" t="s">
        <v>204</v>
      </c>
      <c r="G215" t="s">
        <v>994</v>
      </c>
      <c r="H215" s="26">
        <v>16926</v>
      </c>
      <c r="I215" t="s">
        <v>58</v>
      </c>
      <c r="J215" t="s">
        <v>995</v>
      </c>
      <c r="K215" t="s">
        <v>996</v>
      </c>
      <c r="M215">
        <v>95140</v>
      </c>
      <c r="N215" t="s">
        <v>501</v>
      </c>
      <c r="O215" t="s">
        <v>61</v>
      </c>
      <c r="Q215">
        <v>612337229</v>
      </c>
      <c r="R215" t="s">
        <v>997</v>
      </c>
      <c r="S215" t="s">
        <v>63</v>
      </c>
      <c r="T215" t="s">
        <v>64</v>
      </c>
      <c r="U215" t="s">
        <v>65</v>
      </c>
      <c r="W215" s="26">
        <v>45549</v>
      </c>
      <c r="X215" t="s">
        <v>61</v>
      </c>
      <c r="Y215" t="s">
        <v>237</v>
      </c>
    </row>
    <row r="216" spans="1:25" x14ac:dyDescent="0.25">
      <c r="A216" t="s">
        <v>998</v>
      </c>
      <c r="B216">
        <v>11</v>
      </c>
      <c r="C216">
        <v>78</v>
      </c>
      <c r="D216">
        <v>9056</v>
      </c>
      <c r="E216" t="s">
        <v>214</v>
      </c>
      <c r="F216" t="s">
        <v>820</v>
      </c>
      <c r="G216" t="s">
        <v>10373</v>
      </c>
      <c r="H216" s="26">
        <v>22571</v>
      </c>
      <c r="I216" t="s">
        <v>58</v>
      </c>
      <c r="J216" t="s">
        <v>10374</v>
      </c>
      <c r="M216">
        <v>27740</v>
      </c>
      <c r="N216" t="s">
        <v>10375</v>
      </c>
      <c r="O216" t="s">
        <v>61</v>
      </c>
      <c r="Q216">
        <v>662320990</v>
      </c>
      <c r="R216" t="s">
        <v>999</v>
      </c>
      <c r="S216" t="s">
        <v>63</v>
      </c>
      <c r="T216" t="s">
        <v>64</v>
      </c>
      <c r="U216" t="s">
        <v>65</v>
      </c>
      <c r="W216" s="26">
        <v>45578</v>
      </c>
      <c r="X216" t="s">
        <v>61</v>
      </c>
      <c r="Y216" t="s">
        <v>237</v>
      </c>
    </row>
    <row r="217" spans="1:25" x14ac:dyDescent="0.25">
      <c r="A217" t="s">
        <v>1000</v>
      </c>
      <c r="B217">
        <v>11</v>
      </c>
      <c r="C217">
        <v>95</v>
      </c>
      <c r="D217">
        <v>9061</v>
      </c>
      <c r="E217" t="s">
        <v>360</v>
      </c>
      <c r="F217" t="s">
        <v>56</v>
      </c>
      <c r="G217" t="s">
        <v>1001</v>
      </c>
      <c r="H217" s="26">
        <v>20364</v>
      </c>
      <c r="I217" t="s">
        <v>58</v>
      </c>
      <c r="J217" t="s">
        <v>1002</v>
      </c>
      <c r="M217">
        <v>95520</v>
      </c>
      <c r="N217" t="s">
        <v>290</v>
      </c>
      <c r="O217" t="s">
        <v>61</v>
      </c>
      <c r="Q217">
        <v>603616791</v>
      </c>
      <c r="R217" t="s">
        <v>1003</v>
      </c>
      <c r="S217" t="s">
        <v>63</v>
      </c>
      <c r="T217" t="s">
        <v>64</v>
      </c>
      <c r="U217" t="s">
        <v>65</v>
      </c>
      <c r="W217" s="26">
        <v>45558</v>
      </c>
      <c r="X217" t="s">
        <v>61</v>
      </c>
      <c r="Y217" t="s">
        <v>237</v>
      </c>
    </row>
    <row r="218" spans="1:25" x14ac:dyDescent="0.25">
      <c r="A218" t="s">
        <v>1004</v>
      </c>
      <c r="B218">
        <v>11</v>
      </c>
      <c r="C218">
        <v>95</v>
      </c>
      <c r="D218">
        <v>9010</v>
      </c>
      <c r="E218" t="s">
        <v>6</v>
      </c>
      <c r="F218" t="s">
        <v>1005</v>
      </c>
      <c r="G218" t="s">
        <v>1006</v>
      </c>
      <c r="H218" s="26">
        <v>26814</v>
      </c>
      <c r="I218" t="s">
        <v>58</v>
      </c>
      <c r="J218" t="s">
        <v>1007</v>
      </c>
      <c r="M218">
        <v>60240</v>
      </c>
      <c r="N218" t="s">
        <v>1008</v>
      </c>
      <c r="O218" t="s">
        <v>61</v>
      </c>
      <c r="R218" t="s">
        <v>1009</v>
      </c>
      <c r="S218" t="s">
        <v>63</v>
      </c>
      <c r="T218" t="s">
        <v>64</v>
      </c>
      <c r="U218" t="s">
        <v>65</v>
      </c>
      <c r="W218" s="26">
        <v>45541</v>
      </c>
      <c r="X218" t="s">
        <v>61</v>
      </c>
      <c r="Y218" t="s">
        <v>237</v>
      </c>
    </row>
    <row r="219" spans="1:25" x14ac:dyDescent="0.25">
      <c r="A219" t="s">
        <v>1010</v>
      </c>
      <c r="B219">
        <v>11</v>
      </c>
      <c r="C219">
        <v>77</v>
      </c>
      <c r="D219">
        <v>9040</v>
      </c>
      <c r="E219" t="s">
        <v>612</v>
      </c>
      <c r="F219" t="s">
        <v>457</v>
      </c>
      <c r="G219" t="s">
        <v>1011</v>
      </c>
      <c r="H219" s="26">
        <v>27057</v>
      </c>
      <c r="I219" t="s">
        <v>58</v>
      </c>
      <c r="J219" t="s">
        <v>1012</v>
      </c>
      <c r="M219">
        <v>77810</v>
      </c>
      <c r="N219" t="s">
        <v>1013</v>
      </c>
      <c r="O219" t="s">
        <v>61</v>
      </c>
      <c r="Q219">
        <v>612236482</v>
      </c>
      <c r="R219" t="s">
        <v>1014</v>
      </c>
      <c r="S219" t="s">
        <v>63</v>
      </c>
      <c r="T219" t="s">
        <v>64</v>
      </c>
      <c r="U219" t="s">
        <v>65</v>
      </c>
      <c r="W219" s="26">
        <v>45558</v>
      </c>
      <c r="X219" t="s">
        <v>61</v>
      </c>
      <c r="Y219" t="s">
        <v>237</v>
      </c>
    </row>
    <row r="220" spans="1:25" x14ac:dyDescent="0.25">
      <c r="A220" t="s">
        <v>1015</v>
      </c>
      <c r="B220">
        <v>11</v>
      </c>
      <c r="C220">
        <v>95</v>
      </c>
      <c r="D220">
        <v>9010</v>
      </c>
      <c r="E220" t="s">
        <v>6</v>
      </c>
      <c r="F220" t="s">
        <v>397</v>
      </c>
      <c r="G220" t="s">
        <v>398</v>
      </c>
      <c r="H220" s="26">
        <v>22632</v>
      </c>
      <c r="I220" t="s">
        <v>58</v>
      </c>
      <c r="J220" t="s">
        <v>1016</v>
      </c>
      <c r="M220">
        <v>78500</v>
      </c>
      <c r="N220" t="s">
        <v>109</v>
      </c>
      <c r="O220" t="s">
        <v>61</v>
      </c>
      <c r="R220" t="s">
        <v>1017</v>
      </c>
      <c r="S220" t="s">
        <v>63</v>
      </c>
      <c r="T220" t="s">
        <v>64</v>
      </c>
      <c r="U220" t="s">
        <v>65</v>
      </c>
      <c r="W220" s="26">
        <v>45544</v>
      </c>
      <c r="X220" t="s">
        <v>61</v>
      </c>
      <c r="Y220" t="s">
        <v>237</v>
      </c>
    </row>
    <row r="221" spans="1:25" x14ac:dyDescent="0.25">
      <c r="A221" t="s">
        <v>1018</v>
      </c>
      <c r="B221">
        <v>11</v>
      </c>
      <c r="C221">
        <v>77</v>
      </c>
      <c r="D221">
        <v>9055</v>
      </c>
      <c r="E221" t="s">
        <v>341</v>
      </c>
      <c r="F221" t="s">
        <v>1019</v>
      </c>
      <c r="G221" t="s">
        <v>1020</v>
      </c>
      <c r="H221" s="26">
        <v>21085</v>
      </c>
      <c r="I221" t="s">
        <v>58</v>
      </c>
      <c r="J221" t="s">
        <v>1021</v>
      </c>
      <c r="M221">
        <v>77300</v>
      </c>
      <c r="N221" t="s">
        <v>1022</v>
      </c>
      <c r="O221" t="s">
        <v>61</v>
      </c>
      <c r="P221">
        <v>164226356</v>
      </c>
      <c r="Q221">
        <v>661046488</v>
      </c>
      <c r="R221" t="s">
        <v>1023</v>
      </c>
      <c r="S221" t="s">
        <v>63</v>
      </c>
      <c r="T221" t="s">
        <v>64</v>
      </c>
      <c r="U221" t="s">
        <v>65</v>
      </c>
      <c r="W221" s="26">
        <v>45539</v>
      </c>
      <c r="X221" t="s">
        <v>61</v>
      </c>
      <c r="Y221" t="s">
        <v>237</v>
      </c>
    </row>
    <row r="222" spans="1:25" x14ac:dyDescent="0.25">
      <c r="A222" t="s">
        <v>1024</v>
      </c>
      <c r="B222">
        <v>11</v>
      </c>
      <c r="C222">
        <v>91</v>
      </c>
      <c r="D222">
        <v>9009</v>
      </c>
      <c r="E222" t="s">
        <v>159</v>
      </c>
      <c r="F222" t="s">
        <v>13</v>
      </c>
      <c r="G222" t="s">
        <v>1025</v>
      </c>
      <c r="H222" s="26">
        <v>22866</v>
      </c>
      <c r="I222" t="s">
        <v>58</v>
      </c>
      <c r="J222" t="s">
        <v>1026</v>
      </c>
      <c r="M222">
        <v>91310</v>
      </c>
      <c r="N222" t="s">
        <v>1027</v>
      </c>
      <c r="O222" t="s">
        <v>61</v>
      </c>
      <c r="Q222">
        <v>678071064</v>
      </c>
      <c r="R222" t="s">
        <v>1028</v>
      </c>
      <c r="S222" t="s">
        <v>63</v>
      </c>
      <c r="T222" t="s">
        <v>64</v>
      </c>
      <c r="U222" t="s">
        <v>65</v>
      </c>
      <c r="W222" s="26">
        <v>45554</v>
      </c>
      <c r="X222" t="s">
        <v>61</v>
      </c>
      <c r="Y222" t="s">
        <v>237</v>
      </c>
    </row>
    <row r="223" spans="1:25" x14ac:dyDescent="0.25">
      <c r="A223" t="s">
        <v>1029</v>
      </c>
      <c r="B223">
        <v>11</v>
      </c>
      <c r="C223">
        <v>93</v>
      </c>
      <c r="D223">
        <v>9122</v>
      </c>
      <c r="E223" t="s">
        <v>1030</v>
      </c>
      <c r="F223" t="s">
        <v>91</v>
      </c>
      <c r="G223" t="s">
        <v>1031</v>
      </c>
      <c r="H223" s="26">
        <v>25375</v>
      </c>
      <c r="I223" t="s">
        <v>58</v>
      </c>
      <c r="J223" t="s">
        <v>1032</v>
      </c>
      <c r="M223">
        <v>77400</v>
      </c>
      <c r="N223" t="s">
        <v>843</v>
      </c>
      <c r="O223" t="s">
        <v>61</v>
      </c>
      <c r="Q223">
        <v>687847245</v>
      </c>
      <c r="R223" t="s">
        <v>1033</v>
      </c>
      <c r="S223" t="s">
        <v>63</v>
      </c>
      <c r="T223" t="s">
        <v>64</v>
      </c>
      <c r="U223" t="s">
        <v>8684</v>
      </c>
      <c r="W223" s="26">
        <v>45531</v>
      </c>
      <c r="X223" t="s">
        <v>61</v>
      </c>
      <c r="Y223" t="s">
        <v>237</v>
      </c>
    </row>
    <row r="224" spans="1:25" x14ac:dyDescent="0.25">
      <c r="A224" t="s">
        <v>8733</v>
      </c>
      <c r="B224">
        <v>11</v>
      </c>
      <c r="C224">
        <v>77</v>
      </c>
      <c r="D224">
        <v>9049</v>
      </c>
      <c r="E224" t="s">
        <v>902</v>
      </c>
      <c r="F224" t="s">
        <v>297</v>
      </c>
      <c r="G224" t="s">
        <v>4122</v>
      </c>
      <c r="H224" s="26">
        <v>28019</v>
      </c>
      <c r="I224" t="s">
        <v>58</v>
      </c>
      <c r="J224" t="s">
        <v>4123</v>
      </c>
      <c r="M224">
        <v>77340</v>
      </c>
      <c r="N224" t="s">
        <v>201</v>
      </c>
      <c r="O224" t="s">
        <v>61</v>
      </c>
      <c r="Q224">
        <v>624526535</v>
      </c>
      <c r="R224" t="s">
        <v>8734</v>
      </c>
      <c r="S224" t="s">
        <v>63</v>
      </c>
      <c r="T224" t="s">
        <v>64</v>
      </c>
      <c r="U224" t="s">
        <v>8684</v>
      </c>
      <c r="W224" s="26">
        <v>45531</v>
      </c>
      <c r="X224" t="s">
        <v>61</v>
      </c>
      <c r="Y224" t="s">
        <v>237</v>
      </c>
    </row>
    <row r="225" spans="1:25" x14ac:dyDescent="0.25">
      <c r="A225" t="s">
        <v>1034</v>
      </c>
      <c r="B225">
        <v>11</v>
      </c>
      <c r="C225">
        <v>94</v>
      </c>
      <c r="D225">
        <v>9024</v>
      </c>
      <c r="E225" t="s">
        <v>4</v>
      </c>
      <c r="F225" t="s">
        <v>1035</v>
      </c>
      <c r="G225" t="s">
        <v>1036</v>
      </c>
      <c r="H225" s="26">
        <v>26986</v>
      </c>
      <c r="I225" t="s">
        <v>58</v>
      </c>
      <c r="J225" t="s">
        <v>1037</v>
      </c>
      <c r="M225">
        <v>94700</v>
      </c>
      <c r="N225" t="s">
        <v>163</v>
      </c>
      <c r="O225" t="s">
        <v>61</v>
      </c>
      <c r="Q225">
        <v>628842740</v>
      </c>
      <c r="R225" t="s">
        <v>1038</v>
      </c>
      <c r="S225" t="s">
        <v>63</v>
      </c>
      <c r="T225" t="s">
        <v>64</v>
      </c>
      <c r="U225" t="s">
        <v>8684</v>
      </c>
      <c r="W225" s="26">
        <v>45530</v>
      </c>
      <c r="X225" t="s">
        <v>61</v>
      </c>
      <c r="Y225" t="s">
        <v>237</v>
      </c>
    </row>
    <row r="226" spans="1:25" x14ac:dyDescent="0.25">
      <c r="A226" t="s">
        <v>1039</v>
      </c>
      <c r="B226">
        <v>11</v>
      </c>
      <c r="C226">
        <v>78</v>
      </c>
      <c r="D226">
        <v>9002</v>
      </c>
      <c r="E226" t="s">
        <v>558</v>
      </c>
      <c r="F226" t="s">
        <v>97</v>
      </c>
      <c r="G226" t="s">
        <v>1040</v>
      </c>
      <c r="H226" s="26">
        <v>14159</v>
      </c>
      <c r="I226" t="s">
        <v>58</v>
      </c>
      <c r="J226" t="s">
        <v>1041</v>
      </c>
      <c r="M226">
        <v>78930</v>
      </c>
      <c r="N226" t="s">
        <v>1042</v>
      </c>
      <c r="O226" t="s">
        <v>61</v>
      </c>
      <c r="P226">
        <v>134763616</v>
      </c>
      <c r="Q226">
        <v>677015147</v>
      </c>
      <c r="R226" t="s">
        <v>1043</v>
      </c>
      <c r="S226" t="s">
        <v>63</v>
      </c>
      <c r="T226" t="s">
        <v>64</v>
      </c>
      <c r="U226" t="s">
        <v>65</v>
      </c>
      <c r="W226" s="26">
        <v>45558</v>
      </c>
      <c r="X226" t="s">
        <v>61</v>
      </c>
      <c r="Y226" t="s">
        <v>237</v>
      </c>
    </row>
    <row r="227" spans="1:25" x14ac:dyDescent="0.25">
      <c r="A227" t="s">
        <v>1044</v>
      </c>
      <c r="B227">
        <v>11</v>
      </c>
      <c r="C227">
        <v>94</v>
      </c>
      <c r="D227">
        <v>9024</v>
      </c>
      <c r="E227" t="s">
        <v>4</v>
      </c>
      <c r="F227" t="s">
        <v>56</v>
      </c>
      <c r="G227" t="s">
        <v>1045</v>
      </c>
      <c r="H227" s="26">
        <v>19544</v>
      </c>
      <c r="I227" t="s">
        <v>58</v>
      </c>
      <c r="J227" t="s">
        <v>1046</v>
      </c>
      <c r="M227">
        <v>94100</v>
      </c>
      <c r="N227" t="s">
        <v>971</v>
      </c>
      <c r="O227" t="s">
        <v>61</v>
      </c>
      <c r="P227">
        <v>143764854</v>
      </c>
      <c r="R227" t="s">
        <v>1047</v>
      </c>
      <c r="S227" t="s">
        <v>63</v>
      </c>
      <c r="T227" t="s">
        <v>64</v>
      </c>
      <c r="U227" t="s">
        <v>65</v>
      </c>
      <c r="W227" s="26">
        <v>45566</v>
      </c>
      <c r="X227" t="s">
        <v>61</v>
      </c>
      <c r="Y227" t="s">
        <v>237</v>
      </c>
    </row>
    <row r="228" spans="1:25" x14ac:dyDescent="0.25">
      <c r="A228" t="s">
        <v>8735</v>
      </c>
      <c r="B228">
        <v>11</v>
      </c>
      <c r="C228">
        <v>78</v>
      </c>
      <c r="D228">
        <v>9052</v>
      </c>
      <c r="E228" t="s">
        <v>337</v>
      </c>
      <c r="F228" t="s">
        <v>154</v>
      </c>
      <c r="G228" t="s">
        <v>2289</v>
      </c>
      <c r="H228" s="26">
        <v>14107</v>
      </c>
      <c r="I228" t="s">
        <v>58</v>
      </c>
      <c r="J228" t="s">
        <v>8736</v>
      </c>
      <c r="M228">
        <v>94400</v>
      </c>
      <c r="N228" t="s">
        <v>406</v>
      </c>
      <c r="O228" t="s">
        <v>61</v>
      </c>
      <c r="P228">
        <v>147261845</v>
      </c>
      <c r="Q228">
        <v>678955348</v>
      </c>
      <c r="R228" t="s">
        <v>8737</v>
      </c>
      <c r="S228" t="s">
        <v>63</v>
      </c>
      <c r="T228" t="s">
        <v>64</v>
      </c>
      <c r="U228" t="s">
        <v>65</v>
      </c>
      <c r="W228" s="26">
        <v>45544</v>
      </c>
      <c r="X228" t="s">
        <v>61</v>
      </c>
      <c r="Y228" t="s">
        <v>237</v>
      </c>
    </row>
    <row r="229" spans="1:25" x14ac:dyDescent="0.25">
      <c r="A229" t="s">
        <v>1048</v>
      </c>
      <c r="B229">
        <v>11</v>
      </c>
      <c r="C229">
        <v>94</v>
      </c>
      <c r="D229">
        <v>9031</v>
      </c>
      <c r="E229" t="s">
        <v>7</v>
      </c>
      <c r="F229" t="s">
        <v>103</v>
      </c>
      <c r="G229" t="s">
        <v>1049</v>
      </c>
      <c r="H229" s="26">
        <v>18362</v>
      </c>
      <c r="I229" t="s">
        <v>58</v>
      </c>
      <c r="J229" t="s">
        <v>1050</v>
      </c>
      <c r="M229">
        <v>94700</v>
      </c>
      <c r="N229" t="s">
        <v>163</v>
      </c>
      <c r="O229" t="s">
        <v>61</v>
      </c>
      <c r="Q229">
        <v>652212220</v>
      </c>
      <c r="R229" t="s">
        <v>8738</v>
      </c>
      <c r="S229" t="s">
        <v>63</v>
      </c>
      <c r="T229" t="s">
        <v>64</v>
      </c>
      <c r="U229" t="s">
        <v>65</v>
      </c>
      <c r="W229" s="26">
        <v>45558</v>
      </c>
      <c r="X229" t="s">
        <v>61</v>
      </c>
      <c r="Y229" t="s">
        <v>237</v>
      </c>
    </row>
    <row r="230" spans="1:25" x14ac:dyDescent="0.25">
      <c r="A230" t="s">
        <v>1051</v>
      </c>
      <c r="B230">
        <v>11</v>
      </c>
      <c r="C230">
        <v>78</v>
      </c>
      <c r="D230">
        <v>9016</v>
      </c>
      <c r="E230" t="s">
        <v>362</v>
      </c>
      <c r="F230" t="s">
        <v>297</v>
      </c>
      <c r="G230" t="s">
        <v>1052</v>
      </c>
      <c r="H230" s="26">
        <v>24718</v>
      </c>
      <c r="I230" t="s">
        <v>58</v>
      </c>
      <c r="J230" t="s">
        <v>1053</v>
      </c>
      <c r="M230">
        <v>78970</v>
      </c>
      <c r="N230" t="s">
        <v>1054</v>
      </c>
      <c r="O230" t="s">
        <v>61</v>
      </c>
      <c r="P230">
        <v>130954018</v>
      </c>
      <c r="Q230">
        <v>677803772</v>
      </c>
      <c r="S230" t="s">
        <v>63</v>
      </c>
      <c r="T230" t="s">
        <v>64</v>
      </c>
      <c r="U230" t="s">
        <v>65</v>
      </c>
      <c r="W230" s="26">
        <v>45549</v>
      </c>
      <c r="X230" t="s">
        <v>61</v>
      </c>
      <c r="Y230" t="s">
        <v>237</v>
      </c>
    </row>
    <row r="231" spans="1:25" x14ac:dyDescent="0.25">
      <c r="A231" t="s">
        <v>8739</v>
      </c>
      <c r="B231">
        <v>11</v>
      </c>
      <c r="C231">
        <v>78</v>
      </c>
      <c r="D231">
        <v>9001</v>
      </c>
      <c r="E231" t="s">
        <v>8740</v>
      </c>
      <c r="F231" t="s">
        <v>289</v>
      </c>
      <c r="G231" t="s">
        <v>8741</v>
      </c>
      <c r="H231" s="26">
        <v>18213</v>
      </c>
      <c r="I231" t="s">
        <v>58</v>
      </c>
      <c r="J231" t="s">
        <v>8742</v>
      </c>
      <c r="M231">
        <v>78140</v>
      </c>
      <c r="N231" t="s">
        <v>8743</v>
      </c>
      <c r="O231" t="s">
        <v>61</v>
      </c>
      <c r="Q231">
        <v>621832639</v>
      </c>
      <c r="R231" t="s">
        <v>8744</v>
      </c>
      <c r="S231" t="s">
        <v>237</v>
      </c>
      <c r="T231" t="s">
        <v>64</v>
      </c>
      <c r="U231" t="s">
        <v>65</v>
      </c>
      <c r="W231" s="26">
        <v>45552</v>
      </c>
      <c r="X231" t="s">
        <v>61</v>
      </c>
      <c r="Y231" t="s">
        <v>237</v>
      </c>
    </row>
    <row r="232" spans="1:25" x14ac:dyDescent="0.25">
      <c r="A232" t="s">
        <v>1056</v>
      </c>
      <c r="B232">
        <v>11</v>
      </c>
      <c r="C232">
        <v>78</v>
      </c>
      <c r="D232">
        <v>9084</v>
      </c>
      <c r="E232" t="s">
        <v>216</v>
      </c>
      <c r="F232" t="s">
        <v>100</v>
      </c>
      <c r="G232" t="s">
        <v>1057</v>
      </c>
      <c r="H232" s="26">
        <v>20005</v>
      </c>
      <c r="I232" t="s">
        <v>58</v>
      </c>
      <c r="J232" t="s">
        <v>1058</v>
      </c>
      <c r="M232">
        <v>78540</v>
      </c>
      <c r="N232" t="s">
        <v>1059</v>
      </c>
      <c r="O232" t="s">
        <v>61</v>
      </c>
      <c r="P232">
        <v>139656932</v>
      </c>
      <c r="R232" t="s">
        <v>1060</v>
      </c>
      <c r="S232" t="s">
        <v>63</v>
      </c>
      <c r="T232" t="s">
        <v>64</v>
      </c>
      <c r="U232" t="s">
        <v>65</v>
      </c>
      <c r="V232" t="s">
        <v>111</v>
      </c>
      <c r="W232" s="26">
        <v>45560</v>
      </c>
      <c r="X232" t="s">
        <v>61</v>
      </c>
      <c r="Y232" t="s">
        <v>237</v>
      </c>
    </row>
    <row r="233" spans="1:25" x14ac:dyDescent="0.25">
      <c r="A233" t="s">
        <v>1061</v>
      </c>
      <c r="B233">
        <v>11</v>
      </c>
      <c r="C233">
        <v>78</v>
      </c>
      <c r="D233">
        <v>9084</v>
      </c>
      <c r="E233" t="s">
        <v>216</v>
      </c>
      <c r="F233" t="s">
        <v>154</v>
      </c>
      <c r="G233" t="s">
        <v>1062</v>
      </c>
      <c r="H233" s="26">
        <v>14974</v>
      </c>
      <c r="I233" t="s">
        <v>58</v>
      </c>
      <c r="J233" t="s">
        <v>1063</v>
      </c>
      <c r="M233">
        <v>78540</v>
      </c>
      <c r="N233" t="s">
        <v>1059</v>
      </c>
      <c r="O233" t="s">
        <v>61</v>
      </c>
      <c r="P233">
        <v>139718962</v>
      </c>
      <c r="R233" t="s">
        <v>1064</v>
      </c>
      <c r="S233" t="s">
        <v>63</v>
      </c>
      <c r="T233" t="s">
        <v>64</v>
      </c>
      <c r="U233" t="s">
        <v>65</v>
      </c>
      <c r="W233" s="26">
        <v>45552</v>
      </c>
      <c r="X233" t="s">
        <v>61</v>
      </c>
      <c r="Y233" t="s">
        <v>237</v>
      </c>
    </row>
    <row r="234" spans="1:25" x14ac:dyDescent="0.25">
      <c r="A234" t="s">
        <v>1065</v>
      </c>
      <c r="B234">
        <v>11</v>
      </c>
      <c r="C234">
        <v>91</v>
      </c>
      <c r="D234">
        <v>9009</v>
      </c>
      <c r="E234" t="s">
        <v>159</v>
      </c>
      <c r="F234" t="s">
        <v>12</v>
      </c>
      <c r="G234" t="s">
        <v>1066</v>
      </c>
      <c r="H234" s="26">
        <v>26207</v>
      </c>
      <c r="I234" t="s">
        <v>58</v>
      </c>
      <c r="J234" t="s">
        <v>1067</v>
      </c>
      <c r="M234">
        <v>94310</v>
      </c>
      <c r="N234" t="s">
        <v>900</v>
      </c>
      <c r="O234" t="s">
        <v>61</v>
      </c>
      <c r="Q234">
        <v>660755633</v>
      </c>
      <c r="R234" t="s">
        <v>1068</v>
      </c>
      <c r="S234" t="s">
        <v>237</v>
      </c>
      <c r="T234" t="s">
        <v>64</v>
      </c>
      <c r="U234" t="s">
        <v>65</v>
      </c>
      <c r="W234" s="26">
        <v>45543</v>
      </c>
      <c r="X234" t="s">
        <v>61</v>
      </c>
      <c r="Y234" t="s">
        <v>237</v>
      </c>
    </row>
    <row r="235" spans="1:25" x14ac:dyDescent="0.25">
      <c r="A235" t="s">
        <v>8745</v>
      </c>
      <c r="B235">
        <v>11</v>
      </c>
      <c r="C235">
        <v>91</v>
      </c>
      <c r="D235">
        <v>9131</v>
      </c>
      <c r="E235" t="s">
        <v>8686</v>
      </c>
      <c r="F235" t="s">
        <v>480</v>
      </c>
      <c r="G235" t="s">
        <v>8746</v>
      </c>
      <c r="H235" s="26">
        <v>22625</v>
      </c>
      <c r="I235" t="s">
        <v>58</v>
      </c>
      <c r="J235" t="s">
        <v>8747</v>
      </c>
      <c r="M235">
        <v>91210</v>
      </c>
      <c r="N235" t="s">
        <v>226</v>
      </c>
      <c r="O235" t="s">
        <v>61</v>
      </c>
      <c r="P235">
        <v>169404507</v>
      </c>
      <c r="R235" t="s">
        <v>8748</v>
      </c>
      <c r="S235" t="s">
        <v>63</v>
      </c>
      <c r="T235" t="s">
        <v>64</v>
      </c>
      <c r="U235" t="s">
        <v>65</v>
      </c>
      <c r="W235" s="26">
        <v>45554</v>
      </c>
      <c r="X235" t="s">
        <v>61</v>
      </c>
      <c r="Y235" t="s">
        <v>237</v>
      </c>
    </row>
    <row r="236" spans="1:25" x14ac:dyDescent="0.25">
      <c r="A236" t="s">
        <v>1069</v>
      </c>
      <c r="B236">
        <v>11</v>
      </c>
      <c r="C236">
        <v>91</v>
      </c>
      <c r="D236">
        <v>9082</v>
      </c>
      <c r="E236" t="s">
        <v>67</v>
      </c>
      <c r="F236" t="s">
        <v>1070</v>
      </c>
      <c r="G236" t="s">
        <v>1071</v>
      </c>
      <c r="H236" s="26">
        <v>15857</v>
      </c>
      <c r="I236" t="s">
        <v>58</v>
      </c>
      <c r="J236" t="s">
        <v>1072</v>
      </c>
      <c r="K236" t="s">
        <v>1073</v>
      </c>
      <c r="M236">
        <v>91210</v>
      </c>
      <c r="N236" t="s">
        <v>226</v>
      </c>
      <c r="O236" t="s">
        <v>61</v>
      </c>
      <c r="P236">
        <v>169039147</v>
      </c>
      <c r="R236" t="s">
        <v>1074</v>
      </c>
      <c r="S236" t="s">
        <v>63</v>
      </c>
      <c r="T236" t="s">
        <v>64</v>
      </c>
      <c r="U236" t="s">
        <v>65</v>
      </c>
      <c r="W236" s="26">
        <v>45555</v>
      </c>
      <c r="X236" t="s">
        <v>61</v>
      </c>
      <c r="Y236" t="s">
        <v>237</v>
      </c>
    </row>
    <row r="237" spans="1:25" x14ac:dyDescent="0.25">
      <c r="A237" t="s">
        <v>10376</v>
      </c>
      <c r="B237">
        <v>11</v>
      </c>
      <c r="C237">
        <v>95</v>
      </c>
      <c r="D237">
        <v>9010</v>
      </c>
      <c r="E237" t="s">
        <v>6</v>
      </c>
      <c r="F237" t="s">
        <v>1075</v>
      </c>
      <c r="G237" t="s">
        <v>10320</v>
      </c>
      <c r="H237" s="26">
        <v>26923</v>
      </c>
      <c r="I237" t="s">
        <v>58</v>
      </c>
      <c r="J237" t="s">
        <v>10377</v>
      </c>
      <c r="M237">
        <v>92150</v>
      </c>
      <c r="N237" t="s">
        <v>485</v>
      </c>
      <c r="O237" t="s">
        <v>61</v>
      </c>
      <c r="R237" t="s">
        <v>10378</v>
      </c>
      <c r="S237" t="s">
        <v>63</v>
      </c>
      <c r="T237" t="s">
        <v>64</v>
      </c>
      <c r="U237" t="s">
        <v>486</v>
      </c>
      <c r="W237" s="26">
        <v>45574</v>
      </c>
      <c r="X237" t="s">
        <v>61</v>
      </c>
      <c r="Y237" t="s">
        <v>237</v>
      </c>
    </row>
    <row r="238" spans="1:25" x14ac:dyDescent="0.25">
      <c r="A238" t="s">
        <v>1076</v>
      </c>
      <c r="B238">
        <v>11</v>
      </c>
      <c r="C238">
        <v>92</v>
      </c>
      <c r="D238">
        <v>9017</v>
      </c>
      <c r="E238" t="s">
        <v>211</v>
      </c>
      <c r="F238" t="s">
        <v>1077</v>
      </c>
      <c r="G238" t="s">
        <v>1078</v>
      </c>
      <c r="H238" s="26">
        <v>27614</v>
      </c>
      <c r="I238" t="s">
        <v>58</v>
      </c>
      <c r="J238" t="s">
        <v>8749</v>
      </c>
      <c r="M238">
        <v>92250</v>
      </c>
      <c r="N238" t="s">
        <v>1079</v>
      </c>
      <c r="O238" t="s">
        <v>61</v>
      </c>
      <c r="Q238">
        <v>664153095</v>
      </c>
      <c r="R238" t="s">
        <v>1080</v>
      </c>
      <c r="S238" t="s">
        <v>63</v>
      </c>
      <c r="T238" t="s">
        <v>64</v>
      </c>
      <c r="U238" t="s">
        <v>65</v>
      </c>
      <c r="W238" s="26">
        <v>45537</v>
      </c>
      <c r="X238" t="s">
        <v>61</v>
      </c>
      <c r="Y238" t="s">
        <v>237</v>
      </c>
    </row>
    <row r="239" spans="1:25" x14ac:dyDescent="0.25">
      <c r="A239" t="s">
        <v>8750</v>
      </c>
      <c r="B239">
        <v>11</v>
      </c>
      <c r="C239">
        <v>95</v>
      </c>
      <c r="D239">
        <v>9010</v>
      </c>
      <c r="E239" t="s">
        <v>6</v>
      </c>
      <c r="F239" t="s">
        <v>137</v>
      </c>
      <c r="G239" t="s">
        <v>8751</v>
      </c>
      <c r="H239" s="26">
        <v>23001</v>
      </c>
      <c r="I239" t="s">
        <v>58</v>
      </c>
      <c r="J239" t="s">
        <v>8752</v>
      </c>
      <c r="M239">
        <v>92600</v>
      </c>
      <c r="N239" t="s">
        <v>410</v>
      </c>
      <c r="O239" t="s">
        <v>61</v>
      </c>
      <c r="R239" t="s">
        <v>8753</v>
      </c>
      <c r="S239" t="s">
        <v>63</v>
      </c>
      <c r="T239" t="s">
        <v>64</v>
      </c>
      <c r="U239" t="s">
        <v>486</v>
      </c>
      <c r="W239" s="26">
        <v>45555</v>
      </c>
      <c r="X239" t="s">
        <v>61</v>
      </c>
      <c r="Y239" t="s">
        <v>237</v>
      </c>
    </row>
    <row r="240" spans="1:25" x14ac:dyDescent="0.25">
      <c r="A240" t="s">
        <v>1081</v>
      </c>
      <c r="B240">
        <v>11</v>
      </c>
      <c r="C240">
        <v>95</v>
      </c>
      <c r="D240">
        <v>9010</v>
      </c>
      <c r="E240" t="s">
        <v>6</v>
      </c>
      <c r="F240" t="s">
        <v>1082</v>
      </c>
      <c r="G240" t="s">
        <v>1083</v>
      </c>
      <c r="H240" s="26">
        <v>27387</v>
      </c>
      <c r="I240" t="s">
        <v>58</v>
      </c>
      <c r="J240" t="s">
        <v>1084</v>
      </c>
      <c r="M240">
        <v>78500</v>
      </c>
      <c r="N240" t="s">
        <v>109</v>
      </c>
      <c r="O240" t="s">
        <v>61</v>
      </c>
      <c r="R240" t="s">
        <v>1085</v>
      </c>
      <c r="S240" t="s">
        <v>63</v>
      </c>
      <c r="T240" t="s">
        <v>64</v>
      </c>
      <c r="U240" t="s">
        <v>486</v>
      </c>
      <c r="W240" s="26">
        <v>45531</v>
      </c>
      <c r="X240" t="s">
        <v>61</v>
      </c>
      <c r="Y240" t="s">
        <v>237</v>
      </c>
    </row>
    <row r="241" spans="1:25" x14ac:dyDescent="0.25">
      <c r="A241" t="s">
        <v>1086</v>
      </c>
      <c r="B241">
        <v>11</v>
      </c>
      <c r="C241">
        <v>95</v>
      </c>
      <c r="D241">
        <v>9127</v>
      </c>
      <c r="E241" t="s">
        <v>536</v>
      </c>
      <c r="F241" t="s">
        <v>204</v>
      </c>
      <c r="G241" t="s">
        <v>1087</v>
      </c>
      <c r="H241" s="26">
        <v>24050</v>
      </c>
      <c r="I241" t="s">
        <v>58</v>
      </c>
      <c r="J241" t="s">
        <v>1088</v>
      </c>
      <c r="M241">
        <v>94400</v>
      </c>
      <c r="N241" t="s">
        <v>406</v>
      </c>
      <c r="O241" t="s">
        <v>61</v>
      </c>
      <c r="Q241">
        <v>664519364</v>
      </c>
      <c r="R241" t="s">
        <v>1089</v>
      </c>
      <c r="S241" t="s">
        <v>63</v>
      </c>
      <c r="T241" t="s">
        <v>64</v>
      </c>
      <c r="U241" t="s">
        <v>8684</v>
      </c>
      <c r="W241" s="26">
        <v>45536</v>
      </c>
      <c r="X241" t="s">
        <v>61</v>
      </c>
      <c r="Y241" t="s">
        <v>237</v>
      </c>
    </row>
    <row r="242" spans="1:25" x14ac:dyDescent="0.25">
      <c r="A242" t="s">
        <v>1093</v>
      </c>
      <c r="B242">
        <v>11</v>
      </c>
      <c r="C242">
        <v>77</v>
      </c>
      <c r="D242">
        <v>9105</v>
      </c>
      <c r="E242" t="s">
        <v>124</v>
      </c>
      <c r="F242" t="s">
        <v>555</v>
      </c>
      <c r="G242" t="s">
        <v>1094</v>
      </c>
      <c r="H242" s="26">
        <v>20146</v>
      </c>
      <c r="I242" t="s">
        <v>58</v>
      </c>
      <c r="J242" t="s">
        <v>1095</v>
      </c>
      <c r="M242">
        <v>77190</v>
      </c>
      <c r="N242" t="s">
        <v>1096</v>
      </c>
      <c r="O242" t="s">
        <v>61</v>
      </c>
      <c r="P242">
        <v>164790501</v>
      </c>
      <c r="Q242">
        <v>652667303</v>
      </c>
      <c r="R242" t="s">
        <v>1097</v>
      </c>
      <c r="S242" t="s">
        <v>63</v>
      </c>
      <c r="T242" t="s">
        <v>64</v>
      </c>
      <c r="U242" t="s">
        <v>65</v>
      </c>
      <c r="V242" t="s">
        <v>111</v>
      </c>
      <c r="W242" s="26">
        <v>45538</v>
      </c>
      <c r="X242" t="s">
        <v>61</v>
      </c>
      <c r="Y242" t="s">
        <v>237</v>
      </c>
    </row>
    <row r="243" spans="1:25" x14ac:dyDescent="0.25">
      <c r="A243" t="s">
        <v>1098</v>
      </c>
      <c r="B243">
        <v>11</v>
      </c>
      <c r="C243">
        <v>77</v>
      </c>
      <c r="D243">
        <v>9059</v>
      </c>
      <c r="E243" t="s">
        <v>197</v>
      </c>
      <c r="F243" t="s">
        <v>1099</v>
      </c>
      <c r="G243" t="s">
        <v>1100</v>
      </c>
      <c r="H243" s="26">
        <v>18624</v>
      </c>
      <c r="I243" t="s">
        <v>58</v>
      </c>
      <c r="J243" t="s">
        <v>1101</v>
      </c>
      <c r="M243">
        <v>94510</v>
      </c>
      <c r="N243" t="s">
        <v>1102</v>
      </c>
      <c r="O243" t="s">
        <v>61</v>
      </c>
      <c r="P243">
        <v>145932146</v>
      </c>
      <c r="R243" t="s">
        <v>1103</v>
      </c>
      <c r="S243" t="s">
        <v>63</v>
      </c>
      <c r="T243" t="s">
        <v>64</v>
      </c>
      <c r="U243" t="s">
        <v>65</v>
      </c>
      <c r="W243" s="26">
        <v>45542</v>
      </c>
      <c r="X243" t="s">
        <v>61</v>
      </c>
      <c r="Y243" t="s">
        <v>237</v>
      </c>
    </row>
    <row r="244" spans="1:25" x14ac:dyDescent="0.25">
      <c r="A244" t="s">
        <v>1104</v>
      </c>
      <c r="B244">
        <v>11</v>
      </c>
      <c r="C244">
        <v>77</v>
      </c>
      <c r="D244">
        <v>9028</v>
      </c>
      <c r="E244" t="s">
        <v>452</v>
      </c>
      <c r="F244" t="s">
        <v>480</v>
      </c>
      <c r="G244" t="s">
        <v>1105</v>
      </c>
      <c r="H244" s="26">
        <v>23408</v>
      </c>
      <c r="I244" t="s">
        <v>58</v>
      </c>
      <c r="J244" t="s">
        <v>1106</v>
      </c>
      <c r="M244">
        <v>77370</v>
      </c>
      <c r="N244" t="s">
        <v>1107</v>
      </c>
      <c r="O244" t="s">
        <v>61</v>
      </c>
      <c r="P244">
        <v>683264132</v>
      </c>
      <c r="R244" t="s">
        <v>1108</v>
      </c>
      <c r="S244" t="s">
        <v>63</v>
      </c>
      <c r="T244" t="s">
        <v>64</v>
      </c>
      <c r="U244" t="s">
        <v>65</v>
      </c>
      <c r="W244" s="26">
        <v>45545</v>
      </c>
      <c r="X244" t="s">
        <v>61</v>
      </c>
      <c r="Y244" t="s">
        <v>237</v>
      </c>
    </row>
    <row r="245" spans="1:25" x14ac:dyDescent="0.25">
      <c r="A245" t="s">
        <v>1109</v>
      </c>
      <c r="B245">
        <v>11</v>
      </c>
      <c r="C245">
        <v>91</v>
      </c>
      <c r="D245">
        <v>9095</v>
      </c>
      <c r="E245" t="s">
        <v>113</v>
      </c>
      <c r="F245" t="s">
        <v>100</v>
      </c>
      <c r="G245" t="s">
        <v>1110</v>
      </c>
      <c r="H245" s="26">
        <v>20974</v>
      </c>
      <c r="I245" t="s">
        <v>58</v>
      </c>
      <c r="J245" t="s">
        <v>1111</v>
      </c>
      <c r="M245">
        <v>91530</v>
      </c>
      <c r="N245" t="s">
        <v>1112</v>
      </c>
      <c r="O245" t="s">
        <v>61</v>
      </c>
      <c r="P245">
        <v>164589409</v>
      </c>
      <c r="Q245">
        <v>647342769</v>
      </c>
      <c r="R245" t="s">
        <v>1113</v>
      </c>
      <c r="S245" t="s">
        <v>63</v>
      </c>
      <c r="T245" t="s">
        <v>64</v>
      </c>
      <c r="U245" t="s">
        <v>65</v>
      </c>
      <c r="V245" t="s">
        <v>111</v>
      </c>
      <c r="W245" s="26">
        <v>45551</v>
      </c>
      <c r="X245" t="s">
        <v>61</v>
      </c>
      <c r="Y245" t="s">
        <v>237</v>
      </c>
    </row>
    <row r="246" spans="1:25" x14ac:dyDescent="0.25">
      <c r="A246" t="s">
        <v>1114</v>
      </c>
      <c r="B246">
        <v>11</v>
      </c>
      <c r="C246">
        <v>95</v>
      </c>
      <c r="D246">
        <v>9069</v>
      </c>
      <c r="E246" t="s">
        <v>129</v>
      </c>
      <c r="F246" t="s">
        <v>91</v>
      </c>
      <c r="G246" t="s">
        <v>1115</v>
      </c>
      <c r="H246" s="26">
        <v>14841</v>
      </c>
      <c r="I246" t="s">
        <v>58</v>
      </c>
      <c r="J246" t="s">
        <v>1116</v>
      </c>
      <c r="M246">
        <v>95110</v>
      </c>
      <c r="N246" t="s">
        <v>1117</v>
      </c>
      <c r="O246" t="s">
        <v>61</v>
      </c>
      <c r="P246">
        <v>134103092</v>
      </c>
      <c r="R246" t="s">
        <v>1118</v>
      </c>
      <c r="S246" t="s">
        <v>63</v>
      </c>
      <c r="T246" t="s">
        <v>64</v>
      </c>
      <c r="U246" t="s">
        <v>65</v>
      </c>
      <c r="W246" s="26">
        <v>45548</v>
      </c>
      <c r="X246" t="s">
        <v>61</v>
      </c>
      <c r="Y246" t="s">
        <v>237</v>
      </c>
    </row>
    <row r="247" spans="1:25" x14ac:dyDescent="0.25">
      <c r="A247" t="s">
        <v>1119</v>
      </c>
      <c r="B247">
        <v>11</v>
      </c>
      <c r="C247">
        <v>95</v>
      </c>
      <c r="D247">
        <v>9061</v>
      </c>
      <c r="E247" t="s">
        <v>360</v>
      </c>
      <c r="F247" t="s">
        <v>820</v>
      </c>
      <c r="G247" t="s">
        <v>1120</v>
      </c>
      <c r="H247" s="26">
        <v>25183</v>
      </c>
      <c r="I247" t="s">
        <v>58</v>
      </c>
      <c r="J247" t="s">
        <v>1121</v>
      </c>
      <c r="M247">
        <v>95630</v>
      </c>
      <c r="N247" t="s">
        <v>1122</v>
      </c>
      <c r="O247" t="s">
        <v>61</v>
      </c>
      <c r="Q247">
        <v>674831912</v>
      </c>
      <c r="R247" t="s">
        <v>1123</v>
      </c>
      <c r="S247" t="s">
        <v>63</v>
      </c>
      <c r="T247" t="s">
        <v>64</v>
      </c>
      <c r="U247" t="s">
        <v>65</v>
      </c>
      <c r="W247" s="26">
        <v>45558</v>
      </c>
      <c r="X247" t="s">
        <v>61</v>
      </c>
      <c r="Y247" t="s">
        <v>237</v>
      </c>
    </row>
    <row r="248" spans="1:25" x14ac:dyDescent="0.25">
      <c r="A248" t="s">
        <v>1124</v>
      </c>
      <c r="B248">
        <v>11</v>
      </c>
      <c r="C248">
        <v>95</v>
      </c>
      <c r="D248">
        <v>9061</v>
      </c>
      <c r="E248" t="s">
        <v>360</v>
      </c>
      <c r="F248" t="s">
        <v>217</v>
      </c>
      <c r="G248" t="s">
        <v>91</v>
      </c>
      <c r="H248" s="26">
        <v>24853</v>
      </c>
      <c r="I248" t="s">
        <v>58</v>
      </c>
      <c r="J248" t="s">
        <v>1125</v>
      </c>
      <c r="M248">
        <v>95000</v>
      </c>
      <c r="N248" t="s">
        <v>77</v>
      </c>
      <c r="O248" t="s">
        <v>61</v>
      </c>
      <c r="P248">
        <v>951224230</v>
      </c>
      <c r="Q248">
        <v>632923982</v>
      </c>
      <c r="S248" t="s">
        <v>63</v>
      </c>
      <c r="T248" t="s">
        <v>64</v>
      </c>
      <c r="U248" t="s">
        <v>65</v>
      </c>
      <c r="W248" s="26">
        <v>45548</v>
      </c>
      <c r="X248" t="s">
        <v>61</v>
      </c>
      <c r="Y248" t="s">
        <v>237</v>
      </c>
    </row>
    <row r="249" spans="1:25" x14ac:dyDescent="0.25">
      <c r="A249" t="s">
        <v>1126</v>
      </c>
      <c r="B249">
        <v>11</v>
      </c>
      <c r="C249">
        <v>95</v>
      </c>
      <c r="D249">
        <v>9061</v>
      </c>
      <c r="E249" t="s">
        <v>360</v>
      </c>
      <c r="F249" t="s">
        <v>85</v>
      </c>
      <c r="G249" t="s">
        <v>1127</v>
      </c>
      <c r="H249" s="26">
        <v>21726</v>
      </c>
      <c r="I249" t="s">
        <v>58</v>
      </c>
      <c r="J249" t="s">
        <v>1128</v>
      </c>
      <c r="M249">
        <v>27140</v>
      </c>
      <c r="N249" t="s">
        <v>1129</v>
      </c>
      <c r="O249" t="s">
        <v>61</v>
      </c>
      <c r="P249">
        <v>232157073</v>
      </c>
      <c r="Q249">
        <v>607057496</v>
      </c>
      <c r="R249" t="s">
        <v>8754</v>
      </c>
      <c r="S249" t="s">
        <v>237</v>
      </c>
      <c r="T249" t="s">
        <v>64</v>
      </c>
      <c r="U249" t="s">
        <v>65</v>
      </c>
      <c r="W249" s="26">
        <v>45548</v>
      </c>
      <c r="X249" t="s">
        <v>61</v>
      </c>
      <c r="Y249" t="s">
        <v>237</v>
      </c>
    </row>
    <row r="250" spans="1:25" x14ac:dyDescent="0.25">
      <c r="A250" t="s">
        <v>1130</v>
      </c>
      <c r="B250">
        <v>11</v>
      </c>
      <c r="C250">
        <v>94</v>
      </c>
      <c r="D250">
        <v>9024</v>
      </c>
      <c r="E250" t="s">
        <v>4</v>
      </c>
      <c r="F250" t="s">
        <v>1131</v>
      </c>
      <c r="G250" t="s">
        <v>1132</v>
      </c>
      <c r="H250" s="26">
        <v>25395</v>
      </c>
      <c r="I250" t="s">
        <v>58</v>
      </c>
      <c r="J250" t="s">
        <v>1133</v>
      </c>
      <c r="M250">
        <v>94100</v>
      </c>
      <c r="N250" t="s">
        <v>971</v>
      </c>
      <c r="O250" t="s">
        <v>61</v>
      </c>
      <c r="R250" t="s">
        <v>1134</v>
      </c>
      <c r="S250" t="s">
        <v>63</v>
      </c>
      <c r="T250" t="s">
        <v>64</v>
      </c>
      <c r="U250" t="s">
        <v>8684</v>
      </c>
      <c r="W250" s="26">
        <v>45538</v>
      </c>
      <c r="X250" t="s">
        <v>61</v>
      </c>
      <c r="Y250" t="s">
        <v>237</v>
      </c>
    </row>
    <row r="251" spans="1:25" x14ac:dyDescent="0.25">
      <c r="A251" t="s">
        <v>1135</v>
      </c>
      <c r="B251">
        <v>11</v>
      </c>
      <c r="C251">
        <v>95</v>
      </c>
      <c r="D251">
        <v>9069</v>
      </c>
      <c r="E251" t="s">
        <v>129</v>
      </c>
      <c r="F251" t="s">
        <v>97</v>
      </c>
      <c r="G251" t="s">
        <v>1136</v>
      </c>
      <c r="H251" s="26">
        <v>18242</v>
      </c>
      <c r="I251" t="s">
        <v>58</v>
      </c>
      <c r="J251" t="s">
        <v>1137</v>
      </c>
      <c r="M251">
        <v>95240</v>
      </c>
      <c r="N251" t="s">
        <v>1138</v>
      </c>
      <c r="O251" t="s">
        <v>61</v>
      </c>
      <c r="R251" t="s">
        <v>1139</v>
      </c>
      <c r="S251" t="s">
        <v>63</v>
      </c>
      <c r="T251" t="s">
        <v>64</v>
      </c>
      <c r="U251" t="s">
        <v>65</v>
      </c>
      <c r="W251" s="26">
        <v>45548</v>
      </c>
      <c r="X251" t="s">
        <v>61</v>
      </c>
      <c r="Y251" t="s">
        <v>237</v>
      </c>
    </row>
    <row r="252" spans="1:25" x14ac:dyDescent="0.25">
      <c r="A252" t="s">
        <v>1140</v>
      </c>
      <c r="B252">
        <v>11</v>
      </c>
      <c r="C252">
        <v>75</v>
      </c>
      <c r="D252">
        <v>9070</v>
      </c>
      <c r="E252" t="s">
        <v>168</v>
      </c>
      <c r="F252" t="s">
        <v>183</v>
      </c>
      <c r="G252" t="s">
        <v>1141</v>
      </c>
      <c r="H252" s="26">
        <v>24816</v>
      </c>
      <c r="I252" t="s">
        <v>58</v>
      </c>
      <c r="J252" t="s">
        <v>1142</v>
      </c>
      <c r="M252">
        <v>75015</v>
      </c>
      <c r="N252" t="s">
        <v>330</v>
      </c>
      <c r="O252" t="s">
        <v>61</v>
      </c>
      <c r="Q252">
        <v>608093753</v>
      </c>
      <c r="R252" t="s">
        <v>1143</v>
      </c>
      <c r="S252" t="s">
        <v>63</v>
      </c>
      <c r="T252" t="s">
        <v>64</v>
      </c>
      <c r="U252" t="s">
        <v>8684</v>
      </c>
      <c r="W252" s="26">
        <v>45558</v>
      </c>
      <c r="X252" t="s">
        <v>61</v>
      </c>
      <c r="Y252" t="s">
        <v>237</v>
      </c>
    </row>
    <row r="253" spans="1:25" x14ac:dyDescent="0.25">
      <c r="A253" t="s">
        <v>1144</v>
      </c>
      <c r="B253">
        <v>11</v>
      </c>
      <c r="C253">
        <v>75</v>
      </c>
      <c r="D253">
        <v>9070</v>
      </c>
      <c r="E253" t="s">
        <v>168</v>
      </c>
      <c r="F253" t="s">
        <v>916</v>
      </c>
      <c r="G253" t="s">
        <v>1145</v>
      </c>
      <c r="H253" s="26">
        <v>25076</v>
      </c>
      <c r="I253" t="s">
        <v>58</v>
      </c>
      <c r="J253" t="s">
        <v>1146</v>
      </c>
      <c r="M253">
        <v>75018</v>
      </c>
      <c r="N253" t="s">
        <v>330</v>
      </c>
      <c r="O253" t="s">
        <v>61</v>
      </c>
      <c r="Q253">
        <v>608720230</v>
      </c>
      <c r="R253" t="s">
        <v>1147</v>
      </c>
      <c r="S253" t="s">
        <v>237</v>
      </c>
      <c r="T253" t="s">
        <v>64</v>
      </c>
      <c r="U253" t="s">
        <v>8684</v>
      </c>
      <c r="W253" s="26">
        <v>45545</v>
      </c>
      <c r="X253" t="s">
        <v>61</v>
      </c>
      <c r="Y253" t="s">
        <v>237</v>
      </c>
    </row>
    <row r="254" spans="1:25" x14ac:dyDescent="0.25">
      <c r="A254" t="s">
        <v>1148</v>
      </c>
      <c r="B254">
        <v>11</v>
      </c>
      <c r="C254">
        <v>75</v>
      </c>
      <c r="D254">
        <v>9070</v>
      </c>
      <c r="E254" t="s">
        <v>168</v>
      </c>
      <c r="F254" t="s">
        <v>1149</v>
      </c>
      <c r="G254" t="s">
        <v>1150</v>
      </c>
      <c r="H254" s="26">
        <v>26843</v>
      </c>
      <c r="I254" t="s">
        <v>58</v>
      </c>
      <c r="J254" t="s">
        <v>1151</v>
      </c>
      <c r="M254">
        <v>93300</v>
      </c>
      <c r="N254" t="s">
        <v>1152</v>
      </c>
      <c r="O254" t="s">
        <v>61</v>
      </c>
      <c r="Q254">
        <v>619344407</v>
      </c>
      <c r="R254" t="s">
        <v>1153</v>
      </c>
      <c r="S254" t="s">
        <v>63</v>
      </c>
      <c r="T254" t="s">
        <v>64</v>
      </c>
      <c r="U254" t="s">
        <v>8684</v>
      </c>
      <c r="V254" t="s">
        <v>111</v>
      </c>
      <c r="W254" s="26">
        <v>45539</v>
      </c>
      <c r="X254" t="s">
        <v>61</v>
      </c>
      <c r="Y254" t="s">
        <v>237</v>
      </c>
    </row>
    <row r="255" spans="1:25" x14ac:dyDescent="0.25">
      <c r="A255" t="s">
        <v>1154</v>
      </c>
      <c r="B255">
        <v>11</v>
      </c>
      <c r="C255">
        <v>95</v>
      </c>
      <c r="D255">
        <v>9010</v>
      </c>
      <c r="E255" t="s">
        <v>6</v>
      </c>
      <c r="F255" t="s">
        <v>85</v>
      </c>
      <c r="G255" t="s">
        <v>1155</v>
      </c>
      <c r="H255" s="26">
        <v>23428</v>
      </c>
      <c r="I255" t="s">
        <v>58</v>
      </c>
      <c r="J255" t="s">
        <v>1156</v>
      </c>
      <c r="M255">
        <v>92150</v>
      </c>
      <c r="N255" t="s">
        <v>485</v>
      </c>
      <c r="O255" t="s">
        <v>61</v>
      </c>
      <c r="P255">
        <v>669550969</v>
      </c>
      <c r="R255" t="s">
        <v>1157</v>
      </c>
      <c r="S255" t="s">
        <v>63</v>
      </c>
      <c r="T255" t="s">
        <v>64</v>
      </c>
      <c r="U255" t="s">
        <v>486</v>
      </c>
      <c r="W255" s="26">
        <v>45526</v>
      </c>
      <c r="X255" t="s">
        <v>61</v>
      </c>
      <c r="Y255" t="s">
        <v>237</v>
      </c>
    </row>
    <row r="256" spans="1:25" x14ac:dyDescent="0.25">
      <c r="A256" t="s">
        <v>1158</v>
      </c>
      <c r="B256">
        <v>11</v>
      </c>
      <c r="C256">
        <v>78</v>
      </c>
      <c r="D256">
        <v>9130</v>
      </c>
      <c r="E256" t="s">
        <v>1159</v>
      </c>
      <c r="F256" t="s">
        <v>816</v>
      </c>
      <c r="G256" t="s">
        <v>1160</v>
      </c>
      <c r="H256" s="26">
        <v>25903</v>
      </c>
      <c r="I256" t="s">
        <v>58</v>
      </c>
      <c r="J256" t="s">
        <v>1161</v>
      </c>
      <c r="M256">
        <v>78180</v>
      </c>
      <c r="N256" t="s">
        <v>1162</v>
      </c>
      <c r="O256" t="s">
        <v>61</v>
      </c>
      <c r="P256">
        <v>130489528</v>
      </c>
      <c r="Q256">
        <v>608997228</v>
      </c>
      <c r="R256" t="s">
        <v>1163</v>
      </c>
      <c r="S256" t="s">
        <v>63</v>
      </c>
      <c r="T256" t="s">
        <v>64</v>
      </c>
      <c r="U256" t="s">
        <v>486</v>
      </c>
      <c r="V256" t="s">
        <v>111</v>
      </c>
      <c r="W256" s="26">
        <v>45533</v>
      </c>
      <c r="X256" t="s">
        <v>61</v>
      </c>
      <c r="Y256" t="s">
        <v>237</v>
      </c>
    </row>
    <row r="257" spans="1:25" x14ac:dyDescent="0.25">
      <c r="A257" t="s">
        <v>1164</v>
      </c>
      <c r="B257">
        <v>11</v>
      </c>
      <c r="C257">
        <v>78</v>
      </c>
      <c r="D257">
        <v>9101</v>
      </c>
      <c r="E257" t="s">
        <v>1165</v>
      </c>
      <c r="F257" t="s">
        <v>1166</v>
      </c>
      <c r="G257" t="s">
        <v>1167</v>
      </c>
      <c r="H257" s="26">
        <v>28804</v>
      </c>
      <c r="I257" t="s">
        <v>58</v>
      </c>
      <c r="J257" t="s">
        <v>1168</v>
      </c>
      <c r="M257">
        <v>69400</v>
      </c>
      <c r="N257" t="s">
        <v>1169</v>
      </c>
      <c r="O257" t="s">
        <v>61</v>
      </c>
      <c r="Q257">
        <v>751630469</v>
      </c>
      <c r="R257" t="s">
        <v>1170</v>
      </c>
      <c r="S257" t="s">
        <v>63</v>
      </c>
      <c r="T257" t="s">
        <v>64</v>
      </c>
      <c r="U257" t="s">
        <v>486</v>
      </c>
      <c r="W257" s="26">
        <v>45525</v>
      </c>
      <c r="X257" t="s">
        <v>61</v>
      </c>
      <c r="Y257" t="s">
        <v>237</v>
      </c>
    </row>
    <row r="258" spans="1:25" x14ac:dyDescent="0.25">
      <c r="A258" t="s">
        <v>1171</v>
      </c>
      <c r="B258">
        <v>11</v>
      </c>
      <c r="C258">
        <v>77</v>
      </c>
      <c r="D258">
        <v>9049</v>
      </c>
      <c r="E258" t="s">
        <v>902</v>
      </c>
      <c r="F258" t="s">
        <v>1172</v>
      </c>
      <c r="G258" t="s">
        <v>1173</v>
      </c>
      <c r="H258" s="26">
        <v>27357</v>
      </c>
      <c r="I258" t="s">
        <v>58</v>
      </c>
      <c r="J258" t="s">
        <v>1174</v>
      </c>
      <c r="M258">
        <v>77640</v>
      </c>
      <c r="N258" t="s">
        <v>1175</v>
      </c>
      <c r="O258" t="s">
        <v>61</v>
      </c>
      <c r="R258" t="s">
        <v>1176</v>
      </c>
      <c r="S258" t="s">
        <v>63</v>
      </c>
      <c r="T258" t="s">
        <v>64</v>
      </c>
      <c r="U258" t="s">
        <v>65</v>
      </c>
      <c r="W258" s="26">
        <v>45524</v>
      </c>
      <c r="X258" t="s">
        <v>61</v>
      </c>
      <c r="Y258" t="s">
        <v>237</v>
      </c>
    </row>
    <row r="259" spans="1:25" x14ac:dyDescent="0.25">
      <c r="A259" t="s">
        <v>8755</v>
      </c>
      <c r="B259">
        <v>11</v>
      </c>
      <c r="C259">
        <v>78</v>
      </c>
      <c r="D259">
        <v>9130</v>
      </c>
      <c r="E259" t="s">
        <v>1159</v>
      </c>
      <c r="F259" t="s">
        <v>442</v>
      </c>
      <c r="G259" t="s">
        <v>8756</v>
      </c>
      <c r="H259" s="26">
        <v>26587</v>
      </c>
      <c r="I259" t="s">
        <v>58</v>
      </c>
      <c r="J259" t="s">
        <v>8757</v>
      </c>
      <c r="M259">
        <v>92380</v>
      </c>
      <c r="N259" t="s">
        <v>2966</v>
      </c>
      <c r="O259" t="s">
        <v>61</v>
      </c>
      <c r="Q259">
        <v>668544444</v>
      </c>
      <c r="R259" t="s">
        <v>8758</v>
      </c>
      <c r="S259" t="s">
        <v>63</v>
      </c>
      <c r="T259" t="s">
        <v>64</v>
      </c>
      <c r="U259" t="s">
        <v>486</v>
      </c>
      <c r="W259" s="26">
        <v>45532</v>
      </c>
      <c r="X259" t="s">
        <v>61</v>
      </c>
      <c r="Y259" t="s">
        <v>237</v>
      </c>
    </row>
    <row r="260" spans="1:25" x14ac:dyDescent="0.25">
      <c r="A260" t="s">
        <v>1177</v>
      </c>
      <c r="B260">
        <v>11</v>
      </c>
      <c r="C260">
        <v>91</v>
      </c>
      <c r="D260">
        <v>9064</v>
      </c>
      <c r="E260" t="s">
        <v>266</v>
      </c>
      <c r="F260" t="s">
        <v>1178</v>
      </c>
      <c r="G260" t="s">
        <v>1179</v>
      </c>
      <c r="H260" s="26">
        <v>13293</v>
      </c>
      <c r="I260" t="s">
        <v>58</v>
      </c>
      <c r="J260" t="s">
        <v>1180</v>
      </c>
      <c r="M260">
        <v>91300</v>
      </c>
      <c r="N260" t="s">
        <v>675</v>
      </c>
      <c r="O260" t="s">
        <v>61</v>
      </c>
      <c r="Q260">
        <v>641872452</v>
      </c>
      <c r="R260" t="s">
        <v>1181</v>
      </c>
      <c r="S260" t="s">
        <v>63</v>
      </c>
      <c r="T260" t="s">
        <v>64</v>
      </c>
      <c r="U260" t="s">
        <v>65</v>
      </c>
      <c r="W260" s="26">
        <v>45539</v>
      </c>
      <c r="X260" t="s">
        <v>61</v>
      </c>
      <c r="Y260" t="s">
        <v>237</v>
      </c>
    </row>
    <row r="261" spans="1:25" x14ac:dyDescent="0.25">
      <c r="A261" t="s">
        <v>1182</v>
      </c>
      <c r="B261">
        <v>11</v>
      </c>
      <c r="C261">
        <v>93</v>
      </c>
      <c r="D261">
        <v>9122</v>
      </c>
      <c r="E261" t="s">
        <v>1030</v>
      </c>
      <c r="F261" t="s">
        <v>160</v>
      </c>
      <c r="G261" t="s">
        <v>1183</v>
      </c>
      <c r="H261" s="26">
        <v>26614</v>
      </c>
      <c r="I261" t="s">
        <v>58</v>
      </c>
      <c r="J261" t="s">
        <v>1184</v>
      </c>
      <c r="M261">
        <v>93320</v>
      </c>
      <c r="N261" t="s">
        <v>1185</v>
      </c>
      <c r="O261" t="s">
        <v>61</v>
      </c>
      <c r="Q261">
        <v>688976800</v>
      </c>
      <c r="R261" t="s">
        <v>1186</v>
      </c>
      <c r="S261" t="s">
        <v>63</v>
      </c>
      <c r="T261" t="s">
        <v>64</v>
      </c>
      <c r="U261" t="s">
        <v>8684</v>
      </c>
      <c r="W261" s="26">
        <v>45530</v>
      </c>
      <c r="X261" t="s">
        <v>61</v>
      </c>
      <c r="Y261" t="s">
        <v>237</v>
      </c>
    </row>
    <row r="262" spans="1:25" x14ac:dyDescent="0.25">
      <c r="A262" t="s">
        <v>11173</v>
      </c>
      <c r="B262">
        <v>11</v>
      </c>
      <c r="C262">
        <v>78</v>
      </c>
      <c r="D262">
        <v>9002</v>
      </c>
      <c r="E262" t="s">
        <v>558</v>
      </c>
      <c r="F262" t="s">
        <v>120</v>
      </c>
      <c r="G262" t="s">
        <v>11174</v>
      </c>
      <c r="H262" s="26">
        <v>13157</v>
      </c>
      <c r="I262" t="s">
        <v>58</v>
      </c>
      <c r="J262" t="s">
        <v>1187</v>
      </c>
      <c r="K262" t="s">
        <v>11175</v>
      </c>
      <c r="M262">
        <v>78270</v>
      </c>
      <c r="N262" t="s">
        <v>11176</v>
      </c>
      <c r="O262" t="s">
        <v>61</v>
      </c>
      <c r="P262">
        <v>130930075</v>
      </c>
      <c r="Q262">
        <v>689296728</v>
      </c>
      <c r="R262" t="s">
        <v>11177</v>
      </c>
      <c r="S262" t="s">
        <v>63</v>
      </c>
      <c r="T262" t="s">
        <v>64</v>
      </c>
      <c r="U262" t="s">
        <v>65</v>
      </c>
      <c r="W262" s="26">
        <v>45588</v>
      </c>
      <c r="X262" t="s">
        <v>61</v>
      </c>
      <c r="Y262" t="s">
        <v>237</v>
      </c>
    </row>
    <row r="263" spans="1:25" x14ac:dyDescent="0.25">
      <c r="A263" t="s">
        <v>1188</v>
      </c>
      <c r="B263">
        <v>11</v>
      </c>
      <c r="C263">
        <v>92</v>
      </c>
      <c r="D263">
        <v>9065</v>
      </c>
      <c r="E263" t="s">
        <v>426</v>
      </c>
      <c r="F263" t="s">
        <v>12</v>
      </c>
      <c r="G263" t="s">
        <v>1189</v>
      </c>
      <c r="H263" s="26">
        <v>28250</v>
      </c>
      <c r="I263" t="s">
        <v>58</v>
      </c>
      <c r="J263" t="s">
        <v>1190</v>
      </c>
      <c r="M263">
        <v>78320</v>
      </c>
      <c r="N263" t="s">
        <v>1191</v>
      </c>
      <c r="O263" t="s">
        <v>61</v>
      </c>
      <c r="Q263">
        <v>648109579</v>
      </c>
      <c r="R263" t="s">
        <v>1192</v>
      </c>
      <c r="S263" t="s">
        <v>63</v>
      </c>
      <c r="T263" t="s">
        <v>64</v>
      </c>
      <c r="U263" t="s">
        <v>486</v>
      </c>
      <c r="W263" s="26">
        <v>45529</v>
      </c>
      <c r="X263" t="s">
        <v>61</v>
      </c>
      <c r="Y263" t="s">
        <v>237</v>
      </c>
    </row>
    <row r="264" spans="1:25" x14ac:dyDescent="0.25">
      <c r="A264" t="s">
        <v>1193</v>
      </c>
      <c r="B264">
        <v>11</v>
      </c>
      <c r="C264">
        <v>78</v>
      </c>
      <c r="D264">
        <v>9030</v>
      </c>
      <c r="E264" t="s">
        <v>96</v>
      </c>
      <c r="F264" t="s">
        <v>327</v>
      </c>
      <c r="G264" t="s">
        <v>1194</v>
      </c>
      <c r="H264" s="26">
        <v>17667</v>
      </c>
      <c r="I264" t="s">
        <v>58</v>
      </c>
      <c r="J264" t="s">
        <v>1195</v>
      </c>
      <c r="M264">
        <v>78990</v>
      </c>
      <c r="N264" t="s">
        <v>465</v>
      </c>
      <c r="O264" t="s">
        <v>61</v>
      </c>
      <c r="P264">
        <v>979064731</v>
      </c>
      <c r="Q264">
        <v>660993262</v>
      </c>
      <c r="R264" t="s">
        <v>1196</v>
      </c>
      <c r="S264" t="s">
        <v>63</v>
      </c>
      <c r="T264" t="s">
        <v>64</v>
      </c>
      <c r="U264" t="s">
        <v>65</v>
      </c>
      <c r="V264" t="s">
        <v>111</v>
      </c>
      <c r="W264" s="26">
        <v>45544</v>
      </c>
      <c r="X264" t="s">
        <v>61</v>
      </c>
      <c r="Y264" t="s">
        <v>237</v>
      </c>
    </row>
    <row r="265" spans="1:25" x14ac:dyDescent="0.25">
      <c r="A265" t="s">
        <v>1197</v>
      </c>
      <c r="B265">
        <v>11</v>
      </c>
      <c r="C265">
        <v>78</v>
      </c>
      <c r="D265">
        <v>9030</v>
      </c>
      <c r="E265" t="s">
        <v>96</v>
      </c>
      <c r="F265" t="s">
        <v>100</v>
      </c>
      <c r="G265" t="s">
        <v>1198</v>
      </c>
      <c r="H265" s="26">
        <v>20918</v>
      </c>
      <c r="I265" t="s">
        <v>58</v>
      </c>
      <c r="J265" t="s">
        <v>1199</v>
      </c>
      <c r="M265">
        <v>78340</v>
      </c>
      <c r="N265" t="s">
        <v>620</v>
      </c>
      <c r="O265" t="s">
        <v>61</v>
      </c>
      <c r="P265">
        <v>130547321</v>
      </c>
      <c r="Q265">
        <v>606404964</v>
      </c>
      <c r="R265" t="s">
        <v>1200</v>
      </c>
      <c r="S265" t="s">
        <v>63</v>
      </c>
      <c r="T265" t="s">
        <v>64</v>
      </c>
      <c r="U265" t="s">
        <v>65</v>
      </c>
      <c r="W265" s="26">
        <v>45539</v>
      </c>
      <c r="X265" t="s">
        <v>61</v>
      </c>
      <c r="Y265" t="s">
        <v>237</v>
      </c>
    </row>
    <row r="266" spans="1:25" x14ac:dyDescent="0.25">
      <c r="A266" t="s">
        <v>1201</v>
      </c>
      <c r="B266">
        <v>11</v>
      </c>
      <c r="C266">
        <v>78</v>
      </c>
      <c r="D266">
        <v>9101</v>
      </c>
      <c r="E266" t="s">
        <v>1165</v>
      </c>
      <c r="F266" t="s">
        <v>1202</v>
      </c>
      <c r="G266" t="s">
        <v>1203</v>
      </c>
      <c r="H266" s="26">
        <v>31327</v>
      </c>
      <c r="I266" t="s">
        <v>58</v>
      </c>
      <c r="J266" t="s">
        <v>1204</v>
      </c>
      <c r="M266">
        <v>78330</v>
      </c>
      <c r="N266" t="s">
        <v>1205</v>
      </c>
      <c r="O266" t="s">
        <v>61</v>
      </c>
      <c r="Q266">
        <v>610903979</v>
      </c>
      <c r="R266" t="s">
        <v>1206</v>
      </c>
      <c r="S266" t="s">
        <v>63</v>
      </c>
      <c r="T266" t="s">
        <v>64</v>
      </c>
      <c r="U266" t="s">
        <v>486</v>
      </c>
      <c r="V266" t="s">
        <v>111</v>
      </c>
      <c r="W266" s="26">
        <v>45525</v>
      </c>
      <c r="X266" t="s">
        <v>61</v>
      </c>
      <c r="Y266" t="s">
        <v>237</v>
      </c>
    </row>
    <row r="267" spans="1:25" x14ac:dyDescent="0.25">
      <c r="A267" t="s">
        <v>1207</v>
      </c>
      <c r="B267">
        <v>11</v>
      </c>
      <c r="C267">
        <v>78</v>
      </c>
      <c r="D267">
        <v>9084</v>
      </c>
      <c r="E267" t="s">
        <v>216</v>
      </c>
      <c r="F267" t="s">
        <v>13</v>
      </c>
      <c r="G267" t="s">
        <v>10379</v>
      </c>
      <c r="H267" s="26">
        <v>18669</v>
      </c>
      <c r="I267" t="s">
        <v>58</v>
      </c>
      <c r="J267" t="s">
        <v>10380</v>
      </c>
      <c r="M267">
        <v>78270</v>
      </c>
      <c r="N267" t="s">
        <v>10381</v>
      </c>
      <c r="O267" t="s">
        <v>61</v>
      </c>
      <c r="P267">
        <v>134760366</v>
      </c>
      <c r="Q267">
        <v>675159629</v>
      </c>
      <c r="R267" t="s">
        <v>1208</v>
      </c>
      <c r="S267" t="s">
        <v>63</v>
      </c>
      <c r="T267" t="s">
        <v>64</v>
      </c>
      <c r="U267" t="s">
        <v>65</v>
      </c>
      <c r="V267" t="s">
        <v>111</v>
      </c>
      <c r="W267" s="26">
        <v>45575</v>
      </c>
      <c r="X267" t="s">
        <v>61</v>
      </c>
      <c r="Y267" t="s">
        <v>237</v>
      </c>
    </row>
    <row r="268" spans="1:25" x14ac:dyDescent="0.25">
      <c r="A268" t="s">
        <v>1209</v>
      </c>
      <c r="B268">
        <v>11</v>
      </c>
      <c r="C268">
        <v>78</v>
      </c>
      <c r="D268">
        <v>9084</v>
      </c>
      <c r="E268" t="s">
        <v>216</v>
      </c>
      <c r="F268" t="s">
        <v>91</v>
      </c>
      <c r="G268" t="s">
        <v>1210</v>
      </c>
      <c r="H268" s="26">
        <v>14104</v>
      </c>
      <c r="I268" t="s">
        <v>58</v>
      </c>
      <c r="J268" t="s">
        <v>1211</v>
      </c>
      <c r="M268">
        <v>78250</v>
      </c>
      <c r="N268" t="s">
        <v>1212</v>
      </c>
      <c r="O268" t="s">
        <v>61</v>
      </c>
      <c r="P268">
        <v>134748291</v>
      </c>
      <c r="R268" t="s">
        <v>1213</v>
      </c>
      <c r="S268" t="s">
        <v>63</v>
      </c>
      <c r="T268" t="s">
        <v>64</v>
      </c>
      <c r="U268" t="s">
        <v>65</v>
      </c>
      <c r="W268" s="26">
        <v>45545</v>
      </c>
      <c r="X268" t="s">
        <v>61</v>
      </c>
      <c r="Y268" t="s">
        <v>237</v>
      </c>
    </row>
    <row r="269" spans="1:25" x14ac:dyDescent="0.25">
      <c r="A269" t="s">
        <v>1214</v>
      </c>
      <c r="B269">
        <v>11</v>
      </c>
      <c r="C269">
        <v>94</v>
      </c>
      <c r="D269">
        <v>9024</v>
      </c>
      <c r="E269" t="s">
        <v>4</v>
      </c>
      <c r="F269" t="s">
        <v>187</v>
      </c>
      <c r="G269" t="s">
        <v>1215</v>
      </c>
      <c r="H269" s="26">
        <v>14694</v>
      </c>
      <c r="I269" t="s">
        <v>58</v>
      </c>
      <c r="J269" t="s">
        <v>1216</v>
      </c>
      <c r="M269">
        <v>94120</v>
      </c>
      <c r="N269" t="s">
        <v>1217</v>
      </c>
      <c r="O269" t="s">
        <v>61</v>
      </c>
      <c r="Q269">
        <v>616602905</v>
      </c>
      <c r="R269" t="s">
        <v>1218</v>
      </c>
      <c r="S269" t="s">
        <v>63</v>
      </c>
      <c r="T269" t="s">
        <v>64</v>
      </c>
      <c r="U269" t="s">
        <v>65</v>
      </c>
      <c r="W269" s="26">
        <v>45559</v>
      </c>
      <c r="X269" t="s">
        <v>61</v>
      </c>
      <c r="Y269" t="s">
        <v>237</v>
      </c>
    </row>
    <row r="270" spans="1:25" x14ac:dyDescent="0.25">
      <c r="A270" t="s">
        <v>1219</v>
      </c>
      <c r="B270">
        <v>11</v>
      </c>
      <c r="C270">
        <v>78</v>
      </c>
      <c r="D270">
        <v>9130</v>
      </c>
      <c r="E270" t="s">
        <v>1159</v>
      </c>
      <c r="F270" t="s">
        <v>816</v>
      </c>
      <c r="G270" t="s">
        <v>1220</v>
      </c>
      <c r="H270" s="26">
        <v>26984</v>
      </c>
      <c r="I270" t="s">
        <v>58</v>
      </c>
      <c r="J270" t="s">
        <v>1221</v>
      </c>
      <c r="K270" t="s">
        <v>1222</v>
      </c>
      <c r="M270">
        <v>92500</v>
      </c>
      <c r="N270" t="s">
        <v>122</v>
      </c>
      <c r="O270" t="s">
        <v>61</v>
      </c>
      <c r="Q270">
        <v>623197215</v>
      </c>
      <c r="R270" t="s">
        <v>1223</v>
      </c>
      <c r="S270" t="s">
        <v>63</v>
      </c>
      <c r="T270" t="s">
        <v>64</v>
      </c>
      <c r="U270" t="s">
        <v>486</v>
      </c>
      <c r="W270" s="26">
        <v>45538</v>
      </c>
      <c r="X270" t="s">
        <v>61</v>
      </c>
      <c r="Y270" t="s">
        <v>237</v>
      </c>
    </row>
    <row r="271" spans="1:25" x14ac:dyDescent="0.25">
      <c r="A271" t="s">
        <v>1224</v>
      </c>
      <c r="B271">
        <v>11</v>
      </c>
      <c r="C271">
        <v>91</v>
      </c>
      <c r="D271">
        <v>9009</v>
      </c>
      <c r="E271" t="s">
        <v>159</v>
      </c>
      <c r="F271" t="s">
        <v>457</v>
      </c>
      <c r="G271" t="s">
        <v>1225</v>
      </c>
      <c r="H271" s="26">
        <v>20855</v>
      </c>
      <c r="I271" t="s">
        <v>58</v>
      </c>
      <c r="J271" t="s">
        <v>1226</v>
      </c>
      <c r="M271">
        <v>94800</v>
      </c>
      <c r="N271" t="s">
        <v>1227</v>
      </c>
      <c r="O271" t="s">
        <v>61</v>
      </c>
      <c r="Q271">
        <v>662318239</v>
      </c>
      <c r="R271" t="s">
        <v>1228</v>
      </c>
      <c r="S271" t="s">
        <v>63</v>
      </c>
      <c r="T271" t="s">
        <v>64</v>
      </c>
      <c r="U271" t="s">
        <v>65</v>
      </c>
      <c r="W271" s="26">
        <v>45538</v>
      </c>
      <c r="X271" t="s">
        <v>61</v>
      </c>
      <c r="Y271" t="s">
        <v>237</v>
      </c>
    </row>
    <row r="272" spans="1:25" x14ac:dyDescent="0.25">
      <c r="A272" t="s">
        <v>10382</v>
      </c>
      <c r="B272">
        <v>11</v>
      </c>
      <c r="C272">
        <v>78</v>
      </c>
      <c r="D272">
        <v>9056</v>
      </c>
      <c r="E272" t="s">
        <v>214</v>
      </c>
      <c r="F272" t="s">
        <v>91</v>
      </c>
      <c r="G272" t="s">
        <v>10383</v>
      </c>
      <c r="H272" s="26">
        <v>22165</v>
      </c>
      <c r="I272" t="s">
        <v>58</v>
      </c>
      <c r="J272" t="s">
        <v>10384</v>
      </c>
      <c r="M272">
        <v>92100</v>
      </c>
      <c r="N272" t="s">
        <v>104</v>
      </c>
      <c r="O272" t="s">
        <v>61</v>
      </c>
      <c r="R272" t="s">
        <v>10385</v>
      </c>
      <c r="S272" t="s">
        <v>63</v>
      </c>
      <c r="T272" t="s">
        <v>64</v>
      </c>
      <c r="U272" t="s">
        <v>65</v>
      </c>
      <c r="W272" s="26">
        <v>45575</v>
      </c>
      <c r="X272" t="s">
        <v>61</v>
      </c>
      <c r="Y272" t="s">
        <v>237</v>
      </c>
    </row>
    <row r="273" spans="1:25" x14ac:dyDescent="0.25">
      <c r="A273" t="s">
        <v>1230</v>
      </c>
      <c r="B273">
        <v>11</v>
      </c>
      <c r="C273">
        <v>92</v>
      </c>
      <c r="D273">
        <v>9088</v>
      </c>
      <c r="E273" t="s">
        <v>1</v>
      </c>
      <c r="F273" t="s">
        <v>555</v>
      </c>
      <c r="G273" t="s">
        <v>1231</v>
      </c>
      <c r="H273" s="26">
        <v>22749</v>
      </c>
      <c r="I273" t="s">
        <v>58</v>
      </c>
      <c r="J273" t="s">
        <v>8759</v>
      </c>
      <c r="M273">
        <v>95250</v>
      </c>
      <c r="N273" t="s">
        <v>423</v>
      </c>
      <c r="O273" t="s">
        <v>61</v>
      </c>
      <c r="Q273">
        <v>624743621</v>
      </c>
      <c r="R273" t="s">
        <v>1232</v>
      </c>
      <c r="S273" t="s">
        <v>63</v>
      </c>
      <c r="T273" t="s">
        <v>64</v>
      </c>
      <c r="U273" t="s">
        <v>65</v>
      </c>
      <c r="W273" s="26">
        <v>45558</v>
      </c>
      <c r="X273" t="s">
        <v>61</v>
      </c>
      <c r="Y273" t="s">
        <v>237</v>
      </c>
    </row>
    <row r="274" spans="1:25" x14ac:dyDescent="0.25">
      <c r="A274" t="s">
        <v>8760</v>
      </c>
      <c r="B274">
        <v>11</v>
      </c>
      <c r="C274">
        <v>92</v>
      </c>
      <c r="D274">
        <v>9017</v>
      </c>
      <c r="E274" t="s">
        <v>211</v>
      </c>
      <c r="F274" t="s">
        <v>8761</v>
      </c>
      <c r="G274" t="s">
        <v>8762</v>
      </c>
      <c r="H274" s="26">
        <v>23640</v>
      </c>
      <c r="I274" t="s">
        <v>58</v>
      </c>
      <c r="J274" t="s">
        <v>8763</v>
      </c>
      <c r="M274">
        <v>94240</v>
      </c>
      <c r="N274" t="s">
        <v>8764</v>
      </c>
      <c r="O274" t="s">
        <v>61</v>
      </c>
      <c r="Q274">
        <v>664128141</v>
      </c>
      <c r="R274" t="s">
        <v>8765</v>
      </c>
      <c r="S274" t="s">
        <v>63</v>
      </c>
      <c r="T274" t="s">
        <v>64</v>
      </c>
      <c r="U274" t="s">
        <v>65</v>
      </c>
      <c r="W274" s="26">
        <v>45565</v>
      </c>
      <c r="X274" t="s">
        <v>61</v>
      </c>
      <c r="Y274" t="s">
        <v>237</v>
      </c>
    </row>
    <row r="275" spans="1:25" x14ac:dyDescent="0.25">
      <c r="A275" t="s">
        <v>1233</v>
      </c>
      <c r="B275">
        <v>11</v>
      </c>
      <c r="C275">
        <v>94</v>
      </c>
      <c r="D275">
        <v>9045</v>
      </c>
      <c r="E275" t="s">
        <v>1234</v>
      </c>
      <c r="F275" t="s">
        <v>927</v>
      </c>
      <c r="G275" t="s">
        <v>398</v>
      </c>
      <c r="H275" s="26">
        <v>27487</v>
      </c>
      <c r="I275" t="s">
        <v>58</v>
      </c>
      <c r="J275" t="s">
        <v>1235</v>
      </c>
      <c r="M275">
        <v>94230</v>
      </c>
      <c r="N275" t="s">
        <v>1236</v>
      </c>
      <c r="O275" t="s">
        <v>61</v>
      </c>
      <c r="Q275">
        <v>620877960</v>
      </c>
      <c r="R275" t="s">
        <v>1237</v>
      </c>
      <c r="S275" t="s">
        <v>63</v>
      </c>
      <c r="T275" t="s">
        <v>64</v>
      </c>
      <c r="U275" t="s">
        <v>8684</v>
      </c>
      <c r="W275" s="26">
        <v>45532</v>
      </c>
      <c r="X275" t="s">
        <v>61</v>
      </c>
      <c r="Y275" t="s">
        <v>237</v>
      </c>
    </row>
    <row r="276" spans="1:25" x14ac:dyDescent="0.25">
      <c r="A276" t="s">
        <v>1238</v>
      </c>
      <c r="B276">
        <v>11</v>
      </c>
      <c r="C276">
        <v>91</v>
      </c>
      <c r="D276">
        <v>9082</v>
      </c>
      <c r="E276" t="s">
        <v>67</v>
      </c>
      <c r="F276" t="s">
        <v>837</v>
      </c>
      <c r="G276" t="s">
        <v>1239</v>
      </c>
      <c r="H276" s="26">
        <v>18436</v>
      </c>
      <c r="I276" t="s">
        <v>58</v>
      </c>
      <c r="J276" t="s">
        <v>1240</v>
      </c>
      <c r="M276">
        <v>91210</v>
      </c>
      <c r="N276" t="s">
        <v>226</v>
      </c>
      <c r="O276" t="s">
        <v>61</v>
      </c>
      <c r="P276">
        <v>169425475</v>
      </c>
      <c r="Q276">
        <v>660625475</v>
      </c>
      <c r="R276" t="s">
        <v>1241</v>
      </c>
      <c r="S276" t="s">
        <v>63</v>
      </c>
      <c r="T276" t="s">
        <v>64</v>
      </c>
      <c r="U276" t="s">
        <v>65</v>
      </c>
      <c r="W276" s="26">
        <v>45554</v>
      </c>
      <c r="X276" t="s">
        <v>61</v>
      </c>
      <c r="Y276" t="s">
        <v>237</v>
      </c>
    </row>
    <row r="277" spans="1:25" x14ac:dyDescent="0.25">
      <c r="A277" t="s">
        <v>1242</v>
      </c>
      <c r="B277">
        <v>11</v>
      </c>
      <c r="C277">
        <v>91</v>
      </c>
      <c r="D277">
        <v>9064</v>
      </c>
      <c r="E277" t="s">
        <v>266</v>
      </c>
      <c r="F277" t="s">
        <v>322</v>
      </c>
      <c r="G277" t="s">
        <v>1243</v>
      </c>
      <c r="H277" s="26">
        <v>24428</v>
      </c>
      <c r="I277" t="s">
        <v>58</v>
      </c>
      <c r="J277" t="s">
        <v>1244</v>
      </c>
      <c r="M277">
        <v>91300</v>
      </c>
      <c r="N277" t="s">
        <v>675</v>
      </c>
      <c r="O277" t="s">
        <v>61</v>
      </c>
      <c r="R277" t="s">
        <v>1245</v>
      </c>
      <c r="S277" t="s">
        <v>63</v>
      </c>
      <c r="T277" t="s">
        <v>64</v>
      </c>
      <c r="U277" t="s">
        <v>65</v>
      </c>
      <c r="W277" s="26">
        <v>45545</v>
      </c>
      <c r="X277" t="s">
        <v>61</v>
      </c>
      <c r="Y277" t="s">
        <v>237</v>
      </c>
    </row>
    <row r="278" spans="1:25" x14ac:dyDescent="0.25">
      <c r="A278" t="s">
        <v>1248</v>
      </c>
      <c r="B278">
        <v>11</v>
      </c>
      <c r="C278">
        <v>95</v>
      </c>
      <c r="D278">
        <v>9010</v>
      </c>
      <c r="E278" t="s">
        <v>6</v>
      </c>
      <c r="F278" t="s">
        <v>68</v>
      </c>
      <c r="G278" t="s">
        <v>1249</v>
      </c>
      <c r="H278" s="26">
        <v>22088</v>
      </c>
      <c r="I278" t="s">
        <v>58</v>
      </c>
      <c r="J278" t="s">
        <v>1250</v>
      </c>
      <c r="M278">
        <v>95100</v>
      </c>
      <c r="N278" t="s">
        <v>311</v>
      </c>
      <c r="O278" t="s">
        <v>61</v>
      </c>
      <c r="R278" t="s">
        <v>1251</v>
      </c>
      <c r="S278" t="s">
        <v>63</v>
      </c>
      <c r="T278" t="s">
        <v>64</v>
      </c>
      <c r="U278" t="s">
        <v>65</v>
      </c>
      <c r="V278" t="s">
        <v>111</v>
      </c>
      <c r="W278" s="26">
        <v>45544</v>
      </c>
      <c r="X278" t="s">
        <v>61</v>
      </c>
      <c r="Y278" t="s">
        <v>237</v>
      </c>
    </row>
    <row r="279" spans="1:25" x14ac:dyDescent="0.25">
      <c r="A279" t="s">
        <v>10006</v>
      </c>
      <c r="B279">
        <v>11</v>
      </c>
      <c r="C279">
        <v>95</v>
      </c>
      <c r="D279">
        <v>9010</v>
      </c>
      <c r="E279" t="s">
        <v>6</v>
      </c>
      <c r="F279" t="s">
        <v>1252</v>
      </c>
      <c r="G279" t="s">
        <v>10003</v>
      </c>
      <c r="H279" s="26">
        <v>26264</v>
      </c>
      <c r="I279" t="s">
        <v>16</v>
      </c>
      <c r="J279" t="s">
        <v>10007</v>
      </c>
      <c r="K279" t="s">
        <v>10218</v>
      </c>
      <c r="M279">
        <v>56400</v>
      </c>
      <c r="N279" t="s">
        <v>10008</v>
      </c>
      <c r="O279" t="s">
        <v>61</v>
      </c>
      <c r="Q279">
        <v>660212560</v>
      </c>
      <c r="R279" t="s">
        <v>10009</v>
      </c>
      <c r="S279" t="s">
        <v>63</v>
      </c>
      <c r="T279" t="s">
        <v>64</v>
      </c>
      <c r="U279" t="s">
        <v>8684</v>
      </c>
      <c r="W279" s="26">
        <v>45568</v>
      </c>
      <c r="X279" t="s">
        <v>61</v>
      </c>
      <c r="Y279" t="s">
        <v>237</v>
      </c>
    </row>
    <row r="280" spans="1:25" x14ac:dyDescent="0.25">
      <c r="A280" t="s">
        <v>1253</v>
      </c>
      <c r="B280">
        <v>11</v>
      </c>
      <c r="C280">
        <v>92</v>
      </c>
      <c r="D280">
        <v>9017</v>
      </c>
      <c r="E280" t="s">
        <v>211</v>
      </c>
      <c r="F280" t="s">
        <v>1254</v>
      </c>
      <c r="G280" t="s">
        <v>1255</v>
      </c>
      <c r="H280" s="26">
        <v>26252</v>
      </c>
      <c r="I280" t="s">
        <v>58</v>
      </c>
      <c r="J280" t="s">
        <v>1256</v>
      </c>
      <c r="M280">
        <v>92300</v>
      </c>
      <c r="N280" t="s">
        <v>1229</v>
      </c>
      <c r="O280" t="s">
        <v>61</v>
      </c>
      <c r="R280" t="s">
        <v>1257</v>
      </c>
      <c r="S280" t="s">
        <v>63</v>
      </c>
      <c r="T280" t="s">
        <v>64</v>
      </c>
      <c r="U280" t="s">
        <v>65</v>
      </c>
      <c r="W280" s="26">
        <v>45537</v>
      </c>
      <c r="X280" t="s">
        <v>61</v>
      </c>
      <c r="Y280" t="s">
        <v>237</v>
      </c>
    </row>
    <row r="281" spans="1:25" x14ac:dyDescent="0.25">
      <c r="A281" t="s">
        <v>8766</v>
      </c>
      <c r="B281">
        <v>11</v>
      </c>
      <c r="C281">
        <v>75</v>
      </c>
      <c r="D281">
        <v>9070</v>
      </c>
      <c r="E281" t="s">
        <v>168</v>
      </c>
      <c r="F281" t="s">
        <v>297</v>
      </c>
      <c r="G281" t="s">
        <v>8767</v>
      </c>
      <c r="H281" s="26">
        <v>25002</v>
      </c>
      <c r="I281" t="s">
        <v>58</v>
      </c>
      <c r="J281" t="s">
        <v>8768</v>
      </c>
      <c r="M281">
        <v>75016</v>
      </c>
      <c r="N281" t="s">
        <v>330</v>
      </c>
      <c r="O281" t="s">
        <v>61</v>
      </c>
      <c r="R281" t="s">
        <v>8769</v>
      </c>
      <c r="S281" t="s">
        <v>63</v>
      </c>
      <c r="T281" t="s">
        <v>64</v>
      </c>
      <c r="U281" t="s">
        <v>8684</v>
      </c>
      <c r="W281" s="26">
        <v>45531</v>
      </c>
      <c r="X281" t="s">
        <v>61</v>
      </c>
      <c r="Y281" t="s">
        <v>237</v>
      </c>
    </row>
    <row r="282" spans="1:25" x14ac:dyDescent="0.25">
      <c r="A282" t="s">
        <v>1259</v>
      </c>
      <c r="B282">
        <v>11</v>
      </c>
      <c r="C282">
        <v>78</v>
      </c>
      <c r="D282">
        <v>9101</v>
      </c>
      <c r="E282" t="s">
        <v>1165</v>
      </c>
      <c r="F282" t="s">
        <v>955</v>
      </c>
      <c r="G282" t="s">
        <v>1260</v>
      </c>
      <c r="H282" s="26">
        <v>29368</v>
      </c>
      <c r="I282" t="s">
        <v>58</v>
      </c>
      <c r="J282" t="s">
        <v>1261</v>
      </c>
      <c r="M282">
        <v>78150</v>
      </c>
      <c r="N282" t="s">
        <v>1262</v>
      </c>
      <c r="O282" t="s">
        <v>61</v>
      </c>
      <c r="Q282">
        <v>610468687</v>
      </c>
      <c r="R282" t="s">
        <v>1263</v>
      </c>
      <c r="S282" t="s">
        <v>63</v>
      </c>
      <c r="T282" t="s">
        <v>64</v>
      </c>
      <c r="U282" t="s">
        <v>486</v>
      </c>
      <c r="W282" s="26">
        <v>45525</v>
      </c>
      <c r="X282" t="s">
        <v>61</v>
      </c>
      <c r="Y282" t="s">
        <v>237</v>
      </c>
    </row>
    <row r="283" spans="1:25" x14ac:dyDescent="0.25">
      <c r="A283" t="s">
        <v>1264</v>
      </c>
      <c r="B283">
        <v>11</v>
      </c>
      <c r="C283">
        <v>94</v>
      </c>
      <c r="D283">
        <v>9031</v>
      </c>
      <c r="E283" t="s">
        <v>7</v>
      </c>
      <c r="F283" t="s">
        <v>668</v>
      </c>
      <c r="G283" t="s">
        <v>1265</v>
      </c>
      <c r="H283" s="26">
        <v>25027</v>
      </c>
      <c r="I283" t="s">
        <v>58</v>
      </c>
      <c r="J283" t="s">
        <v>8770</v>
      </c>
      <c r="M283">
        <v>94700</v>
      </c>
      <c r="N283" t="s">
        <v>163</v>
      </c>
      <c r="O283" t="s">
        <v>61</v>
      </c>
      <c r="Q283">
        <v>788383847</v>
      </c>
      <c r="R283" t="s">
        <v>8771</v>
      </c>
      <c r="S283" t="s">
        <v>63</v>
      </c>
      <c r="T283" t="s">
        <v>64</v>
      </c>
      <c r="U283" t="s">
        <v>65</v>
      </c>
      <c r="W283" s="26">
        <v>45558</v>
      </c>
      <c r="X283" t="s">
        <v>61</v>
      </c>
      <c r="Y283" t="s">
        <v>237</v>
      </c>
    </row>
    <row r="284" spans="1:25" x14ac:dyDescent="0.25">
      <c r="A284" t="s">
        <v>1266</v>
      </c>
      <c r="B284">
        <v>11</v>
      </c>
      <c r="C284">
        <v>94</v>
      </c>
      <c r="D284">
        <v>9031</v>
      </c>
      <c r="E284" t="s">
        <v>7</v>
      </c>
      <c r="F284" t="s">
        <v>154</v>
      </c>
      <c r="G284" t="s">
        <v>1267</v>
      </c>
      <c r="H284" s="26">
        <v>21197</v>
      </c>
      <c r="I284" t="s">
        <v>58</v>
      </c>
      <c r="J284" t="s">
        <v>1268</v>
      </c>
      <c r="M284">
        <v>94140</v>
      </c>
      <c r="N284" t="s">
        <v>959</v>
      </c>
      <c r="O284" t="s">
        <v>61</v>
      </c>
      <c r="Q284">
        <v>652893729</v>
      </c>
      <c r="R284" t="s">
        <v>1269</v>
      </c>
      <c r="S284" t="s">
        <v>63</v>
      </c>
      <c r="T284" t="s">
        <v>64</v>
      </c>
      <c r="U284" t="s">
        <v>65</v>
      </c>
      <c r="W284" s="26">
        <v>45550</v>
      </c>
      <c r="X284" t="s">
        <v>61</v>
      </c>
      <c r="Y284" t="s">
        <v>237</v>
      </c>
    </row>
    <row r="285" spans="1:25" x14ac:dyDescent="0.25">
      <c r="A285" t="s">
        <v>1270</v>
      </c>
      <c r="B285">
        <v>11</v>
      </c>
      <c r="C285">
        <v>78</v>
      </c>
      <c r="D285">
        <v>9038</v>
      </c>
      <c r="E285" t="s">
        <v>484</v>
      </c>
      <c r="F285" t="s">
        <v>1271</v>
      </c>
      <c r="G285" t="s">
        <v>1272</v>
      </c>
      <c r="H285" s="26">
        <v>20555</v>
      </c>
      <c r="I285" t="s">
        <v>16</v>
      </c>
      <c r="J285" t="s">
        <v>1273</v>
      </c>
      <c r="M285">
        <v>78700</v>
      </c>
      <c r="N285" t="s">
        <v>1274</v>
      </c>
      <c r="O285" t="s">
        <v>61</v>
      </c>
      <c r="P285">
        <v>134900229</v>
      </c>
      <c r="Q285">
        <v>687924805</v>
      </c>
      <c r="R285" t="s">
        <v>1275</v>
      </c>
      <c r="S285" t="s">
        <v>63</v>
      </c>
      <c r="T285" t="s">
        <v>64</v>
      </c>
      <c r="U285" t="s">
        <v>65</v>
      </c>
      <c r="V285" t="s">
        <v>111</v>
      </c>
      <c r="W285" s="26">
        <v>45551</v>
      </c>
      <c r="X285" t="s">
        <v>61</v>
      </c>
      <c r="Y285" t="s">
        <v>237</v>
      </c>
    </row>
    <row r="286" spans="1:25" x14ac:dyDescent="0.25">
      <c r="A286" t="s">
        <v>10219</v>
      </c>
      <c r="B286">
        <v>11</v>
      </c>
      <c r="C286">
        <v>94</v>
      </c>
      <c r="D286">
        <v>9024</v>
      </c>
      <c r="E286" t="s">
        <v>4</v>
      </c>
      <c r="F286" t="s">
        <v>886</v>
      </c>
      <c r="G286" t="s">
        <v>10220</v>
      </c>
      <c r="H286" s="26">
        <v>18306</v>
      </c>
      <c r="I286" t="s">
        <v>58</v>
      </c>
      <c r="J286" t="s">
        <v>10221</v>
      </c>
      <c r="M286">
        <v>94100</v>
      </c>
      <c r="N286" t="s">
        <v>971</v>
      </c>
      <c r="O286" t="s">
        <v>61</v>
      </c>
      <c r="P286">
        <v>148831929</v>
      </c>
      <c r="Q286">
        <v>661595437</v>
      </c>
      <c r="R286" t="s">
        <v>10222</v>
      </c>
      <c r="S286" t="s">
        <v>63</v>
      </c>
      <c r="T286" t="s">
        <v>64</v>
      </c>
      <c r="U286" t="s">
        <v>65</v>
      </c>
      <c r="W286" s="26">
        <v>45572</v>
      </c>
      <c r="X286" t="s">
        <v>61</v>
      </c>
      <c r="Y286" t="s">
        <v>237</v>
      </c>
    </row>
    <row r="287" spans="1:25" x14ac:dyDescent="0.25">
      <c r="A287" t="s">
        <v>1276</v>
      </c>
      <c r="B287">
        <v>11</v>
      </c>
      <c r="C287">
        <v>92</v>
      </c>
      <c r="D287">
        <v>9065</v>
      </c>
      <c r="E287" t="s">
        <v>426</v>
      </c>
      <c r="F287" t="s">
        <v>1277</v>
      </c>
      <c r="G287" t="s">
        <v>1278</v>
      </c>
      <c r="H287" s="26">
        <v>26315</v>
      </c>
      <c r="I287" t="s">
        <v>16</v>
      </c>
      <c r="J287" t="s">
        <v>1279</v>
      </c>
      <c r="M287">
        <v>91300</v>
      </c>
      <c r="N287" t="s">
        <v>675</v>
      </c>
      <c r="O287" t="s">
        <v>61</v>
      </c>
      <c r="Q287">
        <v>698037741</v>
      </c>
      <c r="R287" t="s">
        <v>1280</v>
      </c>
      <c r="S287" t="s">
        <v>63</v>
      </c>
      <c r="T287" t="s">
        <v>64</v>
      </c>
      <c r="U287" t="s">
        <v>8684</v>
      </c>
      <c r="W287" s="26">
        <v>45525</v>
      </c>
      <c r="X287" t="s">
        <v>61</v>
      </c>
      <c r="Y287" t="s">
        <v>237</v>
      </c>
    </row>
    <row r="288" spans="1:25" x14ac:dyDescent="0.25">
      <c r="A288" t="s">
        <v>1281</v>
      </c>
      <c r="B288">
        <v>11</v>
      </c>
      <c r="C288">
        <v>94</v>
      </c>
      <c r="D288">
        <v>9024</v>
      </c>
      <c r="E288" t="s">
        <v>4</v>
      </c>
      <c r="F288" t="s">
        <v>1282</v>
      </c>
      <c r="G288" t="s">
        <v>1283</v>
      </c>
      <c r="H288" s="26">
        <v>25596</v>
      </c>
      <c r="I288" t="s">
        <v>58</v>
      </c>
      <c r="J288" t="s">
        <v>1284</v>
      </c>
      <c r="M288">
        <v>94700</v>
      </c>
      <c r="N288" t="s">
        <v>163</v>
      </c>
      <c r="O288" t="s">
        <v>61</v>
      </c>
      <c r="Q288">
        <v>662435959</v>
      </c>
      <c r="R288" t="s">
        <v>1285</v>
      </c>
      <c r="S288" t="s">
        <v>63</v>
      </c>
      <c r="T288" t="s">
        <v>64</v>
      </c>
      <c r="U288" t="s">
        <v>65</v>
      </c>
      <c r="V288" t="s">
        <v>111</v>
      </c>
      <c r="W288" s="26">
        <v>45525</v>
      </c>
      <c r="X288" t="s">
        <v>61</v>
      </c>
      <c r="Y288" t="s">
        <v>237</v>
      </c>
    </row>
    <row r="289" spans="1:25" x14ac:dyDescent="0.25">
      <c r="A289" t="s">
        <v>9930</v>
      </c>
      <c r="B289">
        <v>11</v>
      </c>
      <c r="C289">
        <v>92</v>
      </c>
      <c r="D289">
        <v>9068</v>
      </c>
      <c r="E289" t="s">
        <v>119</v>
      </c>
      <c r="F289" t="s">
        <v>85</v>
      </c>
      <c r="G289" t="s">
        <v>9931</v>
      </c>
      <c r="H289" s="26">
        <v>20927</v>
      </c>
      <c r="I289" t="s">
        <v>58</v>
      </c>
      <c r="J289" t="s">
        <v>9932</v>
      </c>
      <c r="M289">
        <v>75013</v>
      </c>
      <c r="N289" t="s">
        <v>330</v>
      </c>
      <c r="O289" t="s">
        <v>61</v>
      </c>
      <c r="Q289">
        <v>611321338</v>
      </c>
      <c r="R289" t="s">
        <v>9933</v>
      </c>
      <c r="S289" t="s">
        <v>63</v>
      </c>
      <c r="T289" t="s">
        <v>64</v>
      </c>
      <c r="U289" t="s">
        <v>65</v>
      </c>
      <c r="W289" s="26">
        <v>45569</v>
      </c>
      <c r="X289" t="s">
        <v>61</v>
      </c>
      <c r="Y289" t="s">
        <v>237</v>
      </c>
    </row>
    <row r="290" spans="1:25" x14ac:dyDescent="0.25">
      <c r="A290" t="s">
        <v>1287</v>
      </c>
      <c r="B290">
        <v>11</v>
      </c>
      <c r="C290">
        <v>77</v>
      </c>
      <c r="D290">
        <v>9077</v>
      </c>
      <c r="E290" t="s">
        <v>90</v>
      </c>
      <c r="F290" t="s">
        <v>1288</v>
      </c>
      <c r="G290" t="s">
        <v>1289</v>
      </c>
      <c r="H290" s="26">
        <v>18116</v>
      </c>
      <c r="I290" t="s">
        <v>58</v>
      </c>
      <c r="J290" t="s">
        <v>1290</v>
      </c>
      <c r="M290">
        <v>77450</v>
      </c>
      <c r="N290" t="s">
        <v>1291</v>
      </c>
      <c r="O290" t="s">
        <v>61</v>
      </c>
      <c r="Q290">
        <v>632022215</v>
      </c>
      <c r="S290" t="s">
        <v>63</v>
      </c>
      <c r="T290" t="s">
        <v>64</v>
      </c>
      <c r="U290" t="s">
        <v>65</v>
      </c>
      <c r="W290" s="26">
        <v>45562</v>
      </c>
      <c r="X290" t="s">
        <v>61</v>
      </c>
      <c r="Y290" t="s">
        <v>237</v>
      </c>
    </row>
    <row r="291" spans="1:25" x14ac:dyDescent="0.25">
      <c r="A291" t="s">
        <v>11178</v>
      </c>
      <c r="B291">
        <v>11</v>
      </c>
      <c r="C291">
        <v>94</v>
      </c>
      <c r="D291">
        <v>9024</v>
      </c>
      <c r="E291" t="s">
        <v>4</v>
      </c>
      <c r="F291" t="s">
        <v>342</v>
      </c>
      <c r="G291" t="s">
        <v>1292</v>
      </c>
      <c r="H291" s="26">
        <v>22295</v>
      </c>
      <c r="I291" t="s">
        <v>58</v>
      </c>
      <c r="J291" t="s">
        <v>11179</v>
      </c>
      <c r="M291">
        <v>94800</v>
      </c>
      <c r="N291" t="s">
        <v>1227</v>
      </c>
      <c r="O291" t="s">
        <v>61</v>
      </c>
      <c r="P291">
        <v>143907178</v>
      </c>
      <c r="Q291">
        <v>624235627</v>
      </c>
      <c r="R291" t="s">
        <v>11180</v>
      </c>
      <c r="S291" t="s">
        <v>63</v>
      </c>
      <c r="T291" t="s">
        <v>64</v>
      </c>
      <c r="U291" t="s">
        <v>65</v>
      </c>
      <c r="W291" s="26">
        <v>45590</v>
      </c>
      <c r="X291" t="s">
        <v>61</v>
      </c>
      <c r="Y291" t="s">
        <v>237</v>
      </c>
    </row>
    <row r="292" spans="1:25" x14ac:dyDescent="0.25">
      <c r="A292" t="s">
        <v>11181</v>
      </c>
      <c r="B292">
        <v>11</v>
      </c>
      <c r="C292">
        <v>94</v>
      </c>
      <c r="D292">
        <v>9024</v>
      </c>
      <c r="E292" t="s">
        <v>4</v>
      </c>
      <c r="F292" t="s">
        <v>272</v>
      </c>
      <c r="G292" t="s">
        <v>11182</v>
      </c>
      <c r="H292" s="26">
        <v>22246</v>
      </c>
      <c r="I292" t="s">
        <v>58</v>
      </c>
      <c r="J292" t="s">
        <v>11183</v>
      </c>
      <c r="M292">
        <v>77600</v>
      </c>
      <c r="N292" t="s">
        <v>1293</v>
      </c>
      <c r="O292" t="s">
        <v>61</v>
      </c>
      <c r="P292">
        <v>149648385</v>
      </c>
      <c r="Q292">
        <v>671370926</v>
      </c>
      <c r="R292" t="s">
        <v>11184</v>
      </c>
      <c r="S292" t="s">
        <v>63</v>
      </c>
      <c r="T292" t="s">
        <v>64</v>
      </c>
      <c r="U292" t="s">
        <v>65</v>
      </c>
      <c r="W292" s="26">
        <v>45586</v>
      </c>
      <c r="X292" t="s">
        <v>61</v>
      </c>
      <c r="Y292" t="s">
        <v>237</v>
      </c>
    </row>
    <row r="293" spans="1:25" x14ac:dyDescent="0.25">
      <c r="A293" t="s">
        <v>1294</v>
      </c>
      <c r="B293">
        <v>11</v>
      </c>
      <c r="C293">
        <v>77</v>
      </c>
      <c r="D293">
        <v>9077</v>
      </c>
      <c r="E293" t="s">
        <v>90</v>
      </c>
      <c r="F293" t="s">
        <v>1295</v>
      </c>
      <c r="G293" t="s">
        <v>1296</v>
      </c>
      <c r="H293" s="26">
        <v>15597</v>
      </c>
      <c r="I293" t="s">
        <v>58</v>
      </c>
      <c r="J293" t="s">
        <v>1297</v>
      </c>
      <c r="M293">
        <v>77450</v>
      </c>
      <c r="N293" t="s">
        <v>473</v>
      </c>
      <c r="O293" t="s">
        <v>61</v>
      </c>
      <c r="P293">
        <v>953439257</v>
      </c>
      <c r="Q293">
        <v>612795546</v>
      </c>
      <c r="R293" t="s">
        <v>1298</v>
      </c>
      <c r="S293" t="s">
        <v>63</v>
      </c>
      <c r="T293" t="s">
        <v>64</v>
      </c>
      <c r="U293" t="s">
        <v>65</v>
      </c>
      <c r="W293" s="26">
        <v>45547</v>
      </c>
      <c r="X293" t="s">
        <v>61</v>
      </c>
      <c r="Y293" t="s">
        <v>237</v>
      </c>
    </row>
    <row r="294" spans="1:25" x14ac:dyDescent="0.25">
      <c r="A294" t="s">
        <v>1301</v>
      </c>
      <c r="B294">
        <v>11</v>
      </c>
      <c r="C294">
        <v>77</v>
      </c>
      <c r="D294">
        <v>9105</v>
      </c>
      <c r="E294" t="s">
        <v>124</v>
      </c>
      <c r="F294" t="s">
        <v>1172</v>
      </c>
      <c r="G294" t="s">
        <v>1302</v>
      </c>
      <c r="H294" s="26">
        <v>26324</v>
      </c>
      <c r="I294" t="s">
        <v>58</v>
      </c>
      <c r="J294" t="s">
        <v>1303</v>
      </c>
      <c r="M294">
        <v>77550</v>
      </c>
      <c r="N294" t="s">
        <v>1304</v>
      </c>
      <c r="O294" t="s">
        <v>61</v>
      </c>
      <c r="Q294">
        <v>688783681</v>
      </c>
      <c r="R294" t="s">
        <v>1305</v>
      </c>
      <c r="S294" t="s">
        <v>63</v>
      </c>
      <c r="T294" t="s">
        <v>64</v>
      </c>
      <c r="U294" t="s">
        <v>65</v>
      </c>
      <c r="V294" t="s">
        <v>111</v>
      </c>
      <c r="W294" s="26">
        <v>45537</v>
      </c>
      <c r="X294" t="s">
        <v>61</v>
      </c>
      <c r="Y294" t="s">
        <v>237</v>
      </c>
    </row>
    <row r="295" spans="1:25" x14ac:dyDescent="0.25">
      <c r="A295" t="s">
        <v>10386</v>
      </c>
      <c r="B295">
        <v>11</v>
      </c>
      <c r="C295">
        <v>78</v>
      </c>
      <c r="D295">
        <v>9002</v>
      </c>
      <c r="E295" t="s">
        <v>558</v>
      </c>
      <c r="F295" t="s">
        <v>91</v>
      </c>
      <c r="G295" t="s">
        <v>1306</v>
      </c>
      <c r="H295" s="26">
        <v>14160</v>
      </c>
      <c r="I295" t="s">
        <v>58</v>
      </c>
      <c r="J295" t="s">
        <v>10387</v>
      </c>
      <c r="M295">
        <v>78270</v>
      </c>
      <c r="N295" t="s">
        <v>10388</v>
      </c>
      <c r="O295" t="s">
        <v>61</v>
      </c>
      <c r="P295">
        <v>134760120</v>
      </c>
      <c r="R295" t="s">
        <v>10389</v>
      </c>
      <c r="S295" t="s">
        <v>63</v>
      </c>
      <c r="T295" t="s">
        <v>64</v>
      </c>
      <c r="U295" t="s">
        <v>65</v>
      </c>
      <c r="W295" s="26">
        <v>45581</v>
      </c>
      <c r="X295" t="s">
        <v>61</v>
      </c>
      <c r="Y295" t="s">
        <v>237</v>
      </c>
    </row>
    <row r="296" spans="1:25" x14ac:dyDescent="0.25">
      <c r="A296" t="s">
        <v>1307</v>
      </c>
      <c r="B296">
        <v>11</v>
      </c>
      <c r="C296">
        <v>78</v>
      </c>
      <c r="D296">
        <v>9030</v>
      </c>
      <c r="E296" t="s">
        <v>96</v>
      </c>
      <c r="F296" t="s">
        <v>137</v>
      </c>
      <c r="G296" t="s">
        <v>1308</v>
      </c>
      <c r="H296" s="26">
        <v>20100</v>
      </c>
      <c r="I296" t="s">
        <v>58</v>
      </c>
      <c r="J296" t="s">
        <v>1309</v>
      </c>
      <c r="M296">
        <v>78960</v>
      </c>
      <c r="N296" t="s">
        <v>566</v>
      </c>
      <c r="O296" t="s">
        <v>61</v>
      </c>
      <c r="P296">
        <v>130438535</v>
      </c>
      <c r="Q296">
        <v>640467863</v>
      </c>
      <c r="R296" t="s">
        <v>1310</v>
      </c>
      <c r="S296" t="s">
        <v>63</v>
      </c>
      <c r="T296" t="s">
        <v>64</v>
      </c>
      <c r="U296" t="s">
        <v>65</v>
      </c>
      <c r="W296" s="26">
        <v>45542</v>
      </c>
      <c r="X296" t="s">
        <v>61</v>
      </c>
      <c r="Y296" t="s">
        <v>237</v>
      </c>
    </row>
    <row r="297" spans="1:25" x14ac:dyDescent="0.25">
      <c r="A297" t="s">
        <v>1311</v>
      </c>
      <c r="B297">
        <v>11</v>
      </c>
      <c r="C297">
        <v>78</v>
      </c>
      <c r="D297">
        <v>9038</v>
      </c>
      <c r="E297" t="s">
        <v>484</v>
      </c>
      <c r="F297" t="s">
        <v>160</v>
      </c>
      <c r="G297" t="s">
        <v>1312</v>
      </c>
      <c r="H297" s="26">
        <v>22720</v>
      </c>
      <c r="I297" t="s">
        <v>58</v>
      </c>
      <c r="J297" t="s">
        <v>1313</v>
      </c>
      <c r="M297">
        <v>78700</v>
      </c>
      <c r="N297" t="s">
        <v>273</v>
      </c>
      <c r="O297" t="s">
        <v>61</v>
      </c>
      <c r="P297">
        <v>139197667</v>
      </c>
      <c r="Q297">
        <v>673196638</v>
      </c>
      <c r="R297" t="s">
        <v>1314</v>
      </c>
      <c r="S297" t="s">
        <v>63</v>
      </c>
      <c r="T297" t="s">
        <v>64</v>
      </c>
      <c r="U297" t="s">
        <v>65</v>
      </c>
      <c r="W297" s="26">
        <v>45562</v>
      </c>
      <c r="X297" t="s">
        <v>61</v>
      </c>
      <c r="Y297" t="s">
        <v>237</v>
      </c>
    </row>
    <row r="298" spans="1:25" x14ac:dyDescent="0.25">
      <c r="A298" t="s">
        <v>1315</v>
      </c>
      <c r="B298">
        <v>11</v>
      </c>
      <c r="C298">
        <v>78</v>
      </c>
      <c r="D298">
        <v>9038</v>
      </c>
      <c r="E298" t="s">
        <v>484</v>
      </c>
      <c r="F298" t="s">
        <v>97</v>
      </c>
      <c r="G298" t="s">
        <v>1316</v>
      </c>
      <c r="H298" s="26">
        <v>18118</v>
      </c>
      <c r="I298" t="s">
        <v>58</v>
      </c>
      <c r="J298" t="s">
        <v>1317</v>
      </c>
      <c r="M298">
        <v>78700</v>
      </c>
      <c r="N298" t="s">
        <v>1318</v>
      </c>
      <c r="O298" t="s">
        <v>61</v>
      </c>
      <c r="P298">
        <v>241407312</v>
      </c>
      <c r="Q298">
        <v>615829659</v>
      </c>
      <c r="R298" t="s">
        <v>1319</v>
      </c>
      <c r="S298" t="s">
        <v>63</v>
      </c>
      <c r="T298" t="s">
        <v>64</v>
      </c>
      <c r="U298" t="s">
        <v>65</v>
      </c>
      <c r="W298" s="26">
        <v>45560</v>
      </c>
      <c r="X298" t="s">
        <v>61</v>
      </c>
      <c r="Y298" t="s">
        <v>237</v>
      </c>
    </row>
    <row r="299" spans="1:25" x14ac:dyDescent="0.25">
      <c r="A299" t="s">
        <v>9996</v>
      </c>
      <c r="B299">
        <v>11</v>
      </c>
      <c r="C299">
        <v>78</v>
      </c>
      <c r="D299">
        <v>9038</v>
      </c>
      <c r="E299" t="s">
        <v>484</v>
      </c>
      <c r="F299" t="s">
        <v>457</v>
      </c>
      <c r="G299" t="s">
        <v>9997</v>
      </c>
      <c r="H299" s="26">
        <v>20240</v>
      </c>
      <c r="I299" t="s">
        <v>58</v>
      </c>
      <c r="J299" t="s">
        <v>9998</v>
      </c>
      <c r="M299">
        <v>78700</v>
      </c>
      <c r="N299" t="s">
        <v>273</v>
      </c>
      <c r="O299" t="s">
        <v>61</v>
      </c>
      <c r="P299">
        <v>139728353</v>
      </c>
      <c r="S299" t="s">
        <v>63</v>
      </c>
      <c r="T299" t="s">
        <v>64</v>
      </c>
      <c r="U299" t="s">
        <v>65</v>
      </c>
      <c r="W299" s="26">
        <v>45568</v>
      </c>
      <c r="X299" t="s">
        <v>61</v>
      </c>
      <c r="Y299" t="s">
        <v>237</v>
      </c>
    </row>
    <row r="300" spans="1:25" x14ac:dyDescent="0.25">
      <c r="A300" t="s">
        <v>1320</v>
      </c>
      <c r="B300">
        <v>11</v>
      </c>
      <c r="C300">
        <v>94</v>
      </c>
      <c r="D300">
        <v>9024</v>
      </c>
      <c r="E300" t="s">
        <v>4</v>
      </c>
      <c r="F300" t="s">
        <v>289</v>
      </c>
      <c r="G300" t="s">
        <v>1321</v>
      </c>
      <c r="H300" s="26">
        <v>19986</v>
      </c>
      <c r="I300" t="s">
        <v>58</v>
      </c>
      <c r="J300" t="s">
        <v>1322</v>
      </c>
      <c r="M300">
        <v>94210</v>
      </c>
      <c r="N300" t="s">
        <v>1323</v>
      </c>
      <c r="O300" t="s">
        <v>61</v>
      </c>
      <c r="Q300">
        <v>683874809</v>
      </c>
      <c r="R300" t="s">
        <v>1324</v>
      </c>
      <c r="S300" t="s">
        <v>63</v>
      </c>
      <c r="T300" t="s">
        <v>64</v>
      </c>
      <c r="U300" t="s">
        <v>65</v>
      </c>
      <c r="W300" s="26">
        <v>45566</v>
      </c>
      <c r="X300" t="s">
        <v>61</v>
      </c>
      <c r="Y300" t="s">
        <v>237</v>
      </c>
    </row>
    <row r="301" spans="1:25" x14ac:dyDescent="0.25">
      <c r="A301" t="s">
        <v>1325</v>
      </c>
      <c r="B301">
        <v>11</v>
      </c>
      <c r="C301">
        <v>92</v>
      </c>
      <c r="D301">
        <v>9068</v>
      </c>
      <c r="E301" t="s">
        <v>119</v>
      </c>
      <c r="F301" t="s">
        <v>816</v>
      </c>
      <c r="G301" t="s">
        <v>1326</v>
      </c>
      <c r="H301" s="26">
        <v>22704</v>
      </c>
      <c r="I301" t="s">
        <v>58</v>
      </c>
      <c r="J301" t="s">
        <v>1327</v>
      </c>
      <c r="M301">
        <v>92320</v>
      </c>
      <c r="N301" t="s">
        <v>228</v>
      </c>
      <c r="O301" t="s">
        <v>61</v>
      </c>
      <c r="Q301">
        <v>664051554</v>
      </c>
      <c r="R301" t="s">
        <v>1328</v>
      </c>
      <c r="S301" t="s">
        <v>63</v>
      </c>
      <c r="T301" t="s">
        <v>64</v>
      </c>
      <c r="U301" t="s">
        <v>65</v>
      </c>
      <c r="W301" s="26">
        <v>45552</v>
      </c>
      <c r="X301" t="s">
        <v>61</v>
      </c>
      <c r="Y301" t="s">
        <v>237</v>
      </c>
    </row>
    <row r="302" spans="1:25" x14ac:dyDescent="0.25">
      <c r="A302" t="s">
        <v>1329</v>
      </c>
      <c r="B302">
        <v>11</v>
      </c>
      <c r="C302">
        <v>93</v>
      </c>
      <c r="D302">
        <v>9060</v>
      </c>
      <c r="E302" t="s">
        <v>203</v>
      </c>
      <c r="F302" t="s">
        <v>137</v>
      </c>
      <c r="G302" t="s">
        <v>1330</v>
      </c>
      <c r="H302" s="26">
        <v>22364</v>
      </c>
      <c r="I302" t="s">
        <v>58</v>
      </c>
      <c r="J302" t="s">
        <v>1331</v>
      </c>
      <c r="M302">
        <v>93290</v>
      </c>
      <c r="N302" t="s">
        <v>1332</v>
      </c>
      <c r="O302" t="s">
        <v>61</v>
      </c>
      <c r="Q302">
        <v>683347860</v>
      </c>
      <c r="R302" t="s">
        <v>1333</v>
      </c>
      <c r="S302" t="s">
        <v>63</v>
      </c>
      <c r="T302" t="s">
        <v>64</v>
      </c>
      <c r="U302" t="s">
        <v>65</v>
      </c>
      <c r="W302" s="26">
        <v>45546</v>
      </c>
      <c r="X302" t="s">
        <v>61</v>
      </c>
      <c r="Y302" t="s">
        <v>237</v>
      </c>
    </row>
    <row r="303" spans="1:25" x14ac:dyDescent="0.25">
      <c r="A303" t="s">
        <v>1335</v>
      </c>
      <c r="B303">
        <v>11</v>
      </c>
      <c r="C303">
        <v>78</v>
      </c>
      <c r="D303">
        <v>9084</v>
      </c>
      <c r="E303" t="s">
        <v>216</v>
      </c>
      <c r="F303" t="s">
        <v>272</v>
      </c>
      <c r="G303" t="s">
        <v>1336</v>
      </c>
      <c r="H303" s="26">
        <v>22902</v>
      </c>
      <c r="I303" t="s">
        <v>58</v>
      </c>
      <c r="J303" t="s">
        <v>1337</v>
      </c>
      <c r="M303">
        <v>78270</v>
      </c>
      <c r="N303" t="s">
        <v>1338</v>
      </c>
      <c r="O303" t="s">
        <v>61</v>
      </c>
      <c r="Q303">
        <v>767595789</v>
      </c>
      <c r="R303" t="s">
        <v>1339</v>
      </c>
      <c r="S303" t="s">
        <v>63</v>
      </c>
      <c r="T303" t="s">
        <v>64</v>
      </c>
      <c r="U303" t="s">
        <v>65</v>
      </c>
      <c r="V303" t="s">
        <v>111</v>
      </c>
      <c r="W303" s="26">
        <v>45545</v>
      </c>
      <c r="X303" t="s">
        <v>61</v>
      </c>
      <c r="Y303" t="s">
        <v>237</v>
      </c>
    </row>
    <row r="304" spans="1:25" x14ac:dyDescent="0.25">
      <c r="A304" t="s">
        <v>1340</v>
      </c>
      <c r="B304">
        <v>11</v>
      </c>
      <c r="C304">
        <v>95</v>
      </c>
      <c r="D304">
        <v>9069</v>
      </c>
      <c r="E304" t="s">
        <v>129</v>
      </c>
      <c r="F304" t="s">
        <v>160</v>
      </c>
      <c r="G304" t="s">
        <v>1341</v>
      </c>
      <c r="H304" s="26">
        <v>21465</v>
      </c>
      <c r="I304" t="s">
        <v>58</v>
      </c>
      <c r="J304" t="s">
        <v>1342</v>
      </c>
      <c r="M304">
        <v>95130</v>
      </c>
      <c r="N304" t="s">
        <v>828</v>
      </c>
      <c r="O304" t="s">
        <v>61</v>
      </c>
      <c r="Q304">
        <v>610594365</v>
      </c>
      <c r="R304" t="s">
        <v>11185</v>
      </c>
      <c r="S304" t="s">
        <v>63</v>
      </c>
      <c r="T304" t="s">
        <v>64</v>
      </c>
      <c r="U304" t="s">
        <v>65</v>
      </c>
      <c r="W304" s="26">
        <v>45548</v>
      </c>
      <c r="X304" t="s">
        <v>61</v>
      </c>
      <c r="Y304" t="s">
        <v>237</v>
      </c>
    </row>
    <row r="305" spans="1:25" x14ac:dyDescent="0.25">
      <c r="A305" t="s">
        <v>10390</v>
      </c>
      <c r="B305">
        <v>11</v>
      </c>
      <c r="C305">
        <v>95</v>
      </c>
      <c r="D305">
        <v>9069</v>
      </c>
      <c r="E305" t="s">
        <v>129</v>
      </c>
      <c r="F305" t="s">
        <v>56</v>
      </c>
      <c r="G305" t="s">
        <v>10391</v>
      </c>
      <c r="H305" s="26">
        <v>15893</v>
      </c>
      <c r="I305" t="s">
        <v>58</v>
      </c>
      <c r="J305" t="s">
        <v>10392</v>
      </c>
      <c r="M305">
        <v>95130</v>
      </c>
      <c r="N305" t="s">
        <v>828</v>
      </c>
      <c r="O305" t="s">
        <v>61</v>
      </c>
      <c r="S305" t="s">
        <v>237</v>
      </c>
      <c r="T305" t="s">
        <v>64</v>
      </c>
      <c r="U305" t="s">
        <v>65</v>
      </c>
      <c r="W305" s="26">
        <v>45573</v>
      </c>
      <c r="X305" t="s">
        <v>61</v>
      </c>
      <c r="Y305" t="s">
        <v>237</v>
      </c>
    </row>
    <row r="306" spans="1:25" x14ac:dyDescent="0.25">
      <c r="A306" t="s">
        <v>10393</v>
      </c>
      <c r="B306">
        <v>11</v>
      </c>
      <c r="C306">
        <v>77</v>
      </c>
      <c r="D306">
        <v>9059</v>
      </c>
      <c r="E306" t="s">
        <v>197</v>
      </c>
      <c r="F306" t="s">
        <v>204</v>
      </c>
      <c r="G306" t="s">
        <v>10394</v>
      </c>
      <c r="H306" s="26">
        <v>17024</v>
      </c>
      <c r="I306" t="s">
        <v>58</v>
      </c>
      <c r="J306" t="s">
        <v>10395</v>
      </c>
      <c r="M306">
        <v>77340</v>
      </c>
      <c r="N306" t="s">
        <v>201</v>
      </c>
      <c r="O306" t="s">
        <v>61</v>
      </c>
      <c r="P306">
        <v>160288830</v>
      </c>
      <c r="Q306">
        <v>676882514</v>
      </c>
      <c r="R306" t="s">
        <v>10396</v>
      </c>
      <c r="S306" t="s">
        <v>63</v>
      </c>
      <c r="T306" t="s">
        <v>64</v>
      </c>
      <c r="U306" t="s">
        <v>65</v>
      </c>
      <c r="W306" s="26">
        <v>45583</v>
      </c>
      <c r="X306" t="s">
        <v>61</v>
      </c>
      <c r="Y306" t="s">
        <v>237</v>
      </c>
    </row>
    <row r="307" spans="1:25" x14ac:dyDescent="0.25">
      <c r="A307" t="s">
        <v>11186</v>
      </c>
      <c r="B307">
        <v>11</v>
      </c>
      <c r="C307">
        <v>77</v>
      </c>
      <c r="D307">
        <v>9059</v>
      </c>
      <c r="E307" t="s">
        <v>197</v>
      </c>
      <c r="F307" t="s">
        <v>97</v>
      </c>
      <c r="G307" t="s">
        <v>10524</v>
      </c>
      <c r="H307" s="26">
        <v>23234</v>
      </c>
      <c r="I307" t="s">
        <v>58</v>
      </c>
      <c r="J307" t="s">
        <v>1343</v>
      </c>
      <c r="M307">
        <v>77340</v>
      </c>
      <c r="N307" t="s">
        <v>201</v>
      </c>
      <c r="O307" t="s">
        <v>61</v>
      </c>
      <c r="Q307">
        <v>685472162</v>
      </c>
      <c r="S307" t="s">
        <v>63</v>
      </c>
      <c r="T307" t="s">
        <v>64</v>
      </c>
      <c r="U307" t="s">
        <v>65</v>
      </c>
      <c r="W307" s="26">
        <v>45589</v>
      </c>
      <c r="X307" t="s">
        <v>61</v>
      </c>
      <c r="Y307" t="s">
        <v>237</v>
      </c>
    </row>
    <row r="308" spans="1:25" x14ac:dyDescent="0.25">
      <c r="A308" t="s">
        <v>1344</v>
      </c>
      <c r="B308">
        <v>11</v>
      </c>
      <c r="C308">
        <v>77</v>
      </c>
      <c r="D308">
        <v>9049</v>
      </c>
      <c r="E308" t="s">
        <v>902</v>
      </c>
      <c r="F308" t="s">
        <v>1295</v>
      </c>
      <c r="G308" t="s">
        <v>1345</v>
      </c>
      <c r="H308" s="26">
        <v>25211</v>
      </c>
      <c r="I308" t="s">
        <v>58</v>
      </c>
      <c r="J308" t="s">
        <v>1346</v>
      </c>
      <c r="M308">
        <v>77260</v>
      </c>
      <c r="N308" t="s">
        <v>1347</v>
      </c>
      <c r="O308" t="s">
        <v>61</v>
      </c>
      <c r="Q308">
        <v>763734296</v>
      </c>
      <c r="R308" t="s">
        <v>1348</v>
      </c>
      <c r="S308" t="s">
        <v>63</v>
      </c>
      <c r="T308" t="s">
        <v>64</v>
      </c>
      <c r="U308" t="s">
        <v>65</v>
      </c>
      <c r="W308" s="26">
        <v>45524</v>
      </c>
      <c r="X308" t="s">
        <v>61</v>
      </c>
      <c r="Y308" t="s">
        <v>237</v>
      </c>
    </row>
    <row r="309" spans="1:25" x14ac:dyDescent="0.25">
      <c r="A309" t="s">
        <v>1349</v>
      </c>
      <c r="B309">
        <v>11</v>
      </c>
      <c r="C309">
        <v>77</v>
      </c>
      <c r="D309">
        <v>9105</v>
      </c>
      <c r="E309" t="s">
        <v>124</v>
      </c>
      <c r="F309" t="s">
        <v>1350</v>
      </c>
      <c r="G309" t="s">
        <v>1351</v>
      </c>
      <c r="H309" s="26">
        <v>28434</v>
      </c>
      <c r="I309" t="s">
        <v>58</v>
      </c>
      <c r="J309" t="s">
        <v>1352</v>
      </c>
      <c r="M309">
        <v>77950</v>
      </c>
      <c r="N309" t="s">
        <v>1353</v>
      </c>
      <c r="O309" t="s">
        <v>61</v>
      </c>
      <c r="Q309">
        <v>651399851</v>
      </c>
      <c r="R309" t="s">
        <v>1354</v>
      </c>
      <c r="S309" t="s">
        <v>63</v>
      </c>
      <c r="T309" t="s">
        <v>64</v>
      </c>
      <c r="U309" t="s">
        <v>65</v>
      </c>
      <c r="W309" s="26">
        <v>45538</v>
      </c>
      <c r="X309" t="s">
        <v>61</v>
      </c>
      <c r="Y309" t="s">
        <v>237</v>
      </c>
    </row>
    <row r="310" spans="1:25" x14ac:dyDescent="0.25">
      <c r="A310" t="s">
        <v>1355</v>
      </c>
      <c r="B310">
        <v>11</v>
      </c>
      <c r="C310">
        <v>93</v>
      </c>
      <c r="D310">
        <v>9122</v>
      </c>
      <c r="E310" t="s">
        <v>1030</v>
      </c>
      <c r="F310" t="s">
        <v>442</v>
      </c>
      <c r="G310" t="s">
        <v>1356</v>
      </c>
      <c r="H310" s="26">
        <v>29019</v>
      </c>
      <c r="I310" t="s">
        <v>58</v>
      </c>
      <c r="J310" t="s">
        <v>1357</v>
      </c>
      <c r="M310">
        <v>77120</v>
      </c>
      <c r="N310" t="s">
        <v>1358</v>
      </c>
      <c r="O310" t="s">
        <v>61</v>
      </c>
      <c r="Q310">
        <v>695236014</v>
      </c>
      <c r="R310" t="s">
        <v>1359</v>
      </c>
      <c r="S310" t="s">
        <v>63</v>
      </c>
      <c r="T310" t="s">
        <v>64</v>
      </c>
      <c r="U310" t="s">
        <v>8684</v>
      </c>
      <c r="W310" s="26">
        <v>45533</v>
      </c>
      <c r="X310" t="s">
        <v>61</v>
      </c>
      <c r="Y310" t="s">
        <v>237</v>
      </c>
    </row>
    <row r="311" spans="1:25" x14ac:dyDescent="0.25">
      <c r="A311" t="s">
        <v>1360</v>
      </c>
      <c r="B311">
        <v>11</v>
      </c>
      <c r="C311">
        <v>75</v>
      </c>
      <c r="D311">
        <v>9070</v>
      </c>
      <c r="E311" t="s">
        <v>168</v>
      </c>
      <c r="F311" t="s">
        <v>820</v>
      </c>
      <c r="G311" t="s">
        <v>1361</v>
      </c>
      <c r="H311" s="26">
        <v>25078</v>
      </c>
      <c r="I311" t="s">
        <v>58</v>
      </c>
      <c r="J311" t="s">
        <v>1362</v>
      </c>
      <c r="M311">
        <v>94420</v>
      </c>
      <c r="N311" t="s">
        <v>1363</v>
      </c>
      <c r="O311" t="s">
        <v>61</v>
      </c>
      <c r="Q311">
        <v>33645378562</v>
      </c>
      <c r="R311" t="s">
        <v>1364</v>
      </c>
      <c r="S311" t="s">
        <v>63</v>
      </c>
      <c r="T311" t="s">
        <v>64</v>
      </c>
      <c r="U311" t="s">
        <v>8684</v>
      </c>
      <c r="W311" s="26">
        <v>45531</v>
      </c>
      <c r="X311" t="s">
        <v>61</v>
      </c>
      <c r="Y311" t="s">
        <v>237</v>
      </c>
    </row>
    <row r="312" spans="1:25" x14ac:dyDescent="0.25">
      <c r="A312" t="s">
        <v>1365</v>
      </c>
      <c r="B312">
        <v>11</v>
      </c>
      <c r="C312">
        <v>92</v>
      </c>
      <c r="D312">
        <v>9068</v>
      </c>
      <c r="E312" t="s">
        <v>119</v>
      </c>
      <c r="F312" t="s">
        <v>85</v>
      </c>
      <c r="G312" t="s">
        <v>1366</v>
      </c>
      <c r="H312" s="26">
        <v>24231</v>
      </c>
      <c r="I312" t="s">
        <v>58</v>
      </c>
      <c r="J312" t="s">
        <v>1367</v>
      </c>
      <c r="M312">
        <v>92240</v>
      </c>
      <c r="N312" t="s">
        <v>1368</v>
      </c>
      <c r="O312" t="s">
        <v>61</v>
      </c>
      <c r="P312">
        <v>158882179</v>
      </c>
      <c r="Q312">
        <v>651173839</v>
      </c>
      <c r="R312" t="s">
        <v>1369</v>
      </c>
      <c r="S312" t="s">
        <v>63</v>
      </c>
      <c r="T312" t="s">
        <v>64</v>
      </c>
      <c r="U312" t="s">
        <v>65</v>
      </c>
      <c r="W312" s="26">
        <v>45558</v>
      </c>
      <c r="X312" t="s">
        <v>61</v>
      </c>
      <c r="Y312" t="s">
        <v>237</v>
      </c>
    </row>
    <row r="313" spans="1:25" x14ac:dyDescent="0.25">
      <c r="A313" t="s">
        <v>1370</v>
      </c>
      <c r="B313">
        <v>11</v>
      </c>
      <c r="C313">
        <v>92</v>
      </c>
      <c r="D313">
        <v>9007</v>
      </c>
      <c r="E313" t="s">
        <v>121</v>
      </c>
      <c r="F313" t="s">
        <v>243</v>
      </c>
      <c r="G313" t="s">
        <v>1371</v>
      </c>
      <c r="H313" s="26">
        <v>25324</v>
      </c>
      <c r="I313" t="s">
        <v>58</v>
      </c>
      <c r="J313" t="s">
        <v>1372</v>
      </c>
      <c r="M313">
        <v>95580</v>
      </c>
      <c r="N313" t="s">
        <v>1373</v>
      </c>
      <c r="O313" t="s">
        <v>61</v>
      </c>
      <c r="P313">
        <v>134267883</v>
      </c>
      <c r="R313" t="s">
        <v>1374</v>
      </c>
      <c r="S313" t="s">
        <v>63</v>
      </c>
      <c r="T313" t="s">
        <v>64</v>
      </c>
      <c r="U313" t="s">
        <v>65</v>
      </c>
      <c r="W313" s="26">
        <v>45562</v>
      </c>
      <c r="X313" t="s">
        <v>61</v>
      </c>
      <c r="Y313" t="s">
        <v>237</v>
      </c>
    </row>
    <row r="314" spans="1:25" x14ac:dyDescent="0.25">
      <c r="A314" t="s">
        <v>1375</v>
      </c>
      <c r="B314">
        <v>11</v>
      </c>
      <c r="C314">
        <v>92</v>
      </c>
      <c r="D314">
        <v>9007</v>
      </c>
      <c r="E314" t="s">
        <v>121</v>
      </c>
      <c r="F314" t="s">
        <v>91</v>
      </c>
      <c r="G314" t="s">
        <v>1376</v>
      </c>
      <c r="H314" s="26">
        <v>19613</v>
      </c>
      <c r="I314" t="s">
        <v>58</v>
      </c>
      <c r="J314" t="s">
        <v>1377</v>
      </c>
      <c r="M314">
        <v>92400</v>
      </c>
      <c r="N314" t="s">
        <v>478</v>
      </c>
      <c r="O314" t="s">
        <v>61</v>
      </c>
      <c r="P314">
        <v>0</v>
      </c>
      <c r="Q314">
        <v>781038351</v>
      </c>
      <c r="R314" t="s">
        <v>1378</v>
      </c>
      <c r="S314" t="s">
        <v>63</v>
      </c>
      <c r="T314" t="s">
        <v>64</v>
      </c>
      <c r="U314" t="s">
        <v>65</v>
      </c>
      <c r="W314" s="26">
        <v>45540</v>
      </c>
      <c r="X314" t="s">
        <v>61</v>
      </c>
      <c r="Y314" t="s">
        <v>237</v>
      </c>
    </row>
    <row r="315" spans="1:25" x14ac:dyDescent="0.25">
      <c r="A315" t="s">
        <v>11187</v>
      </c>
      <c r="B315">
        <v>11</v>
      </c>
      <c r="C315">
        <v>92</v>
      </c>
      <c r="D315">
        <v>9032</v>
      </c>
      <c r="E315" t="s">
        <v>102</v>
      </c>
      <c r="F315" t="s">
        <v>106</v>
      </c>
      <c r="G315" t="s">
        <v>11188</v>
      </c>
      <c r="H315" s="26">
        <v>14479</v>
      </c>
      <c r="I315" t="s">
        <v>58</v>
      </c>
      <c r="J315" t="s">
        <v>11189</v>
      </c>
      <c r="M315">
        <v>92140</v>
      </c>
      <c r="N315" t="s">
        <v>1380</v>
      </c>
      <c r="O315" t="s">
        <v>61</v>
      </c>
      <c r="R315" t="s">
        <v>1381</v>
      </c>
      <c r="S315" t="s">
        <v>63</v>
      </c>
      <c r="T315" t="s">
        <v>64</v>
      </c>
      <c r="U315" t="s">
        <v>65</v>
      </c>
      <c r="W315" s="26">
        <v>45588</v>
      </c>
      <c r="X315" t="s">
        <v>61</v>
      </c>
      <c r="Y315" t="s">
        <v>237</v>
      </c>
    </row>
    <row r="316" spans="1:25" x14ac:dyDescent="0.25">
      <c r="A316" t="s">
        <v>1383</v>
      </c>
      <c r="B316">
        <v>11</v>
      </c>
      <c r="C316">
        <v>91</v>
      </c>
      <c r="D316">
        <v>9009</v>
      </c>
      <c r="E316" t="s">
        <v>159</v>
      </c>
      <c r="F316" t="s">
        <v>687</v>
      </c>
      <c r="G316" t="s">
        <v>1384</v>
      </c>
      <c r="H316" s="26">
        <v>27082</v>
      </c>
      <c r="I316" t="s">
        <v>58</v>
      </c>
      <c r="J316" t="s">
        <v>1385</v>
      </c>
      <c r="M316">
        <v>91120</v>
      </c>
      <c r="N316" t="s">
        <v>335</v>
      </c>
      <c r="O316" t="s">
        <v>61</v>
      </c>
      <c r="Q316">
        <v>771046520</v>
      </c>
      <c r="R316" t="s">
        <v>1386</v>
      </c>
      <c r="S316" t="s">
        <v>63</v>
      </c>
      <c r="T316" t="s">
        <v>64</v>
      </c>
      <c r="U316" t="s">
        <v>65</v>
      </c>
      <c r="W316" s="26">
        <v>45543</v>
      </c>
      <c r="X316" t="s">
        <v>61</v>
      </c>
      <c r="Y316" t="s">
        <v>237</v>
      </c>
    </row>
    <row r="317" spans="1:25" x14ac:dyDescent="0.25">
      <c r="A317" t="s">
        <v>1387</v>
      </c>
      <c r="B317">
        <v>11</v>
      </c>
      <c r="C317">
        <v>92</v>
      </c>
      <c r="D317">
        <v>9065</v>
      </c>
      <c r="E317" t="s">
        <v>426</v>
      </c>
      <c r="F317" t="s">
        <v>1388</v>
      </c>
      <c r="G317" t="s">
        <v>1389</v>
      </c>
      <c r="H317" s="26">
        <v>28283</v>
      </c>
      <c r="I317" t="s">
        <v>58</v>
      </c>
      <c r="J317" t="s">
        <v>8772</v>
      </c>
      <c r="M317">
        <v>92260</v>
      </c>
      <c r="N317" t="s">
        <v>3910</v>
      </c>
      <c r="O317" t="s">
        <v>61</v>
      </c>
      <c r="Q317">
        <v>638053445</v>
      </c>
      <c r="R317" t="s">
        <v>1390</v>
      </c>
      <c r="S317" t="s">
        <v>63</v>
      </c>
      <c r="T317" t="s">
        <v>64</v>
      </c>
      <c r="U317" t="s">
        <v>486</v>
      </c>
      <c r="W317" s="26">
        <v>45525</v>
      </c>
      <c r="X317" t="s">
        <v>1300</v>
      </c>
      <c r="Y317" t="s">
        <v>237</v>
      </c>
    </row>
    <row r="318" spans="1:25" x14ac:dyDescent="0.25">
      <c r="A318" t="s">
        <v>1391</v>
      </c>
      <c r="B318">
        <v>11</v>
      </c>
      <c r="C318">
        <v>92</v>
      </c>
      <c r="D318">
        <v>9065</v>
      </c>
      <c r="E318" t="s">
        <v>426</v>
      </c>
      <c r="F318" t="s">
        <v>1172</v>
      </c>
      <c r="G318" t="s">
        <v>1392</v>
      </c>
      <c r="H318" s="26">
        <v>25235</v>
      </c>
      <c r="I318" t="s">
        <v>58</v>
      </c>
      <c r="J318" t="s">
        <v>1393</v>
      </c>
      <c r="M318">
        <v>92350</v>
      </c>
      <c r="N318" t="s">
        <v>1394</v>
      </c>
      <c r="O318" t="s">
        <v>61</v>
      </c>
      <c r="Q318">
        <v>603634646</v>
      </c>
      <c r="R318" t="s">
        <v>1395</v>
      </c>
      <c r="S318" t="s">
        <v>63</v>
      </c>
      <c r="T318" t="s">
        <v>64</v>
      </c>
      <c r="U318" t="s">
        <v>8684</v>
      </c>
      <c r="W318" s="26">
        <v>45528</v>
      </c>
      <c r="X318" t="s">
        <v>61</v>
      </c>
      <c r="Y318" t="s">
        <v>237</v>
      </c>
    </row>
    <row r="319" spans="1:25" x14ac:dyDescent="0.25">
      <c r="A319" t="s">
        <v>1400</v>
      </c>
      <c r="B319">
        <v>11</v>
      </c>
      <c r="C319">
        <v>91</v>
      </c>
      <c r="D319">
        <v>9082</v>
      </c>
      <c r="E319" t="s">
        <v>67</v>
      </c>
      <c r="F319" t="s">
        <v>289</v>
      </c>
      <c r="G319" t="s">
        <v>1401</v>
      </c>
      <c r="H319" s="26">
        <v>16484</v>
      </c>
      <c r="I319" t="s">
        <v>58</v>
      </c>
      <c r="J319" t="s">
        <v>1402</v>
      </c>
      <c r="M319">
        <v>91210</v>
      </c>
      <c r="N319" t="s">
        <v>226</v>
      </c>
      <c r="O319" t="s">
        <v>61</v>
      </c>
      <c r="P319">
        <v>169406514</v>
      </c>
      <c r="Q319">
        <v>603862491</v>
      </c>
      <c r="R319" t="s">
        <v>1403</v>
      </c>
      <c r="S319" t="s">
        <v>63</v>
      </c>
      <c r="T319" t="s">
        <v>64</v>
      </c>
      <c r="U319" t="s">
        <v>65</v>
      </c>
      <c r="W319" s="26">
        <v>45555</v>
      </c>
      <c r="X319" t="s">
        <v>61</v>
      </c>
      <c r="Y319" t="s">
        <v>237</v>
      </c>
    </row>
    <row r="320" spans="1:25" x14ac:dyDescent="0.25">
      <c r="A320" t="s">
        <v>1404</v>
      </c>
      <c r="B320">
        <v>11</v>
      </c>
      <c r="C320">
        <v>91</v>
      </c>
      <c r="D320">
        <v>9096</v>
      </c>
      <c r="E320" t="s">
        <v>526</v>
      </c>
      <c r="F320" t="s">
        <v>91</v>
      </c>
      <c r="G320" t="s">
        <v>1405</v>
      </c>
      <c r="H320" s="26">
        <v>16448</v>
      </c>
      <c r="I320" t="s">
        <v>58</v>
      </c>
      <c r="J320" t="s">
        <v>1406</v>
      </c>
      <c r="M320">
        <v>91580</v>
      </c>
      <c r="N320" t="s">
        <v>528</v>
      </c>
      <c r="O320" t="s">
        <v>61</v>
      </c>
      <c r="Q320">
        <v>659512065</v>
      </c>
      <c r="R320" t="s">
        <v>1407</v>
      </c>
      <c r="S320" t="s">
        <v>63</v>
      </c>
      <c r="T320" t="s">
        <v>64</v>
      </c>
      <c r="U320" t="s">
        <v>65</v>
      </c>
      <c r="W320" s="26">
        <v>45542</v>
      </c>
      <c r="X320" t="s">
        <v>61</v>
      </c>
      <c r="Y320" t="s">
        <v>237</v>
      </c>
    </row>
    <row r="321" spans="1:25" x14ac:dyDescent="0.25">
      <c r="A321" t="s">
        <v>1408</v>
      </c>
      <c r="B321">
        <v>11</v>
      </c>
      <c r="C321">
        <v>91</v>
      </c>
      <c r="D321">
        <v>9131</v>
      </c>
      <c r="E321" t="s">
        <v>8686</v>
      </c>
      <c r="F321" t="s">
        <v>1409</v>
      </c>
      <c r="G321" t="s">
        <v>1410</v>
      </c>
      <c r="H321" s="26">
        <v>18576</v>
      </c>
      <c r="I321" t="s">
        <v>16</v>
      </c>
      <c r="J321" t="s">
        <v>1411</v>
      </c>
      <c r="M321">
        <v>91270</v>
      </c>
      <c r="N321" t="s">
        <v>1412</v>
      </c>
      <c r="O321" t="s">
        <v>61</v>
      </c>
      <c r="P321">
        <v>172495745</v>
      </c>
      <c r="Q321">
        <v>686925192</v>
      </c>
      <c r="R321" t="s">
        <v>1413</v>
      </c>
      <c r="S321" t="s">
        <v>63</v>
      </c>
      <c r="T321" t="s">
        <v>64</v>
      </c>
      <c r="U321" t="s">
        <v>65</v>
      </c>
      <c r="V321" t="s">
        <v>111</v>
      </c>
      <c r="W321" s="26">
        <v>45539</v>
      </c>
      <c r="X321" t="s">
        <v>61</v>
      </c>
      <c r="Y321" t="s">
        <v>237</v>
      </c>
    </row>
    <row r="322" spans="1:25" x14ac:dyDescent="0.25">
      <c r="A322" t="s">
        <v>1414</v>
      </c>
      <c r="B322">
        <v>11</v>
      </c>
      <c r="C322">
        <v>91</v>
      </c>
      <c r="D322">
        <v>9082</v>
      </c>
      <c r="E322" t="s">
        <v>67</v>
      </c>
      <c r="F322" t="s">
        <v>1415</v>
      </c>
      <c r="G322" t="s">
        <v>1416</v>
      </c>
      <c r="H322" s="26">
        <v>18826</v>
      </c>
      <c r="I322" t="s">
        <v>58</v>
      </c>
      <c r="J322" t="s">
        <v>1417</v>
      </c>
      <c r="M322">
        <v>91210</v>
      </c>
      <c r="N322" t="s">
        <v>226</v>
      </c>
      <c r="O322" t="s">
        <v>61</v>
      </c>
      <c r="P322">
        <v>169406708</v>
      </c>
      <c r="Q322">
        <v>675235154</v>
      </c>
      <c r="R322" t="s">
        <v>1418</v>
      </c>
      <c r="S322" t="s">
        <v>63</v>
      </c>
      <c r="T322" t="s">
        <v>64</v>
      </c>
      <c r="U322" t="s">
        <v>65</v>
      </c>
      <c r="W322" s="26">
        <v>45555</v>
      </c>
      <c r="X322" t="s">
        <v>61</v>
      </c>
      <c r="Y322" t="s">
        <v>237</v>
      </c>
    </row>
    <row r="323" spans="1:25" x14ac:dyDescent="0.25">
      <c r="A323" t="s">
        <v>8773</v>
      </c>
      <c r="B323">
        <v>11</v>
      </c>
      <c r="C323">
        <v>95</v>
      </c>
      <c r="D323">
        <v>9127</v>
      </c>
      <c r="E323" t="s">
        <v>536</v>
      </c>
      <c r="F323" t="s">
        <v>8774</v>
      </c>
      <c r="G323" t="s">
        <v>8775</v>
      </c>
      <c r="H323" s="26">
        <v>29584</v>
      </c>
      <c r="I323" t="s">
        <v>16</v>
      </c>
      <c r="J323" t="s">
        <v>8776</v>
      </c>
      <c r="M323">
        <v>95310</v>
      </c>
      <c r="N323" t="s">
        <v>757</v>
      </c>
      <c r="O323" t="s">
        <v>61</v>
      </c>
      <c r="Q323">
        <v>677952954</v>
      </c>
      <c r="R323" t="s">
        <v>8777</v>
      </c>
      <c r="S323" t="s">
        <v>63</v>
      </c>
      <c r="T323" t="s">
        <v>64</v>
      </c>
      <c r="U323" t="s">
        <v>8684</v>
      </c>
      <c r="W323" s="26">
        <v>45562</v>
      </c>
      <c r="X323" t="s">
        <v>61</v>
      </c>
      <c r="Y323" t="s">
        <v>237</v>
      </c>
    </row>
    <row r="324" spans="1:25" x14ac:dyDescent="0.25">
      <c r="A324" t="s">
        <v>1419</v>
      </c>
      <c r="B324">
        <v>11</v>
      </c>
      <c r="C324">
        <v>91</v>
      </c>
      <c r="D324">
        <v>9025</v>
      </c>
      <c r="E324" t="s">
        <v>188</v>
      </c>
      <c r="F324" t="s">
        <v>1420</v>
      </c>
      <c r="G324" t="s">
        <v>1421</v>
      </c>
      <c r="H324" s="26">
        <v>26360</v>
      </c>
      <c r="I324" t="s">
        <v>58</v>
      </c>
      <c r="J324" t="s">
        <v>1422</v>
      </c>
      <c r="M324">
        <v>91250</v>
      </c>
      <c r="N324" t="s">
        <v>1423</v>
      </c>
      <c r="O324" t="s">
        <v>61</v>
      </c>
      <c r="Q324">
        <v>635274905</v>
      </c>
      <c r="R324" t="s">
        <v>1424</v>
      </c>
      <c r="S324" t="s">
        <v>63</v>
      </c>
      <c r="T324" t="s">
        <v>64</v>
      </c>
      <c r="U324" t="s">
        <v>65</v>
      </c>
      <c r="W324" s="26">
        <v>45560</v>
      </c>
      <c r="X324" t="s">
        <v>61</v>
      </c>
      <c r="Y324" t="s">
        <v>237</v>
      </c>
    </row>
    <row r="325" spans="1:25" x14ac:dyDescent="0.25">
      <c r="A325" t="s">
        <v>1425</v>
      </c>
      <c r="B325">
        <v>11</v>
      </c>
      <c r="C325">
        <v>91</v>
      </c>
      <c r="D325">
        <v>9025</v>
      </c>
      <c r="E325" t="s">
        <v>188</v>
      </c>
      <c r="F325" t="s">
        <v>837</v>
      </c>
      <c r="G325" t="s">
        <v>355</v>
      </c>
      <c r="H325" s="26">
        <v>13084</v>
      </c>
      <c r="I325" t="s">
        <v>58</v>
      </c>
      <c r="J325" t="s">
        <v>1426</v>
      </c>
      <c r="M325">
        <v>91100</v>
      </c>
      <c r="N325" t="s">
        <v>1427</v>
      </c>
      <c r="O325" t="s">
        <v>61</v>
      </c>
      <c r="P325">
        <v>160893205</v>
      </c>
      <c r="R325" t="s">
        <v>1428</v>
      </c>
      <c r="S325" t="s">
        <v>63</v>
      </c>
      <c r="T325" t="s">
        <v>64</v>
      </c>
      <c r="U325" t="s">
        <v>65</v>
      </c>
      <c r="W325" s="26">
        <v>45550</v>
      </c>
      <c r="X325" t="s">
        <v>61</v>
      </c>
      <c r="Y325" t="s">
        <v>237</v>
      </c>
    </row>
    <row r="326" spans="1:25" x14ac:dyDescent="0.25">
      <c r="A326" t="s">
        <v>1429</v>
      </c>
      <c r="B326">
        <v>11</v>
      </c>
      <c r="C326">
        <v>95</v>
      </c>
      <c r="D326">
        <v>9127</v>
      </c>
      <c r="E326" t="s">
        <v>536</v>
      </c>
      <c r="F326" t="s">
        <v>1430</v>
      </c>
      <c r="G326" t="s">
        <v>1431</v>
      </c>
      <c r="H326" s="26">
        <v>28382</v>
      </c>
      <c r="I326" t="s">
        <v>58</v>
      </c>
      <c r="J326" t="s">
        <v>1432</v>
      </c>
      <c r="K326" t="s">
        <v>1433</v>
      </c>
      <c r="M326">
        <v>91180</v>
      </c>
      <c r="N326" t="s">
        <v>1434</v>
      </c>
      <c r="O326" t="s">
        <v>61</v>
      </c>
      <c r="Q326">
        <v>666317523</v>
      </c>
      <c r="R326" t="s">
        <v>1435</v>
      </c>
      <c r="S326" t="s">
        <v>63</v>
      </c>
      <c r="T326" t="s">
        <v>64</v>
      </c>
      <c r="U326" t="s">
        <v>8684</v>
      </c>
      <c r="W326" s="26">
        <v>45534</v>
      </c>
      <c r="X326" t="s">
        <v>61</v>
      </c>
      <c r="Y326" t="s">
        <v>237</v>
      </c>
    </row>
    <row r="327" spans="1:25" x14ac:dyDescent="0.25">
      <c r="A327" t="s">
        <v>1436</v>
      </c>
      <c r="B327">
        <v>11</v>
      </c>
      <c r="C327">
        <v>95</v>
      </c>
      <c r="D327">
        <v>9127</v>
      </c>
      <c r="E327" t="s">
        <v>536</v>
      </c>
      <c r="F327" t="s">
        <v>13</v>
      </c>
      <c r="G327" t="s">
        <v>1437</v>
      </c>
      <c r="H327" s="26">
        <v>22924</v>
      </c>
      <c r="I327" t="s">
        <v>58</v>
      </c>
      <c r="J327" t="s">
        <v>1438</v>
      </c>
      <c r="M327">
        <v>95610</v>
      </c>
      <c r="N327" t="s">
        <v>1439</v>
      </c>
      <c r="O327" t="s">
        <v>61</v>
      </c>
      <c r="Q327">
        <v>672821842</v>
      </c>
      <c r="R327" t="s">
        <v>1440</v>
      </c>
      <c r="S327" t="s">
        <v>63</v>
      </c>
      <c r="T327" t="s">
        <v>64</v>
      </c>
      <c r="U327" t="s">
        <v>486</v>
      </c>
      <c r="W327" s="26">
        <v>45526</v>
      </c>
      <c r="X327" t="s">
        <v>61</v>
      </c>
      <c r="Y327" t="s">
        <v>237</v>
      </c>
    </row>
    <row r="328" spans="1:25" x14ac:dyDescent="0.25">
      <c r="A328" t="s">
        <v>1441</v>
      </c>
      <c r="B328">
        <v>11</v>
      </c>
      <c r="C328">
        <v>94</v>
      </c>
      <c r="D328">
        <v>9024</v>
      </c>
      <c r="E328" t="s">
        <v>4</v>
      </c>
      <c r="F328" t="s">
        <v>1442</v>
      </c>
      <c r="G328" t="s">
        <v>1443</v>
      </c>
      <c r="H328" s="26">
        <v>23809</v>
      </c>
      <c r="I328" t="s">
        <v>58</v>
      </c>
      <c r="J328" t="s">
        <v>1444</v>
      </c>
      <c r="M328">
        <v>93160</v>
      </c>
      <c r="N328" t="s">
        <v>649</v>
      </c>
      <c r="O328" t="s">
        <v>61</v>
      </c>
      <c r="R328" t="s">
        <v>1445</v>
      </c>
      <c r="S328" t="s">
        <v>63</v>
      </c>
      <c r="T328" t="s">
        <v>64</v>
      </c>
      <c r="U328" t="s">
        <v>65</v>
      </c>
      <c r="W328" s="26">
        <v>45558</v>
      </c>
      <c r="X328" t="s">
        <v>61</v>
      </c>
      <c r="Y328" t="s">
        <v>237</v>
      </c>
    </row>
    <row r="329" spans="1:25" x14ac:dyDescent="0.25">
      <c r="A329" t="s">
        <v>10397</v>
      </c>
      <c r="B329">
        <v>11</v>
      </c>
      <c r="C329">
        <v>94</v>
      </c>
      <c r="D329">
        <v>9024</v>
      </c>
      <c r="E329" t="s">
        <v>4</v>
      </c>
      <c r="F329" t="s">
        <v>1446</v>
      </c>
      <c r="G329" t="s">
        <v>1447</v>
      </c>
      <c r="H329" s="26">
        <v>25506</v>
      </c>
      <c r="I329" t="s">
        <v>58</v>
      </c>
      <c r="J329" t="s">
        <v>10398</v>
      </c>
      <c r="M329">
        <v>94500</v>
      </c>
      <c r="N329" t="s">
        <v>339</v>
      </c>
      <c r="O329" t="s">
        <v>61</v>
      </c>
      <c r="P329">
        <v>148804486</v>
      </c>
      <c r="Q329">
        <v>662520263</v>
      </c>
      <c r="R329" t="s">
        <v>10399</v>
      </c>
      <c r="S329" t="s">
        <v>63</v>
      </c>
      <c r="T329" t="s">
        <v>64</v>
      </c>
      <c r="U329" t="s">
        <v>65</v>
      </c>
      <c r="W329" s="26">
        <v>45579</v>
      </c>
      <c r="X329" t="s">
        <v>61</v>
      </c>
      <c r="Y329" t="s">
        <v>237</v>
      </c>
    </row>
    <row r="330" spans="1:25" x14ac:dyDescent="0.25">
      <c r="A330" t="s">
        <v>1449</v>
      </c>
      <c r="B330">
        <v>11</v>
      </c>
      <c r="C330">
        <v>77</v>
      </c>
      <c r="D330">
        <v>9021</v>
      </c>
      <c r="E330" t="s">
        <v>229</v>
      </c>
      <c r="F330" t="s">
        <v>1450</v>
      </c>
      <c r="G330" t="s">
        <v>389</v>
      </c>
      <c r="H330" s="26">
        <v>34900</v>
      </c>
      <c r="I330" t="s">
        <v>16</v>
      </c>
      <c r="J330" t="s">
        <v>390</v>
      </c>
      <c r="K330">
        <v>2</v>
      </c>
      <c r="M330">
        <v>77210</v>
      </c>
      <c r="N330" t="s">
        <v>391</v>
      </c>
      <c r="O330" t="s">
        <v>61</v>
      </c>
      <c r="P330">
        <v>33616733157</v>
      </c>
      <c r="Q330">
        <v>33616733157</v>
      </c>
      <c r="R330" t="s">
        <v>1451</v>
      </c>
      <c r="S330" t="s">
        <v>63</v>
      </c>
      <c r="T330" t="s">
        <v>64</v>
      </c>
      <c r="U330" t="s">
        <v>65</v>
      </c>
      <c r="W330" s="26">
        <v>45527</v>
      </c>
      <c r="X330" t="s">
        <v>61</v>
      </c>
      <c r="Y330" t="s">
        <v>237</v>
      </c>
    </row>
    <row r="331" spans="1:25" x14ac:dyDescent="0.25">
      <c r="A331" t="s">
        <v>1452</v>
      </c>
      <c r="B331">
        <v>11</v>
      </c>
      <c r="C331">
        <v>77</v>
      </c>
      <c r="D331">
        <v>9040</v>
      </c>
      <c r="E331" t="s">
        <v>612</v>
      </c>
      <c r="F331" t="s">
        <v>1453</v>
      </c>
      <c r="G331" t="s">
        <v>1454</v>
      </c>
      <c r="H331" s="26">
        <v>15164</v>
      </c>
      <c r="I331" t="s">
        <v>58</v>
      </c>
      <c r="J331" t="s">
        <v>1455</v>
      </c>
      <c r="M331">
        <v>77130</v>
      </c>
      <c r="N331" t="s">
        <v>1456</v>
      </c>
      <c r="O331" t="s">
        <v>61</v>
      </c>
      <c r="P331">
        <v>164322839</v>
      </c>
      <c r="Q331">
        <v>681376951</v>
      </c>
      <c r="R331" t="s">
        <v>1457</v>
      </c>
      <c r="S331" t="s">
        <v>63</v>
      </c>
      <c r="T331" t="s">
        <v>64</v>
      </c>
      <c r="U331" t="s">
        <v>65</v>
      </c>
      <c r="W331" s="26">
        <v>45545</v>
      </c>
      <c r="X331" t="s">
        <v>61</v>
      </c>
      <c r="Y331" t="s">
        <v>237</v>
      </c>
    </row>
    <row r="332" spans="1:25" x14ac:dyDescent="0.25">
      <c r="A332" t="s">
        <v>10175</v>
      </c>
      <c r="B332">
        <v>11</v>
      </c>
      <c r="C332">
        <v>77</v>
      </c>
      <c r="D332">
        <v>9026</v>
      </c>
      <c r="E332" t="s">
        <v>508</v>
      </c>
      <c r="F332" t="s">
        <v>91</v>
      </c>
      <c r="G332" t="s">
        <v>10176</v>
      </c>
      <c r="H332" s="26">
        <v>15144</v>
      </c>
      <c r="I332" t="s">
        <v>58</v>
      </c>
      <c r="J332" t="s">
        <v>10177</v>
      </c>
      <c r="M332">
        <v>77170</v>
      </c>
      <c r="N332" t="s">
        <v>281</v>
      </c>
      <c r="O332" t="s">
        <v>61</v>
      </c>
      <c r="P332">
        <v>160620173</v>
      </c>
      <c r="R332" t="s">
        <v>10178</v>
      </c>
      <c r="S332" t="s">
        <v>237</v>
      </c>
      <c r="T332" t="s">
        <v>64</v>
      </c>
      <c r="U332" t="s">
        <v>65</v>
      </c>
      <c r="W332" s="26">
        <v>45568</v>
      </c>
      <c r="X332" t="s">
        <v>61</v>
      </c>
      <c r="Y332" t="s">
        <v>237</v>
      </c>
    </row>
    <row r="333" spans="1:25" x14ac:dyDescent="0.25">
      <c r="A333" t="s">
        <v>8778</v>
      </c>
      <c r="B333">
        <v>11</v>
      </c>
      <c r="C333">
        <v>77</v>
      </c>
      <c r="D333">
        <v>9055</v>
      </c>
      <c r="E333" t="s">
        <v>341</v>
      </c>
      <c r="F333" t="s">
        <v>4962</v>
      </c>
      <c r="G333" t="s">
        <v>8779</v>
      </c>
      <c r="H333" s="26">
        <v>28883</v>
      </c>
      <c r="I333" t="s">
        <v>58</v>
      </c>
      <c r="J333" t="s">
        <v>8780</v>
      </c>
      <c r="M333">
        <v>77590</v>
      </c>
      <c r="N333" t="s">
        <v>3819</v>
      </c>
      <c r="O333" t="s">
        <v>61</v>
      </c>
      <c r="Q333">
        <v>603254087</v>
      </c>
      <c r="R333" t="s">
        <v>8781</v>
      </c>
      <c r="S333" t="s">
        <v>63</v>
      </c>
      <c r="T333" t="s">
        <v>64</v>
      </c>
      <c r="U333" t="s">
        <v>65</v>
      </c>
      <c r="W333" s="26">
        <v>45540</v>
      </c>
      <c r="X333" t="s">
        <v>61</v>
      </c>
      <c r="Y333" t="s">
        <v>237</v>
      </c>
    </row>
    <row r="334" spans="1:25" x14ac:dyDescent="0.25">
      <c r="A334" t="s">
        <v>1458</v>
      </c>
      <c r="B334">
        <v>11</v>
      </c>
      <c r="C334">
        <v>93</v>
      </c>
      <c r="D334">
        <v>9060</v>
      </c>
      <c r="E334" t="s">
        <v>203</v>
      </c>
      <c r="F334" t="s">
        <v>1459</v>
      </c>
      <c r="G334" t="s">
        <v>1460</v>
      </c>
      <c r="H334" s="26">
        <v>29502</v>
      </c>
      <c r="I334" t="s">
        <v>58</v>
      </c>
      <c r="J334" t="s">
        <v>1461</v>
      </c>
      <c r="M334">
        <v>77500</v>
      </c>
      <c r="N334" t="s">
        <v>637</v>
      </c>
      <c r="O334" t="s">
        <v>61</v>
      </c>
      <c r="Q334">
        <v>623248389</v>
      </c>
      <c r="R334" t="s">
        <v>1462</v>
      </c>
      <c r="S334" t="s">
        <v>63</v>
      </c>
      <c r="T334" t="s">
        <v>64</v>
      </c>
      <c r="U334" t="s">
        <v>65</v>
      </c>
      <c r="W334" s="26">
        <v>45546</v>
      </c>
      <c r="X334" t="s">
        <v>61</v>
      </c>
      <c r="Y334" t="s">
        <v>237</v>
      </c>
    </row>
    <row r="335" spans="1:25" x14ac:dyDescent="0.25">
      <c r="A335" t="s">
        <v>1463</v>
      </c>
      <c r="B335">
        <v>11</v>
      </c>
      <c r="C335">
        <v>95</v>
      </c>
      <c r="D335">
        <v>9127</v>
      </c>
      <c r="E335" t="s">
        <v>536</v>
      </c>
      <c r="F335" t="s">
        <v>1464</v>
      </c>
      <c r="G335" t="s">
        <v>1465</v>
      </c>
      <c r="H335" s="26">
        <v>27381</v>
      </c>
      <c r="I335" t="s">
        <v>58</v>
      </c>
      <c r="J335" t="s">
        <v>1466</v>
      </c>
      <c r="M335">
        <v>94120</v>
      </c>
      <c r="N335" t="s">
        <v>1467</v>
      </c>
      <c r="O335" t="s">
        <v>61</v>
      </c>
      <c r="Q335">
        <v>623433723</v>
      </c>
      <c r="R335" t="s">
        <v>1468</v>
      </c>
      <c r="S335" t="s">
        <v>63</v>
      </c>
      <c r="T335" t="s">
        <v>64</v>
      </c>
      <c r="U335" t="s">
        <v>486</v>
      </c>
      <c r="W335" s="26">
        <v>45531</v>
      </c>
      <c r="X335" t="s">
        <v>61</v>
      </c>
      <c r="Y335" t="s">
        <v>237</v>
      </c>
    </row>
    <row r="336" spans="1:25" x14ac:dyDescent="0.25">
      <c r="A336" t="s">
        <v>1469</v>
      </c>
      <c r="B336">
        <v>11</v>
      </c>
      <c r="C336">
        <v>95</v>
      </c>
      <c r="D336">
        <v>9010</v>
      </c>
      <c r="E336" t="s">
        <v>6</v>
      </c>
      <c r="F336" t="s">
        <v>187</v>
      </c>
      <c r="G336" t="s">
        <v>1470</v>
      </c>
      <c r="H336" s="26">
        <v>18106</v>
      </c>
      <c r="I336" t="s">
        <v>58</v>
      </c>
      <c r="J336" t="s">
        <v>1471</v>
      </c>
      <c r="M336">
        <v>78800</v>
      </c>
      <c r="N336" t="s">
        <v>1472</v>
      </c>
      <c r="O336" t="s">
        <v>61</v>
      </c>
      <c r="R336" t="s">
        <v>1473</v>
      </c>
      <c r="S336" t="s">
        <v>63</v>
      </c>
      <c r="T336" t="s">
        <v>64</v>
      </c>
      <c r="U336" t="s">
        <v>65</v>
      </c>
      <c r="V336" t="s">
        <v>111</v>
      </c>
      <c r="W336" s="26">
        <v>45555</v>
      </c>
      <c r="X336" t="s">
        <v>61</v>
      </c>
      <c r="Y336" t="s">
        <v>237</v>
      </c>
    </row>
    <row r="337" spans="1:25" x14ac:dyDescent="0.25">
      <c r="A337" t="s">
        <v>1474</v>
      </c>
      <c r="B337">
        <v>11</v>
      </c>
      <c r="C337">
        <v>95</v>
      </c>
      <c r="D337">
        <v>9069</v>
      </c>
      <c r="E337" t="s">
        <v>129</v>
      </c>
      <c r="F337" t="s">
        <v>217</v>
      </c>
      <c r="G337" t="s">
        <v>1475</v>
      </c>
      <c r="H337" s="26">
        <v>23932</v>
      </c>
      <c r="I337" t="s">
        <v>58</v>
      </c>
      <c r="J337" t="s">
        <v>1476</v>
      </c>
      <c r="M337">
        <v>95220</v>
      </c>
      <c r="N337" t="s">
        <v>1477</v>
      </c>
      <c r="O337" t="s">
        <v>61</v>
      </c>
      <c r="P337">
        <v>139972219</v>
      </c>
      <c r="Q337">
        <v>688355107</v>
      </c>
      <c r="R337" t="s">
        <v>1478</v>
      </c>
      <c r="S337" t="s">
        <v>63</v>
      </c>
      <c r="T337" t="s">
        <v>64</v>
      </c>
      <c r="U337" t="s">
        <v>65</v>
      </c>
      <c r="W337" s="26">
        <v>45565</v>
      </c>
      <c r="X337" t="s">
        <v>61</v>
      </c>
      <c r="Y337" t="s">
        <v>237</v>
      </c>
    </row>
    <row r="338" spans="1:25" x14ac:dyDescent="0.25">
      <c r="A338" t="s">
        <v>1479</v>
      </c>
      <c r="B338">
        <v>11</v>
      </c>
      <c r="C338">
        <v>75</v>
      </c>
      <c r="D338">
        <v>9070</v>
      </c>
      <c r="E338" t="s">
        <v>168</v>
      </c>
      <c r="F338" t="s">
        <v>1480</v>
      </c>
      <c r="G338" t="s">
        <v>1481</v>
      </c>
      <c r="H338" s="26">
        <v>30651</v>
      </c>
      <c r="I338" t="s">
        <v>58</v>
      </c>
      <c r="J338" t="s">
        <v>1482</v>
      </c>
      <c r="K338" t="s">
        <v>1483</v>
      </c>
      <c r="M338">
        <v>75010</v>
      </c>
      <c r="N338" t="s">
        <v>330</v>
      </c>
      <c r="O338" t="s">
        <v>61</v>
      </c>
      <c r="Q338">
        <v>664002713</v>
      </c>
      <c r="R338" t="s">
        <v>1484</v>
      </c>
      <c r="S338" t="s">
        <v>63</v>
      </c>
      <c r="T338" t="s">
        <v>64</v>
      </c>
      <c r="U338" t="s">
        <v>8684</v>
      </c>
      <c r="W338" s="26">
        <v>45527</v>
      </c>
      <c r="X338" t="s">
        <v>61</v>
      </c>
      <c r="Y338" t="s">
        <v>237</v>
      </c>
    </row>
    <row r="339" spans="1:25" x14ac:dyDescent="0.25">
      <c r="A339" t="s">
        <v>1485</v>
      </c>
      <c r="B339">
        <v>11</v>
      </c>
      <c r="C339">
        <v>94</v>
      </c>
      <c r="D339">
        <v>9031</v>
      </c>
      <c r="E339" t="s">
        <v>7</v>
      </c>
      <c r="F339" t="s">
        <v>1486</v>
      </c>
      <c r="G339" t="s">
        <v>1487</v>
      </c>
      <c r="H339" s="26">
        <v>25758</v>
      </c>
      <c r="I339" t="s">
        <v>58</v>
      </c>
      <c r="J339" t="s">
        <v>1488</v>
      </c>
      <c r="M339">
        <v>94200</v>
      </c>
      <c r="N339" t="s">
        <v>899</v>
      </c>
      <c r="O339" t="s">
        <v>61</v>
      </c>
      <c r="Q339">
        <v>638315073</v>
      </c>
      <c r="R339" t="s">
        <v>1489</v>
      </c>
      <c r="S339" t="s">
        <v>63</v>
      </c>
      <c r="T339" t="s">
        <v>64</v>
      </c>
      <c r="U339" t="s">
        <v>65</v>
      </c>
      <c r="W339" s="26">
        <v>45544</v>
      </c>
      <c r="X339" t="s">
        <v>61</v>
      </c>
      <c r="Y339" t="s">
        <v>237</v>
      </c>
    </row>
    <row r="340" spans="1:25" x14ac:dyDescent="0.25">
      <c r="A340" t="s">
        <v>10079</v>
      </c>
      <c r="B340">
        <v>11</v>
      </c>
      <c r="C340">
        <v>92</v>
      </c>
      <c r="D340">
        <v>9068</v>
      </c>
      <c r="E340" t="s">
        <v>119</v>
      </c>
      <c r="F340" t="s">
        <v>983</v>
      </c>
      <c r="G340" t="s">
        <v>10080</v>
      </c>
      <c r="H340" s="26">
        <v>33948</v>
      </c>
      <c r="I340" t="s">
        <v>58</v>
      </c>
      <c r="J340" t="s">
        <v>10081</v>
      </c>
      <c r="M340">
        <v>92120</v>
      </c>
      <c r="N340" t="s">
        <v>246</v>
      </c>
      <c r="O340" t="s">
        <v>61</v>
      </c>
      <c r="Q340">
        <v>677418824</v>
      </c>
      <c r="R340" t="s">
        <v>10082</v>
      </c>
      <c r="S340" t="s">
        <v>63</v>
      </c>
      <c r="T340" t="s">
        <v>64</v>
      </c>
      <c r="U340" t="s">
        <v>65</v>
      </c>
      <c r="W340" s="26">
        <v>45569</v>
      </c>
      <c r="X340" t="s">
        <v>61</v>
      </c>
      <c r="Y340" t="s">
        <v>237</v>
      </c>
    </row>
    <row r="341" spans="1:25" x14ac:dyDescent="0.25">
      <c r="A341" t="s">
        <v>1490</v>
      </c>
      <c r="B341">
        <v>11</v>
      </c>
      <c r="C341">
        <v>91</v>
      </c>
      <c r="D341">
        <v>9025</v>
      </c>
      <c r="E341" t="s">
        <v>188</v>
      </c>
      <c r="F341" t="s">
        <v>1491</v>
      </c>
      <c r="G341" t="s">
        <v>1397</v>
      </c>
      <c r="H341" s="26">
        <v>16876</v>
      </c>
      <c r="I341" t="s">
        <v>16</v>
      </c>
      <c r="J341" t="s">
        <v>1398</v>
      </c>
      <c r="M341">
        <v>91280</v>
      </c>
      <c r="N341" t="s">
        <v>1399</v>
      </c>
      <c r="O341" t="s">
        <v>61</v>
      </c>
      <c r="P341">
        <v>160751702</v>
      </c>
      <c r="Q341">
        <v>767396767</v>
      </c>
      <c r="R341" t="s">
        <v>1492</v>
      </c>
      <c r="S341" t="s">
        <v>63</v>
      </c>
      <c r="T341" t="s">
        <v>64</v>
      </c>
      <c r="U341" t="s">
        <v>65</v>
      </c>
      <c r="V341" t="s">
        <v>111</v>
      </c>
      <c r="W341" s="26">
        <v>45553</v>
      </c>
      <c r="X341" t="s">
        <v>61</v>
      </c>
      <c r="Y341" t="s">
        <v>237</v>
      </c>
    </row>
    <row r="342" spans="1:25" x14ac:dyDescent="0.25">
      <c r="A342" t="s">
        <v>10400</v>
      </c>
      <c r="B342">
        <v>11</v>
      </c>
      <c r="C342">
        <v>91</v>
      </c>
      <c r="D342">
        <v>9009</v>
      </c>
      <c r="E342" t="s">
        <v>159</v>
      </c>
      <c r="F342" t="s">
        <v>480</v>
      </c>
      <c r="G342" t="s">
        <v>272</v>
      </c>
      <c r="H342" s="26">
        <v>22459</v>
      </c>
      <c r="I342" t="s">
        <v>58</v>
      </c>
      <c r="J342" t="s">
        <v>10401</v>
      </c>
      <c r="M342">
        <v>89100</v>
      </c>
      <c r="N342" t="s">
        <v>10402</v>
      </c>
      <c r="O342" t="s">
        <v>61</v>
      </c>
      <c r="Q342">
        <v>622907717</v>
      </c>
      <c r="R342" t="s">
        <v>10403</v>
      </c>
      <c r="S342" t="s">
        <v>63</v>
      </c>
      <c r="T342" t="s">
        <v>64</v>
      </c>
      <c r="U342" t="s">
        <v>65</v>
      </c>
      <c r="W342" s="26">
        <v>45576</v>
      </c>
      <c r="X342" t="s">
        <v>61</v>
      </c>
      <c r="Y342" t="s">
        <v>237</v>
      </c>
    </row>
    <row r="343" spans="1:25" x14ac:dyDescent="0.25">
      <c r="A343" t="s">
        <v>11190</v>
      </c>
      <c r="B343">
        <v>11</v>
      </c>
      <c r="C343">
        <v>77</v>
      </c>
      <c r="D343">
        <v>9059</v>
      </c>
      <c r="E343" t="s">
        <v>197</v>
      </c>
      <c r="F343" t="s">
        <v>312</v>
      </c>
      <c r="G343" t="s">
        <v>11191</v>
      </c>
      <c r="H343" s="26">
        <v>18325</v>
      </c>
      <c r="I343" t="s">
        <v>58</v>
      </c>
      <c r="J343" t="s">
        <v>11192</v>
      </c>
      <c r="M343">
        <v>94510</v>
      </c>
      <c r="N343" t="s">
        <v>1102</v>
      </c>
      <c r="O343" t="s">
        <v>61</v>
      </c>
      <c r="Q343">
        <v>607842529</v>
      </c>
      <c r="R343" t="s">
        <v>11193</v>
      </c>
      <c r="S343" t="s">
        <v>63</v>
      </c>
      <c r="T343" t="s">
        <v>64</v>
      </c>
      <c r="U343" t="s">
        <v>65</v>
      </c>
      <c r="W343" s="26">
        <v>45585</v>
      </c>
      <c r="X343" t="s">
        <v>61</v>
      </c>
      <c r="Y343" t="s">
        <v>237</v>
      </c>
    </row>
    <row r="344" spans="1:25" x14ac:dyDescent="0.25">
      <c r="A344" t="s">
        <v>1493</v>
      </c>
      <c r="B344">
        <v>11</v>
      </c>
      <c r="C344">
        <v>78</v>
      </c>
      <c r="D344">
        <v>9052</v>
      </c>
      <c r="E344" t="s">
        <v>337</v>
      </c>
      <c r="F344" t="s">
        <v>13</v>
      </c>
      <c r="G344" t="s">
        <v>1494</v>
      </c>
      <c r="H344" s="26">
        <v>21777</v>
      </c>
      <c r="I344" t="s">
        <v>58</v>
      </c>
      <c r="J344" t="s">
        <v>1495</v>
      </c>
      <c r="M344">
        <v>78810</v>
      </c>
      <c r="N344" t="s">
        <v>1496</v>
      </c>
      <c r="O344" t="s">
        <v>61</v>
      </c>
      <c r="Q344">
        <v>643361951</v>
      </c>
      <c r="R344" t="s">
        <v>1497</v>
      </c>
      <c r="S344" t="s">
        <v>63</v>
      </c>
      <c r="T344" t="s">
        <v>64</v>
      </c>
      <c r="U344" t="s">
        <v>65</v>
      </c>
      <c r="W344" s="26">
        <v>45540</v>
      </c>
      <c r="X344" t="s">
        <v>61</v>
      </c>
      <c r="Y344" t="s">
        <v>237</v>
      </c>
    </row>
    <row r="345" spans="1:25" x14ac:dyDescent="0.25">
      <c r="A345" t="s">
        <v>10066</v>
      </c>
      <c r="B345">
        <v>11</v>
      </c>
      <c r="C345">
        <v>94</v>
      </c>
      <c r="D345">
        <v>9024</v>
      </c>
      <c r="E345" t="s">
        <v>4</v>
      </c>
      <c r="F345" t="s">
        <v>10067</v>
      </c>
      <c r="G345" t="s">
        <v>11</v>
      </c>
      <c r="H345" s="26">
        <v>16389</v>
      </c>
      <c r="I345" t="s">
        <v>16</v>
      </c>
      <c r="J345" t="s">
        <v>10068</v>
      </c>
      <c r="M345">
        <v>94700</v>
      </c>
      <c r="N345" t="s">
        <v>163</v>
      </c>
      <c r="O345" t="s">
        <v>61</v>
      </c>
      <c r="R345" t="s">
        <v>10069</v>
      </c>
      <c r="S345" t="s">
        <v>63</v>
      </c>
      <c r="T345" t="s">
        <v>64</v>
      </c>
      <c r="U345" t="s">
        <v>65</v>
      </c>
      <c r="W345" s="26">
        <v>45569</v>
      </c>
      <c r="X345" t="s">
        <v>61</v>
      </c>
      <c r="Y345" t="s">
        <v>237</v>
      </c>
    </row>
    <row r="346" spans="1:25" x14ac:dyDescent="0.25">
      <c r="A346" t="s">
        <v>1498</v>
      </c>
      <c r="B346">
        <v>11</v>
      </c>
      <c r="C346">
        <v>94</v>
      </c>
      <c r="D346">
        <v>9024</v>
      </c>
      <c r="E346" t="s">
        <v>4</v>
      </c>
      <c r="F346" t="s">
        <v>85</v>
      </c>
      <c r="G346" t="s">
        <v>1499</v>
      </c>
      <c r="H346" s="26">
        <v>19899</v>
      </c>
      <c r="I346" t="s">
        <v>58</v>
      </c>
      <c r="J346" t="s">
        <v>1500</v>
      </c>
      <c r="M346">
        <v>93460</v>
      </c>
      <c r="N346" t="s">
        <v>1501</v>
      </c>
      <c r="O346" t="s">
        <v>61</v>
      </c>
      <c r="Q346">
        <v>674453667</v>
      </c>
      <c r="R346" t="s">
        <v>1502</v>
      </c>
      <c r="S346" t="s">
        <v>63</v>
      </c>
      <c r="T346" t="s">
        <v>64</v>
      </c>
      <c r="U346" t="s">
        <v>65</v>
      </c>
      <c r="W346" s="26">
        <v>45566</v>
      </c>
      <c r="X346" t="s">
        <v>61</v>
      </c>
      <c r="Y346" t="s">
        <v>237</v>
      </c>
    </row>
    <row r="347" spans="1:25" x14ac:dyDescent="0.25">
      <c r="A347" t="s">
        <v>10404</v>
      </c>
      <c r="B347">
        <v>11</v>
      </c>
      <c r="C347">
        <v>94</v>
      </c>
      <c r="D347">
        <v>9024</v>
      </c>
      <c r="E347" t="s">
        <v>4</v>
      </c>
      <c r="F347" t="s">
        <v>10405</v>
      </c>
      <c r="G347" t="s">
        <v>10406</v>
      </c>
      <c r="H347" s="26">
        <v>13345</v>
      </c>
      <c r="I347" t="s">
        <v>58</v>
      </c>
      <c r="J347" t="s">
        <v>10407</v>
      </c>
      <c r="M347">
        <v>94340</v>
      </c>
      <c r="N347" t="s">
        <v>1504</v>
      </c>
      <c r="O347" t="s">
        <v>61</v>
      </c>
      <c r="P347">
        <v>148863659</v>
      </c>
      <c r="R347" t="s">
        <v>10408</v>
      </c>
      <c r="S347" t="s">
        <v>63</v>
      </c>
      <c r="T347" t="s">
        <v>64</v>
      </c>
      <c r="U347" t="s">
        <v>65</v>
      </c>
      <c r="W347" s="26">
        <v>45582</v>
      </c>
      <c r="X347" t="s">
        <v>61</v>
      </c>
      <c r="Y347" t="s">
        <v>237</v>
      </c>
    </row>
    <row r="348" spans="1:25" x14ac:dyDescent="0.25">
      <c r="A348" t="s">
        <v>10409</v>
      </c>
      <c r="B348">
        <v>11</v>
      </c>
      <c r="C348">
        <v>94</v>
      </c>
      <c r="D348">
        <v>9024</v>
      </c>
      <c r="E348" t="s">
        <v>4</v>
      </c>
      <c r="F348" t="s">
        <v>10410</v>
      </c>
      <c r="G348" t="s">
        <v>10411</v>
      </c>
      <c r="H348" s="26">
        <v>16386</v>
      </c>
      <c r="I348" t="s">
        <v>58</v>
      </c>
      <c r="J348" t="s">
        <v>10412</v>
      </c>
      <c r="M348">
        <v>94100</v>
      </c>
      <c r="N348" t="s">
        <v>971</v>
      </c>
      <c r="O348" t="s">
        <v>61</v>
      </c>
      <c r="Q348">
        <v>660538285</v>
      </c>
      <c r="R348" t="s">
        <v>10413</v>
      </c>
      <c r="S348" t="s">
        <v>63</v>
      </c>
      <c r="T348" t="s">
        <v>64</v>
      </c>
      <c r="U348" t="s">
        <v>65</v>
      </c>
      <c r="W348" s="26">
        <v>45575</v>
      </c>
      <c r="X348" t="s">
        <v>61</v>
      </c>
      <c r="Y348" t="s">
        <v>237</v>
      </c>
    </row>
    <row r="349" spans="1:25" x14ac:dyDescent="0.25">
      <c r="A349" t="s">
        <v>1506</v>
      </c>
      <c r="B349">
        <v>11</v>
      </c>
      <c r="C349">
        <v>92</v>
      </c>
      <c r="D349">
        <v>9065</v>
      </c>
      <c r="E349" t="s">
        <v>426</v>
      </c>
      <c r="F349" t="s">
        <v>734</v>
      </c>
      <c r="G349" t="s">
        <v>1507</v>
      </c>
      <c r="H349" s="26">
        <v>31610</v>
      </c>
      <c r="I349" t="s">
        <v>58</v>
      </c>
      <c r="J349" t="s">
        <v>1508</v>
      </c>
      <c r="M349">
        <v>91160</v>
      </c>
      <c r="N349" t="s">
        <v>1509</v>
      </c>
      <c r="O349" t="s">
        <v>61</v>
      </c>
      <c r="Q349">
        <v>660997765</v>
      </c>
      <c r="R349" t="s">
        <v>1510</v>
      </c>
      <c r="S349" t="s">
        <v>63</v>
      </c>
      <c r="T349" t="s">
        <v>64</v>
      </c>
      <c r="U349" t="s">
        <v>8684</v>
      </c>
      <c r="W349" s="26">
        <v>45525</v>
      </c>
      <c r="X349" t="s">
        <v>61</v>
      </c>
      <c r="Y349" t="s">
        <v>237</v>
      </c>
    </row>
    <row r="350" spans="1:25" x14ac:dyDescent="0.25">
      <c r="A350" t="s">
        <v>1511</v>
      </c>
      <c r="B350">
        <v>11</v>
      </c>
      <c r="C350">
        <v>91</v>
      </c>
      <c r="D350">
        <v>9009</v>
      </c>
      <c r="E350" t="s">
        <v>159</v>
      </c>
      <c r="F350" t="s">
        <v>91</v>
      </c>
      <c r="G350" t="s">
        <v>1512</v>
      </c>
      <c r="H350" s="26">
        <v>15983</v>
      </c>
      <c r="I350" t="s">
        <v>58</v>
      </c>
      <c r="J350" t="s">
        <v>1513</v>
      </c>
      <c r="M350">
        <v>94320</v>
      </c>
      <c r="N350" t="s">
        <v>505</v>
      </c>
      <c r="O350" t="s">
        <v>61</v>
      </c>
      <c r="P350">
        <v>952741505</v>
      </c>
      <c r="Q350">
        <v>609464404</v>
      </c>
      <c r="R350" t="s">
        <v>1514</v>
      </c>
      <c r="S350" t="s">
        <v>63</v>
      </c>
      <c r="T350" t="s">
        <v>64</v>
      </c>
      <c r="U350" t="s">
        <v>65</v>
      </c>
      <c r="W350" s="26">
        <v>45542</v>
      </c>
      <c r="X350" t="s">
        <v>61</v>
      </c>
      <c r="Y350" t="s">
        <v>237</v>
      </c>
    </row>
    <row r="351" spans="1:25" x14ac:dyDescent="0.25">
      <c r="A351" t="s">
        <v>8782</v>
      </c>
      <c r="B351">
        <v>11</v>
      </c>
      <c r="C351">
        <v>75</v>
      </c>
      <c r="D351">
        <v>9070</v>
      </c>
      <c r="E351" t="s">
        <v>168</v>
      </c>
      <c r="F351" t="s">
        <v>668</v>
      </c>
      <c r="G351" t="s">
        <v>8783</v>
      </c>
      <c r="H351" s="26">
        <v>27143</v>
      </c>
      <c r="I351" t="s">
        <v>58</v>
      </c>
      <c r="J351" t="s">
        <v>8784</v>
      </c>
      <c r="M351">
        <v>75013</v>
      </c>
      <c r="N351" t="s">
        <v>330</v>
      </c>
      <c r="O351" t="s">
        <v>61</v>
      </c>
      <c r="Q351">
        <v>679924456</v>
      </c>
      <c r="R351" t="s">
        <v>8785</v>
      </c>
      <c r="S351" t="s">
        <v>237</v>
      </c>
      <c r="T351" t="s">
        <v>64</v>
      </c>
      <c r="U351" t="s">
        <v>8684</v>
      </c>
      <c r="W351" s="26">
        <v>45546</v>
      </c>
      <c r="X351" t="s">
        <v>61</v>
      </c>
      <c r="Y351" t="s">
        <v>237</v>
      </c>
    </row>
    <row r="352" spans="1:25" x14ac:dyDescent="0.25">
      <c r="A352" t="s">
        <v>8786</v>
      </c>
      <c r="B352">
        <v>11</v>
      </c>
      <c r="C352">
        <v>77</v>
      </c>
      <c r="D352">
        <v>9059</v>
      </c>
      <c r="E352" t="s">
        <v>197</v>
      </c>
      <c r="F352" t="s">
        <v>8787</v>
      </c>
      <c r="G352" t="s">
        <v>8788</v>
      </c>
      <c r="H352" s="26">
        <v>27148</v>
      </c>
      <c r="I352" t="s">
        <v>58</v>
      </c>
      <c r="J352" t="s">
        <v>8789</v>
      </c>
      <c r="M352">
        <v>77420</v>
      </c>
      <c r="N352" t="s">
        <v>8790</v>
      </c>
      <c r="O352" t="s">
        <v>61</v>
      </c>
      <c r="R352" t="s">
        <v>8791</v>
      </c>
      <c r="S352" t="s">
        <v>63</v>
      </c>
      <c r="T352" t="s">
        <v>64</v>
      </c>
      <c r="U352" t="s">
        <v>65</v>
      </c>
      <c r="V352" t="s">
        <v>111</v>
      </c>
      <c r="W352" s="26">
        <v>45542</v>
      </c>
      <c r="X352" t="s">
        <v>61</v>
      </c>
      <c r="Y352" t="s">
        <v>237</v>
      </c>
    </row>
    <row r="353" spans="1:25" x14ac:dyDescent="0.25">
      <c r="A353" t="s">
        <v>1515</v>
      </c>
      <c r="B353">
        <v>11</v>
      </c>
      <c r="C353">
        <v>78</v>
      </c>
      <c r="D353">
        <v>9030</v>
      </c>
      <c r="E353" t="s">
        <v>96</v>
      </c>
      <c r="F353" t="s">
        <v>85</v>
      </c>
      <c r="G353" t="s">
        <v>1516</v>
      </c>
      <c r="H353" s="26">
        <v>18452</v>
      </c>
      <c r="I353" t="s">
        <v>58</v>
      </c>
      <c r="J353" t="s">
        <v>1517</v>
      </c>
      <c r="M353">
        <v>78400</v>
      </c>
      <c r="N353" t="s">
        <v>1518</v>
      </c>
      <c r="O353" t="s">
        <v>61</v>
      </c>
      <c r="P353">
        <v>130712443</v>
      </c>
      <c r="Q353">
        <v>682804583</v>
      </c>
      <c r="R353" t="s">
        <v>1519</v>
      </c>
      <c r="S353" t="s">
        <v>63</v>
      </c>
      <c r="T353" t="s">
        <v>64</v>
      </c>
      <c r="U353" t="s">
        <v>65</v>
      </c>
      <c r="W353" s="26">
        <v>45539</v>
      </c>
      <c r="X353" t="s">
        <v>61</v>
      </c>
      <c r="Y353" t="s">
        <v>237</v>
      </c>
    </row>
    <row r="354" spans="1:25" x14ac:dyDescent="0.25">
      <c r="A354" t="s">
        <v>1520</v>
      </c>
      <c r="B354">
        <v>11</v>
      </c>
      <c r="C354">
        <v>78</v>
      </c>
      <c r="D354">
        <v>9038</v>
      </c>
      <c r="E354" t="s">
        <v>484</v>
      </c>
      <c r="F354" t="s">
        <v>91</v>
      </c>
      <c r="G354" t="s">
        <v>1521</v>
      </c>
      <c r="H354" s="26">
        <v>15413</v>
      </c>
      <c r="I354" t="s">
        <v>58</v>
      </c>
      <c r="J354" t="s">
        <v>1522</v>
      </c>
      <c r="M354">
        <v>78700</v>
      </c>
      <c r="N354" t="s">
        <v>273</v>
      </c>
      <c r="O354" t="s">
        <v>61</v>
      </c>
      <c r="P354">
        <v>139197299</v>
      </c>
      <c r="S354" t="s">
        <v>63</v>
      </c>
      <c r="T354" t="s">
        <v>64</v>
      </c>
      <c r="U354" t="s">
        <v>65</v>
      </c>
      <c r="W354" s="26">
        <v>45553</v>
      </c>
      <c r="X354" t="s">
        <v>61</v>
      </c>
      <c r="Y354" t="s">
        <v>237</v>
      </c>
    </row>
    <row r="355" spans="1:25" x14ac:dyDescent="0.25">
      <c r="A355" t="s">
        <v>8792</v>
      </c>
      <c r="B355">
        <v>11</v>
      </c>
      <c r="C355">
        <v>94</v>
      </c>
      <c r="D355">
        <v>9031</v>
      </c>
      <c r="E355" t="s">
        <v>7</v>
      </c>
      <c r="F355" t="s">
        <v>440</v>
      </c>
      <c r="G355" t="s">
        <v>865</v>
      </c>
      <c r="H355" s="26">
        <v>22838</v>
      </c>
      <c r="I355" t="s">
        <v>58</v>
      </c>
      <c r="J355" t="s">
        <v>8793</v>
      </c>
      <c r="M355">
        <v>94470</v>
      </c>
      <c r="N355" t="s">
        <v>8794</v>
      </c>
      <c r="O355" t="s">
        <v>61</v>
      </c>
      <c r="Q355">
        <v>601367918</v>
      </c>
      <c r="R355" t="s">
        <v>8795</v>
      </c>
      <c r="S355" t="s">
        <v>63</v>
      </c>
      <c r="T355" t="s">
        <v>64</v>
      </c>
      <c r="U355" t="s">
        <v>65</v>
      </c>
      <c r="W355" s="26">
        <v>45553</v>
      </c>
      <c r="X355" t="s">
        <v>61</v>
      </c>
      <c r="Y355" t="s">
        <v>237</v>
      </c>
    </row>
    <row r="356" spans="1:25" x14ac:dyDescent="0.25">
      <c r="A356" t="s">
        <v>8796</v>
      </c>
      <c r="B356">
        <v>11</v>
      </c>
      <c r="C356">
        <v>91</v>
      </c>
      <c r="D356">
        <v>9082</v>
      </c>
      <c r="E356" t="s">
        <v>67</v>
      </c>
      <c r="F356" t="s">
        <v>1618</v>
      </c>
      <c r="G356" t="s">
        <v>8797</v>
      </c>
      <c r="H356" s="26">
        <v>15639</v>
      </c>
      <c r="I356" t="s">
        <v>58</v>
      </c>
      <c r="J356" t="s">
        <v>8798</v>
      </c>
      <c r="M356">
        <v>94190</v>
      </c>
      <c r="N356" t="s">
        <v>2766</v>
      </c>
      <c r="O356" t="s">
        <v>61</v>
      </c>
      <c r="Q356">
        <v>687669808</v>
      </c>
      <c r="R356" t="s">
        <v>8799</v>
      </c>
      <c r="S356" t="s">
        <v>63</v>
      </c>
      <c r="T356" t="s">
        <v>64</v>
      </c>
      <c r="U356" t="s">
        <v>65</v>
      </c>
      <c r="W356" s="26">
        <v>45547</v>
      </c>
      <c r="X356" t="s">
        <v>61</v>
      </c>
      <c r="Y356" t="s">
        <v>237</v>
      </c>
    </row>
    <row r="357" spans="1:25" x14ac:dyDescent="0.25">
      <c r="A357" t="s">
        <v>11194</v>
      </c>
      <c r="B357">
        <v>11</v>
      </c>
      <c r="C357">
        <v>92</v>
      </c>
      <c r="D357">
        <v>9032</v>
      </c>
      <c r="E357" t="s">
        <v>102</v>
      </c>
      <c r="F357" t="s">
        <v>91</v>
      </c>
      <c r="G357" t="s">
        <v>11195</v>
      </c>
      <c r="H357" s="26">
        <v>14377</v>
      </c>
      <c r="I357" t="s">
        <v>58</v>
      </c>
      <c r="J357" t="s">
        <v>11196</v>
      </c>
      <c r="M357">
        <v>92140</v>
      </c>
      <c r="N357" t="s">
        <v>1380</v>
      </c>
      <c r="O357" t="s">
        <v>61</v>
      </c>
      <c r="P357">
        <v>145370517</v>
      </c>
      <c r="R357" t="s">
        <v>11197</v>
      </c>
      <c r="S357" t="s">
        <v>63</v>
      </c>
      <c r="T357" t="s">
        <v>64</v>
      </c>
      <c r="U357" t="s">
        <v>65</v>
      </c>
      <c r="W357" s="26">
        <v>45588</v>
      </c>
      <c r="X357" t="s">
        <v>61</v>
      </c>
      <c r="Y357" t="s">
        <v>237</v>
      </c>
    </row>
    <row r="358" spans="1:25" x14ac:dyDescent="0.25">
      <c r="A358" t="s">
        <v>1523</v>
      </c>
      <c r="B358">
        <v>11</v>
      </c>
      <c r="C358">
        <v>92</v>
      </c>
      <c r="D358">
        <v>9088</v>
      </c>
      <c r="E358" t="s">
        <v>1</v>
      </c>
      <c r="F358" t="s">
        <v>1099</v>
      </c>
      <c r="G358" t="s">
        <v>1524</v>
      </c>
      <c r="H358" s="26">
        <v>25731</v>
      </c>
      <c r="I358" t="s">
        <v>58</v>
      </c>
      <c r="J358" t="s">
        <v>1525</v>
      </c>
      <c r="M358">
        <v>94130</v>
      </c>
      <c r="N358" t="s">
        <v>943</v>
      </c>
      <c r="O358" t="s">
        <v>61</v>
      </c>
      <c r="Q358">
        <v>616192789</v>
      </c>
      <c r="R358" t="s">
        <v>1526</v>
      </c>
      <c r="S358" t="s">
        <v>63</v>
      </c>
      <c r="T358" t="s">
        <v>64</v>
      </c>
      <c r="U358" t="s">
        <v>65</v>
      </c>
      <c r="W358" s="26">
        <v>45560</v>
      </c>
      <c r="X358" t="s">
        <v>61</v>
      </c>
      <c r="Y358" t="s">
        <v>237</v>
      </c>
    </row>
    <row r="359" spans="1:25" x14ac:dyDescent="0.25">
      <c r="A359" t="s">
        <v>1527</v>
      </c>
      <c r="B359">
        <v>11</v>
      </c>
      <c r="C359">
        <v>95</v>
      </c>
      <c r="D359">
        <v>9127</v>
      </c>
      <c r="E359" t="s">
        <v>536</v>
      </c>
      <c r="F359" t="s">
        <v>1528</v>
      </c>
      <c r="G359" t="s">
        <v>1529</v>
      </c>
      <c r="H359" s="26">
        <v>28759</v>
      </c>
      <c r="I359" t="s">
        <v>16</v>
      </c>
      <c r="J359" t="s">
        <v>1530</v>
      </c>
      <c r="M359">
        <v>95000</v>
      </c>
      <c r="N359" t="s">
        <v>77</v>
      </c>
      <c r="O359" t="s">
        <v>61</v>
      </c>
      <c r="Q359">
        <v>609244544</v>
      </c>
      <c r="R359" t="s">
        <v>1531</v>
      </c>
      <c r="S359" t="s">
        <v>63</v>
      </c>
      <c r="T359" t="s">
        <v>64</v>
      </c>
      <c r="U359" t="s">
        <v>8684</v>
      </c>
      <c r="W359" s="26">
        <v>45526</v>
      </c>
      <c r="X359" t="s">
        <v>61</v>
      </c>
      <c r="Y359" t="s">
        <v>237</v>
      </c>
    </row>
    <row r="360" spans="1:25" x14ac:dyDescent="0.25">
      <c r="A360" t="s">
        <v>1532</v>
      </c>
      <c r="B360">
        <v>11</v>
      </c>
      <c r="C360">
        <v>95</v>
      </c>
      <c r="D360">
        <v>9061</v>
      </c>
      <c r="E360" t="s">
        <v>360</v>
      </c>
      <c r="F360" t="s">
        <v>13</v>
      </c>
      <c r="G360" t="s">
        <v>1533</v>
      </c>
      <c r="H360" s="26">
        <v>19990</v>
      </c>
      <c r="I360" t="s">
        <v>58</v>
      </c>
      <c r="J360" t="s">
        <v>1534</v>
      </c>
      <c r="M360">
        <v>95280</v>
      </c>
      <c r="N360" t="s">
        <v>1535</v>
      </c>
      <c r="O360" t="s">
        <v>61</v>
      </c>
      <c r="P360">
        <v>134431963</v>
      </c>
      <c r="Q360">
        <v>682267304</v>
      </c>
      <c r="R360" t="s">
        <v>1536</v>
      </c>
      <c r="S360" t="s">
        <v>63</v>
      </c>
      <c r="T360" t="s">
        <v>64</v>
      </c>
      <c r="U360" t="s">
        <v>65</v>
      </c>
      <c r="W360" s="26">
        <v>45556</v>
      </c>
      <c r="X360" t="s">
        <v>61</v>
      </c>
      <c r="Y360" t="s">
        <v>237</v>
      </c>
    </row>
    <row r="361" spans="1:25" x14ac:dyDescent="0.25">
      <c r="A361" t="s">
        <v>1537</v>
      </c>
      <c r="B361">
        <v>11</v>
      </c>
      <c r="C361">
        <v>95</v>
      </c>
      <c r="D361">
        <v>9069</v>
      </c>
      <c r="E361" t="s">
        <v>129</v>
      </c>
      <c r="F361" t="s">
        <v>1382</v>
      </c>
      <c r="G361" t="s">
        <v>1538</v>
      </c>
      <c r="H361" s="26">
        <v>16146</v>
      </c>
      <c r="I361" t="s">
        <v>58</v>
      </c>
      <c r="J361" t="s">
        <v>1539</v>
      </c>
      <c r="M361">
        <v>95580</v>
      </c>
      <c r="N361" t="s">
        <v>1540</v>
      </c>
      <c r="O361" t="s">
        <v>61</v>
      </c>
      <c r="P361">
        <v>134160448</v>
      </c>
      <c r="R361" t="s">
        <v>1541</v>
      </c>
      <c r="S361" t="s">
        <v>63</v>
      </c>
      <c r="T361" t="s">
        <v>64</v>
      </c>
      <c r="U361" t="s">
        <v>65</v>
      </c>
      <c r="W361" s="26">
        <v>45540</v>
      </c>
      <c r="X361" t="s">
        <v>61</v>
      </c>
      <c r="Y361" t="s">
        <v>237</v>
      </c>
    </row>
    <row r="362" spans="1:25" x14ac:dyDescent="0.25">
      <c r="A362" t="s">
        <v>1542</v>
      </c>
      <c r="B362">
        <v>11</v>
      </c>
      <c r="C362">
        <v>95</v>
      </c>
      <c r="D362">
        <v>9069</v>
      </c>
      <c r="E362" t="s">
        <v>129</v>
      </c>
      <c r="F362" t="s">
        <v>1543</v>
      </c>
      <c r="G362" t="s">
        <v>1544</v>
      </c>
      <c r="H362" s="26">
        <v>25199</v>
      </c>
      <c r="I362" t="s">
        <v>58</v>
      </c>
      <c r="J362" t="s">
        <v>1545</v>
      </c>
      <c r="M362">
        <v>95170</v>
      </c>
      <c r="N362" t="s">
        <v>1546</v>
      </c>
      <c r="O362" t="s">
        <v>61</v>
      </c>
      <c r="Q362">
        <v>622710094</v>
      </c>
      <c r="R362" t="s">
        <v>1547</v>
      </c>
      <c r="S362" t="s">
        <v>63</v>
      </c>
      <c r="T362" t="s">
        <v>64</v>
      </c>
      <c r="U362" t="s">
        <v>65</v>
      </c>
      <c r="W362" s="26">
        <v>45557</v>
      </c>
      <c r="X362" t="s">
        <v>61</v>
      </c>
      <c r="Y362" t="s">
        <v>237</v>
      </c>
    </row>
    <row r="363" spans="1:25" x14ac:dyDescent="0.25">
      <c r="A363" t="s">
        <v>1548</v>
      </c>
      <c r="B363">
        <v>11</v>
      </c>
      <c r="C363">
        <v>94</v>
      </c>
      <c r="D363">
        <v>9129</v>
      </c>
      <c r="E363" t="s">
        <v>1549</v>
      </c>
      <c r="F363" t="s">
        <v>217</v>
      </c>
      <c r="G363" t="s">
        <v>1550</v>
      </c>
      <c r="H363" s="26">
        <v>30438</v>
      </c>
      <c r="I363" t="s">
        <v>58</v>
      </c>
      <c r="J363" t="s">
        <v>1551</v>
      </c>
      <c r="M363">
        <v>94140</v>
      </c>
      <c r="N363" t="s">
        <v>959</v>
      </c>
      <c r="O363" t="s">
        <v>61</v>
      </c>
      <c r="Q363">
        <v>768569668</v>
      </c>
      <c r="R363" t="s">
        <v>1552</v>
      </c>
      <c r="S363" t="s">
        <v>63</v>
      </c>
      <c r="T363" t="s">
        <v>64</v>
      </c>
      <c r="U363" t="s">
        <v>8684</v>
      </c>
      <c r="W363" s="26">
        <v>45529</v>
      </c>
      <c r="X363" t="s">
        <v>61</v>
      </c>
      <c r="Y363" t="s">
        <v>237</v>
      </c>
    </row>
    <row r="364" spans="1:25" x14ac:dyDescent="0.25">
      <c r="A364" t="s">
        <v>1553</v>
      </c>
      <c r="B364">
        <v>11</v>
      </c>
      <c r="C364">
        <v>91</v>
      </c>
      <c r="D364">
        <v>9096</v>
      </c>
      <c r="E364" t="s">
        <v>526</v>
      </c>
      <c r="F364" t="s">
        <v>641</v>
      </c>
      <c r="G364" t="s">
        <v>1554</v>
      </c>
      <c r="H364" s="26">
        <v>20383</v>
      </c>
      <c r="I364" t="s">
        <v>58</v>
      </c>
      <c r="J364" t="s">
        <v>1555</v>
      </c>
      <c r="M364">
        <v>91150</v>
      </c>
      <c r="N364" t="s">
        <v>1556</v>
      </c>
      <c r="O364" t="s">
        <v>61</v>
      </c>
      <c r="Q364">
        <v>607756566</v>
      </c>
      <c r="R364" t="s">
        <v>1557</v>
      </c>
      <c r="S364" t="s">
        <v>63</v>
      </c>
      <c r="T364" t="s">
        <v>64</v>
      </c>
      <c r="U364" t="s">
        <v>65</v>
      </c>
      <c r="W364" s="26">
        <v>45546</v>
      </c>
      <c r="X364" t="s">
        <v>61</v>
      </c>
      <c r="Y364" t="s">
        <v>237</v>
      </c>
    </row>
    <row r="365" spans="1:25" x14ac:dyDescent="0.25">
      <c r="A365" t="s">
        <v>8800</v>
      </c>
      <c r="B365">
        <v>11</v>
      </c>
      <c r="C365">
        <v>75</v>
      </c>
      <c r="D365">
        <v>9070</v>
      </c>
      <c r="E365" t="s">
        <v>168</v>
      </c>
      <c r="F365" t="s">
        <v>8801</v>
      </c>
      <c r="G365" t="s">
        <v>8802</v>
      </c>
      <c r="H365" s="26">
        <v>25611</v>
      </c>
      <c r="I365" t="s">
        <v>58</v>
      </c>
      <c r="J365" t="s">
        <v>8803</v>
      </c>
      <c r="M365">
        <v>94370</v>
      </c>
      <c r="N365" t="s">
        <v>60</v>
      </c>
      <c r="O365" t="s">
        <v>61</v>
      </c>
      <c r="Q365">
        <v>625706057</v>
      </c>
      <c r="R365" t="s">
        <v>8804</v>
      </c>
      <c r="S365" t="s">
        <v>237</v>
      </c>
      <c r="T365" t="s">
        <v>64</v>
      </c>
      <c r="U365" t="s">
        <v>8684</v>
      </c>
      <c r="W365" s="26">
        <v>45561</v>
      </c>
      <c r="X365" t="s">
        <v>61</v>
      </c>
      <c r="Y365" t="s">
        <v>237</v>
      </c>
    </row>
    <row r="366" spans="1:25" x14ac:dyDescent="0.25">
      <c r="A366" t="s">
        <v>10414</v>
      </c>
      <c r="B366">
        <v>11</v>
      </c>
      <c r="C366">
        <v>93</v>
      </c>
      <c r="D366">
        <v>9060</v>
      </c>
      <c r="E366" t="s">
        <v>203</v>
      </c>
      <c r="F366" t="s">
        <v>1382</v>
      </c>
      <c r="G366" t="s">
        <v>10415</v>
      </c>
      <c r="H366" s="26">
        <v>14496</v>
      </c>
      <c r="I366" t="s">
        <v>58</v>
      </c>
      <c r="J366" t="s">
        <v>10416</v>
      </c>
      <c r="M366">
        <v>93600</v>
      </c>
      <c r="N366" t="s">
        <v>1558</v>
      </c>
      <c r="O366" t="s">
        <v>61</v>
      </c>
      <c r="P366">
        <v>148694308</v>
      </c>
      <c r="Q366">
        <v>680230287</v>
      </c>
      <c r="R366" t="s">
        <v>10417</v>
      </c>
      <c r="S366" t="s">
        <v>63</v>
      </c>
      <c r="T366" t="s">
        <v>64</v>
      </c>
      <c r="U366" t="s">
        <v>65</v>
      </c>
      <c r="W366" s="26">
        <v>45576</v>
      </c>
      <c r="X366" t="s">
        <v>61</v>
      </c>
      <c r="Y366" t="s">
        <v>237</v>
      </c>
    </row>
    <row r="367" spans="1:25" x14ac:dyDescent="0.25">
      <c r="A367" t="s">
        <v>11198</v>
      </c>
      <c r="B367">
        <v>11</v>
      </c>
      <c r="C367">
        <v>93</v>
      </c>
      <c r="D367">
        <v>9060</v>
      </c>
      <c r="E367" t="s">
        <v>203</v>
      </c>
      <c r="F367" t="s">
        <v>100</v>
      </c>
      <c r="G367" t="s">
        <v>11199</v>
      </c>
      <c r="H367" s="26">
        <v>15236</v>
      </c>
      <c r="I367" t="s">
        <v>58</v>
      </c>
      <c r="J367" t="s">
        <v>11200</v>
      </c>
      <c r="M367">
        <v>77290</v>
      </c>
      <c r="N367" t="s">
        <v>1559</v>
      </c>
      <c r="O367" t="s">
        <v>61</v>
      </c>
      <c r="Q367">
        <v>686131662</v>
      </c>
      <c r="R367" t="s">
        <v>11201</v>
      </c>
      <c r="S367" t="s">
        <v>237</v>
      </c>
      <c r="T367" t="s">
        <v>64</v>
      </c>
      <c r="U367" t="s">
        <v>65</v>
      </c>
      <c r="W367" s="26">
        <v>45589</v>
      </c>
      <c r="X367" t="s">
        <v>61</v>
      </c>
      <c r="Y367" t="s">
        <v>237</v>
      </c>
    </row>
    <row r="368" spans="1:25" x14ac:dyDescent="0.25">
      <c r="A368" t="s">
        <v>1560</v>
      </c>
      <c r="B368">
        <v>11</v>
      </c>
      <c r="C368">
        <v>77</v>
      </c>
      <c r="D368">
        <v>9049</v>
      </c>
      <c r="E368" t="s">
        <v>902</v>
      </c>
      <c r="F368" t="s">
        <v>160</v>
      </c>
      <c r="G368" t="s">
        <v>1247</v>
      </c>
      <c r="H368" s="26">
        <v>21692</v>
      </c>
      <c r="I368" t="s">
        <v>58</v>
      </c>
      <c r="J368" t="s">
        <v>1561</v>
      </c>
      <c r="M368">
        <v>2130</v>
      </c>
      <c r="N368" t="s">
        <v>1562</v>
      </c>
      <c r="O368" t="s">
        <v>61</v>
      </c>
      <c r="Q368">
        <v>613388223</v>
      </c>
      <c r="R368" t="s">
        <v>1563</v>
      </c>
      <c r="S368" t="s">
        <v>63</v>
      </c>
      <c r="T368" t="s">
        <v>64</v>
      </c>
      <c r="U368" t="s">
        <v>65</v>
      </c>
      <c r="W368" s="26">
        <v>45524</v>
      </c>
      <c r="X368" t="s">
        <v>61</v>
      </c>
      <c r="Y368" t="s">
        <v>237</v>
      </c>
    </row>
    <row r="369" spans="1:25" x14ac:dyDescent="0.25">
      <c r="A369" t="s">
        <v>1564</v>
      </c>
      <c r="B369">
        <v>11</v>
      </c>
      <c r="C369">
        <v>78</v>
      </c>
      <c r="D369">
        <v>9084</v>
      </c>
      <c r="E369" t="s">
        <v>216</v>
      </c>
      <c r="F369" t="s">
        <v>91</v>
      </c>
      <c r="G369" t="s">
        <v>1565</v>
      </c>
      <c r="H369" s="26">
        <v>22472</v>
      </c>
      <c r="I369" t="s">
        <v>58</v>
      </c>
      <c r="J369" t="s">
        <v>1566</v>
      </c>
      <c r="K369" t="s">
        <v>1567</v>
      </c>
      <c r="M369">
        <v>78570</v>
      </c>
      <c r="N369" t="s">
        <v>1568</v>
      </c>
      <c r="O369" t="s">
        <v>61</v>
      </c>
      <c r="P369">
        <v>139744796</v>
      </c>
      <c r="Q369">
        <v>633466866</v>
      </c>
      <c r="R369" t="s">
        <v>1569</v>
      </c>
      <c r="S369" t="s">
        <v>63</v>
      </c>
      <c r="T369" t="s">
        <v>64</v>
      </c>
      <c r="U369" t="s">
        <v>65</v>
      </c>
      <c r="V369" t="s">
        <v>111</v>
      </c>
      <c r="W369" s="26">
        <v>45545</v>
      </c>
      <c r="X369" t="s">
        <v>61</v>
      </c>
      <c r="Y369" t="s">
        <v>237</v>
      </c>
    </row>
    <row r="370" spans="1:25" x14ac:dyDescent="0.25">
      <c r="A370" t="s">
        <v>1570</v>
      </c>
      <c r="B370">
        <v>11</v>
      </c>
      <c r="C370">
        <v>92</v>
      </c>
      <c r="D370">
        <v>9065</v>
      </c>
      <c r="E370" t="s">
        <v>426</v>
      </c>
      <c r="F370" t="s">
        <v>472</v>
      </c>
      <c r="G370" t="s">
        <v>1094</v>
      </c>
      <c r="H370" s="26">
        <v>27249</v>
      </c>
      <c r="I370" t="s">
        <v>58</v>
      </c>
      <c r="J370" t="s">
        <v>1571</v>
      </c>
      <c r="M370">
        <v>78280</v>
      </c>
      <c r="N370" t="s">
        <v>98</v>
      </c>
      <c r="O370" t="s">
        <v>61</v>
      </c>
      <c r="R370" t="s">
        <v>1572</v>
      </c>
      <c r="S370" t="s">
        <v>63</v>
      </c>
      <c r="T370" t="s">
        <v>64</v>
      </c>
      <c r="U370" t="s">
        <v>8684</v>
      </c>
      <c r="V370" t="s">
        <v>111</v>
      </c>
      <c r="W370" s="26">
        <v>45533</v>
      </c>
      <c r="X370" t="s">
        <v>61</v>
      </c>
      <c r="Y370" t="s">
        <v>237</v>
      </c>
    </row>
    <row r="371" spans="1:25" x14ac:dyDescent="0.25">
      <c r="A371" t="s">
        <v>10418</v>
      </c>
      <c r="B371">
        <v>11</v>
      </c>
      <c r="C371">
        <v>94</v>
      </c>
      <c r="D371">
        <v>9024</v>
      </c>
      <c r="E371" t="s">
        <v>4</v>
      </c>
      <c r="F371" t="s">
        <v>10419</v>
      </c>
      <c r="G371" t="s">
        <v>10420</v>
      </c>
      <c r="H371" s="26">
        <v>19302</v>
      </c>
      <c r="I371" t="s">
        <v>58</v>
      </c>
      <c r="J371" t="s">
        <v>10421</v>
      </c>
      <c r="M371">
        <v>94100</v>
      </c>
      <c r="N371" t="s">
        <v>971</v>
      </c>
      <c r="O371" t="s">
        <v>61</v>
      </c>
      <c r="R371" t="s">
        <v>10422</v>
      </c>
      <c r="S371" t="s">
        <v>63</v>
      </c>
      <c r="T371" t="s">
        <v>64</v>
      </c>
      <c r="U371" t="s">
        <v>65</v>
      </c>
      <c r="W371" s="26">
        <v>45574</v>
      </c>
      <c r="X371" t="s">
        <v>61</v>
      </c>
      <c r="Y371" t="s">
        <v>237</v>
      </c>
    </row>
    <row r="372" spans="1:25" x14ac:dyDescent="0.25">
      <c r="A372" t="s">
        <v>1573</v>
      </c>
      <c r="B372">
        <v>11</v>
      </c>
      <c r="C372">
        <v>94</v>
      </c>
      <c r="D372">
        <v>9024</v>
      </c>
      <c r="E372" t="s">
        <v>4</v>
      </c>
      <c r="F372" t="s">
        <v>1271</v>
      </c>
      <c r="G372" t="s">
        <v>1574</v>
      </c>
      <c r="H372" s="26">
        <v>21569</v>
      </c>
      <c r="I372" t="s">
        <v>16</v>
      </c>
      <c r="J372" t="s">
        <v>1575</v>
      </c>
      <c r="M372">
        <v>94100</v>
      </c>
      <c r="N372" t="s">
        <v>971</v>
      </c>
      <c r="O372" t="s">
        <v>61</v>
      </c>
      <c r="P372">
        <v>148890026</v>
      </c>
      <c r="Q372">
        <v>642167971</v>
      </c>
      <c r="R372" t="s">
        <v>1576</v>
      </c>
      <c r="S372" t="s">
        <v>63</v>
      </c>
      <c r="T372" t="s">
        <v>64</v>
      </c>
      <c r="U372" t="s">
        <v>65</v>
      </c>
      <c r="W372" s="26">
        <v>45566</v>
      </c>
      <c r="X372" t="s">
        <v>61</v>
      </c>
      <c r="Y372" t="s">
        <v>237</v>
      </c>
    </row>
    <row r="373" spans="1:25" x14ac:dyDescent="0.25">
      <c r="A373" t="s">
        <v>1577</v>
      </c>
      <c r="B373">
        <v>11</v>
      </c>
      <c r="C373">
        <v>77</v>
      </c>
      <c r="D373">
        <v>9059</v>
      </c>
      <c r="E373" t="s">
        <v>197</v>
      </c>
      <c r="F373" t="s">
        <v>106</v>
      </c>
      <c r="G373" t="s">
        <v>1578</v>
      </c>
      <c r="H373" s="26">
        <v>17553</v>
      </c>
      <c r="I373" t="s">
        <v>58</v>
      </c>
      <c r="J373" t="s">
        <v>1579</v>
      </c>
      <c r="M373">
        <v>77186</v>
      </c>
      <c r="N373" t="s">
        <v>1580</v>
      </c>
      <c r="O373" t="s">
        <v>61</v>
      </c>
      <c r="Q373">
        <v>625886865</v>
      </c>
      <c r="R373" t="s">
        <v>1581</v>
      </c>
      <c r="S373" t="s">
        <v>63</v>
      </c>
      <c r="T373" t="s">
        <v>64</v>
      </c>
      <c r="U373" t="s">
        <v>65</v>
      </c>
      <c r="V373" t="s">
        <v>111</v>
      </c>
      <c r="W373" s="26">
        <v>45537</v>
      </c>
      <c r="X373" t="s">
        <v>61</v>
      </c>
      <c r="Y373" t="s">
        <v>237</v>
      </c>
    </row>
    <row r="374" spans="1:25" x14ac:dyDescent="0.25">
      <c r="A374" t="s">
        <v>1582</v>
      </c>
      <c r="B374">
        <v>11</v>
      </c>
      <c r="C374">
        <v>94</v>
      </c>
      <c r="D374">
        <v>9024</v>
      </c>
      <c r="E374" t="s">
        <v>4</v>
      </c>
      <c r="F374" t="s">
        <v>297</v>
      </c>
      <c r="G374" t="s">
        <v>1583</v>
      </c>
      <c r="H374" s="26">
        <v>23868</v>
      </c>
      <c r="I374" t="s">
        <v>58</v>
      </c>
      <c r="J374" t="s">
        <v>1584</v>
      </c>
      <c r="M374">
        <v>94000</v>
      </c>
      <c r="N374" t="s">
        <v>277</v>
      </c>
      <c r="O374" t="s">
        <v>61</v>
      </c>
      <c r="Q374">
        <v>616161886</v>
      </c>
      <c r="R374" t="s">
        <v>1585</v>
      </c>
      <c r="S374" t="s">
        <v>63</v>
      </c>
      <c r="T374" t="s">
        <v>64</v>
      </c>
      <c r="U374" t="s">
        <v>65</v>
      </c>
      <c r="W374" s="26">
        <v>45559</v>
      </c>
      <c r="X374" t="s">
        <v>61</v>
      </c>
      <c r="Y374" t="s">
        <v>237</v>
      </c>
    </row>
    <row r="375" spans="1:25" x14ac:dyDescent="0.25">
      <c r="A375" t="s">
        <v>10100</v>
      </c>
      <c r="B375">
        <v>11</v>
      </c>
      <c r="C375">
        <v>95</v>
      </c>
      <c r="D375">
        <v>9069</v>
      </c>
      <c r="E375" t="s">
        <v>129</v>
      </c>
      <c r="F375" t="s">
        <v>1586</v>
      </c>
      <c r="G375" t="s">
        <v>10101</v>
      </c>
      <c r="H375" s="26">
        <v>34983</v>
      </c>
      <c r="I375" t="s">
        <v>58</v>
      </c>
      <c r="J375" t="s">
        <v>10102</v>
      </c>
      <c r="M375">
        <v>95130</v>
      </c>
      <c r="N375" t="s">
        <v>878</v>
      </c>
      <c r="O375" t="s">
        <v>61</v>
      </c>
      <c r="P375">
        <v>134146496</v>
      </c>
      <c r="Q375">
        <v>601166882</v>
      </c>
      <c r="R375" t="s">
        <v>10103</v>
      </c>
      <c r="S375" t="s">
        <v>63</v>
      </c>
      <c r="T375" t="s">
        <v>64</v>
      </c>
      <c r="U375" t="s">
        <v>65</v>
      </c>
      <c r="W375" s="26">
        <v>45568</v>
      </c>
      <c r="X375" t="s">
        <v>61</v>
      </c>
      <c r="Y375" t="s">
        <v>237</v>
      </c>
    </row>
    <row r="376" spans="1:25" x14ac:dyDescent="0.25">
      <c r="A376" t="s">
        <v>8805</v>
      </c>
      <c r="B376">
        <v>11</v>
      </c>
      <c r="C376">
        <v>91</v>
      </c>
      <c r="D376">
        <v>9009</v>
      </c>
      <c r="E376" t="s">
        <v>159</v>
      </c>
      <c r="F376" t="s">
        <v>1247</v>
      </c>
      <c r="G376" t="s">
        <v>8806</v>
      </c>
      <c r="H376" s="26">
        <v>14927</v>
      </c>
      <c r="I376" t="s">
        <v>58</v>
      </c>
      <c r="J376" t="s">
        <v>8807</v>
      </c>
      <c r="M376">
        <v>91600</v>
      </c>
      <c r="N376" t="s">
        <v>1680</v>
      </c>
      <c r="O376" t="s">
        <v>61</v>
      </c>
      <c r="R376" t="s">
        <v>2577</v>
      </c>
      <c r="S376" t="s">
        <v>63</v>
      </c>
      <c r="T376" t="s">
        <v>64</v>
      </c>
      <c r="U376" t="s">
        <v>65</v>
      </c>
      <c r="W376" s="26">
        <v>45549</v>
      </c>
      <c r="X376" t="s">
        <v>61</v>
      </c>
      <c r="Y376" t="s">
        <v>237</v>
      </c>
    </row>
    <row r="377" spans="1:25" x14ac:dyDescent="0.25">
      <c r="A377" t="s">
        <v>1587</v>
      </c>
      <c r="B377">
        <v>11</v>
      </c>
      <c r="C377">
        <v>91</v>
      </c>
      <c r="D377">
        <v>9095</v>
      </c>
      <c r="E377" t="s">
        <v>113</v>
      </c>
      <c r="F377" t="s">
        <v>272</v>
      </c>
      <c r="G377" t="s">
        <v>1588</v>
      </c>
      <c r="H377" s="26">
        <v>18741</v>
      </c>
      <c r="I377" t="s">
        <v>58</v>
      </c>
      <c r="J377" t="s">
        <v>1589</v>
      </c>
      <c r="M377">
        <v>91520</v>
      </c>
      <c r="N377" t="s">
        <v>1590</v>
      </c>
      <c r="O377" t="s">
        <v>61</v>
      </c>
      <c r="P377">
        <v>986238241</v>
      </c>
      <c r="Q377">
        <v>670239153</v>
      </c>
      <c r="R377" t="s">
        <v>1591</v>
      </c>
      <c r="S377" t="s">
        <v>63</v>
      </c>
      <c r="T377" t="s">
        <v>64</v>
      </c>
      <c r="U377" t="s">
        <v>65</v>
      </c>
      <c r="W377" s="26">
        <v>45551</v>
      </c>
      <c r="X377" t="s">
        <v>61</v>
      </c>
      <c r="Y377" t="s">
        <v>237</v>
      </c>
    </row>
    <row r="378" spans="1:25" x14ac:dyDescent="0.25">
      <c r="A378" t="s">
        <v>1592</v>
      </c>
      <c r="B378">
        <v>11</v>
      </c>
      <c r="C378">
        <v>91</v>
      </c>
      <c r="D378">
        <v>9009</v>
      </c>
      <c r="E378" t="s">
        <v>159</v>
      </c>
      <c r="F378" t="s">
        <v>114</v>
      </c>
      <c r="G378" t="s">
        <v>1593</v>
      </c>
      <c r="H378" s="26">
        <v>22960</v>
      </c>
      <c r="I378" t="s">
        <v>58</v>
      </c>
      <c r="J378" t="s">
        <v>1594</v>
      </c>
      <c r="M378">
        <v>92160</v>
      </c>
      <c r="N378" t="s">
        <v>320</v>
      </c>
      <c r="O378" t="s">
        <v>61</v>
      </c>
      <c r="P378">
        <v>146745725</v>
      </c>
      <c r="Q378">
        <v>635966810</v>
      </c>
      <c r="R378" t="s">
        <v>1595</v>
      </c>
      <c r="S378" t="s">
        <v>237</v>
      </c>
      <c r="T378" t="s">
        <v>64</v>
      </c>
      <c r="U378" t="s">
        <v>65</v>
      </c>
      <c r="W378" s="26">
        <v>45559</v>
      </c>
      <c r="X378" t="s">
        <v>61</v>
      </c>
      <c r="Y378" t="s">
        <v>237</v>
      </c>
    </row>
    <row r="379" spans="1:25" x14ac:dyDescent="0.25">
      <c r="A379" t="s">
        <v>1597</v>
      </c>
      <c r="B379">
        <v>11</v>
      </c>
      <c r="C379">
        <v>95</v>
      </c>
      <c r="D379">
        <v>9127</v>
      </c>
      <c r="E379" t="s">
        <v>536</v>
      </c>
      <c r="F379" t="s">
        <v>1598</v>
      </c>
      <c r="G379" t="s">
        <v>1599</v>
      </c>
      <c r="H379" s="26">
        <v>30060</v>
      </c>
      <c r="I379" t="s">
        <v>16</v>
      </c>
      <c r="J379" t="s">
        <v>8808</v>
      </c>
      <c r="M379">
        <v>94210</v>
      </c>
      <c r="N379" t="s">
        <v>971</v>
      </c>
      <c r="O379" t="s">
        <v>61</v>
      </c>
      <c r="Q379">
        <v>782515180</v>
      </c>
      <c r="R379" t="s">
        <v>1600</v>
      </c>
      <c r="S379" t="s">
        <v>63</v>
      </c>
      <c r="T379" t="s">
        <v>64</v>
      </c>
      <c r="U379" t="s">
        <v>8684</v>
      </c>
      <c r="W379" s="26">
        <v>45535</v>
      </c>
      <c r="X379" t="s">
        <v>61</v>
      </c>
      <c r="Y379" t="s">
        <v>237</v>
      </c>
    </row>
    <row r="380" spans="1:25" x14ac:dyDescent="0.25">
      <c r="A380" t="s">
        <v>1601</v>
      </c>
      <c r="B380">
        <v>11</v>
      </c>
      <c r="C380">
        <v>95</v>
      </c>
      <c r="D380">
        <v>9010</v>
      </c>
      <c r="E380" t="s">
        <v>6</v>
      </c>
      <c r="F380" t="s">
        <v>1166</v>
      </c>
      <c r="G380" t="s">
        <v>1602</v>
      </c>
      <c r="H380" s="26">
        <v>29811</v>
      </c>
      <c r="I380" t="s">
        <v>58</v>
      </c>
      <c r="J380" t="s">
        <v>1603</v>
      </c>
      <c r="M380">
        <v>78700</v>
      </c>
      <c r="N380" t="s">
        <v>273</v>
      </c>
      <c r="O380" t="s">
        <v>61</v>
      </c>
      <c r="Q380">
        <v>622083847</v>
      </c>
      <c r="R380" t="s">
        <v>1604</v>
      </c>
      <c r="S380" t="s">
        <v>63</v>
      </c>
      <c r="T380" t="s">
        <v>64</v>
      </c>
      <c r="U380" t="s">
        <v>8684</v>
      </c>
      <c r="W380" s="26">
        <v>45530</v>
      </c>
      <c r="X380" t="s">
        <v>61</v>
      </c>
      <c r="Y380" t="s">
        <v>237</v>
      </c>
    </row>
    <row r="381" spans="1:25" x14ac:dyDescent="0.25">
      <c r="A381" t="s">
        <v>1605</v>
      </c>
      <c r="B381">
        <v>11</v>
      </c>
      <c r="C381">
        <v>95</v>
      </c>
      <c r="D381">
        <v>9069</v>
      </c>
      <c r="E381" t="s">
        <v>129</v>
      </c>
      <c r="F381" t="s">
        <v>886</v>
      </c>
      <c r="G381" t="s">
        <v>1606</v>
      </c>
      <c r="H381" s="26">
        <v>23176</v>
      </c>
      <c r="I381" t="s">
        <v>58</v>
      </c>
      <c r="J381" t="s">
        <v>1607</v>
      </c>
      <c r="M381">
        <v>95130</v>
      </c>
      <c r="N381" t="s">
        <v>878</v>
      </c>
      <c r="O381" t="s">
        <v>61</v>
      </c>
      <c r="S381" t="s">
        <v>63</v>
      </c>
      <c r="T381" t="s">
        <v>64</v>
      </c>
      <c r="U381" t="s">
        <v>65</v>
      </c>
      <c r="W381" s="26">
        <v>45532</v>
      </c>
      <c r="X381" t="s">
        <v>61</v>
      </c>
      <c r="Y381" t="s">
        <v>237</v>
      </c>
    </row>
    <row r="382" spans="1:25" x14ac:dyDescent="0.25">
      <c r="A382" t="s">
        <v>1608</v>
      </c>
      <c r="B382">
        <v>11</v>
      </c>
      <c r="C382">
        <v>78</v>
      </c>
      <c r="D382">
        <v>9101</v>
      </c>
      <c r="E382" t="s">
        <v>1165</v>
      </c>
      <c r="F382" t="s">
        <v>12</v>
      </c>
      <c r="G382" t="s">
        <v>1609</v>
      </c>
      <c r="H382" s="26">
        <v>27959</v>
      </c>
      <c r="I382" t="s">
        <v>58</v>
      </c>
      <c r="J382" t="s">
        <v>1610</v>
      </c>
      <c r="M382">
        <v>41350</v>
      </c>
      <c r="N382" t="s">
        <v>1611</v>
      </c>
      <c r="O382" t="s">
        <v>61</v>
      </c>
      <c r="Q382">
        <v>663458789</v>
      </c>
      <c r="R382" t="s">
        <v>1612</v>
      </c>
      <c r="S382" t="s">
        <v>63</v>
      </c>
      <c r="T382" t="s">
        <v>64</v>
      </c>
      <c r="U382" t="s">
        <v>486</v>
      </c>
      <c r="W382" s="26">
        <v>45525</v>
      </c>
      <c r="X382" t="s">
        <v>61</v>
      </c>
      <c r="Y382" t="s">
        <v>237</v>
      </c>
    </row>
    <row r="383" spans="1:25" x14ac:dyDescent="0.25">
      <c r="A383" t="s">
        <v>8809</v>
      </c>
      <c r="B383">
        <v>11</v>
      </c>
      <c r="C383">
        <v>78</v>
      </c>
      <c r="D383">
        <v>9101</v>
      </c>
      <c r="E383" t="s">
        <v>1165</v>
      </c>
      <c r="F383" t="s">
        <v>243</v>
      </c>
      <c r="G383" t="s">
        <v>8810</v>
      </c>
      <c r="H383" s="26">
        <v>31413</v>
      </c>
      <c r="I383" t="s">
        <v>58</v>
      </c>
      <c r="J383" t="s">
        <v>8811</v>
      </c>
      <c r="M383">
        <v>87350</v>
      </c>
      <c r="N383" t="s">
        <v>8812</v>
      </c>
      <c r="O383" t="s">
        <v>61</v>
      </c>
      <c r="Q383">
        <v>625970593</v>
      </c>
      <c r="R383" t="s">
        <v>8813</v>
      </c>
      <c r="S383" t="s">
        <v>237</v>
      </c>
      <c r="T383" t="s">
        <v>64</v>
      </c>
      <c r="U383" t="s">
        <v>486</v>
      </c>
      <c r="W383" s="26">
        <v>45525</v>
      </c>
      <c r="X383" t="s">
        <v>61</v>
      </c>
      <c r="Y383" t="s">
        <v>237</v>
      </c>
    </row>
    <row r="384" spans="1:25" x14ac:dyDescent="0.25">
      <c r="A384" t="s">
        <v>1613</v>
      </c>
      <c r="B384">
        <v>11</v>
      </c>
      <c r="C384">
        <v>91</v>
      </c>
      <c r="D384">
        <v>9009</v>
      </c>
      <c r="E384" t="s">
        <v>159</v>
      </c>
      <c r="F384" t="s">
        <v>85</v>
      </c>
      <c r="G384" t="s">
        <v>1614</v>
      </c>
      <c r="H384" s="26">
        <v>20566</v>
      </c>
      <c r="I384" t="s">
        <v>58</v>
      </c>
      <c r="J384" t="s">
        <v>1615</v>
      </c>
      <c r="M384">
        <v>91130</v>
      </c>
      <c r="N384" t="s">
        <v>1616</v>
      </c>
      <c r="O384" t="s">
        <v>61</v>
      </c>
      <c r="Q384">
        <v>676225110</v>
      </c>
      <c r="R384" t="s">
        <v>1617</v>
      </c>
      <c r="S384" t="s">
        <v>63</v>
      </c>
      <c r="T384" t="s">
        <v>64</v>
      </c>
      <c r="U384" t="s">
        <v>65</v>
      </c>
      <c r="W384" s="26">
        <v>45554</v>
      </c>
      <c r="X384" t="s">
        <v>61</v>
      </c>
      <c r="Y384" t="s">
        <v>237</v>
      </c>
    </row>
    <row r="385" spans="1:25" x14ac:dyDescent="0.25">
      <c r="A385" t="s">
        <v>1620</v>
      </c>
      <c r="B385">
        <v>11</v>
      </c>
      <c r="C385">
        <v>77</v>
      </c>
      <c r="D385">
        <v>9049</v>
      </c>
      <c r="E385" t="s">
        <v>902</v>
      </c>
      <c r="F385" t="s">
        <v>864</v>
      </c>
      <c r="G385" t="s">
        <v>1621</v>
      </c>
      <c r="H385" s="26">
        <v>18169</v>
      </c>
      <c r="I385" t="s">
        <v>58</v>
      </c>
      <c r="J385" t="s">
        <v>1622</v>
      </c>
      <c r="M385">
        <v>77100</v>
      </c>
      <c r="N385" t="s">
        <v>1623</v>
      </c>
      <c r="O385" t="s">
        <v>61</v>
      </c>
      <c r="Q385">
        <v>603558997</v>
      </c>
      <c r="R385" t="s">
        <v>1624</v>
      </c>
      <c r="S385" t="s">
        <v>63</v>
      </c>
      <c r="T385" t="s">
        <v>64</v>
      </c>
      <c r="U385" t="s">
        <v>65</v>
      </c>
      <c r="V385" t="s">
        <v>111</v>
      </c>
      <c r="W385" s="26">
        <v>45524</v>
      </c>
      <c r="X385" t="s">
        <v>61</v>
      </c>
      <c r="Y385" t="s">
        <v>237</v>
      </c>
    </row>
    <row r="386" spans="1:25" x14ac:dyDescent="0.25">
      <c r="A386" t="s">
        <v>1625</v>
      </c>
      <c r="B386">
        <v>11</v>
      </c>
      <c r="C386">
        <v>94</v>
      </c>
      <c r="D386">
        <v>9129</v>
      </c>
      <c r="E386" t="s">
        <v>1549</v>
      </c>
      <c r="F386" t="s">
        <v>1626</v>
      </c>
      <c r="G386" t="s">
        <v>1627</v>
      </c>
      <c r="H386" s="26">
        <v>23911</v>
      </c>
      <c r="I386" t="s">
        <v>58</v>
      </c>
      <c r="J386" t="s">
        <v>1628</v>
      </c>
      <c r="K386" t="s">
        <v>1629</v>
      </c>
      <c r="M386">
        <v>63540</v>
      </c>
      <c r="N386" t="s">
        <v>1630</v>
      </c>
      <c r="O386" t="s">
        <v>61</v>
      </c>
      <c r="Q386">
        <v>687606762</v>
      </c>
      <c r="R386" t="s">
        <v>1631</v>
      </c>
      <c r="S386" t="s">
        <v>63</v>
      </c>
      <c r="T386" t="s">
        <v>64</v>
      </c>
      <c r="U386" t="s">
        <v>8684</v>
      </c>
      <c r="W386" s="26">
        <v>45557</v>
      </c>
      <c r="X386" t="s">
        <v>61</v>
      </c>
      <c r="Y386" t="s">
        <v>237</v>
      </c>
    </row>
    <row r="387" spans="1:25" x14ac:dyDescent="0.25">
      <c r="A387" t="s">
        <v>10423</v>
      </c>
      <c r="B387">
        <v>11</v>
      </c>
      <c r="C387">
        <v>92</v>
      </c>
      <c r="D387">
        <v>9065</v>
      </c>
      <c r="E387" t="s">
        <v>426</v>
      </c>
      <c r="F387" t="s">
        <v>134</v>
      </c>
      <c r="G387" t="s">
        <v>10424</v>
      </c>
      <c r="H387" s="26">
        <v>30486</v>
      </c>
      <c r="I387" t="s">
        <v>58</v>
      </c>
      <c r="J387" t="s">
        <v>10425</v>
      </c>
      <c r="M387">
        <v>91700</v>
      </c>
      <c r="N387" t="s">
        <v>10426</v>
      </c>
      <c r="O387" t="s">
        <v>61</v>
      </c>
      <c r="Q387">
        <v>622936328</v>
      </c>
      <c r="R387" t="s">
        <v>10427</v>
      </c>
      <c r="S387" t="s">
        <v>63</v>
      </c>
      <c r="T387" t="s">
        <v>64</v>
      </c>
      <c r="U387" t="s">
        <v>8684</v>
      </c>
      <c r="W387" s="26">
        <v>45577</v>
      </c>
      <c r="X387" t="s">
        <v>61</v>
      </c>
      <c r="Y387" t="s">
        <v>237</v>
      </c>
    </row>
    <row r="388" spans="1:25" x14ac:dyDescent="0.25">
      <c r="A388" t="s">
        <v>1632</v>
      </c>
      <c r="B388">
        <v>11</v>
      </c>
      <c r="C388">
        <v>91</v>
      </c>
      <c r="D388">
        <v>9009</v>
      </c>
      <c r="E388" t="s">
        <v>159</v>
      </c>
      <c r="F388" t="s">
        <v>204</v>
      </c>
      <c r="G388" t="s">
        <v>1633</v>
      </c>
      <c r="H388" s="26">
        <v>20730</v>
      </c>
      <c r="I388" t="s">
        <v>58</v>
      </c>
      <c r="J388" t="s">
        <v>1634</v>
      </c>
      <c r="M388">
        <v>91360</v>
      </c>
      <c r="N388" t="s">
        <v>270</v>
      </c>
      <c r="O388" t="s">
        <v>61</v>
      </c>
      <c r="P388">
        <v>169347732</v>
      </c>
      <c r="Q388">
        <v>632215350</v>
      </c>
      <c r="R388" t="s">
        <v>1635</v>
      </c>
      <c r="S388" t="s">
        <v>63</v>
      </c>
      <c r="T388" t="s">
        <v>64</v>
      </c>
      <c r="U388" t="s">
        <v>65</v>
      </c>
      <c r="V388" t="s">
        <v>111</v>
      </c>
      <c r="W388" s="26">
        <v>45560</v>
      </c>
      <c r="X388" t="s">
        <v>61</v>
      </c>
      <c r="Y388" t="s">
        <v>237</v>
      </c>
    </row>
    <row r="389" spans="1:25" x14ac:dyDescent="0.25">
      <c r="A389" t="s">
        <v>1637</v>
      </c>
      <c r="B389">
        <v>11</v>
      </c>
      <c r="C389">
        <v>78</v>
      </c>
      <c r="D389">
        <v>9101</v>
      </c>
      <c r="E389" t="s">
        <v>1165</v>
      </c>
      <c r="F389" t="s">
        <v>1638</v>
      </c>
      <c r="G389" t="s">
        <v>1639</v>
      </c>
      <c r="H389" s="26">
        <v>24020</v>
      </c>
      <c r="I389" t="s">
        <v>58</v>
      </c>
      <c r="J389" t="s">
        <v>1640</v>
      </c>
      <c r="M389">
        <v>37230</v>
      </c>
      <c r="N389" t="s">
        <v>1641</v>
      </c>
      <c r="O389" t="s">
        <v>61</v>
      </c>
      <c r="Q389">
        <v>660208788</v>
      </c>
      <c r="R389" t="s">
        <v>1642</v>
      </c>
      <c r="S389" t="s">
        <v>63</v>
      </c>
      <c r="T389" t="s">
        <v>64</v>
      </c>
      <c r="U389" t="s">
        <v>486</v>
      </c>
      <c r="W389" s="26">
        <v>45525</v>
      </c>
      <c r="X389" t="s">
        <v>61</v>
      </c>
      <c r="Y389" t="s">
        <v>237</v>
      </c>
    </row>
    <row r="390" spans="1:25" x14ac:dyDescent="0.25">
      <c r="A390" t="s">
        <v>1643</v>
      </c>
      <c r="B390">
        <v>11</v>
      </c>
      <c r="C390">
        <v>78</v>
      </c>
      <c r="D390">
        <v>9016</v>
      </c>
      <c r="E390" t="s">
        <v>362</v>
      </c>
      <c r="F390" t="s">
        <v>327</v>
      </c>
      <c r="G390" t="s">
        <v>1644</v>
      </c>
      <c r="H390" s="26">
        <v>19118</v>
      </c>
      <c r="I390" t="s">
        <v>58</v>
      </c>
      <c r="J390" t="s">
        <v>1645</v>
      </c>
      <c r="M390">
        <v>78440</v>
      </c>
      <c r="N390" t="s">
        <v>1646</v>
      </c>
      <c r="O390" t="s">
        <v>61</v>
      </c>
      <c r="P390">
        <v>130937444</v>
      </c>
      <c r="Q390">
        <v>689697873</v>
      </c>
      <c r="R390" t="s">
        <v>1647</v>
      </c>
      <c r="S390" t="s">
        <v>63</v>
      </c>
      <c r="T390" t="s">
        <v>64</v>
      </c>
      <c r="U390" t="s">
        <v>65</v>
      </c>
      <c r="V390" t="s">
        <v>111</v>
      </c>
      <c r="W390" s="26">
        <v>45543</v>
      </c>
      <c r="X390" t="s">
        <v>61</v>
      </c>
      <c r="Y390" t="s">
        <v>237</v>
      </c>
    </row>
    <row r="391" spans="1:25" x14ac:dyDescent="0.25">
      <c r="A391" t="s">
        <v>8814</v>
      </c>
      <c r="B391">
        <v>11</v>
      </c>
      <c r="C391">
        <v>94</v>
      </c>
      <c r="D391">
        <v>9045</v>
      </c>
      <c r="E391" t="s">
        <v>1234</v>
      </c>
      <c r="F391" t="s">
        <v>8815</v>
      </c>
      <c r="G391" t="s">
        <v>8816</v>
      </c>
      <c r="H391" s="26">
        <v>30129</v>
      </c>
      <c r="I391" t="s">
        <v>58</v>
      </c>
      <c r="J391" t="s">
        <v>8817</v>
      </c>
      <c r="M391">
        <v>92100</v>
      </c>
      <c r="N391" t="s">
        <v>104</v>
      </c>
      <c r="O391" t="s">
        <v>61</v>
      </c>
      <c r="Q391">
        <v>602179728</v>
      </c>
      <c r="R391" t="s">
        <v>8818</v>
      </c>
      <c r="S391" t="s">
        <v>63</v>
      </c>
      <c r="T391" t="s">
        <v>64</v>
      </c>
      <c r="U391" t="s">
        <v>486</v>
      </c>
      <c r="W391" s="26">
        <v>45546</v>
      </c>
      <c r="X391" t="s">
        <v>2726</v>
      </c>
      <c r="Y391" t="s">
        <v>237</v>
      </c>
    </row>
    <row r="392" spans="1:25" x14ac:dyDescent="0.25">
      <c r="A392" t="s">
        <v>1648</v>
      </c>
      <c r="B392">
        <v>11</v>
      </c>
      <c r="C392">
        <v>91</v>
      </c>
      <c r="D392">
        <v>9009</v>
      </c>
      <c r="E392" t="s">
        <v>159</v>
      </c>
      <c r="F392" t="s">
        <v>820</v>
      </c>
      <c r="G392" t="s">
        <v>1649</v>
      </c>
      <c r="H392" s="26">
        <v>22647</v>
      </c>
      <c r="I392" t="s">
        <v>58</v>
      </c>
      <c r="J392" t="s">
        <v>1650</v>
      </c>
      <c r="M392">
        <v>91380</v>
      </c>
      <c r="N392" t="s">
        <v>1651</v>
      </c>
      <c r="O392" t="s">
        <v>61</v>
      </c>
      <c r="P392">
        <v>164540287</v>
      </c>
      <c r="Q392">
        <v>668042732</v>
      </c>
      <c r="R392" t="s">
        <v>1652</v>
      </c>
      <c r="S392" t="s">
        <v>63</v>
      </c>
      <c r="T392" t="s">
        <v>64</v>
      </c>
      <c r="U392" t="s">
        <v>65</v>
      </c>
      <c r="W392" s="26">
        <v>45554</v>
      </c>
      <c r="X392" t="s">
        <v>61</v>
      </c>
      <c r="Y392" t="s">
        <v>237</v>
      </c>
    </row>
    <row r="393" spans="1:25" x14ac:dyDescent="0.25">
      <c r="A393" t="s">
        <v>1653</v>
      </c>
      <c r="B393">
        <v>11</v>
      </c>
      <c r="C393">
        <v>92</v>
      </c>
      <c r="D393">
        <v>9088</v>
      </c>
      <c r="E393" t="s">
        <v>1</v>
      </c>
      <c r="F393" t="s">
        <v>1654</v>
      </c>
      <c r="G393" t="s">
        <v>1655</v>
      </c>
      <c r="H393" s="26">
        <v>20648</v>
      </c>
      <c r="I393" t="s">
        <v>58</v>
      </c>
      <c r="J393" t="s">
        <v>1656</v>
      </c>
      <c r="M393">
        <v>92500</v>
      </c>
      <c r="N393" t="s">
        <v>122</v>
      </c>
      <c r="O393" t="s">
        <v>61</v>
      </c>
      <c r="Q393">
        <v>663495723</v>
      </c>
      <c r="R393" t="s">
        <v>1657</v>
      </c>
      <c r="S393" t="s">
        <v>63</v>
      </c>
      <c r="T393" t="s">
        <v>64</v>
      </c>
      <c r="U393" t="s">
        <v>65</v>
      </c>
      <c r="W393" s="26">
        <v>45560</v>
      </c>
      <c r="X393" t="s">
        <v>61</v>
      </c>
      <c r="Y393" t="s">
        <v>237</v>
      </c>
    </row>
    <row r="394" spans="1:25" x14ac:dyDescent="0.25">
      <c r="A394" t="s">
        <v>1658</v>
      </c>
      <c r="B394">
        <v>11</v>
      </c>
      <c r="C394">
        <v>78</v>
      </c>
      <c r="D394">
        <v>9056</v>
      </c>
      <c r="E394" t="s">
        <v>214</v>
      </c>
      <c r="F394" t="s">
        <v>13</v>
      </c>
      <c r="G394" t="s">
        <v>1659</v>
      </c>
      <c r="H394" s="26">
        <v>20944</v>
      </c>
      <c r="I394" t="s">
        <v>58</v>
      </c>
      <c r="J394" t="s">
        <v>1660</v>
      </c>
      <c r="M394">
        <v>78000</v>
      </c>
      <c r="N394" t="s">
        <v>1334</v>
      </c>
      <c r="O394" t="s">
        <v>61</v>
      </c>
      <c r="Q394">
        <v>613205172</v>
      </c>
      <c r="R394" t="s">
        <v>1661</v>
      </c>
      <c r="S394" t="s">
        <v>63</v>
      </c>
      <c r="T394" t="s">
        <v>64</v>
      </c>
      <c r="U394" t="s">
        <v>65</v>
      </c>
      <c r="W394" s="26">
        <v>45566</v>
      </c>
      <c r="X394" t="s">
        <v>61</v>
      </c>
      <c r="Y394" t="s">
        <v>237</v>
      </c>
    </row>
    <row r="395" spans="1:25" x14ac:dyDescent="0.25">
      <c r="A395" t="s">
        <v>1662</v>
      </c>
      <c r="B395">
        <v>11</v>
      </c>
      <c r="C395">
        <v>92</v>
      </c>
      <c r="D395">
        <v>9017</v>
      </c>
      <c r="E395" t="s">
        <v>211</v>
      </c>
      <c r="F395" t="s">
        <v>1663</v>
      </c>
      <c r="G395" t="s">
        <v>1664</v>
      </c>
      <c r="H395" s="26">
        <v>24900</v>
      </c>
      <c r="I395" t="s">
        <v>58</v>
      </c>
      <c r="J395" t="s">
        <v>1665</v>
      </c>
      <c r="M395">
        <v>92140</v>
      </c>
      <c r="N395" t="s">
        <v>1380</v>
      </c>
      <c r="O395" t="s">
        <v>61</v>
      </c>
      <c r="Q395">
        <v>660327711</v>
      </c>
      <c r="R395" t="s">
        <v>1666</v>
      </c>
      <c r="S395" t="s">
        <v>63</v>
      </c>
      <c r="T395" t="s">
        <v>64</v>
      </c>
      <c r="U395" t="s">
        <v>65</v>
      </c>
      <c r="W395" s="26">
        <v>45537</v>
      </c>
      <c r="X395" t="s">
        <v>61</v>
      </c>
      <c r="Y395" t="s">
        <v>237</v>
      </c>
    </row>
    <row r="396" spans="1:25" x14ac:dyDescent="0.25">
      <c r="A396" t="s">
        <v>1667</v>
      </c>
      <c r="B396">
        <v>11</v>
      </c>
      <c r="C396">
        <v>92</v>
      </c>
      <c r="D396">
        <v>9017</v>
      </c>
      <c r="E396" t="s">
        <v>211</v>
      </c>
      <c r="F396" t="s">
        <v>916</v>
      </c>
      <c r="G396" t="s">
        <v>1668</v>
      </c>
      <c r="H396" s="26">
        <v>25042</v>
      </c>
      <c r="I396" t="s">
        <v>58</v>
      </c>
      <c r="J396" t="s">
        <v>1669</v>
      </c>
      <c r="M396">
        <v>92400</v>
      </c>
      <c r="N396" t="s">
        <v>478</v>
      </c>
      <c r="O396" t="s">
        <v>61</v>
      </c>
      <c r="Q396">
        <v>684585563</v>
      </c>
      <c r="R396" t="s">
        <v>1670</v>
      </c>
      <c r="S396" t="s">
        <v>63</v>
      </c>
      <c r="T396" t="s">
        <v>64</v>
      </c>
      <c r="U396" t="s">
        <v>65</v>
      </c>
      <c r="W396" s="26">
        <v>45537</v>
      </c>
      <c r="X396" t="s">
        <v>61</v>
      </c>
      <c r="Y396" t="s">
        <v>237</v>
      </c>
    </row>
    <row r="397" spans="1:25" x14ac:dyDescent="0.25">
      <c r="A397" t="s">
        <v>1671</v>
      </c>
      <c r="B397">
        <v>11</v>
      </c>
      <c r="C397">
        <v>91</v>
      </c>
      <c r="D397">
        <v>9009</v>
      </c>
      <c r="E397" t="s">
        <v>159</v>
      </c>
      <c r="F397" t="s">
        <v>1672</v>
      </c>
      <c r="G397" t="s">
        <v>1673</v>
      </c>
      <c r="H397" s="26">
        <v>23591</v>
      </c>
      <c r="I397" t="s">
        <v>58</v>
      </c>
      <c r="J397" t="s">
        <v>1674</v>
      </c>
      <c r="M397">
        <v>91420</v>
      </c>
      <c r="N397" t="s">
        <v>1675</v>
      </c>
      <c r="O397" t="s">
        <v>61</v>
      </c>
      <c r="P397">
        <v>169090167</v>
      </c>
      <c r="Q397">
        <v>6991216115</v>
      </c>
      <c r="R397" t="s">
        <v>8819</v>
      </c>
      <c r="S397" t="s">
        <v>63</v>
      </c>
      <c r="T397" t="s">
        <v>64</v>
      </c>
      <c r="U397" t="s">
        <v>486</v>
      </c>
      <c r="V397" t="s">
        <v>111</v>
      </c>
      <c r="W397" s="26">
        <v>45542</v>
      </c>
      <c r="X397" t="s">
        <v>61</v>
      </c>
      <c r="Y397" t="s">
        <v>237</v>
      </c>
    </row>
    <row r="398" spans="1:25" x14ac:dyDescent="0.25">
      <c r="A398" t="s">
        <v>1676</v>
      </c>
      <c r="B398">
        <v>11</v>
      </c>
      <c r="C398">
        <v>91</v>
      </c>
      <c r="D398">
        <v>9009</v>
      </c>
      <c r="E398" t="s">
        <v>159</v>
      </c>
      <c r="F398" t="s">
        <v>1677</v>
      </c>
      <c r="G398" t="s">
        <v>1678</v>
      </c>
      <c r="H398" s="26">
        <v>25304</v>
      </c>
      <c r="I398" t="s">
        <v>58</v>
      </c>
      <c r="J398" t="s">
        <v>1679</v>
      </c>
      <c r="M398">
        <v>91600</v>
      </c>
      <c r="N398" t="s">
        <v>1680</v>
      </c>
      <c r="O398" t="s">
        <v>61</v>
      </c>
      <c r="P398">
        <v>169241613</v>
      </c>
      <c r="Q398">
        <v>676028522</v>
      </c>
      <c r="R398" t="s">
        <v>1681</v>
      </c>
      <c r="S398" t="s">
        <v>63</v>
      </c>
      <c r="T398" t="s">
        <v>64</v>
      </c>
      <c r="U398" t="s">
        <v>65</v>
      </c>
      <c r="W398" s="26">
        <v>45560</v>
      </c>
      <c r="X398" t="s">
        <v>61</v>
      </c>
      <c r="Y398" t="s">
        <v>237</v>
      </c>
    </row>
    <row r="399" spans="1:25" x14ac:dyDescent="0.25">
      <c r="A399" t="s">
        <v>10428</v>
      </c>
      <c r="B399">
        <v>11</v>
      </c>
      <c r="C399">
        <v>91</v>
      </c>
      <c r="D399">
        <v>9064</v>
      </c>
      <c r="E399" t="s">
        <v>266</v>
      </c>
      <c r="F399" t="s">
        <v>653</v>
      </c>
      <c r="G399" t="s">
        <v>10429</v>
      </c>
      <c r="H399" s="26">
        <v>18654</v>
      </c>
      <c r="I399" t="s">
        <v>58</v>
      </c>
      <c r="J399" t="s">
        <v>10430</v>
      </c>
      <c r="M399">
        <v>91300</v>
      </c>
      <c r="N399" t="s">
        <v>675</v>
      </c>
      <c r="O399" t="s">
        <v>61</v>
      </c>
      <c r="P399">
        <v>169203032</v>
      </c>
      <c r="R399" t="s">
        <v>10431</v>
      </c>
      <c r="S399" t="s">
        <v>63</v>
      </c>
      <c r="T399" t="s">
        <v>64</v>
      </c>
      <c r="U399" t="s">
        <v>65</v>
      </c>
      <c r="V399" t="s">
        <v>111</v>
      </c>
      <c r="W399" s="26">
        <v>45573</v>
      </c>
      <c r="X399" t="s">
        <v>61</v>
      </c>
      <c r="Y399" t="s">
        <v>237</v>
      </c>
    </row>
    <row r="400" spans="1:25" x14ac:dyDescent="0.25">
      <c r="A400" t="s">
        <v>10432</v>
      </c>
      <c r="B400">
        <v>11</v>
      </c>
      <c r="C400">
        <v>95</v>
      </c>
      <c r="D400">
        <v>9010</v>
      </c>
      <c r="E400" t="s">
        <v>6</v>
      </c>
      <c r="F400" t="s">
        <v>887</v>
      </c>
      <c r="G400" t="s">
        <v>10433</v>
      </c>
      <c r="H400" s="26">
        <v>23109</v>
      </c>
      <c r="I400" t="s">
        <v>58</v>
      </c>
      <c r="J400" t="s">
        <v>10434</v>
      </c>
      <c r="M400">
        <v>95100</v>
      </c>
      <c r="N400" t="s">
        <v>311</v>
      </c>
      <c r="O400" t="s">
        <v>61</v>
      </c>
      <c r="R400" t="s">
        <v>10435</v>
      </c>
      <c r="S400" t="s">
        <v>63</v>
      </c>
      <c r="T400" t="s">
        <v>64</v>
      </c>
      <c r="U400" t="s">
        <v>65</v>
      </c>
      <c r="W400" s="26">
        <v>45574</v>
      </c>
      <c r="X400" t="s">
        <v>61</v>
      </c>
      <c r="Y400" t="s">
        <v>237</v>
      </c>
    </row>
    <row r="401" spans="1:25" x14ac:dyDescent="0.25">
      <c r="A401" t="s">
        <v>1682</v>
      </c>
      <c r="B401">
        <v>11</v>
      </c>
      <c r="C401">
        <v>95</v>
      </c>
      <c r="D401">
        <v>9010</v>
      </c>
      <c r="E401" t="s">
        <v>6</v>
      </c>
      <c r="F401" t="s">
        <v>1683</v>
      </c>
      <c r="G401" t="s">
        <v>1684</v>
      </c>
      <c r="H401" s="26">
        <v>31528</v>
      </c>
      <c r="I401" t="s">
        <v>58</v>
      </c>
      <c r="J401" t="s">
        <v>1685</v>
      </c>
      <c r="M401">
        <v>92400</v>
      </c>
      <c r="N401" t="s">
        <v>478</v>
      </c>
      <c r="O401" t="s">
        <v>61</v>
      </c>
      <c r="R401" t="s">
        <v>1686</v>
      </c>
      <c r="S401" t="s">
        <v>63</v>
      </c>
      <c r="T401" t="s">
        <v>64</v>
      </c>
      <c r="U401" t="s">
        <v>1636</v>
      </c>
      <c r="W401" s="26">
        <v>45526</v>
      </c>
      <c r="X401" t="s">
        <v>61</v>
      </c>
      <c r="Y401" t="s">
        <v>237</v>
      </c>
    </row>
    <row r="402" spans="1:25" x14ac:dyDescent="0.25">
      <c r="A402" t="s">
        <v>1687</v>
      </c>
      <c r="B402">
        <v>11</v>
      </c>
      <c r="C402">
        <v>78</v>
      </c>
      <c r="D402">
        <v>9002</v>
      </c>
      <c r="E402" t="s">
        <v>558</v>
      </c>
      <c r="F402" t="s">
        <v>85</v>
      </c>
      <c r="G402" t="s">
        <v>1688</v>
      </c>
      <c r="H402" s="26">
        <v>24513</v>
      </c>
      <c r="I402" t="s">
        <v>58</v>
      </c>
      <c r="J402" t="s">
        <v>1689</v>
      </c>
      <c r="M402">
        <v>78200</v>
      </c>
      <c r="N402" t="s">
        <v>609</v>
      </c>
      <c r="O402" t="s">
        <v>61</v>
      </c>
      <c r="P402">
        <v>130335507</v>
      </c>
      <c r="Q402">
        <v>673241446</v>
      </c>
      <c r="R402" t="s">
        <v>1690</v>
      </c>
      <c r="S402" t="s">
        <v>63</v>
      </c>
      <c r="T402" t="s">
        <v>64</v>
      </c>
      <c r="U402" t="s">
        <v>65</v>
      </c>
      <c r="W402" s="26">
        <v>45558</v>
      </c>
      <c r="X402" t="s">
        <v>61</v>
      </c>
      <c r="Y402" t="s">
        <v>237</v>
      </c>
    </row>
    <row r="403" spans="1:25" x14ac:dyDescent="0.25">
      <c r="A403" t="s">
        <v>10223</v>
      </c>
      <c r="B403">
        <v>11</v>
      </c>
      <c r="C403">
        <v>78</v>
      </c>
      <c r="D403">
        <v>9038</v>
      </c>
      <c r="E403" t="s">
        <v>484</v>
      </c>
      <c r="F403" t="s">
        <v>397</v>
      </c>
      <c r="G403" t="s">
        <v>10224</v>
      </c>
      <c r="H403" s="26">
        <v>19084</v>
      </c>
      <c r="I403" t="s">
        <v>58</v>
      </c>
      <c r="J403" t="s">
        <v>10225</v>
      </c>
      <c r="M403">
        <v>78260</v>
      </c>
      <c r="N403" t="s">
        <v>1691</v>
      </c>
      <c r="O403" t="s">
        <v>61</v>
      </c>
      <c r="P403">
        <v>139114234</v>
      </c>
      <c r="Q403">
        <v>614862018</v>
      </c>
      <c r="R403" t="s">
        <v>10226</v>
      </c>
      <c r="S403" t="s">
        <v>63</v>
      </c>
      <c r="T403" t="s">
        <v>64</v>
      </c>
      <c r="U403" t="s">
        <v>65</v>
      </c>
      <c r="W403" s="26">
        <v>45572</v>
      </c>
      <c r="X403" t="s">
        <v>61</v>
      </c>
      <c r="Y403" t="s">
        <v>237</v>
      </c>
    </row>
    <row r="404" spans="1:25" x14ac:dyDescent="0.25">
      <c r="A404" t="s">
        <v>1692</v>
      </c>
      <c r="B404">
        <v>11</v>
      </c>
      <c r="C404">
        <v>77</v>
      </c>
      <c r="D404">
        <v>9040</v>
      </c>
      <c r="E404" t="s">
        <v>612</v>
      </c>
      <c r="F404" t="s">
        <v>887</v>
      </c>
      <c r="G404" t="s">
        <v>1693</v>
      </c>
      <c r="H404" s="26">
        <v>22249</v>
      </c>
      <c r="I404" t="s">
        <v>58</v>
      </c>
      <c r="J404" t="s">
        <v>1694</v>
      </c>
      <c r="M404">
        <v>77670</v>
      </c>
      <c r="N404" t="s">
        <v>1695</v>
      </c>
      <c r="O404" t="s">
        <v>61</v>
      </c>
      <c r="Q404">
        <v>651540309</v>
      </c>
      <c r="R404" t="s">
        <v>1696</v>
      </c>
      <c r="S404" t="s">
        <v>63</v>
      </c>
      <c r="T404" t="s">
        <v>64</v>
      </c>
      <c r="U404" t="s">
        <v>65</v>
      </c>
      <c r="W404" s="26">
        <v>45548</v>
      </c>
      <c r="X404" t="s">
        <v>61</v>
      </c>
      <c r="Y404" t="s">
        <v>237</v>
      </c>
    </row>
    <row r="405" spans="1:25" x14ac:dyDescent="0.25">
      <c r="A405" t="s">
        <v>1697</v>
      </c>
      <c r="B405">
        <v>11</v>
      </c>
      <c r="C405">
        <v>77</v>
      </c>
      <c r="D405">
        <v>9059</v>
      </c>
      <c r="E405" t="s">
        <v>197</v>
      </c>
      <c r="F405" t="s">
        <v>551</v>
      </c>
      <c r="G405" t="s">
        <v>1698</v>
      </c>
      <c r="H405" s="26">
        <v>21275</v>
      </c>
      <c r="I405" t="s">
        <v>58</v>
      </c>
      <c r="J405" t="s">
        <v>1699</v>
      </c>
      <c r="M405">
        <v>77390</v>
      </c>
      <c r="N405" t="s">
        <v>1700</v>
      </c>
      <c r="O405" t="s">
        <v>61</v>
      </c>
      <c r="P405">
        <v>160025336</v>
      </c>
      <c r="R405" t="s">
        <v>1701</v>
      </c>
      <c r="S405" t="s">
        <v>63</v>
      </c>
      <c r="T405" t="s">
        <v>64</v>
      </c>
      <c r="U405" t="s">
        <v>65</v>
      </c>
      <c r="W405" s="26">
        <v>45562</v>
      </c>
      <c r="X405" t="s">
        <v>61</v>
      </c>
      <c r="Y405" t="s">
        <v>237</v>
      </c>
    </row>
    <row r="406" spans="1:25" x14ac:dyDescent="0.25">
      <c r="A406" t="s">
        <v>1702</v>
      </c>
      <c r="B406">
        <v>11</v>
      </c>
      <c r="C406">
        <v>77</v>
      </c>
      <c r="D406">
        <v>9105</v>
      </c>
      <c r="E406" t="s">
        <v>124</v>
      </c>
      <c r="F406" t="s">
        <v>68</v>
      </c>
      <c r="G406" t="s">
        <v>1703</v>
      </c>
      <c r="H406" s="26">
        <v>16675</v>
      </c>
      <c r="I406" t="s">
        <v>58</v>
      </c>
      <c r="J406" t="s">
        <v>1704</v>
      </c>
      <c r="M406">
        <v>77176</v>
      </c>
      <c r="N406" t="s">
        <v>177</v>
      </c>
      <c r="O406" t="s">
        <v>61</v>
      </c>
      <c r="P406">
        <v>160635724</v>
      </c>
      <c r="Q406">
        <v>608335678</v>
      </c>
      <c r="R406" t="s">
        <v>1705</v>
      </c>
      <c r="S406" t="s">
        <v>63</v>
      </c>
      <c r="T406" t="s">
        <v>64</v>
      </c>
      <c r="U406" t="s">
        <v>65</v>
      </c>
      <c r="W406" s="26">
        <v>45537</v>
      </c>
      <c r="X406" t="s">
        <v>61</v>
      </c>
      <c r="Y406" t="s">
        <v>237</v>
      </c>
    </row>
    <row r="407" spans="1:25" x14ac:dyDescent="0.25">
      <c r="A407" t="s">
        <v>1706</v>
      </c>
      <c r="B407">
        <v>11</v>
      </c>
      <c r="C407">
        <v>95</v>
      </c>
      <c r="D407">
        <v>9033</v>
      </c>
      <c r="E407" t="s">
        <v>500</v>
      </c>
      <c r="F407" t="s">
        <v>480</v>
      </c>
      <c r="G407" t="s">
        <v>1707</v>
      </c>
      <c r="H407" s="26">
        <v>21014</v>
      </c>
      <c r="I407" t="s">
        <v>58</v>
      </c>
      <c r="J407" t="s">
        <v>1708</v>
      </c>
      <c r="M407">
        <v>95400</v>
      </c>
      <c r="N407" t="s">
        <v>1709</v>
      </c>
      <c r="O407" t="s">
        <v>61</v>
      </c>
      <c r="Q407">
        <v>681863024</v>
      </c>
      <c r="R407" t="s">
        <v>1710</v>
      </c>
      <c r="S407" t="s">
        <v>63</v>
      </c>
      <c r="T407" t="s">
        <v>64</v>
      </c>
      <c r="U407" t="s">
        <v>65</v>
      </c>
      <c r="W407" s="26">
        <v>45549</v>
      </c>
      <c r="X407" t="s">
        <v>61</v>
      </c>
      <c r="Y407" t="s">
        <v>237</v>
      </c>
    </row>
    <row r="408" spans="1:25" x14ac:dyDescent="0.25">
      <c r="A408" t="s">
        <v>1711</v>
      </c>
      <c r="B408">
        <v>11</v>
      </c>
      <c r="C408">
        <v>78</v>
      </c>
      <c r="D408">
        <v>9101</v>
      </c>
      <c r="E408" t="s">
        <v>1165</v>
      </c>
      <c r="F408" t="s">
        <v>983</v>
      </c>
      <c r="G408" t="s">
        <v>1712</v>
      </c>
      <c r="H408" s="26">
        <v>29999</v>
      </c>
      <c r="I408" t="s">
        <v>58</v>
      </c>
      <c r="J408" t="s">
        <v>1713</v>
      </c>
      <c r="M408">
        <v>92500</v>
      </c>
      <c r="N408" t="s">
        <v>122</v>
      </c>
      <c r="O408" t="s">
        <v>61</v>
      </c>
      <c r="Q408">
        <v>663090022</v>
      </c>
      <c r="R408" t="s">
        <v>1714</v>
      </c>
      <c r="S408" t="s">
        <v>63</v>
      </c>
      <c r="T408" t="s">
        <v>64</v>
      </c>
      <c r="U408" t="s">
        <v>486</v>
      </c>
      <c r="W408" s="26">
        <v>45525</v>
      </c>
      <c r="X408" t="s">
        <v>61</v>
      </c>
      <c r="Y408" t="s">
        <v>237</v>
      </c>
    </row>
    <row r="409" spans="1:25" x14ac:dyDescent="0.25">
      <c r="A409" t="s">
        <v>1715</v>
      </c>
      <c r="B409">
        <v>11</v>
      </c>
      <c r="C409">
        <v>95</v>
      </c>
      <c r="D409">
        <v>9069</v>
      </c>
      <c r="E409" t="s">
        <v>129</v>
      </c>
      <c r="F409" t="s">
        <v>143</v>
      </c>
      <c r="G409" t="s">
        <v>1716</v>
      </c>
      <c r="H409" s="26">
        <v>21157</v>
      </c>
      <c r="I409" t="s">
        <v>58</v>
      </c>
      <c r="J409" t="s">
        <v>1717</v>
      </c>
      <c r="M409">
        <v>95130</v>
      </c>
      <c r="N409" t="s">
        <v>878</v>
      </c>
      <c r="O409" t="s">
        <v>61</v>
      </c>
      <c r="P409">
        <v>134150804</v>
      </c>
      <c r="Q409">
        <v>638212159</v>
      </c>
      <c r="R409" t="s">
        <v>8820</v>
      </c>
      <c r="S409" t="s">
        <v>63</v>
      </c>
      <c r="T409" t="s">
        <v>64</v>
      </c>
      <c r="U409" t="s">
        <v>65</v>
      </c>
      <c r="W409" s="26">
        <v>45556</v>
      </c>
      <c r="X409" t="s">
        <v>61</v>
      </c>
      <c r="Y409" t="s">
        <v>237</v>
      </c>
    </row>
    <row r="410" spans="1:25" x14ac:dyDescent="0.25">
      <c r="A410" t="s">
        <v>1718</v>
      </c>
      <c r="B410">
        <v>11</v>
      </c>
      <c r="C410">
        <v>95</v>
      </c>
      <c r="D410">
        <v>9069</v>
      </c>
      <c r="E410" t="s">
        <v>129</v>
      </c>
      <c r="F410" t="s">
        <v>183</v>
      </c>
      <c r="G410" t="s">
        <v>1719</v>
      </c>
      <c r="H410" s="26">
        <v>17105</v>
      </c>
      <c r="I410" t="s">
        <v>58</v>
      </c>
      <c r="J410" t="s">
        <v>1720</v>
      </c>
      <c r="M410">
        <v>95540</v>
      </c>
      <c r="N410" t="s">
        <v>1721</v>
      </c>
      <c r="O410" t="s">
        <v>61</v>
      </c>
      <c r="P410">
        <v>134216298</v>
      </c>
      <c r="S410" t="s">
        <v>63</v>
      </c>
      <c r="T410" t="s">
        <v>64</v>
      </c>
      <c r="U410" t="s">
        <v>65</v>
      </c>
      <c r="V410" t="s">
        <v>111</v>
      </c>
      <c r="W410" s="26">
        <v>45566</v>
      </c>
      <c r="X410" t="s">
        <v>61</v>
      </c>
      <c r="Y410" t="s">
        <v>237</v>
      </c>
    </row>
    <row r="411" spans="1:25" x14ac:dyDescent="0.25">
      <c r="A411" t="s">
        <v>1722</v>
      </c>
      <c r="B411">
        <v>11</v>
      </c>
      <c r="C411">
        <v>78</v>
      </c>
      <c r="D411">
        <v>9084</v>
      </c>
      <c r="E411" t="s">
        <v>216</v>
      </c>
      <c r="F411" t="s">
        <v>183</v>
      </c>
      <c r="G411" t="s">
        <v>1723</v>
      </c>
      <c r="H411" s="26">
        <v>16004</v>
      </c>
      <c r="I411" t="s">
        <v>58</v>
      </c>
      <c r="J411" t="s">
        <v>1724</v>
      </c>
      <c r="M411">
        <v>78630</v>
      </c>
      <c r="N411" t="s">
        <v>252</v>
      </c>
      <c r="O411" t="s">
        <v>61</v>
      </c>
      <c r="P411">
        <v>139757432</v>
      </c>
      <c r="R411" t="s">
        <v>1725</v>
      </c>
      <c r="S411" t="s">
        <v>63</v>
      </c>
      <c r="T411" t="s">
        <v>64</v>
      </c>
      <c r="U411" t="s">
        <v>65</v>
      </c>
      <c r="W411" s="26">
        <v>45545</v>
      </c>
      <c r="X411" t="s">
        <v>61</v>
      </c>
      <c r="Y411" t="s">
        <v>237</v>
      </c>
    </row>
    <row r="412" spans="1:25" x14ac:dyDescent="0.25">
      <c r="A412" t="s">
        <v>1726</v>
      </c>
      <c r="B412">
        <v>11</v>
      </c>
      <c r="C412">
        <v>78</v>
      </c>
      <c r="D412">
        <v>9030</v>
      </c>
      <c r="E412" t="s">
        <v>96</v>
      </c>
      <c r="F412" t="s">
        <v>555</v>
      </c>
      <c r="G412" t="s">
        <v>1727</v>
      </c>
      <c r="H412" s="26">
        <v>32837</v>
      </c>
      <c r="I412" t="s">
        <v>58</v>
      </c>
      <c r="J412" t="s">
        <v>1728</v>
      </c>
      <c r="M412">
        <v>78870</v>
      </c>
      <c r="N412" t="s">
        <v>791</v>
      </c>
      <c r="O412" t="s">
        <v>61</v>
      </c>
      <c r="Q412">
        <v>660423200</v>
      </c>
      <c r="R412" t="s">
        <v>1729</v>
      </c>
      <c r="S412" t="s">
        <v>63</v>
      </c>
      <c r="T412" t="s">
        <v>64</v>
      </c>
      <c r="U412" t="s">
        <v>65</v>
      </c>
      <c r="W412" s="26">
        <v>45524</v>
      </c>
      <c r="X412" t="s">
        <v>61</v>
      </c>
      <c r="Y412" t="s">
        <v>237</v>
      </c>
    </row>
    <row r="413" spans="1:25" x14ac:dyDescent="0.25">
      <c r="A413" t="s">
        <v>8821</v>
      </c>
      <c r="B413">
        <v>11</v>
      </c>
      <c r="C413">
        <v>91</v>
      </c>
      <c r="D413">
        <v>9095</v>
      </c>
      <c r="E413" t="s">
        <v>113</v>
      </c>
      <c r="F413" t="s">
        <v>160</v>
      </c>
      <c r="G413" t="s">
        <v>8822</v>
      </c>
      <c r="H413" s="26">
        <v>22583</v>
      </c>
      <c r="I413" t="s">
        <v>58</v>
      </c>
      <c r="J413" t="s">
        <v>8823</v>
      </c>
      <c r="M413">
        <v>91520</v>
      </c>
      <c r="N413" t="s">
        <v>1590</v>
      </c>
      <c r="O413" t="s">
        <v>61</v>
      </c>
      <c r="P413">
        <v>164909294</v>
      </c>
      <c r="Q413">
        <v>682311462</v>
      </c>
      <c r="R413" t="s">
        <v>8824</v>
      </c>
      <c r="S413" t="s">
        <v>63</v>
      </c>
      <c r="T413" t="s">
        <v>64</v>
      </c>
      <c r="U413" t="s">
        <v>65</v>
      </c>
      <c r="W413" s="26">
        <v>45555</v>
      </c>
      <c r="X413" t="s">
        <v>61</v>
      </c>
      <c r="Y413" t="s">
        <v>237</v>
      </c>
    </row>
    <row r="414" spans="1:25" x14ac:dyDescent="0.25">
      <c r="A414" t="s">
        <v>1730</v>
      </c>
      <c r="B414">
        <v>11</v>
      </c>
      <c r="C414">
        <v>75</v>
      </c>
      <c r="D414">
        <v>9070</v>
      </c>
      <c r="E414" t="s">
        <v>168</v>
      </c>
      <c r="F414" t="s">
        <v>1731</v>
      </c>
      <c r="G414" t="s">
        <v>1732</v>
      </c>
      <c r="H414" s="26">
        <v>26954</v>
      </c>
      <c r="I414" t="s">
        <v>58</v>
      </c>
      <c r="J414" t="s">
        <v>1733</v>
      </c>
      <c r="M414">
        <v>75016</v>
      </c>
      <c r="N414" t="s">
        <v>330</v>
      </c>
      <c r="O414" t="s">
        <v>61</v>
      </c>
      <c r="Q414">
        <v>625132807</v>
      </c>
      <c r="R414" t="s">
        <v>1734</v>
      </c>
      <c r="S414" t="s">
        <v>63</v>
      </c>
      <c r="T414" t="s">
        <v>64</v>
      </c>
      <c r="U414" t="s">
        <v>8684</v>
      </c>
      <c r="W414" s="26">
        <v>45533</v>
      </c>
      <c r="X414" t="s">
        <v>61</v>
      </c>
      <c r="Y414" t="s">
        <v>237</v>
      </c>
    </row>
    <row r="415" spans="1:25" x14ac:dyDescent="0.25">
      <c r="A415" t="s">
        <v>1735</v>
      </c>
      <c r="B415">
        <v>11</v>
      </c>
      <c r="C415">
        <v>78</v>
      </c>
      <c r="D415">
        <v>9030</v>
      </c>
      <c r="E415" t="s">
        <v>96</v>
      </c>
      <c r="F415" t="s">
        <v>85</v>
      </c>
      <c r="G415" t="s">
        <v>1736</v>
      </c>
      <c r="H415" s="26">
        <v>23687</v>
      </c>
      <c r="I415" t="s">
        <v>58</v>
      </c>
      <c r="J415" t="s">
        <v>1737</v>
      </c>
      <c r="M415">
        <v>78117</v>
      </c>
      <c r="N415" t="s">
        <v>1738</v>
      </c>
      <c r="O415" t="s">
        <v>61</v>
      </c>
      <c r="Q415">
        <v>614170472</v>
      </c>
      <c r="R415" t="s">
        <v>1739</v>
      </c>
      <c r="S415" t="s">
        <v>63</v>
      </c>
      <c r="T415" t="s">
        <v>64</v>
      </c>
      <c r="U415" t="s">
        <v>65</v>
      </c>
      <c r="W415" s="26">
        <v>45558</v>
      </c>
      <c r="X415" t="s">
        <v>61</v>
      </c>
      <c r="Y415" t="s">
        <v>237</v>
      </c>
    </row>
    <row r="416" spans="1:25" x14ac:dyDescent="0.25">
      <c r="A416" t="s">
        <v>1740</v>
      </c>
      <c r="B416">
        <v>11</v>
      </c>
      <c r="C416">
        <v>78</v>
      </c>
      <c r="D416">
        <v>9030</v>
      </c>
      <c r="E416" t="s">
        <v>96</v>
      </c>
      <c r="F416" t="s">
        <v>1741</v>
      </c>
      <c r="G416" t="s">
        <v>1742</v>
      </c>
      <c r="H416" s="26">
        <v>21707</v>
      </c>
      <c r="I416" t="s">
        <v>58</v>
      </c>
      <c r="J416" t="s">
        <v>1743</v>
      </c>
      <c r="M416">
        <v>78460</v>
      </c>
      <c r="N416" t="s">
        <v>1744</v>
      </c>
      <c r="O416" t="s">
        <v>61</v>
      </c>
      <c r="P416">
        <v>130470668</v>
      </c>
      <c r="Q416">
        <v>687711403</v>
      </c>
      <c r="R416" t="s">
        <v>1745</v>
      </c>
      <c r="S416" t="s">
        <v>63</v>
      </c>
      <c r="T416" t="s">
        <v>64</v>
      </c>
      <c r="U416" t="s">
        <v>65</v>
      </c>
      <c r="W416" s="26">
        <v>45546</v>
      </c>
      <c r="X416" t="s">
        <v>61</v>
      </c>
      <c r="Y416" t="s">
        <v>237</v>
      </c>
    </row>
    <row r="417" spans="1:25" x14ac:dyDescent="0.25">
      <c r="A417" t="s">
        <v>1746</v>
      </c>
      <c r="B417">
        <v>11</v>
      </c>
      <c r="C417">
        <v>91</v>
      </c>
      <c r="D417">
        <v>9025</v>
      </c>
      <c r="E417" t="s">
        <v>188</v>
      </c>
      <c r="F417" t="s">
        <v>1747</v>
      </c>
      <c r="G417" t="s">
        <v>1748</v>
      </c>
      <c r="H417" s="26">
        <v>34237</v>
      </c>
      <c r="I417" t="s">
        <v>16</v>
      </c>
      <c r="J417" t="s">
        <v>1749</v>
      </c>
      <c r="M417">
        <v>91100</v>
      </c>
      <c r="N417" t="s">
        <v>1427</v>
      </c>
      <c r="O417" t="s">
        <v>61</v>
      </c>
      <c r="Q417">
        <v>665154021</v>
      </c>
      <c r="R417" t="s">
        <v>1750</v>
      </c>
      <c r="S417" t="s">
        <v>63</v>
      </c>
      <c r="T417" t="s">
        <v>64</v>
      </c>
      <c r="U417" t="s">
        <v>65</v>
      </c>
      <c r="V417" t="s">
        <v>111</v>
      </c>
      <c r="W417" s="26">
        <v>45549</v>
      </c>
      <c r="X417" t="s">
        <v>61</v>
      </c>
      <c r="Y417" t="s">
        <v>237</v>
      </c>
    </row>
    <row r="418" spans="1:25" x14ac:dyDescent="0.25">
      <c r="A418" t="s">
        <v>1751</v>
      </c>
      <c r="B418">
        <v>11</v>
      </c>
      <c r="C418">
        <v>91</v>
      </c>
      <c r="D418">
        <v>9095</v>
      </c>
      <c r="E418" t="s">
        <v>113</v>
      </c>
      <c r="F418" t="s">
        <v>217</v>
      </c>
      <c r="G418" t="s">
        <v>1752</v>
      </c>
      <c r="H418" s="26">
        <v>26538</v>
      </c>
      <c r="I418" t="s">
        <v>58</v>
      </c>
      <c r="J418" t="s">
        <v>1753</v>
      </c>
      <c r="M418">
        <v>91520</v>
      </c>
      <c r="N418" t="s">
        <v>1590</v>
      </c>
      <c r="O418" t="s">
        <v>61</v>
      </c>
      <c r="Q418">
        <v>645082254</v>
      </c>
      <c r="R418" t="s">
        <v>1754</v>
      </c>
      <c r="S418" t="s">
        <v>63</v>
      </c>
      <c r="T418" t="s">
        <v>64</v>
      </c>
      <c r="U418" t="s">
        <v>65</v>
      </c>
      <c r="W418" s="26">
        <v>45544</v>
      </c>
      <c r="X418" t="s">
        <v>61</v>
      </c>
      <c r="Y418" t="s">
        <v>237</v>
      </c>
    </row>
    <row r="419" spans="1:25" x14ac:dyDescent="0.25">
      <c r="A419" t="s">
        <v>1755</v>
      </c>
      <c r="B419">
        <v>11</v>
      </c>
      <c r="C419">
        <v>92</v>
      </c>
      <c r="D419">
        <v>9065</v>
      </c>
      <c r="E419" t="s">
        <v>426</v>
      </c>
      <c r="F419" t="s">
        <v>243</v>
      </c>
      <c r="G419" t="s">
        <v>1756</v>
      </c>
      <c r="H419" s="26">
        <v>25010</v>
      </c>
      <c r="I419" t="s">
        <v>58</v>
      </c>
      <c r="J419" t="s">
        <v>1757</v>
      </c>
      <c r="K419" t="s">
        <v>1758</v>
      </c>
      <c r="M419">
        <v>77310</v>
      </c>
      <c r="N419" t="s">
        <v>1759</v>
      </c>
      <c r="O419" t="s">
        <v>61</v>
      </c>
      <c r="Q419">
        <v>607434777</v>
      </c>
      <c r="R419" t="s">
        <v>1760</v>
      </c>
      <c r="S419" t="s">
        <v>63</v>
      </c>
      <c r="T419" t="s">
        <v>64</v>
      </c>
      <c r="U419" t="s">
        <v>8684</v>
      </c>
      <c r="W419" s="26">
        <v>45524</v>
      </c>
      <c r="X419" t="s">
        <v>61</v>
      </c>
      <c r="Y419" t="s">
        <v>237</v>
      </c>
    </row>
    <row r="420" spans="1:25" x14ac:dyDescent="0.25">
      <c r="A420" t="s">
        <v>1761</v>
      </c>
      <c r="B420">
        <v>11</v>
      </c>
      <c r="C420">
        <v>92</v>
      </c>
      <c r="D420">
        <v>9065</v>
      </c>
      <c r="E420" t="s">
        <v>426</v>
      </c>
      <c r="F420" t="s">
        <v>734</v>
      </c>
      <c r="G420" t="s">
        <v>1762</v>
      </c>
      <c r="H420" s="26">
        <v>26362</v>
      </c>
      <c r="I420" t="s">
        <v>58</v>
      </c>
      <c r="J420" t="s">
        <v>1763</v>
      </c>
      <c r="M420">
        <v>91590</v>
      </c>
      <c r="N420" t="s">
        <v>1764</v>
      </c>
      <c r="O420" t="s">
        <v>61</v>
      </c>
      <c r="Q420">
        <v>614451804</v>
      </c>
      <c r="R420" t="s">
        <v>1765</v>
      </c>
      <c r="S420" t="s">
        <v>63</v>
      </c>
      <c r="T420" t="s">
        <v>64</v>
      </c>
      <c r="U420" t="s">
        <v>8684</v>
      </c>
      <c r="W420" s="26">
        <v>45524</v>
      </c>
      <c r="X420" t="s">
        <v>61</v>
      </c>
      <c r="Y420" t="s">
        <v>237</v>
      </c>
    </row>
    <row r="421" spans="1:25" x14ac:dyDescent="0.25">
      <c r="A421" t="s">
        <v>1766</v>
      </c>
      <c r="B421">
        <v>11</v>
      </c>
      <c r="C421">
        <v>94</v>
      </c>
      <c r="D421">
        <v>9024</v>
      </c>
      <c r="E421" t="s">
        <v>4</v>
      </c>
      <c r="F421" t="s">
        <v>1767</v>
      </c>
      <c r="G421" t="s">
        <v>1447</v>
      </c>
      <c r="H421" s="26">
        <v>35425</v>
      </c>
      <c r="I421" t="s">
        <v>58</v>
      </c>
      <c r="J421" t="s">
        <v>1768</v>
      </c>
      <c r="M421">
        <v>94500</v>
      </c>
      <c r="N421" t="s">
        <v>339</v>
      </c>
      <c r="O421" t="s">
        <v>61</v>
      </c>
      <c r="Q421">
        <v>699145838</v>
      </c>
      <c r="R421" t="s">
        <v>1769</v>
      </c>
      <c r="S421" t="s">
        <v>63</v>
      </c>
      <c r="T421" t="s">
        <v>64</v>
      </c>
      <c r="U421" t="s">
        <v>8684</v>
      </c>
      <c r="W421" s="26">
        <v>45540</v>
      </c>
      <c r="X421" t="s">
        <v>61</v>
      </c>
      <c r="Y421" t="s">
        <v>237</v>
      </c>
    </row>
    <row r="422" spans="1:25" x14ac:dyDescent="0.25">
      <c r="A422" t="s">
        <v>1770</v>
      </c>
      <c r="B422">
        <v>11</v>
      </c>
      <c r="C422">
        <v>94</v>
      </c>
      <c r="D422">
        <v>9031</v>
      </c>
      <c r="E422" t="s">
        <v>7</v>
      </c>
      <c r="F422" t="s">
        <v>183</v>
      </c>
      <c r="G422" t="s">
        <v>1771</v>
      </c>
      <c r="H422" s="26">
        <v>14268</v>
      </c>
      <c r="I422" t="s">
        <v>58</v>
      </c>
      <c r="J422" t="s">
        <v>1772</v>
      </c>
      <c r="M422">
        <v>94220</v>
      </c>
      <c r="N422" t="s">
        <v>889</v>
      </c>
      <c r="O422" t="s">
        <v>61</v>
      </c>
      <c r="P422">
        <v>156293678</v>
      </c>
      <c r="Q422">
        <v>680684569</v>
      </c>
      <c r="R422" t="s">
        <v>1773</v>
      </c>
      <c r="S422" t="s">
        <v>63</v>
      </c>
      <c r="T422" t="s">
        <v>64</v>
      </c>
      <c r="U422" t="s">
        <v>65</v>
      </c>
      <c r="W422" s="26">
        <v>45550</v>
      </c>
      <c r="X422" t="s">
        <v>61</v>
      </c>
      <c r="Y422" t="s">
        <v>237</v>
      </c>
    </row>
    <row r="423" spans="1:25" x14ac:dyDescent="0.25">
      <c r="A423" t="s">
        <v>1774</v>
      </c>
      <c r="B423">
        <v>11</v>
      </c>
      <c r="C423">
        <v>77</v>
      </c>
      <c r="D423">
        <v>9077</v>
      </c>
      <c r="E423" t="s">
        <v>90</v>
      </c>
      <c r="F423" t="s">
        <v>1382</v>
      </c>
      <c r="G423" t="s">
        <v>983</v>
      </c>
      <c r="H423" s="26">
        <v>13866</v>
      </c>
      <c r="I423" t="s">
        <v>58</v>
      </c>
      <c r="J423" t="s">
        <v>1775</v>
      </c>
      <c r="M423">
        <v>77120</v>
      </c>
      <c r="N423" t="s">
        <v>803</v>
      </c>
      <c r="O423" t="s">
        <v>61</v>
      </c>
      <c r="P423">
        <v>164035624</v>
      </c>
      <c r="S423" t="s">
        <v>63</v>
      </c>
      <c r="T423" t="s">
        <v>64</v>
      </c>
      <c r="U423" t="s">
        <v>65</v>
      </c>
      <c r="W423" s="26">
        <v>45562</v>
      </c>
      <c r="X423" t="s">
        <v>61</v>
      </c>
      <c r="Y423" t="s">
        <v>237</v>
      </c>
    </row>
    <row r="424" spans="1:25" x14ac:dyDescent="0.25">
      <c r="A424" t="s">
        <v>1776</v>
      </c>
      <c r="B424">
        <v>11</v>
      </c>
      <c r="C424">
        <v>78</v>
      </c>
      <c r="D424">
        <v>9002</v>
      </c>
      <c r="E424" t="s">
        <v>558</v>
      </c>
      <c r="F424" t="s">
        <v>1777</v>
      </c>
      <c r="G424" t="s">
        <v>1778</v>
      </c>
      <c r="H424" s="26">
        <v>14954</v>
      </c>
      <c r="I424" t="s">
        <v>58</v>
      </c>
      <c r="J424" t="s">
        <v>1779</v>
      </c>
      <c r="M424">
        <v>78200</v>
      </c>
      <c r="N424" t="s">
        <v>609</v>
      </c>
      <c r="O424" t="s">
        <v>61</v>
      </c>
      <c r="P424">
        <v>134770167</v>
      </c>
      <c r="R424" t="s">
        <v>1780</v>
      </c>
      <c r="S424" t="s">
        <v>63</v>
      </c>
      <c r="T424" t="s">
        <v>64</v>
      </c>
      <c r="U424" t="s">
        <v>65</v>
      </c>
      <c r="W424" s="26">
        <v>45558</v>
      </c>
      <c r="X424" t="s">
        <v>61</v>
      </c>
      <c r="Y424" t="s">
        <v>237</v>
      </c>
    </row>
    <row r="425" spans="1:25" x14ac:dyDescent="0.25">
      <c r="A425" t="s">
        <v>10436</v>
      </c>
      <c r="B425">
        <v>11</v>
      </c>
      <c r="C425">
        <v>95</v>
      </c>
      <c r="D425">
        <v>9010</v>
      </c>
      <c r="E425" t="s">
        <v>6</v>
      </c>
      <c r="F425" t="s">
        <v>187</v>
      </c>
      <c r="G425" t="s">
        <v>10437</v>
      </c>
      <c r="H425" s="26">
        <v>17108</v>
      </c>
      <c r="I425" t="s">
        <v>58</v>
      </c>
      <c r="J425" t="s">
        <v>10438</v>
      </c>
      <c r="M425">
        <v>95100</v>
      </c>
      <c r="N425" t="s">
        <v>311</v>
      </c>
      <c r="O425" t="s">
        <v>61</v>
      </c>
      <c r="R425" t="s">
        <v>10439</v>
      </c>
      <c r="S425" t="s">
        <v>63</v>
      </c>
      <c r="T425" t="s">
        <v>64</v>
      </c>
      <c r="U425" t="s">
        <v>65</v>
      </c>
      <c r="W425" s="26">
        <v>45574</v>
      </c>
      <c r="X425" t="s">
        <v>61</v>
      </c>
      <c r="Y425" t="s">
        <v>237</v>
      </c>
    </row>
    <row r="426" spans="1:25" x14ac:dyDescent="0.25">
      <c r="A426" t="s">
        <v>1781</v>
      </c>
      <c r="B426">
        <v>11</v>
      </c>
      <c r="C426">
        <v>95</v>
      </c>
      <c r="D426">
        <v>9010</v>
      </c>
      <c r="E426" t="s">
        <v>6</v>
      </c>
      <c r="F426" t="s">
        <v>1782</v>
      </c>
      <c r="G426" t="s">
        <v>1783</v>
      </c>
      <c r="H426" s="26">
        <v>28454</v>
      </c>
      <c r="I426" t="s">
        <v>16</v>
      </c>
      <c r="J426" t="s">
        <v>1784</v>
      </c>
      <c r="M426">
        <v>95150</v>
      </c>
      <c r="N426" t="s">
        <v>82</v>
      </c>
      <c r="O426" t="s">
        <v>61</v>
      </c>
      <c r="R426" t="s">
        <v>1785</v>
      </c>
      <c r="S426" t="s">
        <v>63</v>
      </c>
      <c r="T426" t="s">
        <v>64</v>
      </c>
      <c r="U426" t="s">
        <v>8684</v>
      </c>
      <c r="W426" s="26">
        <v>45526</v>
      </c>
      <c r="X426" t="s">
        <v>61</v>
      </c>
      <c r="Y426" t="s">
        <v>237</v>
      </c>
    </row>
    <row r="427" spans="1:25" x14ac:dyDescent="0.25">
      <c r="A427" t="s">
        <v>1786</v>
      </c>
      <c r="B427">
        <v>11</v>
      </c>
      <c r="C427">
        <v>95</v>
      </c>
      <c r="D427">
        <v>9010</v>
      </c>
      <c r="E427" t="s">
        <v>6</v>
      </c>
      <c r="F427" t="s">
        <v>183</v>
      </c>
      <c r="G427" t="s">
        <v>1787</v>
      </c>
      <c r="H427" s="26">
        <v>29700</v>
      </c>
      <c r="I427" t="s">
        <v>58</v>
      </c>
      <c r="J427" t="s">
        <v>1788</v>
      </c>
      <c r="K427" t="s">
        <v>1789</v>
      </c>
      <c r="M427">
        <v>94260</v>
      </c>
      <c r="N427" t="s">
        <v>1790</v>
      </c>
      <c r="O427" t="s">
        <v>61</v>
      </c>
      <c r="R427" t="s">
        <v>1791</v>
      </c>
      <c r="S427" t="s">
        <v>237</v>
      </c>
      <c r="T427" t="s">
        <v>64</v>
      </c>
      <c r="U427" t="s">
        <v>1636</v>
      </c>
      <c r="W427" s="26">
        <v>45526</v>
      </c>
      <c r="X427" t="s">
        <v>61</v>
      </c>
      <c r="Y427" t="s">
        <v>237</v>
      </c>
    </row>
    <row r="428" spans="1:25" x14ac:dyDescent="0.25">
      <c r="A428" t="s">
        <v>1792</v>
      </c>
      <c r="B428">
        <v>11</v>
      </c>
      <c r="C428">
        <v>93</v>
      </c>
      <c r="D428">
        <v>9060</v>
      </c>
      <c r="E428" t="s">
        <v>203</v>
      </c>
      <c r="F428" t="s">
        <v>289</v>
      </c>
      <c r="G428" t="s">
        <v>1793</v>
      </c>
      <c r="H428" s="26">
        <v>21746</v>
      </c>
      <c r="I428" t="s">
        <v>58</v>
      </c>
      <c r="J428" t="s">
        <v>1794</v>
      </c>
      <c r="M428">
        <v>93420</v>
      </c>
      <c r="N428" t="s">
        <v>884</v>
      </c>
      <c r="O428" t="s">
        <v>61</v>
      </c>
      <c r="P428">
        <v>681851672</v>
      </c>
      <c r="R428" t="s">
        <v>8825</v>
      </c>
      <c r="S428" t="s">
        <v>63</v>
      </c>
      <c r="T428" t="s">
        <v>64</v>
      </c>
      <c r="U428" t="s">
        <v>65</v>
      </c>
      <c r="W428" s="26">
        <v>45546</v>
      </c>
      <c r="X428" t="s">
        <v>61</v>
      </c>
      <c r="Y428" t="s">
        <v>237</v>
      </c>
    </row>
    <row r="429" spans="1:25" x14ac:dyDescent="0.25">
      <c r="A429" t="s">
        <v>1795</v>
      </c>
      <c r="B429">
        <v>11</v>
      </c>
      <c r="C429">
        <v>95</v>
      </c>
      <c r="D429">
        <v>9010</v>
      </c>
      <c r="E429" t="s">
        <v>6</v>
      </c>
      <c r="F429" t="s">
        <v>816</v>
      </c>
      <c r="G429" t="s">
        <v>1796</v>
      </c>
      <c r="H429" s="26">
        <v>33042</v>
      </c>
      <c r="I429" t="s">
        <v>58</v>
      </c>
      <c r="J429" t="s">
        <v>1797</v>
      </c>
      <c r="M429">
        <v>95240</v>
      </c>
      <c r="N429" t="s">
        <v>1138</v>
      </c>
      <c r="O429" t="s">
        <v>61</v>
      </c>
      <c r="R429" t="s">
        <v>1798</v>
      </c>
      <c r="S429" t="s">
        <v>237</v>
      </c>
      <c r="T429" t="s">
        <v>64</v>
      </c>
      <c r="U429" t="s">
        <v>8684</v>
      </c>
      <c r="W429" s="26">
        <v>45534</v>
      </c>
      <c r="X429" t="s">
        <v>61</v>
      </c>
      <c r="Y429" t="s">
        <v>237</v>
      </c>
    </row>
    <row r="430" spans="1:25" x14ac:dyDescent="0.25">
      <c r="A430" t="s">
        <v>1799</v>
      </c>
      <c r="B430">
        <v>11</v>
      </c>
      <c r="C430">
        <v>75</v>
      </c>
      <c r="D430">
        <v>9070</v>
      </c>
      <c r="E430" t="s">
        <v>168</v>
      </c>
      <c r="F430" t="s">
        <v>1800</v>
      </c>
      <c r="G430" t="s">
        <v>1801</v>
      </c>
      <c r="H430" s="26">
        <v>28116</v>
      </c>
      <c r="I430" t="s">
        <v>58</v>
      </c>
      <c r="J430" t="s">
        <v>1802</v>
      </c>
      <c r="M430">
        <v>94310</v>
      </c>
      <c r="N430" t="s">
        <v>900</v>
      </c>
      <c r="O430" t="s">
        <v>61</v>
      </c>
      <c r="Q430">
        <v>745359838</v>
      </c>
      <c r="R430" t="s">
        <v>1803</v>
      </c>
      <c r="S430" t="s">
        <v>63</v>
      </c>
      <c r="T430" t="s">
        <v>64</v>
      </c>
      <c r="U430" t="s">
        <v>8684</v>
      </c>
      <c r="W430" s="26">
        <v>45533</v>
      </c>
      <c r="X430" t="s">
        <v>1804</v>
      </c>
      <c r="Y430" t="s">
        <v>237</v>
      </c>
    </row>
    <row r="431" spans="1:25" x14ac:dyDescent="0.25">
      <c r="A431" t="s">
        <v>1805</v>
      </c>
      <c r="B431">
        <v>11</v>
      </c>
      <c r="C431">
        <v>78</v>
      </c>
      <c r="D431">
        <v>9002</v>
      </c>
      <c r="E431" t="s">
        <v>558</v>
      </c>
      <c r="F431" t="s">
        <v>212</v>
      </c>
      <c r="G431" t="s">
        <v>1215</v>
      </c>
      <c r="H431" s="26">
        <v>16238</v>
      </c>
      <c r="I431" t="s">
        <v>58</v>
      </c>
      <c r="J431" t="s">
        <v>1806</v>
      </c>
      <c r="M431">
        <v>78480</v>
      </c>
      <c r="N431" t="s">
        <v>548</v>
      </c>
      <c r="O431" t="s">
        <v>61</v>
      </c>
      <c r="P431">
        <v>139710852</v>
      </c>
      <c r="Q431">
        <v>671485091</v>
      </c>
      <c r="R431" t="s">
        <v>1807</v>
      </c>
      <c r="S431" t="s">
        <v>63</v>
      </c>
      <c r="T431" t="s">
        <v>64</v>
      </c>
      <c r="U431" t="s">
        <v>65</v>
      </c>
      <c r="W431" s="26">
        <v>45558</v>
      </c>
      <c r="X431" t="s">
        <v>61</v>
      </c>
      <c r="Y431" t="s">
        <v>237</v>
      </c>
    </row>
    <row r="432" spans="1:25" x14ac:dyDescent="0.25">
      <c r="A432" t="s">
        <v>1808</v>
      </c>
      <c r="B432">
        <v>11</v>
      </c>
      <c r="C432">
        <v>95</v>
      </c>
      <c r="D432">
        <v>9069</v>
      </c>
      <c r="E432" t="s">
        <v>129</v>
      </c>
      <c r="F432" t="s">
        <v>183</v>
      </c>
      <c r="G432" t="s">
        <v>1809</v>
      </c>
      <c r="H432" s="26">
        <v>14689</v>
      </c>
      <c r="I432" t="s">
        <v>58</v>
      </c>
      <c r="J432" t="s">
        <v>1810</v>
      </c>
      <c r="M432">
        <v>95230</v>
      </c>
      <c r="N432" t="s">
        <v>774</v>
      </c>
      <c r="O432" t="s">
        <v>61</v>
      </c>
      <c r="P432">
        <v>134175326</v>
      </c>
      <c r="R432" t="s">
        <v>1811</v>
      </c>
      <c r="S432" t="s">
        <v>63</v>
      </c>
      <c r="T432" t="s">
        <v>64</v>
      </c>
      <c r="U432" t="s">
        <v>65</v>
      </c>
      <c r="W432" s="26">
        <v>45559</v>
      </c>
      <c r="X432" t="s">
        <v>61</v>
      </c>
      <c r="Y432" t="s">
        <v>237</v>
      </c>
    </row>
    <row r="433" spans="1:25" x14ac:dyDescent="0.25">
      <c r="A433" t="s">
        <v>1812</v>
      </c>
      <c r="B433">
        <v>11</v>
      </c>
      <c r="C433">
        <v>95</v>
      </c>
      <c r="D433">
        <v>9010</v>
      </c>
      <c r="E433" t="s">
        <v>6</v>
      </c>
      <c r="F433" t="s">
        <v>1813</v>
      </c>
      <c r="G433" t="s">
        <v>1814</v>
      </c>
      <c r="H433" s="26">
        <v>23905</v>
      </c>
      <c r="I433" t="s">
        <v>58</v>
      </c>
      <c r="J433" t="s">
        <v>1815</v>
      </c>
      <c r="M433">
        <v>75009</v>
      </c>
      <c r="N433" t="s">
        <v>330</v>
      </c>
      <c r="O433" t="s">
        <v>61</v>
      </c>
      <c r="R433" t="s">
        <v>1816</v>
      </c>
      <c r="S433" t="s">
        <v>63</v>
      </c>
      <c r="T433" t="s">
        <v>64</v>
      </c>
      <c r="U433" t="s">
        <v>1636</v>
      </c>
      <c r="W433" s="26">
        <v>45530</v>
      </c>
      <c r="X433" t="s">
        <v>61</v>
      </c>
      <c r="Y433" t="s">
        <v>237</v>
      </c>
    </row>
    <row r="434" spans="1:25" x14ac:dyDescent="0.25">
      <c r="A434" t="s">
        <v>8826</v>
      </c>
      <c r="B434">
        <v>11</v>
      </c>
      <c r="C434">
        <v>95</v>
      </c>
      <c r="D434">
        <v>9010</v>
      </c>
      <c r="E434" t="s">
        <v>6</v>
      </c>
      <c r="F434" t="s">
        <v>12</v>
      </c>
      <c r="G434" t="s">
        <v>869</v>
      </c>
      <c r="H434" s="26">
        <v>26459</v>
      </c>
      <c r="I434" t="s">
        <v>58</v>
      </c>
      <c r="J434" t="s">
        <v>8827</v>
      </c>
      <c r="M434">
        <v>93800</v>
      </c>
      <c r="N434" t="s">
        <v>3577</v>
      </c>
      <c r="O434" t="s">
        <v>61</v>
      </c>
      <c r="Q434">
        <v>652047393</v>
      </c>
      <c r="R434" t="s">
        <v>8828</v>
      </c>
      <c r="S434" t="s">
        <v>63</v>
      </c>
      <c r="T434" t="s">
        <v>64</v>
      </c>
      <c r="U434" t="s">
        <v>1636</v>
      </c>
      <c r="W434" s="26">
        <v>45555</v>
      </c>
      <c r="X434" t="s">
        <v>61</v>
      </c>
      <c r="Y434" t="s">
        <v>237</v>
      </c>
    </row>
    <row r="435" spans="1:25" x14ac:dyDescent="0.25">
      <c r="A435" t="s">
        <v>1817</v>
      </c>
      <c r="B435">
        <v>11</v>
      </c>
      <c r="C435">
        <v>75</v>
      </c>
      <c r="D435">
        <v>9126</v>
      </c>
      <c r="E435" t="s">
        <v>1818</v>
      </c>
      <c r="F435" t="s">
        <v>1512</v>
      </c>
      <c r="G435" t="s">
        <v>1819</v>
      </c>
      <c r="H435" s="26">
        <v>31520</v>
      </c>
      <c r="I435" t="s">
        <v>58</v>
      </c>
      <c r="J435" t="s">
        <v>1820</v>
      </c>
      <c r="M435">
        <v>75002</v>
      </c>
      <c r="N435" t="s">
        <v>330</v>
      </c>
      <c r="O435" t="s">
        <v>61</v>
      </c>
      <c r="Q435">
        <v>648636176</v>
      </c>
      <c r="R435" t="s">
        <v>1821</v>
      </c>
      <c r="S435" t="s">
        <v>63</v>
      </c>
      <c r="T435" t="s">
        <v>64</v>
      </c>
      <c r="U435" t="s">
        <v>8684</v>
      </c>
      <c r="W435" s="26">
        <v>45527</v>
      </c>
      <c r="X435" t="s">
        <v>61</v>
      </c>
      <c r="Y435" t="s">
        <v>237</v>
      </c>
    </row>
    <row r="436" spans="1:25" x14ac:dyDescent="0.25">
      <c r="A436" t="s">
        <v>10028</v>
      </c>
      <c r="B436">
        <v>11</v>
      </c>
      <c r="C436">
        <v>91</v>
      </c>
      <c r="D436">
        <v>9082</v>
      </c>
      <c r="E436" t="s">
        <v>67</v>
      </c>
      <c r="F436" t="s">
        <v>91</v>
      </c>
      <c r="G436" t="s">
        <v>10029</v>
      </c>
      <c r="H436" s="26">
        <v>14267</v>
      </c>
      <c r="I436" t="s">
        <v>58</v>
      </c>
      <c r="J436" t="s">
        <v>10030</v>
      </c>
      <c r="M436">
        <v>91210</v>
      </c>
      <c r="N436" t="s">
        <v>226</v>
      </c>
      <c r="O436" t="s">
        <v>61</v>
      </c>
      <c r="Q436">
        <v>783747673</v>
      </c>
      <c r="R436" t="s">
        <v>10031</v>
      </c>
      <c r="S436" t="s">
        <v>63</v>
      </c>
      <c r="T436" t="s">
        <v>64</v>
      </c>
      <c r="U436" t="s">
        <v>65</v>
      </c>
      <c r="W436" s="26">
        <v>45567</v>
      </c>
      <c r="X436" t="s">
        <v>61</v>
      </c>
      <c r="Y436" t="s">
        <v>237</v>
      </c>
    </row>
    <row r="437" spans="1:25" x14ac:dyDescent="0.25">
      <c r="A437" t="s">
        <v>8829</v>
      </c>
      <c r="B437">
        <v>11</v>
      </c>
      <c r="C437">
        <v>91</v>
      </c>
      <c r="D437">
        <v>9082</v>
      </c>
      <c r="E437" t="s">
        <v>67</v>
      </c>
      <c r="F437" t="s">
        <v>217</v>
      </c>
      <c r="G437" t="s">
        <v>8830</v>
      </c>
      <c r="H437" s="26">
        <v>25780</v>
      </c>
      <c r="I437" t="s">
        <v>58</v>
      </c>
      <c r="J437" t="s">
        <v>8831</v>
      </c>
      <c r="M437">
        <v>91210</v>
      </c>
      <c r="N437" t="s">
        <v>226</v>
      </c>
      <c r="O437" t="s">
        <v>61</v>
      </c>
      <c r="P437">
        <v>177059682</v>
      </c>
      <c r="Q437">
        <v>630888768</v>
      </c>
      <c r="R437" t="s">
        <v>10440</v>
      </c>
      <c r="S437" t="s">
        <v>63</v>
      </c>
      <c r="T437" t="s">
        <v>64</v>
      </c>
      <c r="U437" t="s">
        <v>65</v>
      </c>
      <c r="W437" s="26">
        <v>45546</v>
      </c>
      <c r="X437" t="s">
        <v>61</v>
      </c>
      <c r="Y437" t="s">
        <v>237</v>
      </c>
    </row>
    <row r="438" spans="1:25" x14ac:dyDescent="0.25">
      <c r="A438" t="s">
        <v>1822</v>
      </c>
      <c r="B438">
        <v>11</v>
      </c>
      <c r="C438">
        <v>77</v>
      </c>
      <c r="D438">
        <v>9049</v>
      </c>
      <c r="E438" t="s">
        <v>902</v>
      </c>
      <c r="F438" t="s">
        <v>1823</v>
      </c>
      <c r="G438" t="s">
        <v>1824</v>
      </c>
      <c r="H438" s="26">
        <v>23289</v>
      </c>
      <c r="I438" t="s">
        <v>58</v>
      </c>
      <c r="J438" t="s">
        <v>1825</v>
      </c>
      <c r="K438" t="s">
        <v>1826</v>
      </c>
      <c r="M438">
        <v>77730</v>
      </c>
      <c r="N438" t="s">
        <v>1827</v>
      </c>
      <c r="O438" t="s">
        <v>61</v>
      </c>
      <c r="Q438">
        <v>680025091</v>
      </c>
      <c r="R438" t="s">
        <v>1828</v>
      </c>
      <c r="S438" t="s">
        <v>63</v>
      </c>
      <c r="T438" t="s">
        <v>64</v>
      </c>
      <c r="U438" t="s">
        <v>65</v>
      </c>
      <c r="W438" s="26">
        <v>45524</v>
      </c>
      <c r="X438" t="s">
        <v>61</v>
      </c>
      <c r="Y438" t="s">
        <v>237</v>
      </c>
    </row>
    <row r="439" spans="1:25" x14ac:dyDescent="0.25">
      <c r="A439" t="s">
        <v>1829</v>
      </c>
      <c r="B439">
        <v>11</v>
      </c>
      <c r="C439">
        <v>77</v>
      </c>
      <c r="D439">
        <v>9028</v>
      </c>
      <c r="E439" t="s">
        <v>452</v>
      </c>
      <c r="F439" t="s">
        <v>13</v>
      </c>
      <c r="G439" t="s">
        <v>1830</v>
      </c>
      <c r="H439" s="26">
        <v>21846</v>
      </c>
      <c r="I439" t="s">
        <v>58</v>
      </c>
      <c r="J439" t="s">
        <v>1831</v>
      </c>
      <c r="M439">
        <v>77650</v>
      </c>
      <c r="N439" t="s">
        <v>455</v>
      </c>
      <c r="O439" t="s">
        <v>61</v>
      </c>
      <c r="P439">
        <v>164004664</v>
      </c>
      <c r="Q439">
        <v>670151383</v>
      </c>
      <c r="R439" t="s">
        <v>1832</v>
      </c>
      <c r="S439" t="s">
        <v>63</v>
      </c>
      <c r="T439" t="s">
        <v>64</v>
      </c>
      <c r="U439" t="s">
        <v>65</v>
      </c>
      <c r="W439" s="26">
        <v>45555</v>
      </c>
      <c r="X439" t="s">
        <v>61</v>
      </c>
      <c r="Y439" t="s">
        <v>237</v>
      </c>
    </row>
    <row r="440" spans="1:25" x14ac:dyDescent="0.25">
      <c r="A440" t="s">
        <v>1833</v>
      </c>
      <c r="B440">
        <v>11</v>
      </c>
      <c r="C440">
        <v>91</v>
      </c>
      <c r="D440">
        <v>9082</v>
      </c>
      <c r="E440" t="s">
        <v>67</v>
      </c>
      <c r="F440" t="s">
        <v>97</v>
      </c>
      <c r="G440" t="s">
        <v>1834</v>
      </c>
      <c r="H440" s="26">
        <v>16824</v>
      </c>
      <c r="I440" t="s">
        <v>58</v>
      </c>
      <c r="J440" t="s">
        <v>1835</v>
      </c>
      <c r="M440">
        <v>91170</v>
      </c>
      <c r="N440" t="s">
        <v>1836</v>
      </c>
      <c r="O440" t="s">
        <v>61</v>
      </c>
      <c r="Q440">
        <v>638738676</v>
      </c>
      <c r="R440" t="s">
        <v>1837</v>
      </c>
      <c r="S440" t="s">
        <v>63</v>
      </c>
      <c r="T440" t="s">
        <v>64</v>
      </c>
      <c r="U440" t="s">
        <v>65</v>
      </c>
      <c r="W440" s="26">
        <v>45555</v>
      </c>
      <c r="X440" t="s">
        <v>61</v>
      </c>
      <c r="Y440" t="s">
        <v>237</v>
      </c>
    </row>
    <row r="441" spans="1:25" x14ac:dyDescent="0.25">
      <c r="A441" t="s">
        <v>1838</v>
      </c>
      <c r="B441">
        <v>11</v>
      </c>
      <c r="C441">
        <v>91</v>
      </c>
      <c r="D441">
        <v>9095</v>
      </c>
      <c r="E441" t="s">
        <v>113</v>
      </c>
      <c r="F441" t="s">
        <v>1382</v>
      </c>
      <c r="G441" t="s">
        <v>1839</v>
      </c>
      <c r="H441" s="26">
        <v>17346</v>
      </c>
      <c r="I441" t="s">
        <v>58</v>
      </c>
      <c r="J441" t="s">
        <v>1840</v>
      </c>
      <c r="M441">
        <v>91310</v>
      </c>
      <c r="N441" t="s">
        <v>1841</v>
      </c>
      <c r="O441" t="s">
        <v>61</v>
      </c>
      <c r="Q441">
        <v>682172453</v>
      </c>
      <c r="R441" t="s">
        <v>1842</v>
      </c>
      <c r="S441" t="s">
        <v>63</v>
      </c>
      <c r="T441" t="s">
        <v>64</v>
      </c>
      <c r="U441" t="s">
        <v>65</v>
      </c>
      <c r="W441" s="26">
        <v>45552</v>
      </c>
      <c r="X441" t="s">
        <v>61</v>
      </c>
      <c r="Y441" t="s">
        <v>237</v>
      </c>
    </row>
    <row r="442" spans="1:25" x14ac:dyDescent="0.25">
      <c r="A442" t="s">
        <v>10183</v>
      </c>
      <c r="B442">
        <v>11</v>
      </c>
      <c r="C442">
        <v>94</v>
      </c>
      <c r="D442">
        <v>9024</v>
      </c>
      <c r="E442" t="s">
        <v>4</v>
      </c>
      <c r="F442" t="s">
        <v>97</v>
      </c>
      <c r="G442" t="s">
        <v>10184</v>
      </c>
      <c r="H442" s="26">
        <v>14187</v>
      </c>
      <c r="I442" t="s">
        <v>58</v>
      </c>
      <c r="J442" t="s">
        <v>10185</v>
      </c>
      <c r="M442">
        <v>75014</v>
      </c>
      <c r="N442" t="s">
        <v>330</v>
      </c>
      <c r="O442" t="s">
        <v>61</v>
      </c>
      <c r="P442">
        <v>147070382</v>
      </c>
      <c r="R442" t="s">
        <v>10186</v>
      </c>
      <c r="S442" t="s">
        <v>63</v>
      </c>
      <c r="T442" t="s">
        <v>64</v>
      </c>
      <c r="U442" t="s">
        <v>65</v>
      </c>
      <c r="W442" s="26">
        <v>45567</v>
      </c>
      <c r="X442" t="s">
        <v>61</v>
      </c>
      <c r="Y442" t="s">
        <v>237</v>
      </c>
    </row>
    <row r="443" spans="1:25" x14ac:dyDescent="0.25">
      <c r="A443" t="s">
        <v>10441</v>
      </c>
      <c r="B443">
        <v>11</v>
      </c>
      <c r="C443">
        <v>93</v>
      </c>
      <c r="D443">
        <v>9060</v>
      </c>
      <c r="E443" t="s">
        <v>203</v>
      </c>
      <c r="F443" t="s">
        <v>740</v>
      </c>
      <c r="G443" t="s">
        <v>10442</v>
      </c>
      <c r="H443" s="26">
        <v>19380</v>
      </c>
      <c r="I443" t="s">
        <v>58</v>
      </c>
      <c r="J443" t="s">
        <v>10443</v>
      </c>
      <c r="M443">
        <v>93500</v>
      </c>
      <c r="N443" t="s">
        <v>10444</v>
      </c>
      <c r="O443" t="s">
        <v>61</v>
      </c>
      <c r="P443">
        <v>148445606</v>
      </c>
      <c r="S443" t="s">
        <v>63</v>
      </c>
      <c r="T443" t="s">
        <v>64</v>
      </c>
      <c r="U443" t="s">
        <v>65</v>
      </c>
      <c r="W443" s="26">
        <v>45576</v>
      </c>
      <c r="X443" t="s">
        <v>61</v>
      </c>
      <c r="Y443" t="s">
        <v>237</v>
      </c>
    </row>
    <row r="444" spans="1:25" x14ac:dyDescent="0.25">
      <c r="A444" t="s">
        <v>1843</v>
      </c>
      <c r="B444">
        <v>11</v>
      </c>
      <c r="C444">
        <v>78</v>
      </c>
      <c r="D444">
        <v>9030</v>
      </c>
      <c r="E444" t="s">
        <v>96</v>
      </c>
      <c r="F444" t="s">
        <v>91</v>
      </c>
      <c r="G444" t="s">
        <v>1844</v>
      </c>
      <c r="H444" s="26">
        <v>17180</v>
      </c>
      <c r="I444" t="s">
        <v>58</v>
      </c>
      <c r="J444" t="s">
        <v>1845</v>
      </c>
      <c r="M444">
        <v>78150</v>
      </c>
      <c r="N444" t="s">
        <v>1846</v>
      </c>
      <c r="O444" t="s">
        <v>61</v>
      </c>
      <c r="P444">
        <v>139554006</v>
      </c>
      <c r="Q444">
        <v>674007726</v>
      </c>
      <c r="R444" t="s">
        <v>1847</v>
      </c>
      <c r="S444" t="s">
        <v>63</v>
      </c>
      <c r="T444" t="s">
        <v>64</v>
      </c>
      <c r="U444" t="s">
        <v>65</v>
      </c>
      <c r="W444" s="26">
        <v>45539</v>
      </c>
      <c r="X444" t="s">
        <v>61</v>
      </c>
      <c r="Y444" t="s">
        <v>237</v>
      </c>
    </row>
    <row r="445" spans="1:25" x14ac:dyDescent="0.25">
      <c r="A445" t="s">
        <v>1848</v>
      </c>
      <c r="B445">
        <v>11</v>
      </c>
      <c r="C445">
        <v>78</v>
      </c>
      <c r="D445">
        <v>9052</v>
      </c>
      <c r="E445" t="s">
        <v>337</v>
      </c>
      <c r="F445" t="s">
        <v>137</v>
      </c>
      <c r="G445" t="s">
        <v>1849</v>
      </c>
      <c r="H445" s="26">
        <v>17411</v>
      </c>
      <c r="I445" t="s">
        <v>58</v>
      </c>
      <c r="J445" t="s">
        <v>1850</v>
      </c>
      <c r="M445">
        <v>78770</v>
      </c>
      <c r="N445" t="s">
        <v>1851</v>
      </c>
      <c r="O445" t="s">
        <v>61</v>
      </c>
      <c r="P445">
        <v>986107224</v>
      </c>
      <c r="R445" t="s">
        <v>1852</v>
      </c>
      <c r="S445" t="s">
        <v>63</v>
      </c>
      <c r="T445" t="s">
        <v>64</v>
      </c>
      <c r="U445" t="s">
        <v>65</v>
      </c>
      <c r="W445" s="26">
        <v>45544</v>
      </c>
      <c r="X445" t="s">
        <v>61</v>
      </c>
      <c r="Y445" t="s">
        <v>237</v>
      </c>
    </row>
    <row r="446" spans="1:25" x14ac:dyDescent="0.25">
      <c r="A446" t="s">
        <v>1853</v>
      </c>
      <c r="B446">
        <v>11</v>
      </c>
      <c r="C446">
        <v>78</v>
      </c>
      <c r="D446">
        <v>9056</v>
      </c>
      <c r="E446" t="s">
        <v>214</v>
      </c>
      <c r="F446" t="s">
        <v>1247</v>
      </c>
      <c r="G446" t="s">
        <v>1854</v>
      </c>
      <c r="H446" s="26">
        <v>16903</v>
      </c>
      <c r="I446" t="s">
        <v>58</v>
      </c>
      <c r="J446" t="s">
        <v>1855</v>
      </c>
      <c r="M446">
        <v>78000</v>
      </c>
      <c r="N446" t="s">
        <v>1334</v>
      </c>
      <c r="O446" t="s">
        <v>61</v>
      </c>
      <c r="P446">
        <v>139515475</v>
      </c>
      <c r="S446" t="s">
        <v>63</v>
      </c>
      <c r="T446" t="s">
        <v>64</v>
      </c>
      <c r="U446" t="s">
        <v>65</v>
      </c>
      <c r="W446" s="26">
        <v>45555</v>
      </c>
      <c r="X446" t="s">
        <v>61</v>
      </c>
      <c r="Y446" t="s">
        <v>237</v>
      </c>
    </row>
    <row r="447" spans="1:25" x14ac:dyDescent="0.25">
      <c r="A447" t="s">
        <v>1856</v>
      </c>
      <c r="B447">
        <v>11</v>
      </c>
      <c r="C447">
        <v>78</v>
      </c>
      <c r="D447">
        <v>9084</v>
      </c>
      <c r="E447" t="s">
        <v>216</v>
      </c>
      <c r="F447" t="s">
        <v>137</v>
      </c>
      <c r="G447" t="s">
        <v>1857</v>
      </c>
      <c r="H447" s="26">
        <v>16107</v>
      </c>
      <c r="I447" t="s">
        <v>58</v>
      </c>
      <c r="J447" t="s">
        <v>1858</v>
      </c>
      <c r="M447">
        <v>78670</v>
      </c>
      <c r="N447" t="s">
        <v>1859</v>
      </c>
      <c r="O447" t="s">
        <v>61</v>
      </c>
      <c r="P447">
        <v>139758018</v>
      </c>
      <c r="Q447">
        <v>618118170</v>
      </c>
      <c r="R447" t="s">
        <v>1860</v>
      </c>
      <c r="S447" t="s">
        <v>63</v>
      </c>
      <c r="T447" t="s">
        <v>64</v>
      </c>
      <c r="U447" t="s">
        <v>65</v>
      </c>
      <c r="V447" t="s">
        <v>111</v>
      </c>
      <c r="W447" s="26">
        <v>45544</v>
      </c>
      <c r="X447" t="s">
        <v>61</v>
      </c>
      <c r="Y447" t="s">
        <v>237</v>
      </c>
    </row>
    <row r="448" spans="1:25" x14ac:dyDescent="0.25">
      <c r="A448" t="s">
        <v>1862</v>
      </c>
      <c r="B448">
        <v>11</v>
      </c>
      <c r="C448">
        <v>77</v>
      </c>
      <c r="D448">
        <v>9059</v>
      </c>
      <c r="E448" t="s">
        <v>197</v>
      </c>
      <c r="F448" t="s">
        <v>13</v>
      </c>
      <c r="G448" t="s">
        <v>165</v>
      </c>
      <c r="H448" s="26">
        <v>20517</v>
      </c>
      <c r="I448" t="s">
        <v>58</v>
      </c>
      <c r="J448" t="s">
        <v>1863</v>
      </c>
      <c r="M448">
        <v>77220</v>
      </c>
      <c r="N448" t="s">
        <v>1864</v>
      </c>
      <c r="O448" t="s">
        <v>61</v>
      </c>
      <c r="R448" t="s">
        <v>1865</v>
      </c>
      <c r="S448" t="s">
        <v>63</v>
      </c>
      <c r="T448" t="s">
        <v>64</v>
      </c>
      <c r="U448" t="s">
        <v>65</v>
      </c>
      <c r="W448" s="26">
        <v>45537</v>
      </c>
      <c r="X448" t="s">
        <v>61</v>
      </c>
      <c r="Y448" t="s">
        <v>237</v>
      </c>
    </row>
    <row r="449" spans="1:25" x14ac:dyDescent="0.25">
      <c r="A449" t="s">
        <v>1866</v>
      </c>
      <c r="B449">
        <v>11</v>
      </c>
      <c r="C449">
        <v>77</v>
      </c>
      <c r="D449">
        <v>9105</v>
      </c>
      <c r="E449" t="s">
        <v>124</v>
      </c>
      <c r="F449" t="s">
        <v>1099</v>
      </c>
      <c r="G449" t="s">
        <v>1867</v>
      </c>
      <c r="H449" s="26">
        <v>22243</v>
      </c>
      <c r="I449" t="s">
        <v>58</v>
      </c>
      <c r="J449" t="s">
        <v>1868</v>
      </c>
      <c r="M449">
        <v>77176</v>
      </c>
      <c r="N449" t="s">
        <v>1869</v>
      </c>
      <c r="O449" t="s">
        <v>61</v>
      </c>
      <c r="Q449">
        <v>635344189</v>
      </c>
      <c r="R449" t="s">
        <v>1870</v>
      </c>
      <c r="S449" t="s">
        <v>63</v>
      </c>
      <c r="T449" t="s">
        <v>64</v>
      </c>
      <c r="U449" t="s">
        <v>65</v>
      </c>
      <c r="W449" s="26">
        <v>45537</v>
      </c>
      <c r="X449" t="s">
        <v>61</v>
      </c>
      <c r="Y449" t="s">
        <v>237</v>
      </c>
    </row>
    <row r="450" spans="1:25" x14ac:dyDescent="0.25">
      <c r="A450" t="s">
        <v>1871</v>
      </c>
      <c r="B450">
        <v>11</v>
      </c>
      <c r="C450">
        <v>93</v>
      </c>
      <c r="D450">
        <v>9122</v>
      </c>
      <c r="E450" t="s">
        <v>1030</v>
      </c>
      <c r="F450" t="s">
        <v>1872</v>
      </c>
      <c r="G450" t="s">
        <v>1873</v>
      </c>
      <c r="H450" s="26">
        <v>30891</v>
      </c>
      <c r="I450" t="s">
        <v>58</v>
      </c>
      <c r="J450" t="s">
        <v>1874</v>
      </c>
      <c r="M450">
        <v>93160</v>
      </c>
      <c r="N450" t="s">
        <v>649</v>
      </c>
      <c r="O450" t="s">
        <v>61</v>
      </c>
      <c r="Q450">
        <v>783757009</v>
      </c>
      <c r="R450" t="s">
        <v>1875</v>
      </c>
      <c r="S450" t="s">
        <v>63</v>
      </c>
      <c r="T450" t="s">
        <v>64</v>
      </c>
      <c r="U450" t="s">
        <v>8684</v>
      </c>
      <c r="W450" s="26">
        <v>45533</v>
      </c>
      <c r="X450" t="s">
        <v>61</v>
      </c>
      <c r="Y450" t="s">
        <v>237</v>
      </c>
    </row>
    <row r="451" spans="1:25" x14ac:dyDescent="0.25">
      <c r="A451" t="s">
        <v>1876</v>
      </c>
      <c r="B451">
        <v>11</v>
      </c>
      <c r="C451">
        <v>95</v>
      </c>
      <c r="D451">
        <v>9069</v>
      </c>
      <c r="E451" t="s">
        <v>129</v>
      </c>
      <c r="F451" t="s">
        <v>551</v>
      </c>
      <c r="G451" t="s">
        <v>1877</v>
      </c>
      <c r="H451" s="26">
        <v>18501</v>
      </c>
      <c r="I451" t="s">
        <v>58</v>
      </c>
      <c r="J451" t="s">
        <v>1878</v>
      </c>
      <c r="M451">
        <v>95210</v>
      </c>
      <c r="N451" t="s">
        <v>308</v>
      </c>
      <c r="O451" t="s">
        <v>61</v>
      </c>
      <c r="Q451">
        <v>609894789</v>
      </c>
      <c r="R451" t="s">
        <v>1879</v>
      </c>
      <c r="S451" t="s">
        <v>63</v>
      </c>
      <c r="T451" t="s">
        <v>64</v>
      </c>
      <c r="U451" t="s">
        <v>65</v>
      </c>
      <c r="W451" s="26">
        <v>45544</v>
      </c>
      <c r="X451" t="s">
        <v>61</v>
      </c>
      <c r="Y451" t="s">
        <v>237</v>
      </c>
    </row>
    <row r="452" spans="1:25" x14ac:dyDescent="0.25">
      <c r="A452" t="s">
        <v>1880</v>
      </c>
      <c r="B452">
        <v>11</v>
      </c>
      <c r="C452">
        <v>94</v>
      </c>
      <c r="D452">
        <v>9031</v>
      </c>
      <c r="E452" t="s">
        <v>7</v>
      </c>
      <c r="F452" t="s">
        <v>91</v>
      </c>
      <c r="G452" t="s">
        <v>1881</v>
      </c>
      <c r="H452" s="26">
        <v>17237</v>
      </c>
      <c r="I452" t="s">
        <v>58</v>
      </c>
      <c r="J452" t="s">
        <v>1882</v>
      </c>
      <c r="M452">
        <v>94700</v>
      </c>
      <c r="N452" t="s">
        <v>163</v>
      </c>
      <c r="O452" t="s">
        <v>61</v>
      </c>
      <c r="Q452">
        <v>641597321</v>
      </c>
      <c r="R452" t="s">
        <v>8832</v>
      </c>
      <c r="S452" t="s">
        <v>63</v>
      </c>
      <c r="T452" t="s">
        <v>64</v>
      </c>
      <c r="U452" t="s">
        <v>65</v>
      </c>
      <c r="W452" s="26">
        <v>45550</v>
      </c>
      <c r="X452" t="s">
        <v>61</v>
      </c>
      <c r="Y452" t="s">
        <v>237</v>
      </c>
    </row>
    <row r="453" spans="1:25" x14ac:dyDescent="0.25">
      <c r="A453" t="s">
        <v>10445</v>
      </c>
      <c r="B453">
        <v>11</v>
      </c>
      <c r="C453">
        <v>94</v>
      </c>
      <c r="D453">
        <v>9024</v>
      </c>
      <c r="E453" t="s">
        <v>4</v>
      </c>
      <c r="F453" t="s">
        <v>1883</v>
      </c>
      <c r="G453" t="s">
        <v>10446</v>
      </c>
      <c r="H453" s="26">
        <v>16950</v>
      </c>
      <c r="I453" t="s">
        <v>58</v>
      </c>
      <c r="J453" t="s">
        <v>10447</v>
      </c>
      <c r="M453">
        <v>94100</v>
      </c>
      <c r="N453" t="s">
        <v>971</v>
      </c>
      <c r="O453" t="s">
        <v>61</v>
      </c>
      <c r="Q453">
        <v>675911215</v>
      </c>
      <c r="R453" t="s">
        <v>10448</v>
      </c>
      <c r="S453" t="s">
        <v>63</v>
      </c>
      <c r="T453" t="s">
        <v>64</v>
      </c>
      <c r="U453" t="s">
        <v>65</v>
      </c>
      <c r="W453" s="26">
        <v>45582</v>
      </c>
      <c r="X453" t="s">
        <v>61</v>
      </c>
      <c r="Y453" t="s">
        <v>237</v>
      </c>
    </row>
    <row r="454" spans="1:25" x14ac:dyDescent="0.25">
      <c r="A454" t="s">
        <v>1884</v>
      </c>
      <c r="B454">
        <v>11</v>
      </c>
      <c r="C454">
        <v>78</v>
      </c>
      <c r="D454">
        <v>9030</v>
      </c>
      <c r="E454" t="s">
        <v>96</v>
      </c>
      <c r="F454" t="s">
        <v>734</v>
      </c>
      <c r="G454" t="s">
        <v>1885</v>
      </c>
      <c r="H454" s="26">
        <v>27615</v>
      </c>
      <c r="I454" t="s">
        <v>58</v>
      </c>
      <c r="J454" t="s">
        <v>1886</v>
      </c>
      <c r="K454" t="s">
        <v>1887</v>
      </c>
      <c r="M454">
        <v>78990</v>
      </c>
      <c r="N454" t="s">
        <v>465</v>
      </c>
      <c r="O454" t="s">
        <v>61</v>
      </c>
      <c r="Q454">
        <v>687367891</v>
      </c>
      <c r="R454" t="s">
        <v>1888</v>
      </c>
      <c r="S454" t="s">
        <v>63</v>
      </c>
      <c r="T454" t="s">
        <v>64</v>
      </c>
      <c r="U454" t="s">
        <v>65</v>
      </c>
      <c r="W454" s="26">
        <v>45542</v>
      </c>
      <c r="X454" t="s">
        <v>61</v>
      </c>
      <c r="Y454" t="s">
        <v>237</v>
      </c>
    </row>
    <row r="455" spans="1:25" x14ac:dyDescent="0.25">
      <c r="A455" t="s">
        <v>1889</v>
      </c>
      <c r="B455">
        <v>11</v>
      </c>
      <c r="C455">
        <v>92</v>
      </c>
      <c r="D455">
        <v>9065</v>
      </c>
      <c r="E455" t="s">
        <v>426</v>
      </c>
      <c r="F455" t="s">
        <v>322</v>
      </c>
      <c r="G455" t="s">
        <v>1292</v>
      </c>
      <c r="H455" s="26">
        <v>31082</v>
      </c>
      <c r="I455" t="s">
        <v>58</v>
      </c>
      <c r="J455" t="s">
        <v>1890</v>
      </c>
      <c r="M455">
        <v>91600</v>
      </c>
      <c r="N455" t="s">
        <v>1680</v>
      </c>
      <c r="O455" t="s">
        <v>61</v>
      </c>
      <c r="Q455">
        <v>645279047</v>
      </c>
      <c r="R455" t="s">
        <v>1891</v>
      </c>
      <c r="S455" t="s">
        <v>63</v>
      </c>
      <c r="T455" t="s">
        <v>64</v>
      </c>
      <c r="U455" t="s">
        <v>8684</v>
      </c>
      <c r="W455" s="26">
        <v>45528</v>
      </c>
      <c r="X455" t="s">
        <v>61</v>
      </c>
      <c r="Y455" t="s">
        <v>237</v>
      </c>
    </row>
    <row r="456" spans="1:25" x14ac:dyDescent="0.25">
      <c r="A456" t="s">
        <v>1892</v>
      </c>
      <c r="B456">
        <v>11</v>
      </c>
      <c r="C456">
        <v>78</v>
      </c>
      <c r="D456">
        <v>9002</v>
      </c>
      <c r="E456" t="s">
        <v>558</v>
      </c>
      <c r="F456" t="s">
        <v>100</v>
      </c>
      <c r="G456" t="s">
        <v>1893</v>
      </c>
      <c r="H456" s="26">
        <v>19459</v>
      </c>
      <c r="I456" t="s">
        <v>58</v>
      </c>
      <c r="J456" t="s">
        <v>1894</v>
      </c>
      <c r="M456">
        <v>78520</v>
      </c>
      <c r="N456" t="s">
        <v>1895</v>
      </c>
      <c r="O456" t="s">
        <v>61</v>
      </c>
      <c r="P456">
        <v>130925558</v>
      </c>
      <c r="Q456">
        <v>661619617</v>
      </c>
      <c r="R456" t="s">
        <v>1896</v>
      </c>
      <c r="S456" t="s">
        <v>63</v>
      </c>
      <c r="T456" t="s">
        <v>64</v>
      </c>
      <c r="U456" t="s">
        <v>65</v>
      </c>
      <c r="W456" s="26">
        <v>45531</v>
      </c>
      <c r="X456" t="s">
        <v>61</v>
      </c>
      <c r="Y456" t="s">
        <v>237</v>
      </c>
    </row>
    <row r="457" spans="1:25" x14ac:dyDescent="0.25">
      <c r="A457" t="s">
        <v>1897</v>
      </c>
      <c r="B457">
        <v>11</v>
      </c>
      <c r="C457">
        <v>78</v>
      </c>
      <c r="D457">
        <v>9002</v>
      </c>
      <c r="E457" t="s">
        <v>558</v>
      </c>
      <c r="F457" t="s">
        <v>13</v>
      </c>
      <c r="G457" t="s">
        <v>1898</v>
      </c>
      <c r="H457" s="26">
        <v>18887</v>
      </c>
      <c r="I457" t="s">
        <v>58</v>
      </c>
      <c r="J457" t="s">
        <v>1899</v>
      </c>
      <c r="M457">
        <v>78520</v>
      </c>
      <c r="N457" t="s">
        <v>365</v>
      </c>
      <c r="O457" t="s">
        <v>61</v>
      </c>
      <c r="P457">
        <v>134776257</v>
      </c>
      <c r="R457" t="s">
        <v>1900</v>
      </c>
      <c r="S457" t="s">
        <v>63</v>
      </c>
      <c r="T457" t="s">
        <v>64</v>
      </c>
      <c r="U457" t="s">
        <v>65</v>
      </c>
      <c r="W457" s="26">
        <v>45558</v>
      </c>
      <c r="X457" t="s">
        <v>61</v>
      </c>
      <c r="Y457" t="s">
        <v>237</v>
      </c>
    </row>
    <row r="458" spans="1:25" x14ac:dyDescent="0.25">
      <c r="A458" t="s">
        <v>1901</v>
      </c>
      <c r="B458">
        <v>11</v>
      </c>
      <c r="C458">
        <v>91</v>
      </c>
      <c r="D458">
        <v>9096</v>
      </c>
      <c r="E458" t="s">
        <v>526</v>
      </c>
      <c r="F458" t="s">
        <v>217</v>
      </c>
      <c r="G458" t="s">
        <v>1902</v>
      </c>
      <c r="H458" s="26">
        <v>24374</v>
      </c>
      <c r="I458" t="s">
        <v>58</v>
      </c>
      <c r="J458" t="s">
        <v>1903</v>
      </c>
      <c r="K458" t="s">
        <v>1904</v>
      </c>
      <c r="M458">
        <v>91580</v>
      </c>
      <c r="N458" t="s">
        <v>1905</v>
      </c>
      <c r="O458" t="s">
        <v>61</v>
      </c>
      <c r="Q458">
        <v>769487919</v>
      </c>
      <c r="R458" t="s">
        <v>1906</v>
      </c>
      <c r="S458" t="s">
        <v>63</v>
      </c>
      <c r="T458" t="s">
        <v>64</v>
      </c>
      <c r="U458" t="s">
        <v>65</v>
      </c>
      <c r="W458" s="26">
        <v>45536</v>
      </c>
      <c r="X458" t="s">
        <v>61</v>
      </c>
      <c r="Y458" t="s">
        <v>237</v>
      </c>
    </row>
    <row r="459" spans="1:25" x14ac:dyDescent="0.25">
      <c r="A459" t="s">
        <v>1907</v>
      </c>
      <c r="B459">
        <v>11</v>
      </c>
      <c r="C459">
        <v>93</v>
      </c>
      <c r="D459">
        <v>9060</v>
      </c>
      <c r="E459" t="s">
        <v>203</v>
      </c>
      <c r="F459" t="s">
        <v>916</v>
      </c>
      <c r="G459" t="s">
        <v>1908</v>
      </c>
      <c r="H459" s="26">
        <v>28272</v>
      </c>
      <c r="I459" t="s">
        <v>58</v>
      </c>
      <c r="J459" t="s">
        <v>1909</v>
      </c>
      <c r="M459">
        <v>77600</v>
      </c>
      <c r="N459" t="s">
        <v>1293</v>
      </c>
      <c r="O459" t="s">
        <v>61</v>
      </c>
      <c r="R459" t="s">
        <v>1910</v>
      </c>
      <c r="S459" t="s">
        <v>63</v>
      </c>
      <c r="T459" t="s">
        <v>64</v>
      </c>
      <c r="U459" t="s">
        <v>65</v>
      </c>
      <c r="W459" s="26">
        <v>45546</v>
      </c>
      <c r="X459" t="s">
        <v>61</v>
      </c>
      <c r="Y459" t="s">
        <v>237</v>
      </c>
    </row>
    <row r="460" spans="1:25" x14ac:dyDescent="0.25">
      <c r="A460" t="s">
        <v>1911</v>
      </c>
      <c r="B460">
        <v>11</v>
      </c>
      <c r="C460">
        <v>91</v>
      </c>
      <c r="D460">
        <v>9009</v>
      </c>
      <c r="E460" t="s">
        <v>159</v>
      </c>
      <c r="F460" t="s">
        <v>187</v>
      </c>
      <c r="G460" t="s">
        <v>1912</v>
      </c>
      <c r="H460" s="26">
        <v>17959</v>
      </c>
      <c r="I460" t="s">
        <v>58</v>
      </c>
      <c r="J460" t="s">
        <v>1913</v>
      </c>
      <c r="M460">
        <v>91260</v>
      </c>
      <c r="N460" t="s">
        <v>320</v>
      </c>
      <c r="O460" t="s">
        <v>61</v>
      </c>
      <c r="P460">
        <v>952123300</v>
      </c>
      <c r="Q460">
        <v>680162607</v>
      </c>
      <c r="R460" t="s">
        <v>1914</v>
      </c>
      <c r="S460" t="s">
        <v>63</v>
      </c>
      <c r="T460" t="s">
        <v>64</v>
      </c>
      <c r="U460" t="s">
        <v>65</v>
      </c>
      <c r="W460" s="26">
        <v>45560</v>
      </c>
      <c r="X460" t="s">
        <v>61</v>
      </c>
      <c r="Y460" t="s">
        <v>237</v>
      </c>
    </row>
    <row r="461" spans="1:25" x14ac:dyDescent="0.25">
      <c r="A461" t="s">
        <v>1915</v>
      </c>
      <c r="B461">
        <v>11</v>
      </c>
      <c r="C461">
        <v>78</v>
      </c>
      <c r="D461">
        <v>9016</v>
      </c>
      <c r="E461" t="s">
        <v>362</v>
      </c>
      <c r="F461" t="s">
        <v>100</v>
      </c>
      <c r="G461" t="s">
        <v>1916</v>
      </c>
      <c r="H461" s="26">
        <v>19462</v>
      </c>
      <c r="I461" t="s">
        <v>58</v>
      </c>
      <c r="J461" t="s">
        <v>1917</v>
      </c>
      <c r="M461">
        <v>95780</v>
      </c>
      <c r="N461" t="s">
        <v>1918</v>
      </c>
      <c r="O461" t="s">
        <v>61</v>
      </c>
      <c r="P461">
        <v>134797528</v>
      </c>
      <c r="Q461">
        <v>686722728</v>
      </c>
      <c r="R461" t="s">
        <v>1919</v>
      </c>
      <c r="S461" t="s">
        <v>63</v>
      </c>
      <c r="T461" t="s">
        <v>64</v>
      </c>
      <c r="U461" t="s">
        <v>65</v>
      </c>
      <c r="V461" t="s">
        <v>111</v>
      </c>
      <c r="W461" s="26">
        <v>45560</v>
      </c>
      <c r="X461" t="s">
        <v>61</v>
      </c>
      <c r="Y461" t="s">
        <v>237</v>
      </c>
    </row>
    <row r="462" spans="1:25" x14ac:dyDescent="0.25">
      <c r="A462" t="s">
        <v>1920</v>
      </c>
      <c r="B462">
        <v>11</v>
      </c>
      <c r="C462">
        <v>78</v>
      </c>
      <c r="D462">
        <v>9084</v>
      </c>
      <c r="E462" t="s">
        <v>216</v>
      </c>
      <c r="F462" t="s">
        <v>183</v>
      </c>
      <c r="G462" t="s">
        <v>1857</v>
      </c>
      <c r="H462" s="26">
        <v>16926</v>
      </c>
      <c r="I462" t="s">
        <v>58</v>
      </c>
      <c r="J462" t="s">
        <v>1921</v>
      </c>
      <c r="M462">
        <v>78630</v>
      </c>
      <c r="N462" t="s">
        <v>1922</v>
      </c>
      <c r="O462" t="s">
        <v>61</v>
      </c>
      <c r="P462">
        <v>139759081</v>
      </c>
      <c r="Q462">
        <v>625840405</v>
      </c>
      <c r="R462" t="s">
        <v>1923</v>
      </c>
      <c r="S462" t="s">
        <v>63</v>
      </c>
      <c r="T462" t="s">
        <v>64</v>
      </c>
      <c r="U462" t="s">
        <v>65</v>
      </c>
      <c r="W462" s="26">
        <v>45551</v>
      </c>
      <c r="X462" t="s">
        <v>61</v>
      </c>
      <c r="Y462" t="s">
        <v>237</v>
      </c>
    </row>
    <row r="463" spans="1:25" x14ac:dyDescent="0.25">
      <c r="A463" t="s">
        <v>1924</v>
      </c>
      <c r="B463">
        <v>11</v>
      </c>
      <c r="C463">
        <v>92</v>
      </c>
      <c r="D463">
        <v>9032</v>
      </c>
      <c r="E463" t="s">
        <v>102</v>
      </c>
      <c r="F463" t="s">
        <v>983</v>
      </c>
      <c r="G463" t="s">
        <v>1925</v>
      </c>
      <c r="H463" s="26">
        <v>23517</v>
      </c>
      <c r="I463" t="s">
        <v>58</v>
      </c>
      <c r="J463" t="s">
        <v>1926</v>
      </c>
      <c r="M463">
        <v>78220</v>
      </c>
      <c r="N463" t="s">
        <v>258</v>
      </c>
      <c r="O463" t="s">
        <v>61</v>
      </c>
      <c r="P463">
        <v>130242990</v>
      </c>
      <c r="R463" t="s">
        <v>8833</v>
      </c>
      <c r="S463" t="s">
        <v>63</v>
      </c>
      <c r="T463" t="s">
        <v>64</v>
      </c>
      <c r="U463" t="s">
        <v>65</v>
      </c>
      <c r="W463" s="26">
        <v>45549</v>
      </c>
      <c r="X463" t="s">
        <v>61</v>
      </c>
      <c r="Y463" t="s">
        <v>237</v>
      </c>
    </row>
    <row r="464" spans="1:25" x14ac:dyDescent="0.25">
      <c r="A464" t="s">
        <v>1927</v>
      </c>
      <c r="B464">
        <v>11</v>
      </c>
      <c r="C464">
        <v>92</v>
      </c>
      <c r="D464">
        <v>9068</v>
      </c>
      <c r="E464" t="s">
        <v>119</v>
      </c>
      <c r="F464" t="s">
        <v>143</v>
      </c>
      <c r="G464" t="s">
        <v>1928</v>
      </c>
      <c r="H464" s="26">
        <v>20600</v>
      </c>
      <c r="I464" t="s">
        <v>58</v>
      </c>
      <c r="J464" t="s">
        <v>1929</v>
      </c>
      <c r="M464">
        <v>75015</v>
      </c>
      <c r="N464" t="s">
        <v>330</v>
      </c>
      <c r="O464" t="s">
        <v>61</v>
      </c>
      <c r="Q464">
        <v>672650167</v>
      </c>
      <c r="R464" t="s">
        <v>1930</v>
      </c>
      <c r="S464" t="s">
        <v>63</v>
      </c>
      <c r="T464" t="s">
        <v>64</v>
      </c>
      <c r="U464" t="s">
        <v>65</v>
      </c>
      <c r="V464" t="s">
        <v>111</v>
      </c>
      <c r="W464" s="26">
        <v>45548</v>
      </c>
      <c r="X464" t="s">
        <v>61</v>
      </c>
      <c r="Y464" t="s">
        <v>237</v>
      </c>
    </row>
    <row r="465" spans="1:25" x14ac:dyDescent="0.25">
      <c r="A465" t="s">
        <v>10127</v>
      </c>
      <c r="B465">
        <v>11</v>
      </c>
      <c r="C465">
        <v>95</v>
      </c>
      <c r="D465">
        <v>9069</v>
      </c>
      <c r="E465" t="s">
        <v>129</v>
      </c>
      <c r="F465" t="s">
        <v>342</v>
      </c>
      <c r="G465" t="s">
        <v>183</v>
      </c>
      <c r="H465" s="26">
        <v>15903</v>
      </c>
      <c r="I465" t="s">
        <v>58</v>
      </c>
      <c r="J465" t="s">
        <v>10128</v>
      </c>
      <c r="M465">
        <v>95130</v>
      </c>
      <c r="N465" t="s">
        <v>878</v>
      </c>
      <c r="O465" t="s">
        <v>61</v>
      </c>
      <c r="R465" t="s">
        <v>10129</v>
      </c>
      <c r="S465" t="s">
        <v>63</v>
      </c>
      <c r="T465" t="s">
        <v>64</v>
      </c>
      <c r="U465" t="s">
        <v>65</v>
      </c>
      <c r="W465" s="26">
        <v>45567</v>
      </c>
      <c r="X465" t="s">
        <v>61</v>
      </c>
      <c r="Y465" t="s">
        <v>237</v>
      </c>
    </row>
    <row r="466" spans="1:25" x14ac:dyDescent="0.25">
      <c r="A466" t="s">
        <v>1931</v>
      </c>
      <c r="B466">
        <v>11</v>
      </c>
      <c r="C466">
        <v>75</v>
      </c>
      <c r="D466">
        <v>9070</v>
      </c>
      <c r="E466" t="s">
        <v>168</v>
      </c>
      <c r="F466" t="s">
        <v>1932</v>
      </c>
      <c r="G466" t="s">
        <v>1933</v>
      </c>
      <c r="H466" s="26">
        <v>24940</v>
      </c>
      <c r="I466" t="s">
        <v>58</v>
      </c>
      <c r="J466" t="s">
        <v>1934</v>
      </c>
      <c r="M466">
        <v>75015</v>
      </c>
      <c r="N466" t="s">
        <v>330</v>
      </c>
      <c r="O466" t="s">
        <v>61</v>
      </c>
      <c r="Q466">
        <v>609073599</v>
      </c>
      <c r="R466" t="s">
        <v>1935</v>
      </c>
      <c r="S466" t="s">
        <v>237</v>
      </c>
      <c r="T466" t="s">
        <v>64</v>
      </c>
      <c r="U466" t="s">
        <v>8684</v>
      </c>
      <c r="W466" s="26">
        <v>45538</v>
      </c>
      <c r="X466" t="s">
        <v>61</v>
      </c>
      <c r="Y466" t="s">
        <v>237</v>
      </c>
    </row>
    <row r="467" spans="1:25" x14ac:dyDescent="0.25">
      <c r="A467" t="s">
        <v>1936</v>
      </c>
      <c r="B467">
        <v>11</v>
      </c>
      <c r="C467">
        <v>91</v>
      </c>
      <c r="D467">
        <v>9009</v>
      </c>
      <c r="E467" t="s">
        <v>159</v>
      </c>
      <c r="F467" t="s">
        <v>652</v>
      </c>
      <c r="G467" t="s">
        <v>1937</v>
      </c>
      <c r="H467" s="26">
        <v>19041</v>
      </c>
      <c r="I467" t="s">
        <v>58</v>
      </c>
      <c r="J467" t="s">
        <v>1938</v>
      </c>
      <c r="M467">
        <v>91420</v>
      </c>
      <c r="N467" t="s">
        <v>1675</v>
      </c>
      <c r="O467" t="s">
        <v>61</v>
      </c>
      <c r="Q467">
        <v>609115193</v>
      </c>
      <c r="R467" t="s">
        <v>1939</v>
      </c>
      <c r="S467" t="s">
        <v>63</v>
      </c>
      <c r="T467" t="s">
        <v>64</v>
      </c>
      <c r="U467" t="s">
        <v>65</v>
      </c>
      <c r="V467" t="s">
        <v>111</v>
      </c>
      <c r="W467" s="26">
        <v>45558</v>
      </c>
      <c r="X467" t="s">
        <v>61</v>
      </c>
      <c r="Y467" t="s">
        <v>237</v>
      </c>
    </row>
    <row r="468" spans="1:25" x14ac:dyDescent="0.25">
      <c r="A468" t="s">
        <v>10449</v>
      </c>
      <c r="B468">
        <v>11</v>
      </c>
      <c r="C468">
        <v>94</v>
      </c>
      <c r="D468">
        <v>9024</v>
      </c>
      <c r="E468" t="s">
        <v>4</v>
      </c>
      <c r="F468" t="s">
        <v>183</v>
      </c>
      <c r="G468" t="s">
        <v>10450</v>
      </c>
      <c r="H468" s="26">
        <v>21198</v>
      </c>
      <c r="I468" t="s">
        <v>58</v>
      </c>
      <c r="J468" t="s">
        <v>10451</v>
      </c>
      <c r="M468">
        <v>94100</v>
      </c>
      <c r="N468" t="s">
        <v>971</v>
      </c>
      <c r="O468" t="s">
        <v>61</v>
      </c>
      <c r="Q468">
        <v>604176509</v>
      </c>
      <c r="R468" t="s">
        <v>10452</v>
      </c>
      <c r="S468" t="s">
        <v>63</v>
      </c>
      <c r="T468" t="s">
        <v>64</v>
      </c>
      <c r="U468" t="s">
        <v>65</v>
      </c>
      <c r="W468" s="26">
        <v>45574</v>
      </c>
      <c r="X468" t="s">
        <v>61</v>
      </c>
      <c r="Y468" t="s">
        <v>237</v>
      </c>
    </row>
    <row r="469" spans="1:25" x14ac:dyDescent="0.25">
      <c r="A469" t="s">
        <v>1940</v>
      </c>
      <c r="B469">
        <v>11</v>
      </c>
      <c r="C469">
        <v>93</v>
      </c>
      <c r="D469">
        <v>9060</v>
      </c>
      <c r="E469" t="s">
        <v>203</v>
      </c>
      <c r="F469" t="s">
        <v>91</v>
      </c>
      <c r="G469" t="s">
        <v>1941</v>
      </c>
      <c r="H469" s="26">
        <v>20271</v>
      </c>
      <c r="I469" t="s">
        <v>58</v>
      </c>
      <c r="J469" t="s">
        <v>1942</v>
      </c>
      <c r="M469">
        <v>77500</v>
      </c>
      <c r="N469" t="s">
        <v>637</v>
      </c>
      <c r="O469" t="s">
        <v>61</v>
      </c>
      <c r="Q469">
        <v>651715419</v>
      </c>
      <c r="R469" t="s">
        <v>1943</v>
      </c>
      <c r="S469" t="s">
        <v>63</v>
      </c>
      <c r="T469" t="s">
        <v>64</v>
      </c>
      <c r="U469" t="s">
        <v>65</v>
      </c>
      <c r="W469" s="26">
        <v>45556</v>
      </c>
      <c r="X469" t="s">
        <v>61</v>
      </c>
      <c r="Y469" t="s">
        <v>237</v>
      </c>
    </row>
    <row r="470" spans="1:25" x14ac:dyDescent="0.25">
      <c r="A470" t="s">
        <v>10453</v>
      </c>
      <c r="B470">
        <v>11</v>
      </c>
      <c r="C470">
        <v>93</v>
      </c>
      <c r="D470">
        <v>9060</v>
      </c>
      <c r="E470" t="s">
        <v>203</v>
      </c>
      <c r="F470" t="s">
        <v>106</v>
      </c>
      <c r="G470" t="s">
        <v>10454</v>
      </c>
      <c r="H470" s="26">
        <v>18302</v>
      </c>
      <c r="I470" t="s">
        <v>58</v>
      </c>
      <c r="J470" t="s">
        <v>10455</v>
      </c>
      <c r="M470">
        <v>93190</v>
      </c>
      <c r="N470" t="s">
        <v>205</v>
      </c>
      <c r="O470" t="s">
        <v>61</v>
      </c>
      <c r="P470">
        <v>143300517</v>
      </c>
      <c r="Q470">
        <v>668822071</v>
      </c>
      <c r="R470" t="s">
        <v>10456</v>
      </c>
      <c r="S470" t="s">
        <v>63</v>
      </c>
      <c r="T470" t="s">
        <v>64</v>
      </c>
      <c r="U470" t="s">
        <v>65</v>
      </c>
      <c r="W470" s="26">
        <v>45576</v>
      </c>
      <c r="X470" t="s">
        <v>61</v>
      </c>
      <c r="Y470" t="s">
        <v>237</v>
      </c>
    </row>
    <row r="471" spans="1:25" x14ac:dyDescent="0.25">
      <c r="A471" t="s">
        <v>1944</v>
      </c>
      <c r="B471">
        <v>11</v>
      </c>
      <c r="C471">
        <v>93</v>
      </c>
      <c r="D471">
        <v>9060</v>
      </c>
      <c r="E471" t="s">
        <v>203</v>
      </c>
      <c r="F471" t="s">
        <v>143</v>
      </c>
      <c r="G471" t="s">
        <v>1945</v>
      </c>
      <c r="H471" s="26">
        <v>21695</v>
      </c>
      <c r="I471" t="s">
        <v>58</v>
      </c>
      <c r="J471" t="s">
        <v>1946</v>
      </c>
      <c r="M471">
        <v>93220</v>
      </c>
      <c r="N471" t="s">
        <v>662</v>
      </c>
      <c r="O471" t="s">
        <v>61</v>
      </c>
      <c r="Q471">
        <v>611865746</v>
      </c>
      <c r="R471" t="s">
        <v>1947</v>
      </c>
      <c r="S471" t="s">
        <v>63</v>
      </c>
      <c r="T471" t="s">
        <v>64</v>
      </c>
      <c r="U471" t="s">
        <v>65</v>
      </c>
      <c r="W471" s="26">
        <v>45556</v>
      </c>
      <c r="X471" t="s">
        <v>61</v>
      </c>
      <c r="Y471" t="s">
        <v>237</v>
      </c>
    </row>
    <row r="472" spans="1:25" x14ac:dyDescent="0.25">
      <c r="A472" t="s">
        <v>1948</v>
      </c>
      <c r="B472">
        <v>11</v>
      </c>
      <c r="C472">
        <v>77</v>
      </c>
      <c r="D472">
        <v>9026</v>
      </c>
      <c r="E472" t="s">
        <v>508</v>
      </c>
      <c r="F472" t="s">
        <v>927</v>
      </c>
      <c r="G472" t="s">
        <v>1949</v>
      </c>
      <c r="H472" s="26">
        <v>23158</v>
      </c>
      <c r="I472" t="s">
        <v>58</v>
      </c>
      <c r="J472" t="s">
        <v>1950</v>
      </c>
      <c r="M472">
        <v>91480</v>
      </c>
      <c r="N472" t="s">
        <v>127</v>
      </c>
      <c r="O472" t="s">
        <v>61</v>
      </c>
      <c r="P472">
        <v>169008167</v>
      </c>
      <c r="Q472">
        <v>660991697</v>
      </c>
      <c r="S472" t="s">
        <v>63</v>
      </c>
      <c r="T472" t="s">
        <v>64</v>
      </c>
      <c r="U472" t="s">
        <v>65</v>
      </c>
      <c r="W472" s="26">
        <v>45549</v>
      </c>
      <c r="X472" t="s">
        <v>61</v>
      </c>
      <c r="Y472" t="s">
        <v>237</v>
      </c>
    </row>
    <row r="473" spans="1:25" x14ac:dyDescent="0.25">
      <c r="A473" t="s">
        <v>1951</v>
      </c>
      <c r="B473">
        <v>11</v>
      </c>
      <c r="C473">
        <v>77</v>
      </c>
      <c r="D473">
        <v>9077</v>
      </c>
      <c r="E473" t="s">
        <v>90</v>
      </c>
      <c r="F473" t="s">
        <v>1019</v>
      </c>
      <c r="G473" t="s">
        <v>1952</v>
      </c>
      <c r="H473" s="26">
        <v>18177</v>
      </c>
      <c r="I473" t="s">
        <v>58</v>
      </c>
      <c r="J473" t="s">
        <v>1953</v>
      </c>
      <c r="M473">
        <v>77120</v>
      </c>
      <c r="N473" t="s">
        <v>1954</v>
      </c>
      <c r="O473" t="s">
        <v>61</v>
      </c>
      <c r="P473">
        <v>164034313</v>
      </c>
      <c r="R473" t="s">
        <v>1955</v>
      </c>
      <c r="S473" t="s">
        <v>63</v>
      </c>
      <c r="T473" t="s">
        <v>64</v>
      </c>
      <c r="U473" t="s">
        <v>65</v>
      </c>
      <c r="W473" s="26">
        <v>45562</v>
      </c>
      <c r="X473" t="s">
        <v>61</v>
      </c>
      <c r="Y473" t="s">
        <v>237</v>
      </c>
    </row>
    <row r="474" spans="1:25" x14ac:dyDescent="0.25">
      <c r="A474" t="s">
        <v>1956</v>
      </c>
      <c r="B474">
        <v>11</v>
      </c>
      <c r="C474">
        <v>77</v>
      </c>
      <c r="D474">
        <v>9077</v>
      </c>
      <c r="E474" t="s">
        <v>90</v>
      </c>
      <c r="F474" t="s">
        <v>91</v>
      </c>
      <c r="G474" t="s">
        <v>1957</v>
      </c>
      <c r="H474" s="26">
        <v>15683</v>
      </c>
      <c r="I474" t="s">
        <v>58</v>
      </c>
      <c r="J474" t="s">
        <v>1958</v>
      </c>
      <c r="M474">
        <v>77515</v>
      </c>
      <c r="N474" t="s">
        <v>1959</v>
      </c>
      <c r="O474" t="s">
        <v>61</v>
      </c>
      <c r="P474">
        <v>164750894</v>
      </c>
      <c r="Q474">
        <v>695171335</v>
      </c>
      <c r="R474" t="s">
        <v>1960</v>
      </c>
      <c r="S474" t="s">
        <v>63</v>
      </c>
      <c r="T474" t="s">
        <v>64</v>
      </c>
      <c r="U474" t="s">
        <v>65</v>
      </c>
      <c r="W474" s="26">
        <v>45545</v>
      </c>
      <c r="X474" t="s">
        <v>61</v>
      </c>
      <c r="Y474" t="s">
        <v>237</v>
      </c>
    </row>
    <row r="475" spans="1:25" x14ac:dyDescent="0.25">
      <c r="A475" t="s">
        <v>1961</v>
      </c>
      <c r="B475">
        <v>11</v>
      </c>
      <c r="C475">
        <v>95</v>
      </c>
      <c r="D475">
        <v>9069</v>
      </c>
      <c r="E475" t="s">
        <v>129</v>
      </c>
      <c r="F475" t="s">
        <v>85</v>
      </c>
      <c r="G475" t="s">
        <v>1962</v>
      </c>
      <c r="H475" s="26">
        <v>20771</v>
      </c>
      <c r="I475" t="s">
        <v>58</v>
      </c>
      <c r="J475" t="s">
        <v>1963</v>
      </c>
      <c r="M475">
        <v>95550</v>
      </c>
      <c r="N475" t="s">
        <v>1964</v>
      </c>
      <c r="O475" t="s">
        <v>61</v>
      </c>
      <c r="P475">
        <v>148218224</v>
      </c>
      <c r="Q475">
        <v>616722093</v>
      </c>
      <c r="R475" t="s">
        <v>1965</v>
      </c>
      <c r="S475" t="s">
        <v>63</v>
      </c>
      <c r="T475" t="s">
        <v>64</v>
      </c>
      <c r="U475" t="s">
        <v>65</v>
      </c>
      <c r="W475" s="26">
        <v>45540</v>
      </c>
      <c r="X475" t="s">
        <v>61</v>
      </c>
      <c r="Y475" t="s">
        <v>237</v>
      </c>
    </row>
    <row r="476" spans="1:25" x14ac:dyDescent="0.25">
      <c r="A476" t="s">
        <v>1966</v>
      </c>
      <c r="B476">
        <v>11</v>
      </c>
      <c r="C476">
        <v>78</v>
      </c>
      <c r="D476">
        <v>9030</v>
      </c>
      <c r="E476" t="s">
        <v>96</v>
      </c>
      <c r="F476" t="s">
        <v>887</v>
      </c>
      <c r="G476" t="s">
        <v>1762</v>
      </c>
      <c r="H476" s="26">
        <v>20506</v>
      </c>
      <c r="I476" t="s">
        <v>58</v>
      </c>
      <c r="J476" t="s">
        <v>1967</v>
      </c>
      <c r="M476">
        <v>92370</v>
      </c>
      <c r="N476" t="s">
        <v>1968</v>
      </c>
      <c r="O476" t="s">
        <v>61</v>
      </c>
      <c r="Q476">
        <v>603716949</v>
      </c>
      <c r="R476" t="s">
        <v>1969</v>
      </c>
      <c r="S476" t="s">
        <v>63</v>
      </c>
      <c r="T476" t="s">
        <v>64</v>
      </c>
      <c r="U476" t="s">
        <v>65</v>
      </c>
      <c r="W476" s="26">
        <v>45524</v>
      </c>
      <c r="X476" t="s">
        <v>61</v>
      </c>
      <c r="Y476" t="s">
        <v>237</v>
      </c>
    </row>
    <row r="477" spans="1:25" x14ac:dyDescent="0.25">
      <c r="A477" t="s">
        <v>1970</v>
      </c>
      <c r="B477">
        <v>11</v>
      </c>
      <c r="C477">
        <v>92</v>
      </c>
      <c r="D477">
        <v>9088</v>
      </c>
      <c r="E477" t="s">
        <v>1</v>
      </c>
      <c r="F477" t="s">
        <v>1288</v>
      </c>
      <c r="G477" t="s">
        <v>1971</v>
      </c>
      <c r="H477" s="26">
        <v>24164</v>
      </c>
      <c r="I477" t="s">
        <v>58</v>
      </c>
      <c r="J477" t="s">
        <v>1972</v>
      </c>
      <c r="M477">
        <v>92800</v>
      </c>
      <c r="N477" t="s">
        <v>1619</v>
      </c>
      <c r="O477" t="s">
        <v>61</v>
      </c>
      <c r="Q477">
        <v>609962238</v>
      </c>
      <c r="R477" t="s">
        <v>1973</v>
      </c>
      <c r="S477" t="s">
        <v>63</v>
      </c>
      <c r="T477" t="s">
        <v>64</v>
      </c>
      <c r="U477" t="s">
        <v>65</v>
      </c>
      <c r="W477" s="26">
        <v>45558</v>
      </c>
      <c r="X477" t="s">
        <v>61</v>
      </c>
      <c r="Y477" t="s">
        <v>237</v>
      </c>
    </row>
    <row r="478" spans="1:25" x14ac:dyDescent="0.25">
      <c r="A478" t="s">
        <v>1974</v>
      </c>
      <c r="B478">
        <v>11</v>
      </c>
      <c r="C478">
        <v>78</v>
      </c>
      <c r="D478">
        <v>9038</v>
      </c>
      <c r="E478" t="s">
        <v>484</v>
      </c>
      <c r="F478" t="s">
        <v>1247</v>
      </c>
      <c r="G478" t="s">
        <v>1975</v>
      </c>
      <c r="H478" s="26">
        <v>23646</v>
      </c>
      <c r="I478" t="s">
        <v>58</v>
      </c>
      <c r="J478" t="s">
        <v>1976</v>
      </c>
      <c r="M478">
        <v>95300</v>
      </c>
      <c r="N478" t="s">
        <v>1977</v>
      </c>
      <c r="O478" t="s">
        <v>61</v>
      </c>
      <c r="R478" t="s">
        <v>1978</v>
      </c>
      <c r="S478" t="s">
        <v>63</v>
      </c>
      <c r="T478" t="s">
        <v>64</v>
      </c>
      <c r="U478" t="s">
        <v>65</v>
      </c>
      <c r="W478" s="26">
        <v>45560</v>
      </c>
      <c r="X478" t="s">
        <v>61</v>
      </c>
      <c r="Y478" t="s">
        <v>237</v>
      </c>
    </row>
    <row r="479" spans="1:25" x14ac:dyDescent="0.25">
      <c r="A479" t="s">
        <v>1979</v>
      </c>
      <c r="B479">
        <v>11</v>
      </c>
      <c r="C479">
        <v>95</v>
      </c>
      <c r="D479">
        <v>9069</v>
      </c>
      <c r="E479" t="s">
        <v>129</v>
      </c>
      <c r="F479" t="s">
        <v>187</v>
      </c>
      <c r="G479" t="s">
        <v>1980</v>
      </c>
      <c r="H479" s="26">
        <v>14130</v>
      </c>
      <c r="I479" t="s">
        <v>58</v>
      </c>
      <c r="J479" t="s">
        <v>1981</v>
      </c>
      <c r="M479">
        <v>95130</v>
      </c>
      <c r="N479" t="s">
        <v>878</v>
      </c>
      <c r="O479" t="s">
        <v>61</v>
      </c>
      <c r="R479" t="s">
        <v>1982</v>
      </c>
      <c r="S479" t="s">
        <v>63</v>
      </c>
      <c r="T479" t="s">
        <v>64</v>
      </c>
      <c r="U479" t="s">
        <v>65</v>
      </c>
      <c r="W479" s="26">
        <v>45540</v>
      </c>
      <c r="X479" t="s">
        <v>61</v>
      </c>
      <c r="Y479" t="s">
        <v>237</v>
      </c>
    </row>
    <row r="480" spans="1:25" x14ac:dyDescent="0.25">
      <c r="A480" t="s">
        <v>1983</v>
      </c>
      <c r="B480">
        <v>11</v>
      </c>
      <c r="C480">
        <v>92</v>
      </c>
      <c r="D480">
        <v>9017</v>
      </c>
      <c r="E480" t="s">
        <v>211</v>
      </c>
      <c r="F480" t="s">
        <v>1984</v>
      </c>
      <c r="G480" t="s">
        <v>1985</v>
      </c>
      <c r="H480" s="26">
        <v>30009</v>
      </c>
      <c r="I480" t="s">
        <v>58</v>
      </c>
      <c r="J480" t="s">
        <v>1986</v>
      </c>
      <c r="M480">
        <v>93000</v>
      </c>
      <c r="N480" t="s">
        <v>1987</v>
      </c>
      <c r="O480" t="s">
        <v>61</v>
      </c>
      <c r="Q480">
        <v>675193840</v>
      </c>
      <c r="R480" t="s">
        <v>1988</v>
      </c>
      <c r="S480" t="s">
        <v>63</v>
      </c>
      <c r="T480" t="s">
        <v>64</v>
      </c>
      <c r="U480" t="s">
        <v>65</v>
      </c>
      <c r="W480" s="26">
        <v>45537</v>
      </c>
      <c r="X480" t="s">
        <v>1989</v>
      </c>
      <c r="Y480" t="s">
        <v>237</v>
      </c>
    </row>
    <row r="481" spans="1:25" x14ac:dyDescent="0.25">
      <c r="A481" t="s">
        <v>1990</v>
      </c>
      <c r="B481">
        <v>11</v>
      </c>
      <c r="C481">
        <v>78</v>
      </c>
      <c r="D481">
        <v>9002</v>
      </c>
      <c r="E481" t="s">
        <v>558</v>
      </c>
      <c r="F481" t="s">
        <v>1991</v>
      </c>
      <c r="G481" t="s">
        <v>1992</v>
      </c>
      <c r="H481" s="26">
        <v>17738</v>
      </c>
      <c r="I481" t="s">
        <v>58</v>
      </c>
      <c r="J481" t="s">
        <v>1993</v>
      </c>
      <c r="M481">
        <v>78200</v>
      </c>
      <c r="N481" t="s">
        <v>609</v>
      </c>
      <c r="O481" t="s">
        <v>61</v>
      </c>
      <c r="Q481">
        <v>684031067</v>
      </c>
      <c r="R481" t="s">
        <v>1994</v>
      </c>
      <c r="S481" t="s">
        <v>63</v>
      </c>
      <c r="T481" t="s">
        <v>64</v>
      </c>
      <c r="U481" t="s">
        <v>65</v>
      </c>
      <c r="W481" s="26">
        <v>45531</v>
      </c>
      <c r="X481" t="s">
        <v>61</v>
      </c>
      <c r="Y481" t="s">
        <v>237</v>
      </c>
    </row>
    <row r="482" spans="1:25" x14ac:dyDescent="0.25">
      <c r="A482" t="s">
        <v>1995</v>
      </c>
      <c r="B482">
        <v>11</v>
      </c>
      <c r="C482">
        <v>78</v>
      </c>
      <c r="D482">
        <v>9002</v>
      </c>
      <c r="E482" t="s">
        <v>558</v>
      </c>
      <c r="F482" t="s">
        <v>1996</v>
      </c>
      <c r="G482" t="s">
        <v>1997</v>
      </c>
      <c r="H482" s="26">
        <v>22977</v>
      </c>
      <c r="I482" t="s">
        <v>58</v>
      </c>
      <c r="J482" t="s">
        <v>1998</v>
      </c>
      <c r="M482">
        <v>78200</v>
      </c>
      <c r="N482" t="s">
        <v>1999</v>
      </c>
      <c r="O482" t="s">
        <v>61</v>
      </c>
      <c r="Q482">
        <v>663092711</v>
      </c>
      <c r="R482" t="s">
        <v>2000</v>
      </c>
      <c r="S482" t="s">
        <v>63</v>
      </c>
      <c r="T482" t="s">
        <v>64</v>
      </c>
      <c r="U482" t="s">
        <v>65</v>
      </c>
      <c r="W482" s="26">
        <v>45551</v>
      </c>
      <c r="X482" t="s">
        <v>61</v>
      </c>
      <c r="Y482" t="s">
        <v>237</v>
      </c>
    </row>
    <row r="483" spans="1:25" x14ac:dyDescent="0.25">
      <c r="A483" t="s">
        <v>8834</v>
      </c>
      <c r="B483">
        <v>11</v>
      </c>
      <c r="C483">
        <v>78</v>
      </c>
      <c r="D483">
        <v>9016</v>
      </c>
      <c r="E483" t="s">
        <v>362</v>
      </c>
      <c r="F483" t="s">
        <v>4835</v>
      </c>
      <c r="G483" t="s">
        <v>8835</v>
      </c>
      <c r="H483" s="26">
        <v>17302</v>
      </c>
      <c r="I483" t="s">
        <v>58</v>
      </c>
      <c r="J483" t="s">
        <v>8836</v>
      </c>
      <c r="M483">
        <v>78440</v>
      </c>
      <c r="N483" t="s">
        <v>1646</v>
      </c>
      <c r="O483" t="s">
        <v>61</v>
      </c>
      <c r="P483">
        <v>130935846</v>
      </c>
      <c r="Q483">
        <v>622571903</v>
      </c>
      <c r="S483" t="s">
        <v>63</v>
      </c>
      <c r="T483" t="s">
        <v>64</v>
      </c>
      <c r="U483" t="s">
        <v>65</v>
      </c>
      <c r="W483" s="26">
        <v>45549</v>
      </c>
      <c r="X483" t="s">
        <v>61</v>
      </c>
      <c r="Y483" t="s">
        <v>237</v>
      </c>
    </row>
    <row r="484" spans="1:25" x14ac:dyDescent="0.25">
      <c r="A484" t="s">
        <v>2001</v>
      </c>
      <c r="B484">
        <v>11</v>
      </c>
      <c r="C484">
        <v>78</v>
      </c>
      <c r="D484">
        <v>9084</v>
      </c>
      <c r="E484" t="s">
        <v>216</v>
      </c>
      <c r="F484" t="s">
        <v>1491</v>
      </c>
      <c r="G484" t="s">
        <v>2002</v>
      </c>
      <c r="H484" s="26">
        <v>15289</v>
      </c>
      <c r="I484" t="s">
        <v>16</v>
      </c>
      <c r="J484" t="s">
        <v>2003</v>
      </c>
      <c r="M484">
        <v>78260</v>
      </c>
      <c r="N484" t="s">
        <v>1691</v>
      </c>
      <c r="O484" t="s">
        <v>61</v>
      </c>
      <c r="P484">
        <v>139111669</v>
      </c>
      <c r="Q484">
        <v>681517998</v>
      </c>
      <c r="R484" t="s">
        <v>2004</v>
      </c>
      <c r="S484" t="s">
        <v>63</v>
      </c>
      <c r="T484" t="s">
        <v>64</v>
      </c>
      <c r="U484" t="s">
        <v>65</v>
      </c>
      <c r="W484" s="26">
        <v>45545</v>
      </c>
      <c r="X484" t="s">
        <v>61</v>
      </c>
      <c r="Y484" t="s">
        <v>237</v>
      </c>
    </row>
    <row r="485" spans="1:25" x14ac:dyDescent="0.25">
      <c r="A485" t="s">
        <v>2005</v>
      </c>
      <c r="B485">
        <v>11</v>
      </c>
      <c r="C485">
        <v>78</v>
      </c>
      <c r="D485">
        <v>9084</v>
      </c>
      <c r="E485" t="s">
        <v>216</v>
      </c>
      <c r="F485" t="s">
        <v>297</v>
      </c>
      <c r="G485" t="s">
        <v>2006</v>
      </c>
      <c r="H485" s="26">
        <v>24522</v>
      </c>
      <c r="I485" t="s">
        <v>58</v>
      </c>
      <c r="J485" t="s">
        <v>2007</v>
      </c>
      <c r="M485">
        <v>95800</v>
      </c>
      <c r="N485" t="s">
        <v>2008</v>
      </c>
      <c r="O485" t="s">
        <v>61</v>
      </c>
      <c r="Q485">
        <v>603622724</v>
      </c>
      <c r="R485" t="s">
        <v>2009</v>
      </c>
      <c r="S485" t="s">
        <v>63</v>
      </c>
      <c r="T485" t="s">
        <v>64</v>
      </c>
      <c r="U485" t="s">
        <v>65</v>
      </c>
      <c r="W485" s="26">
        <v>45545</v>
      </c>
      <c r="X485" t="s">
        <v>61</v>
      </c>
      <c r="Y485" t="s">
        <v>237</v>
      </c>
    </row>
    <row r="486" spans="1:25" x14ac:dyDescent="0.25">
      <c r="A486" t="s">
        <v>2010</v>
      </c>
      <c r="B486">
        <v>11</v>
      </c>
      <c r="C486">
        <v>78</v>
      </c>
      <c r="D486">
        <v>9016</v>
      </c>
      <c r="E486" t="s">
        <v>362</v>
      </c>
      <c r="F486" t="s">
        <v>1295</v>
      </c>
      <c r="G486" t="s">
        <v>2011</v>
      </c>
      <c r="H486" s="26">
        <v>16729</v>
      </c>
      <c r="I486" t="s">
        <v>58</v>
      </c>
      <c r="J486" t="s">
        <v>2012</v>
      </c>
      <c r="M486">
        <v>78580</v>
      </c>
      <c r="N486" t="s">
        <v>2013</v>
      </c>
      <c r="O486" t="s">
        <v>61</v>
      </c>
      <c r="Q486">
        <v>661873378</v>
      </c>
      <c r="R486" t="s">
        <v>2014</v>
      </c>
      <c r="S486" t="s">
        <v>63</v>
      </c>
      <c r="T486" t="s">
        <v>64</v>
      </c>
      <c r="U486" t="s">
        <v>65</v>
      </c>
      <c r="W486" s="26">
        <v>45556</v>
      </c>
      <c r="X486" t="s">
        <v>61</v>
      </c>
      <c r="Y486" t="s">
        <v>237</v>
      </c>
    </row>
    <row r="487" spans="1:25" x14ac:dyDescent="0.25">
      <c r="A487" t="s">
        <v>2015</v>
      </c>
      <c r="B487">
        <v>11</v>
      </c>
      <c r="C487">
        <v>78</v>
      </c>
      <c r="D487">
        <v>9101</v>
      </c>
      <c r="E487" t="s">
        <v>1165</v>
      </c>
      <c r="F487" t="s">
        <v>2016</v>
      </c>
      <c r="G487" t="s">
        <v>187</v>
      </c>
      <c r="H487" s="26">
        <v>32394</v>
      </c>
      <c r="I487" t="s">
        <v>58</v>
      </c>
      <c r="J487" t="s">
        <v>2017</v>
      </c>
      <c r="M487">
        <v>78300</v>
      </c>
      <c r="N487" t="s">
        <v>2018</v>
      </c>
      <c r="O487" t="s">
        <v>61</v>
      </c>
      <c r="Q487">
        <v>610236769</v>
      </c>
      <c r="R487" t="s">
        <v>2019</v>
      </c>
      <c r="S487" t="s">
        <v>63</v>
      </c>
      <c r="T487" t="s">
        <v>64</v>
      </c>
      <c r="U487" t="s">
        <v>486</v>
      </c>
      <c r="W487" s="26">
        <v>45525</v>
      </c>
      <c r="X487" t="s">
        <v>61</v>
      </c>
      <c r="Y487" t="s">
        <v>237</v>
      </c>
    </row>
    <row r="488" spans="1:25" x14ac:dyDescent="0.25">
      <c r="A488" t="s">
        <v>2021</v>
      </c>
      <c r="B488">
        <v>11</v>
      </c>
      <c r="C488">
        <v>95</v>
      </c>
      <c r="D488">
        <v>9033</v>
      </c>
      <c r="E488" t="s">
        <v>500</v>
      </c>
      <c r="F488" t="s">
        <v>106</v>
      </c>
      <c r="G488" t="s">
        <v>2022</v>
      </c>
      <c r="H488" s="26">
        <v>20469</v>
      </c>
      <c r="I488" t="s">
        <v>58</v>
      </c>
      <c r="J488" t="s">
        <v>2023</v>
      </c>
      <c r="M488">
        <v>95500</v>
      </c>
      <c r="N488" t="s">
        <v>2024</v>
      </c>
      <c r="O488" t="s">
        <v>61</v>
      </c>
      <c r="Q488">
        <v>683175680</v>
      </c>
      <c r="R488" t="s">
        <v>2025</v>
      </c>
      <c r="S488" t="s">
        <v>63</v>
      </c>
      <c r="T488" t="s">
        <v>64</v>
      </c>
      <c r="U488" t="s">
        <v>65</v>
      </c>
      <c r="W488" s="26">
        <v>45559</v>
      </c>
      <c r="X488" t="s">
        <v>61</v>
      </c>
      <c r="Y488" t="s">
        <v>237</v>
      </c>
    </row>
    <row r="489" spans="1:25" x14ac:dyDescent="0.25">
      <c r="A489" t="s">
        <v>2026</v>
      </c>
      <c r="B489">
        <v>11</v>
      </c>
      <c r="C489">
        <v>91</v>
      </c>
      <c r="D489">
        <v>9064</v>
      </c>
      <c r="E489" t="s">
        <v>266</v>
      </c>
      <c r="F489" t="s">
        <v>154</v>
      </c>
      <c r="G489" t="s">
        <v>2027</v>
      </c>
      <c r="H489" s="26">
        <v>20174</v>
      </c>
      <c r="I489" t="s">
        <v>58</v>
      </c>
      <c r="J489" t="s">
        <v>2028</v>
      </c>
      <c r="M489">
        <v>91300</v>
      </c>
      <c r="N489" t="s">
        <v>675</v>
      </c>
      <c r="O489" t="s">
        <v>61</v>
      </c>
      <c r="P489">
        <v>160130365</v>
      </c>
      <c r="Q489">
        <v>652915592</v>
      </c>
      <c r="R489" t="s">
        <v>2029</v>
      </c>
      <c r="S489" t="s">
        <v>63</v>
      </c>
      <c r="T489" t="s">
        <v>64</v>
      </c>
      <c r="U489" t="s">
        <v>65</v>
      </c>
      <c r="W489" s="26">
        <v>45546</v>
      </c>
      <c r="X489" t="s">
        <v>61</v>
      </c>
      <c r="Y489" t="s">
        <v>237</v>
      </c>
    </row>
    <row r="490" spans="1:25" x14ac:dyDescent="0.25">
      <c r="A490" t="s">
        <v>2030</v>
      </c>
      <c r="B490">
        <v>11</v>
      </c>
      <c r="C490">
        <v>91</v>
      </c>
      <c r="D490">
        <v>9064</v>
      </c>
      <c r="E490" t="s">
        <v>266</v>
      </c>
      <c r="F490" t="s">
        <v>267</v>
      </c>
      <c r="G490" t="s">
        <v>2031</v>
      </c>
      <c r="H490" s="26">
        <v>19248</v>
      </c>
      <c r="I490" t="s">
        <v>58</v>
      </c>
      <c r="J490" t="s">
        <v>2032</v>
      </c>
      <c r="M490">
        <v>91440</v>
      </c>
      <c r="N490" t="s">
        <v>2033</v>
      </c>
      <c r="O490" t="s">
        <v>61</v>
      </c>
      <c r="P490">
        <v>164464593</v>
      </c>
      <c r="R490" t="s">
        <v>2034</v>
      </c>
      <c r="S490" t="s">
        <v>63</v>
      </c>
      <c r="T490" t="s">
        <v>64</v>
      </c>
      <c r="U490" t="s">
        <v>65</v>
      </c>
      <c r="W490" s="26">
        <v>45544</v>
      </c>
      <c r="X490" t="s">
        <v>61</v>
      </c>
      <c r="Y490" t="s">
        <v>237</v>
      </c>
    </row>
    <row r="491" spans="1:25" x14ac:dyDescent="0.25">
      <c r="A491" t="s">
        <v>2035</v>
      </c>
      <c r="B491">
        <v>11</v>
      </c>
      <c r="C491">
        <v>95</v>
      </c>
      <c r="D491">
        <v>9127</v>
      </c>
      <c r="E491" t="s">
        <v>536</v>
      </c>
      <c r="F491" t="s">
        <v>322</v>
      </c>
      <c r="G491" t="s">
        <v>2036</v>
      </c>
      <c r="H491" s="26">
        <v>28947</v>
      </c>
      <c r="I491" t="s">
        <v>58</v>
      </c>
      <c r="J491" t="s">
        <v>2037</v>
      </c>
      <c r="M491">
        <v>27200</v>
      </c>
      <c r="N491" t="s">
        <v>2038</v>
      </c>
      <c r="O491" t="s">
        <v>61</v>
      </c>
      <c r="P491">
        <v>232711480</v>
      </c>
      <c r="Q491">
        <v>687616394</v>
      </c>
      <c r="R491" t="s">
        <v>2039</v>
      </c>
      <c r="S491" t="s">
        <v>63</v>
      </c>
      <c r="T491" t="s">
        <v>64</v>
      </c>
      <c r="U491" t="s">
        <v>486</v>
      </c>
      <c r="W491" s="26">
        <v>45540</v>
      </c>
      <c r="X491" t="s">
        <v>61</v>
      </c>
      <c r="Y491" t="s">
        <v>237</v>
      </c>
    </row>
    <row r="492" spans="1:25" x14ac:dyDescent="0.25">
      <c r="A492" t="s">
        <v>8837</v>
      </c>
      <c r="B492">
        <v>11</v>
      </c>
      <c r="C492">
        <v>95</v>
      </c>
      <c r="D492">
        <v>9127</v>
      </c>
      <c r="E492" t="s">
        <v>536</v>
      </c>
      <c r="F492" t="s">
        <v>472</v>
      </c>
      <c r="G492" t="s">
        <v>8838</v>
      </c>
      <c r="H492" s="26">
        <v>32046</v>
      </c>
      <c r="I492" t="s">
        <v>58</v>
      </c>
      <c r="J492" t="s">
        <v>8839</v>
      </c>
      <c r="M492">
        <v>27920</v>
      </c>
      <c r="N492" t="s">
        <v>8840</v>
      </c>
      <c r="O492" t="s">
        <v>61</v>
      </c>
      <c r="Q492">
        <v>679018482</v>
      </c>
      <c r="R492" t="s">
        <v>8841</v>
      </c>
      <c r="S492" t="s">
        <v>63</v>
      </c>
      <c r="T492" t="s">
        <v>64</v>
      </c>
      <c r="U492" t="s">
        <v>486</v>
      </c>
      <c r="W492" s="26">
        <v>45538</v>
      </c>
      <c r="X492" t="s">
        <v>61</v>
      </c>
      <c r="Y492" t="s">
        <v>237</v>
      </c>
    </row>
    <row r="493" spans="1:25" x14ac:dyDescent="0.25">
      <c r="A493" t="s">
        <v>2040</v>
      </c>
      <c r="B493">
        <v>11</v>
      </c>
      <c r="C493">
        <v>91</v>
      </c>
      <c r="D493">
        <v>9009</v>
      </c>
      <c r="E493" t="s">
        <v>159</v>
      </c>
      <c r="F493" t="s">
        <v>590</v>
      </c>
      <c r="G493" t="s">
        <v>2041</v>
      </c>
      <c r="H493" s="26">
        <v>24043</v>
      </c>
      <c r="I493" t="s">
        <v>58</v>
      </c>
      <c r="J493" t="s">
        <v>2042</v>
      </c>
      <c r="M493">
        <v>91420</v>
      </c>
      <c r="N493" t="s">
        <v>1675</v>
      </c>
      <c r="O493" t="s">
        <v>61</v>
      </c>
      <c r="Q493">
        <v>606571183</v>
      </c>
      <c r="R493" t="s">
        <v>2043</v>
      </c>
      <c r="S493" t="s">
        <v>63</v>
      </c>
      <c r="T493" t="s">
        <v>64</v>
      </c>
      <c r="U493" t="s">
        <v>65</v>
      </c>
      <c r="W493" s="26">
        <v>45543</v>
      </c>
      <c r="X493" t="s">
        <v>61</v>
      </c>
      <c r="Y493" t="s">
        <v>237</v>
      </c>
    </row>
    <row r="494" spans="1:25" x14ac:dyDescent="0.25">
      <c r="A494" t="s">
        <v>2044</v>
      </c>
      <c r="B494">
        <v>11</v>
      </c>
      <c r="C494">
        <v>91</v>
      </c>
      <c r="D494">
        <v>9009</v>
      </c>
      <c r="E494" t="s">
        <v>159</v>
      </c>
      <c r="F494" t="s">
        <v>590</v>
      </c>
      <c r="G494" t="s">
        <v>1215</v>
      </c>
      <c r="H494" s="26">
        <v>23869</v>
      </c>
      <c r="I494" t="s">
        <v>58</v>
      </c>
      <c r="J494" t="s">
        <v>2045</v>
      </c>
      <c r="M494">
        <v>91230</v>
      </c>
      <c r="N494" t="s">
        <v>71</v>
      </c>
      <c r="O494" t="s">
        <v>61</v>
      </c>
      <c r="Q494">
        <v>683730022</v>
      </c>
      <c r="R494" t="s">
        <v>2046</v>
      </c>
      <c r="S494" t="s">
        <v>63</v>
      </c>
      <c r="T494" t="s">
        <v>64</v>
      </c>
      <c r="U494" t="s">
        <v>65</v>
      </c>
      <c r="W494" s="26">
        <v>45542</v>
      </c>
      <c r="X494" t="s">
        <v>61</v>
      </c>
      <c r="Y494" t="s">
        <v>237</v>
      </c>
    </row>
    <row r="495" spans="1:25" x14ac:dyDescent="0.25">
      <c r="A495" t="s">
        <v>2047</v>
      </c>
      <c r="B495">
        <v>11</v>
      </c>
      <c r="C495">
        <v>94</v>
      </c>
      <c r="D495">
        <v>9045</v>
      </c>
      <c r="E495" t="s">
        <v>1234</v>
      </c>
      <c r="F495" t="s">
        <v>2048</v>
      </c>
      <c r="G495" t="s">
        <v>2049</v>
      </c>
      <c r="H495" s="26">
        <v>30592</v>
      </c>
      <c r="I495" t="s">
        <v>16</v>
      </c>
      <c r="J495" t="s">
        <v>2050</v>
      </c>
      <c r="M495">
        <v>92200</v>
      </c>
      <c r="N495" t="s">
        <v>2051</v>
      </c>
      <c r="O495" t="s">
        <v>61</v>
      </c>
      <c r="Q495">
        <v>682996087</v>
      </c>
      <c r="R495" t="s">
        <v>2052</v>
      </c>
      <c r="S495" t="s">
        <v>63</v>
      </c>
      <c r="T495" t="s">
        <v>64</v>
      </c>
      <c r="U495" t="s">
        <v>8684</v>
      </c>
      <c r="W495" s="26">
        <v>45534</v>
      </c>
      <c r="X495" t="s">
        <v>61</v>
      </c>
      <c r="Y495" t="s">
        <v>237</v>
      </c>
    </row>
    <row r="496" spans="1:25" x14ac:dyDescent="0.25">
      <c r="A496" t="s">
        <v>2053</v>
      </c>
      <c r="B496">
        <v>11</v>
      </c>
      <c r="C496">
        <v>78</v>
      </c>
      <c r="D496">
        <v>9101</v>
      </c>
      <c r="E496" t="s">
        <v>1165</v>
      </c>
      <c r="F496" t="s">
        <v>2054</v>
      </c>
      <c r="G496" t="s">
        <v>2055</v>
      </c>
      <c r="H496" s="26">
        <v>29275</v>
      </c>
      <c r="I496" t="s">
        <v>58</v>
      </c>
      <c r="J496" t="s">
        <v>2056</v>
      </c>
      <c r="M496">
        <v>94300</v>
      </c>
      <c r="N496" t="s">
        <v>838</v>
      </c>
      <c r="O496" t="s">
        <v>61</v>
      </c>
      <c r="Q496">
        <v>623390230</v>
      </c>
      <c r="R496" t="s">
        <v>2057</v>
      </c>
      <c r="S496" t="s">
        <v>63</v>
      </c>
      <c r="T496" t="s">
        <v>64</v>
      </c>
      <c r="U496" t="s">
        <v>486</v>
      </c>
      <c r="W496" s="26">
        <v>45525</v>
      </c>
      <c r="X496" t="s">
        <v>61</v>
      </c>
      <c r="Y496" t="s">
        <v>237</v>
      </c>
    </row>
    <row r="497" spans="1:25" x14ac:dyDescent="0.25">
      <c r="A497" t="s">
        <v>2058</v>
      </c>
      <c r="B497">
        <v>11</v>
      </c>
      <c r="C497">
        <v>94</v>
      </c>
      <c r="D497">
        <v>9031</v>
      </c>
      <c r="E497" t="s">
        <v>7</v>
      </c>
      <c r="F497" t="s">
        <v>2059</v>
      </c>
      <c r="G497" t="s">
        <v>2060</v>
      </c>
      <c r="H497" s="26">
        <v>23892</v>
      </c>
      <c r="I497" t="s">
        <v>16</v>
      </c>
      <c r="J497" t="s">
        <v>2061</v>
      </c>
      <c r="M497">
        <v>94100</v>
      </c>
      <c r="N497" t="s">
        <v>971</v>
      </c>
      <c r="O497" t="s">
        <v>61</v>
      </c>
      <c r="P497">
        <v>148863466</v>
      </c>
      <c r="Q497">
        <v>667630113</v>
      </c>
      <c r="R497" t="s">
        <v>2062</v>
      </c>
      <c r="S497" t="s">
        <v>63</v>
      </c>
      <c r="T497" t="s">
        <v>64</v>
      </c>
      <c r="U497" t="s">
        <v>65</v>
      </c>
      <c r="W497" s="26">
        <v>45550</v>
      </c>
      <c r="X497" t="s">
        <v>61</v>
      </c>
      <c r="Y497" t="s">
        <v>237</v>
      </c>
    </row>
    <row r="498" spans="1:25" x14ac:dyDescent="0.25">
      <c r="A498" t="s">
        <v>8842</v>
      </c>
      <c r="B498">
        <v>11</v>
      </c>
      <c r="C498">
        <v>94</v>
      </c>
      <c r="D498">
        <v>9031</v>
      </c>
      <c r="E498" t="s">
        <v>7</v>
      </c>
      <c r="F498" t="s">
        <v>103</v>
      </c>
      <c r="G498" t="s">
        <v>2060</v>
      </c>
      <c r="H498" s="26">
        <v>12712</v>
      </c>
      <c r="I498" t="s">
        <v>58</v>
      </c>
      <c r="J498" t="s">
        <v>2061</v>
      </c>
      <c r="M498">
        <v>94100</v>
      </c>
      <c r="N498" t="s">
        <v>971</v>
      </c>
      <c r="O498" t="s">
        <v>61</v>
      </c>
      <c r="P498">
        <v>148863466</v>
      </c>
      <c r="R498" t="s">
        <v>2062</v>
      </c>
      <c r="S498" t="s">
        <v>63</v>
      </c>
      <c r="T498" t="s">
        <v>64</v>
      </c>
      <c r="U498" t="s">
        <v>65</v>
      </c>
      <c r="W498" s="26">
        <v>45550</v>
      </c>
      <c r="X498" t="s">
        <v>61</v>
      </c>
      <c r="Y498" t="s">
        <v>237</v>
      </c>
    </row>
    <row r="499" spans="1:25" x14ac:dyDescent="0.25">
      <c r="A499" t="s">
        <v>2063</v>
      </c>
      <c r="B499">
        <v>11</v>
      </c>
      <c r="C499">
        <v>94</v>
      </c>
      <c r="D499">
        <v>9045</v>
      </c>
      <c r="E499" t="s">
        <v>1234</v>
      </c>
      <c r="F499" t="s">
        <v>297</v>
      </c>
      <c r="G499" t="s">
        <v>2064</v>
      </c>
      <c r="H499" s="26">
        <v>25243</v>
      </c>
      <c r="I499" t="s">
        <v>58</v>
      </c>
      <c r="J499" t="s">
        <v>2065</v>
      </c>
      <c r="M499">
        <v>92130</v>
      </c>
      <c r="N499" t="s">
        <v>2066</v>
      </c>
      <c r="O499" t="s">
        <v>61</v>
      </c>
      <c r="Q499">
        <v>663093572</v>
      </c>
      <c r="R499" t="s">
        <v>2067</v>
      </c>
      <c r="S499" t="s">
        <v>63</v>
      </c>
      <c r="T499" t="s">
        <v>64</v>
      </c>
      <c r="U499" t="s">
        <v>8684</v>
      </c>
      <c r="W499" s="26">
        <v>45529</v>
      </c>
      <c r="X499" t="s">
        <v>61</v>
      </c>
      <c r="Y499" t="s">
        <v>237</v>
      </c>
    </row>
    <row r="500" spans="1:25" x14ac:dyDescent="0.25">
      <c r="A500" t="s">
        <v>2068</v>
      </c>
      <c r="B500">
        <v>11</v>
      </c>
      <c r="C500">
        <v>94</v>
      </c>
      <c r="D500">
        <v>9045</v>
      </c>
      <c r="E500" t="s">
        <v>1234</v>
      </c>
      <c r="F500" t="s">
        <v>2069</v>
      </c>
      <c r="G500" t="s">
        <v>2049</v>
      </c>
      <c r="H500" s="26">
        <v>32050</v>
      </c>
      <c r="I500" t="s">
        <v>58</v>
      </c>
      <c r="J500" t="s">
        <v>2050</v>
      </c>
      <c r="M500">
        <v>92200</v>
      </c>
      <c r="N500" t="s">
        <v>2051</v>
      </c>
      <c r="O500" t="s">
        <v>61</v>
      </c>
      <c r="Q500">
        <v>663205782</v>
      </c>
      <c r="R500" t="s">
        <v>2070</v>
      </c>
      <c r="S500" t="s">
        <v>63</v>
      </c>
      <c r="T500" t="s">
        <v>64</v>
      </c>
      <c r="U500" t="s">
        <v>8684</v>
      </c>
      <c r="V500" t="s">
        <v>111</v>
      </c>
      <c r="W500" s="26">
        <v>45529</v>
      </c>
      <c r="X500" t="s">
        <v>61</v>
      </c>
      <c r="Y500" t="s">
        <v>237</v>
      </c>
    </row>
    <row r="501" spans="1:25" x14ac:dyDescent="0.25">
      <c r="A501" t="s">
        <v>2071</v>
      </c>
      <c r="B501">
        <v>11</v>
      </c>
      <c r="C501">
        <v>78</v>
      </c>
      <c r="D501">
        <v>9038</v>
      </c>
      <c r="E501" t="s">
        <v>484</v>
      </c>
      <c r="F501" t="s">
        <v>183</v>
      </c>
      <c r="G501" t="s">
        <v>2072</v>
      </c>
      <c r="H501" s="26">
        <v>19133</v>
      </c>
      <c r="I501" t="s">
        <v>58</v>
      </c>
      <c r="J501" t="s">
        <v>2073</v>
      </c>
      <c r="M501">
        <v>95220</v>
      </c>
      <c r="N501" t="s">
        <v>1477</v>
      </c>
      <c r="O501" t="s">
        <v>61</v>
      </c>
      <c r="P501">
        <v>139782461</v>
      </c>
      <c r="Q501">
        <v>608509564</v>
      </c>
      <c r="R501" t="s">
        <v>2074</v>
      </c>
      <c r="S501" t="s">
        <v>63</v>
      </c>
      <c r="T501" t="s">
        <v>64</v>
      </c>
      <c r="U501" t="s">
        <v>65</v>
      </c>
      <c r="W501" s="26">
        <v>45552</v>
      </c>
      <c r="X501" t="s">
        <v>61</v>
      </c>
      <c r="Y501" t="s">
        <v>237</v>
      </c>
    </row>
    <row r="502" spans="1:25" x14ac:dyDescent="0.25">
      <c r="A502" t="s">
        <v>2075</v>
      </c>
      <c r="B502">
        <v>11</v>
      </c>
      <c r="C502">
        <v>95</v>
      </c>
      <c r="D502">
        <v>9069</v>
      </c>
      <c r="E502" t="s">
        <v>129</v>
      </c>
      <c r="F502" t="s">
        <v>56</v>
      </c>
      <c r="G502" t="s">
        <v>2076</v>
      </c>
      <c r="H502" s="26">
        <v>16953</v>
      </c>
      <c r="I502" t="s">
        <v>58</v>
      </c>
      <c r="J502" t="s">
        <v>2077</v>
      </c>
      <c r="M502">
        <v>95100</v>
      </c>
      <c r="N502" t="s">
        <v>311</v>
      </c>
      <c r="O502" t="s">
        <v>61</v>
      </c>
      <c r="P502">
        <v>139819549</v>
      </c>
      <c r="Q502">
        <v>608631864</v>
      </c>
      <c r="R502" t="s">
        <v>2078</v>
      </c>
      <c r="S502" t="s">
        <v>63</v>
      </c>
      <c r="T502" t="s">
        <v>64</v>
      </c>
      <c r="U502" t="s">
        <v>65</v>
      </c>
      <c r="V502" t="s">
        <v>111</v>
      </c>
      <c r="W502" s="26">
        <v>45525</v>
      </c>
      <c r="X502" t="s">
        <v>61</v>
      </c>
      <c r="Y502" t="s">
        <v>237</v>
      </c>
    </row>
    <row r="503" spans="1:25" x14ac:dyDescent="0.25">
      <c r="A503" t="s">
        <v>8843</v>
      </c>
      <c r="B503">
        <v>11</v>
      </c>
      <c r="C503">
        <v>92</v>
      </c>
      <c r="D503">
        <v>9007</v>
      </c>
      <c r="E503" t="s">
        <v>121</v>
      </c>
      <c r="F503" t="s">
        <v>804</v>
      </c>
      <c r="G503" t="s">
        <v>8844</v>
      </c>
      <c r="H503" s="26">
        <v>18110</v>
      </c>
      <c r="I503" t="s">
        <v>58</v>
      </c>
      <c r="J503" t="s">
        <v>8845</v>
      </c>
      <c r="M503">
        <v>92600</v>
      </c>
      <c r="N503" t="s">
        <v>410</v>
      </c>
      <c r="O503" t="s">
        <v>61</v>
      </c>
      <c r="Q503">
        <v>616297994</v>
      </c>
      <c r="S503" t="s">
        <v>63</v>
      </c>
      <c r="T503" t="s">
        <v>64</v>
      </c>
      <c r="U503" t="s">
        <v>65</v>
      </c>
      <c r="W503" s="26">
        <v>45542</v>
      </c>
      <c r="X503" t="s">
        <v>61</v>
      </c>
      <c r="Y503" t="s">
        <v>237</v>
      </c>
    </row>
    <row r="504" spans="1:25" x14ac:dyDescent="0.25">
      <c r="A504" t="s">
        <v>2079</v>
      </c>
      <c r="B504">
        <v>11</v>
      </c>
      <c r="C504">
        <v>78</v>
      </c>
      <c r="D504">
        <v>9084</v>
      </c>
      <c r="E504" t="s">
        <v>216</v>
      </c>
      <c r="F504" t="s">
        <v>480</v>
      </c>
      <c r="G504" t="s">
        <v>1621</v>
      </c>
      <c r="H504" s="26">
        <v>19378</v>
      </c>
      <c r="I504" t="s">
        <v>58</v>
      </c>
      <c r="J504" t="s">
        <v>2080</v>
      </c>
      <c r="M504">
        <v>78580</v>
      </c>
      <c r="N504" t="s">
        <v>2081</v>
      </c>
      <c r="O504" t="s">
        <v>61</v>
      </c>
      <c r="P504">
        <v>134748493</v>
      </c>
      <c r="Q504">
        <v>680653390</v>
      </c>
      <c r="R504" t="s">
        <v>2082</v>
      </c>
      <c r="S504" t="s">
        <v>63</v>
      </c>
      <c r="T504" t="s">
        <v>64</v>
      </c>
      <c r="U504" t="s">
        <v>65</v>
      </c>
      <c r="W504" s="26">
        <v>45545</v>
      </c>
      <c r="X504" t="s">
        <v>61</v>
      </c>
      <c r="Y504" t="s">
        <v>237</v>
      </c>
    </row>
    <row r="505" spans="1:25" x14ac:dyDescent="0.25">
      <c r="A505" t="s">
        <v>2083</v>
      </c>
      <c r="B505">
        <v>11</v>
      </c>
      <c r="C505">
        <v>91</v>
      </c>
      <c r="D505">
        <v>9009</v>
      </c>
      <c r="E505" t="s">
        <v>159</v>
      </c>
      <c r="F505" t="s">
        <v>106</v>
      </c>
      <c r="G505" t="s">
        <v>2084</v>
      </c>
      <c r="H505" s="26">
        <v>17517</v>
      </c>
      <c r="I505" t="s">
        <v>58</v>
      </c>
      <c r="J505" t="s">
        <v>2085</v>
      </c>
      <c r="M505">
        <v>91550</v>
      </c>
      <c r="N505" t="s">
        <v>571</v>
      </c>
      <c r="O505" t="s">
        <v>61</v>
      </c>
      <c r="Q505">
        <v>609111237</v>
      </c>
      <c r="R505" t="s">
        <v>2086</v>
      </c>
      <c r="S505" t="s">
        <v>63</v>
      </c>
      <c r="T505" t="s">
        <v>64</v>
      </c>
      <c r="U505" t="s">
        <v>65</v>
      </c>
      <c r="W505" s="26">
        <v>45535</v>
      </c>
      <c r="X505" t="s">
        <v>61</v>
      </c>
      <c r="Y505" t="s">
        <v>237</v>
      </c>
    </row>
    <row r="506" spans="1:25" x14ac:dyDescent="0.25">
      <c r="A506" t="s">
        <v>2087</v>
      </c>
      <c r="B506">
        <v>11</v>
      </c>
      <c r="C506">
        <v>78</v>
      </c>
      <c r="D506">
        <v>9084</v>
      </c>
      <c r="E506" t="s">
        <v>216</v>
      </c>
      <c r="F506" t="s">
        <v>927</v>
      </c>
      <c r="G506" t="s">
        <v>2088</v>
      </c>
      <c r="H506" s="26">
        <v>22394</v>
      </c>
      <c r="I506" t="s">
        <v>58</v>
      </c>
      <c r="J506" t="s">
        <v>2089</v>
      </c>
      <c r="M506">
        <v>95450</v>
      </c>
      <c r="N506" t="s">
        <v>2090</v>
      </c>
      <c r="O506" t="s">
        <v>61</v>
      </c>
      <c r="P506">
        <v>130392452</v>
      </c>
      <c r="R506" t="s">
        <v>8846</v>
      </c>
      <c r="S506" t="s">
        <v>63</v>
      </c>
      <c r="T506" t="s">
        <v>64</v>
      </c>
      <c r="U506" t="s">
        <v>65</v>
      </c>
      <c r="W506" s="26">
        <v>45532</v>
      </c>
      <c r="X506" t="s">
        <v>61</v>
      </c>
      <c r="Y506" t="s">
        <v>237</v>
      </c>
    </row>
    <row r="507" spans="1:25" x14ac:dyDescent="0.25">
      <c r="A507" t="s">
        <v>2091</v>
      </c>
      <c r="B507">
        <v>11</v>
      </c>
      <c r="C507">
        <v>95</v>
      </c>
      <c r="D507">
        <v>9127</v>
      </c>
      <c r="E507" t="s">
        <v>536</v>
      </c>
      <c r="F507" t="s">
        <v>255</v>
      </c>
      <c r="G507" t="s">
        <v>2092</v>
      </c>
      <c r="H507" s="26">
        <v>23820</v>
      </c>
      <c r="I507" t="s">
        <v>58</v>
      </c>
      <c r="J507" t="s">
        <v>2093</v>
      </c>
      <c r="K507" t="s">
        <v>2094</v>
      </c>
      <c r="M507">
        <v>27700</v>
      </c>
      <c r="N507" t="s">
        <v>2095</v>
      </c>
      <c r="O507" t="s">
        <v>61</v>
      </c>
      <c r="P507">
        <v>965181113</v>
      </c>
      <c r="Q507">
        <v>786057329</v>
      </c>
      <c r="R507" t="s">
        <v>2096</v>
      </c>
      <c r="S507" t="s">
        <v>63</v>
      </c>
      <c r="T507" t="s">
        <v>64</v>
      </c>
      <c r="U507" t="s">
        <v>486</v>
      </c>
      <c r="W507" s="26">
        <v>45539</v>
      </c>
      <c r="X507" t="s">
        <v>61</v>
      </c>
      <c r="Y507" t="s">
        <v>237</v>
      </c>
    </row>
    <row r="508" spans="1:25" x14ac:dyDescent="0.25">
      <c r="A508" t="s">
        <v>2097</v>
      </c>
      <c r="B508">
        <v>11</v>
      </c>
      <c r="C508">
        <v>94</v>
      </c>
      <c r="D508">
        <v>9024</v>
      </c>
      <c r="E508" t="s">
        <v>4</v>
      </c>
      <c r="F508" t="s">
        <v>154</v>
      </c>
      <c r="G508" t="s">
        <v>869</v>
      </c>
      <c r="H508" s="26">
        <v>17372</v>
      </c>
      <c r="I508" t="s">
        <v>58</v>
      </c>
      <c r="J508" t="s">
        <v>2098</v>
      </c>
      <c r="M508">
        <v>94100</v>
      </c>
      <c r="N508" t="s">
        <v>971</v>
      </c>
      <c r="O508" t="s">
        <v>61</v>
      </c>
      <c r="P508">
        <v>627754255</v>
      </c>
      <c r="R508" t="s">
        <v>2099</v>
      </c>
      <c r="S508" t="s">
        <v>63</v>
      </c>
      <c r="T508" t="s">
        <v>64</v>
      </c>
      <c r="U508" t="s">
        <v>65</v>
      </c>
      <c r="W508" s="26">
        <v>45538</v>
      </c>
      <c r="X508" t="s">
        <v>61</v>
      </c>
      <c r="Y508" t="s">
        <v>237</v>
      </c>
    </row>
    <row r="509" spans="1:25" x14ac:dyDescent="0.25">
      <c r="A509" t="s">
        <v>2100</v>
      </c>
      <c r="B509">
        <v>11</v>
      </c>
      <c r="C509">
        <v>93</v>
      </c>
      <c r="D509">
        <v>9122</v>
      </c>
      <c r="E509" t="s">
        <v>1030</v>
      </c>
      <c r="F509" t="s">
        <v>2101</v>
      </c>
      <c r="G509" t="s">
        <v>2102</v>
      </c>
      <c r="H509" s="26">
        <v>27826</v>
      </c>
      <c r="I509" t="s">
        <v>58</v>
      </c>
      <c r="J509" t="s">
        <v>1720</v>
      </c>
      <c r="M509">
        <v>93390</v>
      </c>
      <c r="N509" t="s">
        <v>2103</v>
      </c>
      <c r="O509" t="s">
        <v>61</v>
      </c>
      <c r="Q509">
        <v>603670132</v>
      </c>
      <c r="R509" t="s">
        <v>2104</v>
      </c>
      <c r="S509" t="s">
        <v>63</v>
      </c>
      <c r="T509" t="s">
        <v>64</v>
      </c>
      <c r="U509" t="s">
        <v>8684</v>
      </c>
      <c r="W509" s="26">
        <v>45530</v>
      </c>
      <c r="X509" t="s">
        <v>61</v>
      </c>
      <c r="Y509" t="s">
        <v>237</v>
      </c>
    </row>
    <row r="510" spans="1:25" x14ac:dyDescent="0.25">
      <c r="A510" t="s">
        <v>2105</v>
      </c>
      <c r="B510">
        <v>11</v>
      </c>
      <c r="C510">
        <v>92</v>
      </c>
      <c r="D510">
        <v>9088</v>
      </c>
      <c r="E510" t="s">
        <v>1</v>
      </c>
      <c r="F510" t="s">
        <v>2106</v>
      </c>
      <c r="G510" t="s">
        <v>2107</v>
      </c>
      <c r="H510" s="26">
        <v>21960</v>
      </c>
      <c r="I510" t="s">
        <v>58</v>
      </c>
      <c r="J510" t="s">
        <v>2108</v>
      </c>
      <c r="M510">
        <v>95870</v>
      </c>
      <c r="N510" t="s">
        <v>2109</v>
      </c>
      <c r="O510" t="s">
        <v>61</v>
      </c>
      <c r="P510">
        <v>611970571</v>
      </c>
      <c r="R510" t="s">
        <v>2110</v>
      </c>
      <c r="S510" t="s">
        <v>63</v>
      </c>
      <c r="T510" t="s">
        <v>64</v>
      </c>
      <c r="U510" t="s">
        <v>65</v>
      </c>
      <c r="V510" t="s">
        <v>111</v>
      </c>
      <c r="W510" s="26">
        <v>45562</v>
      </c>
      <c r="X510" t="s">
        <v>61</v>
      </c>
      <c r="Y510" t="s">
        <v>237</v>
      </c>
    </row>
    <row r="511" spans="1:25" x14ac:dyDescent="0.25">
      <c r="A511" t="s">
        <v>2111</v>
      </c>
      <c r="B511">
        <v>11</v>
      </c>
      <c r="C511">
        <v>95</v>
      </c>
      <c r="D511">
        <v>9061</v>
      </c>
      <c r="E511" t="s">
        <v>360</v>
      </c>
      <c r="F511" t="s">
        <v>555</v>
      </c>
      <c r="G511" t="s">
        <v>2112</v>
      </c>
      <c r="H511" s="26">
        <v>25006</v>
      </c>
      <c r="I511" t="s">
        <v>58</v>
      </c>
      <c r="J511" t="s">
        <v>2113</v>
      </c>
      <c r="M511">
        <v>95810</v>
      </c>
      <c r="N511" t="s">
        <v>2114</v>
      </c>
      <c r="O511" t="s">
        <v>61</v>
      </c>
      <c r="Q511">
        <v>613582590</v>
      </c>
      <c r="R511" t="s">
        <v>8847</v>
      </c>
      <c r="S511" t="s">
        <v>63</v>
      </c>
      <c r="T511" t="s">
        <v>64</v>
      </c>
      <c r="U511" t="s">
        <v>65</v>
      </c>
      <c r="W511" s="26">
        <v>45545</v>
      </c>
      <c r="X511" t="s">
        <v>61</v>
      </c>
      <c r="Y511" t="s">
        <v>237</v>
      </c>
    </row>
    <row r="512" spans="1:25" x14ac:dyDescent="0.25">
      <c r="A512" t="s">
        <v>2117</v>
      </c>
      <c r="B512">
        <v>11</v>
      </c>
      <c r="C512">
        <v>91</v>
      </c>
      <c r="D512">
        <v>9082</v>
      </c>
      <c r="E512" t="s">
        <v>67</v>
      </c>
      <c r="F512" t="s">
        <v>272</v>
      </c>
      <c r="G512" t="s">
        <v>2118</v>
      </c>
      <c r="H512" s="26">
        <v>19906</v>
      </c>
      <c r="I512" t="s">
        <v>58</v>
      </c>
      <c r="J512" t="s">
        <v>2119</v>
      </c>
      <c r="M512">
        <v>91210</v>
      </c>
      <c r="N512" t="s">
        <v>226</v>
      </c>
      <c r="O512" t="s">
        <v>61</v>
      </c>
      <c r="P512">
        <v>169036691</v>
      </c>
      <c r="Q512">
        <v>611153489</v>
      </c>
      <c r="R512" t="s">
        <v>2120</v>
      </c>
      <c r="S512" t="s">
        <v>63</v>
      </c>
      <c r="T512" t="s">
        <v>64</v>
      </c>
      <c r="U512" t="s">
        <v>65</v>
      </c>
      <c r="W512" s="26">
        <v>45543</v>
      </c>
      <c r="X512" t="s">
        <v>61</v>
      </c>
      <c r="Y512" t="s">
        <v>237</v>
      </c>
    </row>
    <row r="513" spans="1:25" x14ac:dyDescent="0.25">
      <c r="A513" t="s">
        <v>2121</v>
      </c>
      <c r="B513">
        <v>11</v>
      </c>
      <c r="C513">
        <v>91</v>
      </c>
      <c r="D513">
        <v>9096</v>
      </c>
      <c r="E513" t="s">
        <v>526</v>
      </c>
      <c r="F513" t="s">
        <v>555</v>
      </c>
      <c r="G513" t="s">
        <v>2122</v>
      </c>
      <c r="H513" s="26">
        <v>22389</v>
      </c>
      <c r="I513" t="s">
        <v>58</v>
      </c>
      <c r="J513" t="s">
        <v>2123</v>
      </c>
      <c r="M513">
        <v>91310</v>
      </c>
      <c r="N513" t="s">
        <v>2020</v>
      </c>
      <c r="O513" t="s">
        <v>61</v>
      </c>
      <c r="P513">
        <v>164498975</v>
      </c>
      <c r="R513" t="s">
        <v>2124</v>
      </c>
      <c r="S513" t="s">
        <v>63</v>
      </c>
      <c r="T513" t="s">
        <v>64</v>
      </c>
      <c r="U513" t="s">
        <v>65</v>
      </c>
      <c r="W513" s="26">
        <v>45538</v>
      </c>
      <c r="X513" t="s">
        <v>61</v>
      </c>
      <c r="Y513" t="s">
        <v>237</v>
      </c>
    </row>
    <row r="514" spans="1:25" x14ac:dyDescent="0.25">
      <c r="A514" t="s">
        <v>2125</v>
      </c>
      <c r="B514">
        <v>11</v>
      </c>
      <c r="C514">
        <v>91</v>
      </c>
      <c r="D514">
        <v>9096</v>
      </c>
      <c r="E514" t="s">
        <v>526</v>
      </c>
      <c r="F514" t="s">
        <v>120</v>
      </c>
      <c r="G514" t="s">
        <v>2126</v>
      </c>
      <c r="H514" s="26">
        <v>19364</v>
      </c>
      <c r="I514" t="s">
        <v>58</v>
      </c>
      <c r="J514" t="s">
        <v>2127</v>
      </c>
      <c r="M514">
        <v>91580</v>
      </c>
      <c r="N514" t="s">
        <v>528</v>
      </c>
      <c r="O514" t="s">
        <v>61</v>
      </c>
      <c r="Q514">
        <v>613954315</v>
      </c>
      <c r="R514" t="s">
        <v>2128</v>
      </c>
      <c r="S514" t="s">
        <v>63</v>
      </c>
      <c r="T514" t="s">
        <v>64</v>
      </c>
      <c r="U514" t="s">
        <v>65</v>
      </c>
      <c r="W514" s="26">
        <v>45536</v>
      </c>
      <c r="X514" t="s">
        <v>61</v>
      </c>
      <c r="Y514" t="s">
        <v>237</v>
      </c>
    </row>
    <row r="515" spans="1:25" x14ac:dyDescent="0.25">
      <c r="A515" t="s">
        <v>10457</v>
      </c>
      <c r="B515">
        <v>11</v>
      </c>
      <c r="C515">
        <v>93</v>
      </c>
      <c r="D515">
        <v>9060</v>
      </c>
      <c r="E515" t="s">
        <v>203</v>
      </c>
      <c r="F515" t="s">
        <v>555</v>
      </c>
      <c r="G515" t="s">
        <v>10458</v>
      </c>
      <c r="H515" s="26">
        <v>25953</v>
      </c>
      <c r="I515" t="s">
        <v>58</v>
      </c>
      <c r="J515" t="s">
        <v>10459</v>
      </c>
      <c r="M515">
        <v>93270</v>
      </c>
      <c r="N515" t="s">
        <v>2129</v>
      </c>
      <c r="O515" t="s">
        <v>61</v>
      </c>
      <c r="P515">
        <v>149360977</v>
      </c>
      <c r="R515" t="s">
        <v>10460</v>
      </c>
      <c r="S515" t="s">
        <v>63</v>
      </c>
      <c r="T515" t="s">
        <v>64</v>
      </c>
      <c r="U515" t="s">
        <v>65</v>
      </c>
      <c r="W515" s="26">
        <v>45576</v>
      </c>
      <c r="X515" t="s">
        <v>61</v>
      </c>
      <c r="Y515" t="s">
        <v>237</v>
      </c>
    </row>
    <row r="516" spans="1:25" x14ac:dyDescent="0.25">
      <c r="A516" t="s">
        <v>10461</v>
      </c>
      <c r="B516">
        <v>11</v>
      </c>
      <c r="C516">
        <v>93</v>
      </c>
      <c r="D516">
        <v>9060</v>
      </c>
      <c r="E516" t="s">
        <v>203</v>
      </c>
      <c r="F516" t="s">
        <v>106</v>
      </c>
      <c r="G516" t="s">
        <v>10462</v>
      </c>
      <c r="H516" s="26">
        <v>17425</v>
      </c>
      <c r="I516" t="s">
        <v>58</v>
      </c>
      <c r="J516" t="s">
        <v>10463</v>
      </c>
      <c r="M516">
        <v>93190</v>
      </c>
      <c r="N516" t="s">
        <v>205</v>
      </c>
      <c r="O516" t="s">
        <v>61</v>
      </c>
      <c r="P516">
        <v>172516092</v>
      </c>
      <c r="Q516">
        <v>630766490</v>
      </c>
      <c r="R516" t="s">
        <v>10464</v>
      </c>
      <c r="S516" t="s">
        <v>63</v>
      </c>
      <c r="T516" t="s">
        <v>64</v>
      </c>
      <c r="U516" t="s">
        <v>65</v>
      </c>
      <c r="W516" s="26">
        <v>45576</v>
      </c>
      <c r="X516" t="s">
        <v>61</v>
      </c>
      <c r="Y516" t="s">
        <v>237</v>
      </c>
    </row>
    <row r="517" spans="1:25" x14ac:dyDescent="0.25">
      <c r="A517" t="s">
        <v>2130</v>
      </c>
      <c r="B517">
        <v>11</v>
      </c>
      <c r="C517">
        <v>77</v>
      </c>
      <c r="D517">
        <v>9040</v>
      </c>
      <c r="E517" t="s">
        <v>612</v>
      </c>
      <c r="F517" t="s">
        <v>2131</v>
      </c>
      <c r="G517" t="s">
        <v>2132</v>
      </c>
      <c r="H517" s="26">
        <v>17225</v>
      </c>
      <c r="I517" t="s">
        <v>16</v>
      </c>
      <c r="J517" t="s">
        <v>2133</v>
      </c>
      <c r="M517">
        <v>77920</v>
      </c>
      <c r="N517" t="s">
        <v>2134</v>
      </c>
      <c r="O517" t="s">
        <v>61</v>
      </c>
      <c r="Q517">
        <v>687742471</v>
      </c>
      <c r="R517" t="s">
        <v>2135</v>
      </c>
      <c r="S517" t="s">
        <v>63</v>
      </c>
      <c r="T517" t="s">
        <v>64</v>
      </c>
      <c r="U517" t="s">
        <v>65</v>
      </c>
      <c r="V517" t="s">
        <v>111</v>
      </c>
      <c r="W517" s="26">
        <v>45537</v>
      </c>
      <c r="X517" t="s">
        <v>61</v>
      </c>
      <c r="Y517" t="s">
        <v>237</v>
      </c>
    </row>
    <row r="518" spans="1:25" x14ac:dyDescent="0.25">
      <c r="A518" t="s">
        <v>2136</v>
      </c>
      <c r="B518">
        <v>11</v>
      </c>
      <c r="C518">
        <v>78</v>
      </c>
      <c r="D518">
        <v>9002</v>
      </c>
      <c r="E518" t="s">
        <v>558</v>
      </c>
      <c r="F518" t="s">
        <v>100</v>
      </c>
      <c r="G518" t="s">
        <v>2137</v>
      </c>
      <c r="H518" s="26">
        <v>17582</v>
      </c>
      <c r="I518" t="s">
        <v>58</v>
      </c>
      <c r="J518" t="s">
        <v>1343</v>
      </c>
      <c r="M518">
        <v>78710</v>
      </c>
      <c r="N518" t="s">
        <v>2138</v>
      </c>
      <c r="O518" t="s">
        <v>61</v>
      </c>
      <c r="P518">
        <v>130428475</v>
      </c>
      <c r="R518" t="s">
        <v>2139</v>
      </c>
      <c r="S518" t="s">
        <v>63</v>
      </c>
      <c r="T518" t="s">
        <v>64</v>
      </c>
      <c r="U518" t="s">
        <v>65</v>
      </c>
      <c r="W518" s="26">
        <v>45544</v>
      </c>
      <c r="X518" t="s">
        <v>61</v>
      </c>
      <c r="Y518" t="s">
        <v>237</v>
      </c>
    </row>
    <row r="519" spans="1:25" x14ac:dyDescent="0.25">
      <c r="A519" t="s">
        <v>2140</v>
      </c>
      <c r="B519">
        <v>11</v>
      </c>
      <c r="C519">
        <v>78</v>
      </c>
      <c r="D519">
        <v>9016</v>
      </c>
      <c r="E519" t="s">
        <v>362</v>
      </c>
      <c r="F519" t="s">
        <v>97</v>
      </c>
      <c r="G519" t="s">
        <v>2141</v>
      </c>
      <c r="H519" s="26">
        <v>19528</v>
      </c>
      <c r="I519" t="s">
        <v>58</v>
      </c>
      <c r="J519" t="s">
        <v>2142</v>
      </c>
      <c r="M519">
        <v>78520</v>
      </c>
      <c r="N519" t="s">
        <v>365</v>
      </c>
      <c r="O519" t="s">
        <v>61</v>
      </c>
      <c r="P519">
        <v>953021128</v>
      </c>
      <c r="Q519">
        <v>658223226</v>
      </c>
      <c r="R519" t="s">
        <v>8848</v>
      </c>
      <c r="S519" t="s">
        <v>63</v>
      </c>
      <c r="T519" t="s">
        <v>64</v>
      </c>
      <c r="U519" t="s">
        <v>486</v>
      </c>
      <c r="W519" s="26">
        <v>45544</v>
      </c>
      <c r="X519" t="s">
        <v>61</v>
      </c>
      <c r="Y519" t="s">
        <v>237</v>
      </c>
    </row>
    <row r="520" spans="1:25" x14ac:dyDescent="0.25">
      <c r="A520" t="s">
        <v>2143</v>
      </c>
      <c r="B520">
        <v>11</v>
      </c>
      <c r="C520">
        <v>78</v>
      </c>
      <c r="D520">
        <v>9084</v>
      </c>
      <c r="E520" t="s">
        <v>216</v>
      </c>
      <c r="F520" t="s">
        <v>204</v>
      </c>
      <c r="G520" t="s">
        <v>2144</v>
      </c>
      <c r="H520" s="26">
        <v>16843</v>
      </c>
      <c r="I520" t="s">
        <v>58</v>
      </c>
      <c r="J520" t="s">
        <v>2145</v>
      </c>
      <c r="M520">
        <v>78480</v>
      </c>
      <c r="N520" t="s">
        <v>548</v>
      </c>
      <c r="O520" t="s">
        <v>61</v>
      </c>
      <c r="P520">
        <v>139718040</v>
      </c>
      <c r="Q520">
        <v>620146217</v>
      </c>
      <c r="R520" t="s">
        <v>2146</v>
      </c>
      <c r="S520" t="s">
        <v>63</v>
      </c>
      <c r="T520" t="s">
        <v>64</v>
      </c>
      <c r="U520" t="s">
        <v>65</v>
      </c>
      <c r="W520" s="26">
        <v>45544</v>
      </c>
      <c r="X520" t="s">
        <v>61</v>
      </c>
      <c r="Y520" t="s">
        <v>237</v>
      </c>
    </row>
    <row r="521" spans="1:25" x14ac:dyDescent="0.25">
      <c r="A521" t="s">
        <v>10465</v>
      </c>
      <c r="B521">
        <v>11</v>
      </c>
      <c r="C521">
        <v>93</v>
      </c>
      <c r="D521">
        <v>9122</v>
      </c>
      <c r="E521" t="s">
        <v>1030</v>
      </c>
      <c r="F521" t="s">
        <v>551</v>
      </c>
      <c r="G521" t="s">
        <v>10466</v>
      </c>
      <c r="H521" s="26">
        <v>24388</v>
      </c>
      <c r="I521" t="s">
        <v>58</v>
      </c>
      <c r="J521" t="s">
        <v>10467</v>
      </c>
      <c r="M521">
        <v>93340</v>
      </c>
      <c r="N521" t="s">
        <v>2147</v>
      </c>
      <c r="O521" t="s">
        <v>61</v>
      </c>
      <c r="P521">
        <v>143023844</v>
      </c>
      <c r="Q521">
        <v>624563245</v>
      </c>
      <c r="R521" t="s">
        <v>10468</v>
      </c>
      <c r="S521" t="s">
        <v>63</v>
      </c>
      <c r="T521" t="s">
        <v>64</v>
      </c>
      <c r="U521" t="s">
        <v>8684</v>
      </c>
      <c r="W521" s="26">
        <v>45576</v>
      </c>
      <c r="X521" t="s">
        <v>61</v>
      </c>
      <c r="Y521" t="s">
        <v>237</v>
      </c>
    </row>
    <row r="522" spans="1:25" x14ac:dyDescent="0.25">
      <c r="A522" t="s">
        <v>2148</v>
      </c>
      <c r="B522">
        <v>11</v>
      </c>
      <c r="C522">
        <v>92</v>
      </c>
      <c r="D522">
        <v>9017</v>
      </c>
      <c r="E522" t="s">
        <v>211</v>
      </c>
      <c r="F522" t="s">
        <v>68</v>
      </c>
      <c r="G522" t="s">
        <v>2149</v>
      </c>
      <c r="H522" s="26">
        <v>23820</v>
      </c>
      <c r="I522" t="s">
        <v>58</v>
      </c>
      <c r="J522" t="s">
        <v>2150</v>
      </c>
      <c r="M522">
        <v>92400</v>
      </c>
      <c r="N522" t="s">
        <v>478</v>
      </c>
      <c r="O522" t="s">
        <v>61</v>
      </c>
      <c r="Q522">
        <v>620463173</v>
      </c>
      <c r="S522" t="s">
        <v>63</v>
      </c>
      <c r="T522" t="s">
        <v>64</v>
      </c>
      <c r="U522" t="s">
        <v>65</v>
      </c>
      <c r="W522" s="26">
        <v>45546</v>
      </c>
      <c r="X522" t="s">
        <v>61</v>
      </c>
      <c r="Y522" t="s">
        <v>237</v>
      </c>
    </row>
    <row r="523" spans="1:25" x14ac:dyDescent="0.25">
      <c r="A523" t="s">
        <v>2151</v>
      </c>
      <c r="B523">
        <v>11</v>
      </c>
      <c r="C523">
        <v>92</v>
      </c>
      <c r="D523">
        <v>9068</v>
      </c>
      <c r="E523" t="s">
        <v>119</v>
      </c>
      <c r="F523" t="s">
        <v>85</v>
      </c>
      <c r="G523" t="s">
        <v>892</v>
      </c>
      <c r="H523" s="26">
        <v>20543</v>
      </c>
      <c r="I523" t="s">
        <v>58</v>
      </c>
      <c r="J523" t="s">
        <v>2152</v>
      </c>
      <c r="M523">
        <v>92130</v>
      </c>
      <c r="N523" t="s">
        <v>2066</v>
      </c>
      <c r="O523" t="s">
        <v>61</v>
      </c>
      <c r="P523">
        <v>140934261</v>
      </c>
      <c r="Q523">
        <v>674257637</v>
      </c>
      <c r="R523" t="s">
        <v>2153</v>
      </c>
      <c r="S523" t="s">
        <v>63</v>
      </c>
      <c r="T523" t="s">
        <v>64</v>
      </c>
      <c r="U523" t="s">
        <v>65</v>
      </c>
      <c r="W523" s="26">
        <v>45548</v>
      </c>
      <c r="X523" t="s">
        <v>61</v>
      </c>
      <c r="Y523" t="s">
        <v>237</v>
      </c>
    </row>
    <row r="524" spans="1:25" x14ac:dyDescent="0.25">
      <c r="A524" t="s">
        <v>2154</v>
      </c>
      <c r="B524">
        <v>11</v>
      </c>
      <c r="C524">
        <v>94</v>
      </c>
      <c r="D524">
        <v>9024</v>
      </c>
      <c r="E524" t="s">
        <v>4</v>
      </c>
      <c r="F524" t="s">
        <v>1396</v>
      </c>
      <c r="G524" t="s">
        <v>398</v>
      </c>
      <c r="H524" s="26">
        <v>32947</v>
      </c>
      <c r="I524" t="s">
        <v>58</v>
      </c>
      <c r="J524" t="s">
        <v>2155</v>
      </c>
      <c r="M524">
        <v>94100</v>
      </c>
      <c r="N524" t="s">
        <v>971</v>
      </c>
      <c r="O524" t="s">
        <v>61</v>
      </c>
      <c r="R524" t="s">
        <v>2156</v>
      </c>
      <c r="S524" t="s">
        <v>63</v>
      </c>
      <c r="T524" t="s">
        <v>64</v>
      </c>
      <c r="U524" t="s">
        <v>8684</v>
      </c>
      <c r="W524" s="26">
        <v>45548</v>
      </c>
      <c r="X524" t="s">
        <v>61</v>
      </c>
      <c r="Y524" t="s">
        <v>237</v>
      </c>
    </row>
    <row r="525" spans="1:25" x14ac:dyDescent="0.25">
      <c r="A525" t="s">
        <v>2157</v>
      </c>
      <c r="B525">
        <v>11</v>
      </c>
      <c r="C525">
        <v>78</v>
      </c>
      <c r="D525">
        <v>9038</v>
      </c>
      <c r="E525" t="s">
        <v>484</v>
      </c>
      <c r="F525" t="s">
        <v>440</v>
      </c>
      <c r="G525" t="s">
        <v>2158</v>
      </c>
      <c r="H525" s="26">
        <v>19956</v>
      </c>
      <c r="I525" t="s">
        <v>58</v>
      </c>
      <c r="J525" t="s">
        <v>2159</v>
      </c>
      <c r="M525">
        <v>95220</v>
      </c>
      <c r="N525" t="s">
        <v>1477</v>
      </c>
      <c r="O525" t="s">
        <v>61</v>
      </c>
      <c r="P525">
        <v>139784241</v>
      </c>
      <c r="Q525">
        <v>658824981</v>
      </c>
      <c r="R525" t="s">
        <v>2160</v>
      </c>
      <c r="S525" t="s">
        <v>63</v>
      </c>
      <c r="T525" t="s">
        <v>64</v>
      </c>
      <c r="U525" t="s">
        <v>65</v>
      </c>
      <c r="W525" s="26">
        <v>45561</v>
      </c>
      <c r="X525" t="s">
        <v>61</v>
      </c>
      <c r="Y525" t="s">
        <v>237</v>
      </c>
    </row>
    <row r="526" spans="1:25" x14ac:dyDescent="0.25">
      <c r="A526" t="s">
        <v>10171</v>
      </c>
      <c r="B526">
        <v>11</v>
      </c>
      <c r="C526">
        <v>77</v>
      </c>
      <c r="D526">
        <v>9077</v>
      </c>
      <c r="E526" t="s">
        <v>90</v>
      </c>
      <c r="F526" t="s">
        <v>100</v>
      </c>
      <c r="G526" t="s">
        <v>10172</v>
      </c>
      <c r="H526" s="26">
        <v>18064</v>
      </c>
      <c r="I526" t="s">
        <v>58</v>
      </c>
      <c r="J526" t="s">
        <v>10173</v>
      </c>
      <c r="M526">
        <v>77515</v>
      </c>
      <c r="N526" t="s">
        <v>10174</v>
      </c>
      <c r="O526" t="s">
        <v>61</v>
      </c>
      <c r="Q526">
        <v>683548884</v>
      </c>
      <c r="S526" t="s">
        <v>63</v>
      </c>
      <c r="T526" t="s">
        <v>64</v>
      </c>
      <c r="U526" t="s">
        <v>65</v>
      </c>
      <c r="W526" s="26">
        <v>45567</v>
      </c>
      <c r="X526" t="s">
        <v>61</v>
      </c>
      <c r="Y526" t="s">
        <v>237</v>
      </c>
    </row>
    <row r="527" spans="1:25" x14ac:dyDescent="0.25">
      <c r="A527" t="s">
        <v>8849</v>
      </c>
      <c r="B527">
        <v>11</v>
      </c>
      <c r="C527">
        <v>91</v>
      </c>
      <c r="D527">
        <v>9095</v>
      </c>
      <c r="E527" t="s">
        <v>113</v>
      </c>
      <c r="F527" t="s">
        <v>100</v>
      </c>
      <c r="G527" t="s">
        <v>8850</v>
      </c>
      <c r="H527" s="26">
        <v>17367</v>
      </c>
      <c r="I527" t="s">
        <v>58</v>
      </c>
      <c r="J527" t="s">
        <v>8851</v>
      </c>
      <c r="M527">
        <v>91520</v>
      </c>
      <c r="N527" t="s">
        <v>1590</v>
      </c>
      <c r="O527" t="s">
        <v>61</v>
      </c>
      <c r="P527">
        <v>164902777</v>
      </c>
      <c r="R527" t="s">
        <v>8852</v>
      </c>
      <c r="S527" t="s">
        <v>63</v>
      </c>
      <c r="T527" t="s">
        <v>64</v>
      </c>
      <c r="U527" t="s">
        <v>65</v>
      </c>
      <c r="W527" s="26">
        <v>45551</v>
      </c>
      <c r="X527" t="s">
        <v>61</v>
      </c>
      <c r="Y527" t="s">
        <v>237</v>
      </c>
    </row>
    <row r="528" spans="1:25" x14ac:dyDescent="0.25">
      <c r="A528" t="s">
        <v>2163</v>
      </c>
      <c r="B528">
        <v>11</v>
      </c>
      <c r="C528">
        <v>78</v>
      </c>
      <c r="D528">
        <v>9030</v>
      </c>
      <c r="E528" t="s">
        <v>96</v>
      </c>
      <c r="F528" t="s">
        <v>472</v>
      </c>
      <c r="G528" t="s">
        <v>2164</v>
      </c>
      <c r="H528" s="26">
        <v>24548</v>
      </c>
      <c r="I528" t="s">
        <v>58</v>
      </c>
      <c r="J528" t="s">
        <v>2165</v>
      </c>
      <c r="M528">
        <v>78960</v>
      </c>
      <c r="N528" t="s">
        <v>566</v>
      </c>
      <c r="O528" t="s">
        <v>61</v>
      </c>
      <c r="Q528">
        <v>678846712</v>
      </c>
      <c r="R528" t="s">
        <v>2166</v>
      </c>
      <c r="S528" t="s">
        <v>63</v>
      </c>
      <c r="T528" t="s">
        <v>64</v>
      </c>
      <c r="U528" t="s">
        <v>65</v>
      </c>
      <c r="W528" s="26">
        <v>45542</v>
      </c>
      <c r="X528" t="s">
        <v>61</v>
      </c>
      <c r="Y528" t="s">
        <v>237</v>
      </c>
    </row>
    <row r="529" spans="1:25" x14ac:dyDescent="0.25">
      <c r="A529" t="s">
        <v>2167</v>
      </c>
      <c r="B529">
        <v>11</v>
      </c>
      <c r="C529">
        <v>78</v>
      </c>
      <c r="D529">
        <v>9030</v>
      </c>
      <c r="E529" t="s">
        <v>96</v>
      </c>
      <c r="F529" t="s">
        <v>297</v>
      </c>
      <c r="G529" t="s">
        <v>2168</v>
      </c>
      <c r="H529" s="26">
        <v>23095</v>
      </c>
      <c r="I529" t="s">
        <v>58</v>
      </c>
      <c r="J529" t="s">
        <v>2169</v>
      </c>
      <c r="M529">
        <v>78960</v>
      </c>
      <c r="N529" t="s">
        <v>566</v>
      </c>
      <c r="O529" t="s">
        <v>61</v>
      </c>
      <c r="P529">
        <v>130571864</v>
      </c>
      <c r="Q529">
        <v>610228910</v>
      </c>
      <c r="R529" t="s">
        <v>2170</v>
      </c>
      <c r="S529" t="s">
        <v>63</v>
      </c>
      <c r="T529" t="s">
        <v>64</v>
      </c>
      <c r="U529" t="s">
        <v>65</v>
      </c>
      <c r="W529" s="26">
        <v>45539</v>
      </c>
      <c r="X529" t="s">
        <v>61</v>
      </c>
      <c r="Y529" t="s">
        <v>237</v>
      </c>
    </row>
    <row r="530" spans="1:25" x14ac:dyDescent="0.25">
      <c r="A530" t="s">
        <v>10134</v>
      </c>
      <c r="B530">
        <v>11</v>
      </c>
      <c r="C530">
        <v>78</v>
      </c>
      <c r="D530">
        <v>9030</v>
      </c>
      <c r="E530" t="s">
        <v>96</v>
      </c>
      <c r="F530" t="s">
        <v>887</v>
      </c>
      <c r="G530" t="s">
        <v>10135</v>
      </c>
      <c r="H530" s="26">
        <v>19463</v>
      </c>
      <c r="I530" t="s">
        <v>58</v>
      </c>
      <c r="J530" t="s">
        <v>10136</v>
      </c>
      <c r="M530">
        <v>78180</v>
      </c>
      <c r="N530" t="s">
        <v>1162</v>
      </c>
      <c r="O530" t="s">
        <v>61</v>
      </c>
      <c r="P530">
        <v>130436553</v>
      </c>
      <c r="Q530">
        <v>626940737</v>
      </c>
      <c r="R530" t="s">
        <v>10137</v>
      </c>
      <c r="S530" t="s">
        <v>63</v>
      </c>
      <c r="T530" t="s">
        <v>64</v>
      </c>
      <c r="U530" t="s">
        <v>65</v>
      </c>
      <c r="W530" s="26">
        <v>45571</v>
      </c>
      <c r="X530" t="s">
        <v>61</v>
      </c>
      <c r="Y530" t="s">
        <v>237</v>
      </c>
    </row>
    <row r="531" spans="1:25" x14ac:dyDescent="0.25">
      <c r="A531" t="s">
        <v>2171</v>
      </c>
      <c r="B531">
        <v>11</v>
      </c>
      <c r="C531">
        <v>78</v>
      </c>
      <c r="D531">
        <v>9056</v>
      </c>
      <c r="E531" t="s">
        <v>214</v>
      </c>
      <c r="F531" t="s">
        <v>103</v>
      </c>
      <c r="G531" t="s">
        <v>2172</v>
      </c>
      <c r="H531" s="26">
        <v>17267</v>
      </c>
      <c r="I531" t="s">
        <v>58</v>
      </c>
      <c r="J531" t="s">
        <v>2173</v>
      </c>
      <c r="M531">
        <v>78170</v>
      </c>
      <c r="N531" t="s">
        <v>991</v>
      </c>
      <c r="O531" t="s">
        <v>61</v>
      </c>
      <c r="P531">
        <v>675280721</v>
      </c>
      <c r="Q531">
        <v>675280721</v>
      </c>
      <c r="R531" t="s">
        <v>2174</v>
      </c>
      <c r="S531" t="s">
        <v>63</v>
      </c>
      <c r="T531" t="s">
        <v>64</v>
      </c>
      <c r="U531" t="s">
        <v>65</v>
      </c>
      <c r="W531" s="26">
        <v>45527</v>
      </c>
      <c r="X531" t="s">
        <v>61</v>
      </c>
      <c r="Y531" t="s">
        <v>237</v>
      </c>
    </row>
    <row r="532" spans="1:25" x14ac:dyDescent="0.25">
      <c r="A532" t="s">
        <v>2175</v>
      </c>
      <c r="B532">
        <v>11</v>
      </c>
      <c r="C532">
        <v>78</v>
      </c>
      <c r="D532">
        <v>9016</v>
      </c>
      <c r="E532" t="s">
        <v>362</v>
      </c>
      <c r="F532" t="s">
        <v>91</v>
      </c>
      <c r="G532" t="s">
        <v>2176</v>
      </c>
      <c r="H532" s="26">
        <v>17395</v>
      </c>
      <c r="I532" t="s">
        <v>58</v>
      </c>
      <c r="J532" t="s">
        <v>2177</v>
      </c>
      <c r="M532">
        <v>78440</v>
      </c>
      <c r="N532" t="s">
        <v>1646</v>
      </c>
      <c r="O532" t="s">
        <v>61</v>
      </c>
      <c r="P532">
        <v>130935259</v>
      </c>
      <c r="Q532">
        <v>676897140</v>
      </c>
      <c r="R532" t="s">
        <v>2178</v>
      </c>
      <c r="S532" t="s">
        <v>63</v>
      </c>
      <c r="T532" t="s">
        <v>64</v>
      </c>
      <c r="U532" t="s">
        <v>65</v>
      </c>
      <c r="W532" s="26">
        <v>45539</v>
      </c>
      <c r="X532" t="s">
        <v>61</v>
      </c>
      <c r="Y532" t="s">
        <v>237</v>
      </c>
    </row>
    <row r="533" spans="1:25" x14ac:dyDescent="0.25">
      <c r="A533" t="s">
        <v>2179</v>
      </c>
      <c r="B533">
        <v>11</v>
      </c>
      <c r="C533">
        <v>77</v>
      </c>
      <c r="D533">
        <v>9077</v>
      </c>
      <c r="E533" t="s">
        <v>90</v>
      </c>
      <c r="F533" t="s">
        <v>106</v>
      </c>
      <c r="G533" t="s">
        <v>2180</v>
      </c>
      <c r="H533" s="26">
        <v>19650</v>
      </c>
      <c r="I533" t="s">
        <v>58</v>
      </c>
      <c r="J533" t="s">
        <v>2181</v>
      </c>
      <c r="M533">
        <v>77120</v>
      </c>
      <c r="N533" t="s">
        <v>803</v>
      </c>
      <c r="O533" t="s">
        <v>61</v>
      </c>
      <c r="P533">
        <v>164206173</v>
      </c>
      <c r="Q533">
        <v>778397300</v>
      </c>
      <c r="S533" t="s">
        <v>63</v>
      </c>
      <c r="T533" t="s">
        <v>64</v>
      </c>
      <c r="U533" t="s">
        <v>65</v>
      </c>
      <c r="W533" s="26">
        <v>45561</v>
      </c>
      <c r="X533" t="s">
        <v>61</v>
      </c>
      <c r="Y533" t="s">
        <v>237</v>
      </c>
    </row>
    <row r="534" spans="1:25" x14ac:dyDescent="0.25">
      <c r="A534" t="s">
        <v>2182</v>
      </c>
      <c r="B534">
        <v>11</v>
      </c>
      <c r="C534">
        <v>95</v>
      </c>
      <c r="D534">
        <v>9069</v>
      </c>
      <c r="E534" t="s">
        <v>129</v>
      </c>
      <c r="F534" t="s">
        <v>106</v>
      </c>
      <c r="G534" t="s">
        <v>2164</v>
      </c>
      <c r="H534" s="26">
        <v>16811</v>
      </c>
      <c r="I534" t="s">
        <v>58</v>
      </c>
      <c r="J534" t="s">
        <v>2183</v>
      </c>
      <c r="M534">
        <v>95740</v>
      </c>
      <c r="N534" t="s">
        <v>2184</v>
      </c>
      <c r="O534" t="s">
        <v>61</v>
      </c>
      <c r="Q534">
        <v>617114146</v>
      </c>
      <c r="R534" t="s">
        <v>11202</v>
      </c>
      <c r="S534" t="s">
        <v>63</v>
      </c>
      <c r="T534" t="s">
        <v>64</v>
      </c>
      <c r="U534" t="s">
        <v>65</v>
      </c>
      <c r="W534" s="26">
        <v>45538</v>
      </c>
      <c r="X534" t="s">
        <v>61</v>
      </c>
      <c r="Y534" t="s">
        <v>237</v>
      </c>
    </row>
    <row r="535" spans="1:25" x14ac:dyDescent="0.25">
      <c r="A535" t="s">
        <v>2185</v>
      </c>
      <c r="B535">
        <v>11</v>
      </c>
      <c r="C535">
        <v>75</v>
      </c>
      <c r="D535">
        <v>9070</v>
      </c>
      <c r="E535" t="s">
        <v>168</v>
      </c>
      <c r="F535" t="s">
        <v>12</v>
      </c>
      <c r="G535" t="s">
        <v>2186</v>
      </c>
      <c r="H535" s="26">
        <v>29740</v>
      </c>
      <c r="I535" t="s">
        <v>58</v>
      </c>
      <c r="J535" t="s">
        <v>2187</v>
      </c>
      <c r="M535">
        <v>80080</v>
      </c>
      <c r="N535" t="s">
        <v>2188</v>
      </c>
      <c r="O535" t="s">
        <v>61</v>
      </c>
      <c r="P535">
        <v>983519015</v>
      </c>
      <c r="Q535">
        <v>634137640</v>
      </c>
      <c r="R535" t="s">
        <v>2189</v>
      </c>
      <c r="S535" t="s">
        <v>63</v>
      </c>
      <c r="T535" t="s">
        <v>64</v>
      </c>
      <c r="U535" t="s">
        <v>8684</v>
      </c>
      <c r="W535" s="26">
        <v>45545</v>
      </c>
      <c r="X535" t="s">
        <v>61</v>
      </c>
      <c r="Y535" t="s">
        <v>237</v>
      </c>
    </row>
    <row r="536" spans="1:25" x14ac:dyDescent="0.25">
      <c r="A536" t="s">
        <v>2190</v>
      </c>
      <c r="B536">
        <v>11</v>
      </c>
      <c r="C536">
        <v>78</v>
      </c>
      <c r="D536">
        <v>9084</v>
      </c>
      <c r="E536" t="s">
        <v>216</v>
      </c>
      <c r="F536" t="s">
        <v>289</v>
      </c>
      <c r="G536" t="s">
        <v>2191</v>
      </c>
      <c r="H536" s="26">
        <v>17795</v>
      </c>
      <c r="I536" t="s">
        <v>58</v>
      </c>
      <c r="J536" t="s">
        <v>2192</v>
      </c>
      <c r="M536">
        <v>75018</v>
      </c>
      <c r="N536" t="s">
        <v>330</v>
      </c>
      <c r="O536" t="s">
        <v>61</v>
      </c>
      <c r="P536">
        <v>142520656</v>
      </c>
      <c r="R536" t="s">
        <v>2193</v>
      </c>
      <c r="S536" t="s">
        <v>63</v>
      </c>
      <c r="T536" t="s">
        <v>64</v>
      </c>
      <c r="U536" t="s">
        <v>65</v>
      </c>
      <c r="W536" s="26">
        <v>45532</v>
      </c>
      <c r="X536" t="s">
        <v>61</v>
      </c>
      <c r="Y536" t="s">
        <v>237</v>
      </c>
    </row>
    <row r="537" spans="1:25" x14ac:dyDescent="0.25">
      <c r="A537" t="s">
        <v>2194</v>
      </c>
      <c r="B537">
        <v>11</v>
      </c>
      <c r="C537">
        <v>91</v>
      </c>
      <c r="D537">
        <v>9025</v>
      </c>
      <c r="E537" t="s">
        <v>188</v>
      </c>
      <c r="F537" t="s">
        <v>590</v>
      </c>
      <c r="G537" t="s">
        <v>2195</v>
      </c>
      <c r="H537" s="26">
        <v>16642</v>
      </c>
      <c r="I537" t="s">
        <v>58</v>
      </c>
      <c r="J537" t="s">
        <v>2196</v>
      </c>
      <c r="M537">
        <v>91100</v>
      </c>
      <c r="N537" t="s">
        <v>1427</v>
      </c>
      <c r="O537" t="s">
        <v>61</v>
      </c>
      <c r="P537">
        <v>160758446</v>
      </c>
      <c r="R537" t="s">
        <v>2197</v>
      </c>
      <c r="S537" t="s">
        <v>63</v>
      </c>
      <c r="T537" t="s">
        <v>64</v>
      </c>
      <c r="U537" t="s">
        <v>65</v>
      </c>
      <c r="W537" s="26">
        <v>45549</v>
      </c>
      <c r="X537" t="s">
        <v>61</v>
      </c>
      <c r="Y537" t="s">
        <v>237</v>
      </c>
    </row>
    <row r="538" spans="1:25" x14ac:dyDescent="0.25">
      <c r="A538" t="s">
        <v>2198</v>
      </c>
      <c r="B538">
        <v>11</v>
      </c>
      <c r="C538">
        <v>92</v>
      </c>
      <c r="D538">
        <v>9065</v>
      </c>
      <c r="E538" t="s">
        <v>426</v>
      </c>
      <c r="F538" t="s">
        <v>2199</v>
      </c>
      <c r="G538" t="s">
        <v>2200</v>
      </c>
      <c r="H538" s="26">
        <v>26888</v>
      </c>
      <c r="I538" t="s">
        <v>58</v>
      </c>
      <c r="J538" t="s">
        <v>2201</v>
      </c>
      <c r="M538">
        <v>91410</v>
      </c>
      <c r="N538" t="s">
        <v>2202</v>
      </c>
      <c r="O538" t="s">
        <v>2203</v>
      </c>
      <c r="Q538">
        <v>680406179</v>
      </c>
      <c r="R538" t="s">
        <v>2204</v>
      </c>
      <c r="S538" t="s">
        <v>63</v>
      </c>
      <c r="T538" t="s">
        <v>64</v>
      </c>
      <c r="U538" t="s">
        <v>8684</v>
      </c>
      <c r="W538" s="26">
        <v>45528</v>
      </c>
      <c r="X538" t="s">
        <v>61</v>
      </c>
      <c r="Y538" t="s">
        <v>237</v>
      </c>
    </row>
    <row r="539" spans="1:25" x14ac:dyDescent="0.25">
      <c r="A539" t="s">
        <v>2205</v>
      </c>
      <c r="B539">
        <v>11</v>
      </c>
      <c r="C539">
        <v>91</v>
      </c>
      <c r="D539">
        <v>9082</v>
      </c>
      <c r="E539" t="s">
        <v>67</v>
      </c>
      <c r="F539" t="s">
        <v>120</v>
      </c>
      <c r="G539" t="s">
        <v>2206</v>
      </c>
      <c r="H539" s="26">
        <v>18043</v>
      </c>
      <c r="I539" t="s">
        <v>58</v>
      </c>
      <c r="J539" t="s">
        <v>2207</v>
      </c>
      <c r="M539">
        <v>91450</v>
      </c>
      <c r="N539" t="s">
        <v>709</v>
      </c>
      <c r="O539" t="s">
        <v>61</v>
      </c>
      <c r="Q539">
        <v>683341535</v>
      </c>
      <c r="R539" t="s">
        <v>2208</v>
      </c>
      <c r="S539" t="s">
        <v>63</v>
      </c>
      <c r="T539" t="s">
        <v>64</v>
      </c>
      <c r="U539" t="s">
        <v>65</v>
      </c>
      <c r="W539" s="26">
        <v>45555</v>
      </c>
      <c r="X539" t="s">
        <v>61</v>
      </c>
      <c r="Y539" t="s">
        <v>237</v>
      </c>
    </row>
    <row r="540" spans="1:25" x14ac:dyDescent="0.25">
      <c r="A540" t="s">
        <v>2209</v>
      </c>
      <c r="B540">
        <v>11</v>
      </c>
      <c r="C540">
        <v>78</v>
      </c>
      <c r="D540">
        <v>9052</v>
      </c>
      <c r="E540" t="s">
        <v>337</v>
      </c>
      <c r="F540" t="s">
        <v>187</v>
      </c>
      <c r="G540" t="s">
        <v>2210</v>
      </c>
      <c r="H540" s="26">
        <v>16285</v>
      </c>
      <c r="I540" t="s">
        <v>58</v>
      </c>
      <c r="J540" t="s">
        <v>2211</v>
      </c>
      <c r="M540">
        <v>78760</v>
      </c>
      <c r="N540" t="s">
        <v>761</v>
      </c>
      <c r="O540" t="s">
        <v>61</v>
      </c>
      <c r="Q540">
        <v>630574609</v>
      </c>
      <c r="R540" t="s">
        <v>2212</v>
      </c>
      <c r="S540" t="s">
        <v>63</v>
      </c>
      <c r="T540" t="s">
        <v>64</v>
      </c>
      <c r="U540" t="s">
        <v>65</v>
      </c>
      <c r="V540" t="s">
        <v>111</v>
      </c>
      <c r="W540" s="26">
        <v>45534</v>
      </c>
      <c r="X540" t="s">
        <v>1379</v>
      </c>
      <c r="Y540" t="s">
        <v>237</v>
      </c>
    </row>
    <row r="541" spans="1:25" x14ac:dyDescent="0.25">
      <c r="A541" t="s">
        <v>2213</v>
      </c>
      <c r="B541">
        <v>11</v>
      </c>
      <c r="C541">
        <v>91</v>
      </c>
      <c r="D541">
        <v>9009</v>
      </c>
      <c r="E541" t="s">
        <v>159</v>
      </c>
      <c r="F541" t="s">
        <v>100</v>
      </c>
      <c r="G541" t="s">
        <v>2214</v>
      </c>
      <c r="H541" s="26">
        <v>21367</v>
      </c>
      <c r="I541" t="s">
        <v>58</v>
      </c>
      <c r="J541" t="s">
        <v>2215</v>
      </c>
      <c r="M541">
        <v>94230</v>
      </c>
      <c r="N541" t="s">
        <v>1236</v>
      </c>
      <c r="O541" t="s">
        <v>61</v>
      </c>
      <c r="P541">
        <v>145475747</v>
      </c>
      <c r="R541" t="s">
        <v>2216</v>
      </c>
      <c r="S541" t="s">
        <v>63</v>
      </c>
      <c r="T541" t="s">
        <v>64</v>
      </c>
      <c r="U541" t="s">
        <v>65</v>
      </c>
      <c r="W541" s="26">
        <v>45545</v>
      </c>
      <c r="X541" t="s">
        <v>61</v>
      </c>
      <c r="Y541" t="s">
        <v>237</v>
      </c>
    </row>
    <row r="542" spans="1:25" x14ac:dyDescent="0.25">
      <c r="A542" t="s">
        <v>10469</v>
      </c>
      <c r="B542">
        <v>11</v>
      </c>
      <c r="C542">
        <v>93</v>
      </c>
      <c r="D542">
        <v>9060</v>
      </c>
      <c r="E542" t="s">
        <v>203</v>
      </c>
      <c r="F542" t="s">
        <v>289</v>
      </c>
      <c r="G542" t="s">
        <v>2217</v>
      </c>
      <c r="H542" s="26">
        <v>15822</v>
      </c>
      <c r="I542" t="s">
        <v>58</v>
      </c>
      <c r="J542" t="s">
        <v>10470</v>
      </c>
      <c r="M542">
        <v>93190</v>
      </c>
      <c r="N542" t="s">
        <v>205</v>
      </c>
      <c r="O542" t="s">
        <v>61</v>
      </c>
      <c r="P542">
        <v>143023492</v>
      </c>
      <c r="Q542">
        <v>786606336</v>
      </c>
      <c r="R542" t="s">
        <v>10471</v>
      </c>
      <c r="S542" t="s">
        <v>63</v>
      </c>
      <c r="T542" t="s">
        <v>64</v>
      </c>
      <c r="U542" t="s">
        <v>65</v>
      </c>
      <c r="W542" s="26">
        <v>45576</v>
      </c>
      <c r="X542" t="s">
        <v>61</v>
      </c>
      <c r="Y542" t="s">
        <v>237</v>
      </c>
    </row>
    <row r="543" spans="1:25" x14ac:dyDescent="0.25">
      <c r="A543" t="s">
        <v>10472</v>
      </c>
      <c r="B543">
        <v>11</v>
      </c>
      <c r="C543">
        <v>92</v>
      </c>
      <c r="D543">
        <v>9017</v>
      </c>
      <c r="E543" t="s">
        <v>211</v>
      </c>
      <c r="F543" t="s">
        <v>9714</v>
      </c>
      <c r="G543" t="s">
        <v>630</v>
      </c>
      <c r="H543" s="26">
        <v>35461</v>
      </c>
      <c r="I543" t="s">
        <v>58</v>
      </c>
      <c r="J543" t="s">
        <v>631</v>
      </c>
      <c r="M543">
        <v>93150</v>
      </c>
      <c r="N543" t="s">
        <v>632</v>
      </c>
      <c r="O543" t="s">
        <v>61</v>
      </c>
      <c r="Q543">
        <v>695891479</v>
      </c>
      <c r="R543" t="s">
        <v>10473</v>
      </c>
      <c r="S543" t="s">
        <v>63</v>
      </c>
      <c r="T543" t="s">
        <v>64</v>
      </c>
      <c r="U543" t="s">
        <v>65</v>
      </c>
      <c r="W543" s="26">
        <v>45579</v>
      </c>
      <c r="X543" t="s">
        <v>61</v>
      </c>
      <c r="Y543" t="s">
        <v>237</v>
      </c>
    </row>
    <row r="544" spans="1:25" x14ac:dyDescent="0.25">
      <c r="A544" t="s">
        <v>2218</v>
      </c>
      <c r="B544">
        <v>11</v>
      </c>
      <c r="C544">
        <v>91</v>
      </c>
      <c r="D544">
        <v>9009</v>
      </c>
      <c r="E544" t="s">
        <v>159</v>
      </c>
      <c r="F544" t="s">
        <v>388</v>
      </c>
      <c r="G544" t="s">
        <v>2219</v>
      </c>
      <c r="H544" s="26">
        <v>36540</v>
      </c>
      <c r="I544" t="s">
        <v>58</v>
      </c>
      <c r="J544" t="s">
        <v>2220</v>
      </c>
      <c r="M544">
        <v>77430</v>
      </c>
      <c r="N544" t="s">
        <v>615</v>
      </c>
      <c r="O544" t="s">
        <v>61</v>
      </c>
      <c r="Q544">
        <v>646692918</v>
      </c>
      <c r="R544" t="s">
        <v>2221</v>
      </c>
      <c r="S544" t="s">
        <v>63</v>
      </c>
      <c r="T544" t="s">
        <v>64</v>
      </c>
      <c r="U544" t="s">
        <v>65</v>
      </c>
      <c r="W544" s="26">
        <v>45544</v>
      </c>
      <c r="X544" t="s">
        <v>61</v>
      </c>
      <c r="Y544" t="s">
        <v>237</v>
      </c>
    </row>
    <row r="545" spans="1:25" x14ac:dyDescent="0.25">
      <c r="A545" t="s">
        <v>2222</v>
      </c>
      <c r="B545">
        <v>11</v>
      </c>
      <c r="C545">
        <v>77</v>
      </c>
      <c r="D545">
        <v>9105</v>
      </c>
      <c r="E545" t="s">
        <v>124</v>
      </c>
      <c r="F545" t="s">
        <v>13</v>
      </c>
      <c r="G545" t="s">
        <v>2223</v>
      </c>
      <c r="H545" s="26">
        <v>22865</v>
      </c>
      <c r="I545" t="s">
        <v>58</v>
      </c>
      <c r="J545" t="s">
        <v>2224</v>
      </c>
      <c r="M545">
        <v>77220</v>
      </c>
      <c r="N545" t="s">
        <v>2225</v>
      </c>
      <c r="O545" t="s">
        <v>61</v>
      </c>
      <c r="S545" t="s">
        <v>63</v>
      </c>
      <c r="T545" t="s">
        <v>64</v>
      </c>
      <c r="U545" t="s">
        <v>65</v>
      </c>
      <c r="W545" s="26">
        <v>45537</v>
      </c>
      <c r="X545" t="s">
        <v>61</v>
      </c>
      <c r="Y545" t="s">
        <v>237</v>
      </c>
    </row>
    <row r="546" spans="1:25" x14ac:dyDescent="0.25">
      <c r="A546" t="s">
        <v>2226</v>
      </c>
      <c r="B546">
        <v>11</v>
      </c>
      <c r="C546">
        <v>95</v>
      </c>
      <c r="D546">
        <v>9069</v>
      </c>
      <c r="E546" t="s">
        <v>129</v>
      </c>
      <c r="F546" t="s">
        <v>12</v>
      </c>
      <c r="G546" t="s">
        <v>2227</v>
      </c>
      <c r="H546" s="26">
        <v>28269</v>
      </c>
      <c r="I546" t="s">
        <v>58</v>
      </c>
      <c r="J546" t="s">
        <v>2228</v>
      </c>
      <c r="M546">
        <v>95130</v>
      </c>
      <c r="N546" t="s">
        <v>828</v>
      </c>
      <c r="O546" t="s">
        <v>61</v>
      </c>
      <c r="Q546">
        <v>633503994</v>
      </c>
      <c r="R546" t="s">
        <v>2229</v>
      </c>
      <c r="S546" t="s">
        <v>63</v>
      </c>
      <c r="T546" t="s">
        <v>64</v>
      </c>
      <c r="U546" t="s">
        <v>8684</v>
      </c>
      <c r="W546" s="26">
        <v>45559</v>
      </c>
      <c r="X546" t="s">
        <v>61</v>
      </c>
      <c r="Y546" t="s">
        <v>237</v>
      </c>
    </row>
    <row r="547" spans="1:25" x14ac:dyDescent="0.25">
      <c r="A547" t="s">
        <v>8853</v>
      </c>
      <c r="B547">
        <v>11</v>
      </c>
      <c r="C547">
        <v>75</v>
      </c>
      <c r="D547">
        <v>9070</v>
      </c>
      <c r="E547" t="s">
        <v>168</v>
      </c>
      <c r="F547" t="s">
        <v>1282</v>
      </c>
      <c r="G547" t="s">
        <v>8854</v>
      </c>
      <c r="H547" s="26">
        <v>29933</v>
      </c>
      <c r="I547" t="s">
        <v>58</v>
      </c>
      <c r="J547" t="s">
        <v>8855</v>
      </c>
      <c r="M547">
        <v>93270</v>
      </c>
      <c r="N547" t="s">
        <v>2129</v>
      </c>
      <c r="O547" t="s">
        <v>61</v>
      </c>
      <c r="Q547">
        <v>608061452</v>
      </c>
      <c r="R547" t="s">
        <v>8856</v>
      </c>
      <c r="S547" t="s">
        <v>63</v>
      </c>
      <c r="T547" t="s">
        <v>64</v>
      </c>
      <c r="U547" t="s">
        <v>8684</v>
      </c>
      <c r="W547" s="26">
        <v>45564</v>
      </c>
      <c r="X547" t="s">
        <v>61</v>
      </c>
      <c r="Y547" t="s">
        <v>237</v>
      </c>
    </row>
    <row r="548" spans="1:25" x14ac:dyDescent="0.25">
      <c r="A548" t="s">
        <v>8857</v>
      </c>
      <c r="B548">
        <v>11</v>
      </c>
      <c r="C548">
        <v>94</v>
      </c>
      <c r="D548">
        <v>9024</v>
      </c>
      <c r="E548" t="s">
        <v>4</v>
      </c>
      <c r="F548" t="s">
        <v>555</v>
      </c>
      <c r="G548" t="s">
        <v>8858</v>
      </c>
      <c r="H548" s="26">
        <v>24046</v>
      </c>
      <c r="I548" t="s">
        <v>58</v>
      </c>
      <c r="J548" t="s">
        <v>8859</v>
      </c>
      <c r="M548">
        <v>94100</v>
      </c>
      <c r="N548" t="s">
        <v>971</v>
      </c>
      <c r="O548" t="s">
        <v>61</v>
      </c>
      <c r="Q548">
        <v>785812704</v>
      </c>
      <c r="R548" t="s">
        <v>8860</v>
      </c>
      <c r="S548" t="s">
        <v>63</v>
      </c>
      <c r="T548" t="s">
        <v>64</v>
      </c>
      <c r="U548" t="s">
        <v>65</v>
      </c>
      <c r="W548" s="26">
        <v>45548</v>
      </c>
      <c r="X548" t="s">
        <v>61</v>
      </c>
      <c r="Y548" t="s">
        <v>237</v>
      </c>
    </row>
    <row r="549" spans="1:25" x14ac:dyDescent="0.25">
      <c r="A549" t="s">
        <v>2230</v>
      </c>
      <c r="B549">
        <v>11</v>
      </c>
      <c r="C549">
        <v>77</v>
      </c>
      <c r="D549">
        <v>9059</v>
      </c>
      <c r="E549" t="s">
        <v>197</v>
      </c>
      <c r="F549" t="s">
        <v>115</v>
      </c>
      <c r="G549" t="s">
        <v>2231</v>
      </c>
      <c r="H549" s="26">
        <v>16635</v>
      </c>
      <c r="I549" t="s">
        <v>58</v>
      </c>
      <c r="J549" t="s">
        <v>2232</v>
      </c>
      <c r="M549">
        <v>77330</v>
      </c>
      <c r="N549" t="s">
        <v>209</v>
      </c>
      <c r="O549" t="s">
        <v>61</v>
      </c>
      <c r="P549">
        <v>160026619</v>
      </c>
      <c r="Q549">
        <v>766377185</v>
      </c>
      <c r="R549" t="s">
        <v>2233</v>
      </c>
      <c r="S549" t="s">
        <v>63</v>
      </c>
      <c r="T549" t="s">
        <v>64</v>
      </c>
      <c r="U549" t="s">
        <v>65</v>
      </c>
      <c r="W549" s="26">
        <v>45528</v>
      </c>
      <c r="X549" t="s">
        <v>61</v>
      </c>
      <c r="Y549" t="s">
        <v>237</v>
      </c>
    </row>
    <row r="550" spans="1:25" x14ac:dyDescent="0.25">
      <c r="A550" t="s">
        <v>2234</v>
      </c>
      <c r="B550">
        <v>11</v>
      </c>
      <c r="C550">
        <v>75</v>
      </c>
      <c r="D550">
        <v>9070</v>
      </c>
      <c r="E550" t="s">
        <v>168</v>
      </c>
      <c r="F550" t="s">
        <v>217</v>
      </c>
      <c r="G550" t="s">
        <v>2235</v>
      </c>
      <c r="H550" s="26">
        <v>28272</v>
      </c>
      <c r="I550" t="s">
        <v>58</v>
      </c>
      <c r="J550" t="s">
        <v>2236</v>
      </c>
      <c r="M550">
        <v>75015</v>
      </c>
      <c r="N550" t="s">
        <v>330</v>
      </c>
      <c r="O550" t="s">
        <v>61</v>
      </c>
      <c r="Q550">
        <v>681358128</v>
      </c>
      <c r="R550" t="s">
        <v>2237</v>
      </c>
      <c r="S550" t="s">
        <v>63</v>
      </c>
      <c r="T550" t="s">
        <v>64</v>
      </c>
      <c r="U550" t="s">
        <v>8684</v>
      </c>
      <c r="W550" s="26">
        <v>45527</v>
      </c>
      <c r="X550" t="s">
        <v>61</v>
      </c>
      <c r="Y550" t="s">
        <v>237</v>
      </c>
    </row>
    <row r="551" spans="1:25" x14ac:dyDescent="0.25">
      <c r="A551" t="s">
        <v>2238</v>
      </c>
      <c r="B551">
        <v>11</v>
      </c>
      <c r="C551">
        <v>78</v>
      </c>
      <c r="D551">
        <v>9038</v>
      </c>
      <c r="E551" t="s">
        <v>484</v>
      </c>
      <c r="F551" t="s">
        <v>137</v>
      </c>
      <c r="G551" t="s">
        <v>2239</v>
      </c>
      <c r="H551" s="26">
        <v>22928</v>
      </c>
      <c r="I551" t="s">
        <v>58</v>
      </c>
      <c r="J551" t="s">
        <v>2240</v>
      </c>
      <c r="M551">
        <v>78700</v>
      </c>
      <c r="N551" t="s">
        <v>273</v>
      </c>
      <c r="O551" t="s">
        <v>61</v>
      </c>
      <c r="Q551">
        <v>660877765</v>
      </c>
      <c r="R551" t="s">
        <v>2241</v>
      </c>
      <c r="S551" t="s">
        <v>63</v>
      </c>
      <c r="T551" t="s">
        <v>64</v>
      </c>
      <c r="U551" t="s">
        <v>65</v>
      </c>
      <c r="W551" s="26">
        <v>45551</v>
      </c>
      <c r="X551" t="s">
        <v>61</v>
      </c>
      <c r="Y551" t="s">
        <v>237</v>
      </c>
    </row>
    <row r="552" spans="1:25" x14ac:dyDescent="0.25">
      <c r="A552" t="s">
        <v>2242</v>
      </c>
      <c r="B552">
        <v>11</v>
      </c>
      <c r="C552">
        <v>95</v>
      </c>
      <c r="D552">
        <v>9127</v>
      </c>
      <c r="E552" t="s">
        <v>536</v>
      </c>
      <c r="F552" t="s">
        <v>2243</v>
      </c>
      <c r="G552" t="s">
        <v>2244</v>
      </c>
      <c r="H552" s="26">
        <v>31470</v>
      </c>
      <c r="I552" t="s">
        <v>58</v>
      </c>
      <c r="J552" t="s">
        <v>2245</v>
      </c>
      <c r="M552">
        <v>95280</v>
      </c>
      <c r="N552" t="s">
        <v>1535</v>
      </c>
      <c r="O552" t="s">
        <v>61</v>
      </c>
      <c r="R552" t="s">
        <v>2246</v>
      </c>
      <c r="S552" t="s">
        <v>237</v>
      </c>
      <c r="T552" t="s">
        <v>64</v>
      </c>
      <c r="U552" t="s">
        <v>486</v>
      </c>
      <c r="W552" s="26">
        <v>45535</v>
      </c>
      <c r="X552" t="s">
        <v>61</v>
      </c>
      <c r="Y552" t="s">
        <v>237</v>
      </c>
    </row>
    <row r="553" spans="1:25" x14ac:dyDescent="0.25">
      <c r="A553" t="s">
        <v>2247</v>
      </c>
      <c r="B553">
        <v>11</v>
      </c>
      <c r="C553">
        <v>78</v>
      </c>
      <c r="D553">
        <v>9030</v>
      </c>
      <c r="E553" t="s">
        <v>96</v>
      </c>
      <c r="F553" t="s">
        <v>100</v>
      </c>
      <c r="G553" t="s">
        <v>2248</v>
      </c>
      <c r="H553" s="26">
        <v>23125</v>
      </c>
      <c r="I553" t="s">
        <v>58</v>
      </c>
      <c r="J553" t="s">
        <v>8861</v>
      </c>
      <c r="M553">
        <v>78280</v>
      </c>
      <c r="N553" t="s">
        <v>98</v>
      </c>
      <c r="O553" t="s">
        <v>61</v>
      </c>
      <c r="P553">
        <v>130609815</v>
      </c>
      <c r="Q553">
        <v>666626395</v>
      </c>
      <c r="R553" t="s">
        <v>2249</v>
      </c>
      <c r="S553" t="s">
        <v>63</v>
      </c>
      <c r="T553" t="s">
        <v>64</v>
      </c>
      <c r="U553" t="s">
        <v>65</v>
      </c>
      <c r="W553" s="26">
        <v>45548</v>
      </c>
      <c r="X553" t="s">
        <v>61</v>
      </c>
      <c r="Y553" t="s">
        <v>237</v>
      </c>
    </row>
    <row r="554" spans="1:25" x14ac:dyDescent="0.25">
      <c r="A554" t="s">
        <v>2250</v>
      </c>
      <c r="B554">
        <v>11</v>
      </c>
      <c r="C554">
        <v>78</v>
      </c>
      <c r="D554">
        <v>9030</v>
      </c>
      <c r="E554" t="s">
        <v>96</v>
      </c>
      <c r="F554" t="s">
        <v>1099</v>
      </c>
      <c r="G554" t="s">
        <v>2251</v>
      </c>
      <c r="H554" s="26">
        <v>18852</v>
      </c>
      <c r="I554" t="s">
        <v>58</v>
      </c>
      <c r="J554" t="s">
        <v>2252</v>
      </c>
      <c r="M554">
        <v>78180</v>
      </c>
      <c r="N554" t="s">
        <v>1162</v>
      </c>
      <c r="O554" t="s">
        <v>61</v>
      </c>
      <c r="Q554">
        <v>613998146</v>
      </c>
      <c r="R554" t="s">
        <v>2253</v>
      </c>
      <c r="S554" t="s">
        <v>63</v>
      </c>
      <c r="T554" t="s">
        <v>64</v>
      </c>
      <c r="U554" t="s">
        <v>65</v>
      </c>
      <c r="W554" s="26">
        <v>45548</v>
      </c>
      <c r="X554" t="s">
        <v>61</v>
      </c>
      <c r="Y554" t="s">
        <v>237</v>
      </c>
    </row>
    <row r="555" spans="1:25" x14ac:dyDescent="0.25">
      <c r="A555" t="s">
        <v>2254</v>
      </c>
      <c r="B555">
        <v>11</v>
      </c>
      <c r="C555">
        <v>77</v>
      </c>
      <c r="D555">
        <v>9049</v>
      </c>
      <c r="E555" t="s">
        <v>902</v>
      </c>
      <c r="F555" t="s">
        <v>2255</v>
      </c>
      <c r="G555" t="s">
        <v>2256</v>
      </c>
      <c r="H555" s="26">
        <v>21258</v>
      </c>
      <c r="I555" t="s">
        <v>58</v>
      </c>
      <c r="J555" t="s">
        <v>2257</v>
      </c>
      <c r="M555">
        <v>77440</v>
      </c>
      <c r="N555" t="s">
        <v>2258</v>
      </c>
      <c r="O555" t="s">
        <v>61</v>
      </c>
      <c r="Q555">
        <v>675766438</v>
      </c>
      <c r="R555" t="s">
        <v>2259</v>
      </c>
      <c r="S555" t="s">
        <v>63</v>
      </c>
      <c r="T555" t="s">
        <v>64</v>
      </c>
      <c r="U555" t="s">
        <v>65</v>
      </c>
      <c r="W555" s="26">
        <v>45524</v>
      </c>
      <c r="X555" t="s">
        <v>61</v>
      </c>
      <c r="Y555" t="s">
        <v>237</v>
      </c>
    </row>
    <row r="556" spans="1:25" x14ac:dyDescent="0.25">
      <c r="A556" t="s">
        <v>2260</v>
      </c>
      <c r="B556">
        <v>11</v>
      </c>
      <c r="C556">
        <v>78</v>
      </c>
      <c r="D556">
        <v>9052</v>
      </c>
      <c r="E556" t="s">
        <v>337</v>
      </c>
      <c r="F556" t="s">
        <v>448</v>
      </c>
      <c r="G556" t="s">
        <v>2261</v>
      </c>
      <c r="H556" s="26">
        <v>14044</v>
      </c>
      <c r="I556" t="s">
        <v>58</v>
      </c>
      <c r="J556" t="s">
        <v>2262</v>
      </c>
      <c r="M556">
        <v>78000</v>
      </c>
      <c r="N556" t="s">
        <v>1334</v>
      </c>
      <c r="O556" t="s">
        <v>61</v>
      </c>
      <c r="P556">
        <v>139554809</v>
      </c>
      <c r="Q556">
        <v>611307142</v>
      </c>
      <c r="R556" t="s">
        <v>2263</v>
      </c>
      <c r="S556" t="s">
        <v>63</v>
      </c>
      <c r="T556" t="s">
        <v>64</v>
      </c>
      <c r="U556" t="s">
        <v>65</v>
      </c>
      <c r="W556" s="26">
        <v>45561</v>
      </c>
      <c r="X556" t="s">
        <v>61</v>
      </c>
      <c r="Y556" t="s">
        <v>237</v>
      </c>
    </row>
    <row r="557" spans="1:25" x14ac:dyDescent="0.25">
      <c r="A557" t="s">
        <v>2264</v>
      </c>
      <c r="B557">
        <v>11</v>
      </c>
      <c r="C557">
        <v>95</v>
      </c>
      <c r="D557">
        <v>9069</v>
      </c>
      <c r="E557" t="s">
        <v>129</v>
      </c>
      <c r="F557" t="s">
        <v>1618</v>
      </c>
      <c r="G557" t="s">
        <v>2265</v>
      </c>
      <c r="H557" s="26">
        <v>19692</v>
      </c>
      <c r="I557" t="s">
        <v>58</v>
      </c>
      <c r="J557" t="s">
        <v>2266</v>
      </c>
      <c r="M557">
        <v>95530</v>
      </c>
      <c r="N557" t="s">
        <v>2267</v>
      </c>
      <c r="O557" t="s">
        <v>61</v>
      </c>
      <c r="Q557">
        <v>616706741</v>
      </c>
      <c r="R557" t="s">
        <v>2268</v>
      </c>
      <c r="S557" t="s">
        <v>63</v>
      </c>
      <c r="T557" t="s">
        <v>64</v>
      </c>
      <c r="U557" t="s">
        <v>65</v>
      </c>
      <c r="W557" s="26">
        <v>45544</v>
      </c>
      <c r="X557" t="s">
        <v>61</v>
      </c>
      <c r="Y557" t="s">
        <v>237</v>
      </c>
    </row>
    <row r="558" spans="1:25" x14ac:dyDescent="0.25">
      <c r="A558" t="s">
        <v>2269</v>
      </c>
      <c r="B558">
        <v>11</v>
      </c>
      <c r="C558">
        <v>92</v>
      </c>
      <c r="D558">
        <v>9065</v>
      </c>
      <c r="E558" t="s">
        <v>426</v>
      </c>
      <c r="F558" t="s">
        <v>555</v>
      </c>
      <c r="G558" t="s">
        <v>2270</v>
      </c>
      <c r="H558" s="26">
        <v>25340</v>
      </c>
      <c r="I558" t="s">
        <v>58</v>
      </c>
      <c r="J558" t="s">
        <v>2271</v>
      </c>
      <c r="M558">
        <v>91160</v>
      </c>
      <c r="N558" t="s">
        <v>1509</v>
      </c>
      <c r="O558" t="s">
        <v>61</v>
      </c>
      <c r="Q558">
        <v>661795638</v>
      </c>
      <c r="R558" t="s">
        <v>2272</v>
      </c>
      <c r="S558" t="s">
        <v>63</v>
      </c>
      <c r="T558" t="s">
        <v>64</v>
      </c>
      <c r="U558" t="s">
        <v>8684</v>
      </c>
      <c r="W558" s="26">
        <v>45531</v>
      </c>
      <c r="X558" t="s">
        <v>61</v>
      </c>
      <c r="Y558" t="s">
        <v>237</v>
      </c>
    </row>
    <row r="559" spans="1:25" x14ac:dyDescent="0.25">
      <c r="A559" t="s">
        <v>10474</v>
      </c>
      <c r="B559">
        <v>11</v>
      </c>
      <c r="C559">
        <v>94</v>
      </c>
      <c r="D559">
        <v>9031</v>
      </c>
      <c r="E559" t="s">
        <v>7</v>
      </c>
      <c r="F559" t="s">
        <v>641</v>
      </c>
      <c r="G559" t="s">
        <v>10475</v>
      </c>
      <c r="H559" s="26">
        <v>19099</v>
      </c>
      <c r="I559" t="s">
        <v>58</v>
      </c>
      <c r="J559" t="s">
        <v>10476</v>
      </c>
      <c r="M559">
        <v>94600</v>
      </c>
      <c r="N559" t="s">
        <v>10477</v>
      </c>
      <c r="O559" t="s">
        <v>61</v>
      </c>
      <c r="Q559">
        <v>603404060</v>
      </c>
      <c r="R559" t="s">
        <v>10478</v>
      </c>
      <c r="S559" t="s">
        <v>63</v>
      </c>
      <c r="T559" t="s">
        <v>64</v>
      </c>
      <c r="U559" t="s">
        <v>65</v>
      </c>
      <c r="W559" s="26">
        <v>45573</v>
      </c>
      <c r="X559" t="s">
        <v>61</v>
      </c>
      <c r="Y559" t="s">
        <v>237</v>
      </c>
    </row>
    <row r="560" spans="1:25" x14ac:dyDescent="0.25">
      <c r="A560" t="s">
        <v>2273</v>
      </c>
      <c r="B560">
        <v>11</v>
      </c>
      <c r="C560">
        <v>77</v>
      </c>
      <c r="D560">
        <v>9028</v>
      </c>
      <c r="E560" t="s">
        <v>452</v>
      </c>
      <c r="F560" t="s">
        <v>887</v>
      </c>
      <c r="G560" t="s">
        <v>2274</v>
      </c>
      <c r="H560" s="26">
        <v>22075</v>
      </c>
      <c r="I560" t="s">
        <v>58</v>
      </c>
      <c r="J560" t="s">
        <v>2275</v>
      </c>
      <c r="M560">
        <v>78730</v>
      </c>
      <c r="N560" t="s">
        <v>2276</v>
      </c>
      <c r="O560" t="s">
        <v>61</v>
      </c>
      <c r="P560">
        <v>130412138</v>
      </c>
      <c r="Q560">
        <v>676021845</v>
      </c>
      <c r="R560" t="s">
        <v>2277</v>
      </c>
      <c r="S560" t="s">
        <v>63</v>
      </c>
      <c r="T560" t="s">
        <v>64</v>
      </c>
      <c r="U560" t="s">
        <v>65</v>
      </c>
      <c r="V560" t="s">
        <v>111</v>
      </c>
      <c r="W560" s="26">
        <v>45555</v>
      </c>
      <c r="X560" t="s">
        <v>61</v>
      </c>
      <c r="Y560" t="s">
        <v>237</v>
      </c>
    </row>
    <row r="561" spans="1:25" x14ac:dyDescent="0.25">
      <c r="A561" t="s">
        <v>10227</v>
      </c>
      <c r="B561">
        <v>11</v>
      </c>
      <c r="C561">
        <v>78</v>
      </c>
      <c r="D561">
        <v>9016</v>
      </c>
      <c r="E561" t="s">
        <v>362</v>
      </c>
      <c r="F561" t="s">
        <v>85</v>
      </c>
      <c r="G561" t="s">
        <v>10228</v>
      </c>
      <c r="H561" s="26">
        <v>22586</v>
      </c>
      <c r="I561" t="s">
        <v>58</v>
      </c>
      <c r="J561" t="s">
        <v>10229</v>
      </c>
      <c r="M561">
        <v>78930</v>
      </c>
      <c r="N561" t="s">
        <v>2278</v>
      </c>
      <c r="O561" t="s">
        <v>61</v>
      </c>
      <c r="R561" t="s">
        <v>10230</v>
      </c>
      <c r="S561" t="s">
        <v>63</v>
      </c>
      <c r="T561" t="s">
        <v>64</v>
      </c>
      <c r="U561" t="s">
        <v>65</v>
      </c>
      <c r="W561" s="26">
        <v>45572</v>
      </c>
      <c r="X561" t="s">
        <v>61</v>
      </c>
      <c r="Y561" t="s">
        <v>237</v>
      </c>
    </row>
    <row r="562" spans="1:25" x14ac:dyDescent="0.25">
      <c r="A562" t="s">
        <v>2279</v>
      </c>
      <c r="B562">
        <v>11</v>
      </c>
      <c r="C562">
        <v>91</v>
      </c>
      <c r="D562">
        <v>9082</v>
      </c>
      <c r="E562" t="s">
        <v>67</v>
      </c>
      <c r="F562" t="s">
        <v>85</v>
      </c>
      <c r="G562" t="s">
        <v>2280</v>
      </c>
      <c r="H562" s="26">
        <v>17902</v>
      </c>
      <c r="I562" t="s">
        <v>58</v>
      </c>
      <c r="J562" t="s">
        <v>2281</v>
      </c>
      <c r="M562">
        <v>91210</v>
      </c>
      <c r="N562" t="s">
        <v>226</v>
      </c>
      <c r="O562" t="s">
        <v>61</v>
      </c>
      <c r="P562">
        <v>169039489</v>
      </c>
      <c r="Q562">
        <v>682967177</v>
      </c>
      <c r="R562" t="s">
        <v>2282</v>
      </c>
      <c r="S562" t="s">
        <v>63</v>
      </c>
      <c r="T562" t="s">
        <v>64</v>
      </c>
      <c r="U562" t="s">
        <v>486</v>
      </c>
      <c r="W562" s="26">
        <v>45543</v>
      </c>
      <c r="X562" t="s">
        <v>61</v>
      </c>
      <c r="Y562" t="s">
        <v>237</v>
      </c>
    </row>
    <row r="563" spans="1:25" x14ac:dyDescent="0.25">
      <c r="A563" t="s">
        <v>2283</v>
      </c>
      <c r="B563">
        <v>11</v>
      </c>
      <c r="C563">
        <v>91</v>
      </c>
      <c r="D563">
        <v>9082</v>
      </c>
      <c r="E563" t="s">
        <v>67</v>
      </c>
      <c r="F563" t="s">
        <v>120</v>
      </c>
      <c r="G563" t="s">
        <v>2284</v>
      </c>
      <c r="H563" s="26">
        <v>18131</v>
      </c>
      <c r="I563" t="s">
        <v>58</v>
      </c>
      <c r="J563" t="s">
        <v>2285</v>
      </c>
      <c r="K563" t="s">
        <v>2286</v>
      </c>
      <c r="M563">
        <v>91210</v>
      </c>
      <c r="N563" t="s">
        <v>226</v>
      </c>
      <c r="O563" t="s">
        <v>61</v>
      </c>
      <c r="P563">
        <v>169211285</v>
      </c>
      <c r="Q563">
        <v>681159331</v>
      </c>
      <c r="R563" t="s">
        <v>2287</v>
      </c>
      <c r="S563" t="s">
        <v>63</v>
      </c>
      <c r="T563" t="s">
        <v>64</v>
      </c>
      <c r="U563" t="s">
        <v>65</v>
      </c>
      <c r="W563" s="26">
        <v>45555</v>
      </c>
      <c r="X563" t="s">
        <v>61</v>
      </c>
      <c r="Y563" t="s">
        <v>237</v>
      </c>
    </row>
    <row r="564" spans="1:25" x14ac:dyDescent="0.25">
      <c r="A564" t="s">
        <v>2288</v>
      </c>
      <c r="B564">
        <v>11</v>
      </c>
      <c r="C564">
        <v>94</v>
      </c>
      <c r="D564">
        <v>9031</v>
      </c>
      <c r="E564" t="s">
        <v>7</v>
      </c>
      <c r="F564" t="s">
        <v>480</v>
      </c>
      <c r="G564" t="s">
        <v>2289</v>
      </c>
      <c r="H564" s="26">
        <v>20222</v>
      </c>
      <c r="I564" t="s">
        <v>58</v>
      </c>
      <c r="J564" t="s">
        <v>2290</v>
      </c>
      <c r="M564">
        <v>94700</v>
      </c>
      <c r="N564" t="s">
        <v>163</v>
      </c>
      <c r="O564" t="s">
        <v>61</v>
      </c>
      <c r="Q564">
        <v>608566179</v>
      </c>
      <c r="R564" t="s">
        <v>8862</v>
      </c>
      <c r="S564" t="s">
        <v>63</v>
      </c>
      <c r="T564" t="s">
        <v>64</v>
      </c>
      <c r="U564" t="s">
        <v>65</v>
      </c>
      <c r="W564" s="26">
        <v>45553</v>
      </c>
      <c r="X564" t="s">
        <v>61</v>
      </c>
      <c r="Y564" t="s">
        <v>237</v>
      </c>
    </row>
    <row r="565" spans="1:25" x14ac:dyDescent="0.25">
      <c r="A565" t="s">
        <v>2291</v>
      </c>
      <c r="B565">
        <v>11</v>
      </c>
      <c r="C565">
        <v>95</v>
      </c>
      <c r="D565">
        <v>9010</v>
      </c>
      <c r="E565" t="s">
        <v>6</v>
      </c>
      <c r="F565" t="s">
        <v>289</v>
      </c>
      <c r="G565" t="s">
        <v>2292</v>
      </c>
      <c r="H565" s="26">
        <v>19549</v>
      </c>
      <c r="I565" t="s">
        <v>58</v>
      </c>
      <c r="J565" t="s">
        <v>2293</v>
      </c>
      <c r="M565">
        <v>95100</v>
      </c>
      <c r="N565" t="s">
        <v>311</v>
      </c>
      <c r="O565" t="s">
        <v>61</v>
      </c>
      <c r="R565" t="s">
        <v>2294</v>
      </c>
      <c r="S565" t="s">
        <v>237</v>
      </c>
      <c r="T565" t="s">
        <v>64</v>
      </c>
      <c r="U565" t="s">
        <v>65</v>
      </c>
      <c r="W565" s="26">
        <v>45524</v>
      </c>
      <c r="X565" t="s">
        <v>61</v>
      </c>
      <c r="Y565" t="s">
        <v>237</v>
      </c>
    </row>
    <row r="566" spans="1:25" x14ac:dyDescent="0.25">
      <c r="A566" t="s">
        <v>10479</v>
      </c>
      <c r="B566">
        <v>11</v>
      </c>
      <c r="C566">
        <v>94</v>
      </c>
      <c r="D566">
        <v>9031</v>
      </c>
      <c r="E566" t="s">
        <v>7</v>
      </c>
      <c r="F566" t="s">
        <v>204</v>
      </c>
      <c r="G566" t="s">
        <v>10480</v>
      </c>
      <c r="H566" s="26">
        <v>18122</v>
      </c>
      <c r="I566" t="s">
        <v>58</v>
      </c>
      <c r="J566" t="s">
        <v>10481</v>
      </c>
      <c r="M566">
        <v>94000</v>
      </c>
      <c r="N566" t="s">
        <v>277</v>
      </c>
      <c r="O566" t="s">
        <v>61</v>
      </c>
      <c r="Q566">
        <v>678295499</v>
      </c>
      <c r="R566" t="s">
        <v>10482</v>
      </c>
      <c r="S566" t="s">
        <v>63</v>
      </c>
      <c r="T566" t="s">
        <v>64</v>
      </c>
      <c r="U566" t="s">
        <v>65</v>
      </c>
      <c r="W566" s="26">
        <v>45573</v>
      </c>
      <c r="X566" t="s">
        <v>61</v>
      </c>
      <c r="Y566" t="s">
        <v>237</v>
      </c>
    </row>
    <row r="567" spans="1:25" x14ac:dyDescent="0.25">
      <c r="A567" t="s">
        <v>2295</v>
      </c>
      <c r="B567">
        <v>11</v>
      </c>
      <c r="C567">
        <v>77</v>
      </c>
      <c r="D567">
        <v>9040</v>
      </c>
      <c r="E567" t="s">
        <v>612</v>
      </c>
      <c r="F567" t="s">
        <v>103</v>
      </c>
      <c r="G567" t="s">
        <v>2296</v>
      </c>
      <c r="H567" s="26">
        <v>14361</v>
      </c>
      <c r="I567" t="s">
        <v>58</v>
      </c>
      <c r="J567" t="s">
        <v>2297</v>
      </c>
      <c r="M567">
        <v>77130</v>
      </c>
      <c r="N567" t="s">
        <v>2298</v>
      </c>
      <c r="O567" t="s">
        <v>61</v>
      </c>
      <c r="R567" t="s">
        <v>2299</v>
      </c>
      <c r="S567" t="s">
        <v>63</v>
      </c>
      <c r="T567" t="s">
        <v>64</v>
      </c>
      <c r="U567" t="s">
        <v>65</v>
      </c>
      <c r="W567" s="26">
        <v>45558</v>
      </c>
      <c r="X567" t="s">
        <v>61</v>
      </c>
      <c r="Y567" t="s">
        <v>237</v>
      </c>
    </row>
    <row r="568" spans="1:25" x14ac:dyDescent="0.25">
      <c r="A568" t="s">
        <v>2300</v>
      </c>
      <c r="B568">
        <v>11</v>
      </c>
      <c r="C568">
        <v>95</v>
      </c>
      <c r="D568">
        <v>9069</v>
      </c>
      <c r="E568" t="s">
        <v>129</v>
      </c>
      <c r="F568" t="s">
        <v>91</v>
      </c>
      <c r="G568" t="s">
        <v>2301</v>
      </c>
      <c r="H568" s="26">
        <v>16648</v>
      </c>
      <c r="I568" t="s">
        <v>58</v>
      </c>
      <c r="J568" t="s">
        <v>2302</v>
      </c>
      <c r="M568">
        <v>95120</v>
      </c>
      <c r="N568" t="s">
        <v>235</v>
      </c>
      <c r="O568" t="s">
        <v>61</v>
      </c>
      <c r="P568">
        <v>134157852</v>
      </c>
      <c r="Q568">
        <v>684190777</v>
      </c>
      <c r="R568" t="s">
        <v>2303</v>
      </c>
      <c r="S568" t="s">
        <v>63</v>
      </c>
      <c r="T568" t="s">
        <v>64</v>
      </c>
      <c r="U568" t="s">
        <v>65</v>
      </c>
      <c r="W568" s="26">
        <v>45551</v>
      </c>
      <c r="X568" t="s">
        <v>61</v>
      </c>
      <c r="Y568" t="s">
        <v>237</v>
      </c>
    </row>
    <row r="569" spans="1:25" x14ac:dyDescent="0.25">
      <c r="A569" t="s">
        <v>10483</v>
      </c>
      <c r="B569">
        <v>11</v>
      </c>
      <c r="C569">
        <v>95</v>
      </c>
      <c r="D569">
        <v>9069</v>
      </c>
      <c r="E569" t="s">
        <v>129</v>
      </c>
      <c r="F569" t="s">
        <v>137</v>
      </c>
      <c r="G569" t="s">
        <v>916</v>
      </c>
      <c r="H569" s="26">
        <v>16543</v>
      </c>
      <c r="I569" t="s">
        <v>58</v>
      </c>
      <c r="J569" t="s">
        <v>10484</v>
      </c>
      <c r="M569">
        <v>95330</v>
      </c>
      <c r="N569" t="s">
        <v>2304</v>
      </c>
      <c r="O569" t="s">
        <v>61</v>
      </c>
      <c r="P569">
        <v>139917814</v>
      </c>
      <c r="Q569">
        <v>695541787</v>
      </c>
      <c r="R569" t="s">
        <v>10485</v>
      </c>
      <c r="S569" t="s">
        <v>63</v>
      </c>
      <c r="T569" t="s">
        <v>64</v>
      </c>
      <c r="U569" t="s">
        <v>65</v>
      </c>
      <c r="W569" s="26">
        <v>45582</v>
      </c>
      <c r="X569" t="s">
        <v>61</v>
      </c>
      <c r="Y569" t="s">
        <v>237</v>
      </c>
    </row>
    <row r="570" spans="1:25" x14ac:dyDescent="0.25">
      <c r="A570" t="s">
        <v>2305</v>
      </c>
      <c r="B570">
        <v>11</v>
      </c>
      <c r="C570">
        <v>78</v>
      </c>
      <c r="D570">
        <v>9016</v>
      </c>
      <c r="E570" t="s">
        <v>362</v>
      </c>
      <c r="F570" t="s">
        <v>551</v>
      </c>
      <c r="G570" t="s">
        <v>2306</v>
      </c>
      <c r="H570" s="26">
        <v>21942</v>
      </c>
      <c r="I570" t="s">
        <v>58</v>
      </c>
      <c r="J570" t="s">
        <v>2307</v>
      </c>
      <c r="M570">
        <v>78520</v>
      </c>
      <c r="N570" t="s">
        <v>365</v>
      </c>
      <c r="O570" t="s">
        <v>61</v>
      </c>
      <c r="Q570">
        <v>663517499</v>
      </c>
      <c r="R570" t="s">
        <v>2308</v>
      </c>
      <c r="S570" t="s">
        <v>63</v>
      </c>
      <c r="T570" t="s">
        <v>64</v>
      </c>
      <c r="U570" t="s">
        <v>65</v>
      </c>
      <c r="W570" s="26">
        <v>45537</v>
      </c>
      <c r="X570" t="s">
        <v>61</v>
      </c>
      <c r="Y570" t="s">
        <v>237</v>
      </c>
    </row>
    <row r="571" spans="1:25" x14ac:dyDescent="0.25">
      <c r="A571" t="s">
        <v>2309</v>
      </c>
      <c r="B571">
        <v>11</v>
      </c>
      <c r="C571">
        <v>78</v>
      </c>
      <c r="D571">
        <v>9030</v>
      </c>
      <c r="E571" t="s">
        <v>96</v>
      </c>
      <c r="F571" t="s">
        <v>154</v>
      </c>
      <c r="G571" t="s">
        <v>2310</v>
      </c>
      <c r="H571" s="26">
        <v>15330</v>
      </c>
      <c r="I571" t="s">
        <v>58</v>
      </c>
      <c r="J571" t="s">
        <v>2311</v>
      </c>
      <c r="M571">
        <v>91190</v>
      </c>
      <c r="N571" t="s">
        <v>2312</v>
      </c>
      <c r="O571" t="s">
        <v>61</v>
      </c>
      <c r="P571">
        <v>164462776</v>
      </c>
      <c r="Q571">
        <v>670527166</v>
      </c>
      <c r="R571" t="s">
        <v>2313</v>
      </c>
      <c r="S571" t="s">
        <v>63</v>
      </c>
      <c r="T571" t="s">
        <v>64</v>
      </c>
      <c r="U571" t="s">
        <v>65</v>
      </c>
      <c r="W571" s="26">
        <v>45551</v>
      </c>
      <c r="X571" t="s">
        <v>61</v>
      </c>
      <c r="Y571" t="s">
        <v>237</v>
      </c>
    </row>
    <row r="572" spans="1:25" x14ac:dyDescent="0.25">
      <c r="A572" t="s">
        <v>2314</v>
      </c>
      <c r="B572">
        <v>11</v>
      </c>
      <c r="C572">
        <v>94</v>
      </c>
      <c r="D572">
        <v>9031</v>
      </c>
      <c r="E572" t="s">
        <v>7</v>
      </c>
      <c r="F572" t="s">
        <v>2315</v>
      </c>
      <c r="G572" t="s">
        <v>2316</v>
      </c>
      <c r="H572" s="26">
        <v>25822</v>
      </c>
      <c r="I572" t="s">
        <v>58</v>
      </c>
      <c r="J572" t="s">
        <v>8863</v>
      </c>
      <c r="M572">
        <v>94000</v>
      </c>
      <c r="N572" t="s">
        <v>277</v>
      </c>
      <c r="O572" t="s">
        <v>61</v>
      </c>
      <c r="Q572">
        <v>665037075</v>
      </c>
      <c r="R572" t="s">
        <v>2317</v>
      </c>
      <c r="S572" t="s">
        <v>63</v>
      </c>
      <c r="T572" t="s">
        <v>64</v>
      </c>
      <c r="U572" t="s">
        <v>65</v>
      </c>
      <c r="W572" s="26">
        <v>45558</v>
      </c>
      <c r="X572" t="s">
        <v>61</v>
      </c>
      <c r="Y572" t="s">
        <v>237</v>
      </c>
    </row>
    <row r="573" spans="1:25" x14ac:dyDescent="0.25">
      <c r="A573" t="s">
        <v>2318</v>
      </c>
      <c r="B573">
        <v>11</v>
      </c>
      <c r="C573">
        <v>75</v>
      </c>
      <c r="D573">
        <v>9070</v>
      </c>
      <c r="E573" t="s">
        <v>168</v>
      </c>
      <c r="F573" t="s">
        <v>448</v>
      </c>
      <c r="G573" t="s">
        <v>2319</v>
      </c>
      <c r="H573" s="26">
        <v>32009</v>
      </c>
      <c r="I573" t="s">
        <v>58</v>
      </c>
      <c r="J573" t="s">
        <v>2320</v>
      </c>
      <c r="M573">
        <v>17000</v>
      </c>
      <c r="N573" t="s">
        <v>2321</v>
      </c>
      <c r="O573" t="s">
        <v>61</v>
      </c>
      <c r="Q573">
        <v>662966138</v>
      </c>
      <c r="R573" t="s">
        <v>2322</v>
      </c>
      <c r="S573" t="s">
        <v>237</v>
      </c>
      <c r="T573" t="s">
        <v>64</v>
      </c>
      <c r="U573" t="s">
        <v>8684</v>
      </c>
      <c r="W573" s="26">
        <v>45561</v>
      </c>
      <c r="X573" t="s">
        <v>61</v>
      </c>
      <c r="Y573" t="s">
        <v>237</v>
      </c>
    </row>
    <row r="574" spans="1:25" x14ac:dyDescent="0.25">
      <c r="A574" t="s">
        <v>2323</v>
      </c>
      <c r="B574">
        <v>11</v>
      </c>
      <c r="C574">
        <v>91</v>
      </c>
      <c r="D574">
        <v>9064</v>
      </c>
      <c r="E574" t="s">
        <v>266</v>
      </c>
      <c r="F574" t="s">
        <v>1382</v>
      </c>
      <c r="G574" t="s">
        <v>1486</v>
      </c>
      <c r="H574" s="26">
        <v>17497</v>
      </c>
      <c r="I574" t="s">
        <v>58</v>
      </c>
      <c r="J574" t="s">
        <v>2324</v>
      </c>
      <c r="M574">
        <v>91400</v>
      </c>
      <c r="N574" t="s">
        <v>463</v>
      </c>
      <c r="O574" t="s">
        <v>61</v>
      </c>
      <c r="P574">
        <v>950772617</v>
      </c>
      <c r="Q574">
        <v>674109548</v>
      </c>
      <c r="R574" t="s">
        <v>2325</v>
      </c>
      <c r="S574" t="s">
        <v>63</v>
      </c>
      <c r="T574" t="s">
        <v>64</v>
      </c>
      <c r="U574" t="s">
        <v>65</v>
      </c>
      <c r="W574" s="26">
        <v>45559</v>
      </c>
      <c r="X574" t="s">
        <v>61</v>
      </c>
      <c r="Y574" t="s">
        <v>237</v>
      </c>
    </row>
    <row r="575" spans="1:25" x14ac:dyDescent="0.25">
      <c r="A575" t="s">
        <v>2326</v>
      </c>
      <c r="B575">
        <v>11</v>
      </c>
      <c r="C575">
        <v>95</v>
      </c>
      <c r="D575">
        <v>9069</v>
      </c>
      <c r="E575" t="s">
        <v>129</v>
      </c>
      <c r="F575" t="s">
        <v>106</v>
      </c>
      <c r="G575" t="s">
        <v>2327</v>
      </c>
      <c r="H575" s="26">
        <v>19438</v>
      </c>
      <c r="I575" t="s">
        <v>58</v>
      </c>
      <c r="J575" t="s">
        <v>2328</v>
      </c>
      <c r="M575">
        <v>78700</v>
      </c>
      <c r="N575" t="s">
        <v>273</v>
      </c>
      <c r="O575" t="s">
        <v>61</v>
      </c>
      <c r="R575" t="s">
        <v>2329</v>
      </c>
      <c r="S575" t="s">
        <v>63</v>
      </c>
      <c r="T575" t="s">
        <v>64</v>
      </c>
      <c r="U575" t="s">
        <v>65</v>
      </c>
      <c r="W575" s="26">
        <v>45545</v>
      </c>
      <c r="X575" t="s">
        <v>61</v>
      </c>
      <c r="Y575" t="s">
        <v>237</v>
      </c>
    </row>
    <row r="576" spans="1:25" x14ac:dyDescent="0.25">
      <c r="A576" t="s">
        <v>2330</v>
      </c>
      <c r="B576">
        <v>11</v>
      </c>
      <c r="C576">
        <v>91</v>
      </c>
      <c r="D576">
        <v>9082</v>
      </c>
      <c r="E576" t="s">
        <v>67</v>
      </c>
      <c r="F576" t="s">
        <v>555</v>
      </c>
      <c r="G576" t="s">
        <v>2331</v>
      </c>
      <c r="H576" s="26">
        <v>24429</v>
      </c>
      <c r="I576" t="s">
        <v>58</v>
      </c>
      <c r="J576" t="s">
        <v>2332</v>
      </c>
      <c r="M576">
        <v>91210</v>
      </c>
      <c r="N576" t="s">
        <v>226</v>
      </c>
      <c r="O576" t="s">
        <v>61</v>
      </c>
      <c r="Q576">
        <v>621764139</v>
      </c>
      <c r="R576" t="s">
        <v>2333</v>
      </c>
      <c r="S576" t="s">
        <v>63</v>
      </c>
      <c r="T576" t="s">
        <v>64</v>
      </c>
      <c r="U576" t="s">
        <v>486</v>
      </c>
      <c r="V576" t="s">
        <v>111</v>
      </c>
      <c r="W576" s="26">
        <v>45538</v>
      </c>
      <c r="X576" t="s">
        <v>61</v>
      </c>
      <c r="Y576" t="s">
        <v>237</v>
      </c>
    </row>
    <row r="577" spans="1:25" x14ac:dyDescent="0.25">
      <c r="A577" t="s">
        <v>2334</v>
      </c>
      <c r="B577">
        <v>11</v>
      </c>
      <c r="C577">
        <v>91</v>
      </c>
      <c r="D577">
        <v>9095</v>
      </c>
      <c r="E577" t="s">
        <v>113</v>
      </c>
      <c r="F577" t="s">
        <v>13</v>
      </c>
      <c r="G577" t="s">
        <v>800</v>
      </c>
      <c r="H577" s="26">
        <v>18583</v>
      </c>
      <c r="I577" t="s">
        <v>58</v>
      </c>
      <c r="J577" t="s">
        <v>2335</v>
      </c>
      <c r="K577" t="s">
        <v>2336</v>
      </c>
      <c r="M577">
        <v>91650</v>
      </c>
      <c r="N577" t="s">
        <v>986</v>
      </c>
      <c r="O577" t="s">
        <v>61</v>
      </c>
      <c r="Q577">
        <v>638596353</v>
      </c>
      <c r="R577" t="s">
        <v>2337</v>
      </c>
      <c r="S577" t="s">
        <v>63</v>
      </c>
      <c r="T577" t="s">
        <v>64</v>
      </c>
      <c r="U577" t="s">
        <v>65</v>
      </c>
      <c r="W577" s="26">
        <v>45544</v>
      </c>
      <c r="X577" t="s">
        <v>61</v>
      </c>
      <c r="Y577" t="s">
        <v>237</v>
      </c>
    </row>
    <row r="578" spans="1:25" x14ac:dyDescent="0.25">
      <c r="A578" t="s">
        <v>2338</v>
      </c>
      <c r="B578">
        <v>11</v>
      </c>
      <c r="C578">
        <v>91</v>
      </c>
      <c r="D578">
        <v>9009</v>
      </c>
      <c r="E578" t="s">
        <v>159</v>
      </c>
      <c r="F578" t="s">
        <v>2339</v>
      </c>
      <c r="G578" t="s">
        <v>2340</v>
      </c>
      <c r="H578" s="26">
        <v>21645</v>
      </c>
      <c r="I578" t="s">
        <v>16</v>
      </c>
      <c r="J578" t="s">
        <v>2341</v>
      </c>
      <c r="M578">
        <v>91290</v>
      </c>
      <c r="N578" t="s">
        <v>2342</v>
      </c>
      <c r="O578" t="s">
        <v>61</v>
      </c>
      <c r="Q578">
        <v>686060222</v>
      </c>
      <c r="R578" t="s">
        <v>2343</v>
      </c>
      <c r="S578" t="s">
        <v>63</v>
      </c>
      <c r="T578" t="s">
        <v>64</v>
      </c>
      <c r="U578" t="s">
        <v>65</v>
      </c>
      <c r="W578" s="26">
        <v>45539</v>
      </c>
      <c r="X578" t="s">
        <v>61</v>
      </c>
      <c r="Y578" t="s">
        <v>237</v>
      </c>
    </row>
    <row r="579" spans="1:25" x14ac:dyDescent="0.25">
      <c r="A579" t="s">
        <v>2344</v>
      </c>
      <c r="B579">
        <v>11</v>
      </c>
      <c r="C579">
        <v>78</v>
      </c>
      <c r="D579">
        <v>9016</v>
      </c>
      <c r="E579" t="s">
        <v>362</v>
      </c>
      <c r="F579" t="s">
        <v>267</v>
      </c>
      <c r="G579" t="s">
        <v>2345</v>
      </c>
      <c r="H579" s="26">
        <v>21647</v>
      </c>
      <c r="I579" t="s">
        <v>58</v>
      </c>
      <c r="J579" t="s">
        <v>2346</v>
      </c>
      <c r="M579">
        <v>78820</v>
      </c>
      <c r="N579" t="s">
        <v>2347</v>
      </c>
      <c r="O579" t="s">
        <v>61</v>
      </c>
      <c r="Q579">
        <v>769459968</v>
      </c>
      <c r="R579" t="s">
        <v>2348</v>
      </c>
      <c r="S579" t="s">
        <v>63</v>
      </c>
      <c r="T579" t="s">
        <v>64</v>
      </c>
      <c r="U579" t="s">
        <v>65</v>
      </c>
      <c r="W579" s="26">
        <v>45560</v>
      </c>
      <c r="X579" t="s">
        <v>61</v>
      </c>
      <c r="Y579" t="s">
        <v>237</v>
      </c>
    </row>
    <row r="580" spans="1:25" x14ac:dyDescent="0.25">
      <c r="A580" t="s">
        <v>2349</v>
      </c>
      <c r="B580">
        <v>11</v>
      </c>
      <c r="C580">
        <v>77</v>
      </c>
      <c r="D580">
        <v>9059</v>
      </c>
      <c r="E580" t="s">
        <v>197</v>
      </c>
      <c r="F580" t="s">
        <v>120</v>
      </c>
      <c r="G580" t="s">
        <v>1094</v>
      </c>
      <c r="H580" s="26">
        <v>15822</v>
      </c>
      <c r="I580" t="s">
        <v>58</v>
      </c>
      <c r="J580" t="s">
        <v>2350</v>
      </c>
      <c r="M580">
        <v>77610</v>
      </c>
      <c r="N580" t="s">
        <v>2351</v>
      </c>
      <c r="O580" t="s">
        <v>61</v>
      </c>
      <c r="P580">
        <v>164252783</v>
      </c>
      <c r="R580" t="s">
        <v>2352</v>
      </c>
      <c r="S580" t="s">
        <v>63</v>
      </c>
      <c r="T580" t="s">
        <v>64</v>
      </c>
      <c r="U580" t="s">
        <v>65</v>
      </c>
      <c r="W580" s="26">
        <v>45554</v>
      </c>
      <c r="X580" t="s">
        <v>61</v>
      </c>
      <c r="Y580" t="s">
        <v>237</v>
      </c>
    </row>
    <row r="581" spans="1:25" x14ac:dyDescent="0.25">
      <c r="A581" t="s">
        <v>2353</v>
      </c>
      <c r="B581">
        <v>11</v>
      </c>
      <c r="C581">
        <v>95</v>
      </c>
      <c r="D581">
        <v>9010</v>
      </c>
      <c r="E581" t="s">
        <v>6</v>
      </c>
      <c r="F581" t="s">
        <v>100</v>
      </c>
      <c r="G581" t="s">
        <v>2069</v>
      </c>
      <c r="H581" s="26">
        <v>21303</v>
      </c>
      <c r="I581" t="s">
        <v>58</v>
      </c>
      <c r="J581" t="s">
        <v>2354</v>
      </c>
      <c r="M581">
        <v>95100</v>
      </c>
      <c r="N581" t="s">
        <v>311</v>
      </c>
      <c r="O581" t="s">
        <v>61</v>
      </c>
      <c r="R581" t="s">
        <v>2355</v>
      </c>
      <c r="S581" t="s">
        <v>63</v>
      </c>
      <c r="T581" t="s">
        <v>64</v>
      </c>
      <c r="U581" t="s">
        <v>65</v>
      </c>
      <c r="V581" t="s">
        <v>111</v>
      </c>
      <c r="W581" s="26">
        <v>45555</v>
      </c>
      <c r="X581" t="s">
        <v>61</v>
      </c>
      <c r="Y581" t="s">
        <v>237</v>
      </c>
    </row>
    <row r="582" spans="1:25" x14ac:dyDescent="0.25">
      <c r="A582" t="s">
        <v>2356</v>
      </c>
      <c r="B582">
        <v>11</v>
      </c>
      <c r="C582">
        <v>91</v>
      </c>
      <c r="D582">
        <v>9082</v>
      </c>
      <c r="E582" t="s">
        <v>67</v>
      </c>
      <c r="F582" t="s">
        <v>551</v>
      </c>
      <c r="G582" t="s">
        <v>2357</v>
      </c>
      <c r="H582" s="26">
        <v>17961</v>
      </c>
      <c r="I582" t="s">
        <v>58</v>
      </c>
      <c r="J582" t="s">
        <v>2358</v>
      </c>
      <c r="M582">
        <v>91210</v>
      </c>
      <c r="N582" t="s">
        <v>226</v>
      </c>
      <c r="O582" t="s">
        <v>61</v>
      </c>
      <c r="Q582">
        <v>680213123</v>
      </c>
      <c r="R582" t="s">
        <v>2359</v>
      </c>
      <c r="S582" t="s">
        <v>63</v>
      </c>
      <c r="T582" t="s">
        <v>64</v>
      </c>
      <c r="U582" t="s">
        <v>65</v>
      </c>
      <c r="W582" s="26">
        <v>45566</v>
      </c>
      <c r="X582" t="s">
        <v>61</v>
      </c>
      <c r="Y582" t="s">
        <v>237</v>
      </c>
    </row>
    <row r="583" spans="1:25" x14ac:dyDescent="0.25">
      <c r="A583" t="s">
        <v>2360</v>
      </c>
      <c r="B583">
        <v>11</v>
      </c>
      <c r="C583">
        <v>78</v>
      </c>
      <c r="D583">
        <v>9052</v>
      </c>
      <c r="E583" t="s">
        <v>337</v>
      </c>
      <c r="F583" t="s">
        <v>440</v>
      </c>
      <c r="G583" t="s">
        <v>2361</v>
      </c>
      <c r="H583" s="26">
        <v>17856</v>
      </c>
      <c r="I583" t="s">
        <v>58</v>
      </c>
      <c r="J583" t="s">
        <v>2362</v>
      </c>
      <c r="M583">
        <v>78370</v>
      </c>
      <c r="N583" t="s">
        <v>338</v>
      </c>
      <c r="O583" t="s">
        <v>61</v>
      </c>
      <c r="P583">
        <v>130559798</v>
      </c>
      <c r="Q583">
        <v>668963753</v>
      </c>
      <c r="R583" t="s">
        <v>5227</v>
      </c>
      <c r="S583" t="s">
        <v>63</v>
      </c>
      <c r="T583" t="s">
        <v>64</v>
      </c>
      <c r="U583" t="s">
        <v>65</v>
      </c>
      <c r="V583" t="s">
        <v>111</v>
      </c>
      <c r="W583" s="26">
        <v>45539</v>
      </c>
      <c r="X583" t="s">
        <v>61</v>
      </c>
      <c r="Y583" t="s">
        <v>237</v>
      </c>
    </row>
    <row r="584" spans="1:25" x14ac:dyDescent="0.25">
      <c r="A584" t="s">
        <v>2363</v>
      </c>
      <c r="B584">
        <v>11</v>
      </c>
      <c r="C584">
        <v>78</v>
      </c>
      <c r="D584">
        <v>9052</v>
      </c>
      <c r="E584" t="s">
        <v>337</v>
      </c>
      <c r="F584" t="s">
        <v>13</v>
      </c>
      <c r="G584" t="s">
        <v>2364</v>
      </c>
      <c r="H584" s="26">
        <v>19419</v>
      </c>
      <c r="I584" t="s">
        <v>58</v>
      </c>
      <c r="J584" t="s">
        <v>2365</v>
      </c>
      <c r="M584">
        <v>78370</v>
      </c>
      <c r="N584" t="s">
        <v>338</v>
      </c>
      <c r="O584" t="s">
        <v>61</v>
      </c>
      <c r="P584">
        <v>130547676</v>
      </c>
      <c r="Q584">
        <v>685494871</v>
      </c>
      <c r="R584" t="s">
        <v>2366</v>
      </c>
      <c r="S584" t="s">
        <v>63</v>
      </c>
      <c r="T584" t="s">
        <v>64</v>
      </c>
      <c r="U584" t="s">
        <v>65</v>
      </c>
      <c r="W584" s="26">
        <v>45544</v>
      </c>
      <c r="X584" t="s">
        <v>61</v>
      </c>
      <c r="Y584" t="s">
        <v>237</v>
      </c>
    </row>
    <row r="585" spans="1:25" x14ac:dyDescent="0.25">
      <c r="A585" t="s">
        <v>10091</v>
      </c>
      <c r="B585">
        <v>11</v>
      </c>
      <c r="C585">
        <v>95</v>
      </c>
      <c r="D585">
        <v>9033</v>
      </c>
      <c r="E585" t="s">
        <v>500</v>
      </c>
      <c r="F585" t="s">
        <v>10093</v>
      </c>
      <c r="G585" t="s">
        <v>10092</v>
      </c>
      <c r="H585" s="26">
        <v>28009</v>
      </c>
      <c r="I585" t="s">
        <v>58</v>
      </c>
      <c r="J585" t="s">
        <v>10231</v>
      </c>
      <c r="M585">
        <v>95720</v>
      </c>
      <c r="N585" t="s">
        <v>10094</v>
      </c>
      <c r="O585" t="s">
        <v>61</v>
      </c>
      <c r="Q585">
        <v>611122699</v>
      </c>
      <c r="R585" t="s">
        <v>10095</v>
      </c>
      <c r="S585" t="s">
        <v>63</v>
      </c>
      <c r="T585" t="s">
        <v>64</v>
      </c>
      <c r="U585" t="s">
        <v>65</v>
      </c>
      <c r="W585" s="26">
        <v>45571</v>
      </c>
      <c r="X585" t="s">
        <v>61</v>
      </c>
      <c r="Y585" t="s">
        <v>237</v>
      </c>
    </row>
    <row r="586" spans="1:25" x14ac:dyDescent="0.25">
      <c r="A586" t="s">
        <v>10486</v>
      </c>
      <c r="B586">
        <v>11</v>
      </c>
      <c r="C586">
        <v>95</v>
      </c>
      <c r="D586">
        <v>9033</v>
      </c>
      <c r="E586" t="s">
        <v>500</v>
      </c>
      <c r="F586" t="s">
        <v>10487</v>
      </c>
      <c r="G586" t="s">
        <v>10488</v>
      </c>
      <c r="H586" s="26">
        <v>27277</v>
      </c>
      <c r="I586" t="s">
        <v>58</v>
      </c>
      <c r="J586" t="s">
        <v>10489</v>
      </c>
      <c r="M586">
        <v>95140</v>
      </c>
      <c r="N586" t="s">
        <v>501</v>
      </c>
      <c r="O586" t="s">
        <v>61</v>
      </c>
      <c r="Q586">
        <v>634173111</v>
      </c>
      <c r="R586" t="s">
        <v>10490</v>
      </c>
      <c r="S586" t="s">
        <v>63</v>
      </c>
      <c r="T586" t="s">
        <v>64</v>
      </c>
      <c r="U586" t="s">
        <v>65</v>
      </c>
      <c r="W586" s="26">
        <v>45580</v>
      </c>
      <c r="X586" t="s">
        <v>61</v>
      </c>
      <c r="Y586" t="s">
        <v>237</v>
      </c>
    </row>
    <row r="587" spans="1:25" x14ac:dyDescent="0.25">
      <c r="A587" t="s">
        <v>10166</v>
      </c>
      <c r="B587">
        <v>11</v>
      </c>
      <c r="C587">
        <v>93</v>
      </c>
      <c r="D587">
        <v>9122</v>
      </c>
      <c r="E587" t="s">
        <v>1030</v>
      </c>
      <c r="F587" t="s">
        <v>734</v>
      </c>
      <c r="G587" t="s">
        <v>10167</v>
      </c>
      <c r="H587" s="26">
        <v>31223</v>
      </c>
      <c r="I587" t="s">
        <v>58</v>
      </c>
      <c r="J587" t="s">
        <v>10168</v>
      </c>
      <c r="M587">
        <v>77181</v>
      </c>
      <c r="N587" t="s">
        <v>10169</v>
      </c>
      <c r="O587" t="s">
        <v>61</v>
      </c>
      <c r="Q587">
        <v>646427966</v>
      </c>
      <c r="R587" t="s">
        <v>10170</v>
      </c>
      <c r="S587" t="s">
        <v>63</v>
      </c>
      <c r="T587" t="s">
        <v>64</v>
      </c>
      <c r="U587" t="s">
        <v>8684</v>
      </c>
      <c r="W587" s="26">
        <v>45571</v>
      </c>
      <c r="X587" t="s">
        <v>61</v>
      </c>
      <c r="Y587" t="s">
        <v>237</v>
      </c>
    </row>
    <row r="588" spans="1:25" x14ac:dyDescent="0.25">
      <c r="A588" t="s">
        <v>2367</v>
      </c>
      <c r="B588">
        <v>11</v>
      </c>
      <c r="C588">
        <v>78</v>
      </c>
      <c r="D588">
        <v>9038</v>
      </c>
      <c r="E588" t="s">
        <v>484</v>
      </c>
      <c r="F588" t="s">
        <v>137</v>
      </c>
      <c r="G588" t="s">
        <v>2368</v>
      </c>
      <c r="H588" s="26">
        <v>19744</v>
      </c>
      <c r="I588" t="s">
        <v>58</v>
      </c>
      <c r="J588" t="s">
        <v>2369</v>
      </c>
      <c r="M588">
        <v>78700</v>
      </c>
      <c r="N588" t="s">
        <v>273</v>
      </c>
      <c r="O588" t="s">
        <v>61</v>
      </c>
      <c r="P588">
        <v>139192283</v>
      </c>
      <c r="Q588">
        <v>683451529</v>
      </c>
      <c r="R588" t="s">
        <v>2370</v>
      </c>
      <c r="S588" t="s">
        <v>63</v>
      </c>
      <c r="T588" t="s">
        <v>64</v>
      </c>
      <c r="U588" t="s">
        <v>65</v>
      </c>
      <c r="W588" s="26">
        <v>45558</v>
      </c>
      <c r="X588" t="s">
        <v>61</v>
      </c>
      <c r="Y588" t="s">
        <v>237</v>
      </c>
    </row>
    <row r="589" spans="1:25" x14ac:dyDescent="0.25">
      <c r="A589" t="s">
        <v>2371</v>
      </c>
      <c r="B589">
        <v>11</v>
      </c>
      <c r="C589">
        <v>93</v>
      </c>
      <c r="D589">
        <v>9122</v>
      </c>
      <c r="E589" t="s">
        <v>1030</v>
      </c>
      <c r="F589" t="s">
        <v>2372</v>
      </c>
      <c r="G589" t="s">
        <v>2373</v>
      </c>
      <c r="H589" s="26">
        <v>29826</v>
      </c>
      <c r="I589" t="s">
        <v>58</v>
      </c>
      <c r="J589" t="s">
        <v>2374</v>
      </c>
      <c r="M589">
        <v>93330</v>
      </c>
      <c r="N589" t="s">
        <v>2375</v>
      </c>
      <c r="O589" t="s">
        <v>61</v>
      </c>
      <c r="Q589">
        <v>659312193</v>
      </c>
      <c r="R589" t="s">
        <v>2376</v>
      </c>
      <c r="S589" t="s">
        <v>63</v>
      </c>
      <c r="T589" t="s">
        <v>64</v>
      </c>
      <c r="U589" t="s">
        <v>8684</v>
      </c>
      <c r="W589" s="26">
        <v>45530</v>
      </c>
      <c r="X589" t="s">
        <v>61</v>
      </c>
      <c r="Y589" t="s">
        <v>237</v>
      </c>
    </row>
    <row r="590" spans="1:25" x14ac:dyDescent="0.25">
      <c r="A590" t="s">
        <v>2377</v>
      </c>
      <c r="B590">
        <v>11</v>
      </c>
      <c r="C590">
        <v>93</v>
      </c>
      <c r="D590">
        <v>9122</v>
      </c>
      <c r="E590" t="s">
        <v>1030</v>
      </c>
      <c r="F590" t="s">
        <v>12</v>
      </c>
      <c r="G590" t="s">
        <v>2378</v>
      </c>
      <c r="H590" s="26">
        <v>26079</v>
      </c>
      <c r="I590" t="s">
        <v>58</v>
      </c>
      <c r="J590" t="s">
        <v>2379</v>
      </c>
      <c r="M590">
        <v>92120</v>
      </c>
      <c r="N590" t="s">
        <v>246</v>
      </c>
      <c r="O590" t="s">
        <v>61</v>
      </c>
      <c r="Q590">
        <v>685103112</v>
      </c>
      <c r="R590" t="s">
        <v>2380</v>
      </c>
      <c r="S590" t="s">
        <v>63</v>
      </c>
      <c r="T590" t="s">
        <v>64</v>
      </c>
      <c r="U590" t="s">
        <v>8684</v>
      </c>
      <c r="W590" s="26">
        <v>45530</v>
      </c>
      <c r="X590" t="s">
        <v>61</v>
      </c>
      <c r="Y590" t="s">
        <v>237</v>
      </c>
    </row>
    <row r="591" spans="1:25" x14ac:dyDescent="0.25">
      <c r="A591" t="s">
        <v>2381</v>
      </c>
      <c r="B591">
        <v>11</v>
      </c>
      <c r="C591">
        <v>75</v>
      </c>
      <c r="D591">
        <v>9070</v>
      </c>
      <c r="E591" t="s">
        <v>168</v>
      </c>
      <c r="F591" t="s">
        <v>1178</v>
      </c>
      <c r="G591" t="s">
        <v>2382</v>
      </c>
      <c r="H591" s="26">
        <v>30633</v>
      </c>
      <c r="I591" t="s">
        <v>58</v>
      </c>
      <c r="J591" t="s">
        <v>2383</v>
      </c>
      <c r="M591">
        <v>75011</v>
      </c>
      <c r="N591" t="s">
        <v>330</v>
      </c>
      <c r="O591" t="s">
        <v>61</v>
      </c>
      <c r="Q591">
        <v>662187676</v>
      </c>
      <c r="R591" t="s">
        <v>2384</v>
      </c>
      <c r="S591" t="s">
        <v>237</v>
      </c>
      <c r="T591" t="s">
        <v>64</v>
      </c>
      <c r="U591" t="s">
        <v>8684</v>
      </c>
      <c r="W591" s="26">
        <v>45546</v>
      </c>
      <c r="X591" t="s">
        <v>61</v>
      </c>
      <c r="Y591" t="s">
        <v>237</v>
      </c>
    </row>
    <row r="592" spans="1:25" x14ac:dyDescent="0.25">
      <c r="A592" t="s">
        <v>2385</v>
      </c>
      <c r="B592">
        <v>11</v>
      </c>
      <c r="C592">
        <v>78</v>
      </c>
      <c r="D592">
        <v>9056</v>
      </c>
      <c r="E592" t="s">
        <v>214</v>
      </c>
      <c r="F592" t="s">
        <v>267</v>
      </c>
      <c r="G592" t="s">
        <v>2386</v>
      </c>
      <c r="H592" s="26">
        <v>16891</v>
      </c>
      <c r="I592" t="s">
        <v>58</v>
      </c>
      <c r="J592" t="s">
        <v>2387</v>
      </c>
      <c r="M592">
        <v>78150</v>
      </c>
      <c r="N592" t="s">
        <v>1846</v>
      </c>
      <c r="O592" t="s">
        <v>61</v>
      </c>
      <c r="Q592">
        <v>633973050</v>
      </c>
      <c r="R592" t="s">
        <v>2388</v>
      </c>
      <c r="S592" t="s">
        <v>63</v>
      </c>
      <c r="T592" t="s">
        <v>64</v>
      </c>
      <c r="U592" t="s">
        <v>65</v>
      </c>
      <c r="W592" s="26">
        <v>45527</v>
      </c>
      <c r="X592" t="s">
        <v>61</v>
      </c>
      <c r="Y592" t="s">
        <v>237</v>
      </c>
    </row>
    <row r="593" spans="1:25" x14ac:dyDescent="0.25">
      <c r="A593" t="s">
        <v>11203</v>
      </c>
      <c r="B593">
        <v>11</v>
      </c>
      <c r="C593">
        <v>92</v>
      </c>
      <c r="D593">
        <v>9017</v>
      </c>
      <c r="E593" t="s">
        <v>211</v>
      </c>
      <c r="F593" t="s">
        <v>555</v>
      </c>
      <c r="G593" t="s">
        <v>2389</v>
      </c>
      <c r="H593" s="26">
        <v>21465</v>
      </c>
      <c r="I593" t="s">
        <v>58</v>
      </c>
      <c r="J593" t="s">
        <v>11204</v>
      </c>
      <c r="M593">
        <v>78100</v>
      </c>
      <c r="N593" t="s">
        <v>2390</v>
      </c>
      <c r="O593" t="s">
        <v>61</v>
      </c>
      <c r="S593" t="s">
        <v>63</v>
      </c>
      <c r="T593" t="s">
        <v>64</v>
      </c>
      <c r="U593" t="s">
        <v>65</v>
      </c>
      <c r="W593" s="26">
        <v>45585</v>
      </c>
      <c r="X593" t="s">
        <v>61</v>
      </c>
      <c r="Y593" t="s">
        <v>237</v>
      </c>
    </row>
    <row r="594" spans="1:25" x14ac:dyDescent="0.25">
      <c r="A594" t="s">
        <v>2392</v>
      </c>
      <c r="B594">
        <v>11</v>
      </c>
      <c r="C594">
        <v>77</v>
      </c>
      <c r="D594">
        <v>9077</v>
      </c>
      <c r="E594" t="s">
        <v>90</v>
      </c>
      <c r="F594" t="s">
        <v>305</v>
      </c>
      <c r="G594" t="s">
        <v>2393</v>
      </c>
      <c r="H594" s="26">
        <v>20938</v>
      </c>
      <c r="I594" t="s">
        <v>58</v>
      </c>
      <c r="J594" t="s">
        <v>2394</v>
      </c>
      <c r="M594">
        <v>77120</v>
      </c>
      <c r="N594" t="s">
        <v>2395</v>
      </c>
      <c r="O594" t="s">
        <v>61</v>
      </c>
      <c r="Q594">
        <v>767179912</v>
      </c>
      <c r="R594" t="s">
        <v>8864</v>
      </c>
      <c r="S594" t="s">
        <v>63</v>
      </c>
      <c r="T594" t="s">
        <v>64</v>
      </c>
      <c r="U594" t="s">
        <v>65</v>
      </c>
      <c r="W594" s="26">
        <v>45566</v>
      </c>
      <c r="X594" t="s">
        <v>61</v>
      </c>
      <c r="Y594" t="s">
        <v>237</v>
      </c>
    </row>
    <row r="595" spans="1:25" x14ac:dyDescent="0.25">
      <c r="A595" t="s">
        <v>2396</v>
      </c>
      <c r="B595">
        <v>11</v>
      </c>
      <c r="C595">
        <v>77</v>
      </c>
      <c r="D595">
        <v>9021</v>
      </c>
      <c r="E595" t="s">
        <v>229</v>
      </c>
      <c r="F595" t="s">
        <v>212</v>
      </c>
      <c r="G595" t="s">
        <v>2397</v>
      </c>
      <c r="H595" s="26">
        <v>15968</v>
      </c>
      <c r="I595" t="s">
        <v>58</v>
      </c>
      <c r="J595" t="s">
        <v>2398</v>
      </c>
      <c r="M595">
        <v>77210</v>
      </c>
      <c r="N595" t="s">
        <v>391</v>
      </c>
      <c r="O595" t="s">
        <v>61</v>
      </c>
      <c r="S595" t="s">
        <v>63</v>
      </c>
      <c r="T595" t="s">
        <v>64</v>
      </c>
      <c r="U595" t="s">
        <v>65</v>
      </c>
      <c r="W595" s="26">
        <v>45566</v>
      </c>
      <c r="X595" t="s">
        <v>61</v>
      </c>
      <c r="Y595" t="s">
        <v>237</v>
      </c>
    </row>
    <row r="596" spans="1:25" x14ac:dyDescent="0.25">
      <c r="A596" t="s">
        <v>2399</v>
      </c>
      <c r="B596">
        <v>11</v>
      </c>
      <c r="C596">
        <v>78</v>
      </c>
      <c r="D596">
        <v>9052</v>
      </c>
      <c r="E596" t="s">
        <v>337</v>
      </c>
      <c r="F596" t="s">
        <v>289</v>
      </c>
      <c r="G596" t="s">
        <v>2400</v>
      </c>
      <c r="H596" s="26">
        <v>17226</v>
      </c>
      <c r="I596" t="s">
        <v>58</v>
      </c>
      <c r="J596" t="s">
        <v>2401</v>
      </c>
      <c r="M596">
        <v>78121</v>
      </c>
      <c r="N596" t="s">
        <v>2402</v>
      </c>
      <c r="O596" t="s">
        <v>61</v>
      </c>
      <c r="P596">
        <v>130545603</v>
      </c>
      <c r="R596" t="s">
        <v>2403</v>
      </c>
      <c r="S596" t="s">
        <v>63</v>
      </c>
      <c r="T596" t="s">
        <v>64</v>
      </c>
      <c r="U596" t="s">
        <v>65</v>
      </c>
      <c r="W596" s="26">
        <v>45542</v>
      </c>
      <c r="X596" t="s">
        <v>61</v>
      </c>
      <c r="Y596" t="s">
        <v>237</v>
      </c>
    </row>
    <row r="597" spans="1:25" x14ac:dyDescent="0.25">
      <c r="A597" t="s">
        <v>2404</v>
      </c>
      <c r="B597">
        <v>11</v>
      </c>
      <c r="C597">
        <v>92</v>
      </c>
      <c r="D597">
        <v>9007</v>
      </c>
      <c r="E597" t="s">
        <v>121</v>
      </c>
      <c r="F597" t="s">
        <v>272</v>
      </c>
      <c r="G597" t="s">
        <v>2405</v>
      </c>
      <c r="H597" s="26">
        <v>14389</v>
      </c>
      <c r="I597" t="s">
        <v>58</v>
      </c>
      <c r="J597" t="s">
        <v>2406</v>
      </c>
      <c r="M597">
        <v>92270</v>
      </c>
      <c r="N597" t="s">
        <v>796</v>
      </c>
      <c r="O597" t="s">
        <v>61</v>
      </c>
      <c r="P597">
        <v>147818453</v>
      </c>
      <c r="R597" t="s">
        <v>2407</v>
      </c>
      <c r="S597" t="s">
        <v>63</v>
      </c>
      <c r="T597" t="s">
        <v>64</v>
      </c>
      <c r="U597" t="s">
        <v>65</v>
      </c>
      <c r="W597" s="26">
        <v>45546</v>
      </c>
      <c r="X597" t="s">
        <v>61</v>
      </c>
      <c r="Y597" t="s">
        <v>237</v>
      </c>
    </row>
    <row r="598" spans="1:25" x14ac:dyDescent="0.25">
      <c r="A598" t="s">
        <v>2408</v>
      </c>
      <c r="B598">
        <v>11</v>
      </c>
      <c r="C598">
        <v>92</v>
      </c>
      <c r="D598">
        <v>9017</v>
      </c>
      <c r="E598" t="s">
        <v>211</v>
      </c>
      <c r="F598" t="s">
        <v>2409</v>
      </c>
      <c r="G598" t="s">
        <v>2410</v>
      </c>
      <c r="H598" s="26">
        <v>35111</v>
      </c>
      <c r="I598" t="s">
        <v>58</v>
      </c>
      <c r="J598" t="s">
        <v>2411</v>
      </c>
      <c r="M598">
        <v>91600</v>
      </c>
      <c r="N598" t="s">
        <v>1680</v>
      </c>
      <c r="O598" t="s">
        <v>61</v>
      </c>
      <c r="Q598">
        <v>648845311</v>
      </c>
      <c r="R598" t="s">
        <v>2412</v>
      </c>
      <c r="S598" t="s">
        <v>63</v>
      </c>
      <c r="T598" t="s">
        <v>64</v>
      </c>
      <c r="U598" t="s">
        <v>65</v>
      </c>
      <c r="W598" s="26">
        <v>45537</v>
      </c>
      <c r="X598" t="s">
        <v>61</v>
      </c>
      <c r="Y598" t="s">
        <v>237</v>
      </c>
    </row>
    <row r="599" spans="1:25" x14ac:dyDescent="0.25">
      <c r="A599" t="s">
        <v>2413</v>
      </c>
      <c r="B599">
        <v>11</v>
      </c>
      <c r="C599">
        <v>94</v>
      </c>
      <c r="D599">
        <v>9031</v>
      </c>
      <c r="E599" t="s">
        <v>7</v>
      </c>
      <c r="F599" t="s">
        <v>183</v>
      </c>
      <c r="G599" t="s">
        <v>2414</v>
      </c>
      <c r="H599" s="26">
        <v>19794</v>
      </c>
      <c r="I599" t="s">
        <v>58</v>
      </c>
      <c r="J599" t="s">
        <v>2415</v>
      </c>
      <c r="M599">
        <v>94700</v>
      </c>
      <c r="N599" t="s">
        <v>163</v>
      </c>
      <c r="O599" t="s">
        <v>61</v>
      </c>
      <c r="R599" t="s">
        <v>2416</v>
      </c>
      <c r="S599" t="s">
        <v>63</v>
      </c>
      <c r="T599" t="s">
        <v>64</v>
      </c>
      <c r="U599" t="s">
        <v>65</v>
      </c>
      <c r="W599" s="26">
        <v>45525</v>
      </c>
      <c r="X599" t="s">
        <v>61</v>
      </c>
      <c r="Y599" t="s">
        <v>237</v>
      </c>
    </row>
    <row r="600" spans="1:25" x14ac:dyDescent="0.25">
      <c r="A600" t="s">
        <v>8865</v>
      </c>
      <c r="B600">
        <v>11</v>
      </c>
      <c r="C600">
        <v>75</v>
      </c>
      <c r="D600">
        <v>9070</v>
      </c>
      <c r="E600" t="s">
        <v>168</v>
      </c>
      <c r="F600" t="s">
        <v>8866</v>
      </c>
      <c r="G600" t="s">
        <v>8867</v>
      </c>
      <c r="H600" s="26">
        <v>32271</v>
      </c>
      <c r="I600" t="s">
        <v>58</v>
      </c>
      <c r="J600" t="s">
        <v>8868</v>
      </c>
      <c r="M600">
        <v>93200</v>
      </c>
      <c r="N600" t="s">
        <v>194</v>
      </c>
      <c r="O600" t="s">
        <v>61</v>
      </c>
      <c r="Q600">
        <v>785722658</v>
      </c>
      <c r="R600" t="s">
        <v>8869</v>
      </c>
      <c r="S600" t="s">
        <v>237</v>
      </c>
      <c r="T600" t="s">
        <v>64</v>
      </c>
      <c r="U600" t="s">
        <v>8684</v>
      </c>
      <c r="W600" s="26">
        <v>45556</v>
      </c>
      <c r="X600" t="s">
        <v>3738</v>
      </c>
      <c r="Y600" t="s">
        <v>237</v>
      </c>
    </row>
    <row r="601" spans="1:25" x14ac:dyDescent="0.25">
      <c r="A601" t="s">
        <v>2417</v>
      </c>
      <c r="B601">
        <v>11</v>
      </c>
      <c r="C601">
        <v>95</v>
      </c>
      <c r="D601">
        <v>9010</v>
      </c>
      <c r="E601" t="s">
        <v>6</v>
      </c>
      <c r="F601" t="s">
        <v>2418</v>
      </c>
      <c r="G601" t="s">
        <v>2419</v>
      </c>
      <c r="H601" s="26">
        <v>30326</v>
      </c>
      <c r="I601" t="s">
        <v>58</v>
      </c>
      <c r="J601" t="s">
        <v>2420</v>
      </c>
      <c r="M601">
        <v>92000</v>
      </c>
      <c r="N601" t="s">
        <v>737</v>
      </c>
      <c r="O601" t="s">
        <v>61</v>
      </c>
      <c r="R601" t="s">
        <v>2421</v>
      </c>
      <c r="S601" t="s">
        <v>63</v>
      </c>
      <c r="T601" t="s">
        <v>64</v>
      </c>
      <c r="U601" t="s">
        <v>1636</v>
      </c>
      <c r="W601" s="26">
        <v>45524</v>
      </c>
      <c r="X601" t="s">
        <v>61</v>
      </c>
      <c r="Y601" t="s">
        <v>237</v>
      </c>
    </row>
    <row r="602" spans="1:25" x14ac:dyDescent="0.25">
      <c r="A602" t="s">
        <v>10491</v>
      </c>
      <c r="B602">
        <v>11</v>
      </c>
      <c r="C602">
        <v>78</v>
      </c>
      <c r="D602">
        <v>9056</v>
      </c>
      <c r="E602" t="s">
        <v>214</v>
      </c>
      <c r="F602" t="s">
        <v>457</v>
      </c>
      <c r="G602" t="s">
        <v>10492</v>
      </c>
      <c r="H602" s="26">
        <v>20135</v>
      </c>
      <c r="I602" t="s">
        <v>58</v>
      </c>
      <c r="J602" t="s">
        <v>10493</v>
      </c>
      <c r="M602">
        <v>78110</v>
      </c>
      <c r="N602" t="s">
        <v>2422</v>
      </c>
      <c r="O602" t="s">
        <v>61</v>
      </c>
      <c r="Q602">
        <v>684204040</v>
      </c>
      <c r="S602" t="s">
        <v>63</v>
      </c>
      <c r="T602" t="s">
        <v>64</v>
      </c>
      <c r="U602" t="s">
        <v>65</v>
      </c>
      <c r="W602" s="26">
        <v>45575</v>
      </c>
      <c r="X602" t="s">
        <v>61</v>
      </c>
      <c r="Y602" t="s">
        <v>237</v>
      </c>
    </row>
    <row r="603" spans="1:25" x14ac:dyDescent="0.25">
      <c r="A603" t="s">
        <v>2423</v>
      </c>
      <c r="B603">
        <v>11</v>
      </c>
      <c r="C603">
        <v>95</v>
      </c>
      <c r="D603">
        <v>9061</v>
      </c>
      <c r="E603" t="s">
        <v>360</v>
      </c>
      <c r="F603" t="s">
        <v>103</v>
      </c>
      <c r="G603" t="s">
        <v>2424</v>
      </c>
      <c r="H603" s="26">
        <v>17004</v>
      </c>
      <c r="I603" t="s">
        <v>58</v>
      </c>
      <c r="J603" t="s">
        <v>2425</v>
      </c>
      <c r="M603">
        <v>95420</v>
      </c>
      <c r="N603" t="s">
        <v>2426</v>
      </c>
      <c r="O603" t="s">
        <v>61</v>
      </c>
      <c r="P603">
        <v>134674837</v>
      </c>
      <c r="Q603">
        <v>623502031</v>
      </c>
      <c r="S603" t="s">
        <v>63</v>
      </c>
      <c r="T603" t="s">
        <v>64</v>
      </c>
      <c r="U603" t="s">
        <v>65</v>
      </c>
      <c r="W603" s="26">
        <v>45545</v>
      </c>
      <c r="X603" t="s">
        <v>61</v>
      </c>
      <c r="Y603" t="s">
        <v>237</v>
      </c>
    </row>
    <row r="604" spans="1:25" x14ac:dyDescent="0.25">
      <c r="A604" t="s">
        <v>10232</v>
      </c>
      <c r="B604">
        <v>11</v>
      </c>
      <c r="C604">
        <v>94</v>
      </c>
      <c r="D604">
        <v>9031</v>
      </c>
      <c r="E604" t="s">
        <v>7</v>
      </c>
      <c r="F604" t="s">
        <v>120</v>
      </c>
      <c r="G604" t="s">
        <v>1793</v>
      </c>
      <c r="H604" s="26">
        <v>23650</v>
      </c>
      <c r="I604" t="s">
        <v>58</v>
      </c>
      <c r="J604" t="s">
        <v>10233</v>
      </c>
      <c r="M604">
        <v>94700</v>
      </c>
      <c r="N604" t="s">
        <v>163</v>
      </c>
      <c r="O604" t="s">
        <v>61</v>
      </c>
      <c r="Q604">
        <v>607385662</v>
      </c>
      <c r="R604" t="s">
        <v>10234</v>
      </c>
      <c r="S604" t="s">
        <v>63</v>
      </c>
      <c r="T604" t="s">
        <v>64</v>
      </c>
      <c r="U604" t="s">
        <v>65</v>
      </c>
      <c r="W604" s="26">
        <v>45572</v>
      </c>
      <c r="X604" t="s">
        <v>61</v>
      </c>
      <c r="Y604" t="s">
        <v>237</v>
      </c>
    </row>
    <row r="605" spans="1:25" x14ac:dyDescent="0.25">
      <c r="A605" t="s">
        <v>2427</v>
      </c>
      <c r="B605">
        <v>11</v>
      </c>
      <c r="C605">
        <v>94</v>
      </c>
      <c r="D605">
        <v>9024</v>
      </c>
      <c r="E605" t="s">
        <v>4</v>
      </c>
      <c r="F605" t="s">
        <v>85</v>
      </c>
      <c r="G605" t="s">
        <v>2428</v>
      </c>
      <c r="H605" s="26">
        <v>17880</v>
      </c>
      <c r="I605" t="s">
        <v>58</v>
      </c>
      <c r="J605" t="s">
        <v>2429</v>
      </c>
      <c r="M605">
        <v>94360</v>
      </c>
      <c r="N605" t="s">
        <v>2430</v>
      </c>
      <c r="O605" t="s">
        <v>61</v>
      </c>
      <c r="Q605">
        <v>621174139</v>
      </c>
      <c r="R605" t="s">
        <v>2431</v>
      </c>
      <c r="S605" t="s">
        <v>63</v>
      </c>
      <c r="T605" t="s">
        <v>64</v>
      </c>
      <c r="U605" t="s">
        <v>65</v>
      </c>
      <c r="W605" s="26">
        <v>45565</v>
      </c>
      <c r="X605" t="s">
        <v>61</v>
      </c>
      <c r="Y605" t="s">
        <v>237</v>
      </c>
    </row>
    <row r="606" spans="1:25" x14ac:dyDescent="0.25">
      <c r="A606" t="s">
        <v>2432</v>
      </c>
      <c r="B606">
        <v>11</v>
      </c>
      <c r="C606">
        <v>77</v>
      </c>
      <c r="D606">
        <v>9059</v>
      </c>
      <c r="E606" t="s">
        <v>197</v>
      </c>
      <c r="F606" t="s">
        <v>289</v>
      </c>
      <c r="G606" t="s">
        <v>2433</v>
      </c>
      <c r="H606" s="26">
        <v>18322</v>
      </c>
      <c r="I606" t="s">
        <v>58</v>
      </c>
      <c r="J606" t="s">
        <v>2434</v>
      </c>
      <c r="M606">
        <v>77220</v>
      </c>
      <c r="N606" t="s">
        <v>2435</v>
      </c>
      <c r="O606" t="s">
        <v>61</v>
      </c>
      <c r="P606">
        <v>164071762</v>
      </c>
      <c r="Q606">
        <v>631113673</v>
      </c>
      <c r="R606" t="s">
        <v>2436</v>
      </c>
      <c r="S606" t="s">
        <v>63</v>
      </c>
      <c r="T606" t="s">
        <v>64</v>
      </c>
      <c r="U606" t="s">
        <v>65</v>
      </c>
      <c r="W606" s="26">
        <v>45545</v>
      </c>
      <c r="X606" t="s">
        <v>61</v>
      </c>
      <c r="Y606" t="s">
        <v>237</v>
      </c>
    </row>
    <row r="607" spans="1:25" x14ac:dyDescent="0.25">
      <c r="A607" t="s">
        <v>10494</v>
      </c>
      <c r="B607">
        <v>11</v>
      </c>
      <c r="C607">
        <v>95</v>
      </c>
      <c r="D607">
        <v>9010</v>
      </c>
      <c r="E607" t="s">
        <v>6</v>
      </c>
      <c r="F607" t="s">
        <v>154</v>
      </c>
      <c r="G607" t="s">
        <v>10495</v>
      </c>
      <c r="H607" s="26">
        <v>13479</v>
      </c>
      <c r="I607" t="s">
        <v>58</v>
      </c>
      <c r="J607" t="s">
        <v>10496</v>
      </c>
      <c r="M607">
        <v>95110</v>
      </c>
      <c r="N607" t="s">
        <v>1117</v>
      </c>
      <c r="O607" t="s">
        <v>61</v>
      </c>
      <c r="R607" t="s">
        <v>10497</v>
      </c>
      <c r="S607" t="s">
        <v>237</v>
      </c>
      <c r="T607" t="s">
        <v>64</v>
      </c>
      <c r="U607" t="s">
        <v>65</v>
      </c>
      <c r="W607" s="26">
        <v>45581</v>
      </c>
      <c r="X607" t="s">
        <v>61</v>
      </c>
      <c r="Y607" t="s">
        <v>237</v>
      </c>
    </row>
    <row r="608" spans="1:25" x14ac:dyDescent="0.25">
      <c r="A608" t="s">
        <v>2437</v>
      </c>
      <c r="B608">
        <v>11</v>
      </c>
      <c r="C608">
        <v>78</v>
      </c>
      <c r="D608">
        <v>9084</v>
      </c>
      <c r="E608" t="s">
        <v>216</v>
      </c>
      <c r="F608" t="s">
        <v>137</v>
      </c>
      <c r="G608" t="s">
        <v>2438</v>
      </c>
      <c r="H608" s="26">
        <v>16024</v>
      </c>
      <c r="I608" t="s">
        <v>58</v>
      </c>
      <c r="J608" t="s">
        <v>2439</v>
      </c>
      <c r="M608">
        <v>78540</v>
      </c>
      <c r="N608" t="s">
        <v>1059</v>
      </c>
      <c r="O608" t="s">
        <v>61</v>
      </c>
      <c r="P608">
        <v>139717771</v>
      </c>
      <c r="Q608">
        <v>683267455</v>
      </c>
      <c r="R608" t="s">
        <v>2440</v>
      </c>
      <c r="S608" t="s">
        <v>63</v>
      </c>
      <c r="T608" t="s">
        <v>64</v>
      </c>
      <c r="U608" t="s">
        <v>65</v>
      </c>
      <c r="W608" s="26">
        <v>45545</v>
      </c>
      <c r="X608" t="s">
        <v>61</v>
      </c>
      <c r="Y608" t="s">
        <v>237</v>
      </c>
    </row>
    <row r="609" spans="1:25" x14ac:dyDescent="0.25">
      <c r="A609" t="s">
        <v>2441</v>
      </c>
      <c r="B609">
        <v>11</v>
      </c>
      <c r="C609">
        <v>78</v>
      </c>
      <c r="D609">
        <v>9084</v>
      </c>
      <c r="E609" t="s">
        <v>216</v>
      </c>
      <c r="F609" t="s">
        <v>106</v>
      </c>
      <c r="G609" t="s">
        <v>2442</v>
      </c>
      <c r="H609" s="26">
        <v>16536</v>
      </c>
      <c r="I609" t="s">
        <v>58</v>
      </c>
      <c r="J609" t="s">
        <v>2443</v>
      </c>
      <c r="M609">
        <v>78540</v>
      </c>
      <c r="N609" t="s">
        <v>1059</v>
      </c>
      <c r="O609" t="s">
        <v>61</v>
      </c>
      <c r="P609">
        <v>139716287</v>
      </c>
      <c r="Q609">
        <v>607042462</v>
      </c>
      <c r="R609" t="s">
        <v>2444</v>
      </c>
      <c r="S609" t="s">
        <v>63</v>
      </c>
      <c r="T609" t="s">
        <v>64</v>
      </c>
      <c r="U609" t="s">
        <v>65</v>
      </c>
      <c r="W609" s="26">
        <v>45561</v>
      </c>
      <c r="X609" t="s">
        <v>61</v>
      </c>
      <c r="Y609" t="s">
        <v>237</v>
      </c>
    </row>
    <row r="610" spans="1:25" x14ac:dyDescent="0.25">
      <c r="A610" t="s">
        <v>8870</v>
      </c>
      <c r="B610">
        <v>11</v>
      </c>
      <c r="C610">
        <v>95</v>
      </c>
      <c r="D610">
        <v>9069</v>
      </c>
      <c r="E610" t="s">
        <v>129</v>
      </c>
      <c r="F610" t="s">
        <v>927</v>
      </c>
      <c r="G610" t="s">
        <v>3231</v>
      </c>
      <c r="H610" s="26">
        <v>22586</v>
      </c>
      <c r="I610" t="s">
        <v>58</v>
      </c>
      <c r="J610" t="s">
        <v>8871</v>
      </c>
      <c r="M610">
        <v>95270</v>
      </c>
      <c r="N610" t="s">
        <v>8872</v>
      </c>
      <c r="O610" t="s">
        <v>61</v>
      </c>
      <c r="P610">
        <v>130358486</v>
      </c>
      <c r="Q610">
        <v>682075719</v>
      </c>
      <c r="R610" t="s">
        <v>8873</v>
      </c>
      <c r="S610" t="s">
        <v>63</v>
      </c>
      <c r="T610" t="s">
        <v>64</v>
      </c>
      <c r="U610" t="s">
        <v>65</v>
      </c>
      <c r="W610" s="26">
        <v>45561</v>
      </c>
      <c r="X610" t="s">
        <v>61</v>
      </c>
      <c r="Y610" t="s">
        <v>237</v>
      </c>
    </row>
    <row r="611" spans="1:25" x14ac:dyDescent="0.25">
      <c r="A611" t="s">
        <v>2445</v>
      </c>
      <c r="B611">
        <v>11</v>
      </c>
      <c r="C611">
        <v>77</v>
      </c>
      <c r="D611">
        <v>9026</v>
      </c>
      <c r="E611" t="s">
        <v>508</v>
      </c>
      <c r="F611" t="s">
        <v>103</v>
      </c>
      <c r="G611" t="s">
        <v>2446</v>
      </c>
      <c r="H611" s="26">
        <v>19445</v>
      </c>
      <c r="I611" t="s">
        <v>58</v>
      </c>
      <c r="J611" t="s">
        <v>2447</v>
      </c>
      <c r="M611">
        <v>77380</v>
      </c>
      <c r="N611" t="s">
        <v>2448</v>
      </c>
      <c r="O611" t="s">
        <v>61</v>
      </c>
      <c r="P611">
        <v>160600724</v>
      </c>
      <c r="R611" t="s">
        <v>2449</v>
      </c>
      <c r="S611" t="s">
        <v>63</v>
      </c>
      <c r="T611" t="s">
        <v>64</v>
      </c>
      <c r="U611" t="s">
        <v>65</v>
      </c>
      <c r="W611" s="26">
        <v>45549</v>
      </c>
      <c r="X611" t="s">
        <v>61</v>
      </c>
      <c r="Y611" t="s">
        <v>237</v>
      </c>
    </row>
    <row r="612" spans="1:25" x14ac:dyDescent="0.25">
      <c r="A612" t="s">
        <v>10153</v>
      </c>
      <c r="B612">
        <v>11</v>
      </c>
      <c r="C612">
        <v>78</v>
      </c>
      <c r="D612">
        <v>9030</v>
      </c>
      <c r="E612" t="s">
        <v>96</v>
      </c>
      <c r="F612" t="s">
        <v>85</v>
      </c>
      <c r="G612" t="s">
        <v>10154</v>
      </c>
      <c r="H612" s="26">
        <v>18762</v>
      </c>
      <c r="I612" t="s">
        <v>58</v>
      </c>
      <c r="J612" t="s">
        <v>10155</v>
      </c>
      <c r="M612">
        <v>78180</v>
      </c>
      <c r="N612" t="s">
        <v>1162</v>
      </c>
      <c r="O612" t="s">
        <v>61</v>
      </c>
      <c r="Q612">
        <v>681105109</v>
      </c>
      <c r="R612" t="s">
        <v>10156</v>
      </c>
      <c r="S612" t="s">
        <v>63</v>
      </c>
      <c r="T612" t="s">
        <v>64</v>
      </c>
      <c r="U612" t="s">
        <v>65</v>
      </c>
      <c r="W612" s="26">
        <v>45569</v>
      </c>
      <c r="X612" t="s">
        <v>61</v>
      </c>
      <c r="Y612" t="s">
        <v>237</v>
      </c>
    </row>
    <row r="613" spans="1:25" x14ac:dyDescent="0.25">
      <c r="A613" t="s">
        <v>8874</v>
      </c>
      <c r="B613">
        <v>11</v>
      </c>
      <c r="C613">
        <v>75</v>
      </c>
      <c r="D613">
        <v>9070</v>
      </c>
      <c r="E613" t="s">
        <v>168</v>
      </c>
      <c r="F613" t="s">
        <v>1075</v>
      </c>
      <c r="G613" t="s">
        <v>8875</v>
      </c>
      <c r="H613" s="26">
        <v>29253</v>
      </c>
      <c r="I613" t="s">
        <v>58</v>
      </c>
      <c r="J613" t="s">
        <v>8876</v>
      </c>
      <c r="K613" t="s">
        <v>8877</v>
      </c>
      <c r="M613">
        <v>75013</v>
      </c>
      <c r="N613" t="s">
        <v>330</v>
      </c>
      <c r="O613" t="s">
        <v>61</v>
      </c>
      <c r="Q613">
        <v>660474396</v>
      </c>
      <c r="R613" t="s">
        <v>8878</v>
      </c>
      <c r="S613" t="s">
        <v>237</v>
      </c>
      <c r="T613" t="s">
        <v>64</v>
      </c>
      <c r="U613" t="s">
        <v>8684</v>
      </c>
      <c r="W613" s="26">
        <v>45533</v>
      </c>
      <c r="X613" t="s">
        <v>61</v>
      </c>
      <c r="Y613" t="s">
        <v>237</v>
      </c>
    </row>
    <row r="614" spans="1:25" x14ac:dyDescent="0.25">
      <c r="A614" t="s">
        <v>2450</v>
      </c>
      <c r="B614">
        <v>11</v>
      </c>
      <c r="C614">
        <v>75</v>
      </c>
      <c r="D614">
        <v>9070</v>
      </c>
      <c r="E614" t="s">
        <v>168</v>
      </c>
      <c r="F614" t="s">
        <v>2319</v>
      </c>
      <c r="G614" t="s">
        <v>2451</v>
      </c>
      <c r="H614" s="26">
        <v>25705</v>
      </c>
      <c r="I614" t="s">
        <v>58</v>
      </c>
      <c r="J614" t="s">
        <v>2452</v>
      </c>
      <c r="M614">
        <v>75116</v>
      </c>
      <c r="N614" t="s">
        <v>330</v>
      </c>
      <c r="O614" t="s">
        <v>61</v>
      </c>
      <c r="Q614">
        <v>683010247</v>
      </c>
      <c r="R614" t="s">
        <v>2453</v>
      </c>
      <c r="S614" t="s">
        <v>63</v>
      </c>
      <c r="T614" t="s">
        <v>64</v>
      </c>
      <c r="U614" t="s">
        <v>8684</v>
      </c>
      <c r="W614" s="26">
        <v>45533</v>
      </c>
      <c r="X614" t="s">
        <v>61</v>
      </c>
      <c r="Y614" t="s">
        <v>237</v>
      </c>
    </row>
    <row r="615" spans="1:25" x14ac:dyDescent="0.25">
      <c r="A615" t="s">
        <v>2454</v>
      </c>
      <c r="B615">
        <v>11</v>
      </c>
      <c r="C615">
        <v>92</v>
      </c>
      <c r="D615">
        <v>9065</v>
      </c>
      <c r="E615" t="s">
        <v>426</v>
      </c>
      <c r="F615" t="s">
        <v>2455</v>
      </c>
      <c r="G615" t="s">
        <v>2456</v>
      </c>
      <c r="H615" s="26">
        <v>26269</v>
      </c>
      <c r="I615" t="s">
        <v>58</v>
      </c>
      <c r="J615" t="s">
        <v>2457</v>
      </c>
      <c r="M615">
        <v>94290</v>
      </c>
      <c r="N615" t="s">
        <v>2458</v>
      </c>
      <c r="O615" t="s">
        <v>61</v>
      </c>
      <c r="Q615">
        <v>610171550</v>
      </c>
      <c r="R615" t="s">
        <v>2459</v>
      </c>
      <c r="S615" t="s">
        <v>63</v>
      </c>
      <c r="T615" t="s">
        <v>64</v>
      </c>
      <c r="U615" t="s">
        <v>486</v>
      </c>
      <c r="W615" s="26">
        <v>45533</v>
      </c>
      <c r="X615" t="s">
        <v>310</v>
      </c>
      <c r="Y615" t="s">
        <v>237</v>
      </c>
    </row>
    <row r="616" spans="1:25" x14ac:dyDescent="0.25">
      <c r="A616" t="s">
        <v>2460</v>
      </c>
      <c r="B616">
        <v>11</v>
      </c>
      <c r="C616">
        <v>78</v>
      </c>
      <c r="D616">
        <v>9052</v>
      </c>
      <c r="E616" t="s">
        <v>337</v>
      </c>
      <c r="F616" t="s">
        <v>457</v>
      </c>
      <c r="G616" t="s">
        <v>2461</v>
      </c>
      <c r="H616" s="26">
        <v>22744</v>
      </c>
      <c r="I616" t="s">
        <v>58</v>
      </c>
      <c r="J616" t="s">
        <v>2462</v>
      </c>
      <c r="M616">
        <v>78650</v>
      </c>
      <c r="N616" t="s">
        <v>2463</v>
      </c>
      <c r="O616" t="s">
        <v>61</v>
      </c>
      <c r="P616">
        <v>134897706</v>
      </c>
      <c r="Q616">
        <v>674510459</v>
      </c>
      <c r="R616" t="s">
        <v>2464</v>
      </c>
      <c r="S616" t="s">
        <v>63</v>
      </c>
      <c r="T616" t="s">
        <v>64</v>
      </c>
      <c r="U616" t="s">
        <v>65</v>
      </c>
      <c r="W616" s="26">
        <v>45553</v>
      </c>
      <c r="X616" t="s">
        <v>61</v>
      </c>
      <c r="Y616" t="s">
        <v>237</v>
      </c>
    </row>
    <row r="617" spans="1:25" x14ac:dyDescent="0.25">
      <c r="A617" t="s">
        <v>10498</v>
      </c>
      <c r="B617">
        <v>11</v>
      </c>
      <c r="C617">
        <v>78</v>
      </c>
      <c r="D617">
        <v>9052</v>
      </c>
      <c r="E617" t="s">
        <v>337</v>
      </c>
      <c r="F617" t="s">
        <v>1019</v>
      </c>
      <c r="G617" t="s">
        <v>2400</v>
      </c>
      <c r="H617" s="26">
        <v>18663</v>
      </c>
      <c r="I617" t="s">
        <v>58</v>
      </c>
      <c r="J617" t="s">
        <v>10499</v>
      </c>
      <c r="M617">
        <v>78580</v>
      </c>
      <c r="N617" t="s">
        <v>2013</v>
      </c>
      <c r="O617" t="s">
        <v>61</v>
      </c>
      <c r="Q617">
        <v>603242317</v>
      </c>
      <c r="R617" t="s">
        <v>10500</v>
      </c>
      <c r="S617" t="s">
        <v>63</v>
      </c>
      <c r="T617" t="s">
        <v>64</v>
      </c>
      <c r="U617" t="s">
        <v>65</v>
      </c>
      <c r="W617" s="26">
        <v>45572</v>
      </c>
      <c r="X617" t="s">
        <v>61</v>
      </c>
      <c r="Y617" t="s">
        <v>237</v>
      </c>
    </row>
    <row r="618" spans="1:25" x14ac:dyDescent="0.25">
      <c r="A618" t="s">
        <v>2465</v>
      </c>
      <c r="B618">
        <v>11</v>
      </c>
      <c r="C618">
        <v>91</v>
      </c>
      <c r="D618">
        <v>9096</v>
      </c>
      <c r="E618" t="s">
        <v>526</v>
      </c>
      <c r="F618" t="s">
        <v>13</v>
      </c>
      <c r="G618" t="s">
        <v>2466</v>
      </c>
      <c r="H618" s="26">
        <v>22947</v>
      </c>
      <c r="I618" t="s">
        <v>58</v>
      </c>
      <c r="J618" t="s">
        <v>2467</v>
      </c>
      <c r="M618">
        <v>91580</v>
      </c>
      <c r="N618" t="s">
        <v>528</v>
      </c>
      <c r="O618" t="s">
        <v>61</v>
      </c>
      <c r="P618">
        <v>160803501</v>
      </c>
      <c r="Q618">
        <v>647530132</v>
      </c>
      <c r="R618" t="s">
        <v>2468</v>
      </c>
      <c r="S618" t="s">
        <v>63</v>
      </c>
      <c r="T618" t="s">
        <v>64</v>
      </c>
      <c r="U618" t="s">
        <v>65</v>
      </c>
      <c r="W618" s="26">
        <v>45542</v>
      </c>
      <c r="X618" t="s">
        <v>61</v>
      </c>
      <c r="Y618" t="s">
        <v>237</v>
      </c>
    </row>
    <row r="619" spans="1:25" x14ac:dyDescent="0.25">
      <c r="A619" t="s">
        <v>2469</v>
      </c>
      <c r="B619">
        <v>11</v>
      </c>
      <c r="C619">
        <v>77</v>
      </c>
      <c r="D619">
        <v>9049</v>
      </c>
      <c r="E619" t="s">
        <v>902</v>
      </c>
      <c r="F619" t="s">
        <v>137</v>
      </c>
      <c r="G619" t="s">
        <v>2470</v>
      </c>
      <c r="H619" s="26">
        <v>18612</v>
      </c>
      <c r="I619" t="s">
        <v>58</v>
      </c>
      <c r="J619" t="s">
        <v>2471</v>
      </c>
      <c r="M619">
        <v>77260</v>
      </c>
      <c r="N619" t="s">
        <v>2472</v>
      </c>
      <c r="O619" t="s">
        <v>61</v>
      </c>
      <c r="R619" t="s">
        <v>2473</v>
      </c>
      <c r="S619" t="s">
        <v>63</v>
      </c>
      <c r="T619" t="s">
        <v>64</v>
      </c>
      <c r="U619" t="s">
        <v>65</v>
      </c>
      <c r="W619" s="26">
        <v>45524</v>
      </c>
      <c r="X619" t="s">
        <v>61</v>
      </c>
      <c r="Y619" t="s">
        <v>237</v>
      </c>
    </row>
    <row r="620" spans="1:25" x14ac:dyDescent="0.25">
      <c r="A620" t="s">
        <v>2474</v>
      </c>
      <c r="B620">
        <v>11</v>
      </c>
      <c r="C620">
        <v>95</v>
      </c>
      <c r="D620">
        <v>9127</v>
      </c>
      <c r="E620" t="s">
        <v>536</v>
      </c>
      <c r="F620" t="s">
        <v>1131</v>
      </c>
      <c r="G620" t="s">
        <v>2475</v>
      </c>
      <c r="H620" s="26">
        <v>27241</v>
      </c>
      <c r="I620" t="s">
        <v>58</v>
      </c>
      <c r="J620" t="s">
        <v>2476</v>
      </c>
      <c r="M620">
        <v>78250</v>
      </c>
      <c r="N620" t="s">
        <v>1212</v>
      </c>
      <c r="O620" t="s">
        <v>61</v>
      </c>
      <c r="P620">
        <v>130222405</v>
      </c>
      <c r="Q620">
        <v>624969608</v>
      </c>
      <c r="R620" t="s">
        <v>2477</v>
      </c>
      <c r="S620" t="s">
        <v>63</v>
      </c>
      <c r="T620" t="s">
        <v>64</v>
      </c>
      <c r="U620" t="s">
        <v>8684</v>
      </c>
      <c r="W620" s="26">
        <v>45535</v>
      </c>
      <c r="X620" t="s">
        <v>61</v>
      </c>
      <c r="Y620" t="s">
        <v>237</v>
      </c>
    </row>
    <row r="621" spans="1:25" x14ac:dyDescent="0.25">
      <c r="A621" t="s">
        <v>2478</v>
      </c>
      <c r="B621">
        <v>11</v>
      </c>
      <c r="C621">
        <v>78</v>
      </c>
      <c r="D621">
        <v>9084</v>
      </c>
      <c r="E621" t="s">
        <v>216</v>
      </c>
      <c r="F621" t="s">
        <v>1288</v>
      </c>
      <c r="G621" t="s">
        <v>2164</v>
      </c>
      <c r="H621" s="26">
        <v>24969</v>
      </c>
      <c r="I621" t="s">
        <v>58</v>
      </c>
      <c r="J621" t="s">
        <v>2479</v>
      </c>
      <c r="M621">
        <v>78700</v>
      </c>
      <c r="N621" t="s">
        <v>273</v>
      </c>
      <c r="O621" t="s">
        <v>61</v>
      </c>
      <c r="P621">
        <v>139725733</v>
      </c>
      <c r="Q621">
        <v>651780900</v>
      </c>
      <c r="R621" t="s">
        <v>2480</v>
      </c>
      <c r="S621" t="s">
        <v>63</v>
      </c>
      <c r="T621" t="s">
        <v>64</v>
      </c>
      <c r="U621" t="s">
        <v>65</v>
      </c>
      <c r="W621" s="26">
        <v>45545</v>
      </c>
      <c r="X621" t="s">
        <v>61</v>
      </c>
      <c r="Y621" t="s">
        <v>237</v>
      </c>
    </row>
    <row r="622" spans="1:25" x14ac:dyDescent="0.25">
      <c r="A622" t="s">
        <v>2481</v>
      </c>
      <c r="B622">
        <v>11</v>
      </c>
      <c r="C622">
        <v>94</v>
      </c>
      <c r="D622">
        <v>9031</v>
      </c>
      <c r="E622" t="s">
        <v>7</v>
      </c>
      <c r="F622" t="s">
        <v>816</v>
      </c>
      <c r="G622" t="s">
        <v>2482</v>
      </c>
      <c r="H622" s="26">
        <v>22312</v>
      </c>
      <c r="I622" t="s">
        <v>58</v>
      </c>
      <c r="J622" t="s">
        <v>2483</v>
      </c>
      <c r="M622">
        <v>94220</v>
      </c>
      <c r="N622" t="s">
        <v>889</v>
      </c>
      <c r="O622" t="s">
        <v>61</v>
      </c>
      <c r="Q622">
        <v>650230425</v>
      </c>
      <c r="R622" t="s">
        <v>2484</v>
      </c>
      <c r="S622" t="s">
        <v>63</v>
      </c>
      <c r="T622" t="s">
        <v>64</v>
      </c>
      <c r="U622" t="s">
        <v>65</v>
      </c>
      <c r="W622" s="26">
        <v>45563</v>
      </c>
      <c r="X622" t="s">
        <v>61</v>
      </c>
      <c r="Y622" t="s">
        <v>237</v>
      </c>
    </row>
    <row r="623" spans="1:25" x14ac:dyDescent="0.25">
      <c r="A623" t="s">
        <v>11205</v>
      </c>
      <c r="B623">
        <v>11</v>
      </c>
      <c r="C623">
        <v>92</v>
      </c>
      <c r="D623">
        <v>9032</v>
      </c>
      <c r="E623" t="s">
        <v>102</v>
      </c>
      <c r="F623" t="s">
        <v>297</v>
      </c>
      <c r="G623" t="s">
        <v>11206</v>
      </c>
      <c r="H623" s="26">
        <v>20693</v>
      </c>
      <c r="I623" t="s">
        <v>58</v>
      </c>
      <c r="J623" t="s">
        <v>11207</v>
      </c>
      <c r="M623">
        <v>92360</v>
      </c>
      <c r="N623" t="s">
        <v>2485</v>
      </c>
      <c r="O623" t="s">
        <v>61</v>
      </c>
      <c r="Q623">
        <v>642080586</v>
      </c>
      <c r="R623" t="s">
        <v>11208</v>
      </c>
      <c r="S623" t="s">
        <v>63</v>
      </c>
      <c r="T623" t="s">
        <v>64</v>
      </c>
      <c r="U623" t="s">
        <v>65</v>
      </c>
      <c r="W623" s="26">
        <v>45594</v>
      </c>
      <c r="X623" t="s">
        <v>61</v>
      </c>
      <c r="Y623" t="s">
        <v>237</v>
      </c>
    </row>
    <row r="624" spans="1:25" x14ac:dyDescent="0.25">
      <c r="A624" t="s">
        <v>2486</v>
      </c>
      <c r="B624">
        <v>11</v>
      </c>
      <c r="C624">
        <v>92</v>
      </c>
      <c r="D624">
        <v>9017</v>
      </c>
      <c r="E624" t="s">
        <v>211</v>
      </c>
      <c r="F624" t="s">
        <v>916</v>
      </c>
      <c r="G624" t="s">
        <v>2487</v>
      </c>
      <c r="H624" s="26">
        <v>26365</v>
      </c>
      <c r="I624" t="s">
        <v>58</v>
      </c>
      <c r="J624" t="s">
        <v>2488</v>
      </c>
      <c r="M624">
        <v>93260</v>
      </c>
      <c r="N624" t="s">
        <v>594</v>
      </c>
      <c r="O624" t="s">
        <v>61</v>
      </c>
      <c r="Q624">
        <v>612115114</v>
      </c>
      <c r="R624" t="s">
        <v>2489</v>
      </c>
      <c r="S624" t="s">
        <v>63</v>
      </c>
      <c r="T624" t="s">
        <v>64</v>
      </c>
      <c r="U624" t="s">
        <v>65</v>
      </c>
      <c r="W624" s="26">
        <v>45537</v>
      </c>
      <c r="X624" t="s">
        <v>61</v>
      </c>
      <c r="Y624" t="s">
        <v>237</v>
      </c>
    </row>
    <row r="625" spans="1:25" x14ac:dyDescent="0.25">
      <c r="A625" t="s">
        <v>2490</v>
      </c>
      <c r="B625">
        <v>11</v>
      </c>
      <c r="C625">
        <v>95</v>
      </c>
      <c r="D625">
        <v>9010</v>
      </c>
      <c r="E625" t="s">
        <v>6</v>
      </c>
      <c r="F625" t="s">
        <v>820</v>
      </c>
      <c r="G625" t="s">
        <v>2491</v>
      </c>
      <c r="H625" s="26">
        <v>27237</v>
      </c>
      <c r="I625" t="s">
        <v>58</v>
      </c>
      <c r="J625" t="s">
        <v>2492</v>
      </c>
      <c r="M625">
        <v>95200</v>
      </c>
      <c r="N625" t="s">
        <v>386</v>
      </c>
      <c r="O625" t="s">
        <v>61</v>
      </c>
      <c r="R625" t="s">
        <v>2493</v>
      </c>
      <c r="S625" t="s">
        <v>63</v>
      </c>
      <c r="T625" t="s">
        <v>64</v>
      </c>
      <c r="U625" t="s">
        <v>8684</v>
      </c>
      <c r="W625" s="26">
        <v>45526</v>
      </c>
      <c r="X625" t="s">
        <v>61</v>
      </c>
      <c r="Y625" t="s">
        <v>237</v>
      </c>
    </row>
    <row r="626" spans="1:25" x14ac:dyDescent="0.25">
      <c r="A626" t="s">
        <v>10501</v>
      </c>
      <c r="B626">
        <v>11</v>
      </c>
      <c r="C626">
        <v>95</v>
      </c>
      <c r="D626">
        <v>9010</v>
      </c>
      <c r="E626" t="s">
        <v>6</v>
      </c>
      <c r="F626" t="s">
        <v>68</v>
      </c>
      <c r="G626" t="s">
        <v>10502</v>
      </c>
      <c r="H626" s="26">
        <v>21334</v>
      </c>
      <c r="I626" t="s">
        <v>58</v>
      </c>
      <c r="J626" t="s">
        <v>10503</v>
      </c>
      <c r="M626">
        <v>95100</v>
      </c>
      <c r="N626" t="s">
        <v>311</v>
      </c>
      <c r="O626" t="s">
        <v>61</v>
      </c>
      <c r="R626" t="s">
        <v>10504</v>
      </c>
      <c r="S626" t="s">
        <v>63</v>
      </c>
      <c r="T626" t="s">
        <v>64</v>
      </c>
      <c r="U626" t="s">
        <v>65</v>
      </c>
      <c r="W626" s="26">
        <v>45574</v>
      </c>
      <c r="X626" t="s">
        <v>61</v>
      </c>
      <c r="Y626" t="s">
        <v>237</v>
      </c>
    </row>
    <row r="627" spans="1:25" x14ac:dyDescent="0.25">
      <c r="A627" t="s">
        <v>2494</v>
      </c>
      <c r="B627">
        <v>11</v>
      </c>
      <c r="C627">
        <v>95</v>
      </c>
      <c r="D627">
        <v>9010</v>
      </c>
      <c r="E627" t="s">
        <v>6</v>
      </c>
      <c r="F627" t="s">
        <v>2495</v>
      </c>
      <c r="G627" t="s">
        <v>2496</v>
      </c>
      <c r="H627" s="26">
        <v>25717</v>
      </c>
      <c r="I627" t="s">
        <v>58</v>
      </c>
      <c r="J627" t="s">
        <v>2497</v>
      </c>
      <c r="M627">
        <v>78240</v>
      </c>
      <c r="N627" t="s">
        <v>383</v>
      </c>
      <c r="O627" t="s">
        <v>61</v>
      </c>
      <c r="R627" t="s">
        <v>2498</v>
      </c>
      <c r="S627" t="s">
        <v>63</v>
      </c>
      <c r="T627" t="s">
        <v>64</v>
      </c>
      <c r="U627" t="s">
        <v>8684</v>
      </c>
      <c r="W627" s="26">
        <v>45545</v>
      </c>
      <c r="X627" t="s">
        <v>2499</v>
      </c>
      <c r="Y627" t="s">
        <v>237</v>
      </c>
    </row>
    <row r="628" spans="1:25" x14ac:dyDescent="0.25">
      <c r="A628" t="s">
        <v>8879</v>
      </c>
      <c r="B628">
        <v>11</v>
      </c>
      <c r="C628">
        <v>93</v>
      </c>
      <c r="D628">
        <v>9122</v>
      </c>
      <c r="E628" t="s">
        <v>1030</v>
      </c>
      <c r="F628" t="s">
        <v>4174</v>
      </c>
      <c r="G628" t="s">
        <v>8880</v>
      </c>
      <c r="H628" s="26">
        <v>26962</v>
      </c>
      <c r="I628" t="s">
        <v>58</v>
      </c>
      <c r="J628" t="s">
        <v>8881</v>
      </c>
      <c r="M628">
        <v>93220</v>
      </c>
      <c r="N628" t="s">
        <v>662</v>
      </c>
      <c r="O628" t="s">
        <v>61</v>
      </c>
      <c r="Q628">
        <v>625961073</v>
      </c>
      <c r="R628" t="s">
        <v>8882</v>
      </c>
      <c r="S628" t="s">
        <v>63</v>
      </c>
      <c r="T628" t="s">
        <v>64</v>
      </c>
      <c r="U628" t="s">
        <v>8684</v>
      </c>
      <c r="W628" s="26">
        <v>45559</v>
      </c>
      <c r="X628" t="s">
        <v>61</v>
      </c>
      <c r="Y628" t="s">
        <v>237</v>
      </c>
    </row>
    <row r="629" spans="1:25" x14ac:dyDescent="0.25">
      <c r="A629" t="s">
        <v>8883</v>
      </c>
      <c r="B629">
        <v>11</v>
      </c>
      <c r="C629">
        <v>78</v>
      </c>
      <c r="D629">
        <v>9002</v>
      </c>
      <c r="E629" t="s">
        <v>558</v>
      </c>
      <c r="F629" t="s">
        <v>91</v>
      </c>
      <c r="G629" t="s">
        <v>8884</v>
      </c>
      <c r="H629" s="26">
        <v>17678</v>
      </c>
      <c r="I629" t="s">
        <v>58</v>
      </c>
      <c r="J629" t="s">
        <v>8885</v>
      </c>
      <c r="M629">
        <v>28260</v>
      </c>
      <c r="N629" t="s">
        <v>457</v>
      </c>
      <c r="O629" t="s">
        <v>61</v>
      </c>
      <c r="R629" t="s">
        <v>8886</v>
      </c>
      <c r="S629" t="s">
        <v>63</v>
      </c>
      <c r="T629" t="s">
        <v>64</v>
      </c>
      <c r="U629" t="s">
        <v>65</v>
      </c>
      <c r="W629" s="26">
        <v>45539</v>
      </c>
      <c r="X629" t="s">
        <v>61</v>
      </c>
      <c r="Y629" t="s">
        <v>237</v>
      </c>
    </row>
    <row r="630" spans="1:25" x14ac:dyDescent="0.25">
      <c r="A630" t="s">
        <v>10505</v>
      </c>
      <c r="B630">
        <v>11</v>
      </c>
      <c r="C630">
        <v>78</v>
      </c>
      <c r="D630">
        <v>9038</v>
      </c>
      <c r="E630" t="s">
        <v>484</v>
      </c>
      <c r="F630" t="s">
        <v>154</v>
      </c>
      <c r="G630" t="s">
        <v>10506</v>
      </c>
      <c r="H630" s="26">
        <v>18043</v>
      </c>
      <c r="I630" t="s">
        <v>58</v>
      </c>
      <c r="J630" t="s">
        <v>10507</v>
      </c>
      <c r="M630">
        <v>95280</v>
      </c>
      <c r="N630" t="s">
        <v>1535</v>
      </c>
      <c r="O630" t="s">
        <v>61</v>
      </c>
      <c r="P630">
        <v>130730115</v>
      </c>
      <c r="Q630">
        <v>766845753</v>
      </c>
      <c r="R630" t="s">
        <v>10508</v>
      </c>
      <c r="S630" t="s">
        <v>63</v>
      </c>
      <c r="T630" t="s">
        <v>64</v>
      </c>
      <c r="U630" t="s">
        <v>65</v>
      </c>
      <c r="W630" s="26">
        <v>45580</v>
      </c>
      <c r="X630" t="s">
        <v>61</v>
      </c>
      <c r="Y630" t="s">
        <v>237</v>
      </c>
    </row>
    <row r="631" spans="1:25" x14ac:dyDescent="0.25">
      <c r="A631" t="s">
        <v>10509</v>
      </c>
      <c r="B631">
        <v>11</v>
      </c>
      <c r="C631">
        <v>94</v>
      </c>
      <c r="D631">
        <v>9024</v>
      </c>
      <c r="E631" t="s">
        <v>4</v>
      </c>
      <c r="F631" t="s">
        <v>1382</v>
      </c>
      <c r="G631" t="s">
        <v>10510</v>
      </c>
      <c r="H631" s="26">
        <v>17173</v>
      </c>
      <c r="I631" t="s">
        <v>58</v>
      </c>
      <c r="J631" t="s">
        <v>10511</v>
      </c>
      <c r="M631">
        <v>94410</v>
      </c>
      <c r="N631" t="s">
        <v>728</v>
      </c>
      <c r="O631" t="s">
        <v>61</v>
      </c>
      <c r="Q631">
        <v>617622428</v>
      </c>
      <c r="R631" t="s">
        <v>10512</v>
      </c>
      <c r="S631" t="s">
        <v>63</v>
      </c>
      <c r="T631" t="s">
        <v>64</v>
      </c>
      <c r="U631" t="s">
        <v>65</v>
      </c>
      <c r="W631" s="26">
        <v>45575</v>
      </c>
      <c r="X631" t="s">
        <v>61</v>
      </c>
      <c r="Y631" t="s">
        <v>237</v>
      </c>
    </row>
    <row r="632" spans="1:25" x14ac:dyDescent="0.25">
      <c r="A632" t="s">
        <v>10513</v>
      </c>
      <c r="B632">
        <v>11</v>
      </c>
      <c r="C632">
        <v>95</v>
      </c>
      <c r="D632">
        <v>9010</v>
      </c>
      <c r="E632" t="s">
        <v>6</v>
      </c>
      <c r="F632" t="s">
        <v>2501</v>
      </c>
      <c r="G632" t="s">
        <v>10454</v>
      </c>
      <c r="H632" s="26">
        <v>21265</v>
      </c>
      <c r="I632" t="s">
        <v>16</v>
      </c>
      <c r="J632" t="s">
        <v>10514</v>
      </c>
      <c r="M632">
        <v>92700</v>
      </c>
      <c r="N632" t="s">
        <v>151</v>
      </c>
      <c r="O632" t="s">
        <v>61</v>
      </c>
      <c r="R632" t="s">
        <v>10515</v>
      </c>
      <c r="S632" t="s">
        <v>63</v>
      </c>
      <c r="T632" t="s">
        <v>64</v>
      </c>
      <c r="U632" t="s">
        <v>65</v>
      </c>
      <c r="W632" s="26">
        <v>45574</v>
      </c>
      <c r="X632" t="s">
        <v>61</v>
      </c>
      <c r="Y632" t="s">
        <v>237</v>
      </c>
    </row>
    <row r="633" spans="1:25" x14ac:dyDescent="0.25">
      <c r="A633" t="s">
        <v>2502</v>
      </c>
      <c r="B633">
        <v>11</v>
      </c>
      <c r="C633">
        <v>95</v>
      </c>
      <c r="D633">
        <v>9010</v>
      </c>
      <c r="E633" t="s">
        <v>6</v>
      </c>
      <c r="F633" t="s">
        <v>1019</v>
      </c>
      <c r="G633" t="s">
        <v>2503</v>
      </c>
      <c r="H633" s="26">
        <v>19630</v>
      </c>
      <c r="I633" t="s">
        <v>58</v>
      </c>
      <c r="J633" t="s">
        <v>2504</v>
      </c>
      <c r="M633">
        <v>92500</v>
      </c>
      <c r="N633" t="s">
        <v>122</v>
      </c>
      <c r="O633" t="s">
        <v>61</v>
      </c>
      <c r="S633" t="s">
        <v>63</v>
      </c>
      <c r="T633" t="s">
        <v>64</v>
      </c>
      <c r="U633" t="s">
        <v>65</v>
      </c>
      <c r="W633" s="26">
        <v>45566</v>
      </c>
      <c r="X633" t="s">
        <v>61</v>
      </c>
      <c r="Y633" t="s">
        <v>237</v>
      </c>
    </row>
    <row r="634" spans="1:25" x14ac:dyDescent="0.25">
      <c r="A634" t="s">
        <v>2505</v>
      </c>
      <c r="B634">
        <v>11</v>
      </c>
      <c r="C634">
        <v>77</v>
      </c>
      <c r="D634">
        <v>9049</v>
      </c>
      <c r="E634" t="s">
        <v>902</v>
      </c>
      <c r="F634" t="s">
        <v>2506</v>
      </c>
      <c r="G634" t="s">
        <v>2507</v>
      </c>
      <c r="H634" s="26">
        <v>23569</v>
      </c>
      <c r="I634" t="s">
        <v>16</v>
      </c>
      <c r="J634" t="s">
        <v>2508</v>
      </c>
      <c r="M634">
        <v>77120</v>
      </c>
      <c r="N634" t="s">
        <v>1954</v>
      </c>
      <c r="O634" t="s">
        <v>61</v>
      </c>
      <c r="Q634">
        <v>688044839</v>
      </c>
      <c r="R634" t="s">
        <v>2509</v>
      </c>
      <c r="S634" t="s">
        <v>63</v>
      </c>
      <c r="T634" t="s">
        <v>64</v>
      </c>
      <c r="U634" t="s">
        <v>65</v>
      </c>
      <c r="W634" s="26">
        <v>45524</v>
      </c>
      <c r="X634" t="s">
        <v>61</v>
      </c>
      <c r="Y634" t="s">
        <v>237</v>
      </c>
    </row>
    <row r="635" spans="1:25" x14ac:dyDescent="0.25">
      <c r="A635" t="s">
        <v>2511</v>
      </c>
      <c r="B635">
        <v>11</v>
      </c>
      <c r="C635">
        <v>95</v>
      </c>
      <c r="D635">
        <v>9127</v>
      </c>
      <c r="E635" t="s">
        <v>536</v>
      </c>
      <c r="F635" t="s">
        <v>217</v>
      </c>
      <c r="G635" t="s">
        <v>1292</v>
      </c>
      <c r="H635" s="26">
        <v>23650</v>
      </c>
      <c r="I635" t="s">
        <v>58</v>
      </c>
      <c r="J635" t="s">
        <v>2512</v>
      </c>
      <c r="M635">
        <v>95300</v>
      </c>
      <c r="N635" t="s">
        <v>1977</v>
      </c>
      <c r="O635" t="s">
        <v>61</v>
      </c>
      <c r="R635" t="s">
        <v>2513</v>
      </c>
      <c r="S635" t="s">
        <v>63</v>
      </c>
      <c r="T635" t="s">
        <v>64</v>
      </c>
      <c r="U635" t="s">
        <v>8684</v>
      </c>
      <c r="W635" s="26">
        <v>45526</v>
      </c>
      <c r="X635" t="s">
        <v>61</v>
      </c>
      <c r="Y635" t="s">
        <v>237</v>
      </c>
    </row>
    <row r="636" spans="1:25" x14ac:dyDescent="0.25">
      <c r="A636" t="s">
        <v>8887</v>
      </c>
      <c r="B636">
        <v>11</v>
      </c>
      <c r="C636">
        <v>91</v>
      </c>
      <c r="D636">
        <v>9096</v>
      </c>
      <c r="E636" t="s">
        <v>526</v>
      </c>
      <c r="F636" t="s">
        <v>97</v>
      </c>
      <c r="G636" t="s">
        <v>8888</v>
      </c>
      <c r="H636" s="26">
        <v>21110</v>
      </c>
      <c r="I636" t="s">
        <v>58</v>
      </c>
      <c r="J636" t="s">
        <v>8889</v>
      </c>
      <c r="M636">
        <v>91580</v>
      </c>
      <c r="N636" t="s">
        <v>528</v>
      </c>
      <c r="O636" t="s">
        <v>61</v>
      </c>
      <c r="P636">
        <v>169922291</v>
      </c>
      <c r="Q636">
        <v>680268180</v>
      </c>
      <c r="S636" t="s">
        <v>63</v>
      </c>
      <c r="T636" t="s">
        <v>64</v>
      </c>
      <c r="U636" t="s">
        <v>65</v>
      </c>
      <c r="W636" s="26">
        <v>45556</v>
      </c>
      <c r="X636" t="s">
        <v>61</v>
      </c>
      <c r="Y636" t="s">
        <v>237</v>
      </c>
    </row>
    <row r="637" spans="1:25" x14ac:dyDescent="0.25">
      <c r="A637" t="s">
        <v>2514</v>
      </c>
      <c r="B637">
        <v>11</v>
      </c>
      <c r="C637">
        <v>95</v>
      </c>
      <c r="D637">
        <v>9069</v>
      </c>
      <c r="E637" t="s">
        <v>129</v>
      </c>
      <c r="F637" t="s">
        <v>97</v>
      </c>
      <c r="G637" t="s">
        <v>2515</v>
      </c>
      <c r="H637" s="26">
        <v>19864</v>
      </c>
      <c r="I637" t="s">
        <v>58</v>
      </c>
      <c r="J637" t="s">
        <v>2516</v>
      </c>
      <c r="M637">
        <v>95130</v>
      </c>
      <c r="N637" t="s">
        <v>828</v>
      </c>
      <c r="O637" t="s">
        <v>61</v>
      </c>
      <c r="P637">
        <v>134152896</v>
      </c>
      <c r="Q637">
        <v>644886356</v>
      </c>
      <c r="R637" t="s">
        <v>2517</v>
      </c>
      <c r="S637" t="s">
        <v>63</v>
      </c>
      <c r="T637" t="s">
        <v>64</v>
      </c>
      <c r="U637" t="s">
        <v>65</v>
      </c>
      <c r="W637" s="26">
        <v>45554</v>
      </c>
      <c r="X637" t="s">
        <v>61</v>
      </c>
      <c r="Y637" t="s">
        <v>237</v>
      </c>
    </row>
    <row r="638" spans="1:25" x14ac:dyDescent="0.25">
      <c r="A638" t="s">
        <v>8890</v>
      </c>
      <c r="B638">
        <v>11</v>
      </c>
      <c r="C638">
        <v>78</v>
      </c>
      <c r="D638">
        <v>9030</v>
      </c>
      <c r="E638" t="s">
        <v>96</v>
      </c>
      <c r="F638" t="s">
        <v>355</v>
      </c>
      <c r="G638" t="s">
        <v>8891</v>
      </c>
      <c r="H638" s="26">
        <v>36524</v>
      </c>
      <c r="I638" t="s">
        <v>58</v>
      </c>
      <c r="J638" t="s">
        <v>8892</v>
      </c>
      <c r="M638">
        <v>78990</v>
      </c>
      <c r="N638" t="s">
        <v>465</v>
      </c>
      <c r="O638" t="s">
        <v>61</v>
      </c>
      <c r="Q638">
        <v>783098691</v>
      </c>
      <c r="R638" t="s">
        <v>8893</v>
      </c>
      <c r="S638" t="s">
        <v>63</v>
      </c>
      <c r="T638" t="s">
        <v>64</v>
      </c>
      <c r="U638" t="s">
        <v>65</v>
      </c>
      <c r="W638" s="26">
        <v>45555</v>
      </c>
      <c r="X638" t="s">
        <v>61</v>
      </c>
      <c r="Y638" t="s">
        <v>237</v>
      </c>
    </row>
    <row r="639" spans="1:25" x14ac:dyDescent="0.25">
      <c r="A639" t="s">
        <v>2518</v>
      </c>
      <c r="B639">
        <v>11</v>
      </c>
      <c r="C639">
        <v>78</v>
      </c>
      <c r="D639">
        <v>9030</v>
      </c>
      <c r="E639" t="s">
        <v>96</v>
      </c>
      <c r="F639" t="s">
        <v>13</v>
      </c>
      <c r="G639" t="s">
        <v>2519</v>
      </c>
      <c r="H639" s="26">
        <v>19760</v>
      </c>
      <c r="I639" t="s">
        <v>58</v>
      </c>
      <c r="J639" t="s">
        <v>2520</v>
      </c>
      <c r="M639">
        <v>78990</v>
      </c>
      <c r="N639" t="s">
        <v>465</v>
      </c>
      <c r="O639" t="s">
        <v>61</v>
      </c>
      <c r="Q639">
        <v>666471334</v>
      </c>
      <c r="R639" t="s">
        <v>2521</v>
      </c>
      <c r="S639" t="s">
        <v>63</v>
      </c>
      <c r="T639" t="s">
        <v>64</v>
      </c>
      <c r="U639" t="s">
        <v>65</v>
      </c>
      <c r="W639" s="26">
        <v>45542</v>
      </c>
      <c r="X639" t="s">
        <v>61</v>
      </c>
      <c r="Y639" t="s">
        <v>237</v>
      </c>
    </row>
    <row r="640" spans="1:25" x14ac:dyDescent="0.25">
      <c r="A640" t="s">
        <v>2522</v>
      </c>
      <c r="B640">
        <v>11</v>
      </c>
      <c r="C640">
        <v>78</v>
      </c>
      <c r="D640">
        <v>9038</v>
      </c>
      <c r="E640" t="s">
        <v>484</v>
      </c>
      <c r="F640" t="s">
        <v>134</v>
      </c>
      <c r="G640" t="s">
        <v>2523</v>
      </c>
      <c r="H640" s="26">
        <v>17935</v>
      </c>
      <c r="I640" t="s">
        <v>58</v>
      </c>
      <c r="J640" t="s">
        <v>2524</v>
      </c>
      <c r="M640">
        <v>78700</v>
      </c>
      <c r="N640" t="s">
        <v>2525</v>
      </c>
      <c r="O640" t="s">
        <v>61</v>
      </c>
      <c r="P640">
        <v>134900103</v>
      </c>
      <c r="Q640">
        <v>622985674</v>
      </c>
      <c r="R640" t="s">
        <v>2526</v>
      </c>
      <c r="S640" t="s">
        <v>63</v>
      </c>
      <c r="T640" t="s">
        <v>64</v>
      </c>
      <c r="U640" t="s">
        <v>65</v>
      </c>
      <c r="W640" s="26">
        <v>45553</v>
      </c>
      <c r="X640" t="s">
        <v>61</v>
      </c>
      <c r="Y640" t="s">
        <v>237</v>
      </c>
    </row>
    <row r="641" spans="1:25" x14ac:dyDescent="0.25">
      <c r="A641" t="s">
        <v>2527</v>
      </c>
      <c r="B641">
        <v>11</v>
      </c>
      <c r="C641">
        <v>91</v>
      </c>
      <c r="D641">
        <v>9064</v>
      </c>
      <c r="E641" t="s">
        <v>266</v>
      </c>
      <c r="F641" t="s">
        <v>160</v>
      </c>
      <c r="G641" t="s">
        <v>2528</v>
      </c>
      <c r="H641" s="26">
        <v>19370</v>
      </c>
      <c r="I641" t="s">
        <v>58</v>
      </c>
      <c r="J641" t="s">
        <v>2529</v>
      </c>
      <c r="M641">
        <v>91300</v>
      </c>
      <c r="N641" t="s">
        <v>675</v>
      </c>
      <c r="O641" t="s">
        <v>61</v>
      </c>
      <c r="P641">
        <v>160119152</v>
      </c>
      <c r="R641" t="s">
        <v>2530</v>
      </c>
      <c r="S641" t="s">
        <v>63</v>
      </c>
      <c r="T641" t="s">
        <v>64</v>
      </c>
      <c r="U641" t="s">
        <v>65</v>
      </c>
      <c r="W641" s="26">
        <v>45558</v>
      </c>
      <c r="X641" t="s">
        <v>61</v>
      </c>
      <c r="Y641" t="s">
        <v>237</v>
      </c>
    </row>
    <row r="642" spans="1:25" x14ac:dyDescent="0.25">
      <c r="A642" t="s">
        <v>2531</v>
      </c>
      <c r="B642">
        <v>11</v>
      </c>
      <c r="C642">
        <v>95</v>
      </c>
      <c r="D642">
        <v>9010</v>
      </c>
      <c r="E642" t="s">
        <v>6</v>
      </c>
      <c r="F642" t="s">
        <v>2532</v>
      </c>
      <c r="G642" t="s">
        <v>2533</v>
      </c>
      <c r="H642" s="26">
        <v>36436</v>
      </c>
      <c r="I642" t="s">
        <v>58</v>
      </c>
      <c r="J642" t="s">
        <v>2534</v>
      </c>
      <c r="M642">
        <v>95100</v>
      </c>
      <c r="N642" t="s">
        <v>311</v>
      </c>
      <c r="O642" t="s">
        <v>61</v>
      </c>
      <c r="R642" t="s">
        <v>2535</v>
      </c>
      <c r="S642" t="s">
        <v>63</v>
      </c>
      <c r="T642" t="s">
        <v>64</v>
      </c>
      <c r="U642" t="s">
        <v>1636</v>
      </c>
      <c r="W642" s="26">
        <v>45537</v>
      </c>
      <c r="X642" t="s">
        <v>61</v>
      </c>
      <c r="Y642" t="s">
        <v>237</v>
      </c>
    </row>
    <row r="643" spans="1:25" x14ac:dyDescent="0.25">
      <c r="A643" t="s">
        <v>2536</v>
      </c>
      <c r="B643">
        <v>11</v>
      </c>
      <c r="C643">
        <v>93</v>
      </c>
      <c r="D643">
        <v>9060</v>
      </c>
      <c r="E643" t="s">
        <v>203</v>
      </c>
      <c r="F643" t="s">
        <v>97</v>
      </c>
      <c r="G643" t="s">
        <v>2537</v>
      </c>
      <c r="H643" s="26">
        <v>15167</v>
      </c>
      <c r="I643" t="s">
        <v>58</v>
      </c>
      <c r="J643" t="s">
        <v>2538</v>
      </c>
      <c r="M643">
        <v>93290</v>
      </c>
      <c r="N643" t="s">
        <v>1332</v>
      </c>
      <c r="O643" t="s">
        <v>61</v>
      </c>
      <c r="P643">
        <v>148601338</v>
      </c>
      <c r="Q643">
        <v>610700791</v>
      </c>
      <c r="S643" t="s">
        <v>63</v>
      </c>
      <c r="T643" t="s">
        <v>64</v>
      </c>
      <c r="U643" t="s">
        <v>65</v>
      </c>
      <c r="W643" s="26">
        <v>45556</v>
      </c>
      <c r="X643" t="s">
        <v>61</v>
      </c>
      <c r="Y643" t="s">
        <v>237</v>
      </c>
    </row>
    <row r="644" spans="1:25" x14ac:dyDescent="0.25">
      <c r="A644" t="s">
        <v>9919</v>
      </c>
      <c r="B644">
        <v>11</v>
      </c>
      <c r="C644">
        <v>91</v>
      </c>
      <c r="D644">
        <v>9082</v>
      </c>
      <c r="E644" t="s">
        <v>67</v>
      </c>
      <c r="F644" t="s">
        <v>1991</v>
      </c>
      <c r="G644" t="s">
        <v>9920</v>
      </c>
      <c r="H644" s="26">
        <v>16085</v>
      </c>
      <c r="I644" t="s">
        <v>58</v>
      </c>
      <c r="J644" t="s">
        <v>9921</v>
      </c>
      <c r="M644">
        <v>91210</v>
      </c>
      <c r="N644" t="s">
        <v>226</v>
      </c>
      <c r="O644" t="s">
        <v>61</v>
      </c>
      <c r="P644">
        <v>169402743</v>
      </c>
      <c r="R644" t="s">
        <v>9922</v>
      </c>
      <c r="S644" t="s">
        <v>63</v>
      </c>
      <c r="T644" t="s">
        <v>64</v>
      </c>
      <c r="U644" t="s">
        <v>65</v>
      </c>
      <c r="W644" s="26">
        <v>45568</v>
      </c>
      <c r="X644" t="s">
        <v>61</v>
      </c>
      <c r="Y644" t="s">
        <v>237</v>
      </c>
    </row>
    <row r="645" spans="1:25" x14ac:dyDescent="0.25">
      <c r="A645" t="s">
        <v>2539</v>
      </c>
      <c r="B645">
        <v>11</v>
      </c>
      <c r="C645">
        <v>94</v>
      </c>
      <c r="D645">
        <v>9024</v>
      </c>
      <c r="E645" t="s">
        <v>4</v>
      </c>
      <c r="F645" t="s">
        <v>955</v>
      </c>
      <c r="G645" t="s">
        <v>2540</v>
      </c>
      <c r="H645" s="26">
        <v>24094</v>
      </c>
      <c r="I645" t="s">
        <v>58</v>
      </c>
      <c r="J645" t="s">
        <v>2541</v>
      </c>
      <c r="M645">
        <v>94500</v>
      </c>
      <c r="N645" t="s">
        <v>339</v>
      </c>
      <c r="O645" t="s">
        <v>61</v>
      </c>
      <c r="Q645">
        <v>748906514</v>
      </c>
      <c r="R645" t="s">
        <v>2542</v>
      </c>
      <c r="S645" t="s">
        <v>63</v>
      </c>
      <c r="T645" t="s">
        <v>64</v>
      </c>
      <c r="U645" t="s">
        <v>65</v>
      </c>
      <c r="W645" s="26">
        <v>45559</v>
      </c>
      <c r="X645" t="s">
        <v>61</v>
      </c>
      <c r="Y645" t="s">
        <v>237</v>
      </c>
    </row>
    <row r="646" spans="1:25" x14ac:dyDescent="0.25">
      <c r="A646" t="s">
        <v>2543</v>
      </c>
      <c r="B646">
        <v>11</v>
      </c>
      <c r="C646">
        <v>94</v>
      </c>
      <c r="D646">
        <v>9024</v>
      </c>
      <c r="E646" t="s">
        <v>4</v>
      </c>
      <c r="F646" t="s">
        <v>2544</v>
      </c>
      <c r="G646" t="s">
        <v>2545</v>
      </c>
      <c r="H646" s="26">
        <v>25807</v>
      </c>
      <c r="I646" t="s">
        <v>16</v>
      </c>
      <c r="J646" t="s">
        <v>2541</v>
      </c>
      <c r="M646">
        <v>94500</v>
      </c>
      <c r="N646" t="s">
        <v>339</v>
      </c>
      <c r="O646" t="s">
        <v>61</v>
      </c>
      <c r="Q646">
        <v>664726334</v>
      </c>
      <c r="R646" t="s">
        <v>2546</v>
      </c>
      <c r="S646" t="s">
        <v>63</v>
      </c>
      <c r="T646" t="s">
        <v>64</v>
      </c>
      <c r="U646" t="s">
        <v>65</v>
      </c>
      <c r="W646" s="26">
        <v>45559</v>
      </c>
      <c r="X646" t="s">
        <v>61</v>
      </c>
      <c r="Y646" t="s">
        <v>237</v>
      </c>
    </row>
    <row r="647" spans="1:25" x14ac:dyDescent="0.25">
      <c r="A647" t="s">
        <v>2547</v>
      </c>
      <c r="B647">
        <v>11</v>
      </c>
      <c r="C647">
        <v>92</v>
      </c>
      <c r="D647">
        <v>9068</v>
      </c>
      <c r="E647" t="s">
        <v>119</v>
      </c>
      <c r="F647" t="s">
        <v>85</v>
      </c>
      <c r="G647" t="s">
        <v>2548</v>
      </c>
      <c r="H647" s="26">
        <v>24045</v>
      </c>
      <c r="I647" t="s">
        <v>58</v>
      </c>
      <c r="J647" t="s">
        <v>2549</v>
      </c>
      <c r="M647">
        <v>75013</v>
      </c>
      <c r="N647" t="s">
        <v>330</v>
      </c>
      <c r="O647" t="s">
        <v>61</v>
      </c>
      <c r="P647">
        <v>147072675</v>
      </c>
      <c r="Q647">
        <v>650241965</v>
      </c>
      <c r="R647" t="s">
        <v>2550</v>
      </c>
      <c r="S647" t="s">
        <v>63</v>
      </c>
      <c r="T647" t="s">
        <v>64</v>
      </c>
      <c r="U647" t="s">
        <v>65</v>
      </c>
      <c r="W647" s="26">
        <v>45548</v>
      </c>
      <c r="X647" t="s">
        <v>61</v>
      </c>
      <c r="Y647" t="s">
        <v>237</v>
      </c>
    </row>
    <row r="648" spans="1:25" x14ac:dyDescent="0.25">
      <c r="A648" t="s">
        <v>2551</v>
      </c>
      <c r="B648">
        <v>11</v>
      </c>
      <c r="C648">
        <v>92</v>
      </c>
      <c r="D648">
        <v>9088</v>
      </c>
      <c r="E648" t="s">
        <v>1</v>
      </c>
      <c r="F648" t="s">
        <v>2552</v>
      </c>
      <c r="G648" t="s">
        <v>2553</v>
      </c>
      <c r="H648" s="26">
        <v>26065</v>
      </c>
      <c r="I648" t="s">
        <v>16</v>
      </c>
      <c r="J648" t="s">
        <v>2554</v>
      </c>
      <c r="M648">
        <v>92110</v>
      </c>
      <c r="N648" t="s">
        <v>135</v>
      </c>
      <c r="O648" t="s">
        <v>61</v>
      </c>
      <c r="P648">
        <v>613452206</v>
      </c>
      <c r="R648" t="s">
        <v>2555</v>
      </c>
      <c r="S648" t="s">
        <v>63</v>
      </c>
      <c r="T648" t="s">
        <v>64</v>
      </c>
      <c r="U648" t="s">
        <v>65</v>
      </c>
      <c r="W648" s="26">
        <v>45558</v>
      </c>
      <c r="X648" t="s">
        <v>61</v>
      </c>
      <c r="Y648" t="s">
        <v>237</v>
      </c>
    </row>
    <row r="649" spans="1:25" x14ac:dyDescent="0.25">
      <c r="A649" t="s">
        <v>10516</v>
      </c>
      <c r="B649">
        <v>11</v>
      </c>
      <c r="C649">
        <v>92</v>
      </c>
      <c r="D649">
        <v>9068</v>
      </c>
      <c r="E649" t="s">
        <v>119</v>
      </c>
      <c r="F649" t="s">
        <v>1991</v>
      </c>
      <c r="G649" t="s">
        <v>10517</v>
      </c>
      <c r="H649" s="26">
        <v>17982</v>
      </c>
      <c r="I649" t="s">
        <v>58</v>
      </c>
      <c r="J649" t="s">
        <v>10518</v>
      </c>
      <c r="M649">
        <v>92320</v>
      </c>
      <c r="N649" t="s">
        <v>228</v>
      </c>
      <c r="O649" t="s">
        <v>61</v>
      </c>
      <c r="P649">
        <v>146554578</v>
      </c>
      <c r="Q649">
        <v>620238645</v>
      </c>
      <c r="R649" t="s">
        <v>10519</v>
      </c>
      <c r="S649" t="s">
        <v>63</v>
      </c>
      <c r="T649" t="s">
        <v>64</v>
      </c>
      <c r="U649" t="s">
        <v>65</v>
      </c>
      <c r="W649" s="26">
        <v>45579</v>
      </c>
      <c r="X649" t="s">
        <v>61</v>
      </c>
      <c r="Y649" t="s">
        <v>237</v>
      </c>
    </row>
    <row r="650" spans="1:25" x14ac:dyDescent="0.25">
      <c r="A650" t="s">
        <v>2556</v>
      </c>
      <c r="B650">
        <v>11</v>
      </c>
      <c r="C650">
        <v>91</v>
      </c>
      <c r="D650">
        <v>9064</v>
      </c>
      <c r="E650" t="s">
        <v>266</v>
      </c>
      <c r="F650" t="s">
        <v>289</v>
      </c>
      <c r="G650" t="s">
        <v>2557</v>
      </c>
      <c r="H650" s="26">
        <v>18508</v>
      </c>
      <c r="I650" t="s">
        <v>58</v>
      </c>
      <c r="J650" t="s">
        <v>2558</v>
      </c>
      <c r="M650">
        <v>91300</v>
      </c>
      <c r="N650" t="s">
        <v>675</v>
      </c>
      <c r="O650" t="s">
        <v>61</v>
      </c>
      <c r="P650">
        <v>169208928</v>
      </c>
      <c r="Q650">
        <v>671261321</v>
      </c>
      <c r="R650" t="s">
        <v>2559</v>
      </c>
      <c r="S650" t="s">
        <v>63</v>
      </c>
      <c r="T650" t="s">
        <v>64</v>
      </c>
      <c r="U650" t="s">
        <v>65</v>
      </c>
      <c r="W650" s="26">
        <v>45548</v>
      </c>
      <c r="X650" t="s">
        <v>61</v>
      </c>
      <c r="Y650" t="s">
        <v>237</v>
      </c>
    </row>
    <row r="651" spans="1:25" x14ac:dyDescent="0.25">
      <c r="A651" t="s">
        <v>2560</v>
      </c>
      <c r="B651">
        <v>11</v>
      </c>
      <c r="C651">
        <v>78</v>
      </c>
      <c r="D651">
        <v>9038</v>
      </c>
      <c r="E651" t="s">
        <v>484</v>
      </c>
      <c r="F651" t="s">
        <v>887</v>
      </c>
      <c r="G651" t="s">
        <v>2561</v>
      </c>
      <c r="H651" s="26">
        <v>20244</v>
      </c>
      <c r="I651" t="s">
        <v>58</v>
      </c>
      <c r="J651" t="s">
        <v>2562</v>
      </c>
      <c r="M651">
        <v>78260</v>
      </c>
      <c r="N651" t="s">
        <v>1691</v>
      </c>
      <c r="O651" t="s">
        <v>61</v>
      </c>
      <c r="Q651">
        <v>663745702</v>
      </c>
      <c r="R651" t="s">
        <v>2563</v>
      </c>
      <c r="S651" t="s">
        <v>63</v>
      </c>
      <c r="T651" t="s">
        <v>64</v>
      </c>
      <c r="U651" t="s">
        <v>65</v>
      </c>
      <c r="W651" s="26">
        <v>45545</v>
      </c>
      <c r="X651" t="s">
        <v>61</v>
      </c>
      <c r="Y651" t="s">
        <v>237</v>
      </c>
    </row>
    <row r="652" spans="1:25" x14ac:dyDescent="0.25">
      <c r="A652" t="s">
        <v>2564</v>
      </c>
      <c r="B652">
        <v>11</v>
      </c>
      <c r="C652">
        <v>78</v>
      </c>
      <c r="D652">
        <v>9052</v>
      </c>
      <c r="E652" t="s">
        <v>337</v>
      </c>
      <c r="F652" t="s">
        <v>448</v>
      </c>
      <c r="G652" t="s">
        <v>2565</v>
      </c>
      <c r="H652" s="26">
        <v>13653</v>
      </c>
      <c r="I652" t="s">
        <v>58</v>
      </c>
      <c r="J652" t="s">
        <v>2566</v>
      </c>
      <c r="M652">
        <v>78000</v>
      </c>
      <c r="N652" t="s">
        <v>1334</v>
      </c>
      <c r="O652" t="s">
        <v>61</v>
      </c>
      <c r="P652">
        <v>982503756</v>
      </c>
      <c r="Q652">
        <v>620630176</v>
      </c>
      <c r="R652" t="s">
        <v>2567</v>
      </c>
      <c r="S652" t="s">
        <v>63</v>
      </c>
      <c r="T652" t="s">
        <v>64</v>
      </c>
      <c r="U652" t="s">
        <v>65</v>
      </c>
      <c r="W652" s="26">
        <v>45544</v>
      </c>
      <c r="X652" t="s">
        <v>61</v>
      </c>
      <c r="Y652" t="s">
        <v>237</v>
      </c>
    </row>
    <row r="653" spans="1:25" x14ac:dyDescent="0.25">
      <c r="A653" t="s">
        <v>2568</v>
      </c>
      <c r="B653">
        <v>11</v>
      </c>
      <c r="C653">
        <v>94</v>
      </c>
      <c r="D653">
        <v>9031</v>
      </c>
      <c r="E653" t="s">
        <v>7</v>
      </c>
      <c r="F653" t="s">
        <v>2569</v>
      </c>
      <c r="G653" t="s">
        <v>769</v>
      </c>
      <c r="H653" s="26">
        <v>22837</v>
      </c>
      <c r="I653" t="s">
        <v>58</v>
      </c>
      <c r="J653" t="s">
        <v>2570</v>
      </c>
      <c r="M653">
        <v>93160</v>
      </c>
      <c r="N653" t="s">
        <v>649</v>
      </c>
      <c r="O653" t="s">
        <v>61</v>
      </c>
      <c r="Q653">
        <v>686315105</v>
      </c>
      <c r="R653" t="s">
        <v>2571</v>
      </c>
      <c r="S653" t="s">
        <v>63</v>
      </c>
      <c r="T653" t="s">
        <v>64</v>
      </c>
      <c r="U653" t="s">
        <v>65</v>
      </c>
      <c r="W653" s="26">
        <v>45543</v>
      </c>
      <c r="X653" t="s">
        <v>61</v>
      </c>
      <c r="Y653" t="s">
        <v>237</v>
      </c>
    </row>
    <row r="654" spans="1:25" x14ac:dyDescent="0.25">
      <c r="A654" t="s">
        <v>2572</v>
      </c>
      <c r="B654">
        <v>11</v>
      </c>
      <c r="C654">
        <v>94</v>
      </c>
      <c r="D654">
        <v>9031</v>
      </c>
      <c r="E654" t="s">
        <v>7</v>
      </c>
      <c r="F654" t="s">
        <v>2573</v>
      </c>
      <c r="G654" t="s">
        <v>2574</v>
      </c>
      <c r="H654" s="26">
        <v>16548</v>
      </c>
      <c r="I654" t="s">
        <v>58</v>
      </c>
      <c r="J654" t="s">
        <v>2575</v>
      </c>
      <c r="M654">
        <v>94350</v>
      </c>
      <c r="N654" t="s">
        <v>172</v>
      </c>
      <c r="O654" t="s">
        <v>61</v>
      </c>
      <c r="Q654">
        <v>606590097</v>
      </c>
      <c r="R654" t="s">
        <v>2576</v>
      </c>
      <c r="S654" t="s">
        <v>63</v>
      </c>
      <c r="T654" t="s">
        <v>64</v>
      </c>
      <c r="U654" t="s">
        <v>65</v>
      </c>
      <c r="W654" s="26">
        <v>45550</v>
      </c>
      <c r="X654" t="s">
        <v>61</v>
      </c>
      <c r="Y654" t="s">
        <v>237</v>
      </c>
    </row>
    <row r="655" spans="1:25" x14ac:dyDescent="0.25">
      <c r="A655" t="s">
        <v>2578</v>
      </c>
      <c r="B655">
        <v>11</v>
      </c>
      <c r="C655">
        <v>78</v>
      </c>
      <c r="D655">
        <v>9101</v>
      </c>
      <c r="E655" t="s">
        <v>1165</v>
      </c>
      <c r="F655" t="s">
        <v>12</v>
      </c>
      <c r="G655" t="s">
        <v>2579</v>
      </c>
      <c r="H655" s="26">
        <v>27051</v>
      </c>
      <c r="I655" t="s">
        <v>58</v>
      </c>
      <c r="J655" t="s">
        <v>2580</v>
      </c>
      <c r="M655">
        <v>78800</v>
      </c>
      <c r="N655" t="s">
        <v>1472</v>
      </c>
      <c r="O655" t="s">
        <v>61</v>
      </c>
      <c r="Q655">
        <v>613522044</v>
      </c>
      <c r="R655" t="s">
        <v>2581</v>
      </c>
      <c r="S655" t="s">
        <v>63</v>
      </c>
      <c r="T655" t="s">
        <v>64</v>
      </c>
      <c r="U655" t="s">
        <v>486</v>
      </c>
      <c r="W655" s="26">
        <v>45525</v>
      </c>
      <c r="X655" t="s">
        <v>61</v>
      </c>
      <c r="Y655" t="s">
        <v>237</v>
      </c>
    </row>
    <row r="656" spans="1:25" x14ac:dyDescent="0.25">
      <c r="A656" t="s">
        <v>2582</v>
      </c>
      <c r="B656">
        <v>11</v>
      </c>
      <c r="C656">
        <v>78</v>
      </c>
      <c r="D656">
        <v>9084</v>
      </c>
      <c r="E656" t="s">
        <v>216</v>
      </c>
      <c r="F656" t="s">
        <v>85</v>
      </c>
      <c r="G656" t="s">
        <v>2583</v>
      </c>
      <c r="H656" s="26">
        <v>18194</v>
      </c>
      <c r="I656" t="s">
        <v>58</v>
      </c>
      <c r="J656" t="s">
        <v>2584</v>
      </c>
      <c r="M656">
        <v>95000</v>
      </c>
      <c r="N656" t="s">
        <v>2585</v>
      </c>
      <c r="O656" t="s">
        <v>61</v>
      </c>
      <c r="Q656">
        <v>610992532</v>
      </c>
      <c r="R656" t="s">
        <v>2586</v>
      </c>
      <c r="S656" t="s">
        <v>63</v>
      </c>
      <c r="T656" t="s">
        <v>64</v>
      </c>
      <c r="U656" t="s">
        <v>65</v>
      </c>
      <c r="W656" s="26">
        <v>45559</v>
      </c>
      <c r="X656" t="s">
        <v>61</v>
      </c>
      <c r="Y656" t="s">
        <v>237</v>
      </c>
    </row>
    <row r="657" spans="1:25" x14ac:dyDescent="0.25">
      <c r="A657" t="s">
        <v>2587</v>
      </c>
      <c r="B657">
        <v>11</v>
      </c>
      <c r="C657">
        <v>91</v>
      </c>
      <c r="D657">
        <v>9009</v>
      </c>
      <c r="E657" t="s">
        <v>159</v>
      </c>
      <c r="F657" t="s">
        <v>12</v>
      </c>
      <c r="G657" t="s">
        <v>2588</v>
      </c>
      <c r="H657" s="26">
        <v>22073</v>
      </c>
      <c r="I657" t="s">
        <v>58</v>
      </c>
      <c r="J657" t="s">
        <v>2589</v>
      </c>
      <c r="M657">
        <v>94230</v>
      </c>
      <c r="N657" t="s">
        <v>1236</v>
      </c>
      <c r="O657" t="s">
        <v>61</v>
      </c>
      <c r="P657">
        <v>145479053</v>
      </c>
      <c r="Q657">
        <v>787685569</v>
      </c>
      <c r="R657" t="s">
        <v>2590</v>
      </c>
      <c r="S657" t="s">
        <v>63</v>
      </c>
      <c r="T657" t="s">
        <v>64</v>
      </c>
      <c r="U657" t="s">
        <v>65</v>
      </c>
      <c r="W657" s="26">
        <v>45540</v>
      </c>
      <c r="X657" t="s">
        <v>61</v>
      </c>
      <c r="Y657" t="s">
        <v>237</v>
      </c>
    </row>
    <row r="658" spans="1:25" x14ac:dyDescent="0.25">
      <c r="A658" t="s">
        <v>2592</v>
      </c>
      <c r="B658">
        <v>11</v>
      </c>
      <c r="C658">
        <v>91</v>
      </c>
      <c r="D658">
        <v>9064</v>
      </c>
      <c r="E658" t="s">
        <v>266</v>
      </c>
      <c r="F658" t="s">
        <v>2593</v>
      </c>
      <c r="G658" t="s">
        <v>2594</v>
      </c>
      <c r="H658" s="26">
        <v>32417</v>
      </c>
      <c r="I658" t="s">
        <v>58</v>
      </c>
      <c r="J658" t="s">
        <v>2595</v>
      </c>
      <c r="M658">
        <v>94550</v>
      </c>
      <c r="N658" t="s">
        <v>2596</v>
      </c>
      <c r="O658" t="s">
        <v>61</v>
      </c>
      <c r="Q658">
        <v>645722492</v>
      </c>
      <c r="R658" t="s">
        <v>2597</v>
      </c>
      <c r="S658" t="s">
        <v>63</v>
      </c>
      <c r="T658" t="s">
        <v>64</v>
      </c>
      <c r="U658" t="s">
        <v>65</v>
      </c>
      <c r="W658" s="26">
        <v>45545</v>
      </c>
      <c r="X658" t="s">
        <v>61</v>
      </c>
      <c r="Y658" t="s">
        <v>237</v>
      </c>
    </row>
    <row r="659" spans="1:25" x14ac:dyDescent="0.25">
      <c r="A659" t="s">
        <v>2598</v>
      </c>
      <c r="B659">
        <v>11</v>
      </c>
      <c r="C659">
        <v>78</v>
      </c>
      <c r="D659">
        <v>9052</v>
      </c>
      <c r="E659" t="s">
        <v>337</v>
      </c>
      <c r="F659" t="s">
        <v>183</v>
      </c>
      <c r="G659" t="s">
        <v>2599</v>
      </c>
      <c r="H659" s="26">
        <v>20771</v>
      </c>
      <c r="I659" t="s">
        <v>58</v>
      </c>
      <c r="J659" t="s">
        <v>2600</v>
      </c>
      <c r="M659">
        <v>78150</v>
      </c>
      <c r="N659" t="s">
        <v>1846</v>
      </c>
      <c r="O659" t="s">
        <v>61</v>
      </c>
      <c r="Q659">
        <v>680578935</v>
      </c>
      <c r="R659" t="s">
        <v>2601</v>
      </c>
      <c r="S659" t="s">
        <v>63</v>
      </c>
      <c r="T659" t="s">
        <v>64</v>
      </c>
      <c r="U659" t="s">
        <v>65</v>
      </c>
      <c r="W659" s="26">
        <v>45560</v>
      </c>
      <c r="X659" t="s">
        <v>61</v>
      </c>
      <c r="Y659" t="s">
        <v>237</v>
      </c>
    </row>
    <row r="660" spans="1:25" x14ac:dyDescent="0.25">
      <c r="A660" t="s">
        <v>8894</v>
      </c>
      <c r="B660">
        <v>11</v>
      </c>
      <c r="C660">
        <v>78</v>
      </c>
      <c r="D660">
        <v>9084</v>
      </c>
      <c r="E660" t="s">
        <v>216</v>
      </c>
      <c r="F660" t="s">
        <v>114</v>
      </c>
      <c r="G660" t="s">
        <v>8895</v>
      </c>
      <c r="H660" s="26">
        <v>21110</v>
      </c>
      <c r="I660" t="s">
        <v>58</v>
      </c>
      <c r="J660" t="s">
        <v>8896</v>
      </c>
      <c r="M660">
        <v>78130</v>
      </c>
      <c r="N660" t="s">
        <v>3018</v>
      </c>
      <c r="O660" t="s">
        <v>61</v>
      </c>
      <c r="Q660">
        <v>661189875</v>
      </c>
      <c r="R660" t="s">
        <v>8897</v>
      </c>
      <c r="S660" t="s">
        <v>63</v>
      </c>
      <c r="T660" t="s">
        <v>64</v>
      </c>
      <c r="U660" t="s">
        <v>65</v>
      </c>
      <c r="W660" s="26">
        <v>45551</v>
      </c>
      <c r="X660" t="s">
        <v>61</v>
      </c>
      <c r="Y660" t="s">
        <v>237</v>
      </c>
    </row>
    <row r="661" spans="1:25" x14ac:dyDescent="0.25">
      <c r="A661" t="s">
        <v>2602</v>
      </c>
      <c r="B661">
        <v>11</v>
      </c>
      <c r="C661">
        <v>95</v>
      </c>
      <c r="D661">
        <v>9010</v>
      </c>
      <c r="E661" t="s">
        <v>6</v>
      </c>
      <c r="F661" t="s">
        <v>2603</v>
      </c>
      <c r="G661" t="s">
        <v>2604</v>
      </c>
      <c r="H661" s="26">
        <v>27454</v>
      </c>
      <c r="I661" t="s">
        <v>58</v>
      </c>
      <c r="J661" t="s">
        <v>2605</v>
      </c>
      <c r="M661">
        <v>75016</v>
      </c>
      <c r="N661" t="s">
        <v>330</v>
      </c>
      <c r="O661" t="s">
        <v>61</v>
      </c>
      <c r="R661" t="s">
        <v>2606</v>
      </c>
      <c r="S661" t="s">
        <v>63</v>
      </c>
      <c r="T661" t="s">
        <v>64</v>
      </c>
      <c r="U661" t="s">
        <v>1636</v>
      </c>
      <c r="W661" s="26">
        <v>45534</v>
      </c>
      <c r="X661" t="s">
        <v>61</v>
      </c>
      <c r="Y661" t="s">
        <v>237</v>
      </c>
    </row>
    <row r="662" spans="1:25" x14ac:dyDescent="0.25">
      <c r="A662" t="s">
        <v>2607</v>
      </c>
      <c r="B662">
        <v>11</v>
      </c>
      <c r="C662">
        <v>78</v>
      </c>
      <c r="D662">
        <v>9030</v>
      </c>
      <c r="E662" t="s">
        <v>96</v>
      </c>
      <c r="F662" t="s">
        <v>187</v>
      </c>
      <c r="G662" t="s">
        <v>2608</v>
      </c>
      <c r="H662" s="26">
        <v>17450</v>
      </c>
      <c r="I662" t="s">
        <v>58</v>
      </c>
      <c r="J662" t="s">
        <v>2609</v>
      </c>
      <c r="M662">
        <v>78180</v>
      </c>
      <c r="N662" t="s">
        <v>1162</v>
      </c>
      <c r="O662" t="s">
        <v>61</v>
      </c>
      <c r="Q662">
        <v>680084559</v>
      </c>
      <c r="R662" t="s">
        <v>2610</v>
      </c>
      <c r="S662" t="s">
        <v>63</v>
      </c>
      <c r="T662" t="s">
        <v>64</v>
      </c>
      <c r="U662" t="s">
        <v>65</v>
      </c>
      <c r="W662" s="26">
        <v>45552</v>
      </c>
      <c r="X662" t="s">
        <v>61</v>
      </c>
      <c r="Y662" t="s">
        <v>237</v>
      </c>
    </row>
    <row r="663" spans="1:25" x14ac:dyDescent="0.25">
      <c r="A663" t="s">
        <v>2611</v>
      </c>
      <c r="B663">
        <v>11</v>
      </c>
      <c r="C663">
        <v>78</v>
      </c>
      <c r="D663">
        <v>9056</v>
      </c>
      <c r="E663" t="s">
        <v>214</v>
      </c>
      <c r="F663" t="s">
        <v>590</v>
      </c>
      <c r="G663" t="s">
        <v>2612</v>
      </c>
      <c r="H663" s="26">
        <v>25039</v>
      </c>
      <c r="I663" t="s">
        <v>58</v>
      </c>
      <c r="J663" t="s">
        <v>2613</v>
      </c>
      <c r="M663">
        <v>78000</v>
      </c>
      <c r="N663" t="s">
        <v>1334</v>
      </c>
      <c r="O663" t="s">
        <v>61</v>
      </c>
      <c r="Q663">
        <v>646201725</v>
      </c>
      <c r="R663" t="s">
        <v>2614</v>
      </c>
      <c r="S663" t="s">
        <v>63</v>
      </c>
      <c r="T663" t="s">
        <v>64</v>
      </c>
      <c r="U663" t="s">
        <v>65</v>
      </c>
      <c r="W663" s="26">
        <v>45555</v>
      </c>
      <c r="X663" t="s">
        <v>61</v>
      </c>
      <c r="Y663" t="s">
        <v>237</v>
      </c>
    </row>
    <row r="664" spans="1:25" x14ac:dyDescent="0.25">
      <c r="A664" t="s">
        <v>2615</v>
      </c>
      <c r="B664">
        <v>11</v>
      </c>
      <c r="C664">
        <v>92</v>
      </c>
      <c r="D664">
        <v>9065</v>
      </c>
      <c r="E664" t="s">
        <v>426</v>
      </c>
      <c r="F664" t="s">
        <v>2616</v>
      </c>
      <c r="G664" t="s">
        <v>2617</v>
      </c>
      <c r="H664" s="26">
        <v>31422</v>
      </c>
      <c r="I664" t="s">
        <v>58</v>
      </c>
      <c r="J664" t="s">
        <v>2618</v>
      </c>
      <c r="M664">
        <v>75017</v>
      </c>
      <c r="N664" t="s">
        <v>330</v>
      </c>
      <c r="O664" t="s">
        <v>61</v>
      </c>
      <c r="Q664">
        <v>623671149</v>
      </c>
      <c r="R664" t="s">
        <v>2619</v>
      </c>
      <c r="S664" t="s">
        <v>63</v>
      </c>
      <c r="T664" t="s">
        <v>64</v>
      </c>
      <c r="U664" t="s">
        <v>486</v>
      </c>
      <c r="W664" s="26">
        <v>45531</v>
      </c>
      <c r="X664" t="s">
        <v>61</v>
      </c>
      <c r="Y664" t="s">
        <v>237</v>
      </c>
    </row>
    <row r="665" spans="1:25" x14ac:dyDescent="0.25">
      <c r="A665" t="s">
        <v>2620</v>
      </c>
      <c r="B665">
        <v>11</v>
      </c>
      <c r="C665">
        <v>91</v>
      </c>
      <c r="D665">
        <v>9095</v>
      </c>
      <c r="E665" t="s">
        <v>113</v>
      </c>
      <c r="F665" t="s">
        <v>106</v>
      </c>
      <c r="G665" t="s">
        <v>417</v>
      </c>
      <c r="H665" s="26">
        <v>18946</v>
      </c>
      <c r="I665" t="s">
        <v>58</v>
      </c>
      <c r="J665" t="s">
        <v>2621</v>
      </c>
      <c r="M665">
        <v>91460</v>
      </c>
      <c r="N665" t="s">
        <v>2622</v>
      </c>
      <c r="O665" t="s">
        <v>61</v>
      </c>
      <c r="P665">
        <v>169017443</v>
      </c>
      <c r="Q665">
        <v>681263643</v>
      </c>
      <c r="R665" t="s">
        <v>2623</v>
      </c>
      <c r="S665" t="s">
        <v>63</v>
      </c>
      <c r="T665" t="s">
        <v>64</v>
      </c>
      <c r="U665" t="s">
        <v>65</v>
      </c>
      <c r="W665" s="26">
        <v>45551</v>
      </c>
      <c r="X665" t="s">
        <v>61</v>
      </c>
      <c r="Y665" t="s">
        <v>237</v>
      </c>
    </row>
    <row r="666" spans="1:25" x14ac:dyDescent="0.25">
      <c r="A666" t="s">
        <v>2624</v>
      </c>
      <c r="B666">
        <v>11</v>
      </c>
      <c r="C666">
        <v>77</v>
      </c>
      <c r="D666">
        <v>9040</v>
      </c>
      <c r="E666" t="s">
        <v>612</v>
      </c>
      <c r="F666" t="s">
        <v>106</v>
      </c>
      <c r="G666" t="s">
        <v>2625</v>
      </c>
      <c r="H666" s="26">
        <v>19317</v>
      </c>
      <c r="I666" t="s">
        <v>58</v>
      </c>
      <c r="J666" t="s">
        <v>2626</v>
      </c>
      <c r="M666">
        <v>77210</v>
      </c>
      <c r="N666" t="s">
        <v>391</v>
      </c>
      <c r="O666" t="s">
        <v>61</v>
      </c>
      <c r="Q666">
        <v>626812382</v>
      </c>
      <c r="R666" t="s">
        <v>2627</v>
      </c>
      <c r="S666" t="s">
        <v>63</v>
      </c>
      <c r="T666" t="s">
        <v>64</v>
      </c>
      <c r="U666" t="s">
        <v>65</v>
      </c>
      <c r="W666" s="26">
        <v>45545</v>
      </c>
      <c r="X666" t="s">
        <v>61</v>
      </c>
      <c r="Y666" t="s">
        <v>237</v>
      </c>
    </row>
    <row r="667" spans="1:25" x14ac:dyDescent="0.25">
      <c r="A667" t="s">
        <v>2628</v>
      </c>
      <c r="B667">
        <v>11</v>
      </c>
      <c r="C667">
        <v>77</v>
      </c>
      <c r="D667">
        <v>9055</v>
      </c>
      <c r="E667" t="s">
        <v>341</v>
      </c>
      <c r="F667" t="s">
        <v>2629</v>
      </c>
      <c r="G667" t="s">
        <v>2630</v>
      </c>
      <c r="H667" s="26">
        <v>17876</v>
      </c>
      <c r="I667" t="s">
        <v>16</v>
      </c>
      <c r="J667" t="s">
        <v>1021</v>
      </c>
      <c r="M667">
        <v>77300</v>
      </c>
      <c r="N667" t="s">
        <v>1022</v>
      </c>
      <c r="O667" t="s">
        <v>61</v>
      </c>
      <c r="S667" t="s">
        <v>63</v>
      </c>
      <c r="T667" t="s">
        <v>64</v>
      </c>
      <c r="U667" t="s">
        <v>65</v>
      </c>
      <c r="W667" s="26">
        <v>45539</v>
      </c>
      <c r="X667" t="s">
        <v>61</v>
      </c>
      <c r="Y667" t="s">
        <v>237</v>
      </c>
    </row>
    <row r="668" spans="1:25" x14ac:dyDescent="0.25">
      <c r="A668" t="s">
        <v>2631</v>
      </c>
      <c r="B668">
        <v>11</v>
      </c>
      <c r="C668">
        <v>94</v>
      </c>
      <c r="D668">
        <v>9024</v>
      </c>
      <c r="E668" t="s">
        <v>4</v>
      </c>
      <c r="F668" t="s">
        <v>472</v>
      </c>
      <c r="G668" t="s">
        <v>2632</v>
      </c>
      <c r="H668" s="26">
        <v>25694</v>
      </c>
      <c r="I668" t="s">
        <v>58</v>
      </c>
      <c r="J668" t="s">
        <v>2633</v>
      </c>
      <c r="M668">
        <v>94350</v>
      </c>
      <c r="N668" t="s">
        <v>172</v>
      </c>
      <c r="O668" t="s">
        <v>61</v>
      </c>
      <c r="Q668">
        <v>674894015</v>
      </c>
      <c r="R668" t="s">
        <v>2634</v>
      </c>
      <c r="S668" t="s">
        <v>63</v>
      </c>
      <c r="T668" t="s">
        <v>64</v>
      </c>
      <c r="U668" t="s">
        <v>8684</v>
      </c>
      <c r="W668" s="26">
        <v>45544</v>
      </c>
      <c r="X668" t="s">
        <v>61</v>
      </c>
      <c r="Y668" t="s">
        <v>237</v>
      </c>
    </row>
    <row r="669" spans="1:25" x14ac:dyDescent="0.25">
      <c r="A669" t="s">
        <v>2635</v>
      </c>
      <c r="B669">
        <v>11</v>
      </c>
      <c r="C669">
        <v>92</v>
      </c>
      <c r="D669">
        <v>9065</v>
      </c>
      <c r="E669" t="s">
        <v>426</v>
      </c>
      <c r="F669" t="s">
        <v>13</v>
      </c>
      <c r="G669" t="s">
        <v>2636</v>
      </c>
      <c r="H669" s="26">
        <v>32033</v>
      </c>
      <c r="I669" t="s">
        <v>58</v>
      </c>
      <c r="J669" t="s">
        <v>2637</v>
      </c>
      <c r="M669">
        <v>91260</v>
      </c>
      <c r="N669" t="s">
        <v>2638</v>
      </c>
      <c r="O669" t="s">
        <v>61</v>
      </c>
      <c r="Q669">
        <v>688914219</v>
      </c>
      <c r="R669" t="s">
        <v>2639</v>
      </c>
      <c r="S669" t="s">
        <v>63</v>
      </c>
      <c r="T669" t="s">
        <v>64</v>
      </c>
      <c r="U669" t="s">
        <v>486</v>
      </c>
      <c r="W669" s="26">
        <v>45528</v>
      </c>
      <c r="X669" t="s">
        <v>61</v>
      </c>
      <c r="Y669" t="s">
        <v>237</v>
      </c>
    </row>
    <row r="670" spans="1:25" x14ac:dyDescent="0.25">
      <c r="A670" t="s">
        <v>2640</v>
      </c>
      <c r="B670">
        <v>11</v>
      </c>
      <c r="C670">
        <v>78</v>
      </c>
      <c r="D670">
        <v>9052</v>
      </c>
      <c r="E670" t="s">
        <v>337</v>
      </c>
      <c r="F670" t="s">
        <v>886</v>
      </c>
      <c r="G670" t="s">
        <v>2641</v>
      </c>
      <c r="H670" s="26">
        <v>19950</v>
      </c>
      <c r="I670" t="s">
        <v>58</v>
      </c>
      <c r="J670" t="s">
        <v>2642</v>
      </c>
      <c r="M670">
        <v>78073</v>
      </c>
      <c r="N670" t="s">
        <v>2643</v>
      </c>
      <c r="O670" t="s">
        <v>61</v>
      </c>
      <c r="Q670">
        <v>682901341</v>
      </c>
      <c r="R670" t="s">
        <v>2644</v>
      </c>
      <c r="S670" t="s">
        <v>63</v>
      </c>
      <c r="T670" t="s">
        <v>64</v>
      </c>
      <c r="U670" t="s">
        <v>65</v>
      </c>
      <c r="W670" s="26">
        <v>45534</v>
      </c>
      <c r="X670" t="s">
        <v>61</v>
      </c>
      <c r="Y670" t="s">
        <v>237</v>
      </c>
    </row>
    <row r="671" spans="1:25" x14ac:dyDescent="0.25">
      <c r="A671" t="s">
        <v>2645</v>
      </c>
      <c r="B671">
        <v>11</v>
      </c>
      <c r="C671">
        <v>95</v>
      </c>
      <c r="D671">
        <v>9069</v>
      </c>
      <c r="E671" t="s">
        <v>129</v>
      </c>
      <c r="F671" t="s">
        <v>551</v>
      </c>
      <c r="G671" t="s">
        <v>2646</v>
      </c>
      <c r="H671" s="26">
        <v>19504</v>
      </c>
      <c r="I671" t="s">
        <v>58</v>
      </c>
      <c r="J671" t="s">
        <v>2647</v>
      </c>
      <c r="M671">
        <v>95130</v>
      </c>
      <c r="N671" t="s">
        <v>878</v>
      </c>
      <c r="O671" t="s">
        <v>61</v>
      </c>
      <c r="P671">
        <v>130724907</v>
      </c>
      <c r="Q671">
        <v>698701572</v>
      </c>
      <c r="R671" t="s">
        <v>2648</v>
      </c>
      <c r="S671" t="s">
        <v>63</v>
      </c>
      <c r="T671" t="s">
        <v>64</v>
      </c>
      <c r="U671" t="s">
        <v>65</v>
      </c>
      <c r="W671" s="26">
        <v>45545</v>
      </c>
      <c r="X671" t="s">
        <v>61</v>
      </c>
      <c r="Y671" t="s">
        <v>237</v>
      </c>
    </row>
    <row r="672" spans="1:25" x14ac:dyDescent="0.25">
      <c r="A672" t="s">
        <v>2649</v>
      </c>
      <c r="B672">
        <v>11</v>
      </c>
      <c r="C672">
        <v>95</v>
      </c>
      <c r="D672">
        <v>9069</v>
      </c>
      <c r="E672" t="s">
        <v>129</v>
      </c>
      <c r="F672" t="s">
        <v>106</v>
      </c>
      <c r="G672" t="s">
        <v>457</v>
      </c>
      <c r="H672" s="26">
        <v>17126</v>
      </c>
      <c r="I672" t="s">
        <v>58</v>
      </c>
      <c r="J672" t="s">
        <v>1607</v>
      </c>
      <c r="M672">
        <v>95130</v>
      </c>
      <c r="N672" t="s">
        <v>878</v>
      </c>
      <c r="O672" t="s">
        <v>61</v>
      </c>
      <c r="Q672">
        <v>613224305</v>
      </c>
      <c r="R672" t="s">
        <v>2650</v>
      </c>
      <c r="S672" t="s">
        <v>63</v>
      </c>
      <c r="T672" t="s">
        <v>64</v>
      </c>
      <c r="U672" t="s">
        <v>65</v>
      </c>
      <c r="W672" s="26">
        <v>45537</v>
      </c>
      <c r="X672" t="s">
        <v>61</v>
      </c>
      <c r="Y672" t="s">
        <v>237</v>
      </c>
    </row>
    <row r="673" spans="1:25" x14ac:dyDescent="0.25">
      <c r="A673" t="s">
        <v>2651</v>
      </c>
      <c r="B673">
        <v>11</v>
      </c>
      <c r="C673">
        <v>91</v>
      </c>
      <c r="D673">
        <v>9096</v>
      </c>
      <c r="E673" t="s">
        <v>526</v>
      </c>
      <c r="F673" t="s">
        <v>2652</v>
      </c>
      <c r="G673" t="s">
        <v>2653</v>
      </c>
      <c r="H673" s="26">
        <v>25772</v>
      </c>
      <c r="I673" t="s">
        <v>16</v>
      </c>
      <c r="J673" t="s">
        <v>2654</v>
      </c>
      <c r="M673">
        <v>91580</v>
      </c>
      <c r="N673" t="s">
        <v>2655</v>
      </c>
      <c r="O673" t="s">
        <v>61</v>
      </c>
      <c r="P673">
        <v>160803552</v>
      </c>
      <c r="Q673">
        <v>647973760</v>
      </c>
      <c r="R673" t="s">
        <v>2656</v>
      </c>
      <c r="S673" t="s">
        <v>63</v>
      </c>
      <c r="T673" t="s">
        <v>64</v>
      </c>
      <c r="U673" t="s">
        <v>65</v>
      </c>
      <c r="W673" s="26">
        <v>45538</v>
      </c>
      <c r="X673" t="s">
        <v>61</v>
      </c>
      <c r="Y673" t="s">
        <v>237</v>
      </c>
    </row>
    <row r="674" spans="1:25" x14ac:dyDescent="0.25">
      <c r="A674" t="s">
        <v>2657</v>
      </c>
      <c r="B674">
        <v>11</v>
      </c>
      <c r="C674">
        <v>94</v>
      </c>
      <c r="D674">
        <v>9129</v>
      </c>
      <c r="E674" t="s">
        <v>1549</v>
      </c>
      <c r="F674" t="s">
        <v>2506</v>
      </c>
      <c r="G674" t="s">
        <v>2658</v>
      </c>
      <c r="H674" s="26">
        <v>29657</v>
      </c>
      <c r="I674" t="s">
        <v>16</v>
      </c>
      <c r="J674" t="s">
        <v>1551</v>
      </c>
      <c r="M674">
        <v>94140</v>
      </c>
      <c r="N674" t="s">
        <v>959</v>
      </c>
      <c r="O674" t="s">
        <v>61</v>
      </c>
      <c r="Q674">
        <v>649871709</v>
      </c>
      <c r="R674" t="s">
        <v>2659</v>
      </c>
      <c r="S674" t="s">
        <v>63</v>
      </c>
      <c r="T674" t="s">
        <v>64</v>
      </c>
      <c r="U674" t="s">
        <v>8684</v>
      </c>
      <c r="W674" s="26">
        <v>45529</v>
      </c>
      <c r="X674" t="s">
        <v>61</v>
      </c>
      <c r="Y674" t="s">
        <v>237</v>
      </c>
    </row>
    <row r="675" spans="1:25" x14ac:dyDescent="0.25">
      <c r="A675" t="s">
        <v>2660</v>
      </c>
      <c r="B675">
        <v>11</v>
      </c>
      <c r="C675">
        <v>77</v>
      </c>
      <c r="D675">
        <v>9077</v>
      </c>
      <c r="E675" t="s">
        <v>90</v>
      </c>
      <c r="F675" t="s">
        <v>297</v>
      </c>
      <c r="G675" t="s">
        <v>2661</v>
      </c>
      <c r="H675" s="26">
        <v>21600</v>
      </c>
      <c r="I675" t="s">
        <v>58</v>
      </c>
      <c r="J675" t="s">
        <v>2662</v>
      </c>
      <c r="M675">
        <v>77120</v>
      </c>
      <c r="N675" t="s">
        <v>1954</v>
      </c>
      <c r="O675" t="s">
        <v>61</v>
      </c>
      <c r="Q675">
        <v>601405832</v>
      </c>
      <c r="S675" t="s">
        <v>63</v>
      </c>
      <c r="T675" t="s">
        <v>64</v>
      </c>
      <c r="U675" t="s">
        <v>65</v>
      </c>
      <c r="W675" s="26">
        <v>45567</v>
      </c>
      <c r="X675" t="s">
        <v>61</v>
      </c>
      <c r="Y675" t="s">
        <v>237</v>
      </c>
    </row>
    <row r="676" spans="1:25" x14ac:dyDescent="0.25">
      <c r="A676" t="s">
        <v>10520</v>
      </c>
      <c r="B676">
        <v>11</v>
      </c>
      <c r="C676">
        <v>77</v>
      </c>
      <c r="D676">
        <v>9077</v>
      </c>
      <c r="E676" t="s">
        <v>90</v>
      </c>
      <c r="F676" t="s">
        <v>272</v>
      </c>
      <c r="G676" t="s">
        <v>10521</v>
      </c>
      <c r="H676" s="26">
        <v>13937</v>
      </c>
      <c r="I676" t="s">
        <v>58</v>
      </c>
      <c r="J676" t="s">
        <v>10522</v>
      </c>
      <c r="M676">
        <v>77120</v>
      </c>
      <c r="N676" t="s">
        <v>803</v>
      </c>
      <c r="O676" t="s">
        <v>61</v>
      </c>
      <c r="P676">
        <v>164651220</v>
      </c>
      <c r="S676" t="s">
        <v>63</v>
      </c>
      <c r="T676" t="s">
        <v>64</v>
      </c>
      <c r="U676" t="s">
        <v>65</v>
      </c>
      <c r="W676" s="26">
        <v>45580</v>
      </c>
      <c r="X676" t="s">
        <v>61</v>
      </c>
      <c r="Y676" t="s">
        <v>237</v>
      </c>
    </row>
    <row r="677" spans="1:25" x14ac:dyDescent="0.25">
      <c r="A677" t="s">
        <v>2663</v>
      </c>
      <c r="B677">
        <v>11</v>
      </c>
      <c r="C677">
        <v>78</v>
      </c>
      <c r="D677">
        <v>9052</v>
      </c>
      <c r="E677" t="s">
        <v>337</v>
      </c>
      <c r="F677" t="s">
        <v>183</v>
      </c>
      <c r="G677" t="s">
        <v>2664</v>
      </c>
      <c r="H677" s="26">
        <v>17464</v>
      </c>
      <c r="I677" t="s">
        <v>58</v>
      </c>
      <c r="J677" t="s">
        <v>2665</v>
      </c>
      <c r="M677">
        <v>78990</v>
      </c>
      <c r="N677" t="s">
        <v>465</v>
      </c>
      <c r="O677" t="s">
        <v>61</v>
      </c>
      <c r="R677" t="s">
        <v>2666</v>
      </c>
      <c r="S677" t="s">
        <v>63</v>
      </c>
      <c r="T677" t="s">
        <v>64</v>
      </c>
      <c r="U677" t="s">
        <v>65</v>
      </c>
      <c r="W677" s="26">
        <v>45539</v>
      </c>
      <c r="X677" t="s">
        <v>61</v>
      </c>
      <c r="Y677" t="s">
        <v>237</v>
      </c>
    </row>
    <row r="678" spans="1:25" x14ac:dyDescent="0.25">
      <c r="A678" t="s">
        <v>2667</v>
      </c>
      <c r="B678">
        <v>11</v>
      </c>
      <c r="C678">
        <v>78</v>
      </c>
      <c r="D678">
        <v>9084</v>
      </c>
      <c r="E678" t="s">
        <v>216</v>
      </c>
      <c r="F678" t="s">
        <v>85</v>
      </c>
      <c r="G678" t="s">
        <v>2668</v>
      </c>
      <c r="H678" s="26">
        <v>20086</v>
      </c>
      <c r="I678" t="s">
        <v>58</v>
      </c>
      <c r="J678" t="s">
        <v>2669</v>
      </c>
      <c r="M678">
        <v>78810</v>
      </c>
      <c r="N678" t="s">
        <v>1496</v>
      </c>
      <c r="O678" t="s">
        <v>61</v>
      </c>
      <c r="Q678">
        <v>638646035</v>
      </c>
      <c r="R678" t="s">
        <v>2670</v>
      </c>
      <c r="S678" t="s">
        <v>63</v>
      </c>
      <c r="T678" t="s">
        <v>64</v>
      </c>
      <c r="U678" t="s">
        <v>65</v>
      </c>
      <c r="W678" s="26">
        <v>45552</v>
      </c>
      <c r="X678" t="s">
        <v>61</v>
      </c>
      <c r="Y678" t="s">
        <v>237</v>
      </c>
    </row>
    <row r="679" spans="1:25" x14ac:dyDescent="0.25">
      <c r="A679" t="s">
        <v>2671</v>
      </c>
      <c r="B679">
        <v>11</v>
      </c>
      <c r="C679">
        <v>91</v>
      </c>
      <c r="D679">
        <v>9082</v>
      </c>
      <c r="E679" t="s">
        <v>67</v>
      </c>
      <c r="F679" t="s">
        <v>2672</v>
      </c>
      <c r="G679" t="s">
        <v>2673</v>
      </c>
      <c r="H679" s="26">
        <v>16938</v>
      </c>
      <c r="I679" t="s">
        <v>58</v>
      </c>
      <c r="J679" t="s">
        <v>2674</v>
      </c>
      <c r="M679">
        <v>91270</v>
      </c>
      <c r="N679" t="s">
        <v>1412</v>
      </c>
      <c r="O679" t="s">
        <v>61</v>
      </c>
      <c r="P679">
        <v>169422458</v>
      </c>
      <c r="R679" t="s">
        <v>2675</v>
      </c>
      <c r="S679" t="s">
        <v>63</v>
      </c>
      <c r="T679" t="s">
        <v>64</v>
      </c>
      <c r="U679" t="s">
        <v>65</v>
      </c>
      <c r="W679" s="26">
        <v>45555</v>
      </c>
      <c r="X679" t="s">
        <v>61</v>
      </c>
      <c r="Y679" t="s">
        <v>237</v>
      </c>
    </row>
    <row r="680" spans="1:25" x14ac:dyDescent="0.25">
      <c r="A680" t="s">
        <v>2676</v>
      </c>
      <c r="B680">
        <v>11</v>
      </c>
      <c r="C680">
        <v>91</v>
      </c>
      <c r="D680">
        <v>9082</v>
      </c>
      <c r="E680" t="s">
        <v>67</v>
      </c>
      <c r="F680" t="s">
        <v>85</v>
      </c>
      <c r="G680" t="s">
        <v>2677</v>
      </c>
      <c r="H680" s="26">
        <v>19455</v>
      </c>
      <c r="I680" t="s">
        <v>58</v>
      </c>
      <c r="J680" t="s">
        <v>2678</v>
      </c>
      <c r="M680">
        <v>91210</v>
      </c>
      <c r="N680" t="s">
        <v>226</v>
      </c>
      <c r="O680" t="s">
        <v>61</v>
      </c>
      <c r="Q680">
        <v>634214633</v>
      </c>
      <c r="R680" t="s">
        <v>2679</v>
      </c>
      <c r="S680" t="s">
        <v>63</v>
      </c>
      <c r="T680" t="s">
        <v>64</v>
      </c>
      <c r="U680" t="s">
        <v>65</v>
      </c>
      <c r="W680" s="26">
        <v>45552</v>
      </c>
      <c r="X680" t="s">
        <v>61</v>
      </c>
      <c r="Y680" t="s">
        <v>237</v>
      </c>
    </row>
    <row r="681" spans="1:25" x14ac:dyDescent="0.25">
      <c r="A681" t="s">
        <v>2680</v>
      </c>
      <c r="B681">
        <v>11</v>
      </c>
      <c r="C681">
        <v>91</v>
      </c>
      <c r="D681">
        <v>9082</v>
      </c>
      <c r="E681" t="s">
        <v>67</v>
      </c>
      <c r="F681" t="s">
        <v>2681</v>
      </c>
      <c r="G681" t="s">
        <v>2682</v>
      </c>
      <c r="H681" s="26">
        <v>20795</v>
      </c>
      <c r="I681" t="s">
        <v>58</v>
      </c>
      <c r="J681" t="s">
        <v>2683</v>
      </c>
      <c r="M681">
        <v>91210</v>
      </c>
      <c r="N681" t="s">
        <v>226</v>
      </c>
      <c r="O681" t="s">
        <v>61</v>
      </c>
      <c r="P681">
        <v>169403997</v>
      </c>
      <c r="Q681">
        <v>674583730</v>
      </c>
      <c r="R681" t="s">
        <v>2684</v>
      </c>
      <c r="S681" t="s">
        <v>63</v>
      </c>
      <c r="T681" t="s">
        <v>64</v>
      </c>
      <c r="U681" t="s">
        <v>65</v>
      </c>
      <c r="W681" s="26">
        <v>45555</v>
      </c>
      <c r="X681" t="s">
        <v>61</v>
      </c>
      <c r="Y681" t="s">
        <v>237</v>
      </c>
    </row>
    <row r="682" spans="1:25" x14ac:dyDescent="0.25">
      <c r="A682" t="s">
        <v>2685</v>
      </c>
      <c r="B682">
        <v>11</v>
      </c>
      <c r="C682">
        <v>91</v>
      </c>
      <c r="D682">
        <v>9082</v>
      </c>
      <c r="E682" t="s">
        <v>67</v>
      </c>
      <c r="F682" t="s">
        <v>555</v>
      </c>
      <c r="G682" t="s">
        <v>2686</v>
      </c>
      <c r="H682" s="26">
        <v>21234</v>
      </c>
      <c r="I682" t="s">
        <v>58</v>
      </c>
      <c r="J682" t="s">
        <v>2687</v>
      </c>
      <c r="M682">
        <v>91210</v>
      </c>
      <c r="N682" t="s">
        <v>226</v>
      </c>
      <c r="O682" t="s">
        <v>61</v>
      </c>
      <c r="Q682">
        <v>618295698</v>
      </c>
      <c r="R682" t="s">
        <v>2688</v>
      </c>
      <c r="S682" t="s">
        <v>63</v>
      </c>
      <c r="T682" t="s">
        <v>64</v>
      </c>
      <c r="U682" t="s">
        <v>486</v>
      </c>
      <c r="W682" s="26">
        <v>45566</v>
      </c>
      <c r="X682" t="s">
        <v>61</v>
      </c>
      <c r="Y682" t="s">
        <v>237</v>
      </c>
    </row>
    <row r="683" spans="1:25" x14ac:dyDescent="0.25">
      <c r="A683" t="s">
        <v>2689</v>
      </c>
      <c r="B683">
        <v>11</v>
      </c>
      <c r="C683">
        <v>95</v>
      </c>
      <c r="D683">
        <v>9061</v>
      </c>
      <c r="E683" t="s">
        <v>360</v>
      </c>
      <c r="F683" t="s">
        <v>927</v>
      </c>
      <c r="G683" t="s">
        <v>2690</v>
      </c>
      <c r="H683" s="26">
        <v>19195</v>
      </c>
      <c r="I683" t="s">
        <v>58</v>
      </c>
      <c r="J683" t="s">
        <v>2691</v>
      </c>
      <c r="M683">
        <v>95750</v>
      </c>
      <c r="N683" t="s">
        <v>2692</v>
      </c>
      <c r="O683" t="s">
        <v>61</v>
      </c>
      <c r="P683">
        <v>134674459</v>
      </c>
      <c r="Q683">
        <v>687323339</v>
      </c>
      <c r="R683" t="s">
        <v>2693</v>
      </c>
      <c r="S683" t="s">
        <v>63</v>
      </c>
      <c r="T683" t="s">
        <v>64</v>
      </c>
      <c r="U683" t="s">
        <v>65</v>
      </c>
      <c r="W683" s="26">
        <v>45562</v>
      </c>
      <c r="X683" t="s">
        <v>61</v>
      </c>
      <c r="Y683" t="s">
        <v>237</v>
      </c>
    </row>
    <row r="684" spans="1:25" x14ac:dyDescent="0.25">
      <c r="A684" t="s">
        <v>9908</v>
      </c>
      <c r="B684">
        <v>11</v>
      </c>
      <c r="C684">
        <v>77</v>
      </c>
      <c r="D684">
        <v>9105</v>
      </c>
      <c r="E684" t="s">
        <v>124</v>
      </c>
      <c r="F684" t="s">
        <v>1295</v>
      </c>
      <c r="G684" t="s">
        <v>9909</v>
      </c>
      <c r="H684" s="26">
        <v>18862</v>
      </c>
      <c r="I684" t="s">
        <v>58</v>
      </c>
      <c r="J684" t="s">
        <v>9910</v>
      </c>
      <c r="M684">
        <v>77120</v>
      </c>
      <c r="N684" t="s">
        <v>2694</v>
      </c>
      <c r="O684" t="s">
        <v>61</v>
      </c>
      <c r="S684" t="s">
        <v>63</v>
      </c>
      <c r="T684" t="s">
        <v>64</v>
      </c>
      <c r="U684" t="s">
        <v>65</v>
      </c>
      <c r="W684" s="26">
        <v>45567</v>
      </c>
      <c r="X684" t="s">
        <v>61</v>
      </c>
      <c r="Y684" t="s">
        <v>237</v>
      </c>
    </row>
    <row r="685" spans="1:25" x14ac:dyDescent="0.25">
      <c r="A685" t="s">
        <v>2696</v>
      </c>
      <c r="B685">
        <v>11</v>
      </c>
      <c r="C685">
        <v>78</v>
      </c>
      <c r="D685">
        <v>9002</v>
      </c>
      <c r="E685" t="s">
        <v>558</v>
      </c>
      <c r="F685" t="s">
        <v>120</v>
      </c>
      <c r="G685" t="s">
        <v>1295</v>
      </c>
      <c r="H685" s="26">
        <v>18700</v>
      </c>
      <c r="I685" t="s">
        <v>58</v>
      </c>
      <c r="J685" t="s">
        <v>2697</v>
      </c>
      <c r="M685">
        <v>78711</v>
      </c>
      <c r="N685" t="s">
        <v>2698</v>
      </c>
      <c r="O685" t="s">
        <v>61</v>
      </c>
      <c r="Q685">
        <v>789708691</v>
      </c>
      <c r="R685" t="s">
        <v>2699</v>
      </c>
      <c r="S685" t="s">
        <v>63</v>
      </c>
      <c r="T685" t="s">
        <v>64</v>
      </c>
      <c r="U685" t="s">
        <v>65</v>
      </c>
      <c r="W685" s="26">
        <v>45531</v>
      </c>
      <c r="X685" t="s">
        <v>61</v>
      </c>
      <c r="Y685" t="s">
        <v>237</v>
      </c>
    </row>
    <row r="686" spans="1:25" x14ac:dyDescent="0.25">
      <c r="A686" t="s">
        <v>2700</v>
      </c>
      <c r="B686">
        <v>11</v>
      </c>
      <c r="C686">
        <v>91</v>
      </c>
      <c r="D686">
        <v>9095</v>
      </c>
      <c r="E686" t="s">
        <v>113</v>
      </c>
      <c r="F686" t="s">
        <v>2701</v>
      </c>
      <c r="G686" t="s">
        <v>2702</v>
      </c>
      <c r="H686" s="26">
        <v>21673</v>
      </c>
      <c r="I686" t="s">
        <v>58</v>
      </c>
      <c r="J686" t="s">
        <v>2703</v>
      </c>
      <c r="M686">
        <v>91520</v>
      </c>
      <c r="N686" t="s">
        <v>1590</v>
      </c>
      <c r="O686" t="s">
        <v>61</v>
      </c>
      <c r="P686">
        <v>164900487</v>
      </c>
      <c r="Q686">
        <v>628171100</v>
      </c>
      <c r="R686" t="s">
        <v>2704</v>
      </c>
      <c r="S686" t="s">
        <v>63</v>
      </c>
      <c r="T686" t="s">
        <v>64</v>
      </c>
      <c r="U686" t="s">
        <v>65</v>
      </c>
      <c r="W686" s="26">
        <v>45555</v>
      </c>
      <c r="X686" t="s">
        <v>61</v>
      </c>
      <c r="Y686" t="s">
        <v>237</v>
      </c>
    </row>
    <row r="687" spans="1:25" x14ac:dyDescent="0.25">
      <c r="A687" t="s">
        <v>2705</v>
      </c>
      <c r="B687">
        <v>11</v>
      </c>
      <c r="C687">
        <v>95</v>
      </c>
      <c r="D687">
        <v>9069</v>
      </c>
      <c r="E687" t="s">
        <v>129</v>
      </c>
      <c r="F687" t="s">
        <v>480</v>
      </c>
      <c r="G687" t="s">
        <v>2706</v>
      </c>
      <c r="H687" s="26">
        <v>18161</v>
      </c>
      <c r="I687" t="s">
        <v>58</v>
      </c>
      <c r="J687" t="s">
        <v>2707</v>
      </c>
      <c r="M687">
        <v>95210</v>
      </c>
      <c r="N687" t="s">
        <v>308</v>
      </c>
      <c r="O687" t="s">
        <v>61</v>
      </c>
      <c r="P687">
        <v>134120146</v>
      </c>
      <c r="Q687">
        <v>615658554</v>
      </c>
      <c r="R687" t="s">
        <v>2708</v>
      </c>
      <c r="S687" t="s">
        <v>63</v>
      </c>
      <c r="T687" t="s">
        <v>64</v>
      </c>
      <c r="U687" t="s">
        <v>65</v>
      </c>
      <c r="W687" s="26">
        <v>45541</v>
      </c>
      <c r="X687" t="s">
        <v>61</v>
      </c>
      <c r="Y687" t="s">
        <v>237</v>
      </c>
    </row>
    <row r="688" spans="1:25" x14ac:dyDescent="0.25">
      <c r="A688" t="s">
        <v>2709</v>
      </c>
      <c r="B688">
        <v>11</v>
      </c>
      <c r="C688">
        <v>75</v>
      </c>
      <c r="D688">
        <v>9070</v>
      </c>
      <c r="E688" t="s">
        <v>168</v>
      </c>
      <c r="F688" t="s">
        <v>2710</v>
      </c>
      <c r="G688" t="s">
        <v>1299</v>
      </c>
      <c r="H688" s="26">
        <v>34428</v>
      </c>
      <c r="I688" t="s">
        <v>58</v>
      </c>
      <c r="J688" t="s">
        <v>2711</v>
      </c>
      <c r="M688">
        <v>75019</v>
      </c>
      <c r="N688" t="s">
        <v>330</v>
      </c>
      <c r="O688" t="s">
        <v>61</v>
      </c>
      <c r="Q688">
        <v>642476228</v>
      </c>
      <c r="R688" t="s">
        <v>2712</v>
      </c>
      <c r="S688" t="s">
        <v>63</v>
      </c>
      <c r="T688" t="s">
        <v>64</v>
      </c>
      <c r="U688" t="s">
        <v>8684</v>
      </c>
      <c r="W688" s="26">
        <v>45546</v>
      </c>
      <c r="X688" t="s">
        <v>1300</v>
      </c>
      <c r="Y688" t="s">
        <v>237</v>
      </c>
    </row>
    <row r="689" spans="1:25" x14ac:dyDescent="0.25">
      <c r="A689" t="s">
        <v>2713</v>
      </c>
      <c r="B689">
        <v>11</v>
      </c>
      <c r="C689">
        <v>78</v>
      </c>
      <c r="D689">
        <v>9084</v>
      </c>
      <c r="E689" t="s">
        <v>216</v>
      </c>
      <c r="F689" t="s">
        <v>289</v>
      </c>
      <c r="G689" t="s">
        <v>2714</v>
      </c>
      <c r="H689" s="26">
        <v>22621</v>
      </c>
      <c r="I689" t="s">
        <v>58</v>
      </c>
      <c r="J689" t="s">
        <v>2715</v>
      </c>
      <c r="M689">
        <v>95610</v>
      </c>
      <c r="N689" t="s">
        <v>487</v>
      </c>
      <c r="O689" t="s">
        <v>61</v>
      </c>
      <c r="P689">
        <v>134643519</v>
      </c>
      <c r="Q689">
        <v>682822793</v>
      </c>
      <c r="R689" t="s">
        <v>2716</v>
      </c>
      <c r="S689" t="s">
        <v>63</v>
      </c>
      <c r="T689" t="s">
        <v>64</v>
      </c>
      <c r="U689" t="s">
        <v>65</v>
      </c>
      <c r="W689" s="26">
        <v>45545</v>
      </c>
      <c r="X689" t="s">
        <v>61</v>
      </c>
      <c r="Y689" t="s">
        <v>237</v>
      </c>
    </row>
    <row r="690" spans="1:25" x14ac:dyDescent="0.25">
      <c r="A690" t="s">
        <v>2717</v>
      </c>
      <c r="B690">
        <v>11</v>
      </c>
      <c r="C690">
        <v>78</v>
      </c>
      <c r="D690">
        <v>9016</v>
      </c>
      <c r="E690" t="s">
        <v>362</v>
      </c>
      <c r="F690" t="s">
        <v>13</v>
      </c>
      <c r="G690" t="s">
        <v>2718</v>
      </c>
      <c r="H690" s="26">
        <v>21144</v>
      </c>
      <c r="I690" t="s">
        <v>58</v>
      </c>
      <c r="J690" t="s">
        <v>2719</v>
      </c>
      <c r="M690">
        <v>78440</v>
      </c>
      <c r="N690" t="s">
        <v>1646</v>
      </c>
      <c r="O690" t="s">
        <v>61</v>
      </c>
      <c r="Q690">
        <v>662647522</v>
      </c>
      <c r="R690" t="s">
        <v>2720</v>
      </c>
      <c r="S690" t="s">
        <v>63</v>
      </c>
      <c r="T690" t="s">
        <v>64</v>
      </c>
      <c r="U690" t="s">
        <v>65</v>
      </c>
      <c r="W690" s="26">
        <v>45549</v>
      </c>
      <c r="X690" t="s">
        <v>61</v>
      </c>
      <c r="Y690" t="s">
        <v>237</v>
      </c>
    </row>
    <row r="691" spans="1:25" x14ac:dyDescent="0.25">
      <c r="A691" t="s">
        <v>2721</v>
      </c>
      <c r="B691">
        <v>11</v>
      </c>
      <c r="C691">
        <v>92</v>
      </c>
      <c r="D691">
        <v>9065</v>
      </c>
      <c r="E691" t="s">
        <v>426</v>
      </c>
      <c r="F691" t="s">
        <v>2722</v>
      </c>
      <c r="G691" t="s">
        <v>2723</v>
      </c>
      <c r="H691" s="26">
        <v>32063</v>
      </c>
      <c r="I691" t="s">
        <v>58</v>
      </c>
      <c r="J691" t="s">
        <v>2724</v>
      </c>
      <c r="M691">
        <v>92360</v>
      </c>
      <c r="N691" t="s">
        <v>2485</v>
      </c>
      <c r="O691" t="s">
        <v>61</v>
      </c>
      <c r="Q691">
        <v>660786056</v>
      </c>
      <c r="R691" t="s">
        <v>2725</v>
      </c>
      <c r="S691" t="s">
        <v>63</v>
      </c>
      <c r="T691" t="s">
        <v>64</v>
      </c>
      <c r="U691" t="s">
        <v>486</v>
      </c>
      <c r="W691" s="26">
        <v>45532</v>
      </c>
      <c r="X691" t="s">
        <v>2726</v>
      </c>
      <c r="Y691" t="s">
        <v>237</v>
      </c>
    </row>
    <row r="692" spans="1:25" x14ac:dyDescent="0.25">
      <c r="A692" t="s">
        <v>2727</v>
      </c>
      <c r="B692">
        <v>11</v>
      </c>
      <c r="C692">
        <v>95</v>
      </c>
      <c r="D692">
        <v>9069</v>
      </c>
      <c r="E692" t="s">
        <v>129</v>
      </c>
      <c r="F692" t="s">
        <v>2728</v>
      </c>
      <c r="G692" t="s">
        <v>2729</v>
      </c>
      <c r="H692" s="26">
        <v>22140</v>
      </c>
      <c r="I692" t="s">
        <v>16</v>
      </c>
      <c r="J692" t="s">
        <v>2730</v>
      </c>
      <c r="M692">
        <v>95100</v>
      </c>
      <c r="N692" t="s">
        <v>311</v>
      </c>
      <c r="O692" t="s">
        <v>61</v>
      </c>
      <c r="Q692">
        <v>645939665</v>
      </c>
      <c r="R692" t="s">
        <v>2731</v>
      </c>
      <c r="S692" t="s">
        <v>63</v>
      </c>
      <c r="T692" t="s">
        <v>64</v>
      </c>
      <c r="U692" t="s">
        <v>65</v>
      </c>
      <c r="V692" t="s">
        <v>111</v>
      </c>
      <c r="W692" s="26">
        <v>45525</v>
      </c>
      <c r="X692" t="s">
        <v>61</v>
      </c>
      <c r="Y692" t="s">
        <v>237</v>
      </c>
    </row>
    <row r="693" spans="1:25" x14ac:dyDescent="0.25">
      <c r="A693" t="s">
        <v>10054</v>
      </c>
      <c r="B693">
        <v>11</v>
      </c>
      <c r="C693">
        <v>77</v>
      </c>
      <c r="D693">
        <v>9059</v>
      </c>
      <c r="E693" t="s">
        <v>197</v>
      </c>
      <c r="F693" t="s">
        <v>1019</v>
      </c>
      <c r="G693" t="s">
        <v>2244</v>
      </c>
      <c r="H693" s="26">
        <v>19117</v>
      </c>
      <c r="I693" t="s">
        <v>58</v>
      </c>
      <c r="J693" t="s">
        <v>10055</v>
      </c>
      <c r="M693">
        <v>77150</v>
      </c>
      <c r="N693" t="s">
        <v>10056</v>
      </c>
      <c r="O693" t="s">
        <v>61</v>
      </c>
      <c r="Q693">
        <v>661610481</v>
      </c>
      <c r="R693" t="s">
        <v>10057</v>
      </c>
      <c r="S693" t="s">
        <v>63</v>
      </c>
      <c r="T693" t="s">
        <v>64</v>
      </c>
      <c r="U693" t="s">
        <v>65</v>
      </c>
      <c r="W693" s="26">
        <v>45569</v>
      </c>
      <c r="X693" t="s">
        <v>61</v>
      </c>
      <c r="Y693" t="s">
        <v>237</v>
      </c>
    </row>
    <row r="694" spans="1:25" x14ac:dyDescent="0.25">
      <c r="A694" t="s">
        <v>2732</v>
      </c>
      <c r="B694">
        <v>11</v>
      </c>
      <c r="C694">
        <v>93</v>
      </c>
      <c r="D694">
        <v>9060</v>
      </c>
      <c r="E694" t="s">
        <v>203</v>
      </c>
      <c r="F694" t="s">
        <v>1446</v>
      </c>
      <c r="G694" t="s">
        <v>2733</v>
      </c>
      <c r="H694" s="26">
        <v>35799</v>
      </c>
      <c r="I694" t="s">
        <v>58</v>
      </c>
      <c r="J694" t="s">
        <v>2734</v>
      </c>
      <c r="M694">
        <v>93190</v>
      </c>
      <c r="N694" t="s">
        <v>205</v>
      </c>
      <c r="O694" t="s">
        <v>61</v>
      </c>
      <c r="P694">
        <v>145092137</v>
      </c>
      <c r="Q694">
        <v>627089555</v>
      </c>
      <c r="R694" t="s">
        <v>2735</v>
      </c>
      <c r="S694" t="s">
        <v>63</v>
      </c>
      <c r="T694" t="s">
        <v>64</v>
      </c>
      <c r="U694" t="s">
        <v>65</v>
      </c>
      <c r="W694" s="26">
        <v>45556</v>
      </c>
      <c r="X694" t="s">
        <v>61</v>
      </c>
      <c r="Y694" t="s">
        <v>237</v>
      </c>
    </row>
    <row r="695" spans="1:25" x14ac:dyDescent="0.25">
      <c r="A695" t="s">
        <v>2736</v>
      </c>
      <c r="B695">
        <v>11</v>
      </c>
      <c r="C695">
        <v>93</v>
      </c>
      <c r="D695">
        <v>9060</v>
      </c>
      <c r="E695" t="s">
        <v>203</v>
      </c>
      <c r="F695" t="s">
        <v>1503</v>
      </c>
      <c r="G695" t="s">
        <v>2733</v>
      </c>
      <c r="H695" s="26">
        <v>22401</v>
      </c>
      <c r="I695" t="s">
        <v>58</v>
      </c>
      <c r="J695" t="s">
        <v>2734</v>
      </c>
      <c r="M695">
        <v>93190</v>
      </c>
      <c r="N695" t="s">
        <v>205</v>
      </c>
      <c r="O695" t="s">
        <v>61</v>
      </c>
      <c r="Q695">
        <v>619576195</v>
      </c>
      <c r="R695" t="s">
        <v>2737</v>
      </c>
      <c r="S695" t="s">
        <v>63</v>
      </c>
      <c r="T695" t="s">
        <v>64</v>
      </c>
      <c r="U695" t="s">
        <v>65</v>
      </c>
      <c r="W695" s="26">
        <v>45556</v>
      </c>
      <c r="X695" t="s">
        <v>61</v>
      </c>
      <c r="Y695" t="s">
        <v>237</v>
      </c>
    </row>
    <row r="696" spans="1:25" x14ac:dyDescent="0.25">
      <c r="A696" t="s">
        <v>8898</v>
      </c>
      <c r="B696">
        <v>11</v>
      </c>
      <c r="C696">
        <v>91</v>
      </c>
      <c r="D696">
        <v>9131</v>
      </c>
      <c r="E696" t="s">
        <v>8686</v>
      </c>
      <c r="F696" t="s">
        <v>137</v>
      </c>
      <c r="G696" t="s">
        <v>8899</v>
      </c>
      <c r="H696" s="26">
        <v>17719</v>
      </c>
      <c r="I696" t="s">
        <v>58</v>
      </c>
      <c r="J696" t="s">
        <v>8900</v>
      </c>
      <c r="M696">
        <v>91270</v>
      </c>
      <c r="N696" t="s">
        <v>1412</v>
      </c>
      <c r="O696" t="s">
        <v>61</v>
      </c>
      <c r="P696">
        <v>169425717</v>
      </c>
      <c r="Q696">
        <v>650203766</v>
      </c>
      <c r="R696" t="s">
        <v>8901</v>
      </c>
      <c r="S696" t="s">
        <v>63</v>
      </c>
      <c r="T696" t="s">
        <v>64</v>
      </c>
      <c r="U696" t="s">
        <v>65</v>
      </c>
      <c r="W696" s="26">
        <v>45541</v>
      </c>
      <c r="X696" t="s">
        <v>61</v>
      </c>
      <c r="Y696" t="s">
        <v>237</v>
      </c>
    </row>
    <row r="697" spans="1:25" x14ac:dyDescent="0.25">
      <c r="A697" t="s">
        <v>8902</v>
      </c>
      <c r="B697">
        <v>11</v>
      </c>
      <c r="C697">
        <v>91</v>
      </c>
      <c r="D697">
        <v>9131</v>
      </c>
      <c r="E697" t="s">
        <v>8686</v>
      </c>
      <c r="F697" t="s">
        <v>91</v>
      </c>
      <c r="G697" t="s">
        <v>8903</v>
      </c>
      <c r="H697" s="26">
        <v>15982</v>
      </c>
      <c r="I697" t="s">
        <v>58</v>
      </c>
      <c r="J697" t="s">
        <v>8904</v>
      </c>
      <c r="M697">
        <v>91270</v>
      </c>
      <c r="N697" t="s">
        <v>1412</v>
      </c>
      <c r="O697" t="s">
        <v>61</v>
      </c>
      <c r="Q697">
        <v>631501282</v>
      </c>
      <c r="R697" t="s">
        <v>8905</v>
      </c>
      <c r="S697" t="s">
        <v>63</v>
      </c>
      <c r="T697" t="s">
        <v>64</v>
      </c>
      <c r="U697" t="s">
        <v>65</v>
      </c>
      <c r="W697" s="26">
        <v>45554</v>
      </c>
      <c r="X697" t="s">
        <v>61</v>
      </c>
      <c r="Y697" t="s">
        <v>237</v>
      </c>
    </row>
    <row r="698" spans="1:25" x14ac:dyDescent="0.25">
      <c r="A698" t="s">
        <v>2738</v>
      </c>
      <c r="B698">
        <v>11</v>
      </c>
      <c r="C698">
        <v>94</v>
      </c>
      <c r="D698">
        <v>9045</v>
      </c>
      <c r="E698" t="s">
        <v>1234</v>
      </c>
      <c r="F698" t="s">
        <v>820</v>
      </c>
      <c r="G698" t="s">
        <v>2739</v>
      </c>
      <c r="H698" s="26">
        <v>22033</v>
      </c>
      <c r="I698" t="s">
        <v>58</v>
      </c>
      <c r="J698" t="s">
        <v>2740</v>
      </c>
      <c r="M698">
        <v>94140</v>
      </c>
      <c r="N698" t="s">
        <v>959</v>
      </c>
      <c r="O698" t="s">
        <v>61</v>
      </c>
      <c r="Q698">
        <v>662633748</v>
      </c>
      <c r="R698" t="s">
        <v>2741</v>
      </c>
      <c r="S698" t="s">
        <v>63</v>
      </c>
      <c r="T698" t="s">
        <v>64</v>
      </c>
      <c r="U698" t="s">
        <v>8684</v>
      </c>
      <c r="W698" s="26">
        <v>45555</v>
      </c>
      <c r="X698" t="s">
        <v>61</v>
      </c>
      <c r="Y698" t="s">
        <v>237</v>
      </c>
    </row>
    <row r="699" spans="1:25" x14ac:dyDescent="0.25">
      <c r="A699" t="s">
        <v>11209</v>
      </c>
      <c r="B699">
        <v>11</v>
      </c>
      <c r="C699">
        <v>92</v>
      </c>
      <c r="D699">
        <v>9032</v>
      </c>
      <c r="E699" t="s">
        <v>102</v>
      </c>
      <c r="F699" t="s">
        <v>137</v>
      </c>
      <c r="G699" t="s">
        <v>11210</v>
      </c>
      <c r="H699" s="26">
        <v>20873</v>
      </c>
      <c r="I699" t="s">
        <v>58</v>
      </c>
      <c r="J699" t="s">
        <v>11211</v>
      </c>
      <c r="M699">
        <v>92140</v>
      </c>
      <c r="N699" t="s">
        <v>1380</v>
      </c>
      <c r="O699" t="s">
        <v>61</v>
      </c>
      <c r="Q699">
        <v>679971891</v>
      </c>
      <c r="R699" t="s">
        <v>11212</v>
      </c>
      <c r="S699" t="s">
        <v>63</v>
      </c>
      <c r="T699" t="s">
        <v>64</v>
      </c>
      <c r="U699" t="s">
        <v>65</v>
      </c>
      <c r="W699" s="26">
        <v>45588</v>
      </c>
      <c r="X699" t="s">
        <v>61</v>
      </c>
      <c r="Y699" t="s">
        <v>237</v>
      </c>
    </row>
    <row r="700" spans="1:25" x14ac:dyDescent="0.25">
      <c r="A700" t="s">
        <v>2742</v>
      </c>
      <c r="B700">
        <v>11</v>
      </c>
      <c r="C700">
        <v>92</v>
      </c>
      <c r="D700">
        <v>9032</v>
      </c>
      <c r="E700" t="s">
        <v>102</v>
      </c>
      <c r="F700" t="s">
        <v>91</v>
      </c>
      <c r="G700" t="s">
        <v>2743</v>
      </c>
      <c r="H700" s="26">
        <v>20549</v>
      </c>
      <c r="I700" t="s">
        <v>58</v>
      </c>
      <c r="J700" t="s">
        <v>2744</v>
      </c>
      <c r="M700">
        <v>92220</v>
      </c>
      <c r="N700" t="s">
        <v>166</v>
      </c>
      <c r="O700" t="s">
        <v>61</v>
      </c>
      <c r="P700">
        <v>142537219</v>
      </c>
      <c r="Q700">
        <v>673592174</v>
      </c>
      <c r="R700" t="s">
        <v>2745</v>
      </c>
      <c r="S700" t="s">
        <v>63</v>
      </c>
      <c r="T700" t="s">
        <v>64</v>
      </c>
      <c r="U700" t="s">
        <v>65</v>
      </c>
      <c r="W700" s="26">
        <v>45549</v>
      </c>
      <c r="X700" t="s">
        <v>61</v>
      </c>
      <c r="Y700" t="s">
        <v>237</v>
      </c>
    </row>
    <row r="701" spans="1:25" x14ac:dyDescent="0.25">
      <c r="A701" t="s">
        <v>2746</v>
      </c>
      <c r="B701">
        <v>11</v>
      </c>
      <c r="C701">
        <v>77</v>
      </c>
      <c r="D701">
        <v>9077</v>
      </c>
      <c r="E701" t="s">
        <v>90</v>
      </c>
      <c r="F701" t="s">
        <v>85</v>
      </c>
      <c r="G701" t="s">
        <v>2747</v>
      </c>
      <c r="H701" s="26">
        <v>18547</v>
      </c>
      <c r="I701" t="s">
        <v>58</v>
      </c>
      <c r="J701" t="s">
        <v>2748</v>
      </c>
      <c r="M701">
        <v>77260</v>
      </c>
      <c r="N701" t="s">
        <v>823</v>
      </c>
      <c r="O701" t="s">
        <v>61</v>
      </c>
      <c r="Q701">
        <v>684178044</v>
      </c>
      <c r="S701" t="s">
        <v>63</v>
      </c>
      <c r="T701" t="s">
        <v>64</v>
      </c>
      <c r="U701" t="s">
        <v>65</v>
      </c>
      <c r="W701" s="26">
        <v>45562</v>
      </c>
      <c r="X701" t="s">
        <v>61</v>
      </c>
      <c r="Y701" t="s">
        <v>237</v>
      </c>
    </row>
    <row r="702" spans="1:25" x14ac:dyDescent="0.25">
      <c r="A702" t="s">
        <v>2749</v>
      </c>
      <c r="B702">
        <v>11</v>
      </c>
      <c r="C702">
        <v>95</v>
      </c>
      <c r="D702">
        <v>9010</v>
      </c>
      <c r="E702" t="s">
        <v>6</v>
      </c>
      <c r="F702" t="s">
        <v>555</v>
      </c>
      <c r="G702" t="s">
        <v>2750</v>
      </c>
      <c r="H702" s="26">
        <v>26848</v>
      </c>
      <c r="I702" t="s">
        <v>58</v>
      </c>
      <c r="J702" t="s">
        <v>2751</v>
      </c>
      <c r="M702">
        <v>78500</v>
      </c>
      <c r="N702" t="s">
        <v>109</v>
      </c>
      <c r="O702" t="s">
        <v>61</v>
      </c>
      <c r="R702" t="s">
        <v>2752</v>
      </c>
      <c r="S702" t="s">
        <v>63</v>
      </c>
      <c r="T702" t="s">
        <v>64</v>
      </c>
      <c r="U702" t="s">
        <v>8684</v>
      </c>
      <c r="W702" s="26">
        <v>45537</v>
      </c>
      <c r="X702" t="s">
        <v>61</v>
      </c>
      <c r="Y702" t="s">
        <v>237</v>
      </c>
    </row>
    <row r="703" spans="1:25" x14ac:dyDescent="0.25">
      <c r="A703" t="s">
        <v>2753</v>
      </c>
      <c r="B703">
        <v>11</v>
      </c>
      <c r="C703">
        <v>93</v>
      </c>
      <c r="D703">
        <v>9060</v>
      </c>
      <c r="E703" t="s">
        <v>203</v>
      </c>
      <c r="F703" t="s">
        <v>289</v>
      </c>
      <c r="G703" t="s">
        <v>2754</v>
      </c>
      <c r="H703" s="26">
        <v>19472</v>
      </c>
      <c r="I703" t="s">
        <v>58</v>
      </c>
      <c r="J703" t="s">
        <v>2755</v>
      </c>
      <c r="M703">
        <v>93320</v>
      </c>
      <c r="N703" t="s">
        <v>1185</v>
      </c>
      <c r="O703" t="s">
        <v>61</v>
      </c>
      <c r="Q703">
        <v>628676325</v>
      </c>
      <c r="R703" t="s">
        <v>2756</v>
      </c>
      <c r="S703" t="s">
        <v>63</v>
      </c>
      <c r="T703" t="s">
        <v>64</v>
      </c>
      <c r="U703" t="s">
        <v>65</v>
      </c>
      <c r="W703" s="26">
        <v>45546</v>
      </c>
      <c r="X703" t="s">
        <v>61</v>
      </c>
      <c r="Y703" t="s">
        <v>237</v>
      </c>
    </row>
    <row r="704" spans="1:25" x14ac:dyDescent="0.25">
      <c r="A704" t="s">
        <v>2757</v>
      </c>
      <c r="B704">
        <v>11</v>
      </c>
      <c r="C704">
        <v>95</v>
      </c>
      <c r="D704">
        <v>9069</v>
      </c>
      <c r="E704" t="s">
        <v>129</v>
      </c>
      <c r="F704" t="s">
        <v>2758</v>
      </c>
      <c r="G704" t="s">
        <v>2759</v>
      </c>
      <c r="H704" s="26">
        <v>28180</v>
      </c>
      <c r="I704" t="s">
        <v>58</v>
      </c>
      <c r="J704" t="s">
        <v>2760</v>
      </c>
      <c r="M704">
        <v>95390</v>
      </c>
      <c r="N704" t="s">
        <v>2761</v>
      </c>
      <c r="O704" t="s">
        <v>61</v>
      </c>
      <c r="Q704">
        <v>786023418</v>
      </c>
      <c r="R704" t="s">
        <v>2762</v>
      </c>
      <c r="S704" t="s">
        <v>63</v>
      </c>
      <c r="T704" t="s">
        <v>64</v>
      </c>
      <c r="U704" t="s">
        <v>65</v>
      </c>
      <c r="W704" s="26">
        <v>45542</v>
      </c>
      <c r="X704" t="s">
        <v>61</v>
      </c>
      <c r="Y704" t="s">
        <v>237</v>
      </c>
    </row>
    <row r="705" spans="1:25" x14ac:dyDescent="0.25">
      <c r="A705" t="s">
        <v>2763</v>
      </c>
      <c r="B705">
        <v>11</v>
      </c>
      <c r="C705">
        <v>91</v>
      </c>
      <c r="D705">
        <v>9082</v>
      </c>
      <c r="E705" t="s">
        <v>67</v>
      </c>
      <c r="F705" t="s">
        <v>13</v>
      </c>
      <c r="G705" t="s">
        <v>2764</v>
      </c>
      <c r="H705" s="26">
        <v>19530</v>
      </c>
      <c r="I705" t="s">
        <v>58</v>
      </c>
      <c r="J705" t="s">
        <v>2765</v>
      </c>
      <c r="M705">
        <v>94190</v>
      </c>
      <c r="N705" t="s">
        <v>2766</v>
      </c>
      <c r="O705" t="s">
        <v>61</v>
      </c>
      <c r="Q705">
        <v>688492942</v>
      </c>
      <c r="R705" t="s">
        <v>2767</v>
      </c>
      <c r="S705" t="s">
        <v>63</v>
      </c>
      <c r="T705" t="s">
        <v>64</v>
      </c>
      <c r="U705" t="s">
        <v>65</v>
      </c>
      <c r="W705" s="26">
        <v>45554</v>
      </c>
      <c r="X705" t="s">
        <v>61</v>
      </c>
      <c r="Y705" t="s">
        <v>237</v>
      </c>
    </row>
    <row r="706" spans="1:25" x14ac:dyDescent="0.25">
      <c r="A706" t="s">
        <v>2768</v>
      </c>
      <c r="B706">
        <v>11</v>
      </c>
      <c r="C706">
        <v>78</v>
      </c>
      <c r="D706">
        <v>9002</v>
      </c>
      <c r="E706" t="s">
        <v>558</v>
      </c>
      <c r="F706" t="s">
        <v>91</v>
      </c>
      <c r="G706" t="s">
        <v>1459</v>
      </c>
      <c r="H706" s="26">
        <v>19672</v>
      </c>
      <c r="I706" t="s">
        <v>58</v>
      </c>
      <c r="J706" t="s">
        <v>2769</v>
      </c>
      <c r="M706">
        <v>78200</v>
      </c>
      <c r="N706" t="s">
        <v>609</v>
      </c>
      <c r="O706" t="s">
        <v>61</v>
      </c>
      <c r="Q706">
        <v>626483847</v>
      </c>
      <c r="R706" t="s">
        <v>2770</v>
      </c>
      <c r="S706" t="s">
        <v>63</v>
      </c>
      <c r="T706" t="s">
        <v>64</v>
      </c>
      <c r="U706" t="s">
        <v>65</v>
      </c>
      <c r="W706" s="26">
        <v>45531</v>
      </c>
      <c r="X706" t="s">
        <v>61</v>
      </c>
      <c r="Y706" t="s">
        <v>237</v>
      </c>
    </row>
    <row r="707" spans="1:25" x14ac:dyDescent="0.25">
      <c r="A707" t="s">
        <v>2771</v>
      </c>
      <c r="B707">
        <v>11</v>
      </c>
      <c r="C707">
        <v>78</v>
      </c>
      <c r="D707">
        <v>9002</v>
      </c>
      <c r="E707" t="s">
        <v>558</v>
      </c>
      <c r="F707" t="s">
        <v>305</v>
      </c>
      <c r="G707" t="s">
        <v>2772</v>
      </c>
      <c r="H707" s="26">
        <v>18348</v>
      </c>
      <c r="I707" t="s">
        <v>58</v>
      </c>
      <c r="J707" t="s">
        <v>2773</v>
      </c>
      <c r="M707">
        <v>78980</v>
      </c>
      <c r="N707" t="s">
        <v>2774</v>
      </c>
      <c r="O707" t="s">
        <v>61</v>
      </c>
      <c r="P707">
        <v>130424476</v>
      </c>
      <c r="Q707">
        <v>699067304</v>
      </c>
      <c r="R707" t="s">
        <v>2775</v>
      </c>
      <c r="S707" t="s">
        <v>63</v>
      </c>
      <c r="T707" t="s">
        <v>64</v>
      </c>
      <c r="U707" t="s">
        <v>65</v>
      </c>
      <c r="W707" s="26">
        <v>45531</v>
      </c>
      <c r="X707" t="s">
        <v>61</v>
      </c>
      <c r="Y707" t="s">
        <v>237</v>
      </c>
    </row>
    <row r="708" spans="1:25" x14ac:dyDescent="0.25">
      <c r="A708" t="s">
        <v>8906</v>
      </c>
      <c r="B708">
        <v>11</v>
      </c>
      <c r="C708">
        <v>92</v>
      </c>
      <c r="D708">
        <v>9065</v>
      </c>
      <c r="E708" t="s">
        <v>426</v>
      </c>
      <c r="F708" t="s">
        <v>4915</v>
      </c>
      <c r="G708" t="s">
        <v>8907</v>
      </c>
      <c r="H708" s="26">
        <v>34787</v>
      </c>
      <c r="I708" t="s">
        <v>58</v>
      </c>
      <c r="J708" t="s">
        <v>8908</v>
      </c>
      <c r="K708" t="s">
        <v>8909</v>
      </c>
      <c r="M708">
        <v>75015</v>
      </c>
      <c r="N708" t="s">
        <v>330</v>
      </c>
      <c r="O708" t="s">
        <v>61</v>
      </c>
      <c r="Q708">
        <v>603132505</v>
      </c>
      <c r="R708" t="s">
        <v>8910</v>
      </c>
      <c r="S708" t="s">
        <v>63</v>
      </c>
      <c r="T708" t="s">
        <v>64</v>
      </c>
      <c r="U708" t="s">
        <v>486</v>
      </c>
      <c r="W708" s="26">
        <v>45534</v>
      </c>
      <c r="X708" t="s">
        <v>2726</v>
      </c>
      <c r="Y708" t="s">
        <v>237</v>
      </c>
    </row>
    <row r="709" spans="1:25" x14ac:dyDescent="0.25">
      <c r="A709" t="s">
        <v>10523</v>
      </c>
      <c r="B709">
        <v>11</v>
      </c>
      <c r="C709">
        <v>93</v>
      </c>
      <c r="D709">
        <v>9060</v>
      </c>
      <c r="E709" t="s">
        <v>203</v>
      </c>
      <c r="F709" t="s">
        <v>1247</v>
      </c>
      <c r="G709" t="s">
        <v>10524</v>
      </c>
      <c r="H709" s="26">
        <v>18476</v>
      </c>
      <c r="I709" t="s">
        <v>58</v>
      </c>
      <c r="J709" t="s">
        <v>10525</v>
      </c>
      <c r="M709">
        <v>93330</v>
      </c>
      <c r="N709" t="s">
        <v>2375</v>
      </c>
      <c r="O709" t="s">
        <v>61</v>
      </c>
      <c r="P709">
        <v>149441909</v>
      </c>
      <c r="Q709">
        <v>637817933</v>
      </c>
      <c r="R709" t="s">
        <v>10526</v>
      </c>
      <c r="S709" t="s">
        <v>63</v>
      </c>
      <c r="T709" t="s">
        <v>64</v>
      </c>
      <c r="U709" t="s">
        <v>65</v>
      </c>
      <c r="W709" s="26">
        <v>45576</v>
      </c>
      <c r="X709" t="s">
        <v>61</v>
      </c>
      <c r="Y709" t="s">
        <v>237</v>
      </c>
    </row>
    <row r="710" spans="1:25" x14ac:dyDescent="0.25">
      <c r="A710" t="s">
        <v>8911</v>
      </c>
      <c r="B710">
        <v>11</v>
      </c>
      <c r="C710">
        <v>94</v>
      </c>
      <c r="D710">
        <v>9031</v>
      </c>
      <c r="E710" t="s">
        <v>7</v>
      </c>
      <c r="F710" t="s">
        <v>289</v>
      </c>
      <c r="G710" t="s">
        <v>8912</v>
      </c>
      <c r="H710" s="26">
        <v>26203</v>
      </c>
      <c r="I710" t="s">
        <v>58</v>
      </c>
      <c r="J710" t="s">
        <v>8913</v>
      </c>
      <c r="M710">
        <v>94000</v>
      </c>
      <c r="N710" t="s">
        <v>277</v>
      </c>
      <c r="O710" t="s">
        <v>61</v>
      </c>
      <c r="Q710">
        <v>667851932</v>
      </c>
      <c r="R710" t="s">
        <v>8914</v>
      </c>
      <c r="S710" t="s">
        <v>63</v>
      </c>
      <c r="T710" t="s">
        <v>64</v>
      </c>
      <c r="U710" t="s">
        <v>65</v>
      </c>
      <c r="W710" s="26">
        <v>45558</v>
      </c>
      <c r="X710" t="s">
        <v>61</v>
      </c>
      <c r="Y710" t="s">
        <v>237</v>
      </c>
    </row>
    <row r="711" spans="1:25" x14ac:dyDescent="0.25">
      <c r="A711" t="s">
        <v>2776</v>
      </c>
      <c r="B711">
        <v>11</v>
      </c>
      <c r="C711">
        <v>92</v>
      </c>
      <c r="D711">
        <v>9007</v>
      </c>
      <c r="E711" t="s">
        <v>121</v>
      </c>
      <c r="F711" t="s">
        <v>91</v>
      </c>
      <c r="G711" t="s">
        <v>2777</v>
      </c>
      <c r="H711" s="26">
        <v>16037</v>
      </c>
      <c r="I711" t="s">
        <v>58</v>
      </c>
      <c r="J711" t="s">
        <v>2778</v>
      </c>
      <c r="M711">
        <v>92600</v>
      </c>
      <c r="N711" t="s">
        <v>410</v>
      </c>
      <c r="O711" t="s">
        <v>61</v>
      </c>
      <c r="R711" t="s">
        <v>2779</v>
      </c>
      <c r="S711" t="s">
        <v>63</v>
      </c>
      <c r="T711" t="s">
        <v>64</v>
      </c>
      <c r="U711" t="s">
        <v>65</v>
      </c>
      <c r="W711" s="26">
        <v>45558</v>
      </c>
      <c r="X711" t="s">
        <v>61</v>
      </c>
      <c r="Y711" t="s">
        <v>237</v>
      </c>
    </row>
    <row r="712" spans="1:25" x14ac:dyDescent="0.25">
      <c r="A712" t="s">
        <v>2780</v>
      </c>
      <c r="B712">
        <v>11</v>
      </c>
      <c r="C712">
        <v>78</v>
      </c>
      <c r="D712">
        <v>9084</v>
      </c>
      <c r="E712" t="s">
        <v>216</v>
      </c>
      <c r="F712" t="s">
        <v>85</v>
      </c>
      <c r="G712" t="s">
        <v>2781</v>
      </c>
      <c r="H712" s="26">
        <v>24381</v>
      </c>
      <c r="I712" t="s">
        <v>58</v>
      </c>
      <c r="J712" t="s">
        <v>2782</v>
      </c>
      <c r="M712">
        <v>78740</v>
      </c>
      <c r="N712" t="s">
        <v>2783</v>
      </c>
      <c r="O712" t="s">
        <v>61</v>
      </c>
      <c r="Q712">
        <v>609735578</v>
      </c>
      <c r="R712" t="s">
        <v>2784</v>
      </c>
      <c r="S712" t="s">
        <v>63</v>
      </c>
      <c r="T712" t="s">
        <v>64</v>
      </c>
      <c r="U712" t="s">
        <v>65</v>
      </c>
      <c r="W712" s="26">
        <v>45545</v>
      </c>
      <c r="X712" t="s">
        <v>61</v>
      </c>
      <c r="Y712" t="s">
        <v>237</v>
      </c>
    </row>
    <row r="713" spans="1:25" x14ac:dyDescent="0.25">
      <c r="A713" t="s">
        <v>2785</v>
      </c>
      <c r="B713">
        <v>11</v>
      </c>
      <c r="C713">
        <v>91</v>
      </c>
      <c r="D713">
        <v>9064</v>
      </c>
      <c r="E713" t="s">
        <v>266</v>
      </c>
      <c r="F713" t="s">
        <v>189</v>
      </c>
      <c r="G713" t="s">
        <v>2786</v>
      </c>
      <c r="H713" s="26">
        <v>21890</v>
      </c>
      <c r="I713" t="s">
        <v>58</v>
      </c>
      <c r="J713" t="s">
        <v>2787</v>
      </c>
      <c r="M713">
        <v>91400</v>
      </c>
      <c r="N713" t="s">
        <v>463</v>
      </c>
      <c r="O713" t="s">
        <v>61</v>
      </c>
      <c r="Q713">
        <v>620601821</v>
      </c>
      <c r="R713" t="s">
        <v>2788</v>
      </c>
      <c r="S713" t="s">
        <v>63</v>
      </c>
      <c r="T713" t="s">
        <v>64</v>
      </c>
      <c r="U713" t="s">
        <v>65</v>
      </c>
      <c r="W713" s="26">
        <v>45539</v>
      </c>
      <c r="X713" t="s">
        <v>61</v>
      </c>
      <c r="Y713" t="s">
        <v>237</v>
      </c>
    </row>
    <row r="714" spans="1:25" x14ac:dyDescent="0.25">
      <c r="A714" t="s">
        <v>2789</v>
      </c>
      <c r="B714">
        <v>11</v>
      </c>
      <c r="C714">
        <v>77</v>
      </c>
      <c r="D714">
        <v>9059</v>
      </c>
      <c r="E714" t="s">
        <v>197</v>
      </c>
      <c r="F714" t="s">
        <v>327</v>
      </c>
      <c r="G714" t="s">
        <v>421</v>
      </c>
      <c r="H714" s="26">
        <v>19568</v>
      </c>
      <c r="I714" t="s">
        <v>58</v>
      </c>
      <c r="J714" t="s">
        <v>2790</v>
      </c>
      <c r="M714">
        <v>77600</v>
      </c>
      <c r="N714" t="s">
        <v>2791</v>
      </c>
      <c r="O714" t="s">
        <v>61</v>
      </c>
      <c r="Q714">
        <v>672150960</v>
      </c>
      <c r="R714" t="s">
        <v>2792</v>
      </c>
      <c r="S714" t="s">
        <v>63</v>
      </c>
      <c r="T714" t="s">
        <v>64</v>
      </c>
      <c r="U714" t="s">
        <v>65</v>
      </c>
      <c r="W714" s="26">
        <v>45538</v>
      </c>
      <c r="X714" t="s">
        <v>61</v>
      </c>
      <c r="Y714" t="s">
        <v>237</v>
      </c>
    </row>
    <row r="715" spans="1:25" x14ac:dyDescent="0.25">
      <c r="A715" t="s">
        <v>10527</v>
      </c>
      <c r="B715">
        <v>11</v>
      </c>
      <c r="C715">
        <v>77</v>
      </c>
      <c r="D715">
        <v>9059</v>
      </c>
      <c r="E715" t="s">
        <v>197</v>
      </c>
      <c r="F715" t="s">
        <v>10528</v>
      </c>
      <c r="G715" t="s">
        <v>10529</v>
      </c>
      <c r="H715" s="26">
        <v>36424</v>
      </c>
      <c r="I715" t="s">
        <v>58</v>
      </c>
      <c r="J715" t="s">
        <v>10530</v>
      </c>
      <c r="M715">
        <v>77330</v>
      </c>
      <c r="N715" t="s">
        <v>209</v>
      </c>
      <c r="O715" t="s">
        <v>61</v>
      </c>
      <c r="R715" t="s">
        <v>10531</v>
      </c>
      <c r="S715" t="s">
        <v>63</v>
      </c>
      <c r="T715" t="s">
        <v>64</v>
      </c>
      <c r="U715" t="s">
        <v>65</v>
      </c>
      <c r="W715" s="26">
        <v>45579</v>
      </c>
      <c r="X715" t="s">
        <v>61</v>
      </c>
      <c r="Y715" t="s">
        <v>237</v>
      </c>
    </row>
    <row r="716" spans="1:25" x14ac:dyDescent="0.25">
      <c r="A716" t="s">
        <v>2793</v>
      </c>
      <c r="B716">
        <v>11</v>
      </c>
      <c r="C716">
        <v>95</v>
      </c>
      <c r="D716">
        <v>9069</v>
      </c>
      <c r="E716" t="s">
        <v>129</v>
      </c>
      <c r="F716" t="s">
        <v>305</v>
      </c>
      <c r="G716" t="s">
        <v>2794</v>
      </c>
      <c r="H716" s="26">
        <v>19368</v>
      </c>
      <c r="I716" t="s">
        <v>58</v>
      </c>
      <c r="J716" t="s">
        <v>2795</v>
      </c>
      <c r="M716">
        <v>95130</v>
      </c>
      <c r="N716" t="s">
        <v>878</v>
      </c>
      <c r="O716" t="s">
        <v>61</v>
      </c>
      <c r="P716">
        <v>134141094</v>
      </c>
      <c r="Q716">
        <v>33671934655</v>
      </c>
      <c r="R716" t="s">
        <v>2796</v>
      </c>
      <c r="S716" t="s">
        <v>63</v>
      </c>
      <c r="T716" t="s">
        <v>64</v>
      </c>
      <c r="U716" t="s">
        <v>65</v>
      </c>
      <c r="W716" s="26">
        <v>45538</v>
      </c>
      <c r="X716" t="s">
        <v>61</v>
      </c>
      <c r="Y716" t="s">
        <v>237</v>
      </c>
    </row>
    <row r="717" spans="1:25" x14ac:dyDescent="0.25">
      <c r="A717" t="s">
        <v>2797</v>
      </c>
      <c r="B717">
        <v>11</v>
      </c>
      <c r="C717">
        <v>94</v>
      </c>
      <c r="D717">
        <v>9045</v>
      </c>
      <c r="E717" t="s">
        <v>1234</v>
      </c>
      <c r="F717" t="s">
        <v>1459</v>
      </c>
      <c r="G717" t="s">
        <v>2798</v>
      </c>
      <c r="H717" s="26">
        <v>31935</v>
      </c>
      <c r="I717" t="s">
        <v>58</v>
      </c>
      <c r="J717" t="s">
        <v>2799</v>
      </c>
      <c r="M717">
        <v>94270</v>
      </c>
      <c r="N717" t="s">
        <v>2800</v>
      </c>
      <c r="O717" t="s">
        <v>61</v>
      </c>
      <c r="Q717">
        <v>699597833</v>
      </c>
      <c r="R717" t="s">
        <v>2801</v>
      </c>
      <c r="S717" t="s">
        <v>63</v>
      </c>
      <c r="T717" t="s">
        <v>64</v>
      </c>
      <c r="U717" t="s">
        <v>8684</v>
      </c>
      <c r="V717" t="s">
        <v>111</v>
      </c>
      <c r="W717" s="26">
        <v>45537</v>
      </c>
      <c r="X717" t="s">
        <v>61</v>
      </c>
      <c r="Y717" t="s">
        <v>237</v>
      </c>
    </row>
    <row r="718" spans="1:25" x14ac:dyDescent="0.25">
      <c r="A718" t="s">
        <v>2804</v>
      </c>
      <c r="B718">
        <v>11</v>
      </c>
      <c r="C718">
        <v>93</v>
      </c>
      <c r="D718">
        <v>9060</v>
      </c>
      <c r="E718" t="s">
        <v>203</v>
      </c>
      <c r="F718" t="s">
        <v>887</v>
      </c>
      <c r="G718" t="s">
        <v>2805</v>
      </c>
      <c r="H718" s="26">
        <v>22137</v>
      </c>
      <c r="I718" t="s">
        <v>58</v>
      </c>
      <c r="J718" t="s">
        <v>2806</v>
      </c>
      <c r="M718">
        <v>93250</v>
      </c>
      <c r="N718" t="s">
        <v>1505</v>
      </c>
      <c r="O718" t="s">
        <v>61</v>
      </c>
      <c r="Q718">
        <v>665938828</v>
      </c>
      <c r="R718" t="s">
        <v>2807</v>
      </c>
      <c r="S718" t="s">
        <v>63</v>
      </c>
      <c r="T718" t="s">
        <v>64</v>
      </c>
      <c r="U718" t="s">
        <v>65</v>
      </c>
      <c r="W718" s="26">
        <v>45546</v>
      </c>
      <c r="X718" t="s">
        <v>61</v>
      </c>
      <c r="Y718" t="s">
        <v>237</v>
      </c>
    </row>
    <row r="719" spans="1:25" x14ac:dyDescent="0.25">
      <c r="A719" t="s">
        <v>2808</v>
      </c>
      <c r="B719">
        <v>11</v>
      </c>
      <c r="C719">
        <v>91</v>
      </c>
      <c r="D719">
        <v>9082</v>
      </c>
      <c r="E719" t="s">
        <v>67</v>
      </c>
      <c r="F719" t="s">
        <v>289</v>
      </c>
      <c r="G719" t="s">
        <v>1306</v>
      </c>
      <c r="H719" s="26">
        <v>17994</v>
      </c>
      <c r="I719" t="s">
        <v>58</v>
      </c>
      <c r="J719" t="s">
        <v>2809</v>
      </c>
      <c r="M719">
        <v>91260</v>
      </c>
      <c r="N719" t="s">
        <v>2638</v>
      </c>
      <c r="O719" t="s">
        <v>61</v>
      </c>
      <c r="Q719">
        <v>617890515</v>
      </c>
      <c r="R719" t="s">
        <v>2810</v>
      </c>
      <c r="S719" t="s">
        <v>63</v>
      </c>
      <c r="T719" t="s">
        <v>64</v>
      </c>
      <c r="U719" t="s">
        <v>65</v>
      </c>
      <c r="W719" s="26">
        <v>45555</v>
      </c>
      <c r="X719" t="s">
        <v>61</v>
      </c>
      <c r="Y719" t="s">
        <v>237</v>
      </c>
    </row>
    <row r="720" spans="1:25" x14ac:dyDescent="0.25">
      <c r="A720" t="s">
        <v>8915</v>
      </c>
      <c r="B720">
        <v>11</v>
      </c>
      <c r="C720">
        <v>91</v>
      </c>
      <c r="D720">
        <v>9131</v>
      </c>
      <c r="E720" t="s">
        <v>8686</v>
      </c>
      <c r="F720" t="s">
        <v>100</v>
      </c>
      <c r="G720" t="s">
        <v>8916</v>
      </c>
      <c r="H720" s="26">
        <v>15385</v>
      </c>
      <c r="I720" t="s">
        <v>58</v>
      </c>
      <c r="J720" t="s">
        <v>8917</v>
      </c>
      <c r="M720">
        <v>91210</v>
      </c>
      <c r="N720" t="s">
        <v>226</v>
      </c>
      <c r="O720" t="s">
        <v>61</v>
      </c>
      <c r="P720">
        <v>169038127</v>
      </c>
      <c r="R720" t="s">
        <v>8918</v>
      </c>
      <c r="S720" t="s">
        <v>63</v>
      </c>
      <c r="T720" t="s">
        <v>64</v>
      </c>
      <c r="U720" t="s">
        <v>65</v>
      </c>
      <c r="W720" s="26">
        <v>45539</v>
      </c>
      <c r="X720" t="s">
        <v>61</v>
      </c>
      <c r="Y720" t="s">
        <v>237</v>
      </c>
    </row>
    <row r="721" spans="1:25" x14ac:dyDescent="0.25">
      <c r="A721" t="s">
        <v>2811</v>
      </c>
      <c r="B721">
        <v>11</v>
      </c>
      <c r="C721">
        <v>78</v>
      </c>
      <c r="D721">
        <v>9030</v>
      </c>
      <c r="E721" t="s">
        <v>96</v>
      </c>
      <c r="F721" t="s">
        <v>2812</v>
      </c>
      <c r="G721" t="s">
        <v>2813</v>
      </c>
      <c r="H721" s="26">
        <v>23403</v>
      </c>
      <c r="I721" t="s">
        <v>58</v>
      </c>
      <c r="J721" t="s">
        <v>2814</v>
      </c>
      <c r="M721">
        <v>78960</v>
      </c>
      <c r="N721" t="s">
        <v>566</v>
      </c>
      <c r="O721" t="s">
        <v>61</v>
      </c>
      <c r="Q721">
        <v>618412572</v>
      </c>
      <c r="R721" t="s">
        <v>2815</v>
      </c>
      <c r="S721" t="s">
        <v>63</v>
      </c>
      <c r="T721" t="s">
        <v>64</v>
      </c>
      <c r="U721" t="s">
        <v>65</v>
      </c>
      <c r="W721" s="26">
        <v>45547</v>
      </c>
      <c r="X721" t="s">
        <v>2816</v>
      </c>
      <c r="Y721" t="s">
        <v>237</v>
      </c>
    </row>
    <row r="722" spans="1:25" x14ac:dyDescent="0.25">
      <c r="A722" t="s">
        <v>2817</v>
      </c>
      <c r="B722">
        <v>11</v>
      </c>
      <c r="C722">
        <v>78</v>
      </c>
      <c r="D722">
        <v>9030</v>
      </c>
      <c r="E722" t="s">
        <v>96</v>
      </c>
      <c r="F722" t="s">
        <v>289</v>
      </c>
      <c r="G722" t="s">
        <v>2818</v>
      </c>
      <c r="H722" s="26">
        <v>19180</v>
      </c>
      <c r="I722" t="s">
        <v>58</v>
      </c>
      <c r="J722" t="s">
        <v>2819</v>
      </c>
      <c r="M722">
        <v>78180</v>
      </c>
      <c r="N722" t="s">
        <v>1162</v>
      </c>
      <c r="O722" t="s">
        <v>61</v>
      </c>
      <c r="Q722">
        <v>603197764</v>
      </c>
      <c r="R722" t="s">
        <v>2820</v>
      </c>
      <c r="S722" t="s">
        <v>63</v>
      </c>
      <c r="T722" t="s">
        <v>64</v>
      </c>
      <c r="U722" t="s">
        <v>65</v>
      </c>
      <c r="W722" s="26">
        <v>45562</v>
      </c>
      <c r="X722" t="s">
        <v>61</v>
      </c>
      <c r="Y722" t="s">
        <v>237</v>
      </c>
    </row>
    <row r="723" spans="1:25" x14ac:dyDescent="0.25">
      <c r="A723" t="s">
        <v>2821</v>
      </c>
      <c r="B723">
        <v>11</v>
      </c>
      <c r="C723">
        <v>92</v>
      </c>
      <c r="D723">
        <v>9007</v>
      </c>
      <c r="E723" t="s">
        <v>121</v>
      </c>
      <c r="F723" t="s">
        <v>1019</v>
      </c>
      <c r="G723" t="s">
        <v>2822</v>
      </c>
      <c r="H723" s="26">
        <v>19638</v>
      </c>
      <c r="I723" t="s">
        <v>58</v>
      </c>
      <c r="J723" t="s">
        <v>2823</v>
      </c>
      <c r="M723">
        <v>92700</v>
      </c>
      <c r="N723" t="s">
        <v>151</v>
      </c>
      <c r="O723" t="s">
        <v>61</v>
      </c>
      <c r="R723" t="s">
        <v>2824</v>
      </c>
      <c r="S723" t="s">
        <v>63</v>
      </c>
      <c r="T723" t="s">
        <v>64</v>
      </c>
      <c r="U723" t="s">
        <v>65</v>
      </c>
      <c r="W723" s="26">
        <v>45558</v>
      </c>
      <c r="X723" t="s">
        <v>61</v>
      </c>
      <c r="Y723" t="s">
        <v>237</v>
      </c>
    </row>
    <row r="724" spans="1:25" x14ac:dyDescent="0.25">
      <c r="A724" t="s">
        <v>2825</v>
      </c>
      <c r="B724">
        <v>11</v>
      </c>
      <c r="C724">
        <v>75</v>
      </c>
      <c r="D724">
        <v>9070</v>
      </c>
      <c r="E724" t="s">
        <v>168</v>
      </c>
      <c r="F724" t="s">
        <v>2826</v>
      </c>
      <c r="G724" t="s">
        <v>2827</v>
      </c>
      <c r="H724" s="26">
        <v>32057</v>
      </c>
      <c r="I724" t="s">
        <v>58</v>
      </c>
      <c r="J724" t="s">
        <v>2828</v>
      </c>
      <c r="M724">
        <v>94130</v>
      </c>
      <c r="N724" t="s">
        <v>943</v>
      </c>
      <c r="O724" t="s">
        <v>61</v>
      </c>
      <c r="Q724">
        <v>666613102</v>
      </c>
      <c r="R724" t="s">
        <v>2829</v>
      </c>
      <c r="S724" t="s">
        <v>63</v>
      </c>
      <c r="T724" t="s">
        <v>64</v>
      </c>
      <c r="U724" t="s">
        <v>8684</v>
      </c>
      <c r="W724" s="26">
        <v>45531</v>
      </c>
      <c r="X724" t="s">
        <v>1300</v>
      </c>
      <c r="Y724" t="s">
        <v>237</v>
      </c>
    </row>
    <row r="725" spans="1:25" x14ac:dyDescent="0.25">
      <c r="A725" t="s">
        <v>2830</v>
      </c>
      <c r="B725">
        <v>11</v>
      </c>
      <c r="C725">
        <v>78</v>
      </c>
      <c r="D725">
        <v>9084</v>
      </c>
      <c r="E725" t="s">
        <v>216</v>
      </c>
      <c r="F725" t="s">
        <v>204</v>
      </c>
      <c r="G725" t="s">
        <v>217</v>
      </c>
      <c r="H725" s="26">
        <v>17524</v>
      </c>
      <c r="I725" t="s">
        <v>58</v>
      </c>
      <c r="J725" t="s">
        <v>2831</v>
      </c>
      <c r="M725">
        <v>78370</v>
      </c>
      <c r="N725" t="s">
        <v>338</v>
      </c>
      <c r="O725" t="s">
        <v>61</v>
      </c>
      <c r="P725">
        <v>134929282</v>
      </c>
      <c r="R725" t="s">
        <v>2832</v>
      </c>
      <c r="S725" t="s">
        <v>63</v>
      </c>
      <c r="T725" t="s">
        <v>64</v>
      </c>
      <c r="U725" t="s">
        <v>65</v>
      </c>
      <c r="W725" s="26">
        <v>45559</v>
      </c>
      <c r="X725" t="s">
        <v>61</v>
      </c>
      <c r="Y725" t="s">
        <v>237</v>
      </c>
    </row>
    <row r="726" spans="1:25" x14ac:dyDescent="0.25">
      <c r="A726" t="s">
        <v>2833</v>
      </c>
      <c r="B726">
        <v>11</v>
      </c>
      <c r="C726">
        <v>92</v>
      </c>
      <c r="D726">
        <v>9032</v>
      </c>
      <c r="E726" t="s">
        <v>102</v>
      </c>
      <c r="F726" t="s">
        <v>106</v>
      </c>
      <c r="G726" t="s">
        <v>2834</v>
      </c>
      <c r="H726" s="26">
        <v>16448</v>
      </c>
      <c r="I726" t="s">
        <v>58</v>
      </c>
      <c r="J726" t="s">
        <v>2835</v>
      </c>
      <c r="M726">
        <v>92350</v>
      </c>
      <c r="N726" t="s">
        <v>2836</v>
      </c>
      <c r="O726" t="s">
        <v>61</v>
      </c>
      <c r="Q726">
        <v>661750508</v>
      </c>
      <c r="R726" t="s">
        <v>2837</v>
      </c>
      <c r="S726" t="s">
        <v>63</v>
      </c>
      <c r="T726" t="s">
        <v>64</v>
      </c>
      <c r="U726" t="s">
        <v>65</v>
      </c>
      <c r="W726" s="26">
        <v>45549</v>
      </c>
      <c r="X726" t="s">
        <v>61</v>
      </c>
      <c r="Y726" t="s">
        <v>237</v>
      </c>
    </row>
    <row r="727" spans="1:25" x14ac:dyDescent="0.25">
      <c r="A727" t="s">
        <v>11213</v>
      </c>
      <c r="B727">
        <v>11</v>
      </c>
      <c r="C727">
        <v>92</v>
      </c>
      <c r="D727">
        <v>9032</v>
      </c>
      <c r="E727" t="s">
        <v>102</v>
      </c>
      <c r="F727" t="s">
        <v>204</v>
      </c>
      <c r="G727" t="s">
        <v>11214</v>
      </c>
      <c r="H727" s="26">
        <v>16889</v>
      </c>
      <c r="I727" t="s">
        <v>58</v>
      </c>
      <c r="J727" t="s">
        <v>11215</v>
      </c>
      <c r="M727">
        <v>92140</v>
      </c>
      <c r="N727" t="s">
        <v>1380</v>
      </c>
      <c r="O727" t="s">
        <v>61</v>
      </c>
      <c r="P727">
        <v>146325250</v>
      </c>
      <c r="Q727">
        <v>607801763</v>
      </c>
      <c r="R727" t="s">
        <v>11216</v>
      </c>
      <c r="S727" t="s">
        <v>63</v>
      </c>
      <c r="T727" t="s">
        <v>64</v>
      </c>
      <c r="U727" t="s">
        <v>65</v>
      </c>
      <c r="W727" s="26">
        <v>45594</v>
      </c>
      <c r="X727" t="s">
        <v>61</v>
      </c>
      <c r="Y727" t="s">
        <v>237</v>
      </c>
    </row>
    <row r="728" spans="1:25" x14ac:dyDescent="0.25">
      <c r="A728" t="s">
        <v>2838</v>
      </c>
      <c r="B728">
        <v>11</v>
      </c>
      <c r="C728">
        <v>92</v>
      </c>
      <c r="D728">
        <v>9032</v>
      </c>
      <c r="E728" t="s">
        <v>102</v>
      </c>
      <c r="F728" t="s">
        <v>137</v>
      </c>
      <c r="G728" t="s">
        <v>11217</v>
      </c>
      <c r="H728" s="26">
        <v>21402</v>
      </c>
      <c r="I728" t="s">
        <v>58</v>
      </c>
      <c r="J728" t="s">
        <v>11218</v>
      </c>
      <c r="M728">
        <v>92140</v>
      </c>
      <c r="N728" t="s">
        <v>1380</v>
      </c>
      <c r="O728" t="s">
        <v>61</v>
      </c>
      <c r="Q728">
        <v>621811227</v>
      </c>
      <c r="R728" t="s">
        <v>2839</v>
      </c>
      <c r="S728" t="s">
        <v>63</v>
      </c>
      <c r="T728" t="s">
        <v>64</v>
      </c>
      <c r="U728" t="s">
        <v>65</v>
      </c>
      <c r="W728" s="26">
        <v>45588</v>
      </c>
      <c r="X728" t="s">
        <v>61</v>
      </c>
      <c r="Y728" t="s">
        <v>237</v>
      </c>
    </row>
    <row r="729" spans="1:25" x14ac:dyDescent="0.25">
      <c r="A729" t="s">
        <v>2840</v>
      </c>
      <c r="B729">
        <v>11</v>
      </c>
      <c r="C729">
        <v>91</v>
      </c>
      <c r="D729">
        <v>9025</v>
      </c>
      <c r="E729" t="s">
        <v>188</v>
      </c>
      <c r="F729" t="s">
        <v>154</v>
      </c>
      <c r="G729" t="s">
        <v>2841</v>
      </c>
      <c r="H729" s="26">
        <v>14523</v>
      </c>
      <c r="I729" t="s">
        <v>58</v>
      </c>
      <c r="J729" t="s">
        <v>2842</v>
      </c>
      <c r="M729">
        <v>91100</v>
      </c>
      <c r="N729" t="s">
        <v>1427</v>
      </c>
      <c r="O729" t="s">
        <v>61</v>
      </c>
      <c r="P729">
        <v>160890438</v>
      </c>
      <c r="R729" t="s">
        <v>2843</v>
      </c>
      <c r="S729" t="s">
        <v>63</v>
      </c>
      <c r="T729" t="s">
        <v>64</v>
      </c>
      <c r="U729" t="s">
        <v>65</v>
      </c>
      <c r="W729" s="26">
        <v>45562</v>
      </c>
      <c r="X729" t="s">
        <v>61</v>
      </c>
      <c r="Y729" t="s">
        <v>237</v>
      </c>
    </row>
    <row r="730" spans="1:25" x14ac:dyDescent="0.25">
      <c r="A730" t="s">
        <v>2844</v>
      </c>
      <c r="B730">
        <v>11</v>
      </c>
      <c r="C730">
        <v>92</v>
      </c>
      <c r="D730">
        <v>9068</v>
      </c>
      <c r="E730" t="s">
        <v>119</v>
      </c>
      <c r="F730" t="s">
        <v>2845</v>
      </c>
      <c r="G730" t="s">
        <v>2846</v>
      </c>
      <c r="H730" s="26">
        <v>34270</v>
      </c>
      <c r="I730" t="s">
        <v>58</v>
      </c>
      <c r="J730" t="s">
        <v>2847</v>
      </c>
      <c r="M730">
        <v>75017</v>
      </c>
      <c r="N730" t="s">
        <v>330</v>
      </c>
      <c r="O730" t="s">
        <v>61</v>
      </c>
      <c r="Q730">
        <v>626896391</v>
      </c>
      <c r="R730" t="s">
        <v>2848</v>
      </c>
      <c r="S730" t="s">
        <v>63</v>
      </c>
      <c r="T730" t="s">
        <v>64</v>
      </c>
      <c r="U730" t="s">
        <v>486</v>
      </c>
      <c r="W730" s="26">
        <v>45544</v>
      </c>
      <c r="X730" t="s">
        <v>61</v>
      </c>
      <c r="Y730" t="s">
        <v>237</v>
      </c>
    </row>
    <row r="731" spans="1:25" x14ac:dyDescent="0.25">
      <c r="A731" t="s">
        <v>11219</v>
      </c>
      <c r="B731">
        <v>11</v>
      </c>
      <c r="C731">
        <v>93</v>
      </c>
      <c r="D731">
        <v>9060</v>
      </c>
      <c r="E731" t="s">
        <v>203</v>
      </c>
      <c r="F731" t="s">
        <v>297</v>
      </c>
      <c r="G731" t="s">
        <v>11220</v>
      </c>
      <c r="H731" s="26">
        <v>21245</v>
      </c>
      <c r="I731" t="s">
        <v>58</v>
      </c>
      <c r="J731" t="s">
        <v>11221</v>
      </c>
      <c r="M731">
        <v>77500</v>
      </c>
      <c r="N731" t="s">
        <v>637</v>
      </c>
      <c r="O731" t="s">
        <v>61</v>
      </c>
      <c r="P731">
        <v>160200197</v>
      </c>
      <c r="Q731">
        <v>601969029</v>
      </c>
      <c r="R731" t="s">
        <v>11222</v>
      </c>
      <c r="S731" t="s">
        <v>63</v>
      </c>
      <c r="T731" t="s">
        <v>64</v>
      </c>
      <c r="U731" t="s">
        <v>65</v>
      </c>
      <c r="W731" s="26">
        <v>45594</v>
      </c>
      <c r="X731" t="s">
        <v>61</v>
      </c>
      <c r="Y731" t="s">
        <v>237</v>
      </c>
    </row>
    <row r="732" spans="1:25" x14ac:dyDescent="0.25">
      <c r="A732" t="s">
        <v>2849</v>
      </c>
      <c r="B732">
        <v>11</v>
      </c>
      <c r="C732">
        <v>95</v>
      </c>
      <c r="D732">
        <v>9061</v>
      </c>
      <c r="E732" t="s">
        <v>360</v>
      </c>
      <c r="F732" t="s">
        <v>267</v>
      </c>
      <c r="G732" t="s">
        <v>2850</v>
      </c>
      <c r="H732" s="26">
        <v>20650</v>
      </c>
      <c r="I732" t="s">
        <v>58</v>
      </c>
      <c r="J732" t="s">
        <v>2851</v>
      </c>
      <c r="M732">
        <v>95520</v>
      </c>
      <c r="N732" t="s">
        <v>290</v>
      </c>
      <c r="O732" t="s">
        <v>61</v>
      </c>
      <c r="Q732">
        <v>666418287</v>
      </c>
      <c r="R732" t="s">
        <v>2852</v>
      </c>
      <c r="S732" t="s">
        <v>63</v>
      </c>
      <c r="T732" t="s">
        <v>64</v>
      </c>
      <c r="U732" t="s">
        <v>65</v>
      </c>
      <c r="W732" s="26">
        <v>45548</v>
      </c>
      <c r="X732" t="s">
        <v>61</v>
      </c>
      <c r="Y732" t="s">
        <v>237</v>
      </c>
    </row>
    <row r="733" spans="1:25" x14ac:dyDescent="0.25">
      <c r="A733" t="s">
        <v>10235</v>
      </c>
      <c r="B733">
        <v>11</v>
      </c>
      <c r="C733">
        <v>78</v>
      </c>
      <c r="D733">
        <v>9038</v>
      </c>
      <c r="E733" t="s">
        <v>484</v>
      </c>
      <c r="F733" t="s">
        <v>590</v>
      </c>
      <c r="G733" t="s">
        <v>10236</v>
      </c>
      <c r="H733" s="26">
        <v>25204</v>
      </c>
      <c r="I733" t="s">
        <v>58</v>
      </c>
      <c r="J733" t="s">
        <v>10237</v>
      </c>
      <c r="M733">
        <v>95800</v>
      </c>
      <c r="N733" t="s">
        <v>77</v>
      </c>
      <c r="O733" t="s">
        <v>61</v>
      </c>
      <c r="P733">
        <v>134465612</v>
      </c>
      <c r="Q733">
        <v>608639913</v>
      </c>
      <c r="R733" t="s">
        <v>10238</v>
      </c>
      <c r="S733" t="s">
        <v>63</v>
      </c>
      <c r="T733" t="s">
        <v>64</v>
      </c>
      <c r="U733" t="s">
        <v>65</v>
      </c>
      <c r="W733" s="26">
        <v>45572</v>
      </c>
      <c r="X733" t="s">
        <v>61</v>
      </c>
      <c r="Y733" t="s">
        <v>237</v>
      </c>
    </row>
    <row r="734" spans="1:25" x14ac:dyDescent="0.25">
      <c r="A734" t="s">
        <v>2853</v>
      </c>
      <c r="B734">
        <v>11</v>
      </c>
      <c r="C734">
        <v>78</v>
      </c>
      <c r="D734">
        <v>9038</v>
      </c>
      <c r="E734" t="s">
        <v>484</v>
      </c>
      <c r="F734" t="s">
        <v>1543</v>
      </c>
      <c r="G734" t="s">
        <v>2854</v>
      </c>
      <c r="H734" s="26">
        <v>18904</v>
      </c>
      <c r="I734" t="s">
        <v>58</v>
      </c>
      <c r="J734" t="s">
        <v>2855</v>
      </c>
      <c r="M734">
        <v>95280</v>
      </c>
      <c r="N734" t="s">
        <v>1535</v>
      </c>
      <c r="O734" t="s">
        <v>61</v>
      </c>
      <c r="Q734">
        <v>618811177</v>
      </c>
      <c r="R734" t="s">
        <v>2856</v>
      </c>
      <c r="S734" t="s">
        <v>63</v>
      </c>
      <c r="T734" t="s">
        <v>64</v>
      </c>
      <c r="U734" t="s">
        <v>65</v>
      </c>
      <c r="W734" s="26">
        <v>45561</v>
      </c>
      <c r="X734" t="s">
        <v>61</v>
      </c>
      <c r="Y734" t="s">
        <v>237</v>
      </c>
    </row>
    <row r="735" spans="1:25" x14ac:dyDescent="0.25">
      <c r="A735" t="s">
        <v>2857</v>
      </c>
      <c r="B735">
        <v>11</v>
      </c>
      <c r="C735">
        <v>95</v>
      </c>
      <c r="D735">
        <v>9061</v>
      </c>
      <c r="E735" t="s">
        <v>360</v>
      </c>
      <c r="F735" t="s">
        <v>267</v>
      </c>
      <c r="G735" t="s">
        <v>2858</v>
      </c>
      <c r="H735" s="26">
        <v>19171</v>
      </c>
      <c r="I735" t="s">
        <v>58</v>
      </c>
      <c r="J735" t="s">
        <v>2859</v>
      </c>
      <c r="M735">
        <v>95520</v>
      </c>
      <c r="N735" t="s">
        <v>290</v>
      </c>
      <c r="O735" t="s">
        <v>61</v>
      </c>
      <c r="Q735">
        <v>603781140</v>
      </c>
      <c r="R735" t="s">
        <v>2860</v>
      </c>
      <c r="S735" t="s">
        <v>63</v>
      </c>
      <c r="T735" t="s">
        <v>64</v>
      </c>
      <c r="U735" t="s">
        <v>65</v>
      </c>
      <c r="W735" s="26">
        <v>45552</v>
      </c>
      <c r="X735" t="s">
        <v>61</v>
      </c>
      <c r="Y735" t="s">
        <v>237</v>
      </c>
    </row>
    <row r="736" spans="1:25" x14ac:dyDescent="0.25">
      <c r="A736" t="s">
        <v>8919</v>
      </c>
      <c r="B736">
        <v>11</v>
      </c>
      <c r="C736">
        <v>78</v>
      </c>
      <c r="D736">
        <v>9038</v>
      </c>
      <c r="E736" t="s">
        <v>484</v>
      </c>
      <c r="F736" t="s">
        <v>137</v>
      </c>
      <c r="G736" t="s">
        <v>8920</v>
      </c>
      <c r="H736" s="26">
        <v>18179</v>
      </c>
      <c r="I736" t="s">
        <v>58</v>
      </c>
      <c r="J736" t="s">
        <v>8921</v>
      </c>
      <c r="M736">
        <v>95000</v>
      </c>
      <c r="N736" t="s">
        <v>77</v>
      </c>
      <c r="O736" t="s">
        <v>61</v>
      </c>
      <c r="R736" t="s">
        <v>8922</v>
      </c>
      <c r="S736" t="s">
        <v>63</v>
      </c>
      <c r="T736" t="s">
        <v>64</v>
      </c>
      <c r="U736" t="s">
        <v>65</v>
      </c>
      <c r="W736" s="26">
        <v>45566</v>
      </c>
      <c r="X736" t="s">
        <v>61</v>
      </c>
      <c r="Y736" t="s">
        <v>237</v>
      </c>
    </row>
    <row r="737" spans="1:25" x14ac:dyDescent="0.25">
      <c r="A737" t="s">
        <v>2861</v>
      </c>
      <c r="B737">
        <v>11</v>
      </c>
      <c r="C737">
        <v>78</v>
      </c>
      <c r="D737">
        <v>9101</v>
      </c>
      <c r="E737" t="s">
        <v>1165</v>
      </c>
      <c r="F737" t="s">
        <v>2243</v>
      </c>
      <c r="G737" t="s">
        <v>2862</v>
      </c>
      <c r="H737" s="26">
        <v>37094</v>
      </c>
      <c r="I737" t="s">
        <v>58</v>
      </c>
      <c r="J737" t="s">
        <v>2863</v>
      </c>
      <c r="M737">
        <v>59282</v>
      </c>
      <c r="N737" t="s">
        <v>2864</v>
      </c>
      <c r="O737" t="s">
        <v>61</v>
      </c>
      <c r="P737">
        <v>361104098</v>
      </c>
      <c r="Q737">
        <v>767613499</v>
      </c>
      <c r="R737" t="s">
        <v>2865</v>
      </c>
      <c r="S737" t="s">
        <v>63</v>
      </c>
      <c r="T737" t="s">
        <v>64</v>
      </c>
      <c r="U737" t="s">
        <v>486</v>
      </c>
      <c r="W737" s="26">
        <v>45525</v>
      </c>
      <c r="X737" t="s">
        <v>61</v>
      </c>
      <c r="Y737" t="s">
        <v>237</v>
      </c>
    </row>
    <row r="738" spans="1:25" x14ac:dyDescent="0.25">
      <c r="A738" t="s">
        <v>10532</v>
      </c>
      <c r="B738">
        <v>11</v>
      </c>
      <c r="C738">
        <v>95</v>
      </c>
      <c r="D738">
        <v>9010</v>
      </c>
      <c r="E738" t="s">
        <v>6</v>
      </c>
      <c r="F738" t="s">
        <v>103</v>
      </c>
      <c r="G738" t="s">
        <v>10533</v>
      </c>
      <c r="H738" s="26">
        <v>18013</v>
      </c>
      <c r="I738" t="s">
        <v>58</v>
      </c>
      <c r="J738" t="s">
        <v>10534</v>
      </c>
      <c r="M738">
        <v>95100</v>
      </c>
      <c r="N738" t="s">
        <v>311</v>
      </c>
      <c r="O738" t="s">
        <v>61</v>
      </c>
      <c r="R738" t="s">
        <v>10535</v>
      </c>
      <c r="S738" t="s">
        <v>63</v>
      </c>
      <c r="T738" t="s">
        <v>64</v>
      </c>
      <c r="U738" t="s">
        <v>65</v>
      </c>
      <c r="W738" s="26">
        <v>45574</v>
      </c>
      <c r="X738" t="s">
        <v>61</v>
      </c>
      <c r="Y738" t="s">
        <v>237</v>
      </c>
    </row>
    <row r="739" spans="1:25" x14ac:dyDescent="0.25">
      <c r="A739" t="s">
        <v>8923</v>
      </c>
      <c r="B739">
        <v>11</v>
      </c>
      <c r="C739">
        <v>91</v>
      </c>
      <c r="D739">
        <v>9096</v>
      </c>
      <c r="E739" t="s">
        <v>526</v>
      </c>
      <c r="F739" t="s">
        <v>106</v>
      </c>
      <c r="G739" t="s">
        <v>8924</v>
      </c>
      <c r="H739" s="26">
        <v>19721</v>
      </c>
      <c r="I739" t="s">
        <v>58</v>
      </c>
      <c r="J739" t="s">
        <v>8925</v>
      </c>
      <c r="M739">
        <v>91670</v>
      </c>
      <c r="N739" t="s">
        <v>8926</v>
      </c>
      <c r="O739" t="s">
        <v>61</v>
      </c>
      <c r="Q739">
        <v>676585394</v>
      </c>
      <c r="R739" t="s">
        <v>8927</v>
      </c>
      <c r="S739" t="s">
        <v>63</v>
      </c>
      <c r="T739" t="s">
        <v>64</v>
      </c>
      <c r="U739" t="s">
        <v>65</v>
      </c>
      <c r="W739" s="26">
        <v>45536</v>
      </c>
      <c r="X739" t="s">
        <v>61</v>
      </c>
      <c r="Y739" t="s">
        <v>237</v>
      </c>
    </row>
    <row r="740" spans="1:25" x14ac:dyDescent="0.25">
      <c r="A740" t="s">
        <v>2866</v>
      </c>
      <c r="B740">
        <v>11</v>
      </c>
      <c r="C740">
        <v>94</v>
      </c>
      <c r="D740">
        <v>9031</v>
      </c>
      <c r="E740" t="s">
        <v>7</v>
      </c>
      <c r="F740" t="s">
        <v>217</v>
      </c>
      <c r="G740" t="s">
        <v>2591</v>
      </c>
      <c r="H740" s="26">
        <v>24471</v>
      </c>
      <c r="I740" t="s">
        <v>58</v>
      </c>
      <c r="J740" t="s">
        <v>2867</v>
      </c>
      <c r="M740">
        <v>94700</v>
      </c>
      <c r="N740" t="s">
        <v>163</v>
      </c>
      <c r="O740" t="s">
        <v>61</v>
      </c>
      <c r="Q740">
        <v>609032415</v>
      </c>
      <c r="R740" t="s">
        <v>2868</v>
      </c>
      <c r="S740" t="s">
        <v>63</v>
      </c>
      <c r="T740" t="s">
        <v>64</v>
      </c>
      <c r="U740" t="s">
        <v>65</v>
      </c>
      <c r="W740" s="26">
        <v>45525</v>
      </c>
      <c r="X740" t="s">
        <v>61</v>
      </c>
      <c r="Y740" t="s">
        <v>237</v>
      </c>
    </row>
    <row r="741" spans="1:25" x14ac:dyDescent="0.25">
      <c r="A741" t="s">
        <v>2869</v>
      </c>
      <c r="B741">
        <v>11</v>
      </c>
      <c r="C741">
        <v>94</v>
      </c>
      <c r="D741">
        <v>9031</v>
      </c>
      <c r="E741" t="s">
        <v>7</v>
      </c>
      <c r="F741" t="s">
        <v>2870</v>
      </c>
      <c r="G741" t="s">
        <v>2871</v>
      </c>
      <c r="H741" s="26">
        <v>24007</v>
      </c>
      <c r="I741" t="s">
        <v>58</v>
      </c>
      <c r="J741" t="s">
        <v>2872</v>
      </c>
      <c r="M741">
        <v>94410</v>
      </c>
      <c r="N741" t="s">
        <v>728</v>
      </c>
      <c r="O741" t="s">
        <v>61</v>
      </c>
      <c r="Q741">
        <v>674506570</v>
      </c>
      <c r="R741" t="s">
        <v>2873</v>
      </c>
      <c r="S741" t="s">
        <v>63</v>
      </c>
      <c r="T741" t="s">
        <v>64</v>
      </c>
      <c r="U741" t="s">
        <v>65</v>
      </c>
      <c r="W741" s="26">
        <v>45543</v>
      </c>
      <c r="X741" t="s">
        <v>61</v>
      </c>
      <c r="Y741" t="s">
        <v>237</v>
      </c>
    </row>
    <row r="742" spans="1:25" x14ac:dyDescent="0.25">
      <c r="A742" t="s">
        <v>10162</v>
      </c>
      <c r="B742">
        <v>11</v>
      </c>
      <c r="C742">
        <v>78</v>
      </c>
      <c r="D742">
        <v>9056</v>
      </c>
      <c r="E742" t="s">
        <v>214</v>
      </c>
      <c r="F742" t="s">
        <v>154</v>
      </c>
      <c r="G742" t="s">
        <v>2874</v>
      </c>
      <c r="H742" s="26">
        <v>19526</v>
      </c>
      <c r="I742" t="s">
        <v>58</v>
      </c>
      <c r="J742" t="s">
        <v>10163</v>
      </c>
      <c r="M742">
        <v>78150</v>
      </c>
      <c r="N742" t="s">
        <v>10164</v>
      </c>
      <c r="O742" t="s">
        <v>61</v>
      </c>
      <c r="Q742">
        <v>685662654</v>
      </c>
      <c r="R742" t="s">
        <v>10165</v>
      </c>
      <c r="S742" t="s">
        <v>63</v>
      </c>
      <c r="T742" t="s">
        <v>64</v>
      </c>
      <c r="U742" t="s">
        <v>65</v>
      </c>
      <c r="W742" s="26">
        <v>45568</v>
      </c>
      <c r="X742" t="s">
        <v>61</v>
      </c>
      <c r="Y742" t="s">
        <v>237</v>
      </c>
    </row>
    <row r="743" spans="1:25" x14ac:dyDescent="0.25">
      <c r="A743" t="s">
        <v>2875</v>
      </c>
      <c r="B743">
        <v>11</v>
      </c>
      <c r="C743">
        <v>77</v>
      </c>
      <c r="D743">
        <v>9040</v>
      </c>
      <c r="E743" t="s">
        <v>612</v>
      </c>
      <c r="F743" t="s">
        <v>183</v>
      </c>
      <c r="G743" t="s">
        <v>2876</v>
      </c>
      <c r="H743" s="26">
        <v>20480</v>
      </c>
      <c r="I743" t="s">
        <v>58</v>
      </c>
      <c r="J743" t="s">
        <v>2877</v>
      </c>
      <c r="M743">
        <v>77920</v>
      </c>
      <c r="N743" t="s">
        <v>2134</v>
      </c>
      <c r="O743" t="s">
        <v>61</v>
      </c>
      <c r="Q743">
        <v>607246623</v>
      </c>
      <c r="R743" t="s">
        <v>2878</v>
      </c>
      <c r="S743" t="s">
        <v>63</v>
      </c>
      <c r="T743" t="s">
        <v>64</v>
      </c>
      <c r="U743" t="s">
        <v>65</v>
      </c>
      <c r="W743" s="26">
        <v>45557</v>
      </c>
      <c r="X743" t="s">
        <v>61</v>
      </c>
      <c r="Y743" t="s">
        <v>237</v>
      </c>
    </row>
    <row r="744" spans="1:25" x14ac:dyDescent="0.25">
      <c r="A744" t="s">
        <v>2879</v>
      </c>
      <c r="B744">
        <v>11</v>
      </c>
      <c r="C744">
        <v>91</v>
      </c>
      <c r="D744">
        <v>9095</v>
      </c>
      <c r="E744" t="s">
        <v>113</v>
      </c>
      <c r="F744" t="s">
        <v>2880</v>
      </c>
      <c r="G744" t="s">
        <v>2881</v>
      </c>
      <c r="H744" s="26">
        <v>19009</v>
      </c>
      <c r="I744" t="s">
        <v>58</v>
      </c>
      <c r="J744" t="s">
        <v>2882</v>
      </c>
      <c r="M744">
        <v>91220</v>
      </c>
      <c r="N744" t="s">
        <v>2883</v>
      </c>
      <c r="O744" t="s">
        <v>61</v>
      </c>
      <c r="P744">
        <v>169888905</v>
      </c>
      <c r="Q744">
        <v>684861240</v>
      </c>
      <c r="R744" t="s">
        <v>2884</v>
      </c>
      <c r="S744" t="s">
        <v>63</v>
      </c>
      <c r="T744" t="s">
        <v>64</v>
      </c>
      <c r="U744" t="s">
        <v>65</v>
      </c>
      <c r="W744" s="26">
        <v>45544</v>
      </c>
      <c r="X744" t="s">
        <v>61</v>
      </c>
      <c r="Y744" t="s">
        <v>237</v>
      </c>
    </row>
    <row r="745" spans="1:25" x14ac:dyDescent="0.25">
      <c r="A745" t="s">
        <v>2885</v>
      </c>
      <c r="B745">
        <v>11</v>
      </c>
      <c r="C745">
        <v>91</v>
      </c>
      <c r="D745">
        <v>9095</v>
      </c>
      <c r="E745" t="s">
        <v>113</v>
      </c>
      <c r="F745" t="s">
        <v>12</v>
      </c>
      <c r="G745" t="s">
        <v>2886</v>
      </c>
      <c r="H745" s="26">
        <v>23799</v>
      </c>
      <c r="I745" t="s">
        <v>58</v>
      </c>
      <c r="J745" t="s">
        <v>2887</v>
      </c>
      <c r="M745">
        <v>91790</v>
      </c>
      <c r="N745" t="s">
        <v>2888</v>
      </c>
      <c r="O745" t="s">
        <v>61</v>
      </c>
      <c r="Q745">
        <v>662866813</v>
      </c>
      <c r="R745" t="s">
        <v>2889</v>
      </c>
      <c r="S745" t="s">
        <v>63</v>
      </c>
      <c r="T745" t="s">
        <v>64</v>
      </c>
      <c r="U745" t="s">
        <v>65</v>
      </c>
      <c r="W745" s="26">
        <v>45544</v>
      </c>
      <c r="X745" t="s">
        <v>61</v>
      </c>
      <c r="Y745" t="s">
        <v>237</v>
      </c>
    </row>
    <row r="746" spans="1:25" x14ac:dyDescent="0.25">
      <c r="A746" t="s">
        <v>2890</v>
      </c>
      <c r="B746">
        <v>11</v>
      </c>
      <c r="C746">
        <v>93</v>
      </c>
      <c r="D746">
        <v>9060</v>
      </c>
      <c r="E746" t="s">
        <v>203</v>
      </c>
      <c r="F746" t="s">
        <v>56</v>
      </c>
      <c r="G746" t="s">
        <v>2891</v>
      </c>
      <c r="H746" s="26">
        <v>18101</v>
      </c>
      <c r="I746" t="s">
        <v>58</v>
      </c>
      <c r="J746" t="s">
        <v>2892</v>
      </c>
      <c r="M746">
        <v>93220</v>
      </c>
      <c r="N746" t="s">
        <v>662</v>
      </c>
      <c r="O746" t="s">
        <v>61</v>
      </c>
      <c r="Q746">
        <v>631105701</v>
      </c>
      <c r="S746" t="s">
        <v>63</v>
      </c>
      <c r="T746" t="s">
        <v>64</v>
      </c>
      <c r="U746" t="s">
        <v>65</v>
      </c>
      <c r="W746" s="26">
        <v>45546</v>
      </c>
      <c r="X746" t="s">
        <v>61</v>
      </c>
      <c r="Y746" t="s">
        <v>237</v>
      </c>
    </row>
    <row r="747" spans="1:25" x14ac:dyDescent="0.25">
      <c r="A747" t="s">
        <v>2893</v>
      </c>
      <c r="B747">
        <v>11</v>
      </c>
      <c r="C747">
        <v>77</v>
      </c>
      <c r="D747">
        <v>9049</v>
      </c>
      <c r="E747" t="s">
        <v>902</v>
      </c>
      <c r="F747" t="s">
        <v>91</v>
      </c>
      <c r="G747" t="s">
        <v>2894</v>
      </c>
      <c r="H747" s="26">
        <v>19324</v>
      </c>
      <c r="I747" t="s">
        <v>58</v>
      </c>
      <c r="J747" t="s">
        <v>2895</v>
      </c>
      <c r="M747">
        <v>77640</v>
      </c>
      <c r="N747" t="s">
        <v>2896</v>
      </c>
      <c r="O747" t="s">
        <v>61</v>
      </c>
      <c r="P747">
        <v>160092216</v>
      </c>
      <c r="R747" t="s">
        <v>2897</v>
      </c>
      <c r="S747" t="s">
        <v>63</v>
      </c>
      <c r="T747" t="s">
        <v>64</v>
      </c>
      <c r="U747" t="s">
        <v>65</v>
      </c>
      <c r="W747" s="26">
        <v>45530</v>
      </c>
      <c r="X747" t="s">
        <v>61</v>
      </c>
      <c r="Y747" t="s">
        <v>237</v>
      </c>
    </row>
    <row r="748" spans="1:25" x14ac:dyDescent="0.25">
      <c r="A748" t="s">
        <v>11223</v>
      </c>
      <c r="B748">
        <v>11</v>
      </c>
      <c r="C748">
        <v>94</v>
      </c>
      <c r="D748">
        <v>9024</v>
      </c>
      <c r="E748" t="s">
        <v>4</v>
      </c>
      <c r="F748" t="s">
        <v>342</v>
      </c>
      <c r="G748" t="s">
        <v>11224</v>
      </c>
      <c r="H748" s="26">
        <v>22556</v>
      </c>
      <c r="I748" t="s">
        <v>58</v>
      </c>
      <c r="J748" t="s">
        <v>11225</v>
      </c>
      <c r="M748">
        <v>94500</v>
      </c>
      <c r="N748" t="s">
        <v>339</v>
      </c>
      <c r="O748" t="s">
        <v>61</v>
      </c>
      <c r="Q748">
        <v>603158659</v>
      </c>
      <c r="R748" t="s">
        <v>11226</v>
      </c>
      <c r="S748" t="s">
        <v>63</v>
      </c>
      <c r="T748" t="s">
        <v>64</v>
      </c>
      <c r="U748" t="s">
        <v>65</v>
      </c>
      <c r="W748" s="26">
        <v>45586</v>
      </c>
      <c r="X748" t="s">
        <v>61</v>
      </c>
      <c r="Y748" t="s">
        <v>237</v>
      </c>
    </row>
    <row r="749" spans="1:25" x14ac:dyDescent="0.25">
      <c r="A749" t="s">
        <v>10536</v>
      </c>
      <c r="B749">
        <v>11</v>
      </c>
      <c r="C749">
        <v>94</v>
      </c>
      <c r="D749">
        <v>9024</v>
      </c>
      <c r="E749" t="s">
        <v>4</v>
      </c>
      <c r="F749" t="s">
        <v>106</v>
      </c>
      <c r="G749" t="s">
        <v>10537</v>
      </c>
      <c r="H749" s="26">
        <v>17262</v>
      </c>
      <c r="I749" t="s">
        <v>58</v>
      </c>
      <c r="J749" t="s">
        <v>10538</v>
      </c>
      <c r="M749">
        <v>94430</v>
      </c>
      <c r="N749" t="s">
        <v>2898</v>
      </c>
      <c r="O749" t="s">
        <v>61</v>
      </c>
      <c r="Q749">
        <v>629251725</v>
      </c>
      <c r="R749" t="s">
        <v>10539</v>
      </c>
      <c r="S749" t="s">
        <v>63</v>
      </c>
      <c r="T749" t="s">
        <v>64</v>
      </c>
      <c r="U749" t="s">
        <v>65</v>
      </c>
      <c r="W749" s="26">
        <v>45575</v>
      </c>
      <c r="X749" t="s">
        <v>61</v>
      </c>
      <c r="Y749" t="s">
        <v>237</v>
      </c>
    </row>
    <row r="750" spans="1:25" x14ac:dyDescent="0.25">
      <c r="A750" t="s">
        <v>2899</v>
      </c>
      <c r="B750">
        <v>11</v>
      </c>
      <c r="C750">
        <v>95</v>
      </c>
      <c r="D750">
        <v>9061</v>
      </c>
      <c r="E750" t="s">
        <v>360</v>
      </c>
      <c r="F750" t="s">
        <v>115</v>
      </c>
      <c r="G750" t="s">
        <v>2900</v>
      </c>
      <c r="H750" s="26">
        <v>15051</v>
      </c>
      <c r="I750" t="s">
        <v>58</v>
      </c>
      <c r="J750" t="s">
        <v>8928</v>
      </c>
      <c r="K750" t="s">
        <v>8929</v>
      </c>
      <c r="M750">
        <v>27140</v>
      </c>
      <c r="N750" t="s">
        <v>8930</v>
      </c>
      <c r="O750" t="s">
        <v>61</v>
      </c>
      <c r="Q750">
        <v>689666212</v>
      </c>
      <c r="R750" t="s">
        <v>2500</v>
      </c>
      <c r="S750" t="s">
        <v>63</v>
      </c>
      <c r="T750" t="s">
        <v>64</v>
      </c>
      <c r="U750" t="s">
        <v>65</v>
      </c>
      <c r="W750" s="26">
        <v>45555</v>
      </c>
      <c r="X750" t="s">
        <v>61</v>
      </c>
      <c r="Y750" t="s">
        <v>237</v>
      </c>
    </row>
    <row r="751" spans="1:25" x14ac:dyDescent="0.25">
      <c r="A751" t="s">
        <v>2902</v>
      </c>
      <c r="B751">
        <v>11</v>
      </c>
      <c r="C751">
        <v>78</v>
      </c>
      <c r="D751">
        <v>9030</v>
      </c>
      <c r="E751" t="s">
        <v>96</v>
      </c>
      <c r="F751" t="s">
        <v>440</v>
      </c>
      <c r="G751" t="s">
        <v>2903</v>
      </c>
      <c r="H751" s="26">
        <v>18342</v>
      </c>
      <c r="I751" t="s">
        <v>58</v>
      </c>
      <c r="J751" t="s">
        <v>2904</v>
      </c>
      <c r="M751">
        <v>78280</v>
      </c>
      <c r="N751" t="s">
        <v>98</v>
      </c>
      <c r="O751" t="s">
        <v>61</v>
      </c>
      <c r="Q751">
        <v>695663287</v>
      </c>
      <c r="R751" t="s">
        <v>2905</v>
      </c>
      <c r="S751" t="s">
        <v>63</v>
      </c>
      <c r="T751" t="s">
        <v>64</v>
      </c>
      <c r="U751" t="s">
        <v>65</v>
      </c>
      <c r="W751" s="26">
        <v>45555</v>
      </c>
      <c r="X751" t="s">
        <v>61</v>
      </c>
      <c r="Y751" t="s">
        <v>237</v>
      </c>
    </row>
    <row r="752" spans="1:25" x14ac:dyDescent="0.25">
      <c r="A752" t="s">
        <v>2906</v>
      </c>
      <c r="B752">
        <v>11</v>
      </c>
      <c r="C752">
        <v>94</v>
      </c>
      <c r="D752">
        <v>9031</v>
      </c>
      <c r="E752" t="s">
        <v>7</v>
      </c>
      <c r="F752" t="s">
        <v>1442</v>
      </c>
      <c r="G752" t="s">
        <v>2907</v>
      </c>
      <c r="H752" s="26">
        <v>23741</v>
      </c>
      <c r="I752" t="s">
        <v>58</v>
      </c>
      <c r="J752" t="s">
        <v>2908</v>
      </c>
      <c r="M752">
        <v>94000</v>
      </c>
      <c r="N752" t="s">
        <v>277</v>
      </c>
      <c r="O752" t="s">
        <v>61</v>
      </c>
      <c r="Q752">
        <v>686885226</v>
      </c>
      <c r="R752" t="s">
        <v>2909</v>
      </c>
      <c r="S752" t="s">
        <v>63</v>
      </c>
      <c r="T752" t="s">
        <v>64</v>
      </c>
      <c r="U752" t="s">
        <v>65</v>
      </c>
      <c r="W752" s="26">
        <v>45550</v>
      </c>
      <c r="X752" t="s">
        <v>61</v>
      </c>
      <c r="Y752" t="s">
        <v>237</v>
      </c>
    </row>
    <row r="753" spans="1:25" x14ac:dyDescent="0.25">
      <c r="A753" t="s">
        <v>2910</v>
      </c>
      <c r="B753">
        <v>11</v>
      </c>
      <c r="C753">
        <v>91</v>
      </c>
      <c r="D753">
        <v>9082</v>
      </c>
      <c r="E753" t="s">
        <v>67</v>
      </c>
      <c r="F753" t="s">
        <v>204</v>
      </c>
      <c r="G753" t="s">
        <v>2911</v>
      </c>
      <c r="H753" s="26">
        <v>13874</v>
      </c>
      <c r="I753" t="s">
        <v>58</v>
      </c>
      <c r="J753" t="s">
        <v>2912</v>
      </c>
      <c r="M753">
        <v>91210</v>
      </c>
      <c r="N753" t="s">
        <v>226</v>
      </c>
      <c r="O753" t="s">
        <v>61</v>
      </c>
      <c r="P753">
        <v>169429355</v>
      </c>
      <c r="Q753">
        <v>662469355</v>
      </c>
      <c r="R753" t="s">
        <v>2913</v>
      </c>
      <c r="S753" t="s">
        <v>63</v>
      </c>
      <c r="T753" t="s">
        <v>64</v>
      </c>
      <c r="U753" t="s">
        <v>65</v>
      </c>
      <c r="W753" s="26">
        <v>45546</v>
      </c>
      <c r="X753" t="s">
        <v>61</v>
      </c>
      <c r="Y753" t="s">
        <v>237</v>
      </c>
    </row>
    <row r="754" spans="1:25" x14ac:dyDescent="0.25">
      <c r="A754" t="s">
        <v>10540</v>
      </c>
      <c r="B754">
        <v>11</v>
      </c>
      <c r="C754">
        <v>93</v>
      </c>
      <c r="D754">
        <v>9060</v>
      </c>
      <c r="E754" t="s">
        <v>203</v>
      </c>
      <c r="F754" t="s">
        <v>289</v>
      </c>
      <c r="G754" t="s">
        <v>10541</v>
      </c>
      <c r="H754" s="26">
        <v>18105</v>
      </c>
      <c r="I754" t="s">
        <v>58</v>
      </c>
      <c r="J754" t="s">
        <v>10542</v>
      </c>
      <c r="M754">
        <v>93320</v>
      </c>
      <c r="N754" t="s">
        <v>10543</v>
      </c>
      <c r="O754" t="s">
        <v>61</v>
      </c>
      <c r="Q754">
        <v>617710157</v>
      </c>
      <c r="R754" t="s">
        <v>10544</v>
      </c>
      <c r="S754" t="s">
        <v>63</v>
      </c>
      <c r="T754" t="s">
        <v>64</v>
      </c>
      <c r="U754" t="s">
        <v>65</v>
      </c>
      <c r="W754" s="26">
        <v>45576</v>
      </c>
      <c r="X754" t="s">
        <v>61</v>
      </c>
      <c r="Y754" t="s">
        <v>237</v>
      </c>
    </row>
    <row r="755" spans="1:25" x14ac:dyDescent="0.25">
      <c r="A755" t="s">
        <v>11227</v>
      </c>
      <c r="B755">
        <v>11</v>
      </c>
      <c r="C755">
        <v>92</v>
      </c>
      <c r="D755">
        <v>9017</v>
      </c>
      <c r="E755" t="s">
        <v>211</v>
      </c>
      <c r="F755" t="s">
        <v>816</v>
      </c>
      <c r="G755" t="s">
        <v>11228</v>
      </c>
      <c r="H755" s="26">
        <v>20050</v>
      </c>
      <c r="I755" t="s">
        <v>58</v>
      </c>
      <c r="J755" t="s">
        <v>11229</v>
      </c>
      <c r="M755">
        <v>92250</v>
      </c>
      <c r="N755" t="s">
        <v>1079</v>
      </c>
      <c r="O755" t="s">
        <v>61</v>
      </c>
      <c r="Q755">
        <v>609174564</v>
      </c>
      <c r="R755" t="s">
        <v>11230</v>
      </c>
      <c r="S755" t="s">
        <v>63</v>
      </c>
      <c r="T755" t="s">
        <v>64</v>
      </c>
      <c r="U755" t="s">
        <v>65</v>
      </c>
      <c r="W755" s="26">
        <v>45585</v>
      </c>
      <c r="X755" t="s">
        <v>61</v>
      </c>
      <c r="Y755" t="s">
        <v>237</v>
      </c>
    </row>
    <row r="756" spans="1:25" x14ac:dyDescent="0.25">
      <c r="A756" t="s">
        <v>10545</v>
      </c>
      <c r="B756">
        <v>11</v>
      </c>
      <c r="C756">
        <v>93</v>
      </c>
      <c r="D756">
        <v>9060</v>
      </c>
      <c r="E756" t="s">
        <v>203</v>
      </c>
      <c r="F756" t="s">
        <v>97</v>
      </c>
      <c r="G756" t="s">
        <v>10546</v>
      </c>
      <c r="H756" s="26">
        <v>17712</v>
      </c>
      <c r="I756" t="s">
        <v>58</v>
      </c>
      <c r="J756" t="s">
        <v>10547</v>
      </c>
      <c r="M756">
        <v>77181</v>
      </c>
      <c r="N756" t="s">
        <v>10169</v>
      </c>
      <c r="O756" t="s">
        <v>61</v>
      </c>
      <c r="Q756">
        <v>660811479</v>
      </c>
      <c r="R756" t="s">
        <v>10548</v>
      </c>
      <c r="S756" t="s">
        <v>63</v>
      </c>
      <c r="T756" t="s">
        <v>64</v>
      </c>
      <c r="U756" t="s">
        <v>65</v>
      </c>
      <c r="W756" s="26">
        <v>45577</v>
      </c>
      <c r="X756" t="s">
        <v>61</v>
      </c>
      <c r="Y756" t="s">
        <v>237</v>
      </c>
    </row>
    <row r="757" spans="1:25" x14ac:dyDescent="0.25">
      <c r="A757" t="s">
        <v>10549</v>
      </c>
      <c r="B757">
        <v>11</v>
      </c>
      <c r="C757">
        <v>95</v>
      </c>
      <c r="D757">
        <v>9010</v>
      </c>
      <c r="E757" t="s">
        <v>6</v>
      </c>
      <c r="F757" t="s">
        <v>555</v>
      </c>
      <c r="G757" t="s">
        <v>10550</v>
      </c>
      <c r="H757" s="26">
        <v>21007</v>
      </c>
      <c r="I757" t="s">
        <v>58</v>
      </c>
      <c r="J757" t="s">
        <v>10438</v>
      </c>
      <c r="M757">
        <v>95100</v>
      </c>
      <c r="N757" t="s">
        <v>311</v>
      </c>
      <c r="O757" t="s">
        <v>61</v>
      </c>
      <c r="R757" t="s">
        <v>10551</v>
      </c>
      <c r="S757" t="s">
        <v>63</v>
      </c>
      <c r="T757" t="s">
        <v>64</v>
      </c>
      <c r="U757" t="s">
        <v>65</v>
      </c>
      <c r="W757" s="26">
        <v>45574</v>
      </c>
      <c r="X757" t="s">
        <v>61</v>
      </c>
      <c r="Y757" t="s">
        <v>237</v>
      </c>
    </row>
    <row r="758" spans="1:25" x14ac:dyDescent="0.25">
      <c r="A758" t="s">
        <v>8931</v>
      </c>
      <c r="B758">
        <v>11</v>
      </c>
      <c r="C758">
        <v>94</v>
      </c>
      <c r="D758">
        <v>9031</v>
      </c>
      <c r="E758" t="s">
        <v>7</v>
      </c>
      <c r="F758" t="s">
        <v>8932</v>
      </c>
      <c r="G758" t="s">
        <v>8933</v>
      </c>
      <c r="H758" s="26">
        <v>25574</v>
      </c>
      <c r="I758" t="s">
        <v>58</v>
      </c>
      <c r="J758" t="s">
        <v>8934</v>
      </c>
      <c r="M758">
        <v>94300</v>
      </c>
      <c r="N758" t="s">
        <v>838</v>
      </c>
      <c r="O758" t="s">
        <v>61</v>
      </c>
      <c r="P758">
        <v>141740635</v>
      </c>
      <c r="R758" t="s">
        <v>8935</v>
      </c>
      <c r="S758" t="s">
        <v>63</v>
      </c>
      <c r="T758" t="s">
        <v>64</v>
      </c>
      <c r="U758" t="s">
        <v>65</v>
      </c>
      <c r="W758" s="26">
        <v>45553</v>
      </c>
      <c r="X758" t="s">
        <v>61</v>
      </c>
      <c r="Y758" t="s">
        <v>237</v>
      </c>
    </row>
    <row r="759" spans="1:25" x14ac:dyDescent="0.25">
      <c r="A759" t="s">
        <v>2914</v>
      </c>
      <c r="B759">
        <v>11</v>
      </c>
      <c r="C759">
        <v>91</v>
      </c>
      <c r="D759">
        <v>9025</v>
      </c>
      <c r="E759" t="s">
        <v>188</v>
      </c>
      <c r="F759" t="s">
        <v>2915</v>
      </c>
      <c r="G759" t="s">
        <v>2916</v>
      </c>
      <c r="H759" s="26">
        <v>16170</v>
      </c>
      <c r="I759" t="s">
        <v>58</v>
      </c>
      <c r="J759" t="s">
        <v>2917</v>
      </c>
      <c r="M759">
        <v>91490</v>
      </c>
      <c r="N759" t="s">
        <v>2918</v>
      </c>
      <c r="O759" t="s">
        <v>61</v>
      </c>
      <c r="P759">
        <v>164987902</v>
      </c>
      <c r="R759" t="s">
        <v>2919</v>
      </c>
      <c r="S759" t="s">
        <v>63</v>
      </c>
      <c r="T759" t="s">
        <v>64</v>
      </c>
      <c r="U759" t="s">
        <v>65</v>
      </c>
      <c r="W759" s="26">
        <v>45540</v>
      </c>
      <c r="X759" t="s">
        <v>61</v>
      </c>
      <c r="Y759" t="s">
        <v>237</v>
      </c>
    </row>
    <row r="760" spans="1:25" x14ac:dyDescent="0.25">
      <c r="A760" t="s">
        <v>2920</v>
      </c>
      <c r="B760">
        <v>11</v>
      </c>
      <c r="C760">
        <v>91</v>
      </c>
      <c r="D760">
        <v>9009</v>
      </c>
      <c r="E760" t="s">
        <v>159</v>
      </c>
      <c r="F760" t="s">
        <v>2921</v>
      </c>
      <c r="G760" t="s">
        <v>2922</v>
      </c>
      <c r="H760" s="26">
        <v>19476</v>
      </c>
      <c r="I760" t="s">
        <v>58</v>
      </c>
      <c r="J760" t="s">
        <v>2923</v>
      </c>
      <c r="M760">
        <v>91640</v>
      </c>
      <c r="N760" t="s">
        <v>533</v>
      </c>
      <c r="O760" t="s">
        <v>61</v>
      </c>
      <c r="P760">
        <v>164907336</v>
      </c>
      <c r="Q760">
        <v>630310455</v>
      </c>
      <c r="R760" t="s">
        <v>2924</v>
      </c>
      <c r="S760" t="s">
        <v>63</v>
      </c>
      <c r="T760" t="s">
        <v>64</v>
      </c>
      <c r="U760" t="s">
        <v>65</v>
      </c>
      <c r="W760" s="26">
        <v>45537</v>
      </c>
      <c r="X760" t="s">
        <v>61</v>
      </c>
      <c r="Y760" t="s">
        <v>237</v>
      </c>
    </row>
    <row r="761" spans="1:25" x14ac:dyDescent="0.25">
      <c r="A761" t="s">
        <v>8936</v>
      </c>
      <c r="B761">
        <v>11</v>
      </c>
      <c r="C761">
        <v>92</v>
      </c>
      <c r="D761">
        <v>9065</v>
      </c>
      <c r="E761" t="s">
        <v>426</v>
      </c>
      <c r="F761" t="s">
        <v>297</v>
      </c>
      <c r="G761" t="s">
        <v>8937</v>
      </c>
      <c r="H761" s="26">
        <v>24913</v>
      </c>
      <c r="I761" t="s">
        <v>58</v>
      </c>
      <c r="J761" t="s">
        <v>8938</v>
      </c>
      <c r="M761">
        <v>91940</v>
      </c>
      <c r="N761" t="s">
        <v>581</v>
      </c>
      <c r="O761" t="s">
        <v>61</v>
      </c>
      <c r="Q761">
        <v>608179185</v>
      </c>
      <c r="R761" t="s">
        <v>8939</v>
      </c>
      <c r="S761" t="s">
        <v>63</v>
      </c>
      <c r="T761" t="s">
        <v>64</v>
      </c>
      <c r="U761" t="s">
        <v>486</v>
      </c>
      <c r="W761" s="26">
        <v>45531</v>
      </c>
      <c r="X761" t="s">
        <v>61</v>
      </c>
      <c r="Y761" t="s">
        <v>237</v>
      </c>
    </row>
    <row r="762" spans="1:25" x14ac:dyDescent="0.25">
      <c r="A762" t="s">
        <v>2926</v>
      </c>
      <c r="B762">
        <v>11</v>
      </c>
      <c r="C762">
        <v>78</v>
      </c>
      <c r="D762">
        <v>9130</v>
      </c>
      <c r="E762" t="s">
        <v>1159</v>
      </c>
      <c r="F762" t="s">
        <v>2409</v>
      </c>
      <c r="G762" t="s">
        <v>2927</v>
      </c>
      <c r="H762" s="26">
        <v>31545</v>
      </c>
      <c r="I762" t="s">
        <v>58</v>
      </c>
      <c r="J762" t="s">
        <v>2928</v>
      </c>
      <c r="K762" t="s">
        <v>2929</v>
      </c>
      <c r="M762">
        <v>78160</v>
      </c>
      <c r="N762" t="s">
        <v>1258</v>
      </c>
      <c r="O762" t="s">
        <v>61</v>
      </c>
      <c r="Q762">
        <v>622933239</v>
      </c>
      <c r="R762" t="s">
        <v>2930</v>
      </c>
      <c r="S762" t="s">
        <v>63</v>
      </c>
      <c r="T762" t="s">
        <v>64</v>
      </c>
      <c r="U762" t="s">
        <v>486</v>
      </c>
      <c r="W762" s="26">
        <v>45532</v>
      </c>
      <c r="X762" t="s">
        <v>61</v>
      </c>
      <c r="Y762" t="s">
        <v>237</v>
      </c>
    </row>
    <row r="763" spans="1:25" x14ac:dyDescent="0.25">
      <c r="A763" t="s">
        <v>8940</v>
      </c>
      <c r="B763">
        <v>11</v>
      </c>
      <c r="C763">
        <v>92</v>
      </c>
      <c r="D763">
        <v>9007</v>
      </c>
      <c r="E763" t="s">
        <v>121</v>
      </c>
      <c r="F763" t="s">
        <v>160</v>
      </c>
      <c r="G763" t="s">
        <v>8941</v>
      </c>
      <c r="H763" s="26">
        <v>21697</v>
      </c>
      <c r="I763" t="s">
        <v>58</v>
      </c>
      <c r="J763" t="s">
        <v>8942</v>
      </c>
      <c r="M763">
        <v>92600</v>
      </c>
      <c r="N763" t="s">
        <v>8943</v>
      </c>
      <c r="O763" t="s">
        <v>61</v>
      </c>
      <c r="R763" t="s">
        <v>8944</v>
      </c>
      <c r="S763" t="s">
        <v>63</v>
      </c>
      <c r="T763" t="s">
        <v>64</v>
      </c>
      <c r="U763" t="s">
        <v>65</v>
      </c>
      <c r="W763" s="26">
        <v>45558</v>
      </c>
      <c r="X763" t="s">
        <v>61</v>
      </c>
      <c r="Y763" t="s">
        <v>237</v>
      </c>
    </row>
    <row r="764" spans="1:25" x14ac:dyDescent="0.25">
      <c r="A764" t="s">
        <v>10552</v>
      </c>
      <c r="B764">
        <v>11</v>
      </c>
      <c r="C764">
        <v>92</v>
      </c>
      <c r="D764">
        <v>9088</v>
      </c>
      <c r="E764" t="s">
        <v>1</v>
      </c>
      <c r="F764" t="s">
        <v>85</v>
      </c>
      <c r="G764" t="s">
        <v>10553</v>
      </c>
      <c r="H764" s="26">
        <v>20192</v>
      </c>
      <c r="I764" t="s">
        <v>58</v>
      </c>
      <c r="J764" t="s">
        <v>10554</v>
      </c>
      <c r="M764">
        <v>92300</v>
      </c>
      <c r="N764" t="s">
        <v>1229</v>
      </c>
      <c r="O764" t="s">
        <v>61</v>
      </c>
      <c r="Q764">
        <v>619623049</v>
      </c>
      <c r="R764" t="s">
        <v>10555</v>
      </c>
      <c r="S764" t="s">
        <v>63</v>
      </c>
      <c r="T764" t="s">
        <v>64</v>
      </c>
      <c r="U764" t="s">
        <v>65</v>
      </c>
      <c r="W764" s="26">
        <v>45578</v>
      </c>
      <c r="X764" t="s">
        <v>61</v>
      </c>
      <c r="Y764" t="s">
        <v>237</v>
      </c>
    </row>
    <row r="765" spans="1:25" x14ac:dyDescent="0.25">
      <c r="A765" t="s">
        <v>8945</v>
      </c>
      <c r="B765">
        <v>11</v>
      </c>
      <c r="C765">
        <v>91</v>
      </c>
      <c r="D765">
        <v>9009</v>
      </c>
      <c r="E765" t="s">
        <v>159</v>
      </c>
      <c r="F765" t="s">
        <v>887</v>
      </c>
      <c r="G765" t="s">
        <v>8946</v>
      </c>
      <c r="H765" s="26">
        <v>25043</v>
      </c>
      <c r="I765" t="s">
        <v>58</v>
      </c>
      <c r="J765" t="s">
        <v>8947</v>
      </c>
      <c r="M765">
        <v>91420</v>
      </c>
      <c r="N765" t="s">
        <v>1675</v>
      </c>
      <c r="O765" t="s">
        <v>61</v>
      </c>
      <c r="Q765">
        <v>677507209</v>
      </c>
      <c r="R765" t="s">
        <v>8948</v>
      </c>
      <c r="S765" t="s">
        <v>63</v>
      </c>
      <c r="T765" t="s">
        <v>64</v>
      </c>
      <c r="U765" t="s">
        <v>65</v>
      </c>
      <c r="W765" s="26">
        <v>45544</v>
      </c>
      <c r="X765" t="s">
        <v>61</v>
      </c>
      <c r="Y765" t="s">
        <v>237</v>
      </c>
    </row>
    <row r="766" spans="1:25" x14ac:dyDescent="0.25">
      <c r="A766" t="s">
        <v>10556</v>
      </c>
      <c r="B766">
        <v>11</v>
      </c>
      <c r="C766">
        <v>95</v>
      </c>
      <c r="D766">
        <v>9010</v>
      </c>
      <c r="E766" t="s">
        <v>6</v>
      </c>
      <c r="F766" t="s">
        <v>91</v>
      </c>
      <c r="G766" t="s">
        <v>10557</v>
      </c>
      <c r="H766" s="26">
        <v>22059</v>
      </c>
      <c r="I766" t="s">
        <v>58</v>
      </c>
      <c r="J766" t="s">
        <v>10558</v>
      </c>
      <c r="M766">
        <v>95000</v>
      </c>
      <c r="N766" t="s">
        <v>77</v>
      </c>
      <c r="O766" t="s">
        <v>61</v>
      </c>
      <c r="Q766">
        <v>771327547</v>
      </c>
      <c r="R766" t="s">
        <v>10559</v>
      </c>
      <c r="S766" t="s">
        <v>63</v>
      </c>
      <c r="T766" t="s">
        <v>64</v>
      </c>
      <c r="U766" t="s">
        <v>8684</v>
      </c>
      <c r="W766" s="26">
        <v>45574</v>
      </c>
      <c r="X766" t="s">
        <v>61</v>
      </c>
      <c r="Y766" t="s">
        <v>237</v>
      </c>
    </row>
    <row r="767" spans="1:25" x14ac:dyDescent="0.25">
      <c r="A767" t="s">
        <v>2931</v>
      </c>
      <c r="B767">
        <v>11</v>
      </c>
      <c r="C767">
        <v>78</v>
      </c>
      <c r="D767">
        <v>9016</v>
      </c>
      <c r="E767" t="s">
        <v>362</v>
      </c>
      <c r="F767" t="s">
        <v>2932</v>
      </c>
      <c r="G767" t="s">
        <v>2933</v>
      </c>
      <c r="H767" s="26">
        <v>30086</v>
      </c>
      <c r="I767" t="s">
        <v>58</v>
      </c>
      <c r="J767" t="s">
        <v>2934</v>
      </c>
      <c r="M767">
        <v>78250</v>
      </c>
      <c r="N767" t="s">
        <v>2935</v>
      </c>
      <c r="O767" t="s">
        <v>61</v>
      </c>
      <c r="Q767">
        <v>663732548</v>
      </c>
      <c r="R767" t="s">
        <v>2936</v>
      </c>
      <c r="S767" t="s">
        <v>63</v>
      </c>
      <c r="T767" t="s">
        <v>64</v>
      </c>
      <c r="U767" t="s">
        <v>65</v>
      </c>
      <c r="W767" s="26">
        <v>45561</v>
      </c>
      <c r="X767" t="s">
        <v>61</v>
      </c>
      <c r="Y767" t="s">
        <v>237</v>
      </c>
    </row>
    <row r="768" spans="1:25" x14ac:dyDescent="0.25">
      <c r="A768" t="s">
        <v>2937</v>
      </c>
      <c r="B768">
        <v>11</v>
      </c>
      <c r="C768">
        <v>78</v>
      </c>
      <c r="D768">
        <v>9016</v>
      </c>
      <c r="E768" t="s">
        <v>362</v>
      </c>
      <c r="F768" t="s">
        <v>1883</v>
      </c>
      <c r="G768" t="s">
        <v>213</v>
      </c>
      <c r="H768" s="26">
        <v>17255</v>
      </c>
      <c r="I768" t="s">
        <v>58</v>
      </c>
      <c r="J768" t="s">
        <v>2938</v>
      </c>
      <c r="M768">
        <v>78440</v>
      </c>
      <c r="N768" t="s">
        <v>1646</v>
      </c>
      <c r="O768" t="s">
        <v>61</v>
      </c>
      <c r="P768">
        <v>951483541</v>
      </c>
      <c r="Q768">
        <v>605092382</v>
      </c>
      <c r="S768" t="s">
        <v>63</v>
      </c>
      <c r="T768" t="s">
        <v>64</v>
      </c>
      <c r="U768" t="s">
        <v>65</v>
      </c>
      <c r="W768" s="26">
        <v>45543</v>
      </c>
      <c r="X768" t="s">
        <v>61</v>
      </c>
      <c r="Y768" t="s">
        <v>237</v>
      </c>
    </row>
    <row r="769" spans="1:25" x14ac:dyDescent="0.25">
      <c r="A769" t="s">
        <v>11231</v>
      </c>
      <c r="B769">
        <v>11</v>
      </c>
      <c r="C769">
        <v>94</v>
      </c>
      <c r="D769">
        <v>9024</v>
      </c>
      <c r="E769" t="s">
        <v>4</v>
      </c>
      <c r="F769" t="s">
        <v>85</v>
      </c>
      <c r="G769" t="s">
        <v>11232</v>
      </c>
      <c r="H769" s="26">
        <v>19163</v>
      </c>
      <c r="I769" t="s">
        <v>58</v>
      </c>
      <c r="J769" t="s">
        <v>11233</v>
      </c>
      <c r="M769">
        <v>94340</v>
      </c>
      <c r="N769" t="s">
        <v>1504</v>
      </c>
      <c r="O769" t="s">
        <v>61</v>
      </c>
      <c r="P769">
        <v>171563206</v>
      </c>
      <c r="R769" t="s">
        <v>11234</v>
      </c>
      <c r="S769" t="s">
        <v>63</v>
      </c>
      <c r="T769" t="s">
        <v>64</v>
      </c>
      <c r="U769" t="s">
        <v>65</v>
      </c>
      <c r="W769" s="26">
        <v>45586</v>
      </c>
      <c r="X769" t="s">
        <v>61</v>
      </c>
      <c r="Y769" t="s">
        <v>237</v>
      </c>
    </row>
    <row r="770" spans="1:25" x14ac:dyDescent="0.25">
      <c r="A770" t="s">
        <v>2939</v>
      </c>
      <c r="B770">
        <v>11</v>
      </c>
      <c r="C770">
        <v>78</v>
      </c>
      <c r="D770">
        <v>9016</v>
      </c>
      <c r="E770" t="s">
        <v>362</v>
      </c>
      <c r="F770" t="s">
        <v>887</v>
      </c>
      <c r="G770" t="s">
        <v>2940</v>
      </c>
      <c r="H770" s="26">
        <v>20388</v>
      </c>
      <c r="I770" t="s">
        <v>58</v>
      </c>
      <c r="J770" t="s">
        <v>2941</v>
      </c>
      <c r="M770">
        <v>78820</v>
      </c>
      <c r="N770" t="s">
        <v>2942</v>
      </c>
      <c r="O770" t="s">
        <v>61</v>
      </c>
      <c r="P770">
        <v>134752339</v>
      </c>
      <c r="Q770">
        <v>786969724</v>
      </c>
      <c r="S770" t="s">
        <v>63</v>
      </c>
      <c r="T770" t="s">
        <v>64</v>
      </c>
      <c r="U770" t="s">
        <v>65</v>
      </c>
      <c r="W770" s="26">
        <v>45543</v>
      </c>
      <c r="X770" t="s">
        <v>61</v>
      </c>
      <c r="Y770" t="s">
        <v>237</v>
      </c>
    </row>
    <row r="771" spans="1:25" x14ac:dyDescent="0.25">
      <c r="A771" t="s">
        <v>2943</v>
      </c>
      <c r="B771">
        <v>11</v>
      </c>
      <c r="C771">
        <v>95</v>
      </c>
      <c r="D771">
        <v>9069</v>
      </c>
      <c r="E771" t="s">
        <v>129</v>
      </c>
      <c r="F771" t="s">
        <v>97</v>
      </c>
      <c r="G771" t="s">
        <v>2944</v>
      </c>
      <c r="H771" s="26">
        <v>18753</v>
      </c>
      <c r="I771" t="s">
        <v>58</v>
      </c>
      <c r="J771" t="s">
        <v>2945</v>
      </c>
      <c r="M771">
        <v>95620</v>
      </c>
      <c r="N771" t="s">
        <v>2946</v>
      </c>
      <c r="O771" t="s">
        <v>61</v>
      </c>
      <c r="P771">
        <v>134696976</v>
      </c>
      <c r="Q771">
        <v>608577205</v>
      </c>
      <c r="R771" t="s">
        <v>2947</v>
      </c>
      <c r="S771" t="s">
        <v>63</v>
      </c>
      <c r="T771" t="s">
        <v>64</v>
      </c>
      <c r="U771" t="s">
        <v>65</v>
      </c>
      <c r="W771" s="26">
        <v>45561</v>
      </c>
      <c r="X771" t="s">
        <v>61</v>
      </c>
      <c r="Y771" t="s">
        <v>237</v>
      </c>
    </row>
    <row r="772" spans="1:25" x14ac:dyDescent="0.25">
      <c r="A772" t="s">
        <v>2948</v>
      </c>
      <c r="B772">
        <v>11</v>
      </c>
      <c r="C772">
        <v>93</v>
      </c>
      <c r="D772">
        <v>9060</v>
      </c>
      <c r="E772" t="s">
        <v>203</v>
      </c>
      <c r="F772" t="s">
        <v>1005</v>
      </c>
      <c r="G772" t="s">
        <v>2949</v>
      </c>
      <c r="H772" s="26">
        <v>20813</v>
      </c>
      <c r="I772" t="s">
        <v>58</v>
      </c>
      <c r="J772" t="s">
        <v>2950</v>
      </c>
      <c r="M772">
        <v>93410</v>
      </c>
      <c r="N772" t="s">
        <v>2951</v>
      </c>
      <c r="O772" t="s">
        <v>61</v>
      </c>
      <c r="Q772">
        <v>684680126</v>
      </c>
      <c r="R772" t="s">
        <v>2952</v>
      </c>
      <c r="S772" t="s">
        <v>63</v>
      </c>
      <c r="T772" t="s">
        <v>64</v>
      </c>
      <c r="U772" t="s">
        <v>65</v>
      </c>
      <c r="W772" s="26">
        <v>45549</v>
      </c>
      <c r="X772" t="s">
        <v>61</v>
      </c>
      <c r="Y772" t="s">
        <v>237</v>
      </c>
    </row>
    <row r="773" spans="1:25" x14ac:dyDescent="0.25">
      <c r="A773" t="s">
        <v>2953</v>
      </c>
      <c r="B773">
        <v>11</v>
      </c>
      <c r="C773">
        <v>75</v>
      </c>
      <c r="D773">
        <v>9070</v>
      </c>
      <c r="E773" t="s">
        <v>168</v>
      </c>
      <c r="F773" t="s">
        <v>2954</v>
      </c>
      <c r="G773" t="s">
        <v>2955</v>
      </c>
      <c r="H773" s="26">
        <v>31827</v>
      </c>
      <c r="I773" t="s">
        <v>58</v>
      </c>
      <c r="J773" t="s">
        <v>2956</v>
      </c>
      <c r="M773">
        <v>75019</v>
      </c>
      <c r="N773" t="s">
        <v>330</v>
      </c>
      <c r="O773" t="s">
        <v>61</v>
      </c>
      <c r="Q773">
        <v>695987410</v>
      </c>
      <c r="R773" t="s">
        <v>2957</v>
      </c>
      <c r="S773" t="s">
        <v>63</v>
      </c>
      <c r="T773" t="s">
        <v>64</v>
      </c>
      <c r="U773" t="s">
        <v>8684</v>
      </c>
      <c r="W773" s="26">
        <v>45534</v>
      </c>
      <c r="X773" t="s">
        <v>61</v>
      </c>
      <c r="Y773" t="s">
        <v>237</v>
      </c>
    </row>
    <row r="774" spans="1:25" x14ac:dyDescent="0.25">
      <c r="A774" t="s">
        <v>2958</v>
      </c>
      <c r="B774">
        <v>11</v>
      </c>
      <c r="C774">
        <v>91</v>
      </c>
      <c r="D774">
        <v>9064</v>
      </c>
      <c r="E774" t="s">
        <v>266</v>
      </c>
      <c r="F774" t="s">
        <v>97</v>
      </c>
      <c r="G774" t="s">
        <v>2959</v>
      </c>
      <c r="H774" s="26">
        <v>17228</v>
      </c>
      <c r="I774" t="s">
        <v>58</v>
      </c>
      <c r="J774" t="s">
        <v>2960</v>
      </c>
      <c r="M774">
        <v>91300</v>
      </c>
      <c r="N774" t="s">
        <v>675</v>
      </c>
      <c r="O774" t="s">
        <v>61</v>
      </c>
      <c r="Q774">
        <v>689968940</v>
      </c>
      <c r="R774" t="s">
        <v>2961</v>
      </c>
      <c r="S774" t="s">
        <v>63</v>
      </c>
      <c r="T774" t="s">
        <v>64</v>
      </c>
      <c r="U774" t="s">
        <v>65</v>
      </c>
      <c r="W774" s="26">
        <v>45553</v>
      </c>
      <c r="X774" t="s">
        <v>61</v>
      </c>
      <c r="Y774" t="s">
        <v>237</v>
      </c>
    </row>
    <row r="775" spans="1:25" x14ac:dyDescent="0.25">
      <c r="A775" t="s">
        <v>2962</v>
      </c>
      <c r="B775">
        <v>11</v>
      </c>
      <c r="C775">
        <v>78</v>
      </c>
      <c r="D775">
        <v>9056</v>
      </c>
      <c r="E775" t="s">
        <v>214</v>
      </c>
      <c r="F775" t="s">
        <v>217</v>
      </c>
      <c r="G775" t="s">
        <v>2963</v>
      </c>
      <c r="H775" s="26">
        <v>17217</v>
      </c>
      <c r="I775" t="s">
        <v>58</v>
      </c>
      <c r="J775" t="s">
        <v>2964</v>
      </c>
      <c r="K775" t="s">
        <v>2965</v>
      </c>
      <c r="M775">
        <v>92380</v>
      </c>
      <c r="N775" t="s">
        <v>2966</v>
      </c>
      <c r="O775" t="s">
        <v>61</v>
      </c>
      <c r="Q775">
        <v>668612693</v>
      </c>
      <c r="R775" t="s">
        <v>2967</v>
      </c>
      <c r="S775" t="s">
        <v>63</v>
      </c>
      <c r="T775" t="s">
        <v>64</v>
      </c>
      <c r="U775" t="s">
        <v>65</v>
      </c>
      <c r="W775" s="26">
        <v>45559</v>
      </c>
      <c r="X775" t="s">
        <v>61</v>
      </c>
      <c r="Y775" t="s">
        <v>237</v>
      </c>
    </row>
    <row r="776" spans="1:25" x14ac:dyDescent="0.25">
      <c r="A776" t="s">
        <v>2968</v>
      </c>
      <c r="B776">
        <v>11</v>
      </c>
      <c r="C776">
        <v>78</v>
      </c>
      <c r="D776">
        <v>9056</v>
      </c>
      <c r="E776" t="s">
        <v>214</v>
      </c>
      <c r="F776" t="s">
        <v>2969</v>
      </c>
      <c r="G776" t="s">
        <v>2970</v>
      </c>
      <c r="H776" s="26">
        <v>17401</v>
      </c>
      <c r="I776" t="s">
        <v>58</v>
      </c>
      <c r="J776" t="s">
        <v>2971</v>
      </c>
      <c r="M776">
        <v>92210</v>
      </c>
      <c r="N776" t="s">
        <v>2972</v>
      </c>
      <c r="O776" t="s">
        <v>61</v>
      </c>
      <c r="Q776">
        <v>607585601</v>
      </c>
      <c r="R776" t="s">
        <v>2973</v>
      </c>
      <c r="S776" t="s">
        <v>63</v>
      </c>
      <c r="T776" t="s">
        <v>64</v>
      </c>
      <c r="U776" t="s">
        <v>65</v>
      </c>
      <c r="W776" s="26">
        <v>45555</v>
      </c>
      <c r="X776" t="s">
        <v>61</v>
      </c>
      <c r="Y776" t="s">
        <v>237</v>
      </c>
    </row>
    <row r="777" spans="1:25" x14ac:dyDescent="0.25">
      <c r="A777" t="s">
        <v>2974</v>
      </c>
      <c r="B777">
        <v>11</v>
      </c>
      <c r="C777">
        <v>78</v>
      </c>
      <c r="D777">
        <v>9056</v>
      </c>
      <c r="E777" t="s">
        <v>214</v>
      </c>
      <c r="F777" t="s">
        <v>189</v>
      </c>
      <c r="G777" t="s">
        <v>2975</v>
      </c>
      <c r="H777" s="26">
        <v>19849</v>
      </c>
      <c r="I777" t="s">
        <v>58</v>
      </c>
      <c r="J777" t="s">
        <v>8949</v>
      </c>
      <c r="M777">
        <v>78220</v>
      </c>
      <c r="N777" t="s">
        <v>258</v>
      </c>
      <c r="O777" t="s">
        <v>61</v>
      </c>
      <c r="Q777">
        <v>674688942</v>
      </c>
      <c r="R777" t="s">
        <v>2976</v>
      </c>
      <c r="S777" t="s">
        <v>63</v>
      </c>
      <c r="T777" t="s">
        <v>64</v>
      </c>
      <c r="U777" t="s">
        <v>65</v>
      </c>
      <c r="W777" s="26">
        <v>45551</v>
      </c>
      <c r="X777" t="s">
        <v>61</v>
      </c>
      <c r="Y777" t="s">
        <v>237</v>
      </c>
    </row>
    <row r="778" spans="1:25" x14ac:dyDescent="0.25">
      <c r="A778" t="s">
        <v>2977</v>
      </c>
      <c r="B778">
        <v>11</v>
      </c>
      <c r="C778">
        <v>78</v>
      </c>
      <c r="D778">
        <v>9056</v>
      </c>
      <c r="E778" t="s">
        <v>214</v>
      </c>
      <c r="F778" t="s">
        <v>2978</v>
      </c>
      <c r="G778" t="s">
        <v>2979</v>
      </c>
      <c r="H778" s="26">
        <v>17187</v>
      </c>
      <c r="I778" t="s">
        <v>58</v>
      </c>
      <c r="J778" t="s">
        <v>2980</v>
      </c>
      <c r="M778">
        <v>78000</v>
      </c>
      <c r="N778" t="s">
        <v>1334</v>
      </c>
      <c r="O778" t="s">
        <v>61</v>
      </c>
      <c r="Q778">
        <v>607529689</v>
      </c>
      <c r="R778" t="s">
        <v>2981</v>
      </c>
      <c r="S778" t="s">
        <v>63</v>
      </c>
      <c r="T778" t="s">
        <v>64</v>
      </c>
      <c r="U778" t="s">
        <v>65</v>
      </c>
      <c r="W778" s="26">
        <v>45527</v>
      </c>
      <c r="X778" t="s">
        <v>2982</v>
      </c>
      <c r="Y778" t="s">
        <v>237</v>
      </c>
    </row>
    <row r="779" spans="1:25" x14ac:dyDescent="0.25">
      <c r="A779" t="s">
        <v>2983</v>
      </c>
      <c r="B779">
        <v>11</v>
      </c>
      <c r="C779">
        <v>91</v>
      </c>
      <c r="D779">
        <v>9082</v>
      </c>
      <c r="E779" t="s">
        <v>67</v>
      </c>
      <c r="F779" t="s">
        <v>154</v>
      </c>
      <c r="G779" t="s">
        <v>2984</v>
      </c>
      <c r="H779" s="26">
        <v>19648</v>
      </c>
      <c r="I779" t="s">
        <v>58</v>
      </c>
      <c r="J779" t="s">
        <v>2985</v>
      </c>
      <c r="M779">
        <v>91210</v>
      </c>
      <c r="N779" t="s">
        <v>226</v>
      </c>
      <c r="O779" t="s">
        <v>61</v>
      </c>
      <c r="Q779">
        <v>638746843</v>
      </c>
      <c r="R779" t="s">
        <v>2986</v>
      </c>
      <c r="S779" t="s">
        <v>63</v>
      </c>
      <c r="T779" t="s">
        <v>64</v>
      </c>
      <c r="U779" t="s">
        <v>65</v>
      </c>
      <c r="W779" s="26">
        <v>45555</v>
      </c>
      <c r="X779" t="s">
        <v>61</v>
      </c>
      <c r="Y779" t="s">
        <v>237</v>
      </c>
    </row>
    <row r="780" spans="1:25" x14ac:dyDescent="0.25">
      <c r="A780" t="s">
        <v>2987</v>
      </c>
      <c r="B780">
        <v>11</v>
      </c>
      <c r="C780">
        <v>78</v>
      </c>
      <c r="D780">
        <v>9030</v>
      </c>
      <c r="E780" t="s">
        <v>96</v>
      </c>
      <c r="F780" t="s">
        <v>1288</v>
      </c>
      <c r="G780" t="s">
        <v>2988</v>
      </c>
      <c r="H780" s="26">
        <v>20148</v>
      </c>
      <c r="I780" t="s">
        <v>58</v>
      </c>
      <c r="J780" t="s">
        <v>2989</v>
      </c>
      <c r="M780">
        <v>78280</v>
      </c>
      <c r="N780" t="s">
        <v>98</v>
      </c>
      <c r="O780" t="s">
        <v>61</v>
      </c>
      <c r="P780">
        <v>130574735</v>
      </c>
      <c r="Q780">
        <v>625141204</v>
      </c>
      <c r="R780" t="s">
        <v>2990</v>
      </c>
      <c r="S780" t="s">
        <v>63</v>
      </c>
      <c r="T780" t="s">
        <v>64</v>
      </c>
      <c r="U780" t="s">
        <v>65</v>
      </c>
      <c r="W780" s="26">
        <v>45561</v>
      </c>
      <c r="X780" t="s">
        <v>61</v>
      </c>
      <c r="Y780" t="s">
        <v>237</v>
      </c>
    </row>
    <row r="781" spans="1:25" x14ac:dyDescent="0.25">
      <c r="A781" t="s">
        <v>2991</v>
      </c>
      <c r="B781">
        <v>11</v>
      </c>
      <c r="C781">
        <v>91</v>
      </c>
      <c r="D781">
        <v>9025</v>
      </c>
      <c r="E781" t="s">
        <v>188</v>
      </c>
      <c r="F781" t="s">
        <v>1883</v>
      </c>
      <c r="G781" t="s">
        <v>2992</v>
      </c>
      <c r="H781" s="26">
        <v>18313</v>
      </c>
      <c r="I781" t="s">
        <v>58</v>
      </c>
      <c r="J781" t="s">
        <v>2993</v>
      </c>
      <c r="M781">
        <v>91250</v>
      </c>
      <c r="N781" t="s">
        <v>1423</v>
      </c>
      <c r="O781" t="s">
        <v>61</v>
      </c>
      <c r="P781">
        <v>169893147</v>
      </c>
      <c r="Q781">
        <v>633917366</v>
      </c>
      <c r="R781" t="s">
        <v>2994</v>
      </c>
      <c r="S781" t="s">
        <v>63</v>
      </c>
      <c r="T781" t="s">
        <v>64</v>
      </c>
      <c r="U781" t="s">
        <v>65</v>
      </c>
      <c r="W781" s="26">
        <v>45549</v>
      </c>
      <c r="X781" t="s">
        <v>61</v>
      </c>
      <c r="Y781" t="s">
        <v>237</v>
      </c>
    </row>
    <row r="782" spans="1:25" x14ac:dyDescent="0.25">
      <c r="A782" t="s">
        <v>2995</v>
      </c>
      <c r="B782">
        <v>11</v>
      </c>
      <c r="C782">
        <v>94</v>
      </c>
      <c r="D782">
        <v>9031</v>
      </c>
      <c r="E782" t="s">
        <v>7</v>
      </c>
      <c r="F782" t="s">
        <v>2996</v>
      </c>
      <c r="G782" t="s">
        <v>2997</v>
      </c>
      <c r="H782" s="26">
        <v>24598</v>
      </c>
      <c r="I782" t="s">
        <v>58</v>
      </c>
      <c r="J782" t="s">
        <v>2998</v>
      </c>
      <c r="M782">
        <v>94000</v>
      </c>
      <c r="N782" t="s">
        <v>277</v>
      </c>
      <c r="O782" t="s">
        <v>61</v>
      </c>
      <c r="Q782">
        <v>634025682</v>
      </c>
      <c r="R782" t="s">
        <v>2999</v>
      </c>
      <c r="S782" t="s">
        <v>63</v>
      </c>
      <c r="T782" t="s">
        <v>64</v>
      </c>
      <c r="U782" t="s">
        <v>65</v>
      </c>
      <c r="W782" s="26">
        <v>45550</v>
      </c>
      <c r="X782" t="s">
        <v>310</v>
      </c>
      <c r="Y782" t="s">
        <v>237</v>
      </c>
    </row>
    <row r="783" spans="1:25" x14ac:dyDescent="0.25">
      <c r="A783" t="s">
        <v>10239</v>
      </c>
      <c r="B783">
        <v>11</v>
      </c>
      <c r="C783">
        <v>78</v>
      </c>
      <c r="D783">
        <v>9016</v>
      </c>
      <c r="E783" t="s">
        <v>362</v>
      </c>
      <c r="F783" t="s">
        <v>448</v>
      </c>
      <c r="G783" t="s">
        <v>10240</v>
      </c>
      <c r="H783" s="26">
        <v>15837</v>
      </c>
      <c r="I783" t="s">
        <v>58</v>
      </c>
      <c r="J783" t="s">
        <v>10241</v>
      </c>
      <c r="M783">
        <v>78440</v>
      </c>
      <c r="N783" t="s">
        <v>10242</v>
      </c>
      <c r="O783" t="s">
        <v>61</v>
      </c>
      <c r="P783">
        <v>130994528</v>
      </c>
      <c r="Q783">
        <v>680750837</v>
      </c>
      <c r="S783" t="s">
        <v>63</v>
      </c>
      <c r="T783" t="s">
        <v>64</v>
      </c>
      <c r="U783" t="s">
        <v>65</v>
      </c>
      <c r="W783" s="26">
        <v>45572</v>
      </c>
      <c r="X783" t="s">
        <v>61</v>
      </c>
      <c r="Y783" t="s">
        <v>237</v>
      </c>
    </row>
    <row r="784" spans="1:25" x14ac:dyDescent="0.25">
      <c r="A784" t="s">
        <v>8950</v>
      </c>
      <c r="B784">
        <v>11</v>
      </c>
      <c r="C784">
        <v>94</v>
      </c>
      <c r="D784">
        <v>9031</v>
      </c>
      <c r="E784" t="s">
        <v>7</v>
      </c>
      <c r="F784" t="s">
        <v>641</v>
      </c>
      <c r="G784" t="s">
        <v>8951</v>
      </c>
      <c r="H784" s="26">
        <v>19343</v>
      </c>
      <c r="I784" t="s">
        <v>58</v>
      </c>
      <c r="J784" t="s">
        <v>8952</v>
      </c>
      <c r="M784">
        <v>94220</v>
      </c>
      <c r="N784" t="s">
        <v>889</v>
      </c>
      <c r="O784" t="s">
        <v>61</v>
      </c>
      <c r="Q784">
        <v>642012528</v>
      </c>
      <c r="S784" t="s">
        <v>63</v>
      </c>
      <c r="T784" t="s">
        <v>64</v>
      </c>
      <c r="U784" t="s">
        <v>65</v>
      </c>
      <c r="W784" s="26">
        <v>45544</v>
      </c>
      <c r="X784" t="s">
        <v>61</v>
      </c>
      <c r="Y784" t="s">
        <v>237</v>
      </c>
    </row>
    <row r="785" spans="1:25" x14ac:dyDescent="0.25">
      <c r="A785" t="s">
        <v>3000</v>
      </c>
      <c r="B785">
        <v>11</v>
      </c>
      <c r="C785">
        <v>78</v>
      </c>
      <c r="D785">
        <v>9030</v>
      </c>
      <c r="E785" t="s">
        <v>96</v>
      </c>
      <c r="F785" t="s">
        <v>551</v>
      </c>
      <c r="G785" t="s">
        <v>3001</v>
      </c>
      <c r="H785" s="26">
        <v>20738</v>
      </c>
      <c r="I785" t="s">
        <v>58</v>
      </c>
      <c r="J785" t="s">
        <v>3002</v>
      </c>
      <c r="M785">
        <v>78117</v>
      </c>
      <c r="N785" t="s">
        <v>3003</v>
      </c>
      <c r="O785" t="s">
        <v>61</v>
      </c>
      <c r="P785">
        <v>199560955</v>
      </c>
      <c r="Q785">
        <v>619664298</v>
      </c>
      <c r="R785" t="s">
        <v>3004</v>
      </c>
      <c r="S785" t="s">
        <v>63</v>
      </c>
      <c r="T785" t="s">
        <v>64</v>
      </c>
      <c r="U785" t="s">
        <v>65</v>
      </c>
      <c r="W785" s="26">
        <v>45551</v>
      </c>
      <c r="X785" t="s">
        <v>61</v>
      </c>
      <c r="Y785" t="s">
        <v>237</v>
      </c>
    </row>
    <row r="786" spans="1:25" x14ac:dyDescent="0.25">
      <c r="A786" t="s">
        <v>3005</v>
      </c>
      <c r="B786">
        <v>11</v>
      </c>
      <c r="C786">
        <v>78</v>
      </c>
      <c r="D786">
        <v>9030</v>
      </c>
      <c r="E786" t="s">
        <v>96</v>
      </c>
      <c r="F786" t="s">
        <v>3006</v>
      </c>
      <c r="G786" t="s">
        <v>3007</v>
      </c>
      <c r="H786" s="26">
        <v>21185</v>
      </c>
      <c r="I786" t="s">
        <v>58</v>
      </c>
      <c r="J786" t="s">
        <v>3008</v>
      </c>
      <c r="M786">
        <v>78190</v>
      </c>
      <c r="N786" t="s">
        <v>977</v>
      </c>
      <c r="O786" t="s">
        <v>61</v>
      </c>
      <c r="P786">
        <v>130698085</v>
      </c>
      <c r="Q786">
        <v>650824353</v>
      </c>
      <c r="R786" t="s">
        <v>3009</v>
      </c>
      <c r="S786" t="s">
        <v>63</v>
      </c>
      <c r="T786" t="s">
        <v>64</v>
      </c>
      <c r="U786" t="s">
        <v>65</v>
      </c>
      <c r="W786" s="26">
        <v>45555</v>
      </c>
      <c r="X786" t="s">
        <v>61</v>
      </c>
      <c r="Y786" t="s">
        <v>237</v>
      </c>
    </row>
    <row r="787" spans="1:25" x14ac:dyDescent="0.25">
      <c r="A787" t="s">
        <v>3010</v>
      </c>
      <c r="B787">
        <v>11</v>
      </c>
      <c r="C787">
        <v>75</v>
      </c>
      <c r="D787">
        <v>9070</v>
      </c>
      <c r="E787" t="s">
        <v>168</v>
      </c>
      <c r="F787" t="s">
        <v>3011</v>
      </c>
      <c r="G787" t="s">
        <v>2319</v>
      </c>
      <c r="H787" s="26">
        <v>32462</v>
      </c>
      <c r="I787" t="s">
        <v>58</v>
      </c>
      <c r="J787" t="s">
        <v>3012</v>
      </c>
      <c r="M787">
        <v>93230</v>
      </c>
      <c r="N787" t="s">
        <v>3013</v>
      </c>
      <c r="O787" t="s">
        <v>61</v>
      </c>
      <c r="Q787">
        <v>666946903</v>
      </c>
      <c r="R787" t="s">
        <v>3014</v>
      </c>
      <c r="S787" t="s">
        <v>63</v>
      </c>
      <c r="T787" t="s">
        <v>64</v>
      </c>
      <c r="U787" t="s">
        <v>8684</v>
      </c>
      <c r="W787" s="26">
        <v>45544</v>
      </c>
      <c r="X787" t="s">
        <v>61</v>
      </c>
      <c r="Y787" t="s">
        <v>237</v>
      </c>
    </row>
    <row r="788" spans="1:25" x14ac:dyDescent="0.25">
      <c r="A788" t="s">
        <v>3015</v>
      </c>
      <c r="B788">
        <v>11</v>
      </c>
      <c r="C788">
        <v>78</v>
      </c>
      <c r="D788">
        <v>9084</v>
      </c>
      <c r="E788" t="s">
        <v>216</v>
      </c>
      <c r="F788" t="s">
        <v>322</v>
      </c>
      <c r="G788" t="s">
        <v>3016</v>
      </c>
      <c r="H788" s="26">
        <v>19324</v>
      </c>
      <c r="I788" t="s">
        <v>58</v>
      </c>
      <c r="J788" t="s">
        <v>3017</v>
      </c>
      <c r="M788">
        <v>78130</v>
      </c>
      <c r="N788" t="s">
        <v>3018</v>
      </c>
      <c r="O788" t="s">
        <v>61</v>
      </c>
      <c r="Q788">
        <v>680364743</v>
      </c>
      <c r="R788" t="s">
        <v>3019</v>
      </c>
      <c r="S788" t="s">
        <v>63</v>
      </c>
      <c r="T788" t="s">
        <v>64</v>
      </c>
      <c r="U788" t="s">
        <v>65</v>
      </c>
      <c r="W788" s="26">
        <v>45545</v>
      </c>
      <c r="X788" t="s">
        <v>61</v>
      </c>
      <c r="Y788" t="s">
        <v>237</v>
      </c>
    </row>
    <row r="789" spans="1:25" x14ac:dyDescent="0.25">
      <c r="A789" t="s">
        <v>3020</v>
      </c>
      <c r="B789">
        <v>11</v>
      </c>
      <c r="C789">
        <v>78</v>
      </c>
      <c r="D789">
        <v>9084</v>
      </c>
      <c r="E789" t="s">
        <v>216</v>
      </c>
      <c r="F789" t="s">
        <v>106</v>
      </c>
      <c r="G789" t="s">
        <v>1055</v>
      </c>
      <c r="H789" s="26">
        <v>18988</v>
      </c>
      <c r="I789" t="s">
        <v>58</v>
      </c>
      <c r="J789" t="s">
        <v>3021</v>
      </c>
      <c r="M789">
        <v>78540</v>
      </c>
      <c r="N789" t="s">
        <v>1059</v>
      </c>
      <c r="O789" t="s">
        <v>61</v>
      </c>
      <c r="P789">
        <v>139718922</v>
      </c>
      <c r="Q789">
        <v>617286262</v>
      </c>
      <c r="R789" t="s">
        <v>3022</v>
      </c>
      <c r="S789" t="s">
        <v>63</v>
      </c>
      <c r="T789" t="s">
        <v>64</v>
      </c>
      <c r="U789" t="s">
        <v>65</v>
      </c>
      <c r="W789" s="26">
        <v>45545</v>
      </c>
      <c r="X789" t="s">
        <v>61</v>
      </c>
      <c r="Y789" t="s">
        <v>237</v>
      </c>
    </row>
    <row r="790" spans="1:25" x14ac:dyDescent="0.25">
      <c r="A790" t="s">
        <v>3023</v>
      </c>
      <c r="B790">
        <v>11</v>
      </c>
      <c r="C790">
        <v>78</v>
      </c>
      <c r="D790">
        <v>9030</v>
      </c>
      <c r="E790" t="s">
        <v>96</v>
      </c>
      <c r="F790" t="s">
        <v>887</v>
      </c>
      <c r="G790" t="s">
        <v>3024</v>
      </c>
      <c r="H790" s="26">
        <v>25784</v>
      </c>
      <c r="I790" t="s">
        <v>58</v>
      </c>
      <c r="J790" t="s">
        <v>3025</v>
      </c>
      <c r="M790">
        <v>78280</v>
      </c>
      <c r="N790" t="s">
        <v>98</v>
      </c>
      <c r="O790" t="s">
        <v>61</v>
      </c>
      <c r="P790">
        <v>986272796</v>
      </c>
      <c r="R790" t="s">
        <v>3026</v>
      </c>
      <c r="S790" t="s">
        <v>63</v>
      </c>
      <c r="T790" t="s">
        <v>64</v>
      </c>
      <c r="U790" t="s">
        <v>65</v>
      </c>
      <c r="W790" s="26">
        <v>45558</v>
      </c>
      <c r="X790" t="s">
        <v>61</v>
      </c>
      <c r="Y790" t="s">
        <v>237</v>
      </c>
    </row>
    <row r="791" spans="1:25" x14ac:dyDescent="0.25">
      <c r="A791" t="s">
        <v>3027</v>
      </c>
      <c r="B791">
        <v>11</v>
      </c>
      <c r="C791">
        <v>92</v>
      </c>
      <c r="D791">
        <v>9068</v>
      </c>
      <c r="E791" t="s">
        <v>119</v>
      </c>
      <c r="F791" t="s">
        <v>3028</v>
      </c>
      <c r="G791" t="s">
        <v>3029</v>
      </c>
      <c r="H791" s="26">
        <v>20556</v>
      </c>
      <c r="I791" t="s">
        <v>58</v>
      </c>
      <c r="J791" t="s">
        <v>3030</v>
      </c>
      <c r="M791">
        <v>92240</v>
      </c>
      <c r="N791" t="s">
        <v>1368</v>
      </c>
      <c r="O791" t="s">
        <v>61</v>
      </c>
      <c r="Q791">
        <v>675863886</v>
      </c>
      <c r="R791" t="s">
        <v>3031</v>
      </c>
      <c r="S791" t="s">
        <v>63</v>
      </c>
      <c r="T791" t="s">
        <v>64</v>
      </c>
      <c r="U791" t="s">
        <v>65</v>
      </c>
      <c r="W791" s="26">
        <v>45558</v>
      </c>
      <c r="X791" t="s">
        <v>61</v>
      </c>
      <c r="Y791" t="s">
        <v>237</v>
      </c>
    </row>
    <row r="792" spans="1:25" x14ac:dyDescent="0.25">
      <c r="A792" t="s">
        <v>3032</v>
      </c>
      <c r="B792">
        <v>11</v>
      </c>
      <c r="C792">
        <v>95</v>
      </c>
      <c r="D792">
        <v>9061</v>
      </c>
      <c r="E792" t="s">
        <v>360</v>
      </c>
      <c r="F792" t="s">
        <v>289</v>
      </c>
      <c r="G792" t="s">
        <v>3033</v>
      </c>
      <c r="H792" s="26">
        <v>18422</v>
      </c>
      <c r="I792" t="s">
        <v>58</v>
      </c>
      <c r="J792" t="s">
        <v>3034</v>
      </c>
      <c r="M792">
        <v>95430</v>
      </c>
      <c r="N792" t="s">
        <v>3035</v>
      </c>
      <c r="O792" t="s">
        <v>61</v>
      </c>
      <c r="Q792">
        <v>620450445</v>
      </c>
      <c r="R792" t="s">
        <v>3036</v>
      </c>
      <c r="S792" t="s">
        <v>63</v>
      </c>
      <c r="T792" t="s">
        <v>64</v>
      </c>
      <c r="U792" t="s">
        <v>65</v>
      </c>
      <c r="W792" s="26">
        <v>45556</v>
      </c>
      <c r="X792" t="s">
        <v>61</v>
      </c>
      <c r="Y792" t="s">
        <v>237</v>
      </c>
    </row>
    <row r="793" spans="1:25" x14ac:dyDescent="0.25">
      <c r="A793" t="s">
        <v>10560</v>
      </c>
      <c r="B793">
        <v>11</v>
      </c>
      <c r="C793">
        <v>95</v>
      </c>
      <c r="D793">
        <v>9010</v>
      </c>
      <c r="E793" t="s">
        <v>6</v>
      </c>
      <c r="F793" t="s">
        <v>100</v>
      </c>
      <c r="G793" t="s">
        <v>10561</v>
      </c>
      <c r="H793" s="26">
        <v>19010</v>
      </c>
      <c r="I793" t="s">
        <v>58</v>
      </c>
      <c r="J793" t="s">
        <v>10562</v>
      </c>
      <c r="M793">
        <v>95100</v>
      </c>
      <c r="N793" t="s">
        <v>311</v>
      </c>
      <c r="O793" t="s">
        <v>61</v>
      </c>
      <c r="R793" t="s">
        <v>10563</v>
      </c>
      <c r="S793" t="s">
        <v>63</v>
      </c>
      <c r="T793" t="s">
        <v>64</v>
      </c>
      <c r="U793" t="s">
        <v>65</v>
      </c>
      <c r="W793" s="26">
        <v>45574</v>
      </c>
      <c r="X793" t="s">
        <v>61</v>
      </c>
      <c r="Y793" t="s">
        <v>237</v>
      </c>
    </row>
    <row r="794" spans="1:25" x14ac:dyDescent="0.25">
      <c r="A794" t="s">
        <v>3038</v>
      </c>
      <c r="B794">
        <v>11</v>
      </c>
      <c r="C794">
        <v>95</v>
      </c>
      <c r="D794">
        <v>9127</v>
      </c>
      <c r="E794" t="s">
        <v>536</v>
      </c>
      <c r="F794" t="s">
        <v>448</v>
      </c>
      <c r="G794" t="s">
        <v>3039</v>
      </c>
      <c r="H794" s="26">
        <v>32825</v>
      </c>
      <c r="I794" t="s">
        <v>58</v>
      </c>
      <c r="J794" t="s">
        <v>3040</v>
      </c>
      <c r="M794">
        <v>77164</v>
      </c>
      <c r="N794" t="s">
        <v>3041</v>
      </c>
      <c r="O794" t="s">
        <v>61</v>
      </c>
      <c r="Q794">
        <v>650029253</v>
      </c>
      <c r="R794" t="s">
        <v>3042</v>
      </c>
      <c r="S794" t="s">
        <v>63</v>
      </c>
      <c r="T794" t="s">
        <v>64</v>
      </c>
      <c r="U794" t="s">
        <v>8684</v>
      </c>
      <c r="W794" s="26">
        <v>45556</v>
      </c>
      <c r="X794" t="s">
        <v>61</v>
      </c>
      <c r="Y794" t="s">
        <v>237</v>
      </c>
    </row>
    <row r="795" spans="1:25" x14ac:dyDescent="0.25">
      <c r="A795" t="s">
        <v>3043</v>
      </c>
      <c r="B795">
        <v>11</v>
      </c>
      <c r="C795">
        <v>94</v>
      </c>
      <c r="D795">
        <v>9024</v>
      </c>
      <c r="E795" t="s">
        <v>4</v>
      </c>
      <c r="F795" t="s">
        <v>3044</v>
      </c>
      <c r="G795" t="s">
        <v>3045</v>
      </c>
      <c r="H795" s="26">
        <v>35008</v>
      </c>
      <c r="I795" t="s">
        <v>16</v>
      </c>
      <c r="J795" t="s">
        <v>3046</v>
      </c>
      <c r="M795">
        <v>75011</v>
      </c>
      <c r="N795" t="s">
        <v>330</v>
      </c>
      <c r="O795" t="s">
        <v>61</v>
      </c>
      <c r="Q795">
        <v>614611046</v>
      </c>
      <c r="R795" t="s">
        <v>3047</v>
      </c>
      <c r="S795" t="s">
        <v>63</v>
      </c>
      <c r="T795" t="s">
        <v>64</v>
      </c>
      <c r="U795" t="s">
        <v>8684</v>
      </c>
      <c r="W795" s="26">
        <v>45540</v>
      </c>
      <c r="X795" t="s">
        <v>61</v>
      </c>
      <c r="Y795" t="s">
        <v>237</v>
      </c>
    </row>
    <row r="796" spans="1:25" x14ac:dyDescent="0.25">
      <c r="A796" t="s">
        <v>3048</v>
      </c>
      <c r="B796">
        <v>11</v>
      </c>
      <c r="C796">
        <v>94</v>
      </c>
      <c r="D796">
        <v>9024</v>
      </c>
      <c r="E796" t="s">
        <v>4</v>
      </c>
      <c r="F796" t="s">
        <v>3049</v>
      </c>
      <c r="G796" t="s">
        <v>3050</v>
      </c>
      <c r="H796" s="26">
        <v>20491</v>
      </c>
      <c r="I796" t="s">
        <v>58</v>
      </c>
      <c r="J796" t="s">
        <v>3051</v>
      </c>
      <c r="M796">
        <v>94210</v>
      </c>
      <c r="N796" t="s">
        <v>1323</v>
      </c>
      <c r="O796" t="s">
        <v>61</v>
      </c>
      <c r="Q796">
        <v>642461388</v>
      </c>
      <c r="R796" t="s">
        <v>3052</v>
      </c>
      <c r="S796" t="s">
        <v>63</v>
      </c>
      <c r="T796" t="s">
        <v>64</v>
      </c>
      <c r="U796" t="s">
        <v>65</v>
      </c>
      <c r="W796" s="26">
        <v>45558</v>
      </c>
      <c r="X796" t="s">
        <v>1989</v>
      </c>
      <c r="Y796" t="s">
        <v>237</v>
      </c>
    </row>
    <row r="797" spans="1:25" x14ac:dyDescent="0.25">
      <c r="A797" t="s">
        <v>10564</v>
      </c>
      <c r="B797">
        <v>11</v>
      </c>
      <c r="C797">
        <v>77</v>
      </c>
      <c r="D797">
        <v>9077</v>
      </c>
      <c r="E797" t="s">
        <v>90</v>
      </c>
      <c r="F797" t="s">
        <v>91</v>
      </c>
      <c r="G797" t="s">
        <v>10565</v>
      </c>
      <c r="H797" s="26">
        <v>19448</v>
      </c>
      <c r="I797" t="s">
        <v>58</v>
      </c>
      <c r="J797" t="s">
        <v>10566</v>
      </c>
      <c r="M797">
        <v>77120</v>
      </c>
      <c r="N797" t="s">
        <v>1954</v>
      </c>
      <c r="O797" t="s">
        <v>61</v>
      </c>
      <c r="P797">
        <v>164041667</v>
      </c>
      <c r="Q797">
        <v>614231539</v>
      </c>
      <c r="R797" t="s">
        <v>10567</v>
      </c>
      <c r="S797" t="s">
        <v>63</v>
      </c>
      <c r="T797" t="s">
        <v>64</v>
      </c>
      <c r="U797" t="s">
        <v>65</v>
      </c>
      <c r="W797" s="26">
        <v>45582</v>
      </c>
      <c r="X797" t="s">
        <v>61</v>
      </c>
      <c r="Y797" t="s">
        <v>237</v>
      </c>
    </row>
    <row r="798" spans="1:25" x14ac:dyDescent="0.25">
      <c r="A798" t="s">
        <v>10243</v>
      </c>
      <c r="B798">
        <v>11</v>
      </c>
      <c r="C798">
        <v>77</v>
      </c>
      <c r="D798">
        <v>9077</v>
      </c>
      <c r="E798" t="s">
        <v>90</v>
      </c>
      <c r="F798" t="s">
        <v>204</v>
      </c>
      <c r="G798" t="s">
        <v>10244</v>
      </c>
      <c r="H798" s="26">
        <v>18896</v>
      </c>
      <c r="I798" t="s">
        <v>58</v>
      </c>
      <c r="J798" t="s">
        <v>10245</v>
      </c>
      <c r="M798">
        <v>77640</v>
      </c>
      <c r="N798" t="s">
        <v>1175</v>
      </c>
      <c r="O798" t="s">
        <v>61</v>
      </c>
      <c r="Q798">
        <v>688381384</v>
      </c>
      <c r="R798" t="s">
        <v>10246</v>
      </c>
      <c r="S798" t="s">
        <v>63</v>
      </c>
      <c r="T798" t="s">
        <v>64</v>
      </c>
      <c r="U798" t="s">
        <v>65</v>
      </c>
      <c r="W798" s="26">
        <v>45572</v>
      </c>
      <c r="X798" t="s">
        <v>61</v>
      </c>
      <c r="Y798" t="s">
        <v>237</v>
      </c>
    </row>
    <row r="799" spans="1:25" x14ac:dyDescent="0.25">
      <c r="A799" t="s">
        <v>3053</v>
      </c>
      <c r="B799">
        <v>11</v>
      </c>
      <c r="C799">
        <v>91</v>
      </c>
      <c r="D799">
        <v>9096</v>
      </c>
      <c r="E799" t="s">
        <v>526</v>
      </c>
      <c r="F799" t="s">
        <v>91</v>
      </c>
      <c r="G799" t="s">
        <v>3054</v>
      </c>
      <c r="H799" s="26">
        <v>17956</v>
      </c>
      <c r="I799" t="s">
        <v>58</v>
      </c>
      <c r="J799" t="s">
        <v>3055</v>
      </c>
      <c r="M799">
        <v>91510</v>
      </c>
      <c r="N799" t="s">
        <v>3056</v>
      </c>
      <c r="O799" t="s">
        <v>61</v>
      </c>
      <c r="P799">
        <v>160827902</v>
      </c>
      <c r="Q799">
        <v>608982736</v>
      </c>
      <c r="R799" t="s">
        <v>3057</v>
      </c>
      <c r="S799" t="s">
        <v>63</v>
      </c>
      <c r="T799" t="s">
        <v>64</v>
      </c>
      <c r="U799" t="s">
        <v>65</v>
      </c>
      <c r="W799" s="26">
        <v>45542</v>
      </c>
      <c r="X799" t="s">
        <v>61</v>
      </c>
      <c r="Y799" t="s">
        <v>237</v>
      </c>
    </row>
    <row r="800" spans="1:25" x14ac:dyDescent="0.25">
      <c r="A800" t="s">
        <v>3058</v>
      </c>
      <c r="B800">
        <v>11</v>
      </c>
      <c r="C800">
        <v>95</v>
      </c>
      <c r="D800">
        <v>9127</v>
      </c>
      <c r="E800" t="s">
        <v>536</v>
      </c>
      <c r="F800" t="s">
        <v>204</v>
      </c>
      <c r="G800" t="s">
        <v>1529</v>
      </c>
      <c r="H800" s="26">
        <v>17519</v>
      </c>
      <c r="I800" t="s">
        <v>58</v>
      </c>
      <c r="J800" t="s">
        <v>3059</v>
      </c>
      <c r="M800">
        <v>95240</v>
      </c>
      <c r="N800" t="s">
        <v>1138</v>
      </c>
      <c r="O800" t="s">
        <v>61</v>
      </c>
      <c r="P800">
        <v>134508347</v>
      </c>
      <c r="Q800">
        <v>686931977</v>
      </c>
      <c r="R800" t="s">
        <v>3060</v>
      </c>
      <c r="S800" t="s">
        <v>63</v>
      </c>
      <c r="T800" t="s">
        <v>64</v>
      </c>
      <c r="U800" t="s">
        <v>8684</v>
      </c>
      <c r="W800" s="26">
        <v>45526</v>
      </c>
      <c r="X800" t="s">
        <v>61</v>
      </c>
      <c r="Y800" t="s">
        <v>237</v>
      </c>
    </row>
    <row r="801" spans="1:25" x14ac:dyDescent="0.25">
      <c r="A801" t="s">
        <v>3061</v>
      </c>
      <c r="B801">
        <v>11</v>
      </c>
      <c r="C801">
        <v>95</v>
      </c>
      <c r="D801">
        <v>9069</v>
      </c>
      <c r="E801" t="s">
        <v>129</v>
      </c>
      <c r="F801" t="s">
        <v>1019</v>
      </c>
      <c r="G801" t="s">
        <v>3062</v>
      </c>
      <c r="H801" s="26">
        <v>21666</v>
      </c>
      <c r="I801" t="s">
        <v>58</v>
      </c>
      <c r="J801" t="s">
        <v>3063</v>
      </c>
      <c r="M801">
        <v>95130</v>
      </c>
      <c r="N801" t="s">
        <v>878</v>
      </c>
      <c r="O801" t="s">
        <v>61</v>
      </c>
      <c r="Q801">
        <v>672276796</v>
      </c>
      <c r="R801" t="s">
        <v>3064</v>
      </c>
      <c r="S801" t="s">
        <v>63</v>
      </c>
      <c r="T801" t="s">
        <v>64</v>
      </c>
      <c r="U801" t="s">
        <v>65</v>
      </c>
      <c r="W801" s="26">
        <v>45540</v>
      </c>
      <c r="X801" t="s">
        <v>61</v>
      </c>
      <c r="Y801" t="s">
        <v>237</v>
      </c>
    </row>
    <row r="802" spans="1:25" x14ac:dyDescent="0.25">
      <c r="A802" t="s">
        <v>3065</v>
      </c>
      <c r="B802">
        <v>11</v>
      </c>
      <c r="C802">
        <v>94</v>
      </c>
      <c r="D802">
        <v>9031</v>
      </c>
      <c r="E802" t="s">
        <v>7</v>
      </c>
      <c r="F802" t="s">
        <v>555</v>
      </c>
      <c r="G802" t="s">
        <v>3066</v>
      </c>
      <c r="H802" s="26">
        <v>20878</v>
      </c>
      <c r="I802" t="s">
        <v>58</v>
      </c>
      <c r="J802" t="s">
        <v>3067</v>
      </c>
      <c r="M802">
        <v>94700</v>
      </c>
      <c r="N802" t="s">
        <v>163</v>
      </c>
      <c r="O802" t="s">
        <v>61</v>
      </c>
      <c r="Q802">
        <v>669672727</v>
      </c>
      <c r="R802" t="s">
        <v>3068</v>
      </c>
      <c r="S802" t="s">
        <v>63</v>
      </c>
      <c r="T802" t="s">
        <v>64</v>
      </c>
      <c r="U802" t="s">
        <v>65</v>
      </c>
      <c r="W802" s="26">
        <v>45550</v>
      </c>
      <c r="X802" t="s">
        <v>61</v>
      </c>
      <c r="Y802" t="s">
        <v>237</v>
      </c>
    </row>
    <row r="803" spans="1:25" x14ac:dyDescent="0.25">
      <c r="A803" t="s">
        <v>10568</v>
      </c>
      <c r="B803">
        <v>11</v>
      </c>
      <c r="C803">
        <v>92</v>
      </c>
      <c r="D803">
        <v>9032</v>
      </c>
      <c r="E803" t="s">
        <v>102</v>
      </c>
      <c r="F803" t="s">
        <v>243</v>
      </c>
      <c r="G803" t="s">
        <v>10569</v>
      </c>
      <c r="H803" s="26">
        <v>26583</v>
      </c>
      <c r="I803" t="s">
        <v>58</v>
      </c>
      <c r="J803" t="s">
        <v>10570</v>
      </c>
      <c r="M803">
        <v>92320</v>
      </c>
      <c r="N803" t="s">
        <v>228</v>
      </c>
      <c r="O803" t="s">
        <v>61</v>
      </c>
      <c r="Q803">
        <v>663823152</v>
      </c>
      <c r="R803" t="s">
        <v>10571</v>
      </c>
      <c r="S803" t="s">
        <v>63</v>
      </c>
      <c r="T803" t="s">
        <v>64</v>
      </c>
      <c r="U803" t="s">
        <v>65</v>
      </c>
      <c r="W803" s="26">
        <v>45580</v>
      </c>
      <c r="X803" t="s">
        <v>61</v>
      </c>
      <c r="Y803" t="s">
        <v>237</v>
      </c>
    </row>
    <row r="804" spans="1:25" x14ac:dyDescent="0.25">
      <c r="A804" t="s">
        <v>10572</v>
      </c>
      <c r="B804">
        <v>11</v>
      </c>
      <c r="C804">
        <v>93</v>
      </c>
      <c r="D804">
        <v>9060</v>
      </c>
      <c r="E804" t="s">
        <v>203</v>
      </c>
      <c r="F804" t="s">
        <v>590</v>
      </c>
      <c r="G804" t="s">
        <v>10573</v>
      </c>
      <c r="H804" s="26">
        <v>26408</v>
      </c>
      <c r="I804" t="s">
        <v>58</v>
      </c>
      <c r="J804" t="s">
        <v>10574</v>
      </c>
      <c r="M804">
        <v>75010</v>
      </c>
      <c r="N804" t="s">
        <v>330</v>
      </c>
      <c r="O804" t="s">
        <v>61</v>
      </c>
      <c r="Q804">
        <v>631007969</v>
      </c>
      <c r="S804" t="s">
        <v>63</v>
      </c>
      <c r="T804" t="s">
        <v>64</v>
      </c>
      <c r="U804" t="s">
        <v>65</v>
      </c>
      <c r="W804" s="26">
        <v>45576</v>
      </c>
      <c r="X804" t="s">
        <v>61</v>
      </c>
      <c r="Y804" t="s">
        <v>237</v>
      </c>
    </row>
    <row r="805" spans="1:25" x14ac:dyDescent="0.25">
      <c r="A805" t="s">
        <v>3069</v>
      </c>
      <c r="B805">
        <v>11</v>
      </c>
      <c r="C805">
        <v>78</v>
      </c>
      <c r="D805">
        <v>9084</v>
      </c>
      <c r="E805" t="s">
        <v>216</v>
      </c>
      <c r="F805" t="s">
        <v>1166</v>
      </c>
      <c r="G805" t="s">
        <v>3070</v>
      </c>
      <c r="H805" s="26">
        <v>20063</v>
      </c>
      <c r="I805" t="s">
        <v>58</v>
      </c>
      <c r="J805" t="s">
        <v>3071</v>
      </c>
      <c r="M805">
        <v>78480</v>
      </c>
      <c r="N805" t="s">
        <v>548</v>
      </c>
      <c r="O805" t="s">
        <v>61</v>
      </c>
      <c r="Q805">
        <v>660874460</v>
      </c>
      <c r="R805" t="s">
        <v>3072</v>
      </c>
      <c r="S805" t="s">
        <v>63</v>
      </c>
      <c r="T805" t="s">
        <v>64</v>
      </c>
      <c r="U805" t="s">
        <v>65</v>
      </c>
      <c r="W805" s="26">
        <v>45551</v>
      </c>
      <c r="X805" t="s">
        <v>61</v>
      </c>
      <c r="Y805" t="s">
        <v>237</v>
      </c>
    </row>
    <row r="806" spans="1:25" x14ac:dyDescent="0.25">
      <c r="A806" t="s">
        <v>3073</v>
      </c>
      <c r="B806">
        <v>11</v>
      </c>
      <c r="C806">
        <v>95</v>
      </c>
      <c r="D806">
        <v>9010</v>
      </c>
      <c r="E806" t="s">
        <v>6</v>
      </c>
      <c r="F806" t="s">
        <v>187</v>
      </c>
      <c r="G806" t="s">
        <v>3074</v>
      </c>
      <c r="H806" s="26">
        <v>19000</v>
      </c>
      <c r="I806" t="s">
        <v>58</v>
      </c>
      <c r="J806" t="s">
        <v>3075</v>
      </c>
      <c r="M806">
        <v>95210</v>
      </c>
      <c r="N806" t="s">
        <v>308</v>
      </c>
      <c r="O806" t="s">
        <v>61</v>
      </c>
      <c r="R806" t="s">
        <v>3076</v>
      </c>
      <c r="S806" t="s">
        <v>63</v>
      </c>
      <c r="T806" t="s">
        <v>64</v>
      </c>
      <c r="U806" t="s">
        <v>65</v>
      </c>
      <c r="W806" s="26">
        <v>45555</v>
      </c>
      <c r="X806" t="s">
        <v>61</v>
      </c>
      <c r="Y806" t="s">
        <v>237</v>
      </c>
    </row>
    <row r="807" spans="1:25" x14ac:dyDescent="0.25">
      <c r="A807" t="s">
        <v>3077</v>
      </c>
      <c r="B807">
        <v>11</v>
      </c>
      <c r="C807">
        <v>78</v>
      </c>
      <c r="D807">
        <v>9002</v>
      </c>
      <c r="E807" t="s">
        <v>558</v>
      </c>
      <c r="F807" t="s">
        <v>3078</v>
      </c>
      <c r="G807" t="s">
        <v>1796</v>
      </c>
      <c r="H807" s="26">
        <v>18410</v>
      </c>
      <c r="I807" t="s">
        <v>58</v>
      </c>
      <c r="J807" t="s">
        <v>3079</v>
      </c>
      <c r="M807">
        <v>78200</v>
      </c>
      <c r="N807" t="s">
        <v>2138</v>
      </c>
      <c r="O807" t="s">
        <v>61</v>
      </c>
      <c r="P807">
        <v>130421607</v>
      </c>
      <c r="Q807">
        <v>605042030</v>
      </c>
      <c r="R807" t="s">
        <v>3080</v>
      </c>
      <c r="S807" t="s">
        <v>63</v>
      </c>
      <c r="T807" t="s">
        <v>64</v>
      </c>
      <c r="U807" t="s">
        <v>65</v>
      </c>
      <c r="W807" s="26">
        <v>45548</v>
      </c>
      <c r="X807" t="s">
        <v>61</v>
      </c>
      <c r="Y807" t="s">
        <v>237</v>
      </c>
    </row>
    <row r="808" spans="1:25" x14ac:dyDescent="0.25">
      <c r="A808" t="s">
        <v>3081</v>
      </c>
      <c r="B808">
        <v>11</v>
      </c>
      <c r="C808">
        <v>77</v>
      </c>
      <c r="D808">
        <v>9077</v>
      </c>
      <c r="E808" t="s">
        <v>90</v>
      </c>
      <c r="F808" t="s">
        <v>13</v>
      </c>
      <c r="G808" t="s">
        <v>3082</v>
      </c>
      <c r="H808" s="26">
        <v>19649</v>
      </c>
      <c r="I808" t="s">
        <v>58</v>
      </c>
      <c r="J808" t="s">
        <v>3083</v>
      </c>
      <c r="M808">
        <v>77580</v>
      </c>
      <c r="N808" t="s">
        <v>544</v>
      </c>
      <c r="O808" t="s">
        <v>61</v>
      </c>
      <c r="Q808">
        <v>670606716</v>
      </c>
      <c r="R808" t="s">
        <v>3084</v>
      </c>
      <c r="S808" t="s">
        <v>63</v>
      </c>
      <c r="T808" t="s">
        <v>64</v>
      </c>
      <c r="U808" t="s">
        <v>65</v>
      </c>
      <c r="W808" s="26">
        <v>45561</v>
      </c>
      <c r="X808" t="s">
        <v>61</v>
      </c>
      <c r="Y808" t="s">
        <v>237</v>
      </c>
    </row>
    <row r="809" spans="1:25" x14ac:dyDescent="0.25">
      <c r="A809" t="s">
        <v>8953</v>
      </c>
      <c r="B809">
        <v>11</v>
      </c>
      <c r="C809">
        <v>92</v>
      </c>
      <c r="D809">
        <v>9017</v>
      </c>
      <c r="E809" t="s">
        <v>211</v>
      </c>
      <c r="F809" t="s">
        <v>8954</v>
      </c>
      <c r="G809" t="s">
        <v>8955</v>
      </c>
      <c r="H809" s="26">
        <v>21606</v>
      </c>
      <c r="I809" t="s">
        <v>58</v>
      </c>
      <c r="J809" t="s">
        <v>8956</v>
      </c>
      <c r="M809">
        <v>91120</v>
      </c>
      <c r="N809" t="s">
        <v>335</v>
      </c>
      <c r="O809" t="s">
        <v>61</v>
      </c>
      <c r="S809" t="s">
        <v>63</v>
      </c>
      <c r="T809" t="s">
        <v>64</v>
      </c>
      <c r="U809" t="s">
        <v>65</v>
      </c>
      <c r="W809" s="26">
        <v>45561</v>
      </c>
      <c r="X809" t="s">
        <v>716</v>
      </c>
      <c r="Y809" t="s">
        <v>237</v>
      </c>
    </row>
    <row r="810" spans="1:25" x14ac:dyDescent="0.25">
      <c r="A810" t="s">
        <v>3085</v>
      </c>
      <c r="B810">
        <v>11</v>
      </c>
      <c r="C810">
        <v>95</v>
      </c>
      <c r="D810">
        <v>9069</v>
      </c>
      <c r="E810" t="s">
        <v>129</v>
      </c>
      <c r="F810" t="s">
        <v>85</v>
      </c>
      <c r="G810" t="s">
        <v>3086</v>
      </c>
      <c r="H810" s="26">
        <v>20338</v>
      </c>
      <c r="I810" t="s">
        <v>58</v>
      </c>
      <c r="J810" t="s">
        <v>3087</v>
      </c>
      <c r="M810">
        <v>95150</v>
      </c>
      <c r="N810" t="s">
        <v>82</v>
      </c>
      <c r="O810" t="s">
        <v>61</v>
      </c>
      <c r="P810">
        <v>139956612</v>
      </c>
      <c r="Q810">
        <v>609906974</v>
      </c>
      <c r="R810" t="s">
        <v>3088</v>
      </c>
      <c r="S810" t="s">
        <v>63</v>
      </c>
      <c r="T810" t="s">
        <v>64</v>
      </c>
      <c r="U810" t="s">
        <v>65</v>
      </c>
      <c r="W810" s="26">
        <v>45538</v>
      </c>
      <c r="X810" t="s">
        <v>61</v>
      </c>
      <c r="Y810" t="s">
        <v>237</v>
      </c>
    </row>
    <row r="811" spans="1:25" x14ac:dyDescent="0.25">
      <c r="A811" t="s">
        <v>10575</v>
      </c>
      <c r="B811">
        <v>11</v>
      </c>
      <c r="C811">
        <v>95</v>
      </c>
      <c r="D811">
        <v>9010</v>
      </c>
      <c r="E811" t="s">
        <v>6</v>
      </c>
      <c r="F811" t="s">
        <v>555</v>
      </c>
      <c r="G811" t="s">
        <v>10576</v>
      </c>
      <c r="H811" s="26">
        <v>22046</v>
      </c>
      <c r="I811" t="s">
        <v>58</v>
      </c>
      <c r="J811" t="s">
        <v>10577</v>
      </c>
      <c r="M811">
        <v>78500</v>
      </c>
      <c r="N811" t="s">
        <v>109</v>
      </c>
      <c r="O811" t="s">
        <v>61</v>
      </c>
      <c r="R811" t="s">
        <v>10578</v>
      </c>
      <c r="S811" t="s">
        <v>63</v>
      </c>
      <c r="T811" t="s">
        <v>64</v>
      </c>
      <c r="U811" t="s">
        <v>65</v>
      </c>
      <c r="W811" s="26">
        <v>45574</v>
      </c>
      <c r="X811" t="s">
        <v>61</v>
      </c>
      <c r="Y811" t="s">
        <v>237</v>
      </c>
    </row>
    <row r="812" spans="1:25" x14ac:dyDescent="0.25">
      <c r="A812" t="s">
        <v>3089</v>
      </c>
      <c r="B812">
        <v>11</v>
      </c>
      <c r="C812">
        <v>92</v>
      </c>
      <c r="D812">
        <v>9088</v>
      </c>
      <c r="E812" t="s">
        <v>1</v>
      </c>
      <c r="F812" t="s">
        <v>440</v>
      </c>
      <c r="G812" t="s">
        <v>3090</v>
      </c>
      <c r="H812" s="26">
        <v>24002</v>
      </c>
      <c r="I812" t="s">
        <v>58</v>
      </c>
      <c r="J812" t="s">
        <v>3091</v>
      </c>
      <c r="M812">
        <v>92400</v>
      </c>
      <c r="N812" t="s">
        <v>478</v>
      </c>
      <c r="O812" t="s">
        <v>61</v>
      </c>
      <c r="R812" t="s">
        <v>3092</v>
      </c>
      <c r="S812" t="s">
        <v>63</v>
      </c>
      <c r="T812" t="s">
        <v>64</v>
      </c>
      <c r="U812" t="s">
        <v>65</v>
      </c>
      <c r="W812" s="26">
        <v>45560</v>
      </c>
      <c r="X812" t="s">
        <v>61</v>
      </c>
      <c r="Y812" t="s">
        <v>237</v>
      </c>
    </row>
    <row r="813" spans="1:25" x14ac:dyDescent="0.25">
      <c r="A813" t="s">
        <v>10579</v>
      </c>
      <c r="B813">
        <v>11</v>
      </c>
      <c r="C813">
        <v>95</v>
      </c>
      <c r="D813">
        <v>9010</v>
      </c>
      <c r="E813" t="s">
        <v>6</v>
      </c>
      <c r="F813" t="s">
        <v>10580</v>
      </c>
      <c r="G813" t="s">
        <v>10581</v>
      </c>
      <c r="H813" s="26">
        <v>23569</v>
      </c>
      <c r="I813" t="s">
        <v>58</v>
      </c>
      <c r="J813" t="s">
        <v>10582</v>
      </c>
      <c r="M813">
        <v>93420</v>
      </c>
      <c r="N813" t="s">
        <v>884</v>
      </c>
      <c r="O813" t="s">
        <v>61</v>
      </c>
      <c r="Q813">
        <v>618198713</v>
      </c>
      <c r="S813" t="s">
        <v>63</v>
      </c>
      <c r="T813" t="s">
        <v>64</v>
      </c>
      <c r="U813" t="s">
        <v>65</v>
      </c>
      <c r="W813" s="26">
        <v>45574</v>
      </c>
      <c r="X813" t="s">
        <v>61</v>
      </c>
      <c r="Y813" t="s">
        <v>237</v>
      </c>
    </row>
    <row r="814" spans="1:25" x14ac:dyDescent="0.25">
      <c r="A814" t="s">
        <v>3093</v>
      </c>
      <c r="B814">
        <v>11</v>
      </c>
      <c r="C814">
        <v>94</v>
      </c>
      <c r="D814">
        <v>9024</v>
      </c>
      <c r="E814" t="s">
        <v>4</v>
      </c>
      <c r="F814" t="s">
        <v>887</v>
      </c>
      <c r="G814" t="s">
        <v>3094</v>
      </c>
      <c r="H814" s="26">
        <v>21583</v>
      </c>
      <c r="I814" t="s">
        <v>58</v>
      </c>
      <c r="J814" t="s">
        <v>3095</v>
      </c>
      <c r="M814">
        <v>94210</v>
      </c>
      <c r="N814" t="s">
        <v>1323</v>
      </c>
      <c r="O814" t="s">
        <v>61</v>
      </c>
      <c r="Q814">
        <v>662705407</v>
      </c>
      <c r="R814" t="s">
        <v>3096</v>
      </c>
      <c r="S814" t="s">
        <v>63</v>
      </c>
      <c r="T814" t="s">
        <v>64</v>
      </c>
      <c r="U814" t="s">
        <v>65</v>
      </c>
      <c r="W814" s="26">
        <v>45562</v>
      </c>
      <c r="X814" t="s">
        <v>61</v>
      </c>
      <c r="Y814" t="s">
        <v>237</v>
      </c>
    </row>
    <row r="815" spans="1:25" x14ac:dyDescent="0.25">
      <c r="A815" t="s">
        <v>3097</v>
      </c>
      <c r="B815">
        <v>11</v>
      </c>
      <c r="C815">
        <v>77</v>
      </c>
      <c r="D815">
        <v>9049</v>
      </c>
      <c r="E815" t="s">
        <v>902</v>
      </c>
      <c r="F815" t="s">
        <v>106</v>
      </c>
      <c r="G815" t="s">
        <v>3098</v>
      </c>
      <c r="H815" s="26">
        <v>21943</v>
      </c>
      <c r="I815" t="s">
        <v>58</v>
      </c>
      <c r="J815" t="s">
        <v>3099</v>
      </c>
      <c r="M815">
        <v>2570</v>
      </c>
      <c r="N815" t="s">
        <v>3100</v>
      </c>
      <c r="O815" t="s">
        <v>61</v>
      </c>
      <c r="Q815">
        <v>614876485</v>
      </c>
      <c r="R815" t="s">
        <v>3101</v>
      </c>
      <c r="S815" t="s">
        <v>63</v>
      </c>
      <c r="T815" t="s">
        <v>64</v>
      </c>
      <c r="U815" t="s">
        <v>65</v>
      </c>
      <c r="W815" s="26">
        <v>45524</v>
      </c>
      <c r="X815" t="s">
        <v>61</v>
      </c>
      <c r="Y815" t="s">
        <v>237</v>
      </c>
    </row>
    <row r="816" spans="1:25" x14ac:dyDescent="0.25">
      <c r="A816" t="s">
        <v>3102</v>
      </c>
      <c r="B816">
        <v>11</v>
      </c>
      <c r="C816">
        <v>77</v>
      </c>
      <c r="D816">
        <v>9105</v>
      </c>
      <c r="E816" t="s">
        <v>124</v>
      </c>
      <c r="F816" t="s">
        <v>551</v>
      </c>
      <c r="G816" t="s">
        <v>3103</v>
      </c>
      <c r="H816" s="26">
        <v>19673</v>
      </c>
      <c r="I816" t="s">
        <v>58</v>
      </c>
      <c r="J816" t="s">
        <v>3104</v>
      </c>
      <c r="M816">
        <v>91250</v>
      </c>
      <c r="N816" t="s">
        <v>3105</v>
      </c>
      <c r="O816" t="s">
        <v>61</v>
      </c>
      <c r="Q816">
        <v>643353477</v>
      </c>
      <c r="R816" t="s">
        <v>3106</v>
      </c>
      <c r="S816" t="s">
        <v>63</v>
      </c>
      <c r="T816" t="s">
        <v>64</v>
      </c>
      <c r="U816" t="s">
        <v>65</v>
      </c>
      <c r="W816" s="26">
        <v>45548</v>
      </c>
      <c r="X816" t="s">
        <v>61</v>
      </c>
      <c r="Y816" t="s">
        <v>237</v>
      </c>
    </row>
    <row r="817" spans="1:25" x14ac:dyDescent="0.25">
      <c r="A817" t="s">
        <v>10197</v>
      </c>
      <c r="B817">
        <v>11</v>
      </c>
      <c r="C817">
        <v>77</v>
      </c>
      <c r="D817">
        <v>9026</v>
      </c>
      <c r="E817" t="s">
        <v>508</v>
      </c>
      <c r="F817" t="s">
        <v>289</v>
      </c>
      <c r="G817" t="s">
        <v>10198</v>
      </c>
      <c r="H817" s="26">
        <v>20001</v>
      </c>
      <c r="I817" t="s">
        <v>58</v>
      </c>
      <c r="J817" t="s">
        <v>10199</v>
      </c>
      <c r="M817">
        <v>77170</v>
      </c>
      <c r="N817" t="s">
        <v>10200</v>
      </c>
      <c r="O817" t="s">
        <v>61</v>
      </c>
      <c r="R817" t="s">
        <v>10201</v>
      </c>
      <c r="S817" t="s">
        <v>237</v>
      </c>
      <c r="T817" t="s">
        <v>64</v>
      </c>
      <c r="U817" t="s">
        <v>65</v>
      </c>
      <c r="W817" s="26">
        <v>45568</v>
      </c>
      <c r="X817" t="s">
        <v>61</v>
      </c>
      <c r="Y817" t="s">
        <v>237</v>
      </c>
    </row>
    <row r="818" spans="1:25" x14ac:dyDescent="0.25">
      <c r="A818" t="s">
        <v>10104</v>
      </c>
      <c r="B818">
        <v>11</v>
      </c>
      <c r="C818">
        <v>94</v>
      </c>
      <c r="D818">
        <v>9024</v>
      </c>
      <c r="E818" t="s">
        <v>4</v>
      </c>
      <c r="F818" t="s">
        <v>100</v>
      </c>
      <c r="G818" t="s">
        <v>10105</v>
      </c>
      <c r="H818" s="26">
        <v>17658</v>
      </c>
      <c r="I818" t="s">
        <v>58</v>
      </c>
      <c r="J818" t="s">
        <v>10106</v>
      </c>
      <c r="M818">
        <v>94100</v>
      </c>
      <c r="N818" t="s">
        <v>971</v>
      </c>
      <c r="O818" t="s">
        <v>61</v>
      </c>
      <c r="P818">
        <v>145118267</v>
      </c>
      <c r="Q818">
        <v>681341674</v>
      </c>
      <c r="R818" t="s">
        <v>10107</v>
      </c>
      <c r="S818" t="s">
        <v>63</v>
      </c>
      <c r="T818" t="s">
        <v>64</v>
      </c>
      <c r="U818" t="s">
        <v>65</v>
      </c>
      <c r="W818" s="26">
        <v>45569</v>
      </c>
      <c r="X818" t="s">
        <v>61</v>
      </c>
      <c r="Y818" t="s">
        <v>237</v>
      </c>
    </row>
    <row r="819" spans="1:25" x14ac:dyDescent="0.25">
      <c r="A819" t="s">
        <v>10179</v>
      </c>
      <c r="B819">
        <v>11</v>
      </c>
      <c r="C819">
        <v>94</v>
      </c>
      <c r="D819">
        <v>9024</v>
      </c>
      <c r="E819" t="s">
        <v>4</v>
      </c>
      <c r="F819" t="s">
        <v>590</v>
      </c>
      <c r="G819" t="s">
        <v>10180</v>
      </c>
      <c r="H819" s="26">
        <v>20478</v>
      </c>
      <c r="I819" t="s">
        <v>58</v>
      </c>
      <c r="J819" t="s">
        <v>10181</v>
      </c>
      <c r="M819">
        <v>94100</v>
      </c>
      <c r="N819" t="s">
        <v>971</v>
      </c>
      <c r="O819" t="s">
        <v>61</v>
      </c>
      <c r="Q819">
        <v>763922401</v>
      </c>
      <c r="R819" t="s">
        <v>10182</v>
      </c>
      <c r="S819" t="s">
        <v>63</v>
      </c>
      <c r="T819" t="s">
        <v>64</v>
      </c>
      <c r="U819" t="s">
        <v>65</v>
      </c>
      <c r="W819" s="26">
        <v>45568</v>
      </c>
      <c r="X819" t="s">
        <v>61</v>
      </c>
      <c r="Y819" t="s">
        <v>237</v>
      </c>
    </row>
    <row r="820" spans="1:25" x14ac:dyDescent="0.25">
      <c r="A820" t="s">
        <v>3108</v>
      </c>
      <c r="B820">
        <v>11</v>
      </c>
      <c r="C820">
        <v>78</v>
      </c>
      <c r="D820">
        <v>9030</v>
      </c>
      <c r="E820" t="s">
        <v>96</v>
      </c>
      <c r="F820" t="s">
        <v>820</v>
      </c>
      <c r="G820" t="s">
        <v>3109</v>
      </c>
      <c r="H820" s="26">
        <v>23687</v>
      </c>
      <c r="I820" t="s">
        <v>58</v>
      </c>
      <c r="J820" t="s">
        <v>3110</v>
      </c>
      <c r="M820">
        <v>78280</v>
      </c>
      <c r="N820" t="s">
        <v>98</v>
      </c>
      <c r="O820" t="s">
        <v>61</v>
      </c>
      <c r="Q820">
        <v>608656504</v>
      </c>
      <c r="R820" t="s">
        <v>3111</v>
      </c>
      <c r="S820" t="s">
        <v>63</v>
      </c>
      <c r="T820" t="s">
        <v>64</v>
      </c>
      <c r="U820" t="s">
        <v>65</v>
      </c>
      <c r="W820" s="26">
        <v>45543</v>
      </c>
      <c r="X820" t="s">
        <v>61</v>
      </c>
      <c r="Y820" t="s">
        <v>237</v>
      </c>
    </row>
    <row r="821" spans="1:25" x14ac:dyDescent="0.25">
      <c r="A821" t="s">
        <v>3112</v>
      </c>
      <c r="B821">
        <v>11</v>
      </c>
      <c r="C821">
        <v>78</v>
      </c>
      <c r="D821">
        <v>9030</v>
      </c>
      <c r="E821" t="s">
        <v>96</v>
      </c>
      <c r="F821" t="s">
        <v>3113</v>
      </c>
      <c r="G821" t="s">
        <v>3109</v>
      </c>
      <c r="H821" s="26">
        <v>23674</v>
      </c>
      <c r="I821" t="s">
        <v>16</v>
      </c>
      <c r="J821" t="s">
        <v>3110</v>
      </c>
      <c r="M821">
        <v>78280</v>
      </c>
      <c r="N821" t="s">
        <v>98</v>
      </c>
      <c r="O821" t="s">
        <v>61</v>
      </c>
      <c r="Q821">
        <v>641669376</v>
      </c>
      <c r="R821" t="s">
        <v>3114</v>
      </c>
      <c r="S821" t="s">
        <v>63</v>
      </c>
      <c r="T821" t="s">
        <v>64</v>
      </c>
      <c r="U821" t="s">
        <v>65</v>
      </c>
      <c r="W821" s="26">
        <v>45524</v>
      </c>
      <c r="X821" t="s">
        <v>61</v>
      </c>
      <c r="Y821" t="s">
        <v>237</v>
      </c>
    </row>
    <row r="822" spans="1:25" x14ac:dyDescent="0.25">
      <c r="A822" t="s">
        <v>3115</v>
      </c>
      <c r="B822">
        <v>11</v>
      </c>
      <c r="C822">
        <v>92</v>
      </c>
      <c r="D822">
        <v>9065</v>
      </c>
      <c r="E822" t="s">
        <v>426</v>
      </c>
      <c r="F822" t="s">
        <v>782</v>
      </c>
      <c r="G822" t="s">
        <v>3116</v>
      </c>
      <c r="H822" s="26">
        <v>27816</v>
      </c>
      <c r="I822" t="s">
        <v>58</v>
      </c>
      <c r="J822" t="s">
        <v>3117</v>
      </c>
      <c r="M822">
        <v>92140</v>
      </c>
      <c r="N822" t="s">
        <v>1380</v>
      </c>
      <c r="O822" t="s">
        <v>61</v>
      </c>
      <c r="Q822">
        <v>660896063</v>
      </c>
      <c r="R822" t="s">
        <v>3118</v>
      </c>
      <c r="S822" t="s">
        <v>63</v>
      </c>
      <c r="T822" t="s">
        <v>64</v>
      </c>
      <c r="U822" t="s">
        <v>8684</v>
      </c>
      <c r="W822" s="26">
        <v>45544</v>
      </c>
      <c r="X822" t="s">
        <v>61</v>
      </c>
      <c r="Y822" t="s">
        <v>237</v>
      </c>
    </row>
    <row r="823" spans="1:25" x14ac:dyDescent="0.25">
      <c r="A823" t="s">
        <v>3119</v>
      </c>
      <c r="B823">
        <v>11</v>
      </c>
      <c r="C823">
        <v>92</v>
      </c>
      <c r="D823">
        <v>9017</v>
      </c>
      <c r="E823" t="s">
        <v>211</v>
      </c>
      <c r="F823" t="s">
        <v>3120</v>
      </c>
      <c r="G823" t="s">
        <v>3121</v>
      </c>
      <c r="H823" s="26">
        <v>27230</v>
      </c>
      <c r="I823" t="s">
        <v>58</v>
      </c>
      <c r="J823" t="s">
        <v>3122</v>
      </c>
      <c r="M823">
        <v>93360</v>
      </c>
      <c r="N823" t="s">
        <v>291</v>
      </c>
      <c r="O823" t="s">
        <v>61</v>
      </c>
      <c r="P823">
        <v>768553397</v>
      </c>
      <c r="S823" t="s">
        <v>63</v>
      </c>
      <c r="T823" t="s">
        <v>64</v>
      </c>
      <c r="U823" t="s">
        <v>65</v>
      </c>
      <c r="W823" s="26">
        <v>45537</v>
      </c>
      <c r="X823" t="s">
        <v>716</v>
      </c>
      <c r="Y823" t="s">
        <v>237</v>
      </c>
    </row>
    <row r="824" spans="1:25" x14ac:dyDescent="0.25">
      <c r="A824" t="s">
        <v>10583</v>
      </c>
      <c r="B824">
        <v>11</v>
      </c>
      <c r="C824">
        <v>93</v>
      </c>
      <c r="D824">
        <v>9060</v>
      </c>
      <c r="E824" t="s">
        <v>203</v>
      </c>
      <c r="F824" t="s">
        <v>551</v>
      </c>
      <c r="G824" t="s">
        <v>10584</v>
      </c>
      <c r="H824" s="26">
        <v>20573</v>
      </c>
      <c r="I824" t="s">
        <v>58</v>
      </c>
      <c r="J824" t="s">
        <v>10585</v>
      </c>
      <c r="M824">
        <v>93110</v>
      </c>
      <c r="N824" t="s">
        <v>556</v>
      </c>
      <c r="O824" t="s">
        <v>61</v>
      </c>
      <c r="Q824">
        <v>699626181</v>
      </c>
      <c r="R824" t="s">
        <v>10586</v>
      </c>
      <c r="S824" t="s">
        <v>63</v>
      </c>
      <c r="T824" t="s">
        <v>64</v>
      </c>
      <c r="U824" t="s">
        <v>65</v>
      </c>
      <c r="W824" s="26">
        <v>45576</v>
      </c>
      <c r="X824" t="s">
        <v>61</v>
      </c>
      <c r="Y824" t="s">
        <v>237</v>
      </c>
    </row>
    <row r="825" spans="1:25" x14ac:dyDescent="0.25">
      <c r="A825" t="s">
        <v>3123</v>
      </c>
      <c r="B825">
        <v>11</v>
      </c>
      <c r="C825">
        <v>93</v>
      </c>
      <c r="D825">
        <v>9122</v>
      </c>
      <c r="E825" t="s">
        <v>1030</v>
      </c>
      <c r="F825" t="s">
        <v>3124</v>
      </c>
      <c r="G825" t="s">
        <v>3125</v>
      </c>
      <c r="H825" s="26">
        <v>28788</v>
      </c>
      <c r="I825" t="s">
        <v>58</v>
      </c>
      <c r="J825" t="s">
        <v>3126</v>
      </c>
      <c r="M825">
        <v>75019</v>
      </c>
      <c r="N825" t="s">
        <v>330</v>
      </c>
      <c r="O825" t="s">
        <v>61</v>
      </c>
      <c r="Q825">
        <v>623184989</v>
      </c>
      <c r="R825" t="s">
        <v>3127</v>
      </c>
      <c r="S825" t="s">
        <v>63</v>
      </c>
      <c r="T825" t="s">
        <v>64</v>
      </c>
      <c r="U825" t="s">
        <v>8684</v>
      </c>
      <c r="W825" s="26">
        <v>45530</v>
      </c>
      <c r="X825" t="s">
        <v>61</v>
      </c>
      <c r="Y825" t="s">
        <v>237</v>
      </c>
    </row>
    <row r="826" spans="1:25" x14ac:dyDescent="0.25">
      <c r="A826" t="s">
        <v>3128</v>
      </c>
      <c r="B826">
        <v>11</v>
      </c>
      <c r="C826">
        <v>78</v>
      </c>
      <c r="D826">
        <v>9030</v>
      </c>
      <c r="E826" t="s">
        <v>96</v>
      </c>
      <c r="F826" t="s">
        <v>91</v>
      </c>
      <c r="G826" t="s">
        <v>1606</v>
      </c>
      <c r="H826" s="26">
        <v>19143</v>
      </c>
      <c r="I826" t="s">
        <v>58</v>
      </c>
      <c r="J826" t="s">
        <v>3129</v>
      </c>
      <c r="M826">
        <v>78610</v>
      </c>
      <c r="N826" t="s">
        <v>3130</v>
      </c>
      <c r="O826" t="s">
        <v>61</v>
      </c>
      <c r="Q826">
        <v>660546315</v>
      </c>
      <c r="R826" t="s">
        <v>3131</v>
      </c>
      <c r="S826" t="s">
        <v>63</v>
      </c>
      <c r="T826" t="s">
        <v>64</v>
      </c>
      <c r="U826" t="s">
        <v>65</v>
      </c>
      <c r="W826" s="26">
        <v>45542</v>
      </c>
      <c r="X826" t="s">
        <v>61</v>
      </c>
      <c r="Y826" t="s">
        <v>237</v>
      </c>
    </row>
    <row r="827" spans="1:25" x14ac:dyDescent="0.25">
      <c r="A827" t="s">
        <v>3133</v>
      </c>
      <c r="B827">
        <v>11</v>
      </c>
      <c r="C827">
        <v>75</v>
      </c>
      <c r="D827">
        <v>9070</v>
      </c>
      <c r="E827" t="s">
        <v>168</v>
      </c>
      <c r="F827" t="s">
        <v>3134</v>
      </c>
      <c r="G827" t="s">
        <v>3135</v>
      </c>
      <c r="H827" s="26">
        <v>35737</v>
      </c>
      <c r="I827" t="s">
        <v>58</v>
      </c>
      <c r="J827" t="s">
        <v>3136</v>
      </c>
      <c r="M827">
        <v>78100</v>
      </c>
      <c r="N827" t="s">
        <v>2390</v>
      </c>
      <c r="O827" t="s">
        <v>61</v>
      </c>
      <c r="Q827">
        <v>695450025</v>
      </c>
      <c r="R827" t="s">
        <v>3137</v>
      </c>
      <c r="S827" t="s">
        <v>63</v>
      </c>
      <c r="T827" t="s">
        <v>64</v>
      </c>
      <c r="U827" t="s">
        <v>8684</v>
      </c>
      <c r="W827" s="26">
        <v>45546</v>
      </c>
      <c r="X827" t="s">
        <v>61</v>
      </c>
      <c r="Y827" t="s">
        <v>237</v>
      </c>
    </row>
    <row r="828" spans="1:25" x14ac:dyDescent="0.25">
      <c r="A828" t="s">
        <v>10587</v>
      </c>
      <c r="B828">
        <v>11</v>
      </c>
      <c r="C828">
        <v>77</v>
      </c>
      <c r="D828">
        <v>9021</v>
      </c>
      <c r="E828" t="s">
        <v>229</v>
      </c>
      <c r="F828" t="s">
        <v>137</v>
      </c>
      <c r="G828" t="s">
        <v>10588</v>
      </c>
      <c r="H828" s="26">
        <v>17706</v>
      </c>
      <c r="I828" t="s">
        <v>58</v>
      </c>
      <c r="J828" t="s">
        <v>10589</v>
      </c>
      <c r="M828">
        <v>77210</v>
      </c>
      <c r="N828" t="s">
        <v>391</v>
      </c>
      <c r="O828" t="s">
        <v>61</v>
      </c>
      <c r="Q828">
        <v>625630915</v>
      </c>
      <c r="R828" t="s">
        <v>10590</v>
      </c>
      <c r="S828" t="s">
        <v>63</v>
      </c>
      <c r="T828" t="s">
        <v>64</v>
      </c>
      <c r="U828" t="s">
        <v>65</v>
      </c>
      <c r="W828" s="26">
        <v>45579</v>
      </c>
      <c r="X828" t="s">
        <v>61</v>
      </c>
      <c r="Y828" t="s">
        <v>237</v>
      </c>
    </row>
    <row r="829" spans="1:25" x14ac:dyDescent="0.25">
      <c r="A829" t="s">
        <v>11235</v>
      </c>
      <c r="B829">
        <v>11</v>
      </c>
      <c r="C829">
        <v>93</v>
      </c>
      <c r="D829">
        <v>9060</v>
      </c>
      <c r="E829" t="s">
        <v>203</v>
      </c>
      <c r="F829" t="s">
        <v>11236</v>
      </c>
      <c r="G829" t="s">
        <v>11237</v>
      </c>
      <c r="H829" s="26">
        <v>16711</v>
      </c>
      <c r="I829" t="s">
        <v>58</v>
      </c>
      <c r="J829" t="s">
        <v>11238</v>
      </c>
      <c r="M829">
        <v>77600</v>
      </c>
      <c r="N829" t="s">
        <v>1293</v>
      </c>
      <c r="O829" t="s">
        <v>61</v>
      </c>
      <c r="P829">
        <v>143833760</v>
      </c>
      <c r="Q829">
        <v>661781897</v>
      </c>
      <c r="R829" t="s">
        <v>11239</v>
      </c>
      <c r="S829" t="s">
        <v>63</v>
      </c>
      <c r="T829" t="s">
        <v>64</v>
      </c>
      <c r="U829" t="s">
        <v>65</v>
      </c>
      <c r="W829" s="26">
        <v>45589</v>
      </c>
      <c r="X829" t="s">
        <v>61</v>
      </c>
      <c r="Y829" t="s">
        <v>237</v>
      </c>
    </row>
    <row r="830" spans="1:25" x14ac:dyDescent="0.25">
      <c r="A830" t="s">
        <v>3138</v>
      </c>
      <c r="B830">
        <v>11</v>
      </c>
      <c r="C830">
        <v>92</v>
      </c>
      <c r="D830">
        <v>9088</v>
      </c>
      <c r="E830" t="s">
        <v>1</v>
      </c>
      <c r="F830" t="s">
        <v>555</v>
      </c>
      <c r="G830" t="s">
        <v>3139</v>
      </c>
      <c r="H830" s="26">
        <v>21249</v>
      </c>
      <c r="I830" t="s">
        <v>58</v>
      </c>
      <c r="J830" t="s">
        <v>3140</v>
      </c>
      <c r="M830">
        <v>75009</v>
      </c>
      <c r="N830" t="s">
        <v>330</v>
      </c>
      <c r="O830" t="s">
        <v>61</v>
      </c>
      <c r="Q830">
        <v>651952866</v>
      </c>
      <c r="R830" t="s">
        <v>8957</v>
      </c>
      <c r="S830" t="s">
        <v>63</v>
      </c>
      <c r="T830" t="s">
        <v>64</v>
      </c>
      <c r="U830" t="s">
        <v>65</v>
      </c>
      <c r="W830" s="26">
        <v>45560</v>
      </c>
      <c r="X830" t="s">
        <v>61</v>
      </c>
      <c r="Y830" t="s">
        <v>237</v>
      </c>
    </row>
    <row r="831" spans="1:25" x14ac:dyDescent="0.25">
      <c r="A831" t="s">
        <v>3141</v>
      </c>
      <c r="B831">
        <v>11</v>
      </c>
      <c r="C831">
        <v>77</v>
      </c>
      <c r="D831">
        <v>9028</v>
      </c>
      <c r="E831" t="s">
        <v>452</v>
      </c>
      <c r="F831" t="s">
        <v>820</v>
      </c>
      <c r="G831" t="s">
        <v>3142</v>
      </c>
      <c r="H831" s="26">
        <v>27688</v>
      </c>
      <c r="I831" t="s">
        <v>58</v>
      </c>
      <c r="J831" t="s">
        <v>3143</v>
      </c>
      <c r="M831">
        <v>77171</v>
      </c>
      <c r="N831" t="s">
        <v>3144</v>
      </c>
      <c r="O831" t="s">
        <v>61</v>
      </c>
      <c r="P831">
        <v>160672305</v>
      </c>
      <c r="Q831">
        <v>789798147</v>
      </c>
      <c r="R831" t="s">
        <v>3145</v>
      </c>
      <c r="S831" t="s">
        <v>63</v>
      </c>
      <c r="T831" t="s">
        <v>64</v>
      </c>
      <c r="U831" t="s">
        <v>65</v>
      </c>
      <c r="W831" s="26">
        <v>45562</v>
      </c>
      <c r="X831" t="s">
        <v>61</v>
      </c>
      <c r="Y831" t="s">
        <v>237</v>
      </c>
    </row>
    <row r="832" spans="1:25" x14ac:dyDescent="0.25">
      <c r="A832" t="s">
        <v>8958</v>
      </c>
      <c r="B832">
        <v>11</v>
      </c>
      <c r="C832">
        <v>78</v>
      </c>
      <c r="D832">
        <v>9038</v>
      </c>
      <c r="E832" t="s">
        <v>484</v>
      </c>
      <c r="F832" t="s">
        <v>85</v>
      </c>
      <c r="G832" t="s">
        <v>8959</v>
      </c>
      <c r="H832" s="26">
        <v>20643</v>
      </c>
      <c r="I832" t="s">
        <v>58</v>
      </c>
      <c r="J832" t="s">
        <v>8960</v>
      </c>
      <c r="M832">
        <v>95480</v>
      </c>
      <c r="N832" t="s">
        <v>3593</v>
      </c>
      <c r="O832" t="s">
        <v>61</v>
      </c>
      <c r="Q832">
        <v>633741494</v>
      </c>
      <c r="R832" t="s">
        <v>8961</v>
      </c>
      <c r="S832" t="s">
        <v>63</v>
      </c>
      <c r="T832" t="s">
        <v>64</v>
      </c>
      <c r="U832" t="s">
        <v>65</v>
      </c>
      <c r="W832" s="26">
        <v>45562</v>
      </c>
      <c r="X832" t="s">
        <v>61</v>
      </c>
      <c r="Y832" t="s">
        <v>237</v>
      </c>
    </row>
    <row r="833" spans="1:25" x14ac:dyDescent="0.25">
      <c r="A833" t="s">
        <v>3146</v>
      </c>
      <c r="B833">
        <v>11</v>
      </c>
      <c r="C833">
        <v>75</v>
      </c>
      <c r="D833">
        <v>9126</v>
      </c>
      <c r="E833" t="s">
        <v>1818</v>
      </c>
      <c r="F833" t="s">
        <v>3147</v>
      </c>
      <c r="G833" t="s">
        <v>3148</v>
      </c>
      <c r="H833" s="26">
        <v>31849</v>
      </c>
      <c r="I833" t="s">
        <v>58</v>
      </c>
      <c r="J833" t="s">
        <v>3149</v>
      </c>
      <c r="M833">
        <v>75013</v>
      </c>
      <c r="N833" t="s">
        <v>330</v>
      </c>
      <c r="O833" t="s">
        <v>61</v>
      </c>
      <c r="Q833">
        <v>613841240</v>
      </c>
      <c r="R833" t="s">
        <v>3150</v>
      </c>
      <c r="S833" t="s">
        <v>63</v>
      </c>
      <c r="T833" t="s">
        <v>64</v>
      </c>
      <c r="U833" t="s">
        <v>8684</v>
      </c>
      <c r="W833" s="26">
        <v>45529</v>
      </c>
      <c r="X833" t="s">
        <v>61</v>
      </c>
      <c r="Y833" t="s">
        <v>237</v>
      </c>
    </row>
    <row r="834" spans="1:25" x14ac:dyDescent="0.25">
      <c r="A834" t="s">
        <v>3151</v>
      </c>
      <c r="B834">
        <v>11</v>
      </c>
      <c r="C834">
        <v>94</v>
      </c>
      <c r="D834">
        <v>9045</v>
      </c>
      <c r="E834" t="s">
        <v>1234</v>
      </c>
      <c r="F834" t="s">
        <v>85</v>
      </c>
      <c r="G834" t="s">
        <v>3152</v>
      </c>
      <c r="H834" s="26">
        <v>19452</v>
      </c>
      <c r="I834" t="s">
        <v>58</v>
      </c>
      <c r="J834" t="s">
        <v>3153</v>
      </c>
      <c r="M834">
        <v>75014</v>
      </c>
      <c r="N834" t="s">
        <v>330</v>
      </c>
      <c r="O834" t="s">
        <v>61</v>
      </c>
      <c r="Q834">
        <v>609758538</v>
      </c>
      <c r="R834" t="s">
        <v>3154</v>
      </c>
      <c r="S834" t="s">
        <v>63</v>
      </c>
      <c r="T834" t="s">
        <v>64</v>
      </c>
      <c r="U834" t="s">
        <v>8684</v>
      </c>
      <c r="W834" s="26">
        <v>45541</v>
      </c>
      <c r="X834" t="s">
        <v>61</v>
      </c>
      <c r="Y834" t="s">
        <v>237</v>
      </c>
    </row>
    <row r="835" spans="1:25" x14ac:dyDescent="0.25">
      <c r="A835" t="s">
        <v>3155</v>
      </c>
      <c r="B835">
        <v>11</v>
      </c>
      <c r="C835">
        <v>75</v>
      </c>
      <c r="D835">
        <v>9070</v>
      </c>
      <c r="E835" t="s">
        <v>168</v>
      </c>
      <c r="F835" t="s">
        <v>3156</v>
      </c>
      <c r="G835" t="s">
        <v>3157</v>
      </c>
      <c r="H835" s="26">
        <v>32412</v>
      </c>
      <c r="I835" t="s">
        <v>58</v>
      </c>
      <c r="J835" t="s">
        <v>3158</v>
      </c>
      <c r="M835">
        <v>75016</v>
      </c>
      <c r="N835" t="s">
        <v>330</v>
      </c>
      <c r="O835" t="s">
        <v>61</v>
      </c>
      <c r="Q835">
        <v>635937324</v>
      </c>
      <c r="R835" t="s">
        <v>3159</v>
      </c>
      <c r="S835" t="s">
        <v>63</v>
      </c>
      <c r="T835" t="s">
        <v>64</v>
      </c>
      <c r="U835" t="s">
        <v>8684</v>
      </c>
      <c r="W835" s="26">
        <v>45527</v>
      </c>
      <c r="X835" t="s">
        <v>61</v>
      </c>
      <c r="Y835" t="s">
        <v>237</v>
      </c>
    </row>
    <row r="836" spans="1:25" x14ac:dyDescent="0.25">
      <c r="A836" t="s">
        <v>3160</v>
      </c>
      <c r="B836">
        <v>11</v>
      </c>
      <c r="C836">
        <v>92</v>
      </c>
      <c r="D836">
        <v>9065</v>
      </c>
      <c r="E836" t="s">
        <v>426</v>
      </c>
      <c r="F836" t="s">
        <v>3161</v>
      </c>
      <c r="G836" t="s">
        <v>3162</v>
      </c>
      <c r="H836" s="26">
        <v>33306</v>
      </c>
      <c r="I836" t="s">
        <v>16</v>
      </c>
      <c r="J836" t="s">
        <v>3163</v>
      </c>
      <c r="M836">
        <v>75015</v>
      </c>
      <c r="N836" t="s">
        <v>330</v>
      </c>
      <c r="O836" t="s">
        <v>61</v>
      </c>
      <c r="Q836">
        <v>616624586</v>
      </c>
      <c r="R836" t="s">
        <v>3164</v>
      </c>
      <c r="S836" t="s">
        <v>63</v>
      </c>
      <c r="T836" t="s">
        <v>64</v>
      </c>
      <c r="U836" t="s">
        <v>486</v>
      </c>
      <c r="W836" s="26">
        <v>45528</v>
      </c>
      <c r="X836" t="s">
        <v>61</v>
      </c>
      <c r="Y836" t="s">
        <v>237</v>
      </c>
    </row>
    <row r="837" spans="1:25" x14ac:dyDescent="0.25">
      <c r="A837" t="s">
        <v>3165</v>
      </c>
      <c r="B837">
        <v>11</v>
      </c>
      <c r="C837">
        <v>92</v>
      </c>
      <c r="D837">
        <v>9065</v>
      </c>
      <c r="E837" t="s">
        <v>426</v>
      </c>
      <c r="F837" t="s">
        <v>368</v>
      </c>
      <c r="G837" t="s">
        <v>3166</v>
      </c>
      <c r="H837" s="26">
        <v>33419</v>
      </c>
      <c r="I837" t="s">
        <v>58</v>
      </c>
      <c r="J837" t="s">
        <v>3167</v>
      </c>
      <c r="M837">
        <v>77000</v>
      </c>
      <c r="N837" t="s">
        <v>190</v>
      </c>
      <c r="O837" t="s">
        <v>61</v>
      </c>
      <c r="Q837">
        <v>666113110</v>
      </c>
      <c r="R837" t="s">
        <v>3168</v>
      </c>
      <c r="S837" t="s">
        <v>63</v>
      </c>
      <c r="T837" t="s">
        <v>64</v>
      </c>
      <c r="U837" t="s">
        <v>486</v>
      </c>
      <c r="W837" s="26">
        <v>45547</v>
      </c>
      <c r="X837" t="s">
        <v>61</v>
      </c>
      <c r="Y837" t="s">
        <v>237</v>
      </c>
    </row>
    <row r="838" spans="1:25" x14ac:dyDescent="0.25">
      <c r="A838" t="s">
        <v>3169</v>
      </c>
      <c r="B838">
        <v>11</v>
      </c>
      <c r="C838">
        <v>95</v>
      </c>
      <c r="D838">
        <v>9127</v>
      </c>
      <c r="E838" t="s">
        <v>536</v>
      </c>
      <c r="F838" t="s">
        <v>3170</v>
      </c>
      <c r="G838" t="s">
        <v>3171</v>
      </c>
      <c r="H838" s="26">
        <v>37111</v>
      </c>
      <c r="I838" t="s">
        <v>58</v>
      </c>
      <c r="J838" t="s">
        <v>3172</v>
      </c>
      <c r="K838" t="s">
        <v>3173</v>
      </c>
      <c r="M838">
        <v>14210</v>
      </c>
      <c r="N838" t="s">
        <v>3174</v>
      </c>
      <c r="O838" t="s">
        <v>61</v>
      </c>
      <c r="Q838">
        <v>649064492</v>
      </c>
      <c r="R838" t="s">
        <v>3175</v>
      </c>
      <c r="S838" t="s">
        <v>63</v>
      </c>
      <c r="T838" t="s">
        <v>64</v>
      </c>
      <c r="U838" t="s">
        <v>486</v>
      </c>
      <c r="W838" s="26">
        <v>45531</v>
      </c>
      <c r="X838" t="s">
        <v>61</v>
      </c>
      <c r="Y838" t="s">
        <v>237</v>
      </c>
    </row>
    <row r="839" spans="1:25" x14ac:dyDescent="0.25">
      <c r="A839" t="s">
        <v>3176</v>
      </c>
      <c r="B839">
        <v>11</v>
      </c>
      <c r="C839">
        <v>75</v>
      </c>
      <c r="D839">
        <v>9070</v>
      </c>
      <c r="E839" t="s">
        <v>168</v>
      </c>
      <c r="F839" t="s">
        <v>2419</v>
      </c>
      <c r="G839" t="s">
        <v>3177</v>
      </c>
      <c r="H839" s="26">
        <v>35841</v>
      </c>
      <c r="I839" t="s">
        <v>58</v>
      </c>
      <c r="J839" t="s">
        <v>3178</v>
      </c>
      <c r="M839">
        <v>75013</v>
      </c>
      <c r="N839" t="s">
        <v>330</v>
      </c>
      <c r="O839" t="s">
        <v>61</v>
      </c>
      <c r="Q839">
        <v>618440776</v>
      </c>
      <c r="R839" t="s">
        <v>3179</v>
      </c>
      <c r="S839" t="s">
        <v>237</v>
      </c>
      <c r="T839" t="s">
        <v>64</v>
      </c>
      <c r="U839" t="s">
        <v>8684</v>
      </c>
      <c r="W839" s="26">
        <v>45534</v>
      </c>
      <c r="X839" t="s">
        <v>61</v>
      </c>
      <c r="Y839" t="s">
        <v>237</v>
      </c>
    </row>
    <row r="840" spans="1:25" x14ac:dyDescent="0.25">
      <c r="A840" t="s">
        <v>3180</v>
      </c>
      <c r="B840">
        <v>11</v>
      </c>
      <c r="C840">
        <v>75</v>
      </c>
      <c r="D840">
        <v>9126</v>
      </c>
      <c r="E840" t="s">
        <v>1818</v>
      </c>
      <c r="F840" t="s">
        <v>3181</v>
      </c>
      <c r="G840" t="s">
        <v>2456</v>
      </c>
      <c r="H840" s="26">
        <v>32226</v>
      </c>
      <c r="I840" t="s">
        <v>58</v>
      </c>
      <c r="J840" t="s">
        <v>8962</v>
      </c>
      <c r="M840">
        <v>75009</v>
      </c>
      <c r="N840" t="s">
        <v>330</v>
      </c>
      <c r="O840" t="s">
        <v>61</v>
      </c>
      <c r="Q840">
        <v>617712794</v>
      </c>
      <c r="R840" t="s">
        <v>3182</v>
      </c>
      <c r="S840" t="s">
        <v>63</v>
      </c>
      <c r="T840" t="s">
        <v>64</v>
      </c>
      <c r="U840" t="s">
        <v>8684</v>
      </c>
      <c r="W840" s="26">
        <v>45528</v>
      </c>
      <c r="X840" t="s">
        <v>61</v>
      </c>
      <c r="Y840" t="s">
        <v>237</v>
      </c>
    </row>
    <row r="841" spans="1:25" x14ac:dyDescent="0.25">
      <c r="A841" t="s">
        <v>3183</v>
      </c>
      <c r="B841">
        <v>11</v>
      </c>
      <c r="C841">
        <v>95</v>
      </c>
      <c r="D841">
        <v>9010</v>
      </c>
      <c r="E841" t="s">
        <v>6</v>
      </c>
      <c r="F841" t="s">
        <v>3184</v>
      </c>
      <c r="G841" t="s">
        <v>3185</v>
      </c>
      <c r="H841" s="26">
        <v>28830</v>
      </c>
      <c r="I841" t="s">
        <v>58</v>
      </c>
      <c r="J841" t="s">
        <v>3186</v>
      </c>
      <c r="M841">
        <v>95000</v>
      </c>
      <c r="N841" t="s">
        <v>77</v>
      </c>
      <c r="O841" t="s">
        <v>61</v>
      </c>
      <c r="R841" t="s">
        <v>3187</v>
      </c>
      <c r="S841" t="s">
        <v>63</v>
      </c>
      <c r="T841" t="s">
        <v>64</v>
      </c>
      <c r="U841" t="s">
        <v>1636</v>
      </c>
      <c r="W841" s="26">
        <v>45558</v>
      </c>
      <c r="X841" t="s">
        <v>2726</v>
      </c>
      <c r="Y841" t="s">
        <v>237</v>
      </c>
    </row>
    <row r="842" spans="1:25" x14ac:dyDescent="0.25">
      <c r="A842" t="s">
        <v>3188</v>
      </c>
      <c r="B842">
        <v>11</v>
      </c>
      <c r="C842">
        <v>95</v>
      </c>
      <c r="D842">
        <v>9127</v>
      </c>
      <c r="E842" t="s">
        <v>536</v>
      </c>
      <c r="F842" t="s">
        <v>3189</v>
      </c>
      <c r="G842" t="s">
        <v>769</v>
      </c>
      <c r="H842" s="26">
        <v>35016</v>
      </c>
      <c r="I842" t="s">
        <v>58</v>
      </c>
      <c r="J842" t="s">
        <v>3190</v>
      </c>
      <c r="M842">
        <v>78800</v>
      </c>
      <c r="N842" t="s">
        <v>1472</v>
      </c>
      <c r="O842" t="s">
        <v>61</v>
      </c>
      <c r="P842">
        <v>781616046</v>
      </c>
      <c r="R842" t="s">
        <v>8963</v>
      </c>
      <c r="S842" t="s">
        <v>63</v>
      </c>
      <c r="T842" t="s">
        <v>64</v>
      </c>
      <c r="U842" t="s">
        <v>8684</v>
      </c>
      <c r="W842" s="26">
        <v>45540</v>
      </c>
      <c r="X842" t="s">
        <v>61</v>
      </c>
      <c r="Y842" t="s">
        <v>237</v>
      </c>
    </row>
    <row r="843" spans="1:25" x14ac:dyDescent="0.25">
      <c r="A843" t="s">
        <v>3191</v>
      </c>
      <c r="B843">
        <v>11</v>
      </c>
      <c r="C843">
        <v>78</v>
      </c>
      <c r="D843">
        <v>9084</v>
      </c>
      <c r="E843" t="s">
        <v>216</v>
      </c>
      <c r="F843" t="s">
        <v>13</v>
      </c>
      <c r="G843" t="s">
        <v>2217</v>
      </c>
      <c r="H843" s="26">
        <v>19445</v>
      </c>
      <c r="I843" t="s">
        <v>58</v>
      </c>
      <c r="J843" t="s">
        <v>3192</v>
      </c>
      <c r="M843">
        <v>78570</v>
      </c>
      <c r="N843" t="s">
        <v>3193</v>
      </c>
      <c r="O843" t="s">
        <v>61</v>
      </c>
      <c r="P843">
        <v>139747580</v>
      </c>
      <c r="Q843">
        <v>782012030</v>
      </c>
      <c r="S843" t="s">
        <v>63</v>
      </c>
      <c r="T843" t="s">
        <v>64</v>
      </c>
      <c r="U843" t="s">
        <v>65</v>
      </c>
      <c r="W843" s="26">
        <v>45547</v>
      </c>
      <c r="X843" t="s">
        <v>61</v>
      </c>
      <c r="Y843" t="s">
        <v>237</v>
      </c>
    </row>
    <row r="844" spans="1:25" x14ac:dyDescent="0.25">
      <c r="A844" t="s">
        <v>3194</v>
      </c>
      <c r="B844">
        <v>11</v>
      </c>
      <c r="C844">
        <v>78</v>
      </c>
      <c r="D844">
        <v>9056</v>
      </c>
      <c r="E844" t="s">
        <v>214</v>
      </c>
      <c r="F844" t="s">
        <v>2455</v>
      </c>
      <c r="G844" t="s">
        <v>3195</v>
      </c>
      <c r="H844" s="26">
        <v>16921</v>
      </c>
      <c r="I844" t="s">
        <v>58</v>
      </c>
      <c r="J844" t="s">
        <v>3196</v>
      </c>
      <c r="M844">
        <v>78000</v>
      </c>
      <c r="N844" t="s">
        <v>1334</v>
      </c>
      <c r="O844" t="s">
        <v>61</v>
      </c>
      <c r="Q844">
        <v>687693318</v>
      </c>
      <c r="R844" t="s">
        <v>3197</v>
      </c>
      <c r="S844" t="s">
        <v>63</v>
      </c>
      <c r="T844" t="s">
        <v>64</v>
      </c>
      <c r="U844" t="s">
        <v>65</v>
      </c>
      <c r="W844" s="26">
        <v>45555</v>
      </c>
      <c r="X844" t="s">
        <v>3198</v>
      </c>
      <c r="Y844" t="s">
        <v>237</v>
      </c>
    </row>
    <row r="845" spans="1:25" x14ac:dyDescent="0.25">
      <c r="A845" t="s">
        <v>3199</v>
      </c>
      <c r="B845">
        <v>11</v>
      </c>
      <c r="C845">
        <v>78</v>
      </c>
      <c r="D845">
        <v>9030</v>
      </c>
      <c r="E845" t="s">
        <v>96</v>
      </c>
      <c r="F845" t="s">
        <v>154</v>
      </c>
      <c r="G845" t="s">
        <v>3200</v>
      </c>
      <c r="H845" s="26">
        <v>18005</v>
      </c>
      <c r="I845" t="s">
        <v>58</v>
      </c>
      <c r="J845" t="s">
        <v>3201</v>
      </c>
      <c r="M845">
        <v>78720</v>
      </c>
      <c r="N845" t="s">
        <v>146</v>
      </c>
      <c r="O845" t="s">
        <v>61</v>
      </c>
      <c r="P845">
        <v>134852551</v>
      </c>
      <c r="Q845">
        <v>680588000</v>
      </c>
      <c r="R845" t="s">
        <v>3202</v>
      </c>
      <c r="S845" t="s">
        <v>63</v>
      </c>
      <c r="T845" t="s">
        <v>64</v>
      </c>
      <c r="U845" t="s">
        <v>65</v>
      </c>
      <c r="W845" s="26">
        <v>45551</v>
      </c>
      <c r="X845" t="s">
        <v>61</v>
      </c>
      <c r="Y845" t="s">
        <v>237</v>
      </c>
    </row>
    <row r="846" spans="1:25" x14ac:dyDescent="0.25">
      <c r="A846" t="s">
        <v>10591</v>
      </c>
      <c r="B846">
        <v>11</v>
      </c>
      <c r="C846">
        <v>95</v>
      </c>
      <c r="D846">
        <v>9010</v>
      </c>
      <c r="E846" t="s">
        <v>6</v>
      </c>
      <c r="F846" t="s">
        <v>85</v>
      </c>
      <c r="G846" t="s">
        <v>10592</v>
      </c>
      <c r="H846" s="26">
        <v>24330</v>
      </c>
      <c r="I846" t="s">
        <v>58</v>
      </c>
      <c r="J846" t="s">
        <v>3203</v>
      </c>
      <c r="M846">
        <v>95240</v>
      </c>
      <c r="N846" t="s">
        <v>1138</v>
      </c>
      <c r="O846" t="s">
        <v>61</v>
      </c>
      <c r="R846" t="s">
        <v>10593</v>
      </c>
      <c r="S846" t="s">
        <v>63</v>
      </c>
      <c r="T846" t="s">
        <v>64</v>
      </c>
      <c r="U846" t="s">
        <v>8684</v>
      </c>
      <c r="W846" s="26">
        <v>45574</v>
      </c>
      <c r="X846" t="s">
        <v>61</v>
      </c>
      <c r="Y846" t="s">
        <v>237</v>
      </c>
    </row>
    <row r="847" spans="1:25" x14ac:dyDescent="0.25">
      <c r="A847" t="s">
        <v>3204</v>
      </c>
      <c r="B847">
        <v>11</v>
      </c>
      <c r="C847">
        <v>75</v>
      </c>
      <c r="D847">
        <v>9070</v>
      </c>
      <c r="E847" t="s">
        <v>168</v>
      </c>
      <c r="F847" t="s">
        <v>3006</v>
      </c>
      <c r="G847" t="s">
        <v>3205</v>
      </c>
      <c r="H847" s="26">
        <v>31161</v>
      </c>
      <c r="I847" t="s">
        <v>58</v>
      </c>
      <c r="J847" t="s">
        <v>3206</v>
      </c>
      <c r="M847">
        <v>94550</v>
      </c>
      <c r="N847" t="s">
        <v>2596</v>
      </c>
      <c r="O847" t="s">
        <v>61</v>
      </c>
      <c r="Q847">
        <v>627237043</v>
      </c>
      <c r="R847" t="s">
        <v>3207</v>
      </c>
      <c r="S847" t="s">
        <v>237</v>
      </c>
      <c r="T847" t="s">
        <v>64</v>
      </c>
      <c r="U847" t="s">
        <v>8684</v>
      </c>
      <c r="W847" s="26">
        <v>45559</v>
      </c>
      <c r="X847" t="s">
        <v>61</v>
      </c>
      <c r="Y847" t="s">
        <v>237</v>
      </c>
    </row>
    <row r="848" spans="1:25" x14ac:dyDescent="0.25">
      <c r="A848" t="s">
        <v>10594</v>
      </c>
      <c r="B848">
        <v>11</v>
      </c>
      <c r="C848">
        <v>95</v>
      </c>
      <c r="D848">
        <v>9010</v>
      </c>
      <c r="E848" t="s">
        <v>6</v>
      </c>
      <c r="F848" t="s">
        <v>12</v>
      </c>
      <c r="G848" t="s">
        <v>1861</v>
      </c>
      <c r="H848" s="26">
        <v>26468</v>
      </c>
      <c r="I848" t="s">
        <v>58</v>
      </c>
      <c r="J848" t="s">
        <v>10595</v>
      </c>
      <c r="M848">
        <v>78360</v>
      </c>
      <c r="N848" t="s">
        <v>3208</v>
      </c>
      <c r="O848" t="s">
        <v>61</v>
      </c>
      <c r="R848" t="s">
        <v>10596</v>
      </c>
      <c r="S848" t="s">
        <v>63</v>
      </c>
      <c r="T848" t="s">
        <v>64</v>
      </c>
      <c r="U848" t="s">
        <v>65</v>
      </c>
      <c r="W848" s="26">
        <v>45574</v>
      </c>
      <c r="X848" t="s">
        <v>61</v>
      </c>
      <c r="Y848" t="s">
        <v>237</v>
      </c>
    </row>
    <row r="849" spans="1:25" x14ac:dyDescent="0.25">
      <c r="A849" t="s">
        <v>3209</v>
      </c>
      <c r="B849">
        <v>11</v>
      </c>
      <c r="C849">
        <v>75</v>
      </c>
      <c r="D849">
        <v>9070</v>
      </c>
      <c r="E849" t="s">
        <v>168</v>
      </c>
      <c r="F849" t="s">
        <v>3210</v>
      </c>
      <c r="G849" t="s">
        <v>1243</v>
      </c>
      <c r="H849" s="26">
        <v>36149</v>
      </c>
      <c r="I849" t="s">
        <v>58</v>
      </c>
      <c r="J849" t="s">
        <v>3211</v>
      </c>
      <c r="M849">
        <v>75018</v>
      </c>
      <c r="N849" t="s">
        <v>330</v>
      </c>
      <c r="O849" t="s">
        <v>61</v>
      </c>
      <c r="Q849">
        <v>642335670</v>
      </c>
      <c r="R849" t="s">
        <v>3212</v>
      </c>
      <c r="S849" t="s">
        <v>63</v>
      </c>
      <c r="T849" t="s">
        <v>64</v>
      </c>
      <c r="U849" t="s">
        <v>8684</v>
      </c>
      <c r="W849" s="26">
        <v>45527</v>
      </c>
      <c r="X849" t="s">
        <v>61</v>
      </c>
      <c r="Y849" t="s">
        <v>237</v>
      </c>
    </row>
    <row r="850" spans="1:25" x14ac:dyDescent="0.25">
      <c r="A850" t="s">
        <v>3213</v>
      </c>
      <c r="B850">
        <v>11</v>
      </c>
      <c r="C850">
        <v>78</v>
      </c>
      <c r="D850">
        <v>9056</v>
      </c>
      <c r="E850" t="s">
        <v>214</v>
      </c>
      <c r="F850" t="s">
        <v>267</v>
      </c>
      <c r="G850" t="s">
        <v>3214</v>
      </c>
      <c r="H850" s="26">
        <v>19612</v>
      </c>
      <c r="I850" t="s">
        <v>58</v>
      </c>
      <c r="J850" t="s">
        <v>3215</v>
      </c>
      <c r="M850">
        <v>78000</v>
      </c>
      <c r="N850" t="s">
        <v>1334</v>
      </c>
      <c r="O850" t="s">
        <v>61</v>
      </c>
      <c r="P850">
        <v>608978306</v>
      </c>
      <c r="R850" t="s">
        <v>3216</v>
      </c>
      <c r="S850" t="s">
        <v>63</v>
      </c>
      <c r="T850" t="s">
        <v>64</v>
      </c>
      <c r="U850" t="s">
        <v>65</v>
      </c>
      <c r="W850" s="26">
        <v>45555</v>
      </c>
      <c r="X850" t="s">
        <v>61</v>
      </c>
      <c r="Y850" t="s">
        <v>237</v>
      </c>
    </row>
    <row r="851" spans="1:25" x14ac:dyDescent="0.25">
      <c r="A851" t="s">
        <v>3217</v>
      </c>
      <c r="B851">
        <v>11</v>
      </c>
      <c r="C851">
        <v>94</v>
      </c>
      <c r="D851">
        <v>9024</v>
      </c>
      <c r="E851" t="s">
        <v>4</v>
      </c>
      <c r="F851" t="s">
        <v>97</v>
      </c>
      <c r="G851" t="s">
        <v>3218</v>
      </c>
      <c r="H851" s="26">
        <v>19147</v>
      </c>
      <c r="I851" t="s">
        <v>58</v>
      </c>
      <c r="J851" t="s">
        <v>3219</v>
      </c>
      <c r="M851">
        <v>94170</v>
      </c>
      <c r="N851" t="s">
        <v>3220</v>
      </c>
      <c r="O851" t="s">
        <v>61</v>
      </c>
      <c r="Q851">
        <v>632903802</v>
      </c>
      <c r="R851" t="s">
        <v>3221</v>
      </c>
      <c r="S851" t="s">
        <v>63</v>
      </c>
      <c r="T851" t="s">
        <v>64</v>
      </c>
      <c r="U851" t="s">
        <v>65</v>
      </c>
      <c r="W851" s="26">
        <v>45562</v>
      </c>
      <c r="X851" t="s">
        <v>61</v>
      </c>
      <c r="Y851" t="s">
        <v>237</v>
      </c>
    </row>
    <row r="852" spans="1:25" x14ac:dyDescent="0.25">
      <c r="A852" t="s">
        <v>3222</v>
      </c>
      <c r="B852">
        <v>11</v>
      </c>
      <c r="C852">
        <v>78</v>
      </c>
      <c r="D852">
        <v>9052</v>
      </c>
      <c r="E852" t="s">
        <v>337</v>
      </c>
      <c r="F852" t="s">
        <v>440</v>
      </c>
      <c r="G852" t="s">
        <v>3223</v>
      </c>
      <c r="H852" s="26">
        <v>20754</v>
      </c>
      <c r="I852" t="s">
        <v>58</v>
      </c>
      <c r="J852" t="s">
        <v>3224</v>
      </c>
      <c r="M852">
        <v>78760</v>
      </c>
      <c r="N852" t="s">
        <v>3037</v>
      </c>
      <c r="O852" t="s">
        <v>61</v>
      </c>
      <c r="P852">
        <v>986144130</v>
      </c>
      <c r="Q852">
        <v>613317251</v>
      </c>
      <c r="R852" t="s">
        <v>3225</v>
      </c>
      <c r="S852" t="s">
        <v>63</v>
      </c>
      <c r="T852" t="s">
        <v>64</v>
      </c>
      <c r="U852" t="s">
        <v>65</v>
      </c>
      <c r="W852" s="26">
        <v>45539</v>
      </c>
      <c r="X852" t="s">
        <v>61</v>
      </c>
      <c r="Y852" t="s">
        <v>237</v>
      </c>
    </row>
    <row r="853" spans="1:25" x14ac:dyDescent="0.25">
      <c r="A853" t="s">
        <v>3226</v>
      </c>
      <c r="B853">
        <v>11</v>
      </c>
      <c r="C853">
        <v>91</v>
      </c>
      <c r="D853">
        <v>9082</v>
      </c>
      <c r="E853" t="s">
        <v>67</v>
      </c>
      <c r="F853" t="s">
        <v>91</v>
      </c>
      <c r="G853" t="s">
        <v>3227</v>
      </c>
      <c r="H853" s="26">
        <v>17235</v>
      </c>
      <c r="I853" t="s">
        <v>58</v>
      </c>
      <c r="J853" t="s">
        <v>3228</v>
      </c>
      <c r="M853">
        <v>91210</v>
      </c>
      <c r="N853" t="s">
        <v>226</v>
      </c>
      <c r="O853" t="s">
        <v>61</v>
      </c>
      <c r="Q853">
        <v>621753839</v>
      </c>
      <c r="R853" t="s">
        <v>3229</v>
      </c>
      <c r="S853" t="s">
        <v>63</v>
      </c>
      <c r="T853" t="s">
        <v>64</v>
      </c>
      <c r="U853" t="s">
        <v>65</v>
      </c>
      <c r="W853" s="26">
        <v>45546</v>
      </c>
      <c r="X853" t="s">
        <v>61</v>
      </c>
      <c r="Y853" t="s">
        <v>237</v>
      </c>
    </row>
    <row r="854" spans="1:25" x14ac:dyDescent="0.25">
      <c r="A854" t="s">
        <v>3230</v>
      </c>
      <c r="B854">
        <v>11</v>
      </c>
      <c r="C854">
        <v>78</v>
      </c>
      <c r="D854">
        <v>9056</v>
      </c>
      <c r="E854" t="s">
        <v>214</v>
      </c>
      <c r="F854" t="s">
        <v>103</v>
      </c>
      <c r="G854" t="s">
        <v>3231</v>
      </c>
      <c r="H854" s="26">
        <v>19734</v>
      </c>
      <c r="I854" t="s">
        <v>58</v>
      </c>
      <c r="J854" t="s">
        <v>3232</v>
      </c>
      <c r="M854">
        <v>78870</v>
      </c>
      <c r="N854" t="s">
        <v>791</v>
      </c>
      <c r="O854" t="s">
        <v>61</v>
      </c>
      <c r="P854">
        <v>134629258</v>
      </c>
      <c r="Q854">
        <v>607762168</v>
      </c>
      <c r="R854" t="s">
        <v>3233</v>
      </c>
      <c r="S854" t="s">
        <v>63</v>
      </c>
      <c r="T854" t="s">
        <v>64</v>
      </c>
      <c r="U854" t="s">
        <v>65</v>
      </c>
      <c r="W854" s="26">
        <v>45527</v>
      </c>
      <c r="X854" t="s">
        <v>61</v>
      </c>
      <c r="Y854" t="s">
        <v>237</v>
      </c>
    </row>
    <row r="855" spans="1:25" x14ac:dyDescent="0.25">
      <c r="A855" t="s">
        <v>3234</v>
      </c>
      <c r="B855">
        <v>11</v>
      </c>
      <c r="C855">
        <v>93</v>
      </c>
      <c r="D855">
        <v>9060</v>
      </c>
      <c r="E855" t="s">
        <v>203</v>
      </c>
      <c r="F855" t="s">
        <v>13</v>
      </c>
      <c r="G855" t="s">
        <v>3235</v>
      </c>
      <c r="H855" s="26">
        <v>19430</v>
      </c>
      <c r="I855" t="s">
        <v>58</v>
      </c>
      <c r="J855" t="s">
        <v>3236</v>
      </c>
      <c r="M855">
        <v>93190</v>
      </c>
      <c r="N855" t="s">
        <v>205</v>
      </c>
      <c r="O855" t="s">
        <v>61</v>
      </c>
      <c r="Q855">
        <v>681427176</v>
      </c>
      <c r="R855" t="s">
        <v>3237</v>
      </c>
      <c r="S855" t="s">
        <v>63</v>
      </c>
      <c r="T855" t="s">
        <v>64</v>
      </c>
      <c r="U855" t="s">
        <v>65</v>
      </c>
      <c r="W855" s="26">
        <v>45556</v>
      </c>
      <c r="X855" t="s">
        <v>61</v>
      </c>
      <c r="Y855" t="s">
        <v>237</v>
      </c>
    </row>
    <row r="856" spans="1:25" x14ac:dyDescent="0.25">
      <c r="A856" t="s">
        <v>3239</v>
      </c>
      <c r="B856">
        <v>11</v>
      </c>
      <c r="C856">
        <v>93</v>
      </c>
      <c r="D856">
        <v>9122</v>
      </c>
      <c r="E856" t="s">
        <v>1030</v>
      </c>
      <c r="F856" t="s">
        <v>85</v>
      </c>
      <c r="G856" t="s">
        <v>3240</v>
      </c>
      <c r="H856" s="26">
        <v>20431</v>
      </c>
      <c r="I856" t="s">
        <v>58</v>
      </c>
      <c r="J856" t="s">
        <v>3241</v>
      </c>
      <c r="M856">
        <v>93260</v>
      </c>
      <c r="N856" t="s">
        <v>1505</v>
      </c>
      <c r="O856" t="s">
        <v>61</v>
      </c>
      <c r="Q856">
        <v>661580053</v>
      </c>
      <c r="R856" t="s">
        <v>3242</v>
      </c>
      <c r="S856" t="s">
        <v>63</v>
      </c>
      <c r="T856" t="s">
        <v>64</v>
      </c>
      <c r="U856" t="s">
        <v>8684</v>
      </c>
      <c r="W856" s="26">
        <v>45530</v>
      </c>
      <c r="X856" t="s">
        <v>61</v>
      </c>
      <c r="Y856" t="s">
        <v>237</v>
      </c>
    </row>
    <row r="857" spans="1:25" x14ac:dyDescent="0.25">
      <c r="A857" t="s">
        <v>10597</v>
      </c>
      <c r="B857">
        <v>11</v>
      </c>
      <c r="C857">
        <v>78</v>
      </c>
      <c r="D857">
        <v>9056</v>
      </c>
      <c r="E857" t="s">
        <v>214</v>
      </c>
      <c r="F857" t="s">
        <v>297</v>
      </c>
      <c r="G857" t="s">
        <v>10598</v>
      </c>
      <c r="H857" s="26">
        <v>25820</v>
      </c>
      <c r="I857" t="s">
        <v>58</v>
      </c>
      <c r="J857" t="s">
        <v>10599</v>
      </c>
      <c r="M857">
        <v>78000</v>
      </c>
      <c r="N857" t="s">
        <v>1334</v>
      </c>
      <c r="O857" t="s">
        <v>61</v>
      </c>
      <c r="Q857">
        <v>695452632</v>
      </c>
      <c r="R857" t="s">
        <v>10600</v>
      </c>
      <c r="S857" t="s">
        <v>63</v>
      </c>
      <c r="T857" t="s">
        <v>64</v>
      </c>
      <c r="U857" t="s">
        <v>65</v>
      </c>
      <c r="W857" s="26">
        <v>45575</v>
      </c>
      <c r="X857" t="s">
        <v>61</v>
      </c>
      <c r="Y857" t="s">
        <v>237</v>
      </c>
    </row>
    <row r="858" spans="1:25" x14ac:dyDescent="0.25">
      <c r="A858" t="s">
        <v>11240</v>
      </c>
      <c r="B858">
        <v>11</v>
      </c>
      <c r="C858">
        <v>94</v>
      </c>
      <c r="D858">
        <v>9024</v>
      </c>
      <c r="E858" t="s">
        <v>4</v>
      </c>
      <c r="F858" t="s">
        <v>85</v>
      </c>
      <c r="G858" t="s">
        <v>11241</v>
      </c>
      <c r="H858" s="26">
        <v>19514</v>
      </c>
      <c r="I858" t="s">
        <v>58</v>
      </c>
      <c r="J858" t="s">
        <v>11242</v>
      </c>
      <c r="M858">
        <v>94440</v>
      </c>
      <c r="N858" t="s">
        <v>11243</v>
      </c>
      <c r="O858" t="s">
        <v>61</v>
      </c>
      <c r="P858">
        <v>145993550</v>
      </c>
      <c r="R858" t="s">
        <v>11244</v>
      </c>
      <c r="S858" t="s">
        <v>63</v>
      </c>
      <c r="T858" t="s">
        <v>64</v>
      </c>
      <c r="U858" t="s">
        <v>65</v>
      </c>
      <c r="W858" s="26">
        <v>45586</v>
      </c>
      <c r="X858" t="s">
        <v>61</v>
      </c>
      <c r="Y858" t="s">
        <v>237</v>
      </c>
    </row>
    <row r="859" spans="1:25" x14ac:dyDescent="0.25">
      <c r="A859" t="s">
        <v>10601</v>
      </c>
      <c r="B859">
        <v>11</v>
      </c>
      <c r="C859">
        <v>77</v>
      </c>
      <c r="D859">
        <v>9021</v>
      </c>
      <c r="E859" t="s">
        <v>229</v>
      </c>
      <c r="F859" t="s">
        <v>3243</v>
      </c>
      <c r="G859" t="s">
        <v>10602</v>
      </c>
      <c r="H859" s="26">
        <v>14501</v>
      </c>
      <c r="I859" t="s">
        <v>58</v>
      </c>
      <c r="J859" t="s">
        <v>10603</v>
      </c>
      <c r="K859" t="s">
        <v>10604</v>
      </c>
      <c r="M859">
        <v>77300</v>
      </c>
      <c r="N859" t="s">
        <v>1022</v>
      </c>
      <c r="O859" t="s">
        <v>61</v>
      </c>
      <c r="Q859">
        <v>607137787</v>
      </c>
      <c r="R859" t="s">
        <v>10605</v>
      </c>
      <c r="S859" t="s">
        <v>63</v>
      </c>
      <c r="T859" t="s">
        <v>64</v>
      </c>
      <c r="U859" t="s">
        <v>65</v>
      </c>
      <c r="W859" s="26">
        <v>45579</v>
      </c>
      <c r="X859" t="s">
        <v>61</v>
      </c>
      <c r="Y859" t="s">
        <v>237</v>
      </c>
    </row>
    <row r="860" spans="1:25" x14ac:dyDescent="0.25">
      <c r="A860" t="s">
        <v>3244</v>
      </c>
      <c r="B860">
        <v>11</v>
      </c>
      <c r="C860">
        <v>94</v>
      </c>
      <c r="D860">
        <v>9031</v>
      </c>
      <c r="E860" t="s">
        <v>7</v>
      </c>
      <c r="F860" t="s">
        <v>255</v>
      </c>
      <c r="G860" t="s">
        <v>2764</v>
      </c>
      <c r="H860" s="26">
        <v>28484</v>
      </c>
      <c r="I860" t="s">
        <v>58</v>
      </c>
      <c r="J860" t="s">
        <v>3245</v>
      </c>
      <c r="M860">
        <v>94700</v>
      </c>
      <c r="N860" t="s">
        <v>163</v>
      </c>
      <c r="O860" t="s">
        <v>61</v>
      </c>
      <c r="Q860">
        <v>612201460</v>
      </c>
      <c r="R860" t="s">
        <v>3246</v>
      </c>
      <c r="S860" t="s">
        <v>63</v>
      </c>
      <c r="T860" t="s">
        <v>64</v>
      </c>
      <c r="U860" t="s">
        <v>65</v>
      </c>
      <c r="W860" s="26">
        <v>45550</v>
      </c>
      <c r="X860" t="s">
        <v>61</v>
      </c>
      <c r="Y860" t="s">
        <v>237</v>
      </c>
    </row>
    <row r="861" spans="1:25" x14ac:dyDescent="0.25">
      <c r="A861" t="s">
        <v>3247</v>
      </c>
      <c r="B861">
        <v>11</v>
      </c>
      <c r="C861">
        <v>78</v>
      </c>
      <c r="D861">
        <v>9101</v>
      </c>
      <c r="E861" t="s">
        <v>1165</v>
      </c>
      <c r="F861" t="s">
        <v>3248</v>
      </c>
      <c r="G861" t="s">
        <v>3249</v>
      </c>
      <c r="H861" s="26">
        <v>37690</v>
      </c>
      <c r="I861" t="s">
        <v>58</v>
      </c>
      <c r="J861" t="s">
        <v>3250</v>
      </c>
      <c r="M861">
        <v>42300</v>
      </c>
      <c r="N861" t="s">
        <v>3251</v>
      </c>
      <c r="O861" t="s">
        <v>61</v>
      </c>
      <c r="Q861">
        <v>605567465</v>
      </c>
      <c r="R861" t="s">
        <v>3252</v>
      </c>
      <c r="S861" t="s">
        <v>63</v>
      </c>
      <c r="T861" t="s">
        <v>64</v>
      </c>
      <c r="U861" t="s">
        <v>486</v>
      </c>
      <c r="W861" s="26">
        <v>45525</v>
      </c>
      <c r="X861" t="s">
        <v>61</v>
      </c>
      <c r="Y861" t="s">
        <v>237</v>
      </c>
    </row>
    <row r="862" spans="1:25" x14ac:dyDescent="0.25">
      <c r="A862" t="s">
        <v>3253</v>
      </c>
      <c r="B862">
        <v>11</v>
      </c>
      <c r="C862">
        <v>77</v>
      </c>
      <c r="D862">
        <v>9049</v>
      </c>
      <c r="E862" t="s">
        <v>902</v>
      </c>
      <c r="F862" t="s">
        <v>13</v>
      </c>
      <c r="G862" t="s">
        <v>3254</v>
      </c>
      <c r="H862" s="26">
        <v>20530</v>
      </c>
      <c r="I862" t="s">
        <v>58</v>
      </c>
      <c r="J862" t="s">
        <v>3255</v>
      </c>
      <c r="M862">
        <v>77510</v>
      </c>
      <c r="N862" t="s">
        <v>3256</v>
      </c>
      <c r="O862" t="s">
        <v>61</v>
      </c>
      <c r="P862">
        <v>164759383</v>
      </c>
      <c r="Q862">
        <v>603560970</v>
      </c>
      <c r="R862" t="s">
        <v>3257</v>
      </c>
      <c r="S862" t="s">
        <v>63</v>
      </c>
      <c r="T862" t="s">
        <v>64</v>
      </c>
      <c r="U862" t="s">
        <v>65</v>
      </c>
      <c r="W862" s="26">
        <v>45524</v>
      </c>
      <c r="X862" t="s">
        <v>61</v>
      </c>
      <c r="Y862" t="s">
        <v>237</v>
      </c>
    </row>
    <row r="863" spans="1:25" x14ac:dyDescent="0.25">
      <c r="A863" t="s">
        <v>3258</v>
      </c>
      <c r="B863">
        <v>11</v>
      </c>
      <c r="C863">
        <v>91</v>
      </c>
      <c r="D863">
        <v>9096</v>
      </c>
      <c r="E863" t="s">
        <v>526</v>
      </c>
      <c r="F863" t="s">
        <v>3259</v>
      </c>
      <c r="G863" t="s">
        <v>974</v>
      </c>
      <c r="H863" s="26">
        <v>29532</v>
      </c>
      <c r="I863" t="s">
        <v>16</v>
      </c>
      <c r="J863" t="s">
        <v>3260</v>
      </c>
      <c r="M863">
        <v>91150</v>
      </c>
      <c r="N863" t="s">
        <v>101</v>
      </c>
      <c r="O863" t="s">
        <v>61</v>
      </c>
      <c r="Q863">
        <v>667521470</v>
      </c>
      <c r="R863" t="s">
        <v>3261</v>
      </c>
      <c r="S863" t="s">
        <v>63</v>
      </c>
      <c r="T863" t="s">
        <v>64</v>
      </c>
      <c r="U863" t="s">
        <v>486</v>
      </c>
      <c r="W863" s="26">
        <v>45542</v>
      </c>
      <c r="X863" t="s">
        <v>61</v>
      </c>
      <c r="Y863" t="s">
        <v>237</v>
      </c>
    </row>
    <row r="864" spans="1:25" x14ac:dyDescent="0.25">
      <c r="A864" t="s">
        <v>3262</v>
      </c>
      <c r="B864">
        <v>11</v>
      </c>
      <c r="C864">
        <v>95</v>
      </c>
      <c r="D864">
        <v>9069</v>
      </c>
      <c r="E864" t="s">
        <v>129</v>
      </c>
      <c r="F864" t="s">
        <v>886</v>
      </c>
      <c r="G864" t="s">
        <v>3263</v>
      </c>
      <c r="H864" s="26">
        <v>21077</v>
      </c>
      <c r="I864" t="s">
        <v>58</v>
      </c>
      <c r="J864" t="s">
        <v>3264</v>
      </c>
      <c r="M864">
        <v>95150</v>
      </c>
      <c r="N864" t="s">
        <v>82</v>
      </c>
      <c r="O864" t="s">
        <v>61</v>
      </c>
      <c r="P864">
        <v>130409007</v>
      </c>
      <c r="Q864">
        <v>695237059</v>
      </c>
      <c r="R864" t="s">
        <v>3265</v>
      </c>
      <c r="S864" t="s">
        <v>63</v>
      </c>
      <c r="T864" t="s">
        <v>64</v>
      </c>
      <c r="U864" t="s">
        <v>65</v>
      </c>
      <c r="W864" s="26">
        <v>45531</v>
      </c>
      <c r="X864" t="s">
        <v>61</v>
      </c>
      <c r="Y864" t="s">
        <v>237</v>
      </c>
    </row>
    <row r="865" spans="1:25" x14ac:dyDescent="0.25">
      <c r="A865" t="s">
        <v>3266</v>
      </c>
      <c r="B865">
        <v>11</v>
      </c>
      <c r="C865">
        <v>77</v>
      </c>
      <c r="D865">
        <v>9077</v>
      </c>
      <c r="E865" t="s">
        <v>90</v>
      </c>
      <c r="F865" t="s">
        <v>927</v>
      </c>
      <c r="G865" t="s">
        <v>3267</v>
      </c>
      <c r="H865" s="26">
        <v>20256</v>
      </c>
      <c r="I865" t="s">
        <v>58</v>
      </c>
      <c r="J865" t="s">
        <v>3268</v>
      </c>
      <c r="M865">
        <v>77120</v>
      </c>
      <c r="N865" t="s">
        <v>803</v>
      </c>
      <c r="O865" t="s">
        <v>61</v>
      </c>
      <c r="Q865">
        <v>645889605</v>
      </c>
      <c r="R865" t="s">
        <v>3269</v>
      </c>
      <c r="S865" t="s">
        <v>63</v>
      </c>
      <c r="T865" t="s">
        <v>64</v>
      </c>
      <c r="U865" t="s">
        <v>65</v>
      </c>
      <c r="W865" s="26">
        <v>45547</v>
      </c>
      <c r="X865" t="s">
        <v>61</v>
      </c>
      <c r="Y865" t="s">
        <v>237</v>
      </c>
    </row>
    <row r="866" spans="1:25" x14ac:dyDescent="0.25">
      <c r="A866" t="s">
        <v>8964</v>
      </c>
      <c r="B866">
        <v>11</v>
      </c>
      <c r="C866">
        <v>94</v>
      </c>
      <c r="D866">
        <v>9031</v>
      </c>
      <c r="E866" t="s">
        <v>7</v>
      </c>
      <c r="F866" t="s">
        <v>8965</v>
      </c>
      <c r="G866" t="s">
        <v>8966</v>
      </c>
      <c r="H866" s="26">
        <v>37973</v>
      </c>
      <c r="I866" t="s">
        <v>58</v>
      </c>
      <c r="J866" t="s">
        <v>8967</v>
      </c>
      <c r="M866">
        <v>94200</v>
      </c>
      <c r="N866" t="s">
        <v>899</v>
      </c>
      <c r="O866" t="s">
        <v>61</v>
      </c>
      <c r="P866">
        <v>248540937</v>
      </c>
      <c r="Q866">
        <v>684496566</v>
      </c>
      <c r="R866" t="s">
        <v>8968</v>
      </c>
      <c r="S866" t="s">
        <v>63</v>
      </c>
      <c r="T866" t="s">
        <v>2510</v>
      </c>
      <c r="U866" t="s">
        <v>65</v>
      </c>
      <c r="W866" s="26">
        <v>45550</v>
      </c>
      <c r="X866" t="s">
        <v>61</v>
      </c>
      <c r="Y866" t="s">
        <v>237</v>
      </c>
    </row>
    <row r="867" spans="1:25" x14ac:dyDescent="0.25">
      <c r="A867" t="s">
        <v>10112</v>
      </c>
      <c r="B867">
        <v>11</v>
      </c>
      <c r="C867">
        <v>78</v>
      </c>
      <c r="D867">
        <v>9030</v>
      </c>
      <c r="E867" t="s">
        <v>96</v>
      </c>
      <c r="F867" t="s">
        <v>68</v>
      </c>
      <c r="G867" t="s">
        <v>10113</v>
      </c>
      <c r="H867" s="26">
        <v>17373</v>
      </c>
      <c r="I867" t="s">
        <v>58</v>
      </c>
      <c r="J867" t="s">
        <v>10114</v>
      </c>
      <c r="M867">
        <v>78210</v>
      </c>
      <c r="N867" t="s">
        <v>10115</v>
      </c>
      <c r="O867" t="s">
        <v>61</v>
      </c>
      <c r="P867">
        <v>130583235</v>
      </c>
      <c r="Q867">
        <v>680148102</v>
      </c>
      <c r="R867" t="s">
        <v>10116</v>
      </c>
      <c r="S867" t="s">
        <v>63</v>
      </c>
      <c r="T867" t="s">
        <v>64</v>
      </c>
      <c r="U867" t="s">
        <v>65</v>
      </c>
      <c r="W867" s="26">
        <v>45569</v>
      </c>
      <c r="X867" t="s">
        <v>61</v>
      </c>
      <c r="Y867" t="s">
        <v>237</v>
      </c>
    </row>
    <row r="868" spans="1:25" x14ac:dyDescent="0.25">
      <c r="A868" t="s">
        <v>3270</v>
      </c>
      <c r="B868">
        <v>11</v>
      </c>
      <c r="C868">
        <v>91</v>
      </c>
      <c r="D868">
        <v>9025</v>
      </c>
      <c r="E868" t="s">
        <v>188</v>
      </c>
      <c r="F868" t="s">
        <v>3271</v>
      </c>
      <c r="G868" t="s">
        <v>3272</v>
      </c>
      <c r="H868" s="26">
        <v>40573</v>
      </c>
      <c r="I868" t="s">
        <v>58</v>
      </c>
      <c r="J868" t="s">
        <v>3273</v>
      </c>
      <c r="M868">
        <v>77176</v>
      </c>
      <c r="N868" t="s">
        <v>1869</v>
      </c>
      <c r="O868" t="s">
        <v>61</v>
      </c>
      <c r="Q868">
        <v>674704850</v>
      </c>
      <c r="R868" t="s">
        <v>3274</v>
      </c>
      <c r="S868" t="s">
        <v>63</v>
      </c>
      <c r="T868" t="s">
        <v>2510</v>
      </c>
      <c r="U868" t="s">
        <v>65</v>
      </c>
      <c r="W868" s="26">
        <v>45560</v>
      </c>
      <c r="X868" t="s">
        <v>61</v>
      </c>
      <c r="Y868" t="s">
        <v>237</v>
      </c>
    </row>
    <row r="869" spans="1:25" x14ac:dyDescent="0.25">
      <c r="A869" t="s">
        <v>3275</v>
      </c>
      <c r="B869">
        <v>11</v>
      </c>
      <c r="C869">
        <v>94</v>
      </c>
      <c r="D869">
        <v>9024</v>
      </c>
      <c r="E869" t="s">
        <v>4</v>
      </c>
      <c r="F869" t="s">
        <v>2054</v>
      </c>
      <c r="G869" t="s">
        <v>3276</v>
      </c>
      <c r="H869" s="26">
        <v>37198</v>
      </c>
      <c r="I869" t="s">
        <v>58</v>
      </c>
      <c r="J869" t="s">
        <v>8969</v>
      </c>
      <c r="M869">
        <v>94100</v>
      </c>
      <c r="N869" t="s">
        <v>971</v>
      </c>
      <c r="O869" t="s">
        <v>61</v>
      </c>
      <c r="P869">
        <v>148850693</v>
      </c>
      <c r="Q869">
        <v>625875889</v>
      </c>
      <c r="R869" t="s">
        <v>3277</v>
      </c>
      <c r="S869" t="s">
        <v>63</v>
      </c>
      <c r="T869" t="s">
        <v>64</v>
      </c>
      <c r="U869" t="s">
        <v>8684</v>
      </c>
      <c r="W869" s="26">
        <v>45539</v>
      </c>
      <c r="X869" t="s">
        <v>61</v>
      </c>
      <c r="Y869" t="s">
        <v>237</v>
      </c>
    </row>
    <row r="870" spans="1:25" x14ac:dyDescent="0.25">
      <c r="A870" t="s">
        <v>10606</v>
      </c>
      <c r="B870">
        <v>11</v>
      </c>
      <c r="C870">
        <v>94</v>
      </c>
      <c r="D870">
        <v>9024</v>
      </c>
      <c r="E870" t="s">
        <v>4</v>
      </c>
      <c r="F870" t="s">
        <v>10607</v>
      </c>
      <c r="G870" t="s">
        <v>10608</v>
      </c>
      <c r="H870" s="26">
        <v>19892</v>
      </c>
      <c r="I870" t="s">
        <v>58</v>
      </c>
      <c r="J870" t="s">
        <v>10609</v>
      </c>
      <c r="M870">
        <v>75020</v>
      </c>
      <c r="N870" t="s">
        <v>330</v>
      </c>
      <c r="O870" t="s">
        <v>61</v>
      </c>
      <c r="P870">
        <v>143795794</v>
      </c>
      <c r="Q870">
        <v>652795730</v>
      </c>
      <c r="R870" t="s">
        <v>10610</v>
      </c>
      <c r="S870" t="s">
        <v>63</v>
      </c>
      <c r="T870" t="s">
        <v>64</v>
      </c>
      <c r="U870" t="s">
        <v>65</v>
      </c>
      <c r="W870" s="26">
        <v>45575</v>
      </c>
      <c r="X870" t="s">
        <v>61</v>
      </c>
      <c r="Y870" t="s">
        <v>237</v>
      </c>
    </row>
    <row r="871" spans="1:25" x14ac:dyDescent="0.25">
      <c r="A871" t="s">
        <v>3278</v>
      </c>
      <c r="B871">
        <v>11</v>
      </c>
      <c r="C871">
        <v>77</v>
      </c>
      <c r="D871">
        <v>9055</v>
      </c>
      <c r="E871" t="s">
        <v>341</v>
      </c>
      <c r="F871" t="s">
        <v>183</v>
      </c>
      <c r="G871" t="s">
        <v>3279</v>
      </c>
      <c r="H871" s="26">
        <v>21235</v>
      </c>
      <c r="I871" t="s">
        <v>58</v>
      </c>
      <c r="J871" t="s">
        <v>3280</v>
      </c>
      <c r="M871">
        <v>77310</v>
      </c>
      <c r="N871" t="s">
        <v>348</v>
      </c>
      <c r="O871" t="s">
        <v>61</v>
      </c>
      <c r="Q871">
        <v>623386761</v>
      </c>
      <c r="R871" t="s">
        <v>3281</v>
      </c>
      <c r="S871" t="s">
        <v>63</v>
      </c>
      <c r="T871" t="s">
        <v>64</v>
      </c>
      <c r="U871" t="s">
        <v>65</v>
      </c>
      <c r="W871" s="26">
        <v>45539</v>
      </c>
      <c r="X871" t="s">
        <v>61</v>
      </c>
      <c r="Y871" t="s">
        <v>237</v>
      </c>
    </row>
    <row r="872" spans="1:25" x14ac:dyDescent="0.25">
      <c r="A872" t="s">
        <v>3282</v>
      </c>
      <c r="B872">
        <v>11</v>
      </c>
      <c r="C872">
        <v>95</v>
      </c>
      <c r="D872">
        <v>9010</v>
      </c>
      <c r="E872" t="s">
        <v>6</v>
      </c>
      <c r="F872" t="s">
        <v>13</v>
      </c>
      <c r="G872" t="s">
        <v>3283</v>
      </c>
      <c r="H872" s="26">
        <v>18335</v>
      </c>
      <c r="I872" t="s">
        <v>58</v>
      </c>
      <c r="J872" t="s">
        <v>3284</v>
      </c>
      <c r="M872">
        <v>95160</v>
      </c>
      <c r="N872" t="s">
        <v>639</v>
      </c>
      <c r="O872" t="s">
        <v>61</v>
      </c>
      <c r="R872" t="s">
        <v>3285</v>
      </c>
      <c r="S872" t="s">
        <v>63</v>
      </c>
      <c r="T872" t="s">
        <v>64</v>
      </c>
      <c r="U872" t="s">
        <v>65</v>
      </c>
      <c r="W872" s="26">
        <v>45555</v>
      </c>
      <c r="X872" t="s">
        <v>61</v>
      </c>
      <c r="Y872" t="s">
        <v>237</v>
      </c>
    </row>
    <row r="873" spans="1:25" x14ac:dyDescent="0.25">
      <c r="A873" t="s">
        <v>3286</v>
      </c>
      <c r="B873">
        <v>11</v>
      </c>
      <c r="C873">
        <v>78</v>
      </c>
      <c r="D873">
        <v>9030</v>
      </c>
      <c r="E873" t="s">
        <v>96</v>
      </c>
      <c r="F873" t="s">
        <v>887</v>
      </c>
      <c r="G873" t="s">
        <v>3287</v>
      </c>
      <c r="H873" s="26">
        <v>23406</v>
      </c>
      <c r="I873" t="s">
        <v>58</v>
      </c>
      <c r="J873" t="s">
        <v>3288</v>
      </c>
      <c r="M873">
        <v>78390</v>
      </c>
      <c r="N873" t="s">
        <v>2643</v>
      </c>
      <c r="O873" t="s">
        <v>61</v>
      </c>
      <c r="Q873">
        <v>622257623</v>
      </c>
      <c r="R873" t="s">
        <v>3289</v>
      </c>
      <c r="S873" t="s">
        <v>63</v>
      </c>
      <c r="T873" t="s">
        <v>64</v>
      </c>
      <c r="U873" t="s">
        <v>65</v>
      </c>
      <c r="W873" s="26">
        <v>45545</v>
      </c>
      <c r="X873" t="s">
        <v>61</v>
      </c>
      <c r="Y873" t="s">
        <v>237</v>
      </c>
    </row>
    <row r="874" spans="1:25" x14ac:dyDescent="0.25">
      <c r="A874" t="s">
        <v>3290</v>
      </c>
      <c r="B874">
        <v>11</v>
      </c>
      <c r="C874">
        <v>78</v>
      </c>
      <c r="D874">
        <v>9030</v>
      </c>
      <c r="E874" t="s">
        <v>96</v>
      </c>
      <c r="F874" t="s">
        <v>3291</v>
      </c>
      <c r="G874" t="s">
        <v>3292</v>
      </c>
      <c r="H874" s="26">
        <v>20406</v>
      </c>
      <c r="I874" t="s">
        <v>16</v>
      </c>
      <c r="J874" t="s">
        <v>3293</v>
      </c>
      <c r="M874">
        <v>78460</v>
      </c>
      <c r="N874" t="s">
        <v>1744</v>
      </c>
      <c r="O874" t="s">
        <v>61</v>
      </c>
      <c r="Q874">
        <v>683501799</v>
      </c>
      <c r="R874" t="s">
        <v>3294</v>
      </c>
      <c r="S874" t="s">
        <v>63</v>
      </c>
      <c r="T874" t="s">
        <v>64</v>
      </c>
      <c r="U874" t="s">
        <v>486</v>
      </c>
      <c r="W874" s="26">
        <v>45552</v>
      </c>
      <c r="X874" t="s">
        <v>61</v>
      </c>
      <c r="Y874" t="s">
        <v>237</v>
      </c>
    </row>
    <row r="875" spans="1:25" x14ac:dyDescent="0.25">
      <c r="A875" t="s">
        <v>3295</v>
      </c>
      <c r="B875">
        <v>11</v>
      </c>
      <c r="C875">
        <v>78</v>
      </c>
      <c r="D875">
        <v>9030</v>
      </c>
      <c r="E875" t="s">
        <v>96</v>
      </c>
      <c r="F875" t="s">
        <v>106</v>
      </c>
      <c r="G875" t="s">
        <v>3292</v>
      </c>
      <c r="H875" s="26">
        <v>20756</v>
      </c>
      <c r="I875" t="s">
        <v>58</v>
      </c>
      <c r="J875" t="s">
        <v>3293</v>
      </c>
      <c r="M875">
        <v>78460</v>
      </c>
      <c r="N875" t="s">
        <v>1744</v>
      </c>
      <c r="O875" t="s">
        <v>61</v>
      </c>
      <c r="Q875">
        <v>675634468</v>
      </c>
      <c r="R875" t="s">
        <v>3296</v>
      </c>
      <c r="S875" t="s">
        <v>63</v>
      </c>
      <c r="T875" t="s">
        <v>64</v>
      </c>
      <c r="U875" t="s">
        <v>65</v>
      </c>
      <c r="W875" s="26">
        <v>45552</v>
      </c>
      <c r="X875" t="s">
        <v>61</v>
      </c>
      <c r="Y875" t="s">
        <v>237</v>
      </c>
    </row>
    <row r="876" spans="1:25" x14ac:dyDescent="0.25">
      <c r="A876" t="s">
        <v>3297</v>
      </c>
      <c r="B876">
        <v>11</v>
      </c>
      <c r="C876">
        <v>92</v>
      </c>
      <c r="D876">
        <v>9017</v>
      </c>
      <c r="E876" t="s">
        <v>211</v>
      </c>
      <c r="F876" t="s">
        <v>480</v>
      </c>
      <c r="G876" t="s">
        <v>3298</v>
      </c>
      <c r="H876" s="26">
        <v>25899</v>
      </c>
      <c r="I876" t="s">
        <v>58</v>
      </c>
      <c r="J876" t="s">
        <v>3299</v>
      </c>
      <c r="M876">
        <v>75011</v>
      </c>
      <c r="N876" t="s">
        <v>330</v>
      </c>
      <c r="O876" t="s">
        <v>61</v>
      </c>
      <c r="P876">
        <v>662752003</v>
      </c>
      <c r="R876" t="s">
        <v>3300</v>
      </c>
      <c r="S876" t="s">
        <v>63</v>
      </c>
      <c r="T876" t="s">
        <v>64</v>
      </c>
      <c r="U876" t="s">
        <v>65</v>
      </c>
      <c r="W876" s="26">
        <v>45546</v>
      </c>
      <c r="X876" t="s">
        <v>61</v>
      </c>
      <c r="Y876" t="s">
        <v>237</v>
      </c>
    </row>
    <row r="877" spans="1:25" x14ac:dyDescent="0.25">
      <c r="A877" t="s">
        <v>3301</v>
      </c>
      <c r="B877">
        <v>11</v>
      </c>
      <c r="C877">
        <v>92</v>
      </c>
      <c r="D877">
        <v>9088</v>
      </c>
      <c r="E877" t="s">
        <v>1</v>
      </c>
      <c r="F877" t="s">
        <v>106</v>
      </c>
      <c r="G877" t="s">
        <v>3302</v>
      </c>
      <c r="H877" s="26">
        <v>16664</v>
      </c>
      <c r="I877" t="s">
        <v>58</v>
      </c>
      <c r="J877" t="s">
        <v>3303</v>
      </c>
      <c r="M877">
        <v>75016</v>
      </c>
      <c r="N877" t="s">
        <v>330</v>
      </c>
      <c r="O877" t="s">
        <v>61</v>
      </c>
      <c r="Q877">
        <v>668260050</v>
      </c>
      <c r="S877" t="s">
        <v>63</v>
      </c>
      <c r="T877" t="s">
        <v>64</v>
      </c>
      <c r="U877" t="s">
        <v>65</v>
      </c>
      <c r="W877" s="26">
        <v>45558</v>
      </c>
      <c r="X877" t="s">
        <v>61</v>
      </c>
      <c r="Y877" t="s">
        <v>237</v>
      </c>
    </row>
    <row r="878" spans="1:25" x14ac:dyDescent="0.25">
      <c r="A878" t="s">
        <v>3304</v>
      </c>
      <c r="B878">
        <v>11</v>
      </c>
      <c r="C878">
        <v>91</v>
      </c>
      <c r="D878">
        <v>9082</v>
      </c>
      <c r="E878" t="s">
        <v>67</v>
      </c>
      <c r="F878" t="s">
        <v>154</v>
      </c>
      <c r="G878" t="s">
        <v>3305</v>
      </c>
      <c r="H878" s="26">
        <v>18947</v>
      </c>
      <c r="I878" t="s">
        <v>58</v>
      </c>
      <c r="J878" t="s">
        <v>3306</v>
      </c>
      <c r="M878">
        <v>91210</v>
      </c>
      <c r="N878" t="s">
        <v>226</v>
      </c>
      <c r="O878" t="s">
        <v>61</v>
      </c>
      <c r="Q878">
        <v>676857016</v>
      </c>
      <c r="R878" t="s">
        <v>3307</v>
      </c>
      <c r="S878" t="s">
        <v>63</v>
      </c>
      <c r="T878" t="s">
        <v>64</v>
      </c>
      <c r="U878" t="s">
        <v>65</v>
      </c>
      <c r="W878" s="26">
        <v>45555</v>
      </c>
      <c r="X878" t="s">
        <v>61</v>
      </c>
      <c r="Y878" t="s">
        <v>237</v>
      </c>
    </row>
    <row r="879" spans="1:25" x14ac:dyDescent="0.25">
      <c r="A879" t="s">
        <v>3308</v>
      </c>
      <c r="B879">
        <v>11</v>
      </c>
      <c r="C879">
        <v>78</v>
      </c>
      <c r="D879">
        <v>9084</v>
      </c>
      <c r="E879" t="s">
        <v>216</v>
      </c>
      <c r="F879" t="s">
        <v>267</v>
      </c>
      <c r="G879" t="s">
        <v>3309</v>
      </c>
      <c r="H879" s="26">
        <v>20713</v>
      </c>
      <c r="I879" t="s">
        <v>58</v>
      </c>
      <c r="J879" t="s">
        <v>3310</v>
      </c>
      <c r="M879">
        <v>78480</v>
      </c>
      <c r="N879" t="s">
        <v>548</v>
      </c>
      <c r="O879" t="s">
        <v>61</v>
      </c>
      <c r="Q879">
        <v>762299858</v>
      </c>
      <c r="R879" t="s">
        <v>3311</v>
      </c>
      <c r="S879" t="s">
        <v>63</v>
      </c>
      <c r="T879" t="s">
        <v>64</v>
      </c>
      <c r="U879" t="s">
        <v>65</v>
      </c>
      <c r="W879" s="26">
        <v>45551</v>
      </c>
      <c r="X879" t="s">
        <v>61</v>
      </c>
      <c r="Y879" t="s">
        <v>237</v>
      </c>
    </row>
    <row r="880" spans="1:25" x14ac:dyDescent="0.25">
      <c r="A880" t="s">
        <v>10611</v>
      </c>
      <c r="B880">
        <v>11</v>
      </c>
      <c r="C880">
        <v>95</v>
      </c>
      <c r="D880">
        <v>9010</v>
      </c>
      <c r="E880" t="s">
        <v>6</v>
      </c>
      <c r="F880" t="s">
        <v>3312</v>
      </c>
      <c r="G880" t="s">
        <v>10612</v>
      </c>
      <c r="H880" s="26">
        <v>28273</v>
      </c>
      <c r="I880" t="s">
        <v>58</v>
      </c>
      <c r="J880" t="s">
        <v>10613</v>
      </c>
      <c r="M880">
        <v>92350</v>
      </c>
      <c r="N880" t="s">
        <v>1394</v>
      </c>
      <c r="O880" t="s">
        <v>61</v>
      </c>
      <c r="R880" t="s">
        <v>10614</v>
      </c>
      <c r="S880" t="s">
        <v>63</v>
      </c>
      <c r="T880" t="s">
        <v>64</v>
      </c>
      <c r="U880" t="s">
        <v>8684</v>
      </c>
      <c r="W880" s="26">
        <v>45574</v>
      </c>
      <c r="X880" t="s">
        <v>61</v>
      </c>
      <c r="Y880" t="s">
        <v>237</v>
      </c>
    </row>
    <row r="881" spans="1:25" x14ac:dyDescent="0.25">
      <c r="A881" t="s">
        <v>9892</v>
      </c>
      <c r="B881">
        <v>11</v>
      </c>
      <c r="C881">
        <v>78</v>
      </c>
      <c r="D881">
        <v>9016</v>
      </c>
      <c r="E881" t="s">
        <v>362</v>
      </c>
      <c r="F881" t="s">
        <v>3314</v>
      </c>
      <c r="G881" t="s">
        <v>9893</v>
      </c>
      <c r="H881" s="26">
        <v>20306</v>
      </c>
      <c r="I881" t="s">
        <v>58</v>
      </c>
      <c r="J881" t="s">
        <v>9894</v>
      </c>
      <c r="M881">
        <v>78680</v>
      </c>
      <c r="N881" t="s">
        <v>9895</v>
      </c>
      <c r="O881" t="s">
        <v>61</v>
      </c>
      <c r="Q881">
        <v>615930856</v>
      </c>
      <c r="S881" t="s">
        <v>63</v>
      </c>
      <c r="T881" t="s">
        <v>64</v>
      </c>
      <c r="U881" t="s">
        <v>65</v>
      </c>
      <c r="W881" s="26">
        <v>45572</v>
      </c>
      <c r="X881" t="s">
        <v>61</v>
      </c>
      <c r="Y881" t="s">
        <v>237</v>
      </c>
    </row>
    <row r="882" spans="1:25" x14ac:dyDescent="0.25">
      <c r="A882" t="s">
        <v>9968</v>
      </c>
      <c r="B882">
        <v>11</v>
      </c>
      <c r="C882">
        <v>77</v>
      </c>
      <c r="D882">
        <v>9105</v>
      </c>
      <c r="E882" t="s">
        <v>124</v>
      </c>
      <c r="F882" t="s">
        <v>143</v>
      </c>
      <c r="G882" t="s">
        <v>9969</v>
      </c>
      <c r="H882" s="26">
        <v>20019</v>
      </c>
      <c r="I882" t="s">
        <v>58</v>
      </c>
      <c r="J882" t="s">
        <v>9970</v>
      </c>
      <c r="M882">
        <v>77000</v>
      </c>
      <c r="N882" t="s">
        <v>190</v>
      </c>
      <c r="O882" t="s">
        <v>61</v>
      </c>
      <c r="Q882">
        <v>670065537</v>
      </c>
      <c r="R882" t="s">
        <v>9971</v>
      </c>
      <c r="S882" t="s">
        <v>63</v>
      </c>
      <c r="T882" t="s">
        <v>64</v>
      </c>
      <c r="U882" t="s">
        <v>65</v>
      </c>
      <c r="W882" s="26">
        <v>45568</v>
      </c>
      <c r="X882" t="s">
        <v>61</v>
      </c>
      <c r="Y882" t="s">
        <v>237</v>
      </c>
    </row>
    <row r="883" spans="1:25" x14ac:dyDescent="0.25">
      <c r="A883" t="s">
        <v>3315</v>
      </c>
      <c r="B883">
        <v>11</v>
      </c>
      <c r="C883">
        <v>95</v>
      </c>
      <c r="D883">
        <v>9061</v>
      </c>
      <c r="E883" t="s">
        <v>360</v>
      </c>
      <c r="F883" t="s">
        <v>212</v>
      </c>
      <c r="G883" t="s">
        <v>3316</v>
      </c>
      <c r="H883" s="26">
        <v>19944</v>
      </c>
      <c r="I883" t="s">
        <v>58</v>
      </c>
      <c r="J883" t="s">
        <v>3317</v>
      </c>
      <c r="M883">
        <v>95520</v>
      </c>
      <c r="N883" t="s">
        <v>290</v>
      </c>
      <c r="O883" t="s">
        <v>61</v>
      </c>
      <c r="Q883">
        <v>689145304</v>
      </c>
      <c r="R883" t="s">
        <v>8970</v>
      </c>
      <c r="S883" t="s">
        <v>63</v>
      </c>
      <c r="T883" t="s">
        <v>64</v>
      </c>
      <c r="U883" t="s">
        <v>65</v>
      </c>
      <c r="W883" s="26">
        <v>45548</v>
      </c>
      <c r="X883" t="s">
        <v>61</v>
      </c>
      <c r="Y883" t="s">
        <v>237</v>
      </c>
    </row>
    <row r="884" spans="1:25" x14ac:dyDescent="0.25">
      <c r="A884" t="s">
        <v>3318</v>
      </c>
      <c r="B884">
        <v>11</v>
      </c>
      <c r="C884">
        <v>91</v>
      </c>
      <c r="D884">
        <v>9025</v>
      </c>
      <c r="E884" t="s">
        <v>188</v>
      </c>
      <c r="F884" t="s">
        <v>520</v>
      </c>
      <c r="G884" t="s">
        <v>613</v>
      </c>
      <c r="H884" s="26">
        <v>24932</v>
      </c>
      <c r="I884" t="s">
        <v>58</v>
      </c>
      <c r="J884" t="s">
        <v>3319</v>
      </c>
      <c r="K884" t="s">
        <v>3320</v>
      </c>
      <c r="M884">
        <v>91100</v>
      </c>
      <c r="N884" t="s">
        <v>1427</v>
      </c>
      <c r="O884" t="s">
        <v>61</v>
      </c>
      <c r="P884">
        <v>981324591</v>
      </c>
      <c r="Q884">
        <v>618349397</v>
      </c>
      <c r="R884" t="s">
        <v>3321</v>
      </c>
      <c r="S884" t="s">
        <v>63</v>
      </c>
      <c r="T884" t="s">
        <v>64</v>
      </c>
      <c r="U884" t="s">
        <v>486</v>
      </c>
      <c r="W884" s="26">
        <v>45526</v>
      </c>
      <c r="X884" t="s">
        <v>61</v>
      </c>
      <c r="Y884" t="s">
        <v>237</v>
      </c>
    </row>
    <row r="885" spans="1:25" x14ac:dyDescent="0.25">
      <c r="A885" t="s">
        <v>3322</v>
      </c>
      <c r="B885">
        <v>11</v>
      </c>
      <c r="C885">
        <v>91</v>
      </c>
      <c r="D885">
        <v>9082</v>
      </c>
      <c r="E885" t="s">
        <v>67</v>
      </c>
      <c r="F885" t="s">
        <v>551</v>
      </c>
      <c r="G885" t="s">
        <v>3323</v>
      </c>
      <c r="H885" s="26">
        <v>24117</v>
      </c>
      <c r="I885" t="s">
        <v>58</v>
      </c>
      <c r="J885" t="s">
        <v>3324</v>
      </c>
      <c r="M885">
        <v>91210</v>
      </c>
      <c r="N885" t="s">
        <v>226</v>
      </c>
      <c r="O885" t="s">
        <v>61</v>
      </c>
      <c r="Q885">
        <v>688943747</v>
      </c>
      <c r="R885" t="s">
        <v>3325</v>
      </c>
      <c r="S885" t="s">
        <v>63</v>
      </c>
      <c r="T885" t="s">
        <v>64</v>
      </c>
      <c r="U885" t="s">
        <v>486</v>
      </c>
      <c r="W885" s="26">
        <v>45555</v>
      </c>
      <c r="X885" t="s">
        <v>61</v>
      </c>
      <c r="Y885" t="s">
        <v>237</v>
      </c>
    </row>
    <row r="886" spans="1:25" x14ac:dyDescent="0.25">
      <c r="A886" t="s">
        <v>3326</v>
      </c>
      <c r="B886">
        <v>11</v>
      </c>
      <c r="C886">
        <v>91</v>
      </c>
      <c r="D886">
        <v>9009</v>
      </c>
      <c r="E886" t="s">
        <v>159</v>
      </c>
      <c r="F886" t="s">
        <v>3327</v>
      </c>
      <c r="G886" t="s">
        <v>3328</v>
      </c>
      <c r="H886" s="26">
        <v>21772</v>
      </c>
      <c r="I886" t="s">
        <v>58</v>
      </c>
      <c r="J886" t="s">
        <v>3329</v>
      </c>
      <c r="M886">
        <v>91420</v>
      </c>
      <c r="N886" t="s">
        <v>1675</v>
      </c>
      <c r="O886" t="s">
        <v>61</v>
      </c>
      <c r="Q886">
        <v>689947247</v>
      </c>
      <c r="R886" t="s">
        <v>3330</v>
      </c>
      <c r="S886" t="s">
        <v>237</v>
      </c>
      <c r="T886" t="s">
        <v>64</v>
      </c>
      <c r="U886" t="s">
        <v>65</v>
      </c>
      <c r="W886" s="26">
        <v>45558</v>
      </c>
      <c r="X886" t="s">
        <v>61</v>
      </c>
      <c r="Y886" t="s">
        <v>237</v>
      </c>
    </row>
    <row r="887" spans="1:25" x14ac:dyDescent="0.25">
      <c r="A887" t="s">
        <v>3331</v>
      </c>
      <c r="B887">
        <v>11</v>
      </c>
      <c r="C887">
        <v>94</v>
      </c>
      <c r="D887">
        <v>9031</v>
      </c>
      <c r="E887" t="s">
        <v>7</v>
      </c>
      <c r="F887" t="s">
        <v>115</v>
      </c>
      <c r="G887" t="s">
        <v>3332</v>
      </c>
      <c r="H887" s="26">
        <v>18904</v>
      </c>
      <c r="I887" t="s">
        <v>58</v>
      </c>
      <c r="J887" t="s">
        <v>3333</v>
      </c>
      <c r="M887">
        <v>94210</v>
      </c>
      <c r="N887" t="s">
        <v>1323</v>
      </c>
      <c r="O887" t="s">
        <v>61</v>
      </c>
      <c r="Q887">
        <v>608807575</v>
      </c>
      <c r="R887" t="s">
        <v>3334</v>
      </c>
      <c r="S887" t="s">
        <v>63</v>
      </c>
      <c r="T887" t="s">
        <v>64</v>
      </c>
      <c r="U887" t="s">
        <v>65</v>
      </c>
      <c r="W887" s="26">
        <v>45550</v>
      </c>
      <c r="X887" t="s">
        <v>61</v>
      </c>
      <c r="Y887" t="s">
        <v>237</v>
      </c>
    </row>
    <row r="888" spans="1:25" x14ac:dyDescent="0.25">
      <c r="A888" t="s">
        <v>3335</v>
      </c>
      <c r="B888">
        <v>11</v>
      </c>
      <c r="C888">
        <v>94</v>
      </c>
      <c r="D888">
        <v>9024</v>
      </c>
      <c r="E888" t="s">
        <v>4</v>
      </c>
      <c r="F888" t="s">
        <v>3336</v>
      </c>
      <c r="G888" t="s">
        <v>3337</v>
      </c>
      <c r="H888" s="26">
        <v>25800</v>
      </c>
      <c r="I888" t="s">
        <v>58</v>
      </c>
      <c r="J888" t="s">
        <v>3338</v>
      </c>
      <c r="M888">
        <v>94140</v>
      </c>
      <c r="N888" t="s">
        <v>959</v>
      </c>
      <c r="O888" t="s">
        <v>61</v>
      </c>
      <c r="R888" t="s">
        <v>3339</v>
      </c>
      <c r="S888" t="s">
        <v>63</v>
      </c>
      <c r="T888" t="s">
        <v>64</v>
      </c>
      <c r="U888" t="s">
        <v>8684</v>
      </c>
      <c r="W888" s="26">
        <v>45530</v>
      </c>
      <c r="X888" t="s">
        <v>3340</v>
      </c>
      <c r="Y888" t="s">
        <v>237</v>
      </c>
    </row>
    <row r="889" spans="1:25" x14ac:dyDescent="0.25">
      <c r="A889" t="s">
        <v>3341</v>
      </c>
      <c r="B889">
        <v>11</v>
      </c>
      <c r="C889">
        <v>92</v>
      </c>
      <c r="D889">
        <v>9032</v>
      </c>
      <c r="E889" t="s">
        <v>102</v>
      </c>
      <c r="F889" t="s">
        <v>13</v>
      </c>
      <c r="G889" t="s">
        <v>2389</v>
      </c>
      <c r="H889" s="26">
        <v>18961</v>
      </c>
      <c r="I889" t="s">
        <v>58</v>
      </c>
      <c r="J889" t="s">
        <v>3342</v>
      </c>
      <c r="M889">
        <v>92500</v>
      </c>
      <c r="N889" t="s">
        <v>122</v>
      </c>
      <c r="O889" t="s">
        <v>61</v>
      </c>
      <c r="Q889">
        <v>631721567</v>
      </c>
      <c r="R889" t="s">
        <v>3343</v>
      </c>
      <c r="S889" t="s">
        <v>63</v>
      </c>
      <c r="T889" t="s">
        <v>64</v>
      </c>
      <c r="U889" t="s">
        <v>65</v>
      </c>
      <c r="W889" s="26">
        <v>45549</v>
      </c>
      <c r="X889" t="s">
        <v>61</v>
      </c>
      <c r="Y889" t="s">
        <v>237</v>
      </c>
    </row>
    <row r="890" spans="1:25" x14ac:dyDescent="0.25">
      <c r="A890" t="s">
        <v>3344</v>
      </c>
      <c r="B890">
        <v>11</v>
      </c>
      <c r="C890">
        <v>95</v>
      </c>
      <c r="D890">
        <v>9010</v>
      </c>
      <c r="E890" t="s">
        <v>6</v>
      </c>
      <c r="F890" t="s">
        <v>3345</v>
      </c>
      <c r="G890" t="s">
        <v>3346</v>
      </c>
      <c r="H890" s="26">
        <v>31484</v>
      </c>
      <c r="I890" t="s">
        <v>58</v>
      </c>
      <c r="J890" t="s">
        <v>3347</v>
      </c>
      <c r="M890">
        <v>95610</v>
      </c>
      <c r="N890" t="s">
        <v>1439</v>
      </c>
      <c r="O890" t="s">
        <v>61</v>
      </c>
      <c r="R890" t="s">
        <v>3348</v>
      </c>
      <c r="S890" t="s">
        <v>63</v>
      </c>
      <c r="T890" t="s">
        <v>64</v>
      </c>
      <c r="U890" t="s">
        <v>1636</v>
      </c>
      <c r="W890" s="26">
        <v>45555</v>
      </c>
      <c r="X890" t="s">
        <v>2726</v>
      </c>
      <c r="Y890" t="s">
        <v>237</v>
      </c>
    </row>
    <row r="891" spans="1:25" x14ac:dyDescent="0.25">
      <c r="A891" t="s">
        <v>10615</v>
      </c>
      <c r="B891">
        <v>11</v>
      </c>
      <c r="C891">
        <v>92</v>
      </c>
      <c r="D891">
        <v>9017</v>
      </c>
      <c r="E891" t="s">
        <v>211</v>
      </c>
      <c r="F891" t="s">
        <v>2391</v>
      </c>
      <c r="G891" t="s">
        <v>10616</v>
      </c>
      <c r="H891" s="26">
        <v>21717</v>
      </c>
      <c r="I891" t="s">
        <v>16</v>
      </c>
      <c r="J891" t="s">
        <v>10617</v>
      </c>
      <c r="M891">
        <v>75014</v>
      </c>
      <c r="N891" t="s">
        <v>330</v>
      </c>
      <c r="O891" t="s">
        <v>61</v>
      </c>
      <c r="Q891">
        <v>664795264</v>
      </c>
      <c r="R891" t="s">
        <v>10618</v>
      </c>
      <c r="S891" t="s">
        <v>63</v>
      </c>
      <c r="T891" t="s">
        <v>64</v>
      </c>
      <c r="U891" t="s">
        <v>65</v>
      </c>
      <c r="W891" s="26">
        <v>45575</v>
      </c>
      <c r="X891" t="s">
        <v>61</v>
      </c>
      <c r="Y891" t="s">
        <v>237</v>
      </c>
    </row>
    <row r="892" spans="1:25" x14ac:dyDescent="0.25">
      <c r="A892" t="s">
        <v>8971</v>
      </c>
      <c r="B892">
        <v>11</v>
      </c>
      <c r="C892">
        <v>91</v>
      </c>
      <c r="D892">
        <v>9064</v>
      </c>
      <c r="E892" t="s">
        <v>266</v>
      </c>
      <c r="F892" t="s">
        <v>448</v>
      </c>
      <c r="G892" t="s">
        <v>8972</v>
      </c>
      <c r="H892" s="26">
        <v>24735</v>
      </c>
      <c r="I892" t="s">
        <v>58</v>
      </c>
      <c r="J892" t="s">
        <v>8973</v>
      </c>
      <c r="M892">
        <v>91700</v>
      </c>
      <c r="N892" t="s">
        <v>4185</v>
      </c>
      <c r="O892" t="s">
        <v>61</v>
      </c>
      <c r="Q892">
        <v>620794788</v>
      </c>
      <c r="R892" t="s">
        <v>8974</v>
      </c>
      <c r="S892" t="s">
        <v>63</v>
      </c>
      <c r="T892" t="s">
        <v>64</v>
      </c>
      <c r="U892" t="s">
        <v>65</v>
      </c>
      <c r="W892" s="26">
        <v>45551</v>
      </c>
      <c r="X892" t="s">
        <v>61</v>
      </c>
      <c r="Y892" t="s">
        <v>237</v>
      </c>
    </row>
    <row r="893" spans="1:25" x14ac:dyDescent="0.25">
      <c r="A893" t="s">
        <v>3349</v>
      </c>
      <c r="B893">
        <v>11</v>
      </c>
      <c r="C893">
        <v>91</v>
      </c>
      <c r="D893">
        <v>9009</v>
      </c>
      <c r="E893" t="s">
        <v>159</v>
      </c>
      <c r="F893" t="s">
        <v>816</v>
      </c>
      <c r="G893" t="s">
        <v>3350</v>
      </c>
      <c r="H893" s="26">
        <v>18369</v>
      </c>
      <c r="I893" t="s">
        <v>58</v>
      </c>
      <c r="J893" t="s">
        <v>3351</v>
      </c>
      <c r="M893">
        <v>91600</v>
      </c>
      <c r="N893" t="s">
        <v>1680</v>
      </c>
      <c r="O893" t="s">
        <v>61</v>
      </c>
      <c r="Q893">
        <v>624465571</v>
      </c>
      <c r="R893" t="s">
        <v>3352</v>
      </c>
      <c r="S893" t="s">
        <v>63</v>
      </c>
      <c r="T893" t="s">
        <v>64</v>
      </c>
      <c r="U893" t="s">
        <v>65</v>
      </c>
      <c r="W893" s="26">
        <v>45561</v>
      </c>
      <c r="X893" t="s">
        <v>61</v>
      </c>
      <c r="Y893" t="s">
        <v>237</v>
      </c>
    </row>
    <row r="894" spans="1:25" x14ac:dyDescent="0.25">
      <c r="A894" t="s">
        <v>3353</v>
      </c>
      <c r="B894">
        <v>11</v>
      </c>
      <c r="C894">
        <v>78</v>
      </c>
      <c r="D894">
        <v>9084</v>
      </c>
      <c r="E894" t="s">
        <v>216</v>
      </c>
      <c r="F894" t="s">
        <v>2501</v>
      </c>
      <c r="G894" t="s">
        <v>3354</v>
      </c>
      <c r="H894" s="26">
        <v>21679</v>
      </c>
      <c r="I894" t="s">
        <v>16</v>
      </c>
      <c r="J894" t="s">
        <v>3355</v>
      </c>
      <c r="M894">
        <v>78510</v>
      </c>
      <c r="N894" t="s">
        <v>3356</v>
      </c>
      <c r="O894" t="s">
        <v>61</v>
      </c>
      <c r="Q894">
        <v>624055688</v>
      </c>
      <c r="R894" t="s">
        <v>3357</v>
      </c>
      <c r="S894" t="s">
        <v>63</v>
      </c>
      <c r="T894" t="s">
        <v>64</v>
      </c>
      <c r="U894" t="s">
        <v>65</v>
      </c>
      <c r="W894" s="26">
        <v>45551</v>
      </c>
      <c r="X894" t="s">
        <v>61</v>
      </c>
      <c r="Y894" t="s">
        <v>237</v>
      </c>
    </row>
    <row r="895" spans="1:25" x14ac:dyDescent="0.25">
      <c r="A895" t="s">
        <v>3358</v>
      </c>
      <c r="B895">
        <v>11</v>
      </c>
      <c r="C895">
        <v>94</v>
      </c>
      <c r="D895">
        <v>9024</v>
      </c>
      <c r="E895" t="s">
        <v>4</v>
      </c>
      <c r="F895" t="s">
        <v>1672</v>
      </c>
      <c r="G895" t="s">
        <v>3359</v>
      </c>
      <c r="H895" s="26">
        <v>31523</v>
      </c>
      <c r="I895" t="s">
        <v>58</v>
      </c>
      <c r="J895" t="s">
        <v>3360</v>
      </c>
      <c r="M895">
        <v>77340</v>
      </c>
      <c r="N895" t="s">
        <v>201</v>
      </c>
      <c r="O895" t="s">
        <v>61</v>
      </c>
      <c r="Q895">
        <v>678767249</v>
      </c>
      <c r="R895" t="s">
        <v>3361</v>
      </c>
      <c r="S895" t="s">
        <v>63</v>
      </c>
      <c r="T895" t="s">
        <v>64</v>
      </c>
      <c r="U895" t="s">
        <v>65</v>
      </c>
      <c r="W895" s="26">
        <v>45525</v>
      </c>
      <c r="X895" t="s">
        <v>61</v>
      </c>
      <c r="Y895" t="s">
        <v>237</v>
      </c>
    </row>
    <row r="896" spans="1:25" x14ac:dyDescent="0.25">
      <c r="A896" t="s">
        <v>3362</v>
      </c>
      <c r="B896">
        <v>11</v>
      </c>
      <c r="C896">
        <v>92</v>
      </c>
      <c r="D896">
        <v>9065</v>
      </c>
      <c r="E896" t="s">
        <v>426</v>
      </c>
      <c r="F896" t="s">
        <v>198</v>
      </c>
      <c r="G896" t="s">
        <v>3363</v>
      </c>
      <c r="H896" s="26">
        <v>33861</v>
      </c>
      <c r="I896" t="s">
        <v>58</v>
      </c>
      <c r="J896" t="s">
        <v>3364</v>
      </c>
      <c r="M896">
        <v>94000</v>
      </c>
      <c r="N896" t="s">
        <v>277</v>
      </c>
      <c r="O896" t="s">
        <v>61</v>
      </c>
      <c r="Q896">
        <v>621626680</v>
      </c>
      <c r="R896" t="s">
        <v>3365</v>
      </c>
      <c r="S896" t="s">
        <v>63</v>
      </c>
      <c r="T896" t="s">
        <v>64</v>
      </c>
      <c r="U896" t="s">
        <v>486</v>
      </c>
      <c r="W896" s="26">
        <v>45528</v>
      </c>
      <c r="X896" t="s">
        <v>61</v>
      </c>
      <c r="Y896" t="s">
        <v>237</v>
      </c>
    </row>
    <row r="897" spans="1:25" x14ac:dyDescent="0.25">
      <c r="A897" t="s">
        <v>3366</v>
      </c>
      <c r="B897">
        <v>11</v>
      </c>
      <c r="C897">
        <v>78</v>
      </c>
      <c r="D897">
        <v>9056</v>
      </c>
      <c r="E897" t="s">
        <v>214</v>
      </c>
      <c r="F897" t="s">
        <v>91</v>
      </c>
      <c r="G897" t="s">
        <v>1306</v>
      </c>
      <c r="H897" s="26">
        <v>18754</v>
      </c>
      <c r="I897" t="s">
        <v>58</v>
      </c>
      <c r="J897" t="s">
        <v>3367</v>
      </c>
      <c r="M897">
        <v>78000</v>
      </c>
      <c r="N897" t="s">
        <v>1334</v>
      </c>
      <c r="O897" t="s">
        <v>61</v>
      </c>
      <c r="Q897">
        <v>607503837</v>
      </c>
      <c r="R897" t="s">
        <v>3368</v>
      </c>
      <c r="S897" t="s">
        <v>63</v>
      </c>
      <c r="T897" t="s">
        <v>64</v>
      </c>
      <c r="U897" t="s">
        <v>65</v>
      </c>
      <c r="W897" s="26">
        <v>45555</v>
      </c>
      <c r="X897" t="s">
        <v>61</v>
      </c>
      <c r="Y897" t="s">
        <v>237</v>
      </c>
    </row>
    <row r="898" spans="1:25" x14ac:dyDescent="0.25">
      <c r="A898" t="s">
        <v>3369</v>
      </c>
      <c r="B898">
        <v>11</v>
      </c>
      <c r="C898">
        <v>75</v>
      </c>
      <c r="D898">
        <v>9070</v>
      </c>
      <c r="E898" t="s">
        <v>168</v>
      </c>
      <c r="F898" t="s">
        <v>723</v>
      </c>
      <c r="G898" t="s">
        <v>3370</v>
      </c>
      <c r="H898" s="26">
        <v>23791</v>
      </c>
      <c r="I898" t="s">
        <v>58</v>
      </c>
      <c r="J898" t="s">
        <v>3371</v>
      </c>
      <c r="M898">
        <v>92110</v>
      </c>
      <c r="N898" t="s">
        <v>135</v>
      </c>
      <c r="O898" t="s">
        <v>61</v>
      </c>
      <c r="Q898">
        <v>660684432</v>
      </c>
      <c r="R898" t="s">
        <v>3372</v>
      </c>
      <c r="S898" t="s">
        <v>237</v>
      </c>
      <c r="T898" t="s">
        <v>64</v>
      </c>
      <c r="U898" t="s">
        <v>8684</v>
      </c>
      <c r="W898" s="26">
        <v>45533</v>
      </c>
      <c r="X898" t="s">
        <v>61</v>
      </c>
      <c r="Y898" t="s">
        <v>237</v>
      </c>
    </row>
    <row r="899" spans="1:25" x14ac:dyDescent="0.25">
      <c r="A899" t="s">
        <v>3375</v>
      </c>
      <c r="B899">
        <v>11</v>
      </c>
      <c r="C899">
        <v>75</v>
      </c>
      <c r="D899">
        <v>9126</v>
      </c>
      <c r="E899" t="s">
        <v>1818</v>
      </c>
      <c r="F899" t="s">
        <v>12</v>
      </c>
      <c r="G899" t="s">
        <v>3376</v>
      </c>
      <c r="H899" s="26">
        <v>30487</v>
      </c>
      <c r="I899" t="s">
        <v>58</v>
      </c>
      <c r="J899" t="s">
        <v>8975</v>
      </c>
      <c r="M899">
        <v>93340</v>
      </c>
      <c r="N899" t="s">
        <v>2147</v>
      </c>
      <c r="O899" t="s">
        <v>61</v>
      </c>
      <c r="R899" t="s">
        <v>3377</v>
      </c>
      <c r="S899" t="s">
        <v>63</v>
      </c>
      <c r="T899" t="s">
        <v>64</v>
      </c>
      <c r="U899" t="s">
        <v>8684</v>
      </c>
      <c r="W899" s="26">
        <v>45527</v>
      </c>
      <c r="X899" t="s">
        <v>61</v>
      </c>
      <c r="Y899" t="s">
        <v>237</v>
      </c>
    </row>
    <row r="900" spans="1:25" x14ac:dyDescent="0.25">
      <c r="A900" t="s">
        <v>3379</v>
      </c>
      <c r="B900">
        <v>11</v>
      </c>
      <c r="C900">
        <v>92</v>
      </c>
      <c r="D900">
        <v>9088</v>
      </c>
      <c r="E900" t="s">
        <v>1</v>
      </c>
      <c r="F900" t="s">
        <v>160</v>
      </c>
      <c r="G900" t="s">
        <v>3380</v>
      </c>
      <c r="H900" s="26">
        <v>24258</v>
      </c>
      <c r="I900" t="s">
        <v>58</v>
      </c>
      <c r="J900" t="s">
        <v>3381</v>
      </c>
      <c r="M900">
        <v>92100</v>
      </c>
      <c r="N900" t="s">
        <v>104</v>
      </c>
      <c r="O900" t="s">
        <v>61</v>
      </c>
      <c r="Q900">
        <v>686937373</v>
      </c>
      <c r="R900" t="s">
        <v>3382</v>
      </c>
      <c r="S900" t="s">
        <v>63</v>
      </c>
      <c r="T900" t="s">
        <v>64</v>
      </c>
      <c r="U900" t="s">
        <v>65</v>
      </c>
      <c r="W900" s="26">
        <v>45560</v>
      </c>
      <c r="X900" t="s">
        <v>61</v>
      </c>
      <c r="Y900" t="s">
        <v>237</v>
      </c>
    </row>
    <row r="901" spans="1:25" x14ac:dyDescent="0.25">
      <c r="A901" t="s">
        <v>10619</v>
      </c>
      <c r="B901">
        <v>11</v>
      </c>
      <c r="C901">
        <v>92</v>
      </c>
      <c r="D901">
        <v>9007</v>
      </c>
      <c r="E901" t="s">
        <v>121</v>
      </c>
      <c r="F901" t="s">
        <v>56</v>
      </c>
      <c r="G901" t="s">
        <v>10620</v>
      </c>
      <c r="H901" s="26">
        <v>20022</v>
      </c>
      <c r="I901" t="s">
        <v>58</v>
      </c>
      <c r="J901" t="s">
        <v>10621</v>
      </c>
      <c r="M901">
        <v>92700</v>
      </c>
      <c r="N901" t="s">
        <v>151</v>
      </c>
      <c r="O901" t="s">
        <v>61</v>
      </c>
      <c r="R901" t="s">
        <v>10622</v>
      </c>
      <c r="S901" t="s">
        <v>63</v>
      </c>
      <c r="T901" t="s">
        <v>64</v>
      </c>
      <c r="U901" t="s">
        <v>65</v>
      </c>
      <c r="W901" s="26">
        <v>45576</v>
      </c>
      <c r="X901" t="s">
        <v>61</v>
      </c>
      <c r="Y901" t="s">
        <v>237</v>
      </c>
    </row>
    <row r="902" spans="1:25" x14ac:dyDescent="0.25">
      <c r="A902" t="s">
        <v>8976</v>
      </c>
      <c r="B902">
        <v>11</v>
      </c>
      <c r="C902">
        <v>91</v>
      </c>
      <c r="D902">
        <v>9082</v>
      </c>
      <c r="E902" t="s">
        <v>67</v>
      </c>
      <c r="F902" t="s">
        <v>143</v>
      </c>
      <c r="G902" t="s">
        <v>8977</v>
      </c>
      <c r="H902" s="26">
        <v>18009</v>
      </c>
      <c r="I902" t="s">
        <v>58</v>
      </c>
      <c r="J902" t="s">
        <v>8978</v>
      </c>
      <c r="M902">
        <v>91210</v>
      </c>
      <c r="N902" t="s">
        <v>226</v>
      </c>
      <c r="O902" t="s">
        <v>61</v>
      </c>
      <c r="Q902">
        <v>630060787</v>
      </c>
      <c r="R902" t="s">
        <v>8979</v>
      </c>
      <c r="S902" t="s">
        <v>63</v>
      </c>
      <c r="T902" t="s">
        <v>64</v>
      </c>
      <c r="U902" t="s">
        <v>65</v>
      </c>
      <c r="W902" s="26">
        <v>45546</v>
      </c>
      <c r="X902" t="s">
        <v>61</v>
      </c>
      <c r="Y902" t="s">
        <v>237</v>
      </c>
    </row>
    <row r="903" spans="1:25" x14ac:dyDescent="0.25">
      <c r="A903" t="s">
        <v>3383</v>
      </c>
      <c r="B903">
        <v>11</v>
      </c>
      <c r="C903">
        <v>93</v>
      </c>
      <c r="D903">
        <v>9060</v>
      </c>
      <c r="E903" t="s">
        <v>203</v>
      </c>
      <c r="F903" t="s">
        <v>137</v>
      </c>
      <c r="G903" t="s">
        <v>3384</v>
      </c>
      <c r="H903" s="26">
        <v>20977</v>
      </c>
      <c r="I903" t="s">
        <v>58</v>
      </c>
      <c r="J903" t="s">
        <v>3385</v>
      </c>
      <c r="M903">
        <v>93190</v>
      </c>
      <c r="N903" t="s">
        <v>205</v>
      </c>
      <c r="O903" t="s">
        <v>61</v>
      </c>
      <c r="P903">
        <v>952479849</v>
      </c>
      <c r="Q903">
        <v>622056590</v>
      </c>
      <c r="R903" t="s">
        <v>3386</v>
      </c>
      <c r="S903" t="s">
        <v>63</v>
      </c>
      <c r="T903" t="s">
        <v>64</v>
      </c>
      <c r="U903" t="s">
        <v>65</v>
      </c>
      <c r="W903" s="26">
        <v>45546</v>
      </c>
      <c r="X903" t="s">
        <v>61</v>
      </c>
      <c r="Y903" t="s">
        <v>237</v>
      </c>
    </row>
    <row r="904" spans="1:25" x14ac:dyDescent="0.25">
      <c r="A904" t="s">
        <v>9891</v>
      </c>
      <c r="B904">
        <v>11</v>
      </c>
      <c r="C904">
        <v>94</v>
      </c>
      <c r="D904">
        <v>9024</v>
      </c>
      <c r="E904" t="s">
        <v>4</v>
      </c>
      <c r="F904" t="s">
        <v>480</v>
      </c>
      <c r="G904" t="s">
        <v>10050</v>
      </c>
      <c r="H904" s="26">
        <v>19135</v>
      </c>
      <c r="I904" t="s">
        <v>58</v>
      </c>
      <c r="J904" t="s">
        <v>10051</v>
      </c>
      <c r="M904">
        <v>94440</v>
      </c>
      <c r="N904" t="s">
        <v>10052</v>
      </c>
      <c r="O904" t="s">
        <v>61</v>
      </c>
      <c r="P904">
        <v>145991931</v>
      </c>
      <c r="Q904">
        <v>638213261</v>
      </c>
      <c r="R904" t="s">
        <v>10053</v>
      </c>
      <c r="S904" t="s">
        <v>63</v>
      </c>
      <c r="T904" t="s">
        <v>64</v>
      </c>
      <c r="U904" t="s">
        <v>65</v>
      </c>
      <c r="W904" s="26">
        <v>45569</v>
      </c>
      <c r="X904" t="s">
        <v>61</v>
      </c>
      <c r="Y904" t="s">
        <v>237</v>
      </c>
    </row>
    <row r="905" spans="1:25" x14ac:dyDescent="0.25">
      <c r="A905" t="s">
        <v>3387</v>
      </c>
      <c r="B905">
        <v>11</v>
      </c>
      <c r="C905">
        <v>94</v>
      </c>
      <c r="D905">
        <v>9024</v>
      </c>
      <c r="E905" t="s">
        <v>4</v>
      </c>
      <c r="F905" t="s">
        <v>217</v>
      </c>
      <c r="G905" t="s">
        <v>3388</v>
      </c>
      <c r="H905" s="26">
        <v>22666</v>
      </c>
      <c r="I905" t="s">
        <v>58</v>
      </c>
      <c r="J905" t="s">
        <v>3389</v>
      </c>
      <c r="M905">
        <v>94300</v>
      </c>
      <c r="N905" t="s">
        <v>838</v>
      </c>
      <c r="O905" t="s">
        <v>61</v>
      </c>
      <c r="P905">
        <v>143653717</v>
      </c>
      <c r="Q905">
        <v>698159582</v>
      </c>
      <c r="R905" t="s">
        <v>3390</v>
      </c>
      <c r="S905" t="s">
        <v>63</v>
      </c>
      <c r="T905" t="s">
        <v>64</v>
      </c>
      <c r="U905" t="s">
        <v>65</v>
      </c>
      <c r="W905" s="26">
        <v>45551</v>
      </c>
      <c r="X905" t="s">
        <v>61</v>
      </c>
      <c r="Y905" t="s">
        <v>237</v>
      </c>
    </row>
    <row r="906" spans="1:25" x14ac:dyDescent="0.25">
      <c r="A906" t="s">
        <v>3391</v>
      </c>
      <c r="B906">
        <v>11</v>
      </c>
      <c r="C906">
        <v>91</v>
      </c>
      <c r="D906">
        <v>9025</v>
      </c>
      <c r="E906" t="s">
        <v>188</v>
      </c>
      <c r="F906" t="s">
        <v>154</v>
      </c>
      <c r="G906" t="s">
        <v>3392</v>
      </c>
      <c r="H906" s="26">
        <v>18323</v>
      </c>
      <c r="I906" t="s">
        <v>58</v>
      </c>
      <c r="J906" t="s">
        <v>3393</v>
      </c>
      <c r="M906">
        <v>91250</v>
      </c>
      <c r="N906" t="s">
        <v>3105</v>
      </c>
      <c r="O906" t="s">
        <v>61</v>
      </c>
      <c r="P906">
        <v>169899836</v>
      </c>
      <c r="Q906">
        <v>685564599</v>
      </c>
      <c r="R906" t="s">
        <v>3394</v>
      </c>
      <c r="S906" t="s">
        <v>63</v>
      </c>
      <c r="T906" t="s">
        <v>64</v>
      </c>
      <c r="U906" t="s">
        <v>65</v>
      </c>
      <c r="W906" s="26">
        <v>45546</v>
      </c>
      <c r="X906" t="s">
        <v>61</v>
      </c>
      <c r="Y906" t="s">
        <v>237</v>
      </c>
    </row>
    <row r="907" spans="1:25" x14ac:dyDescent="0.25">
      <c r="A907" t="s">
        <v>3395</v>
      </c>
      <c r="B907">
        <v>11</v>
      </c>
      <c r="C907">
        <v>78</v>
      </c>
      <c r="D907">
        <v>9056</v>
      </c>
      <c r="E907" t="s">
        <v>214</v>
      </c>
      <c r="F907" t="s">
        <v>106</v>
      </c>
      <c r="G907" t="s">
        <v>3396</v>
      </c>
      <c r="H907" s="26">
        <v>15765</v>
      </c>
      <c r="I907" t="s">
        <v>58</v>
      </c>
      <c r="J907" t="s">
        <v>3397</v>
      </c>
      <c r="M907">
        <v>78990</v>
      </c>
      <c r="N907" t="s">
        <v>465</v>
      </c>
      <c r="O907" t="s">
        <v>61</v>
      </c>
      <c r="Q907">
        <v>607054604</v>
      </c>
      <c r="R907" t="s">
        <v>3398</v>
      </c>
      <c r="S907" t="s">
        <v>63</v>
      </c>
      <c r="T907" t="s">
        <v>64</v>
      </c>
      <c r="U907" t="s">
        <v>65</v>
      </c>
      <c r="W907" s="26">
        <v>45555</v>
      </c>
      <c r="X907" t="s">
        <v>61</v>
      </c>
      <c r="Y907" t="s">
        <v>237</v>
      </c>
    </row>
    <row r="908" spans="1:25" x14ac:dyDescent="0.25">
      <c r="A908" t="s">
        <v>3399</v>
      </c>
      <c r="B908">
        <v>11</v>
      </c>
      <c r="C908">
        <v>93</v>
      </c>
      <c r="D908">
        <v>9122</v>
      </c>
      <c r="E908" t="s">
        <v>1030</v>
      </c>
      <c r="F908" t="s">
        <v>950</v>
      </c>
      <c r="G908" t="s">
        <v>3400</v>
      </c>
      <c r="H908" s="26">
        <v>32275</v>
      </c>
      <c r="I908" t="s">
        <v>58</v>
      </c>
      <c r="J908" t="s">
        <v>3401</v>
      </c>
      <c r="M908">
        <v>77270</v>
      </c>
      <c r="N908" t="s">
        <v>3402</v>
      </c>
      <c r="O908" t="s">
        <v>61</v>
      </c>
      <c r="Q908">
        <v>689918968</v>
      </c>
      <c r="R908" t="s">
        <v>3403</v>
      </c>
      <c r="S908" t="s">
        <v>63</v>
      </c>
      <c r="T908" t="s">
        <v>64</v>
      </c>
      <c r="U908" t="s">
        <v>486</v>
      </c>
      <c r="W908" s="26">
        <v>45555</v>
      </c>
      <c r="X908" t="s">
        <v>61</v>
      </c>
      <c r="Y908" t="s">
        <v>237</v>
      </c>
    </row>
    <row r="909" spans="1:25" x14ac:dyDescent="0.25">
      <c r="A909" t="s">
        <v>3406</v>
      </c>
      <c r="B909">
        <v>11</v>
      </c>
      <c r="C909">
        <v>93</v>
      </c>
      <c r="D909">
        <v>9122</v>
      </c>
      <c r="E909" t="s">
        <v>1030</v>
      </c>
      <c r="F909" t="s">
        <v>204</v>
      </c>
      <c r="G909" t="s">
        <v>3407</v>
      </c>
      <c r="H909" s="26">
        <v>16292</v>
      </c>
      <c r="I909" t="s">
        <v>58</v>
      </c>
      <c r="J909" t="s">
        <v>3408</v>
      </c>
      <c r="M909">
        <v>93220</v>
      </c>
      <c r="N909" t="s">
        <v>662</v>
      </c>
      <c r="O909" t="s">
        <v>61</v>
      </c>
      <c r="Q909">
        <v>645326472</v>
      </c>
      <c r="R909" t="s">
        <v>3409</v>
      </c>
      <c r="S909" t="s">
        <v>63</v>
      </c>
      <c r="T909" t="s">
        <v>64</v>
      </c>
      <c r="U909" t="s">
        <v>486</v>
      </c>
      <c r="W909" s="26">
        <v>45559</v>
      </c>
      <c r="X909" t="s">
        <v>61</v>
      </c>
      <c r="Y909" t="s">
        <v>237</v>
      </c>
    </row>
    <row r="910" spans="1:25" x14ac:dyDescent="0.25">
      <c r="A910" t="s">
        <v>10623</v>
      </c>
      <c r="B910">
        <v>11</v>
      </c>
      <c r="C910">
        <v>94</v>
      </c>
      <c r="D910">
        <v>9024</v>
      </c>
      <c r="E910" t="s">
        <v>4</v>
      </c>
      <c r="F910" t="s">
        <v>115</v>
      </c>
      <c r="G910" t="s">
        <v>10624</v>
      </c>
      <c r="H910" s="26">
        <v>17240</v>
      </c>
      <c r="I910" t="s">
        <v>58</v>
      </c>
      <c r="J910" t="s">
        <v>10625</v>
      </c>
      <c r="M910">
        <v>94000</v>
      </c>
      <c r="N910" t="s">
        <v>277</v>
      </c>
      <c r="O910" t="s">
        <v>61</v>
      </c>
      <c r="P910">
        <v>142077367</v>
      </c>
      <c r="Q910">
        <v>611900578</v>
      </c>
      <c r="R910" t="s">
        <v>10626</v>
      </c>
      <c r="S910" t="s">
        <v>63</v>
      </c>
      <c r="T910" t="s">
        <v>64</v>
      </c>
      <c r="U910" t="s">
        <v>65</v>
      </c>
      <c r="W910" s="26">
        <v>45575</v>
      </c>
      <c r="X910" t="s">
        <v>61</v>
      </c>
      <c r="Y910" t="s">
        <v>237</v>
      </c>
    </row>
    <row r="911" spans="1:25" x14ac:dyDescent="0.25">
      <c r="A911" t="s">
        <v>11245</v>
      </c>
      <c r="B911">
        <v>11</v>
      </c>
      <c r="C911">
        <v>92</v>
      </c>
      <c r="D911">
        <v>9017</v>
      </c>
      <c r="E911" t="s">
        <v>211</v>
      </c>
      <c r="F911" t="s">
        <v>85</v>
      </c>
      <c r="G911" t="s">
        <v>11246</v>
      </c>
      <c r="H911" s="26">
        <v>21208</v>
      </c>
      <c r="I911" t="s">
        <v>58</v>
      </c>
      <c r="J911" t="s">
        <v>11247</v>
      </c>
      <c r="M911">
        <v>95170</v>
      </c>
      <c r="N911" t="s">
        <v>1546</v>
      </c>
      <c r="O911" t="s">
        <v>61</v>
      </c>
      <c r="R911" t="s">
        <v>11248</v>
      </c>
      <c r="S911" t="s">
        <v>63</v>
      </c>
      <c r="T911" t="s">
        <v>64</v>
      </c>
      <c r="U911" t="s">
        <v>65</v>
      </c>
      <c r="W911" s="26">
        <v>45588</v>
      </c>
      <c r="X911" t="s">
        <v>61</v>
      </c>
      <c r="Y911" t="s">
        <v>237</v>
      </c>
    </row>
    <row r="912" spans="1:25" x14ac:dyDescent="0.25">
      <c r="A912" t="s">
        <v>3410</v>
      </c>
      <c r="B912">
        <v>11</v>
      </c>
      <c r="C912">
        <v>77</v>
      </c>
      <c r="D912">
        <v>9105</v>
      </c>
      <c r="E912" t="s">
        <v>124</v>
      </c>
      <c r="F912" t="s">
        <v>85</v>
      </c>
      <c r="G912" t="s">
        <v>3411</v>
      </c>
      <c r="H912" s="26">
        <v>19312</v>
      </c>
      <c r="I912" t="s">
        <v>58</v>
      </c>
      <c r="J912" t="s">
        <v>3412</v>
      </c>
      <c r="M912">
        <v>77176</v>
      </c>
      <c r="N912" t="s">
        <v>1869</v>
      </c>
      <c r="O912" t="s">
        <v>61</v>
      </c>
      <c r="Q912">
        <v>603271252</v>
      </c>
      <c r="R912" t="s">
        <v>3413</v>
      </c>
      <c r="S912" t="s">
        <v>63</v>
      </c>
      <c r="T912" t="s">
        <v>64</v>
      </c>
      <c r="U912" t="s">
        <v>65</v>
      </c>
      <c r="W912" s="26">
        <v>45539</v>
      </c>
      <c r="X912" t="s">
        <v>61</v>
      </c>
      <c r="Y912" t="s">
        <v>237</v>
      </c>
    </row>
    <row r="913" spans="1:25" x14ac:dyDescent="0.25">
      <c r="A913" t="s">
        <v>3414</v>
      </c>
      <c r="B913">
        <v>11</v>
      </c>
      <c r="C913">
        <v>78</v>
      </c>
      <c r="D913">
        <v>9016</v>
      </c>
      <c r="E913" t="s">
        <v>362</v>
      </c>
      <c r="F913" t="s">
        <v>3415</v>
      </c>
      <c r="G913" t="s">
        <v>3416</v>
      </c>
      <c r="H913" s="26">
        <v>20115</v>
      </c>
      <c r="I913" t="s">
        <v>58</v>
      </c>
      <c r="J913" t="s">
        <v>3417</v>
      </c>
      <c r="M913">
        <v>78410</v>
      </c>
      <c r="N913" t="s">
        <v>3418</v>
      </c>
      <c r="O913" t="s">
        <v>61</v>
      </c>
      <c r="Q913">
        <v>626548605</v>
      </c>
      <c r="R913" t="s">
        <v>3419</v>
      </c>
      <c r="S913" t="s">
        <v>63</v>
      </c>
      <c r="T913" t="s">
        <v>64</v>
      </c>
      <c r="U913" t="s">
        <v>65</v>
      </c>
      <c r="W913" s="26">
        <v>45560</v>
      </c>
      <c r="X913" t="s">
        <v>61</v>
      </c>
      <c r="Y913" t="s">
        <v>237</v>
      </c>
    </row>
    <row r="914" spans="1:25" x14ac:dyDescent="0.25">
      <c r="A914" t="s">
        <v>10627</v>
      </c>
      <c r="B914">
        <v>11</v>
      </c>
      <c r="C914">
        <v>93</v>
      </c>
      <c r="D914">
        <v>9122</v>
      </c>
      <c r="E914" t="s">
        <v>1030</v>
      </c>
      <c r="F914" t="s">
        <v>143</v>
      </c>
      <c r="G914" t="s">
        <v>10628</v>
      </c>
      <c r="H914" s="26">
        <v>22931</v>
      </c>
      <c r="I914" t="s">
        <v>58</v>
      </c>
      <c r="J914" t="s">
        <v>10629</v>
      </c>
      <c r="M914">
        <v>93220</v>
      </c>
      <c r="N914" t="s">
        <v>662</v>
      </c>
      <c r="O914" t="s">
        <v>61</v>
      </c>
      <c r="Q914">
        <v>671214367</v>
      </c>
      <c r="R914" t="s">
        <v>10630</v>
      </c>
      <c r="S914" t="s">
        <v>63</v>
      </c>
      <c r="T914" t="s">
        <v>64</v>
      </c>
      <c r="U914" t="s">
        <v>8684</v>
      </c>
      <c r="W914" s="26">
        <v>45572</v>
      </c>
      <c r="X914" t="s">
        <v>61</v>
      </c>
      <c r="Y914" t="s">
        <v>237</v>
      </c>
    </row>
    <row r="915" spans="1:25" x14ac:dyDescent="0.25">
      <c r="A915" t="s">
        <v>3420</v>
      </c>
      <c r="B915">
        <v>11</v>
      </c>
      <c r="C915">
        <v>92</v>
      </c>
      <c r="D915">
        <v>9068</v>
      </c>
      <c r="E915" t="s">
        <v>119</v>
      </c>
      <c r="F915" t="s">
        <v>289</v>
      </c>
      <c r="G915" t="s">
        <v>3421</v>
      </c>
      <c r="H915" s="26">
        <v>20995</v>
      </c>
      <c r="I915" t="s">
        <v>58</v>
      </c>
      <c r="J915" t="s">
        <v>3422</v>
      </c>
      <c r="M915">
        <v>75013</v>
      </c>
      <c r="N915" t="s">
        <v>330</v>
      </c>
      <c r="O915" t="s">
        <v>61</v>
      </c>
      <c r="Q915">
        <v>616981410</v>
      </c>
      <c r="R915" t="s">
        <v>3423</v>
      </c>
      <c r="S915" t="s">
        <v>63</v>
      </c>
      <c r="T915" t="s">
        <v>64</v>
      </c>
      <c r="U915" t="s">
        <v>486</v>
      </c>
      <c r="W915" s="26">
        <v>45544</v>
      </c>
      <c r="X915" t="s">
        <v>61</v>
      </c>
      <c r="Y915" t="s">
        <v>237</v>
      </c>
    </row>
    <row r="916" spans="1:25" x14ac:dyDescent="0.25">
      <c r="A916" t="s">
        <v>3424</v>
      </c>
      <c r="B916">
        <v>11</v>
      </c>
      <c r="C916">
        <v>78</v>
      </c>
      <c r="D916">
        <v>9056</v>
      </c>
      <c r="E916" t="s">
        <v>214</v>
      </c>
      <c r="F916" t="s">
        <v>472</v>
      </c>
      <c r="G916" t="s">
        <v>3425</v>
      </c>
      <c r="H916" s="26">
        <v>21881</v>
      </c>
      <c r="I916" t="s">
        <v>58</v>
      </c>
      <c r="J916" t="s">
        <v>3426</v>
      </c>
      <c r="M916">
        <v>78000</v>
      </c>
      <c r="N916" t="s">
        <v>1334</v>
      </c>
      <c r="O916" t="s">
        <v>61</v>
      </c>
      <c r="P916">
        <v>139539656</v>
      </c>
      <c r="Q916">
        <v>608572699</v>
      </c>
      <c r="R916" t="s">
        <v>3427</v>
      </c>
      <c r="S916" t="s">
        <v>63</v>
      </c>
      <c r="T916" t="s">
        <v>64</v>
      </c>
      <c r="U916" t="s">
        <v>65</v>
      </c>
      <c r="W916" s="26">
        <v>45558</v>
      </c>
      <c r="X916" t="s">
        <v>61</v>
      </c>
      <c r="Y916" t="s">
        <v>237</v>
      </c>
    </row>
    <row r="917" spans="1:25" x14ac:dyDescent="0.25">
      <c r="A917" t="s">
        <v>3428</v>
      </c>
      <c r="B917">
        <v>11</v>
      </c>
      <c r="C917">
        <v>93</v>
      </c>
      <c r="D917">
        <v>9060</v>
      </c>
      <c r="E917" t="s">
        <v>203</v>
      </c>
      <c r="F917" t="s">
        <v>187</v>
      </c>
      <c r="G917" t="s">
        <v>3429</v>
      </c>
      <c r="H917" s="26">
        <v>19628</v>
      </c>
      <c r="I917" t="s">
        <v>58</v>
      </c>
      <c r="J917" t="s">
        <v>3430</v>
      </c>
      <c r="M917">
        <v>93290</v>
      </c>
      <c r="N917" t="s">
        <v>1332</v>
      </c>
      <c r="O917" t="s">
        <v>61</v>
      </c>
      <c r="P917">
        <v>33786637912</v>
      </c>
      <c r="Q917">
        <v>786637912</v>
      </c>
      <c r="R917" t="s">
        <v>3431</v>
      </c>
      <c r="S917" t="s">
        <v>63</v>
      </c>
      <c r="T917" t="s">
        <v>64</v>
      </c>
      <c r="U917" t="s">
        <v>65</v>
      </c>
      <c r="W917" s="26">
        <v>45546</v>
      </c>
      <c r="X917" t="s">
        <v>61</v>
      </c>
      <c r="Y917" t="s">
        <v>237</v>
      </c>
    </row>
    <row r="918" spans="1:25" x14ac:dyDescent="0.25">
      <c r="A918" t="s">
        <v>11249</v>
      </c>
      <c r="B918">
        <v>11</v>
      </c>
      <c r="C918">
        <v>93</v>
      </c>
      <c r="D918">
        <v>9060</v>
      </c>
      <c r="E918" t="s">
        <v>203</v>
      </c>
      <c r="F918" t="s">
        <v>100</v>
      </c>
      <c r="G918" t="s">
        <v>11250</v>
      </c>
      <c r="H918" s="26">
        <v>17137</v>
      </c>
      <c r="I918" t="s">
        <v>58</v>
      </c>
      <c r="J918" t="s">
        <v>11251</v>
      </c>
      <c r="M918">
        <v>93370</v>
      </c>
      <c r="N918" t="s">
        <v>10753</v>
      </c>
      <c r="O918" t="s">
        <v>61</v>
      </c>
      <c r="Q918">
        <v>612464544</v>
      </c>
      <c r="R918" t="s">
        <v>11252</v>
      </c>
      <c r="S918" t="s">
        <v>63</v>
      </c>
      <c r="T918" t="s">
        <v>64</v>
      </c>
      <c r="U918" t="s">
        <v>65</v>
      </c>
      <c r="W918" s="26">
        <v>45589</v>
      </c>
      <c r="X918" t="s">
        <v>61</v>
      </c>
      <c r="Y918" t="s">
        <v>237</v>
      </c>
    </row>
    <row r="919" spans="1:25" x14ac:dyDescent="0.25">
      <c r="A919" t="s">
        <v>3432</v>
      </c>
      <c r="B919">
        <v>11</v>
      </c>
      <c r="C919">
        <v>78</v>
      </c>
      <c r="D919">
        <v>9030</v>
      </c>
      <c r="E919" t="s">
        <v>96</v>
      </c>
      <c r="F919" t="s">
        <v>103</v>
      </c>
      <c r="G919" t="s">
        <v>3433</v>
      </c>
      <c r="H919" s="26">
        <v>18794</v>
      </c>
      <c r="I919" t="s">
        <v>58</v>
      </c>
      <c r="J919" t="s">
        <v>3434</v>
      </c>
      <c r="M919">
        <v>78114</v>
      </c>
      <c r="N919" t="s">
        <v>263</v>
      </c>
      <c r="O919" t="s">
        <v>61</v>
      </c>
      <c r="P919">
        <v>981003105</v>
      </c>
      <c r="Q919">
        <v>671223883</v>
      </c>
      <c r="R919" t="s">
        <v>3435</v>
      </c>
      <c r="S919" t="s">
        <v>63</v>
      </c>
      <c r="T919" t="s">
        <v>64</v>
      </c>
      <c r="U919" t="s">
        <v>65</v>
      </c>
      <c r="W919" s="26">
        <v>45540</v>
      </c>
      <c r="X919" t="s">
        <v>61</v>
      </c>
      <c r="Y919" t="s">
        <v>237</v>
      </c>
    </row>
    <row r="920" spans="1:25" x14ac:dyDescent="0.25">
      <c r="A920" t="s">
        <v>10631</v>
      </c>
      <c r="B920">
        <v>11</v>
      </c>
      <c r="C920">
        <v>93</v>
      </c>
      <c r="D920">
        <v>9060</v>
      </c>
      <c r="E920" t="s">
        <v>203</v>
      </c>
      <c r="F920" t="s">
        <v>887</v>
      </c>
      <c r="G920" t="s">
        <v>10632</v>
      </c>
      <c r="H920" s="26">
        <v>20631</v>
      </c>
      <c r="I920" t="s">
        <v>58</v>
      </c>
      <c r="J920" t="s">
        <v>10633</v>
      </c>
      <c r="M920">
        <v>77500</v>
      </c>
      <c r="N920" t="s">
        <v>637</v>
      </c>
      <c r="O920" t="s">
        <v>61</v>
      </c>
      <c r="Q920">
        <v>660827630</v>
      </c>
      <c r="R920" t="s">
        <v>10634</v>
      </c>
      <c r="S920" t="s">
        <v>63</v>
      </c>
      <c r="T920" t="s">
        <v>64</v>
      </c>
      <c r="U920" t="s">
        <v>65</v>
      </c>
      <c r="W920" s="26">
        <v>45576</v>
      </c>
      <c r="X920" t="s">
        <v>61</v>
      </c>
      <c r="Y920" t="s">
        <v>237</v>
      </c>
    </row>
    <row r="921" spans="1:25" x14ac:dyDescent="0.25">
      <c r="A921" t="s">
        <v>11253</v>
      </c>
      <c r="B921">
        <v>11</v>
      </c>
      <c r="C921">
        <v>93</v>
      </c>
      <c r="D921">
        <v>9060</v>
      </c>
      <c r="E921" t="s">
        <v>203</v>
      </c>
      <c r="F921" t="s">
        <v>1883</v>
      </c>
      <c r="G921" t="s">
        <v>11254</v>
      </c>
      <c r="H921" s="26">
        <v>18363</v>
      </c>
      <c r="I921" t="s">
        <v>58</v>
      </c>
      <c r="J921" t="s">
        <v>11255</v>
      </c>
      <c r="M921">
        <v>93470</v>
      </c>
      <c r="N921" t="s">
        <v>11256</v>
      </c>
      <c r="O921" t="s">
        <v>61</v>
      </c>
      <c r="P921">
        <v>143512302</v>
      </c>
      <c r="Q921">
        <v>607795260</v>
      </c>
      <c r="R921" t="s">
        <v>11257</v>
      </c>
      <c r="S921" t="s">
        <v>63</v>
      </c>
      <c r="T921" t="s">
        <v>64</v>
      </c>
      <c r="U921" t="s">
        <v>65</v>
      </c>
      <c r="W921" s="26">
        <v>45592</v>
      </c>
      <c r="X921" t="s">
        <v>61</v>
      </c>
      <c r="Y921" t="s">
        <v>237</v>
      </c>
    </row>
    <row r="922" spans="1:25" x14ac:dyDescent="0.25">
      <c r="A922" t="s">
        <v>3436</v>
      </c>
      <c r="B922">
        <v>11</v>
      </c>
      <c r="C922">
        <v>77</v>
      </c>
      <c r="D922">
        <v>9105</v>
      </c>
      <c r="E922" t="s">
        <v>124</v>
      </c>
      <c r="F922" t="s">
        <v>1991</v>
      </c>
      <c r="G922" t="s">
        <v>3437</v>
      </c>
      <c r="H922" s="26">
        <v>20063</v>
      </c>
      <c r="I922" t="s">
        <v>58</v>
      </c>
      <c r="J922" t="s">
        <v>3438</v>
      </c>
      <c r="M922">
        <v>77550</v>
      </c>
      <c r="N922" t="s">
        <v>1304</v>
      </c>
      <c r="O922" t="s">
        <v>61</v>
      </c>
      <c r="Q922">
        <v>612501426</v>
      </c>
      <c r="R922" t="s">
        <v>3439</v>
      </c>
      <c r="S922" t="s">
        <v>63</v>
      </c>
      <c r="T922" t="s">
        <v>64</v>
      </c>
      <c r="U922" t="s">
        <v>65</v>
      </c>
      <c r="W922" s="26">
        <v>45548</v>
      </c>
      <c r="X922" t="s">
        <v>61</v>
      </c>
      <c r="Y922" t="s">
        <v>237</v>
      </c>
    </row>
    <row r="923" spans="1:25" x14ac:dyDescent="0.25">
      <c r="A923" t="s">
        <v>3440</v>
      </c>
      <c r="B923">
        <v>11</v>
      </c>
      <c r="C923">
        <v>78</v>
      </c>
      <c r="D923">
        <v>9084</v>
      </c>
      <c r="E923" t="s">
        <v>216</v>
      </c>
      <c r="F923" t="s">
        <v>13</v>
      </c>
      <c r="G923" t="s">
        <v>3441</v>
      </c>
      <c r="H923" s="26">
        <v>20657</v>
      </c>
      <c r="I923" t="s">
        <v>58</v>
      </c>
      <c r="J923" t="s">
        <v>3442</v>
      </c>
      <c r="M923">
        <v>78540</v>
      </c>
      <c r="N923" t="s">
        <v>1059</v>
      </c>
      <c r="O923" t="s">
        <v>61</v>
      </c>
      <c r="P923">
        <v>139716972</v>
      </c>
      <c r="Q923">
        <v>623435038</v>
      </c>
      <c r="R923" t="s">
        <v>3443</v>
      </c>
      <c r="S923" t="s">
        <v>63</v>
      </c>
      <c r="T923" t="s">
        <v>64</v>
      </c>
      <c r="U923" t="s">
        <v>65</v>
      </c>
      <c r="W923" s="26">
        <v>45532</v>
      </c>
      <c r="X923" t="s">
        <v>61</v>
      </c>
      <c r="Y923" t="s">
        <v>237</v>
      </c>
    </row>
    <row r="924" spans="1:25" x14ac:dyDescent="0.25">
      <c r="A924" t="s">
        <v>3444</v>
      </c>
      <c r="B924">
        <v>11</v>
      </c>
      <c r="C924">
        <v>78</v>
      </c>
      <c r="D924">
        <v>9002</v>
      </c>
      <c r="E924" t="s">
        <v>558</v>
      </c>
      <c r="F924" t="s">
        <v>103</v>
      </c>
      <c r="G924" t="s">
        <v>3445</v>
      </c>
      <c r="H924" s="26">
        <v>20292</v>
      </c>
      <c r="I924" t="s">
        <v>58</v>
      </c>
      <c r="J924" t="s">
        <v>3446</v>
      </c>
      <c r="M924">
        <v>78710</v>
      </c>
      <c r="N924" t="s">
        <v>2138</v>
      </c>
      <c r="O924" t="s">
        <v>61</v>
      </c>
      <c r="R924" t="s">
        <v>3447</v>
      </c>
      <c r="S924" t="s">
        <v>63</v>
      </c>
      <c r="T924" t="s">
        <v>64</v>
      </c>
      <c r="U924" t="s">
        <v>65</v>
      </c>
      <c r="W924" s="26">
        <v>45558</v>
      </c>
      <c r="X924" t="s">
        <v>61</v>
      </c>
      <c r="Y924" t="s">
        <v>237</v>
      </c>
    </row>
    <row r="925" spans="1:25" x14ac:dyDescent="0.25">
      <c r="A925" t="s">
        <v>3448</v>
      </c>
      <c r="B925">
        <v>11</v>
      </c>
      <c r="C925">
        <v>93</v>
      </c>
      <c r="D925">
        <v>9060</v>
      </c>
      <c r="E925" t="s">
        <v>203</v>
      </c>
      <c r="F925" t="s">
        <v>106</v>
      </c>
      <c r="G925" t="s">
        <v>3449</v>
      </c>
      <c r="H925" s="26">
        <v>20066</v>
      </c>
      <c r="I925" t="s">
        <v>58</v>
      </c>
      <c r="J925" t="s">
        <v>3450</v>
      </c>
      <c r="M925">
        <v>77290</v>
      </c>
      <c r="N925" t="s">
        <v>1559</v>
      </c>
      <c r="O925" t="s">
        <v>61</v>
      </c>
      <c r="P925">
        <v>164275945</v>
      </c>
      <c r="Q925">
        <v>683406541</v>
      </c>
      <c r="R925" t="s">
        <v>3451</v>
      </c>
      <c r="S925" t="s">
        <v>63</v>
      </c>
      <c r="T925" t="s">
        <v>64</v>
      </c>
      <c r="U925" t="s">
        <v>65</v>
      </c>
      <c r="W925" s="26">
        <v>45556</v>
      </c>
      <c r="X925" t="s">
        <v>61</v>
      </c>
      <c r="Y925" t="s">
        <v>237</v>
      </c>
    </row>
    <row r="926" spans="1:25" x14ac:dyDescent="0.25">
      <c r="A926" t="s">
        <v>3452</v>
      </c>
      <c r="B926">
        <v>11</v>
      </c>
      <c r="C926">
        <v>93</v>
      </c>
      <c r="D926">
        <v>9060</v>
      </c>
      <c r="E926" t="s">
        <v>203</v>
      </c>
      <c r="F926" t="s">
        <v>693</v>
      </c>
      <c r="G926" t="s">
        <v>347</v>
      </c>
      <c r="H926" s="26">
        <v>27505</v>
      </c>
      <c r="I926" t="s">
        <v>16</v>
      </c>
      <c r="J926" t="s">
        <v>8980</v>
      </c>
      <c r="M926">
        <v>93360</v>
      </c>
      <c r="N926" t="s">
        <v>291</v>
      </c>
      <c r="O926" t="s">
        <v>61</v>
      </c>
      <c r="P926">
        <v>622116327</v>
      </c>
      <c r="Q926">
        <v>622116327</v>
      </c>
      <c r="R926" t="s">
        <v>3453</v>
      </c>
      <c r="S926" t="s">
        <v>63</v>
      </c>
      <c r="T926" t="s">
        <v>64</v>
      </c>
      <c r="U926" t="s">
        <v>65</v>
      </c>
      <c r="W926" s="26">
        <v>45556</v>
      </c>
      <c r="X926" t="s">
        <v>61</v>
      </c>
      <c r="Y926" t="s">
        <v>237</v>
      </c>
    </row>
    <row r="927" spans="1:25" x14ac:dyDescent="0.25">
      <c r="A927" t="s">
        <v>3454</v>
      </c>
      <c r="B927">
        <v>11</v>
      </c>
      <c r="C927">
        <v>93</v>
      </c>
      <c r="D927">
        <v>9060</v>
      </c>
      <c r="E927" t="s">
        <v>203</v>
      </c>
      <c r="F927" t="s">
        <v>160</v>
      </c>
      <c r="G927" t="s">
        <v>3455</v>
      </c>
      <c r="H927" s="26">
        <v>21782</v>
      </c>
      <c r="I927" t="s">
        <v>58</v>
      </c>
      <c r="J927" t="s">
        <v>3456</v>
      </c>
      <c r="M927">
        <v>93100</v>
      </c>
      <c r="N927" t="s">
        <v>3132</v>
      </c>
      <c r="O927" t="s">
        <v>61</v>
      </c>
      <c r="Q927">
        <v>753912641</v>
      </c>
      <c r="R927" t="s">
        <v>3457</v>
      </c>
      <c r="S927" t="s">
        <v>63</v>
      </c>
      <c r="T927" t="s">
        <v>64</v>
      </c>
      <c r="U927" t="s">
        <v>65</v>
      </c>
      <c r="W927" s="26">
        <v>45556</v>
      </c>
      <c r="X927" t="s">
        <v>61</v>
      </c>
      <c r="Y927" t="s">
        <v>237</v>
      </c>
    </row>
    <row r="928" spans="1:25" x14ac:dyDescent="0.25">
      <c r="A928" t="s">
        <v>3458</v>
      </c>
      <c r="B928">
        <v>11</v>
      </c>
      <c r="C928">
        <v>78</v>
      </c>
      <c r="D928">
        <v>9084</v>
      </c>
      <c r="E928" t="s">
        <v>216</v>
      </c>
      <c r="F928" t="s">
        <v>3459</v>
      </c>
      <c r="G928" t="s">
        <v>3460</v>
      </c>
      <c r="H928" s="26">
        <v>18174</v>
      </c>
      <c r="I928" t="s">
        <v>16</v>
      </c>
      <c r="J928" t="s">
        <v>3461</v>
      </c>
      <c r="M928">
        <v>78740</v>
      </c>
      <c r="N928" t="s">
        <v>2783</v>
      </c>
      <c r="O928" t="s">
        <v>61</v>
      </c>
      <c r="Q928">
        <v>676704191</v>
      </c>
      <c r="R928" t="s">
        <v>3462</v>
      </c>
      <c r="S928" t="s">
        <v>63</v>
      </c>
      <c r="T928" t="s">
        <v>64</v>
      </c>
      <c r="U928" t="s">
        <v>65</v>
      </c>
      <c r="W928" s="26">
        <v>45565</v>
      </c>
      <c r="X928" t="s">
        <v>61</v>
      </c>
      <c r="Y928" t="s">
        <v>237</v>
      </c>
    </row>
    <row r="929" spans="1:25" x14ac:dyDescent="0.25">
      <c r="A929" t="s">
        <v>11258</v>
      </c>
      <c r="B929">
        <v>11</v>
      </c>
      <c r="C929">
        <v>95</v>
      </c>
      <c r="D929">
        <v>9010</v>
      </c>
      <c r="E929" t="s">
        <v>6</v>
      </c>
      <c r="F929" t="s">
        <v>1464</v>
      </c>
      <c r="G929" t="s">
        <v>11259</v>
      </c>
      <c r="H929" s="26">
        <v>24098</v>
      </c>
      <c r="I929" t="s">
        <v>58</v>
      </c>
      <c r="J929" t="s">
        <v>11260</v>
      </c>
      <c r="M929">
        <v>95230</v>
      </c>
      <c r="N929" t="s">
        <v>11261</v>
      </c>
      <c r="O929" t="s">
        <v>61</v>
      </c>
      <c r="R929" t="s">
        <v>11262</v>
      </c>
      <c r="S929" t="s">
        <v>63</v>
      </c>
      <c r="T929" t="s">
        <v>64</v>
      </c>
      <c r="U929" t="s">
        <v>1636</v>
      </c>
      <c r="W929" s="26">
        <v>45588</v>
      </c>
      <c r="X929" t="s">
        <v>61</v>
      </c>
      <c r="Y929" t="s">
        <v>237</v>
      </c>
    </row>
    <row r="930" spans="1:25" x14ac:dyDescent="0.25">
      <c r="A930" t="s">
        <v>11263</v>
      </c>
      <c r="B930">
        <v>11</v>
      </c>
      <c r="C930">
        <v>95</v>
      </c>
      <c r="D930">
        <v>9010</v>
      </c>
      <c r="E930" t="s">
        <v>6</v>
      </c>
      <c r="F930" t="s">
        <v>3313</v>
      </c>
      <c r="G930" t="s">
        <v>11259</v>
      </c>
      <c r="H930" s="26">
        <v>39123</v>
      </c>
      <c r="I930" t="s">
        <v>58</v>
      </c>
      <c r="J930" t="s">
        <v>11260</v>
      </c>
      <c r="M930">
        <v>95230</v>
      </c>
      <c r="N930" t="s">
        <v>11261</v>
      </c>
      <c r="O930" t="s">
        <v>61</v>
      </c>
      <c r="Q930">
        <v>609485414</v>
      </c>
      <c r="R930" t="s">
        <v>11262</v>
      </c>
      <c r="S930" t="s">
        <v>63</v>
      </c>
      <c r="T930" t="s">
        <v>2510</v>
      </c>
      <c r="U930" t="s">
        <v>1636</v>
      </c>
      <c r="W930" s="26">
        <v>45588</v>
      </c>
      <c r="X930" t="s">
        <v>61</v>
      </c>
      <c r="Y930" t="s">
        <v>237</v>
      </c>
    </row>
    <row r="931" spans="1:25" x14ac:dyDescent="0.25">
      <c r="A931" t="s">
        <v>3463</v>
      </c>
      <c r="B931">
        <v>11</v>
      </c>
      <c r="C931">
        <v>91</v>
      </c>
      <c r="D931">
        <v>9009</v>
      </c>
      <c r="E931" t="s">
        <v>159</v>
      </c>
      <c r="F931" t="s">
        <v>3464</v>
      </c>
      <c r="G931" t="s">
        <v>3465</v>
      </c>
      <c r="H931" s="26">
        <v>18650</v>
      </c>
      <c r="I931" t="s">
        <v>58</v>
      </c>
      <c r="J931" t="s">
        <v>3466</v>
      </c>
      <c r="K931" t="s">
        <v>3467</v>
      </c>
      <c r="M931">
        <v>94400</v>
      </c>
      <c r="N931" t="s">
        <v>406</v>
      </c>
      <c r="O931" t="s">
        <v>61</v>
      </c>
      <c r="P931">
        <v>675313713</v>
      </c>
      <c r="R931" t="s">
        <v>3468</v>
      </c>
      <c r="S931" t="s">
        <v>63</v>
      </c>
      <c r="T931" t="s">
        <v>64</v>
      </c>
      <c r="U931" t="s">
        <v>65</v>
      </c>
      <c r="W931" s="26">
        <v>45541</v>
      </c>
      <c r="X931" t="s">
        <v>61</v>
      </c>
      <c r="Y931" t="s">
        <v>237</v>
      </c>
    </row>
    <row r="932" spans="1:25" x14ac:dyDescent="0.25">
      <c r="A932" t="s">
        <v>3469</v>
      </c>
      <c r="B932">
        <v>11</v>
      </c>
      <c r="C932">
        <v>91</v>
      </c>
      <c r="D932">
        <v>9009</v>
      </c>
      <c r="E932" t="s">
        <v>159</v>
      </c>
      <c r="F932" t="s">
        <v>887</v>
      </c>
      <c r="G932" t="s">
        <v>3470</v>
      </c>
      <c r="H932" s="26">
        <v>20541</v>
      </c>
      <c r="I932" t="s">
        <v>58</v>
      </c>
      <c r="J932" t="s">
        <v>3471</v>
      </c>
      <c r="M932">
        <v>94400</v>
      </c>
      <c r="N932" t="s">
        <v>406</v>
      </c>
      <c r="O932" t="s">
        <v>61</v>
      </c>
      <c r="P932">
        <v>619553740</v>
      </c>
      <c r="R932" t="s">
        <v>3472</v>
      </c>
      <c r="S932" t="s">
        <v>63</v>
      </c>
      <c r="T932" t="s">
        <v>64</v>
      </c>
      <c r="U932" t="s">
        <v>65</v>
      </c>
      <c r="W932" s="26">
        <v>45541</v>
      </c>
      <c r="X932" t="s">
        <v>61</v>
      </c>
      <c r="Y932" t="s">
        <v>237</v>
      </c>
    </row>
    <row r="933" spans="1:25" x14ac:dyDescent="0.25">
      <c r="A933" t="s">
        <v>3473</v>
      </c>
      <c r="B933">
        <v>11</v>
      </c>
      <c r="C933">
        <v>94</v>
      </c>
      <c r="D933">
        <v>9024</v>
      </c>
      <c r="E933" t="s">
        <v>4</v>
      </c>
      <c r="F933" t="s">
        <v>289</v>
      </c>
      <c r="G933" t="s">
        <v>3474</v>
      </c>
      <c r="H933" s="26">
        <v>20389</v>
      </c>
      <c r="I933" t="s">
        <v>58</v>
      </c>
      <c r="J933" t="s">
        <v>3475</v>
      </c>
      <c r="M933">
        <v>75012</v>
      </c>
      <c r="N933" t="s">
        <v>330</v>
      </c>
      <c r="O933" t="s">
        <v>61</v>
      </c>
      <c r="Q933">
        <v>610491964</v>
      </c>
      <c r="R933" t="s">
        <v>3476</v>
      </c>
      <c r="S933" t="s">
        <v>63</v>
      </c>
      <c r="T933" t="s">
        <v>64</v>
      </c>
      <c r="U933" t="s">
        <v>65</v>
      </c>
      <c r="W933" s="26">
        <v>45551</v>
      </c>
      <c r="X933" t="s">
        <v>61</v>
      </c>
      <c r="Y933" t="s">
        <v>237</v>
      </c>
    </row>
    <row r="934" spans="1:25" x14ac:dyDescent="0.25">
      <c r="A934" t="s">
        <v>3477</v>
      </c>
      <c r="B934">
        <v>11</v>
      </c>
      <c r="C934">
        <v>77</v>
      </c>
      <c r="D934">
        <v>9105</v>
      </c>
      <c r="E934" t="s">
        <v>124</v>
      </c>
      <c r="F934" t="s">
        <v>85</v>
      </c>
      <c r="G934" t="s">
        <v>3478</v>
      </c>
      <c r="H934" s="26">
        <v>20763</v>
      </c>
      <c r="I934" t="s">
        <v>58</v>
      </c>
      <c r="J934" t="s">
        <v>3479</v>
      </c>
      <c r="M934">
        <v>77310</v>
      </c>
      <c r="N934" t="s">
        <v>3480</v>
      </c>
      <c r="O934" t="s">
        <v>61</v>
      </c>
      <c r="Q934">
        <v>608689107</v>
      </c>
      <c r="R934" t="s">
        <v>3481</v>
      </c>
      <c r="S934" t="s">
        <v>63</v>
      </c>
      <c r="T934" t="s">
        <v>64</v>
      </c>
      <c r="U934" t="s">
        <v>65</v>
      </c>
      <c r="W934" s="26">
        <v>45541</v>
      </c>
      <c r="X934" t="s">
        <v>61</v>
      </c>
      <c r="Y934" t="s">
        <v>237</v>
      </c>
    </row>
    <row r="935" spans="1:25" x14ac:dyDescent="0.25">
      <c r="A935" t="s">
        <v>3482</v>
      </c>
      <c r="B935">
        <v>11</v>
      </c>
      <c r="C935">
        <v>77</v>
      </c>
      <c r="D935">
        <v>9105</v>
      </c>
      <c r="E935" t="s">
        <v>124</v>
      </c>
      <c r="F935" t="s">
        <v>1019</v>
      </c>
      <c r="G935" t="s">
        <v>3483</v>
      </c>
      <c r="H935" s="26">
        <v>23338</v>
      </c>
      <c r="I935" t="s">
        <v>58</v>
      </c>
      <c r="J935" t="s">
        <v>3484</v>
      </c>
      <c r="M935">
        <v>77390</v>
      </c>
      <c r="N935" t="s">
        <v>3485</v>
      </c>
      <c r="O935" t="s">
        <v>61</v>
      </c>
      <c r="Q935">
        <v>6857725147</v>
      </c>
      <c r="R935" t="s">
        <v>3486</v>
      </c>
      <c r="S935" t="s">
        <v>63</v>
      </c>
      <c r="T935" t="s">
        <v>64</v>
      </c>
      <c r="U935" t="s">
        <v>65</v>
      </c>
      <c r="W935" s="26">
        <v>45548</v>
      </c>
      <c r="X935" t="s">
        <v>61</v>
      </c>
      <c r="Y935" t="s">
        <v>237</v>
      </c>
    </row>
    <row r="936" spans="1:25" x14ac:dyDescent="0.25">
      <c r="A936" t="s">
        <v>3487</v>
      </c>
      <c r="B936">
        <v>11</v>
      </c>
      <c r="C936">
        <v>91</v>
      </c>
      <c r="D936">
        <v>9009</v>
      </c>
      <c r="E936" t="s">
        <v>159</v>
      </c>
      <c r="F936" t="s">
        <v>97</v>
      </c>
      <c r="G936" t="s">
        <v>3488</v>
      </c>
      <c r="H936" s="26">
        <v>18703</v>
      </c>
      <c r="I936" t="s">
        <v>58</v>
      </c>
      <c r="J936" t="s">
        <v>3489</v>
      </c>
      <c r="M936">
        <v>92160</v>
      </c>
      <c r="N936" t="s">
        <v>320</v>
      </c>
      <c r="O936" t="s">
        <v>61</v>
      </c>
      <c r="P936">
        <v>146663536</v>
      </c>
      <c r="Q936">
        <v>612089812</v>
      </c>
      <c r="R936" t="s">
        <v>3490</v>
      </c>
      <c r="S936" t="s">
        <v>63</v>
      </c>
      <c r="T936" t="s">
        <v>64</v>
      </c>
      <c r="U936" t="s">
        <v>65</v>
      </c>
      <c r="W936" s="26">
        <v>45546</v>
      </c>
      <c r="X936" t="s">
        <v>61</v>
      </c>
      <c r="Y936" t="s">
        <v>237</v>
      </c>
    </row>
    <row r="937" spans="1:25" x14ac:dyDescent="0.25">
      <c r="A937" t="s">
        <v>3491</v>
      </c>
      <c r="B937">
        <v>11</v>
      </c>
      <c r="C937">
        <v>77</v>
      </c>
      <c r="D937">
        <v>9077</v>
      </c>
      <c r="E937" t="s">
        <v>90</v>
      </c>
      <c r="F937" t="s">
        <v>457</v>
      </c>
      <c r="G937" t="s">
        <v>3492</v>
      </c>
      <c r="H937" s="26">
        <v>17502</v>
      </c>
      <c r="I937" t="s">
        <v>58</v>
      </c>
      <c r="J937" t="s">
        <v>3493</v>
      </c>
      <c r="M937">
        <v>77120</v>
      </c>
      <c r="N937" t="s">
        <v>803</v>
      </c>
      <c r="O937" t="s">
        <v>61</v>
      </c>
      <c r="P937">
        <v>164650879</v>
      </c>
      <c r="S937" t="s">
        <v>63</v>
      </c>
      <c r="T937" t="s">
        <v>64</v>
      </c>
      <c r="U937" t="s">
        <v>65</v>
      </c>
      <c r="W937" s="26">
        <v>45562</v>
      </c>
      <c r="X937" t="s">
        <v>61</v>
      </c>
      <c r="Y937" t="s">
        <v>237</v>
      </c>
    </row>
    <row r="938" spans="1:25" x14ac:dyDescent="0.25">
      <c r="A938" t="s">
        <v>3494</v>
      </c>
      <c r="B938">
        <v>11</v>
      </c>
      <c r="C938">
        <v>95</v>
      </c>
      <c r="D938">
        <v>9069</v>
      </c>
      <c r="E938" t="s">
        <v>129</v>
      </c>
      <c r="F938" t="s">
        <v>289</v>
      </c>
      <c r="G938" t="s">
        <v>3495</v>
      </c>
      <c r="H938" s="26">
        <v>20987</v>
      </c>
      <c r="I938" t="s">
        <v>58</v>
      </c>
      <c r="J938" t="s">
        <v>3496</v>
      </c>
      <c r="M938">
        <v>95160</v>
      </c>
      <c r="N938" t="s">
        <v>639</v>
      </c>
      <c r="O938" t="s">
        <v>61</v>
      </c>
      <c r="Q938">
        <v>681062681</v>
      </c>
      <c r="R938" t="s">
        <v>3497</v>
      </c>
      <c r="S938" t="s">
        <v>63</v>
      </c>
      <c r="T938" t="s">
        <v>64</v>
      </c>
      <c r="U938" t="s">
        <v>65</v>
      </c>
      <c r="W938" s="26">
        <v>45552</v>
      </c>
      <c r="X938" t="s">
        <v>61</v>
      </c>
      <c r="Y938" t="s">
        <v>237</v>
      </c>
    </row>
    <row r="939" spans="1:25" x14ac:dyDescent="0.25">
      <c r="A939" t="s">
        <v>3498</v>
      </c>
      <c r="B939">
        <v>11</v>
      </c>
      <c r="C939">
        <v>91</v>
      </c>
      <c r="D939">
        <v>9064</v>
      </c>
      <c r="E939" t="s">
        <v>266</v>
      </c>
      <c r="F939" t="s">
        <v>187</v>
      </c>
      <c r="G939" t="s">
        <v>3499</v>
      </c>
      <c r="H939" s="26">
        <v>14391</v>
      </c>
      <c r="I939" t="s">
        <v>58</v>
      </c>
      <c r="J939" t="s">
        <v>3500</v>
      </c>
      <c r="M939">
        <v>91300</v>
      </c>
      <c r="N939" t="s">
        <v>675</v>
      </c>
      <c r="O939" t="s">
        <v>61</v>
      </c>
      <c r="Q939">
        <v>608521641</v>
      </c>
      <c r="R939" t="s">
        <v>3501</v>
      </c>
      <c r="S939" t="s">
        <v>63</v>
      </c>
      <c r="T939" t="s">
        <v>64</v>
      </c>
      <c r="U939" t="s">
        <v>65</v>
      </c>
      <c r="W939" s="26">
        <v>45560</v>
      </c>
      <c r="X939" t="s">
        <v>61</v>
      </c>
      <c r="Y939" t="s">
        <v>237</v>
      </c>
    </row>
    <row r="940" spans="1:25" x14ac:dyDescent="0.25">
      <c r="A940" t="s">
        <v>3502</v>
      </c>
      <c r="B940">
        <v>11</v>
      </c>
      <c r="C940">
        <v>91</v>
      </c>
      <c r="D940">
        <v>9025</v>
      </c>
      <c r="E940" t="s">
        <v>188</v>
      </c>
      <c r="F940" t="s">
        <v>3503</v>
      </c>
      <c r="G940" t="s">
        <v>3504</v>
      </c>
      <c r="H940" s="26">
        <v>18171</v>
      </c>
      <c r="I940" t="s">
        <v>16</v>
      </c>
      <c r="J940" t="s">
        <v>3505</v>
      </c>
      <c r="M940">
        <v>91100</v>
      </c>
      <c r="N940" t="s">
        <v>1427</v>
      </c>
      <c r="O940" t="s">
        <v>61</v>
      </c>
      <c r="Q940">
        <v>651739205</v>
      </c>
      <c r="R940" t="s">
        <v>3506</v>
      </c>
      <c r="S940" t="s">
        <v>63</v>
      </c>
      <c r="T940" t="s">
        <v>64</v>
      </c>
      <c r="U940" t="s">
        <v>65</v>
      </c>
      <c r="W940" s="26">
        <v>45546</v>
      </c>
      <c r="X940" t="s">
        <v>61</v>
      </c>
      <c r="Y940" t="s">
        <v>237</v>
      </c>
    </row>
    <row r="941" spans="1:25" x14ac:dyDescent="0.25">
      <c r="A941" t="s">
        <v>3507</v>
      </c>
      <c r="B941">
        <v>11</v>
      </c>
      <c r="C941">
        <v>91</v>
      </c>
      <c r="D941">
        <v>9082</v>
      </c>
      <c r="E941" t="s">
        <v>67</v>
      </c>
      <c r="F941" t="s">
        <v>120</v>
      </c>
      <c r="G941" t="s">
        <v>3508</v>
      </c>
      <c r="H941" s="26">
        <v>21439</v>
      </c>
      <c r="I941" t="s">
        <v>58</v>
      </c>
      <c r="J941" t="s">
        <v>3509</v>
      </c>
      <c r="M941">
        <v>91230</v>
      </c>
      <c r="N941" t="s">
        <v>71</v>
      </c>
      <c r="O941" t="s">
        <v>61</v>
      </c>
      <c r="Q941">
        <v>625766312</v>
      </c>
      <c r="R941" t="s">
        <v>3510</v>
      </c>
      <c r="S941" t="s">
        <v>63</v>
      </c>
      <c r="T941" t="s">
        <v>64</v>
      </c>
      <c r="U941" t="s">
        <v>65</v>
      </c>
      <c r="W941" s="26">
        <v>45555</v>
      </c>
      <c r="X941" t="s">
        <v>61</v>
      </c>
      <c r="Y941" t="s">
        <v>237</v>
      </c>
    </row>
    <row r="942" spans="1:25" x14ac:dyDescent="0.25">
      <c r="A942" t="s">
        <v>3511</v>
      </c>
      <c r="B942">
        <v>11</v>
      </c>
      <c r="C942">
        <v>91</v>
      </c>
      <c r="D942">
        <v>9082</v>
      </c>
      <c r="E942" t="s">
        <v>67</v>
      </c>
      <c r="F942" t="s">
        <v>189</v>
      </c>
      <c r="G942" t="s">
        <v>3512</v>
      </c>
      <c r="H942" s="26">
        <v>21223</v>
      </c>
      <c r="I942" t="s">
        <v>58</v>
      </c>
      <c r="J942" t="s">
        <v>3513</v>
      </c>
      <c r="K942" t="s">
        <v>3514</v>
      </c>
      <c r="M942">
        <v>91210</v>
      </c>
      <c r="N942" t="s">
        <v>226</v>
      </c>
      <c r="O942" t="s">
        <v>61</v>
      </c>
      <c r="P942">
        <v>664954491</v>
      </c>
      <c r="Q942">
        <v>664954491</v>
      </c>
      <c r="R942" t="s">
        <v>3515</v>
      </c>
      <c r="S942" t="s">
        <v>63</v>
      </c>
      <c r="T942" t="s">
        <v>64</v>
      </c>
      <c r="U942" t="s">
        <v>65</v>
      </c>
      <c r="W942" s="26">
        <v>45555</v>
      </c>
      <c r="X942" t="s">
        <v>61</v>
      </c>
      <c r="Y942" t="s">
        <v>237</v>
      </c>
    </row>
    <row r="943" spans="1:25" x14ac:dyDescent="0.25">
      <c r="A943" t="s">
        <v>8981</v>
      </c>
      <c r="B943">
        <v>11</v>
      </c>
      <c r="C943">
        <v>91</v>
      </c>
      <c r="D943">
        <v>9131</v>
      </c>
      <c r="E943" t="s">
        <v>8686</v>
      </c>
      <c r="F943" t="s">
        <v>322</v>
      </c>
      <c r="G943" t="s">
        <v>8982</v>
      </c>
      <c r="H943" s="26">
        <v>18748</v>
      </c>
      <c r="I943" t="s">
        <v>58</v>
      </c>
      <c r="J943" t="s">
        <v>8983</v>
      </c>
      <c r="M943">
        <v>91210</v>
      </c>
      <c r="N943" t="s">
        <v>226</v>
      </c>
      <c r="O943" t="s">
        <v>61</v>
      </c>
      <c r="Q943">
        <v>686465549</v>
      </c>
      <c r="R943" t="s">
        <v>8984</v>
      </c>
      <c r="S943" t="s">
        <v>63</v>
      </c>
      <c r="T943" t="s">
        <v>64</v>
      </c>
      <c r="U943" t="s">
        <v>65</v>
      </c>
      <c r="W943" s="26">
        <v>45539</v>
      </c>
      <c r="X943" t="s">
        <v>61</v>
      </c>
      <c r="Y943" t="s">
        <v>237</v>
      </c>
    </row>
    <row r="944" spans="1:25" x14ac:dyDescent="0.25">
      <c r="A944" t="s">
        <v>3516</v>
      </c>
      <c r="B944">
        <v>11</v>
      </c>
      <c r="C944">
        <v>93</v>
      </c>
      <c r="D944">
        <v>9060</v>
      </c>
      <c r="E944" t="s">
        <v>203</v>
      </c>
      <c r="F944" t="s">
        <v>887</v>
      </c>
      <c r="G944" t="s">
        <v>3517</v>
      </c>
      <c r="H944" s="26">
        <v>20592</v>
      </c>
      <c r="I944" t="s">
        <v>58</v>
      </c>
      <c r="J944" t="s">
        <v>3518</v>
      </c>
      <c r="M944">
        <v>93190</v>
      </c>
      <c r="N944" t="s">
        <v>205</v>
      </c>
      <c r="O944" t="s">
        <v>61</v>
      </c>
      <c r="Q944">
        <v>628686306</v>
      </c>
      <c r="S944" t="s">
        <v>63</v>
      </c>
      <c r="T944" t="s">
        <v>64</v>
      </c>
      <c r="U944" t="s">
        <v>65</v>
      </c>
      <c r="W944" s="26">
        <v>45546</v>
      </c>
      <c r="X944" t="s">
        <v>61</v>
      </c>
      <c r="Y944" t="s">
        <v>237</v>
      </c>
    </row>
    <row r="945" spans="1:25" x14ac:dyDescent="0.25">
      <c r="A945" t="s">
        <v>3519</v>
      </c>
      <c r="B945">
        <v>11</v>
      </c>
      <c r="C945">
        <v>77</v>
      </c>
      <c r="D945">
        <v>9040</v>
      </c>
      <c r="E945" t="s">
        <v>612</v>
      </c>
      <c r="F945" t="s">
        <v>1295</v>
      </c>
      <c r="G945" t="s">
        <v>3520</v>
      </c>
      <c r="H945" s="26">
        <v>17541</v>
      </c>
      <c r="I945" t="s">
        <v>58</v>
      </c>
      <c r="J945" t="s">
        <v>3521</v>
      </c>
      <c r="M945">
        <v>77250</v>
      </c>
      <c r="N945" t="s">
        <v>3522</v>
      </c>
      <c r="O945" t="s">
        <v>61</v>
      </c>
      <c r="Q945">
        <v>632608979</v>
      </c>
      <c r="R945" t="s">
        <v>3523</v>
      </c>
      <c r="S945" t="s">
        <v>63</v>
      </c>
      <c r="T945" t="s">
        <v>64</v>
      </c>
      <c r="U945" t="s">
        <v>65</v>
      </c>
      <c r="W945" s="26">
        <v>45557</v>
      </c>
      <c r="X945" t="s">
        <v>61</v>
      </c>
      <c r="Y945" t="s">
        <v>237</v>
      </c>
    </row>
    <row r="946" spans="1:25" x14ac:dyDescent="0.25">
      <c r="A946" t="s">
        <v>10635</v>
      </c>
      <c r="B946">
        <v>11</v>
      </c>
      <c r="C946">
        <v>77</v>
      </c>
      <c r="D946">
        <v>9059</v>
      </c>
      <c r="E946" t="s">
        <v>197</v>
      </c>
      <c r="F946" t="s">
        <v>886</v>
      </c>
      <c r="G946" t="s">
        <v>10636</v>
      </c>
      <c r="H946" s="26">
        <v>19773</v>
      </c>
      <c r="I946" t="s">
        <v>58</v>
      </c>
      <c r="J946" t="s">
        <v>10637</v>
      </c>
      <c r="M946">
        <v>77330</v>
      </c>
      <c r="N946" t="s">
        <v>209</v>
      </c>
      <c r="O946" t="s">
        <v>61</v>
      </c>
      <c r="S946" t="s">
        <v>63</v>
      </c>
      <c r="T946" t="s">
        <v>64</v>
      </c>
      <c r="U946" t="s">
        <v>65</v>
      </c>
      <c r="W946" s="26">
        <v>45580</v>
      </c>
      <c r="X946" t="s">
        <v>61</v>
      </c>
      <c r="Y946" t="s">
        <v>237</v>
      </c>
    </row>
    <row r="947" spans="1:25" x14ac:dyDescent="0.25">
      <c r="A947" t="s">
        <v>3524</v>
      </c>
      <c r="B947">
        <v>11</v>
      </c>
      <c r="C947">
        <v>91</v>
      </c>
      <c r="D947">
        <v>9095</v>
      </c>
      <c r="E947" t="s">
        <v>113</v>
      </c>
      <c r="F947" t="s">
        <v>85</v>
      </c>
      <c r="G947" t="s">
        <v>330</v>
      </c>
      <c r="H947" s="26">
        <v>20345</v>
      </c>
      <c r="I947" t="s">
        <v>58</v>
      </c>
      <c r="J947" t="s">
        <v>3525</v>
      </c>
      <c r="M947">
        <v>91290</v>
      </c>
      <c r="N947" t="s">
        <v>3526</v>
      </c>
      <c r="O947" t="s">
        <v>61</v>
      </c>
      <c r="Q947">
        <v>614680280</v>
      </c>
      <c r="R947" t="s">
        <v>3527</v>
      </c>
      <c r="S947" t="s">
        <v>63</v>
      </c>
      <c r="T947" t="s">
        <v>64</v>
      </c>
      <c r="U947" t="s">
        <v>65</v>
      </c>
      <c r="W947" s="26">
        <v>45544</v>
      </c>
      <c r="X947" t="s">
        <v>61</v>
      </c>
      <c r="Y947" t="s">
        <v>237</v>
      </c>
    </row>
    <row r="948" spans="1:25" x14ac:dyDescent="0.25">
      <c r="A948" t="s">
        <v>3528</v>
      </c>
      <c r="B948">
        <v>11</v>
      </c>
      <c r="C948">
        <v>94</v>
      </c>
      <c r="D948">
        <v>9045</v>
      </c>
      <c r="E948" t="s">
        <v>1234</v>
      </c>
      <c r="F948" t="s">
        <v>472</v>
      </c>
      <c r="G948" t="s">
        <v>3529</v>
      </c>
      <c r="H948" s="26">
        <v>29806</v>
      </c>
      <c r="I948" t="s">
        <v>58</v>
      </c>
      <c r="J948" t="s">
        <v>3530</v>
      </c>
      <c r="M948">
        <v>75013</v>
      </c>
      <c r="N948" t="s">
        <v>330</v>
      </c>
      <c r="O948" t="s">
        <v>61</v>
      </c>
      <c r="P948">
        <v>641513878</v>
      </c>
      <c r="R948" t="s">
        <v>8985</v>
      </c>
      <c r="S948" t="s">
        <v>63</v>
      </c>
      <c r="T948" t="s">
        <v>64</v>
      </c>
      <c r="U948" t="s">
        <v>8684</v>
      </c>
      <c r="W948" s="26">
        <v>45532</v>
      </c>
      <c r="X948" t="s">
        <v>61</v>
      </c>
      <c r="Y948" t="s">
        <v>237</v>
      </c>
    </row>
    <row r="949" spans="1:25" x14ac:dyDescent="0.25">
      <c r="A949" t="s">
        <v>3533</v>
      </c>
      <c r="B949">
        <v>11</v>
      </c>
      <c r="C949">
        <v>78</v>
      </c>
      <c r="D949">
        <v>9084</v>
      </c>
      <c r="E949" t="s">
        <v>216</v>
      </c>
      <c r="F949" t="s">
        <v>115</v>
      </c>
      <c r="G949" t="s">
        <v>91</v>
      </c>
      <c r="H949" s="26">
        <v>16302</v>
      </c>
      <c r="I949" t="s">
        <v>58</v>
      </c>
      <c r="J949" t="s">
        <v>3534</v>
      </c>
      <c r="M949">
        <v>78380</v>
      </c>
      <c r="N949" t="s">
        <v>3535</v>
      </c>
      <c r="O949" t="s">
        <v>61</v>
      </c>
      <c r="P949">
        <v>130822921</v>
      </c>
      <c r="Q949">
        <v>608405250</v>
      </c>
      <c r="R949" t="s">
        <v>3536</v>
      </c>
      <c r="S949" t="s">
        <v>63</v>
      </c>
      <c r="T949" t="s">
        <v>64</v>
      </c>
      <c r="U949" t="s">
        <v>65</v>
      </c>
      <c r="W949" s="26">
        <v>45560</v>
      </c>
      <c r="X949" t="s">
        <v>1379</v>
      </c>
      <c r="Y949" t="s">
        <v>237</v>
      </c>
    </row>
    <row r="950" spans="1:25" x14ac:dyDescent="0.25">
      <c r="A950" t="s">
        <v>3537</v>
      </c>
      <c r="B950">
        <v>11</v>
      </c>
      <c r="C950">
        <v>92</v>
      </c>
      <c r="D950">
        <v>9007</v>
      </c>
      <c r="E950" t="s">
        <v>121</v>
      </c>
      <c r="F950" t="s">
        <v>137</v>
      </c>
      <c r="G950" t="s">
        <v>417</v>
      </c>
      <c r="H950" s="26">
        <v>20780</v>
      </c>
      <c r="I950" t="s">
        <v>58</v>
      </c>
      <c r="J950" t="s">
        <v>3538</v>
      </c>
      <c r="M950">
        <v>92700</v>
      </c>
      <c r="N950" t="s">
        <v>151</v>
      </c>
      <c r="O950" t="s">
        <v>61</v>
      </c>
      <c r="R950" t="s">
        <v>3539</v>
      </c>
      <c r="S950" t="s">
        <v>63</v>
      </c>
      <c r="T950" t="s">
        <v>64</v>
      </c>
      <c r="U950" t="s">
        <v>65</v>
      </c>
      <c r="W950" s="26">
        <v>45542</v>
      </c>
      <c r="X950" t="s">
        <v>61</v>
      </c>
      <c r="Y950" t="s">
        <v>237</v>
      </c>
    </row>
    <row r="951" spans="1:25" x14ac:dyDescent="0.25">
      <c r="A951" t="s">
        <v>3540</v>
      </c>
      <c r="B951">
        <v>11</v>
      </c>
      <c r="C951">
        <v>77</v>
      </c>
      <c r="D951">
        <v>9028</v>
      </c>
      <c r="E951" t="s">
        <v>452</v>
      </c>
      <c r="F951" t="s">
        <v>590</v>
      </c>
      <c r="G951" t="s">
        <v>3541</v>
      </c>
      <c r="H951" s="26">
        <v>25006</v>
      </c>
      <c r="I951" t="s">
        <v>58</v>
      </c>
      <c r="J951" t="s">
        <v>3542</v>
      </c>
      <c r="M951">
        <v>77171</v>
      </c>
      <c r="N951" t="s">
        <v>3543</v>
      </c>
      <c r="O951" t="s">
        <v>61</v>
      </c>
      <c r="R951" t="s">
        <v>3544</v>
      </c>
      <c r="S951" t="s">
        <v>63</v>
      </c>
      <c r="T951" t="s">
        <v>64</v>
      </c>
      <c r="U951" t="s">
        <v>65</v>
      </c>
      <c r="W951" s="26">
        <v>45555</v>
      </c>
      <c r="X951" t="s">
        <v>61</v>
      </c>
      <c r="Y951" t="s">
        <v>237</v>
      </c>
    </row>
    <row r="952" spans="1:25" x14ac:dyDescent="0.25">
      <c r="A952" t="s">
        <v>3545</v>
      </c>
      <c r="B952">
        <v>11</v>
      </c>
      <c r="C952">
        <v>95</v>
      </c>
      <c r="D952">
        <v>9069</v>
      </c>
      <c r="E952" t="s">
        <v>129</v>
      </c>
      <c r="F952" t="s">
        <v>1420</v>
      </c>
      <c r="G952" t="s">
        <v>488</v>
      </c>
      <c r="H952" s="26">
        <v>20356</v>
      </c>
      <c r="I952" t="s">
        <v>58</v>
      </c>
      <c r="J952" t="s">
        <v>3546</v>
      </c>
      <c r="M952">
        <v>95550</v>
      </c>
      <c r="N952" t="s">
        <v>1964</v>
      </c>
      <c r="O952" t="s">
        <v>61</v>
      </c>
      <c r="P952">
        <v>134125940</v>
      </c>
      <c r="Q952">
        <v>661353386</v>
      </c>
      <c r="R952" t="s">
        <v>3547</v>
      </c>
      <c r="S952" t="s">
        <v>63</v>
      </c>
      <c r="T952" t="s">
        <v>64</v>
      </c>
      <c r="U952" t="s">
        <v>65</v>
      </c>
      <c r="W952" s="26">
        <v>45525</v>
      </c>
      <c r="X952" t="s">
        <v>61</v>
      </c>
      <c r="Y952" t="s">
        <v>237</v>
      </c>
    </row>
    <row r="953" spans="1:25" x14ac:dyDescent="0.25">
      <c r="A953" t="s">
        <v>9923</v>
      </c>
      <c r="B953">
        <v>11</v>
      </c>
      <c r="C953">
        <v>77</v>
      </c>
      <c r="D953">
        <v>9028</v>
      </c>
      <c r="E953" t="s">
        <v>452</v>
      </c>
      <c r="F953" t="s">
        <v>886</v>
      </c>
      <c r="G953" t="s">
        <v>1962</v>
      </c>
      <c r="H953" s="26">
        <v>20859</v>
      </c>
      <c r="I953" t="s">
        <v>58</v>
      </c>
      <c r="J953" t="s">
        <v>9924</v>
      </c>
      <c r="M953">
        <v>77160</v>
      </c>
      <c r="N953" t="s">
        <v>458</v>
      </c>
      <c r="O953" t="s">
        <v>61</v>
      </c>
      <c r="P953">
        <v>160678338</v>
      </c>
      <c r="Q953">
        <v>684169949</v>
      </c>
      <c r="R953" t="s">
        <v>9925</v>
      </c>
      <c r="S953" t="s">
        <v>63</v>
      </c>
      <c r="T953" t="s">
        <v>64</v>
      </c>
      <c r="U953" t="s">
        <v>65</v>
      </c>
      <c r="W953" s="26">
        <v>45570</v>
      </c>
      <c r="X953" t="s">
        <v>61</v>
      </c>
      <c r="Y953" t="s">
        <v>237</v>
      </c>
    </row>
    <row r="954" spans="1:25" x14ac:dyDescent="0.25">
      <c r="A954" t="s">
        <v>3548</v>
      </c>
      <c r="B954">
        <v>11</v>
      </c>
      <c r="C954">
        <v>78</v>
      </c>
      <c r="D954">
        <v>9084</v>
      </c>
      <c r="E954" t="s">
        <v>216</v>
      </c>
      <c r="F954" t="s">
        <v>782</v>
      </c>
      <c r="G954" t="s">
        <v>3549</v>
      </c>
      <c r="H954" s="26">
        <v>19816</v>
      </c>
      <c r="I954" t="s">
        <v>58</v>
      </c>
      <c r="J954" t="s">
        <v>3550</v>
      </c>
      <c r="M954">
        <v>78130</v>
      </c>
      <c r="N954" t="s">
        <v>721</v>
      </c>
      <c r="O954" t="s">
        <v>61</v>
      </c>
      <c r="Q954">
        <v>782742063</v>
      </c>
      <c r="R954" t="s">
        <v>3551</v>
      </c>
      <c r="S954" t="s">
        <v>63</v>
      </c>
      <c r="T954" t="s">
        <v>64</v>
      </c>
      <c r="U954" t="s">
        <v>65</v>
      </c>
      <c r="W954" s="26">
        <v>45545</v>
      </c>
      <c r="X954" t="s">
        <v>61</v>
      </c>
      <c r="Y954" t="s">
        <v>237</v>
      </c>
    </row>
    <row r="955" spans="1:25" x14ac:dyDescent="0.25">
      <c r="A955" t="s">
        <v>3552</v>
      </c>
      <c r="B955">
        <v>11</v>
      </c>
      <c r="C955">
        <v>95</v>
      </c>
      <c r="D955">
        <v>9010</v>
      </c>
      <c r="E955" t="s">
        <v>6</v>
      </c>
      <c r="F955" t="s">
        <v>820</v>
      </c>
      <c r="G955" t="s">
        <v>3553</v>
      </c>
      <c r="H955" s="26">
        <v>27593</v>
      </c>
      <c r="I955" t="s">
        <v>58</v>
      </c>
      <c r="J955" t="s">
        <v>8986</v>
      </c>
      <c r="M955">
        <v>77600</v>
      </c>
      <c r="N955" t="s">
        <v>8987</v>
      </c>
      <c r="O955" t="s">
        <v>61</v>
      </c>
      <c r="Q955">
        <v>613501771</v>
      </c>
      <c r="R955" t="s">
        <v>3554</v>
      </c>
      <c r="S955" t="s">
        <v>63</v>
      </c>
      <c r="T955" t="s">
        <v>64</v>
      </c>
      <c r="U955" t="s">
        <v>1636</v>
      </c>
      <c r="V955" t="s">
        <v>111</v>
      </c>
      <c r="W955" s="26">
        <v>45537</v>
      </c>
      <c r="X955" t="s">
        <v>61</v>
      </c>
      <c r="Y955" t="s">
        <v>237</v>
      </c>
    </row>
    <row r="956" spans="1:25" x14ac:dyDescent="0.25">
      <c r="A956" t="s">
        <v>3555</v>
      </c>
      <c r="B956">
        <v>11</v>
      </c>
      <c r="C956">
        <v>78</v>
      </c>
      <c r="D956">
        <v>9002</v>
      </c>
      <c r="E956" t="s">
        <v>558</v>
      </c>
      <c r="F956" t="s">
        <v>189</v>
      </c>
      <c r="G956" t="s">
        <v>3556</v>
      </c>
      <c r="H956" s="26">
        <v>22563</v>
      </c>
      <c r="I956" t="s">
        <v>58</v>
      </c>
      <c r="J956" t="s">
        <v>3557</v>
      </c>
      <c r="M956">
        <v>78711</v>
      </c>
      <c r="N956" t="s">
        <v>2698</v>
      </c>
      <c r="O956" t="s">
        <v>61</v>
      </c>
      <c r="Q956">
        <v>618574612</v>
      </c>
      <c r="R956" t="s">
        <v>3558</v>
      </c>
      <c r="S956" t="s">
        <v>63</v>
      </c>
      <c r="T956" t="s">
        <v>64</v>
      </c>
      <c r="U956" t="s">
        <v>65</v>
      </c>
      <c r="W956" s="26">
        <v>45560</v>
      </c>
      <c r="X956" t="s">
        <v>61</v>
      </c>
      <c r="Y956" t="s">
        <v>237</v>
      </c>
    </row>
    <row r="957" spans="1:25" x14ac:dyDescent="0.25">
      <c r="A957" t="s">
        <v>10638</v>
      </c>
      <c r="B957">
        <v>11</v>
      </c>
      <c r="C957">
        <v>95</v>
      </c>
      <c r="D957">
        <v>9010</v>
      </c>
      <c r="E957" t="s">
        <v>6</v>
      </c>
      <c r="F957" t="s">
        <v>10639</v>
      </c>
      <c r="G957" t="s">
        <v>10640</v>
      </c>
      <c r="H957" s="26">
        <v>29407</v>
      </c>
      <c r="I957" t="s">
        <v>58</v>
      </c>
      <c r="J957" t="s">
        <v>10641</v>
      </c>
      <c r="M957">
        <v>95100</v>
      </c>
      <c r="N957" t="s">
        <v>311</v>
      </c>
      <c r="O957" t="s">
        <v>61</v>
      </c>
      <c r="R957" t="s">
        <v>10642</v>
      </c>
      <c r="S957" t="s">
        <v>237</v>
      </c>
      <c r="T957" t="s">
        <v>64</v>
      </c>
      <c r="U957" t="s">
        <v>8684</v>
      </c>
      <c r="W957" s="26">
        <v>45574</v>
      </c>
      <c r="X957" t="s">
        <v>61</v>
      </c>
      <c r="Y957" t="s">
        <v>237</v>
      </c>
    </row>
    <row r="958" spans="1:25" x14ac:dyDescent="0.25">
      <c r="A958" t="s">
        <v>11264</v>
      </c>
      <c r="B958">
        <v>11</v>
      </c>
      <c r="C958">
        <v>92</v>
      </c>
      <c r="D958">
        <v>9032</v>
      </c>
      <c r="E958" t="s">
        <v>102</v>
      </c>
      <c r="F958" t="s">
        <v>11265</v>
      </c>
      <c r="G958" t="s">
        <v>11266</v>
      </c>
      <c r="H958" s="26">
        <v>20706</v>
      </c>
      <c r="I958" t="s">
        <v>58</v>
      </c>
      <c r="J958" t="s">
        <v>11267</v>
      </c>
      <c r="M958">
        <v>92140</v>
      </c>
      <c r="N958" t="s">
        <v>1380</v>
      </c>
      <c r="O958" t="s">
        <v>61</v>
      </c>
      <c r="Q958">
        <v>783458575</v>
      </c>
      <c r="R958" t="s">
        <v>11268</v>
      </c>
      <c r="S958" t="s">
        <v>63</v>
      </c>
      <c r="T958" t="s">
        <v>64</v>
      </c>
      <c r="U958" t="s">
        <v>65</v>
      </c>
      <c r="W958" s="26">
        <v>45588</v>
      </c>
      <c r="X958" t="s">
        <v>61</v>
      </c>
      <c r="Y958" t="s">
        <v>237</v>
      </c>
    </row>
    <row r="959" spans="1:25" x14ac:dyDescent="0.25">
      <c r="A959" t="s">
        <v>10643</v>
      </c>
      <c r="B959">
        <v>11</v>
      </c>
      <c r="C959">
        <v>95</v>
      </c>
      <c r="D959">
        <v>9010</v>
      </c>
      <c r="E959" t="s">
        <v>6</v>
      </c>
      <c r="F959" t="s">
        <v>10644</v>
      </c>
      <c r="G959" t="s">
        <v>10645</v>
      </c>
      <c r="H959" s="26">
        <v>41178</v>
      </c>
      <c r="I959" t="s">
        <v>58</v>
      </c>
      <c r="J959" t="s">
        <v>10641</v>
      </c>
      <c r="M959">
        <v>95100</v>
      </c>
      <c r="N959" t="s">
        <v>311</v>
      </c>
      <c r="O959" t="s">
        <v>61</v>
      </c>
      <c r="R959" t="s">
        <v>10642</v>
      </c>
      <c r="S959" t="s">
        <v>237</v>
      </c>
      <c r="T959" t="s">
        <v>2510</v>
      </c>
      <c r="U959" t="s">
        <v>8684</v>
      </c>
      <c r="W959" s="26">
        <v>45574</v>
      </c>
      <c r="X959" t="s">
        <v>61</v>
      </c>
      <c r="Y959" t="s">
        <v>237</v>
      </c>
    </row>
    <row r="960" spans="1:25" x14ac:dyDescent="0.25">
      <c r="A960" t="s">
        <v>3559</v>
      </c>
      <c r="B960">
        <v>11</v>
      </c>
      <c r="C960">
        <v>78</v>
      </c>
      <c r="D960">
        <v>9084</v>
      </c>
      <c r="E960" t="s">
        <v>216</v>
      </c>
      <c r="F960" t="s">
        <v>115</v>
      </c>
      <c r="G960" t="s">
        <v>3560</v>
      </c>
      <c r="H960" s="26">
        <v>14225</v>
      </c>
      <c r="I960" t="s">
        <v>58</v>
      </c>
      <c r="J960" t="s">
        <v>3561</v>
      </c>
      <c r="M960">
        <v>78670</v>
      </c>
      <c r="N960" t="s">
        <v>1859</v>
      </c>
      <c r="O960" t="s">
        <v>61</v>
      </c>
      <c r="Q960">
        <v>617852917</v>
      </c>
      <c r="R960" t="s">
        <v>3562</v>
      </c>
      <c r="S960" t="s">
        <v>63</v>
      </c>
      <c r="T960" t="s">
        <v>64</v>
      </c>
      <c r="U960" t="s">
        <v>65</v>
      </c>
      <c r="W960" s="26">
        <v>45551</v>
      </c>
      <c r="X960" t="s">
        <v>61</v>
      </c>
      <c r="Y960" t="s">
        <v>237</v>
      </c>
    </row>
    <row r="961" spans="1:25" x14ac:dyDescent="0.25">
      <c r="A961" t="s">
        <v>3563</v>
      </c>
      <c r="B961">
        <v>11</v>
      </c>
      <c r="C961">
        <v>94</v>
      </c>
      <c r="D961">
        <v>9031</v>
      </c>
      <c r="E961" t="s">
        <v>7</v>
      </c>
      <c r="F961" t="s">
        <v>3405</v>
      </c>
      <c r="G961" t="s">
        <v>3564</v>
      </c>
      <c r="H961" s="26">
        <v>27488</v>
      </c>
      <c r="I961" t="s">
        <v>58</v>
      </c>
      <c r="J961" t="s">
        <v>3565</v>
      </c>
      <c r="K961" t="s">
        <v>163</v>
      </c>
      <c r="M961">
        <v>94700</v>
      </c>
      <c r="N961" t="s">
        <v>163</v>
      </c>
      <c r="O961" t="s">
        <v>61</v>
      </c>
      <c r="Q961">
        <v>661896777</v>
      </c>
      <c r="R961" t="s">
        <v>3566</v>
      </c>
      <c r="S961" t="s">
        <v>63</v>
      </c>
      <c r="T961" t="s">
        <v>64</v>
      </c>
      <c r="U961" t="s">
        <v>65</v>
      </c>
      <c r="W961" s="26">
        <v>45543</v>
      </c>
      <c r="X961" t="s">
        <v>61</v>
      </c>
      <c r="Y961" t="s">
        <v>237</v>
      </c>
    </row>
    <row r="962" spans="1:25" x14ac:dyDescent="0.25">
      <c r="A962" t="s">
        <v>3567</v>
      </c>
      <c r="B962">
        <v>11</v>
      </c>
      <c r="C962">
        <v>91</v>
      </c>
      <c r="D962">
        <v>9009</v>
      </c>
      <c r="E962" t="s">
        <v>159</v>
      </c>
      <c r="F962" t="s">
        <v>551</v>
      </c>
      <c r="G962" t="s">
        <v>3568</v>
      </c>
      <c r="H962" s="26">
        <v>22828</v>
      </c>
      <c r="I962" t="s">
        <v>58</v>
      </c>
      <c r="J962" t="s">
        <v>3569</v>
      </c>
      <c r="M962">
        <v>91600</v>
      </c>
      <c r="N962" t="s">
        <v>1680</v>
      </c>
      <c r="O962" t="s">
        <v>61</v>
      </c>
      <c r="R962" t="s">
        <v>3570</v>
      </c>
      <c r="S962" t="s">
        <v>63</v>
      </c>
      <c r="T962" t="s">
        <v>64</v>
      </c>
      <c r="U962" t="s">
        <v>65</v>
      </c>
      <c r="W962" s="26">
        <v>45546</v>
      </c>
      <c r="X962" t="s">
        <v>61</v>
      </c>
      <c r="Y962" t="s">
        <v>237</v>
      </c>
    </row>
    <row r="963" spans="1:25" x14ac:dyDescent="0.25">
      <c r="A963" t="s">
        <v>8988</v>
      </c>
      <c r="B963">
        <v>11</v>
      </c>
      <c r="C963">
        <v>92</v>
      </c>
      <c r="D963">
        <v>9017</v>
      </c>
      <c r="E963" t="s">
        <v>211</v>
      </c>
      <c r="F963" t="s">
        <v>8989</v>
      </c>
      <c r="G963" t="s">
        <v>8990</v>
      </c>
      <c r="H963" s="26">
        <v>26343</v>
      </c>
      <c r="I963" t="s">
        <v>58</v>
      </c>
      <c r="J963" t="s">
        <v>1669</v>
      </c>
      <c r="M963">
        <v>92400</v>
      </c>
      <c r="N963" t="s">
        <v>478</v>
      </c>
      <c r="O963" t="s">
        <v>61</v>
      </c>
      <c r="P963">
        <v>684585563</v>
      </c>
      <c r="S963" t="s">
        <v>63</v>
      </c>
      <c r="T963" t="s">
        <v>64</v>
      </c>
      <c r="U963" t="s">
        <v>65</v>
      </c>
      <c r="W963" s="26">
        <v>45561</v>
      </c>
      <c r="X963" t="s">
        <v>61</v>
      </c>
      <c r="Y963" t="s">
        <v>237</v>
      </c>
    </row>
    <row r="964" spans="1:25" x14ac:dyDescent="0.25">
      <c r="A964" t="s">
        <v>3571</v>
      </c>
      <c r="B964">
        <v>11</v>
      </c>
      <c r="C964">
        <v>78</v>
      </c>
      <c r="D964">
        <v>9056</v>
      </c>
      <c r="E964" t="s">
        <v>214</v>
      </c>
      <c r="F964" t="s">
        <v>3572</v>
      </c>
      <c r="G964" t="s">
        <v>3573</v>
      </c>
      <c r="H964" s="26">
        <v>16499</v>
      </c>
      <c r="I964" t="s">
        <v>58</v>
      </c>
      <c r="J964" t="s">
        <v>3574</v>
      </c>
      <c r="M964">
        <v>78000</v>
      </c>
      <c r="N964" t="s">
        <v>1334</v>
      </c>
      <c r="O964" t="s">
        <v>61</v>
      </c>
      <c r="Q964">
        <v>671603281</v>
      </c>
      <c r="R964" t="s">
        <v>3575</v>
      </c>
      <c r="S964" t="s">
        <v>63</v>
      </c>
      <c r="T964" t="s">
        <v>64</v>
      </c>
      <c r="U964" t="s">
        <v>65</v>
      </c>
      <c r="W964" s="26">
        <v>45555</v>
      </c>
      <c r="X964" t="s">
        <v>61</v>
      </c>
      <c r="Y964" t="s">
        <v>237</v>
      </c>
    </row>
    <row r="965" spans="1:25" x14ac:dyDescent="0.25">
      <c r="A965" t="s">
        <v>10646</v>
      </c>
      <c r="B965">
        <v>11</v>
      </c>
      <c r="C965">
        <v>95</v>
      </c>
      <c r="D965">
        <v>9010</v>
      </c>
      <c r="E965" t="s">
        <v>6</v>
      </c>
      <c r="F965" t="s">
        <v>85</v>
      </c>
      <c r="G965" t="s">
        <v>10647</v>
      </c>
      <c r="H965" s="26">
        <v>21380</v>
      </c>
      <c r="I965" t="s">
        <v>58</v>
      </c>
      <c r="J965" t="s">
        <v>10648</v>
      </c>
      <c r="M965">
        <v>93800</v>
      </c>
      <c r="N965" t="s">
        <v>3577</v>
      </c>
      <c r="O965" t="s">
        <v>61</v>
      </c>
      <c r="R965" t="s">
        <v>10649</v>
      </c>
      <c r="S965" t="s">
        <v>63</v>
      </c>
      <c r="T965" t="s">
        <v>64</v>
      </c>
      <c r="U965" t="s">
        <v>65</v>
      </c>
      <c r="W965" s="26">
        <v>45574</v>
      </c>
      <c r="X965" t="s">
        <v>61</v>
      </c>
      <c r="Y965" t="s">
        <v>237</v>
      </c>
    </row>
    <row r="966" spans="1:25" x14ac:dyDescent="0.25">
      <c r="A966" t="s">
        <v>10650</v>
      </c>
      <c r="B966">
        <v>11</v>
      </c>
      <c r="C966">
        <v>77</v>
      </c>
      <c r="D966">
        <v>9077</v>
      </c>
      <c r="E966" t="s">
        <v>90</v>
      </c>
      <c r="F966" t="s">
        <v>154</v>
      </c>
      <c r="G966" t="s">
        <v>10651</v>
      </c>
      <c r="H966" s="26">
        <v>20611</v>
      </c>
      <c r="I966" t="s">
        <v>58</v>
      </c>
      <c r="J966" t="s">
        <v>10652</v>
      </c>
      <c r="M966">
        <v>77515</v>
      </c>
      <c r="N966" t="s">
        <v>1959</v>
      </c>
      <c r="O966" t="s">
        <v>61</v>
      </c>
      <c r="Q966">
        <v>661974521</v>
      </c>
      <c r="S966" t="s">
        <v>63</v>
      </c>
      <c r="T966" t="s">
        <v>64</v>
      </c>
      <c r="U966" t="s">
        <v>65</v>
      </c>
      <c r="W966" s="26">
        <v>45580</v>
      </c>
      <c r="X966" t="s">
        <v>61</v>
      </c>
      <c r="Y966" t="s">
        <v>237</v>
      </c>
    </row>
    <row r="967" spans="1:25" x14ac:dyDescent="0.25">
      <c r="A967" t="s">
        <v>3578</v>
      </c>
      <c r="B967">
        <v>11</v>
      </c>
      <c r="C967">
        <v>92</v>
      </c>
      <c r="D967">
        <v>9068</v>
      </c>
      <c r="E967" t="s">
        <v>119</v>
      </c>
      <c r="F967" t="s">
        <v>3579</v>
      </c>
      <c r="G967" t="s">
        <v>3580</v>
      </c>
      <c r="H967" s="26">
        <v>31667</v>
      </c>
      <c r="I967" t="s">
        <v>58</v>
      </c>
      <c r="J967" t="s">
        <v>3581</v>
      </c>
      <c r="M967">
        <v>92320</v>
      </c>
      <c r="N967" t="s">
        <v>228</v>
      </c>
      <c r="O967" t="s">
        <v>61</v>
      </c>
      <c r="Q967">
        <v>603871904</v>
      </c>
      <c r="R967" t="s">
        <v>3582</v>
      </c>
      <c r="S967" t="s">
        <v>63</v>
      </c>
      <c r="T967" t="s">
        <v>64</v>
      </c>
      <c r="U967" t="s">
        <v>486</v>
      </c>
      <c r="W967" s="26">
        <v>45544</v>
      </c>
      <c r="X967" t="s">
        <v>61</v>
      </c>
      <c r="Y967" t="s">
        <v>237</v>
      </c>
    </row>
    <row r="968" spans="1:25" x14ac:dyDescent="0.25">
      <c r="A968" t="s">
        <v>3583</v>
      </c>
      <c r="B968">
        <v>11</v>
      </c>
      <c r="C968">
        <v>92</v>
      </c>
      <c r="D968">
        <v>9088</v>
      </c>
      <c r="E968" t="s">
        <v>1</v>
      </c>
      <c r="F968" t="s">
        <v>520</v>
      </c>
      <c r="G968" t="s">
        <v>3584</v>
      </c>
      <c r="H968" s="26">
        <v>26584</v>
      </c>
      <c r="I968" t="s">
        <v>58</v>
      </c>
      <c r="J968" t="s">
        <v>3585</v>
      </c>
      <c r="M968">
        <v>92110</v>
      </c>
      <c r="N968" t="s">
        <v>135</v>
      </c>
      <c r="O968" t="s">
        <v>61</v>
      </c>
      <c r="R968" t="s">
        <v>3586</v>
      </c>
      <c r="S968" t="s">
        <v>63</v>
      </c>
      <c r="T968" t="s">
        <v>64</v>
      </c>
      <c r="U968" t="s">
        <v>65</v>
      </c>
      <c r="W968" s="26">
        <v>45558</v>
      </c>
      <c r="X968" t="s">
        <v>61</v>
      </c>
      <c r="Y968" t="s">
        <v>237</v>
      </c>
    </row>
    <row r="969" spans="1:25" x14ac:dyDescent="0.25">
      <c r="A969" t="s">
        <v>10653</v>
      </c>
      <c r="B969">
        <v>11</v>
      </c>
      <c r="C969">
        <v>92</v>
      </c>
      <c r="D969">
        <v>9088</v>
      </c>
      <c r="E969" t="s">
        <v>1</v>
      </c>
      <c r="F969" t="s">
        <v>480</v>
      </c>
      <c r="G969" t="s">
        <v>10654</v>
      </c>
      <c r="H969" s="26">
        <v>16803</v>
      </c>
      <c r="I969" t="s">
        <v>58</v>
      </c>
      <c r="J969" t="s">
        <v>10655</v>
      </c>
      <c r="M969">
        <v>92100</v>
      </c>
      <c r="N969" t="s">
        <v>10656</v>
      </c>
      <c r="O969" t="s">
        <v>61</v>
      </c>
      <c r="Q969">
        <v>677240010</v>
      </c>
      <c r="R969" t="s">
        <v>10657</v>
      </c>
      <c r="S969" t="s">
        <v>63</v>
      </c>
      <c r="T969" t="s">
        <v>64</v>
      </c>
      <c r="U969" t="s">
        <v>65</v>
      </c>
      <c r="W969" s="26">
        <v>45573</v>
      </c>
      <c r="X969" t="s">
        <v>61</v>
      </c>
      <c r="Y969" t="s">
        <v>237</v>
      </c>
    </row>
    <row r="970" spans="1:25" x14ac:dyDescent="0.25">
      <c r="A970" t="s">
        <v>3587</v>
      </c>
      <c r="B970">
        <v>11</v>
      </c>
      <c r="C970">
        <v>92</v>
      </c>
      <c r="D970">
        <v>9065</v>
      </c>
      <c r="E970" t="s">
        <v>426</v>
      </c>
      <c r="F970" t="s">
        <v>3588</v>
      </c>
      <c r="G970" t="s">
        <v>3589</v>
      </c>
      <c r="H970" s="26">
        <v>33325</v>
      </c>
      <c r="I970" t="s">
        <v>58</v>
      </c>
      <c r="J970" t="s">
        <v>3590</v>
      </c>
      <c r="M970">
        <v>95870</v>
      </c>
      <c r="N970" t="s">
        <v>2109</v>
      </c>
      <c r="O970" t="s">
        <v>61</v>
      </c>
      <c r="Q970">
        <v>761585600</v>
      </c>
      <c r="R970" t="s">
        <v>3591</v>
      </c>
      <c r="S970" t="s">
        <v>63</v>
      </c>
      <c r="T970" t="s">
        <v>64</v>
      </c>
      <c r="U970" t="s">
        <v>486</v>
      </c>
      <c r="W970" s="26">
        <v>45534</v>
      </c>
      <c r="X970" t="s">
        <v>2726</v>
      </c>
      <c r="Y970" t="s">
        <v>237</v>
      </c>
    </row>
    <row r="971" spans="1:25" x14ac:dyDescent="0.25">
      <c r="A971" t="s">
        <v>10658</v>
      </c>
      <c r="B971">
        <v>11</v>
      </c>
      <c r="C971">
        <v>95</v>
      </c>
      <c r="D971">
        <v>9069</v>
      </c>
      <c r="E971" t="s">
        <v>129</v>
      </c>
      <c r="F971" t="s">
        <v>204</v>
      </c>
      <c r="G971" t="s">
        <v>3592</v>
      </c>
      <c r="H971" s="26">
        <v>19736</v>
      </c>
      <c r="I971" t="s">
        <v>58</v>
      </c>
      <c r="J971" t="s">
        <v>10659</v>
      </c>
      <c r="M971">
        <v>95480</v>
      </c>
      <c r="N971" t="s">
        <v>3593</v>
      </c>
      <c r="O971" t="s">
        <v>61</v>
      </c>
      <c r="Q971">
        <v>621951209</v>
      </c>
      <c r="R971" t="s">
        <v>10660</v>
      </c>
      <c r="S971" t="s">
        <v>63</v>
      </c>
      <c r="T971" t="s">
        <v>64</v>
      </c>
      <c r="U971" t="s">
        <v>65</v>
      </c>
      <c r="W971" s="26">
        <v>45574</v>
      </c>
      <c r="X971" t="s">
        <v>61</v>
      </c>
      <c r="Y971" t="s">
        <v>237</v>
      </c>
    </row>
    <row r="972" spans="1:25" x14ac:dyDescent="0.25">
      <c r="A972" t="s">
        <v>3594</v>
      </c>
      <c r="B972">
        <v>11</v>
      </c>
      <c r="C972">
        <v>95</v>
      </c>
      <c r="D972">
        <v>9069</v>
      </c>
      <c r="E972" t="s">
        <v>129</v>
      </c>
      <c r="F972" t="s">
        <v>551</v>
      </c>
      <c r="G972" t="s">
        <v>3595</v>
      </c>
      <c r="H972" s="26">
        <v>21902</v>
      </c>
      <c r="I972" t="s">
        <v>58</v>
      </c>
      <c r="J972" t="s">
        <v>3596</v>
      </c>
      <c r="M972">
        <v>95620</v>
      </c>
      <c r="N972" t="s">
        <v>2946</v>
      </c>
      <c r="O972" t="s">
        <v>61</v>
      </c>
      <c r="Q972">
        <v>660681560</v>
      </c>
      <c r="R972" t="s">
        <v>3597</v>
      </c>
      <c r="S972" t="s">
        <v>63</v>
      </c>
      <c r="T972" t="s">
        <v>64</v>
      </c>
      <c r="U972" t="s">
        <v>65</v>
      </c>
      <c r="W972" s="26">
        <v>45537</v>
      </c>
      <c r="X972" t="s">
        <v>61</v>
      </c>
      <c r="Y972" t="s">
        <v>237</v>
      </c>
    </row>
    <row r="973" spans="1:25" x14ac:dyDescent="0.25">
      <c r="A973" t="s">
        <v>11269</v>
      </c>
      <c r="B973">
        <v>11</v>
      </c>
      <c r="C973">
        <v>93</v>
      </c>
      <c r="D973">
        <v>9122</v>
      </c>
      <c r="E973" t="s">
        <v>1030</v>
      </c>
      <c r="F973" t="s">
        <v>11270</v>
      </c>
      <c r="G973" t="s">
        <v>11271</v>
      </c>
      <c r="H973" s="26">
        <v>26520</v>
      </c>
      <c r="I973" t="s">
        <v>58</v>
      </c>
      <c r="J973" t="s">
        <v>11272</v>
      </c>
      <c r="M973">
        <v>93220</v>
      </c>
      <c r="N973" t="s">
        <v>662</v>
      </c>
      <c r="O973" t="s">
        <v>61</v>
      </c>
      <c r="Q973">
        <v>645054760</v>
      </c>
      <c r="R973" t="s">
        <v>11273</v>
      </c>
      <c r="S973" t="s">
        <v>63</v>
      </c>
      <c r="T973" t="s">
        <v>64</v>
      </c>
      <c r="U973" t="s">
        <v>8684</v>
      </c>
      <c r="W973" s="26">
        <v>45585</v>
      </c>
      <c r="X973" t="s">
        <v>61</v>
      </c>
      <c r="Y973" t="s">
        <v>237</v>
      </c>
    </row>
    <row r="974" spans="1:25" x14ac:dyDescent="0.25">
      <c r="A974" t="s">
        <v>3598</v>
      </c>
      <c r="B974">
        <v>11</v>
      </c>
      <c r="C974">
        <v>94</v>
      </c>
      <c r="D974">
        <v>9024</v>
      </c>
      <c r="E974" t="s">
        <v>4</v>
      </c>
      <c r="F974" t="s">
        <v>3599</v>
      </c>
      <c r="G974" t="s">
        <v>3600</v>
      </c>
      <c r="H974" s="26">
        <v>36702</v>
      </c>
      <c r="I974" t="s">
        <v>58</v>
      </c>
      <c r="J974" t="s">
        <v>3601</v>
      </c>
      <c r="M974">
        <v>75017</v>
      </c>
      <c r="N974" t="s">
        <v>330</v>
      </c>
      <c r="O974" t="s">
        <v>61</v>
      </c>
      <c r="P974">
        <v>651675251</v>
      </c>
      <c r="Q974">
        <v>651675251</v>
      </c>
      <c r="R974" t="s">
        <v>3602</v>
      </c>
      <c r="S974" t="s">
        <v>63</v>
      </c>
      <c r="T974" t="s">
        <v>64</v>
      </c>
      <c r="U974" t="s">
        <v>8684</v>
      </c>
      <c r="W974" s="26">
        <v>45541</v>
      </c>
      <c r="X974" t="s">
        <v>61</v>
      </c>
      <c r="Y974" t="s">
        <v>237</v>
      </c>
    </row>
    <row r="975" spans="1:25" x14ac:dyDescent="0.25">
      <c r="A975" t="s">
        <v>9952</v>
      </c>
      <c r="B975">
        <v>11</v>
      </c>
      <c r="C975">
        <v>94</v>
      </c>
      <c r="D975">
        <v>9024</v>
      </c>
      <c r="E975" t="s">
        <v>4</v>
      </c>
      <c r="F975" t="s">
        <v>189</v>
      </c>
      <c r="G975" t="s">
        <v>9953</v>
      </c>
      <c r="H975" s="26">
        <v>21319</v>
      </c>
      <c r="I975" t="s">
        <v>58</v>
      </c>
      <c r="J975" t="s">
        <v>9954</v>
      </c>
      <c r="M975">
        <v>94340</v>
      </c>
      <c r="N975" t="s">
        <v>1504</v>
      </c>
      <c r="O975" t="s">
        <v>61</v>
      </c>
      <c r="Q975">
        <v>682452203</v>
      </c>
      <c r="R975" t="s">
        <v>9955</v>
      </c>
      <c r="S975" t="s">
        <v>63</v>
      </c>
      <c r="T975" t="s">
        <v>64</v>
      </c>
      <c r="U975" t="s">
        <v>65</v>
      </c>
      <c r="W975" s="26">
        <v>45568</v>
      </c>
      <c r="X975" t="s">
        <v>61</v>
      </c>
      <c r="Y975" t="s">
        <v>237</v>
      </c>
    </row>
    <row r="976" spans="1:25" x14ac:dyDescent="0.25">
      <c r="A976" t="s">
        <v>3604</v>
      </c>
      <c r="B976">
        <v>11</v>
      </c>
      <c r="C976">
        <v>78</v>
      </c>
      <c r="D976">
        <v>9002</v>
      </c>
      <c r="E976" t="s">
        <v>558</v>
      </c>
      <c r="F976" t="s">
        <v>91</v>
      </c>
      <c r="G976" t="s">
        <v>2963</v>
      </c>
      <c r="H976" s="26">
        <v>15247</v>
      </c>
      <c r="I976" t="s">
        <v>58</v>
      </c>
      <c r="J976" t="s">
        <v>3605</v>
      </c>
      <c r="M976">
        <v>78711</v>
      </c>
      <c r="N976" t="s">
        <v>2698</v>
      </c>
      <c r="O976" t="s">
        <v>61</v>
      </c>
      <c r="P976">
        <v>134769351</v>
      </c>
      <c r="Q976">
        <v>681620749</v>
      </c>
      <c r="R976" t="s">
        <v>3606</v>
      </c>
      <c r="S976" t="s">
        <v>63</v>
      </c>
      <c r="T976" t="s">
        <v>64</v>
      </c>
      <c r="U976" t="s">
        <v>65</v>
      </c>
      <c r="W976" s="26">
        <v>45558</v>
      </c>
      <c r="X976" t="s">
        <v>61</v>
      </c>
      <c r="Y976" t="s">
        <v>237</v>
      </c>
    </row>
    <row r="977" spans="1:25" x14ac:dyDescent="0.25">
      <c r="A977" t="s">
        <v>3607</v>
      </c>
      <c r="B977">
        <v>11</v>
      </c>
      <c r="C977">
        <v>92</v>
      </c>
      <c r="D977">
        <v>9065</v>
      </c>
      <c r="E977" t="s">
        <v>426</v>
      </c>
      <c r="F977" t="s">
        <v>3608</v>
      </c>
      <c r="G977" t="s">
        <v>3609</v>
      </c>
      <c r="H977" s="26">
        <v>30226</v>
      </c>
      <c r="I977" t="s">
        <v>58</v>
      </c>
      <c r="J977" t="s">
        <v>3610</v>
      </c>
      <c r="M977">
        <v>93100</v>
      </c>
      <c r="N977" t="s">
        <v>3132</v>
      </c>
      <c r="O977" t="s">
        <v>2726</v>
      </c>
      <c r="Q977">
        <v>651203739</v>
      </c>
      <c r="R977" t="s">
        <v>3611</v>
      </c>
      <c r="S977" t="s">
        <v>63</v>
      </c>
      <c r="T977" t="s">
        <v>64</v>
      </c>
      <c r="U977" t="s">
        <v>486</v>
      </c>
      <c r="W977" s="26">
        <v>45535</v>
      </c>
      <c r="X977" t="s">
        <v>61</v>
      </c>
      <c r="Y977" t="s">
        <v>237</v>
      </c>
    </row>
    <row r="978" spans="1:25" x14ac:dyDescent="0.25">
      <c r="A978" t="s">
        <v>3612</v>
      </c>
      <c r="B978">
        <v>11</v>
      </c>
      <c r="C978">
        <v>91</v>
      </c>
      <c r="D978">
        <v>9009</v>
      </c>
      <c r="E978" t="s">
        <v>159</v>
      </c>
      <c r="F978" t="s">
        <v>13</v>
      </c>
      <c r="G978" t="s">
        <v>2278</v>
      </c>
      <c r="H978" s="26">
        <v>18973</v>
      </c>
      <c r="I978" t="s">
        <v>58</v>
      </c>
      <c r="J978" t="s">
        <v>3613</v>
      </c>
      <c r="M978">
        <v>91620</v>
      </c>
      <c r="N978" t="s">
        <v>3614</v>
      </c>
      <c r="O978" t="s">
        <v>61</v>
      </c>
      <c r="P978">
        <v>164490749</v>
      </c>
      <c r="Q978">
        <v>676326784</v>
      </c>
      <c r="R978" t="s">
        <v>3615</v>
      </c>
      <c r="S978" t="s">
        <v>63</v>
      </c>
      <c r="T978" t="s">
        <v>64</v>
      </c>
      <c r="U978" t="s">
        <v>65</v>
      </c>
      <c r="W978" s="26">
        <v>45561</v>
      </c>
      <c r="X978" t="s">
        <v>61</v>
      </c>
      <c r="Y978" t="s">
        <v>237</v>
      </c>
    </row>
    <row r="979" spans="1:25" x14ac:dyDescent="0.25">
      <c r="A979" t="s">
        <v>3616</v>
      </c>
      <c r="B979">
        <v>11</v>
      </c>
      <c r="C979">
        <v>91</v>
      </c>
      <c r="D979">
        <v>9009</v>
      </c>
      <c r="E979" t="s">
        <v>159</v>
      </c>
      <c r="F979" t="s">
        <v>97</v>
      </c>
      <c r="G979" t="s">
        <v>3617</v>
      </c>
      <c r="H979" s="26">
        <v>17212</v>
      </c>
      <c r="I979" t="s">
        <v>58</v>
      </c>
      <c r="J979" t="s">
        <v>3618</v>
      </c>
      <c r="M979">
        <v>91620</v>
      </c>
      <c r="N979" t="s">
        <v>3614</v>
      </c>
      <c r="O979" t="s">
        <v>61</v>
      </c>
      <c r="Q979">
        <v>689937869</v>
      </c>
      <c r="R979" t="s">
        <v>3619</v>
      </c>
      <c r="S979" t="s">
        <v>63</v>
      </c>
      <c r="T979" t="s">
        <v>64</v>
      </c>
      <c r="U979" t="s">
        <v>65</v>
      </c>
      <c r="W979" s="26">
        <v>45561</v>
      </c>
      <c r="X979" t="s">
        <v>61</v>
      </c>
      <c r="Y979" t="s">
        <v>237</v>
      </c>
    </row>
    <row r="980" spans="1:25" x14ac:dyDescent="0.25">
      <c r="A980" t="s">
        <v>3620</v>
      </c>
      <c r="B980">
        <v>11</v>
      </c>
      <c r="C980">
        <v>94</v>
      </c>
      <c r="D980">
        <v>9024</v>
      </c>
      <c r="E980" t="s">
        <v>4</v>
      </c>
      <c r="F980" t="s">
        <v>3621</v>
      </c>
      <c r="G980" t="s">
        <v>3622</v>
      </c>
      <c r="H980" s="26">
        <v>24986</v>
      </c>
      <c r="I980" t="s">
        <v>58</v>
      </c>
      <c r="J980" t="s">
        <v>8991</v>
      </c>
      <c r="K980" t="s">
        <v>8992</v>
      </c>
      <c r="M980">
        <v>94410</v>
      </c>
      <c r="N980" t="s">
        <v>163</v>
      </c>
      <c r="O980" t="s">
        <v>61</v>
      </c>
      <c r="Q980">
        <v>673732687</v>
      </c>
      <c r="R980" t="s">
        <v>3623</v>
      </c>
      <c r="S980" t="s">
        <v>63</v>
      </c>
      <c r="T980" t="s">
        <v>64</v>
      </c>
      <c r="U980" t="s">
        <v>8684</v>
      </c>
      <c r="W980" s="26">
        <v>45551</v>
      </c>
      <c r="X980" t="s">
        <v>61</v>
      </c>
      <c r="Y980" t="s">
        <v>237</v>
      </c>
    </row>
    <row r="981" spans="1:25" x14ac:dyDescent="0.25">
      <c r="A981" t="s">
        <v>10661</v>
      </c>
      <c r="B981">
        <v>11</v>
      </c>
      <c r="C981">
        <v>93</v>
      </c>
      <c r="D981">
        <v>9060</v>
      </c>
      <c r="E981" t="s">
        <v>203</v>
      </c>
      <c r="F981" t="s">
        <v>551</v>
      </c>
      <c r="G981" t="s">
        <v>3624</v>
      </c>
      <c r="H981" s="26">
        <v>21800</v>
      </c>
      <c r="I981" t="s">
        <v>58</v>
      </c>
      <c r="J981" t="s">
        <v>10662</v>
      </c>
      <c r="M981">
        <v>77270</v>
      </c>
      <c r="N981" t="s">
        <v>3402</v>
      </c>
      <c r="O981" t="s">
        <v>61</v>
      </c>
      <c r="Q981">
        <v>621527155</v>
      </c>
      <c r="R981" t="s">
        <v>10663</v>
      </c>
      <c r="S981" t="s">
        <v>63</v>
      </c>
      <c r="T981" t="s">
        <v>64</v>
      </c>
      <c r="U981" t="s">
        <v>65</v>
      </c>
      <c r="W981" s="26">
        <v>45576</v>
      </c>
      <c r="X981" t="s">
        <v>61</v>
      </c>
      <c r="Y981" t="s">
        <v>237</v>
      </c>
    </row>
    <row r="982" spans="1:25" x14ac:dyDescent="0.25">
      <c r="A982" t="s">
        <v>3625</v>
      </c>
      <c r="B982">
        <v>11</v>
      </c>
      <c r="C982">
        <v>92</v>
      </c>
      <c r="D982">
        <v>9065</v>
      </c>
      <c r="E982" t="s">
        <v>426</v>
      </c>
      <c r="F982" t="s">
        <v>3626</v>
      </c>
      <c r="G982" t="s">
        <v>3627</v>
      </c>
      <c r="H982" s="26">
        <v>31317</v>
      </c>
      <c r="I982" t="s">
        <v>58</v>
      </c>
      <c r="J982" t="s">
        <v>3628</v>
      </c>
      <c r="M982">
        <v>75013</v>
      </c>
      <c r="N982" t="s">
        <v>330</v>
      </c>
      <c r="O982" t="s">
        <v>61</v>
      </c>
      <c r="Q982">
        <v>785664878</v>
      </c>
      <c r="R982" t="s">
        <v>3629</v>
      </c>
      <c r="S982" t="s">
        <v>63</v>
      </c>
      <c r="T982" t="s">
        <v>64</v>
      </c>
      <c r="U982" t="s">
        <v>486</v>
      </c>
      <c r="W982" s="26">
        <v>45543</v>
      </c>
      <c r="X982" t="s">
        <v>2726</v>
      </c>
      <c r="Y982" t="s">
        <v>237</v>
      </c>
    </row>
    <row r="983" spans="1:25" x14ac:dyDescent="0.25">
      <c r="A983" t="s">
        <v>3630</v>
      </c>
      <c r="B983">
        <v>11</v>
      </c>
      <c r="C983">
        <v>78</v>
      </c>
      <c r="D983">
        <v>9030</v>
      </c>
      <c r="E983" t="s">
        <v>96</v>
      </c>
      <c r="F983" t="s">
        <v>91</v>
      </c>
      <c r="G983" t="s">
        <v>2969</v>
      </c>
      <c r="H983" s="26">
        <v>19141</v>
      </c>
      <c r="I983" t="s">
        <v>58</v>
      </c>
      <c r="J983" t="s">
        <v>3631</v>
      </c>
      <c r="M983">
        <v>78370</v>
      </c>
      <c r="N983" t="s">
        <v>338</v>
      </c>
      <c r="O983" t="s">
        <v>61</v>
      </c>
      <c r="Q983">
        <v>689651272</v>
      </c>
      <c r="R983" t="s">
        <v>3632</v>
      </c>
      <c r="S983" t="s">
        <v>63</v>
      </c>
      <c r="T983" t="s">
        <v>64</v>
      </c>
      <c r="U983" t="s">
        <v>65</v>
      </c>
      <c r="W983" s="26">
        <v>45554</v>
      </c>
      <c r="X983" t="s">
        <v>61</v>
      </c>
      <c r="Y983" t="s">
        <v>237</v>
      </c>
    </row>
    <row r="984" spans="1:25" x14ac:dyDescent="0.25">
      <c r="A984" t="s">
        <v>3633</v>
      </c>
      <c r="B984">
        <v>11</v>
      </c>
      <c r="C984">
        <v>95</v>
      </c>
      <c r="D984">
        <v>9010</v>
      </c>
      <c r="E984" t="s">
        <v>6</v>
      </c>
      <c r="F984" t="s">
        <v>2652</v>
      </c>
      <c r="G984" t="s">
        <v>3634</v>
      </c>
      <c r="H984" s="26">
        <v>22174</v>
      </c>
      <c r="I984" t="s">
        <v>16</v>
      </c>
      <c r="J984" t="s">
        <v>3635</v>
      </c>
      <c r="M984">
        <v>78600</v>
      </c>
      <c r="N984" t="s">
        <v>3636</v>
      </c>
      <c r="O984" t="s">
        <v>61</v>
      </c>
      <c r="R984" t="s">
        <v>3637</v>
      </c>
      <c r="S984" t="s">
        <v>237</v>
      </c>
      <c r="T984" t="s">
        <v>64</v>
      </c>
      <c r="U984" t="s">
        <v>65</v>
      </c>
      <c r="W984" s="26">
        <v>45555</v>
      </c>
      <c r="X984" t="s">
        <v>61</v>
      </c>
      <c r="Y984" t="s">
        <v>237</v>
      </c>
    </row>
    <row r="985" spans="1:25" x14ac:dyDescent="0.25">
      <c r="A985" t="s">
        <v>3638</v>
      </c>
      <c r="B985">
        <v>11</v>
      </c>
      <c r="C985">
        <v>95</v>
      </c>
      <c r="D985">
        <v>9010</v>
      </c>
      <c r="E985" t="s">
        <v>6</v>
      </c>
      <c r="F985" t="s">
        <v>1442</v>
      </c>
      <c r="G985" t="s">
        <v>3634</v>
      </c>
      <c r="H985" s="26">
        <v>21965</v>
      </c>
      <c r="I985" t="s">
        <v>58</v>
      </c>
      <c r="J985" t="s">
        <v>3635</v>
      </c>
      <c r="M985">
        <v>78600</v>
      </c>
      <c r="N985" t="s">
        <v>3636</v>
      </c>
      <c r="O985" t="s">
        <v>61</v>
      </c>
      <c r="R985" t="s">
        <v>3637</v>
      </c>
      <c r="S985" t="s">
        <v>63</v>
      </c>
      <c r="T985" t="s">
        <v>64</v>
      </c>
      <c r="U985" t="s">
        <v>65</v>
      </c>
      <c r="W985" s="26">
        <v>45555</v>
      </c>
      <c r="X985" t="s">
        <v>61</v>
      </c>
      <c r="Y985" t="s">
        <v>237</v>
      </c>
    </row>
    <row r="986" spans="1:25" x14ac:dyDescent="0.25">
      <c r="A986" t="s">
        <v>3639</v>
      </c>
      <c r="B986">
        <v>11</v>
      </c>
      <c r="C986">
        <v>95</v>
      </c>
      <c r="D986">
        <v>9069</v>
      </c>
      <c r="E986" t="s">
        <v>129</v>
      </c>
      <c r="F986" t="s">
        <v>3640</v>
      </c>
      <c r="G986" t="s">
        <v>3641</v>
      </c>
      <c r="H986" s="26">
        <v>35367</v>
      </c>
      <c r="I986" t="s">
        <v>16</v>
      </c>
      <c r="J986" t="s">
        <v>3642</v>
      </c>
      <c r="M986">
        <v>95130</v>
      </c>
      <c r="N986" t="s">
        <v>878</v>
      </c>
      <c r="O986" t="s">
        <v>61</v>
      </c>
      <c r="Q986">
        <v>609549448</v>
      </c>
      <c r="R986" t="s">
        <v>3643</v>
      </c>
      <c r="S986" t="s">
        <v>63</v>
      </c>
      <c r="T986" t="s">
        <v>64</v>
      </c>
      <c r="U986" t="s">
        <v>65</v>
      </c>
      <c r="W986" s="26">
        <v>45565</v>
      </c>
      <c r="X986" t="s">
        <v>61</v>
      </c>
      <c r="Y986" t="s">
        <v>237</v>
      </c>
    </row>
    <row r="987" spans="1:25" x14ac:dyDescent="0.25">
      <c r="A987" t="s">
        <v>3644</v>
      </c>
      <c r="B987">
        <v>11</v>
      </c>
      <c r="C987">
        <v>95</v>
      </c>
      <c r="D987">
        <v>9069</v>
      </c>
      <c r="E987" t="s">
        <v>129</v>
      </c>
      <c r="F987" t="s">
        <v>106</v>
      </c>
      <c r="G987" t="s">
        <v>3645</v>
      </c>
      <c r="H987" s="26">
        <v>16844</v>
      </c>
      <c r="I987" t="s">
        <v>58</v>
      </c>
      <c r="J987" t="s">
        <v>3646</v>
      </c>
      <c r="M987">
        <v>95210</v>
      </c>
      <c r="N987" t="s">
        <v>308</v>
      </c>
      <c r="O987" t="s">
        <v>61</v>
      </c>
      <c r="Q987">
        <v>608668222</v>
      </c>
      <c r="R987" t="s">
        <v>3647</v>
      </c>
      <c r="S987" t="s">
        <v>63</v>
      </c>
      <c r="T987" t="s">
        <v>64</v>
      </c>
      <c r="U987" t="s">
        <v>65</v>
      </c>
      <c r="W987" s="26">
        <v>45558</v>
      </c>
      <c r="X987" t="s">
        <v>61</v>
      </c>
      <c r="Y987" t="s">
        <v>237</v>
      </c>
    </row>
    <row r="988" spans="1:25" x14ac:dyDescent="0.25">
      <c r="A988" t="s">
        <v>3648</v>
      </c>
      <c r="B988">
        <v>11</v>
      </c>
      <c r="C988">
        <v>92</v>
      </c>
      <c r="D988">
        <v>9065</v>
      </c>
      <c r="E988" t="s">
        <v>426</v>
      </c>
      <c r="F988" t="s">
        <v>3649</v>
      </c>
      <c r="G988" t="s">
        <v>3650</v>
      </c>
      <c r="H988" s="26">
        <v>28749</v>
      </c>
      <c r="I988" t="s">
        <v>58</v>
      </c>
      <c r="J988" t="s">
        <v>3651</v>
      </c>
      <c r="M988">
        <v>91150</v>
      </c>
      <c r="N988" t="s">
        <v>101</v>
      </c>
      <c r="O988" t="s">
        <v>61</v>
      </c>
      <c r="Q988">
        <v>616584420</v>
      </c>
      <c r="R988" t="s">
        <v>3652</v>
      </c>
      <c r="S988" t="s">
        <v>63</v>
      </c>
      <c r="T988" t="s">
        <v>64</v>
      </c>
      <c r="U988" t="s">
        <v>486</v>
      </c>
      <c r="W988" s="26">
        <v>45533</v>
      </c>
      <c r="X988" t="s">
        <v>61</v>
      </c>
      <c r="Y988" t="s">
        <v>237</v>
      </c>
    </row>
    <row r="989" spans="1:25" x14ac:dyDescent="0.25">
      <c r="A989" t="s">
        <v>3653</v>
      </c>
      <c r="B989">
        <v>11</v>
      </c>
      <c r="C989">
        <v>78</v>
      </c>
      <c r="D989">
        <v>9130</v>
      </c>
      <c r="E989" t="s">
        <v>1159</v>
      </c>
      <c r="F989" t="s">
        <v>137</v>
      </c>
      <c r="G989" t="s">
        <v>3654</v>
      </c>
      <c r="H989" s="26">
        <v>25821</v>
      </c>
      <c r="I989" t="s">
        <v>58</v>
      </c>
      <c r="J989" t="s">
        <v>3655</v>
      </c>
      <c r="M989">
        <v>60290</v>
      </c>
      <c r="N989" t="s">
        <v>3656</v>
      </c>
      <c r="O989" t="s">
        <v>61</v>
      </c>
      <c r="Q989">
        <v>684494864</v>
      </c>
      <c r="R989" t="s">
        <v>3657</v>
      </c>
      <c r="S989" t="s">
        <v>63</v>
      </c>
      <c r="T989" t="s">
        <v>64</v>
      </c>
      <c r="U989" t="s">
        <v>486</v>
      </c>
      <c r="W989" s="26">
        <v>45532</v>
      </c>
      <c r="X989" t="s">
        <v>61</v>
      </c>
      <c r="Y989" t="s">
        <v>237</v>
      </c>
    </row>
    <row r="990" spans="1:25" x14ac:dyDescent="0.25">
      <c r="A990" t="s">
        <v>3658</v>
      </c>
      <c r="B990">
        <v>11</v>
      </c>
      <c r="C990">
        <v>78</v>
      </c>
      <c r="D990">
        <v>9130</v>
      </c>
      <c r="E990" t="s">
        <v>1159</v>
      </c>
      <c r="F990" t="s">
        <v>85</v>
      </c>
      <c r="G990" t="s">
        <v>3659</v>
      </c>
      <c r="H990" s="26">
        <v>26910</v>
      </c>
      <c r="I990" t="s">
        <v>58</v>
      </c>
      <c r="J990" t="s">
        <v>3660</v>
      </c>
      <c r="M990">
        <v>60600</v>
      </c>
      <c r="N990" t="s">
        <v>3661</v>
      </c>
      <c r="O990" t="s">
        <v>61</v>
      </c>
      <c r="R990" t="s">
        <v>3662</v>
      </c>
      <c r="S990" t="s">
        <v>63</v>
      </c>
      <c r="T990" t="s">
        <v>64</v>
      </c>
      <c r="U990" t="s">
        <v>486</v>
      </c>
      <c r="W990" s="26">
        <v>45532</v>
      </c>
      <c r="X990" t="s">
        <v>61</v>
      </c>
      <c r="Y990" t="s">
        <v>237</v>
      </c>
    </row>
    <row r="991" spans="1:25" x14ac:dyDescent="0.25">
      <c r="A991" t="s">
        <v>3663</v>
      </c>
      <c r="B991">
        <v>11</v>
      </c>
      <c r="C991">
        <v>78</v>
      </c>
      <c r="D991">
        <v>9038</v>
      </c>
      <c r="E991" t="s">
        <v>484</v>
      </c>
      <c r="F991" t="s">
        <v>137</v>
      </c>
      <c r="G991" t="s">
        <v>3664</v>
      </c>
      <c r="H991" s="26">
        <v>18488</v>
      </c>
      <c r="I991" t="s">
        <v>58</v>
      </c>
      <c r="J991" t="s">
        <v>3665</v>
      </c>
      <c r="M991">
        <v>78420</v>
      </c>
      <c r="N991" t="s">
        <v>3666</v>
      </c>
      <c r="O991" t="s">
        <v>61</v>
      </c>
      <c r="Q991">
        <v>676101274</v>
      </c>
      <c r="R991" t="s">
        <v>3667</v>
      </c>
      <c r="S991" t="s">
        <v>63</v>
      </c>
      <c r="T991" t="s">
        <v>64</v>
      </c>
      <c r="U991" t="s">
        <v>65</v>
      </c>
      <c r="W991" s="26">
        <v>45544</v>
      </c>
      <c r="X991" t="s">
        <v>61</v>
      </c>
      <c r="Y991" t="s">
        <v>237</v>
      </c>
    </row>
    <row r="992" spans="1:25" x14ac:dyDescent="0.25">
      <c r="A992" t="s">
        <v>3668</v>
      </c>
      <c r="B992">
        <v>11</v>
      </c>
      <c r="C992">
        <v>94</v>
      </c>
      <c r="D992">
        <v>9024</v>
      </c>
      <c r="E992" t="s">
        <v>4</v>
      </c>
      <c r="F992" t="s">
        <v>1099</v>
      </c>
      <c r="G992" t="s">
        <v>3669</v>
      </c>
      <c r="H992" s="26">
        <v>21530</v>
      </c>
      <c r="I992" t="s">
        <v>58</v>
      </c>
      <c r="J992" t="s">
        <v>3670</v>
      </c>
      <c r="M992">
        <v>94100</v>
      </c>
      <c r="N992" t="s">
        <v>971</v>
      </c>
      <c r="O992" t="s">
        <v>61</v>
      </c>
      <c r="Q992">
        <v>684807423</v>
      </c>
      <c r="R992" t="s">
        <v>3671</v>
      </c>
      <c r="S992" t="s">
        <v>63</v>
      </c>
      <c r="T992" t="s">
        <v>64</v>
      </c>
      <c r="U992" t="s">
        <v>65</v>
      </c>
      <c r="W992" s="26">
        <v>45555</v>
      </c>
      <c r="X992" t="s">
        <v>61</v>
      </c>
      <c r="Y992" t="s">
        <v>237</v>
      </c>
    </row>
    <row r="993" spans="1:25" x14ac:dyDescent="0.25">
      <c r="A993" t="s">
        <v>8993</v>
      </c>
      <c r="B993">
        <v>11</v>
      </c>
      <c r="C993">
        <v>92</v>
      </c>
      <c r="D993">
        <v>9065</v>
      </c>
      <c r="E993" t="s">
        <v>426</v>
      </c>
      <c r="F993" t="s">
        <v>8994</v>
      </c>
      <c r="G993" t="s">
        <v>8995</v>
      </c>
      <c r="H993" s="26">
        <v>33392</v>
      </c>
      <c r="I993" t="s">
        <v>58</v>
      </c>
      <c r="J993" t="s">
        <v>8996</v>
      </c>
      <c r="M993">
        <v>78953</v>
      </c>
      <c r="N993" t="s">
        <v>8997</v>
      </c>
      <c r="O993" t="s">
        <v>61</v>
      </c>
      <c r="Q993">
        <v>698010915</v>
      </c>
      <c r="R993" t="s">
        <v>8998</v>
      </c>
      <c r="S993" t="s">
        <v>63</v>
      </c>
      <c r="T993" t="s">
        <v>64</v>
      </c>
      <c r="U993" t="s">
        <v>486</v>
      </c>
      <c r="W993" s="26">
        <v>45533</v>
      </c>
      <c r="X993" t="s">
        <v>2726</v>
      </c>
      <c r="Y993" t="s">
        <v>237</v>
      </c>
    </row>
    <row r="994" spans="1:25" x14ac:dyDescent="0.25">
      <c r="A994" t="s">
        <v>3675</v>
      </c>
      <c r="B994">
        <v>11</v>
      </c>
      <c r="C994">
        <v>92</v>
      </c>
      <c r="D994">
        <v>9068</v>
      </c>
      <c r="E994" t="s">
        <v>119</v>
      </c>
      <c r="F994" t="s">
        <v>480</v>
      </c>
      <c r="G994" t="s">
        <v>3676</v>
      </c>
      <c r="H994" s="26">
        <v>20983</v>
      </c>
      <c r="I994" t="s">
        <v>58</v>
      </c>
      <c r="J994" t="s">
        <v>3677</v>
      </c>
      <c r="M994">
        <v>92320</v>
      </c>
      <c r="N994" t="s">
        <v>228</v>
      </c>
      <c r="O994" t="s">
        <v>61</v>
      </c>
      <c r="Q994">
        <v>675332523</v>
      </c>
      <c r="R994" t="s">
        <v>3678</v>
      </c>
      <c r="S994" t="s">
        <v>63</v>
      </c>
      <c r="T994" t="s">
        <v>64</v>
      </c>
      <c r="U994" t="s">
        <v>65</v>
      </c>
      <c r="W994" s="26">
        <v>45558</v>
      </c>
      <c r="X994" t="s">
        <v>61</v>
      </c>
      <c r="Y994" t="s">
        <v>237</v>
      </c>
    </row>
    <row r="995" spans="1:25" x14ac:dyDescent="0.25">
      <c r="A995" t="s">
        <v>10664</v>
      </c>
      <c r="B995">
        <v>11</v>
      </c>
      <c r="C995">
        <v>93</v>
      </c>
      <c r="D995">
        <v>9060</v>
      </c>
      <c r="E995" t="s">
        <v>203</v>
      </c>
      <c r="F995" t="s">
        <v>187</v>
      </c>
      <c r="G995" t="s">
        <v>10665</v>
      </c>
      <c r="H995" s="26">
        <v>22494</v>
      </c>
      <c r="I995" t="s">
        <v>58</v>
      </c>
      <c r="J995" t="s">
        <v>10666</v>
      </c>
      <c r="M995">
        <v>93190</v>
      </c>
      <c r="N995" t="s">
        <v>205</v>
      </c>
      <c r="O995" t="s">
        <v>61</v>
      </c>
      <c r="P995">
        <v>660459976</v>
      </c>
      <c r="R995" t="s">
        <v>10667</v>
      </c>
      <c r="S995" t="s">
        <v>63</v>
      </c>
      <c r="T995" t="s">
        <v>64</v>
      </c>
      <c r="U995" t="s">
        <v>65</v>
      </c>
      <c r="W995" s="26">
        <v>45577</v>
      </c>
      <c r="X995" t="s">
        <v>61</v>
      </c>
      <c r="Y995" t="s">
        <v>237</v>
      </c>
    </row>
    <row r="996" spans="1:25" x14ac:dyDescent="0.25">
      <c r="A996" t="s">
        <v>3679</v>
      </c>
      <c r="B996">
        <v>11</v>
      </c>
      <c r="C996">
        <v>93</v>
      </c>
      <c r="D996">
        <v>9060</v>
      </c>
      <c r="E996" t="s">
        <v>203</v>
      </c>
      <c r="F996" t="s">
        <v>289</v>
      </c>
      <c r="G996" t="s">
        <v>3680</v>
      </c>
      <c r="H996" s="26">
        <v>21433</v>
      </c>
      <c r="I996" t="s">
        <v>58</v>
      </c>
      <c r="J996" t="s">
        <v>3681</v>
      </c>
      <c r="M996">
        <v>93320</v>
      </c>
      <c r="N996" t="s">
        <v>1185</v>
      </c>
      <c r="O996" t="s">
        <v>61</v>
      </c>
      <c r="Q996">
        <v>781557564</v>
      </c>
      <c r="R996" t="s">
        <v>3682</v>
      </c>
      <c r="S996" t="s">
        <v>63</v>
      </c>
      <c r="T996" t="s">
        <v>64</v>
      </c>
      <c r="U996" t="s">
        <v>65</v>
      </c>
      <c r="W996" s="26">
        <v>45556</v>
      </c>
      <c r="X996" t="s">
        <v>61</v>
      </c>
      <c r="Y996" t="s">
        <v>237</v>
      </c>
    </row>
    <row r="997" spans="1:25" x14ac:dyDescent="0.25">
      <c r="A997" t="s">
        <v>8999</v>
      </c>
      <c r="B997">
        <v>11</v>
      </c>
      <c r="C997">
        <v>95</v>
      </c>
      <c r="D997">
        <v>9127</v>
      </c>
      <c r="E997" t="s">
        <v>536</v>
      </c>
      <c r="F997" t="s">
        <v>4848</v>
      </c>
      <c r="G997" t="s">
        <v>9000</v>
      </c>
      <c r="H997" s="26">
        <v>35928</v>
      </c>
      <c r="I997" t="s">
        <v>58</v>
      </c>
      <c r="J997" t="s">
        <v>9001</v>
      </c>
      <c r="M997">
        <v>27200</v>
      </c>
      <c r="N997" t="s">
        <v>2038</v>
      </c>
      <c r="O997" t="s">
        <v>61</v>
      </c>
      <c r="Q997">
        <v>683855766</v>
      </c>
      <c r="R997" t="s">
        <v>9002</v>
      </c>
      <c r="S997" t="s">
        <v>63</v>
      </c>
      <c r="T997" t="s">
        <v>64</v>
      </c>
      <c r="U997" t="s">
        <v>486</v>
      </c>
      <c r="W997" s="26">
        <v>45540</v>
      </c>
      <c r="X997" t="s">
        <v>61</v>
      </c>
      <c r="Y997" t="s">
        <v>237</v>
      </c>
    </row>
    <row r="998" spans="1:25" x14ac:dyDescent="0.25">
      <c r="A998" t="s">
        <v>3683</v>
      </c>
      <c r="B998">
        <v>11</v>
      </c>
      <c r="C998">
        <v>91</v>
      </c>
      <c r="D998">
        <v>9009</v>
      </c>
      <c r="E998" t="s">
        <v>159</v>
      </c>
      <c r="F998" t="s">
        <v>397</v>
      </c>
      <c r="G998" t="s">
        <v>3684</v>
      </c>
      <c r="H998" s="26">
        <v>18055</v>
      </c>
      <c r="I998" t="s">
        <v>58</v>
      </c>
      <c r="J998" t="s">
        <v>3685</v>
      </c>
      <c r="M998">
        <v>91550</v>
      </c>
      <c r="N998" t="s">
        <v>571</v>
      </c>
      <c r="O998" t="s">
        <v>61</v>
      </c>
      <c r="R998" t="s">
        <v>3686</v>
      </c>
      <c r="S998" t="s">
        <v>63</v>
      </c>
      <c r="T998" t="s">
        <v>64</v>
      </c>
      <c r="U998" t="s">
        <v>65</v>
      </c>
      <c r="W998" s="26">
        <v>45558</v>
      </c>
      <c r="X998" t="s">
        <v>61</v>
      </c>
      <c r="Y998" t="s">
        <v>237</v>
      </c>
    </row>
    <row r="999" spans="1:25" x14ac:dyDescent="0.25">
      <c r="A999" t="s">
        <v>3689</v>
      </c>
      <c r="B999">
        <v>11</v>
      </c>
      <c r="C999">
        <v>91</v>
      </c>
      <c r="D999">
        <v>9025</v>
      </c>
      <c r="E999" t="s">
        <v>188</v>
      </c>
      <c r="F999" t="s">
        <v>3690</v>
      </c>
      <c r="G999" t="s">
        <v>3691</v>
      </c>
      <c r="H999" s="26">
        <v>31317</v>
      </c>
      <c r="I999" t="s">
        <v>58</v>
      </c>
      <c r="J999" t="s">
        <v>3692</v>
      </c>
      <c r="M999">
        <v>91100</v>
      </c>
      <c r="N999" t="s">
        <v>1427</v>
      </c>
      <c r="O999" t="s">
        <v>61</v>
      </c>
      <c r="Q999">
        <v>618279915</v>
      </c>
      <c r="R999" t="s">
        <v>3693</v>
      </c>
      <c r="S999" t="s">
        <v>63</v>
      </c>
      <c r="T999" t="s">
        <v>64</v>
      </c>
      <c r="U999" t="s">
        <v>486</v>
      </c>
      <c r="V999" t="s">
        <v>111</v>
      </c>
      <c r="W999" s="26">
        <v>45536</v>
      </c>
      <c r="X999" t="s">
        <v>61</v>
      </c>
      <c r="Y999" t="s">
        <v>237</v>
      </c>
    </row>
    <row r="1000" spans="1:25" x14ac:dyDescent="0.25">
      <c r="A1000" t="s">
        <v>3694</v>
      </c>
      <c r="B1000">
        <v>11</v>
      </c>
      <c r="C1000">
        <v>91</v>
      </c>
      <c r="D1000">
        <v>9064</v>
      </c>
      <c r="E1000" t="s">
        <v>266</v>
      </c>
      <c r="F1000" t="s">
        <v>243</v>
      </c>
      <c r="G1000" t="s">
        <v>3695</v>
      </c>
      <c r="H1000" s="26">
        <v>25212</v>
      </c>
      <c r="I1000" t="s">
        <v>58</v>
      </c>
      <c r="J1000" t="s">
        <v>3696</v>
      </c>
      <c r="M1000">
        <v>92160</v>
      </c>
      <c r="N1000" t="s">
        <v>1202</v>
      </c>
      <c r="O1000" t="s">
        <v>61</v>
      </c>
      <c r="Q1000">
        <v>603416315</v>
      </c>
      <c r="R1000" t="s">
        <v>3697</v>
      </c>
      <c r="S1000" t="s">
        <v>63</v>
      </c>
      <c r="T1000" t="s">
        <v>64</v>
      </c>
      <c r="U1000" t="s">
        <v>65</v>
      </c>
      <c r="W1000" s="26">
        <v>45545</v>
      </c>
      <c r="X1000" t="s">
        <v>61</v>
      </c>
      <c r="Y1000" t="s">
        <v>237</v>
      </c>
    </row>
    <row r="1001" spans="1:25" x14ac:dyDescent="0.25">
      <c r="A1001" t="s">
        <v>10668</v>
      </c>
      <c r="B1001">
        <v>11</v>
      </c>
      <c r="C1001">
        <v>93</v>
      </c>
      <c r="D1001">
        <v>9060</v>
      </c>
      <c r="E1001" t="s">
        <v>203</v>
      </c>
      <c r="F1001" t="s">
        <v>143</v>
      </c>
      <c r="G1001" t="s">
        <v>10669</v>
      </c>
      <c r="H1001" s="26">
        <v>22823</v>
      </c>
      <c r="I1001" t="s">
        <v>58</v>
      </c>
      <c r="J1001" t="s">
        <v>10670</v>
      </c>
      <c r="M1001">
        <v>77500</v>
      </c>
      <c r="N1001" t="s">
        <v>637</v>
      </c>
      <c r="O1001" t="s">
        <v>61</v>
      </c>
      <c r="Q1001">
        <v>674336884</v>
      </c>
      <c r="R1001" t="s">
        <v>10671</v>
      </c>
      <c r="S1001" t="s">
        <v>63</v>
      </c>
      <c r="T1001" t="s">
        <v>64</v>
      </c>
      <c r="U1001" t="s">
        <v>65</v>
      </c>
      <c r="W1001" s="26">
        <v>45576</v>
      </c>
      <c r="X1001" t="s">
        <v>61</v>
      </c>
      <c r="Y1001" t="s">
        <v>237</v>
      </c>
    </row>
    <row r="1002" spans="1:25" x14ac:dyDescent="0.25">
      <c r="A1002" t="s">
        <v>3698</v>
      </c>
      <c r="B1002">
        <v>11</v>
      </c>
      <c r="C1002">
        <v>77</v>
      </c>
      <c r="D1002">
        <v>9026</v>
      </c>
      <c r="E1002" t="s">
        <v>508</v>
      </c>
      <c r="F1002" t="s">
        <v>3699</v>
      </c>
      <c r="G1002" t="s">
        <v>97</v>
      </c>
      <c r="H1002" s="26">
        <v>24952</v>
      </c>
      <c r="I1002" t="s">
        <v>16</v>
      </c>
      <c r="J1002" t="s">
        <v>3700</v>
      </c>
      <c r="M1002">
        <v>77380</v>
      </c>
      <c r="N1002" t="s">
        <v>2448</v>
      </c>
      <c r="O1002" t="s">
        <v>61</v>
      </c>
      <c r="R1002" t="s">
        <v>3701</v>
      </c>
      <c r="S1002" t="s">
        <v>237</v>
      </c>
      <c r="T1002" t="s">
        <v>64</v>
      </c>
      <c r="U1002" t="s">
        <v>65</v>
      </c>
      <c r="W1002" s="26">
        <v>45549</v>
      </c>
      <c r="X1002" t="s">
        <v>61</v>
      </c>
      <c r="Y1002" t="s">
        <v>237</v>
      </c>
    </row>
    <row r="1003" spans="1:25" x14ac:dyDescent="0.25">
      <c r="A1003" t="s">
        <v>3702</v>
      </c>
      <c r="B1003">
        <v>11</v>
      </c>
      <c r="C1003">
        <v>75</v>
      </c>
      <c r="D1003">
        <v>9070</v>
      </c>
      <c r="E1003" t="s">
        <v>168</v>
      </c>
      <c r="F1003" t="s">
        <v>1202</v>
      </c>
      <c r="G1003" t="s">
        <v>3703</v>
      </c>
      <c r="H1003" s="26">
        <v>32930</v>
      </c>
      <c r="I1003" t="s">
        <v>58</v>
      </c>
      <c r="J1003" t="s">
        <v>3704</v>
      </c>
      <c r="M1003">
        <v>94300</v>
      </c>
      <c r="N1003" t="s">
        <v>838</v>
      </c>
      <c r="O1003" t="s">
        <v>61</v>
      </c>
      <c r="P1003">
        <v>621615605</v>
      </c>
      <c r="Q1003">
        <v>621615605</v>
      </c>
      <c r="R1003" t="s">
        <v>3705</v>
      </c>
      <c r="S1003" t="s">
        <v>63</v>
      </c>
      <c r="T1003" t="s">
        <v>64</v>
      </c>
      <c r="U1003" t="s">
        <v>8684</v>
      </c>
      <c r="W1003" s="26">
        <v>45534</v>
      </c>
      <c r="X1003" t="s">
        <v>61</v>
      </c>
      <c r="Y1003" t="s">
        <v>237</v>
      </c>
    </row>
    <row r="1004" spans="1:25" x14ac:dyDescent="0.25">
      <c r="A1004" t="s">
        <v>3706</v>
      </c>
      <c r="B1004">
        <v>11</v>
      </c>
      <c r="C1004">
        <v>93</v>
      </c>
      <c r="D1004">
        <v>9122</v>
      </c>
      <c r="E1004" t="s">
        <v>1030</v>
      </c>
      <c r="F1004" t="s">
        <v>457</v>
      </c>
      <c r="G1004" t="s">
        <v>3707</v>
      </c>
      <c r="H1004" s="26">
        <v>20942</v>
      </c>
      <c r="I1004" t="s">
        <v>58</v>
      </c>
      <c r="J1004" t="s">
        <v>3708</v>
      </c>
      <c r="M1004">
        <v>93220</v>
      </c>
      <c r="N1004" t="s">
        <v>662</v>
      </c>
      <c r="O1004" t="s">
        <v>61</v>
      </c>
      <c r="Q1004">
        <v>616343921</v>
      </c>
      <c r="R1004" t="s">
        <v>3709</v>
      </c>
      <c r="S1004" t="s">
        <v>63</v>
      </c>
      <c r="T1004" t="s">
        <v>64</v>
      </c>
      <c r="U1004" t="s">
        <v>65</v>
      </c>
      <c r="W1004" s="26">
        <v>45559</v>
      </c>
      <c r="X1004" t="s">
        <v>61</v>
      </c>
      <c r="Y1004" t="s">
        <v>237</v>
      </c>
    </row>
    <row r="1005" spans="1:25" x14ac:dyDescent="0.25">
      <c r="A1005" t="s">
        <v>10247</v>
      </c>
      <c r="B1005">
        <v>11</v>
      </c>
      <c r="C1005">
        <v>77</v>
      </c>
      <c r="D1005">
        <v>9077</v>
      </c>
      <c r="E1005" t="s">
        <v>90</v>
      </c>
      <c r="F1005" t="s">
        <v>1991</v>
      </c>
      <c r="G1005" t="s">
        <v>10248</v>
      </c>
      <c r="H1005" s="26">
        <v>17108</v>
      </c>
      <c r="I1005" t="s">
        <v>58</v>
      </c>
      <c r="J1005" t="s">
        <v>10249</v>
      </c>
      <c r="M1005">
        <v>77120</v>
      </c>
      <c r="N1005" t="s">
        <v>803</v>
      </c>
      <c r="O1005" t="s">
        <v>61</v>
      </c>
      <c r="Q1005">
        <v>610316591</v>
      </c>
      <c r="R1005" t="s">
        <v>10250</v>
      </c>
      <c r="S1005" t="s">
        <v>63</v>
      </c>
      <c r="T1005" t="s">
        <v>64</v>
      </c>
      <c r="U1005" t="s">
        <v>65</v>
      </c>
      <c r="W1005" s="26">
        <v>45572</v>
      </c>
      <c r="X1005" t="s">
        <v>61</v>
      </c>
      <c r="Y1005" t="s">
        <v>237</v>
      </c>
    </row>
    <row r="1006" spans="1:25" x14ac:dyDescent="0.25">
      <c r="A1006" t="s">
        <v>3710</v>
      </c>
      <c r="B1006">
        <v>11</v>
      </c>
      <c r="C1006">
        <v>91</v>
      </c>
      <c r="D1006">
        <v>9025</v>
      </c>
      <c r="E1006" t="s">
        <v>188</v>
      </c>
      <c r="F1006" t="s">
        <v>3711</v>
      </c>
      <c r="G1006" t="s">
        <v>2921</v>
      </c>
      <c r="H1006" s="26">
        <v>38768</v>
      </c>
      <c r="I1006" t="s">
        <v>16</v>
      </c>
      <c r="J1006" t="s">
        <v>3712</v>
      </c>
      <c r="K1006" t="s">
        <v>3713</v>
      </c>
      <c r="M1006">
        <v>91100</v>
      </c>
      <c r="N1006" t="s">
        <v>1427</v>
      </c>
      <c r="O1006" t="s">
        <v>61</v>
      </c>
      <c r="P1006">
        <v>160891866</v>
      </c>
      <c r="Q1006">
        <v>663475335</v>
      </c>
      <c r="R1006" t="s">
        <v>3714</v>
      </c>
      <c r="S1006" t="s">
        <v>63</v>
      </c>
      <c r="T1006" t="s">
        <v>2510</v>
      </c>
      <c r="U1006" t="s">
        <v>486</v>
      </c>
      <c r="W1006" s="26">
        <v>45556</v>
      </c>
      <c r="X1006" t="s">
        <v>61</v>
      </c>
      <c r="Y1006" t="s">
        <v>237</v>
      </c>
    </row>
    <row r="1007" spans="1:25" x14ac:dyDescent="0.25">
      <c r="A1007" t="s">
        <v>3715</v>
      </c>
      <c r="B1007">
        <v>11</v>
      </c>
      <c r="C1007">
        <v>91</v>
      </c>
      <c r="D1007">
        <v>9025</v>
      </c>
      <c r="E1007" t="s">
        <v>188</v>
      </c>
      <c r="F1007" t="s">
        <v>3716</v>
      </c>
      <c r="G1007" t="s">
        <v>2921</v>
      </c>
      <c r="H1007" s="26">
        <v>40222</v>
      </c>
      <c r="I1007" t="s">
        <v>58</v>
      </c>
      <c r="J1007" t="s">
        <v>3712</v>
      </c>
      <c r="K1007" t="s">
        <v>3713</v>
      </c>
      <c r="M1007">
        <v>91100</v>
      </c>
      <c r="N1007" t="s">
        <v>1427</v>
      </c>
      <c r="O1007" t="s">
        <v>61</v>
      </c>
      <c r="P1007">
        <v>160891866</v>
      </c>
      <c r="Q1007">
        <v>663475335</v>
      </c>
      <c r="R1007" t="s">
        <v>3714</v>
      </c>
      <c r="S1007" t="s">
        <v>63</v>
      </c>
      <c r="T1007" t="s">
        <v>2510</v>
      </c>
      <c r="U1007" t="s">
        <v>486</v>
      </c>
      <c r="W1007" s="26">
        <v>45556</v>
      </c>
      <c r="X1007" t="s">
        <v>61</v>
      </c>
      <c r="Y1007" t="s">
        <v>237</v>
      </c>
    </row>
    <row r="1008" spans="1:25" x14ac:dyDescent="0.25">
      <c r="A1008" t="s">
        <v>3720</v>
      </c>
      <c r="B1008">
        <v>11</v>
      </c>
      <c r="C1008">
        <v>77</v>
      </c>
      <c r="D1008">
        <v>9059</v>
      </c>
      <c r="E1008" t="s">
        <v>197</v>
      </c>
      <c r="F1008" t="s">
        <v>217</v>
      </c>
      <c r="G1008" t="s">
        <v>3721</v>
      </c>
      <c r="H1008" s="26">
        <v>24996</v>
      </c>
      <c r="I1008" t="s">
        <v>58</v>
      </c>
      <c r="J1008" t="s">
        <v>3722</v>
      </c>
      <c r="M1008">
        <v>77330</v>
      </c>
      <c r="N1008" t="s">
        <v>209</v>
      </c>
      <c r="O1008" t="s">
        <v>61</v>
      </c>
      <c r="R1008" t="s">
        <v>3723</v>
      </c>
      <c r="S1008" t="s">
        <v>63</v>
      </c>
      <c r="T1008" t="s">
        <v>64</v>
      </c>
      <c r="U1008" t="s">
        <v>65</v>
      </c>
      <c r="W1008" s="26">
        <v>45562</v>
      </c>
      <c r="X1008" t="s">
        <v>61</v>
      </c>
      <c r="Y1008" t="s">
        <v>237</v>
      </c>
    </row>
    <row r="1009" spans="1:25" x14ac:dyDescent="0.25">
      <c r="A1009" t="s">
        <v>3724</v>
      </c>
      <c r="B1009">
        <v>11</v>
      </c>
      <c r="C1009">
        <v>91</v>
      </c>
      <c r="D1009">
        <v>9096</v>
      </c>
      <c r="E1009" t="s">
        <v>526</v>
      </c>
      <c r="F1009" t="s">
        <v>13</v>
      </c>
      <c r="G1009" t="s">
        <v>3725</v>
      </c>
      <c r="H1009" s="26">
        <v>20993</v>
      </c>
      <c r="I1009" t="s">
        <v>58</v>
      </c>
      <c r="J1009" t="s">
        <v>3726</v>
      </c>
      <c r="M1009">
        <v>91580</v>
      </c>
      <c r="N1009" t="s">
        <v>528</v>
      </c>
      <c r="O1009" t="s">
        <v>61</v>
      </c>
      <c r="Q1009">
        <v>647049953</v>
      </c>
      <c r="S1009" t="s">
        <v>237</v>
      </c>
      <c r="T1009" t="s">
        <v>64</v>
      </c>
      <c r="U1009" t="s">
        <v>65</v>
      </c>
      <c r="W1009" s="26">
        <v>45542</v>
      </c>
      <c r="X1009" t="s">
        <v>61</v>
      </c>
      <c r="Y1009" t="s">
        <v>237</v>
      </c>
    </row>
    <row r="1010" spans="1:25" x14ac:dyDescent="0.25">
      <c r="A1010" t="s">
        <v>3727</v>
      </c>
      <c r="B1010">
        <v>11</v>
      </c>
      <c r="C1010">
        <v>75</v>
      </c>
      <c r="D1010">
        <v>9070</v>
      </c>
      <c r="E1010" t="s">
        <v>168</v>
      </c>
      <c r="F1010" t="s">
        <v>868</v>
      </c>
      <c r="G1010" t="s">
        <v>3728</v>
      </c>
      <c r="H1010" s="26">
        <v>26213</v>
      </c>
      <c r="I1010" t="s">
        <v>58</v>
      </c>
      <c r="J1010" t="s">
        <v>3729</v>
      </c>
      <c r="M1010">
        <v>75017</v>
      </c>
      <c r="N1010" t="s">
        <v>330</v>
      </c>
      <c r="O1010" t="s">
        <v>61</v>
      </c>
      <c r="Q1010">
        <v>609589064</v>
      </c>
      <c r="R1010" t="s">
        <v>3730</v>
      </c>
      <c r="S1010" t="s">
        <v>63</v>
      </c>
      <c r="T1010" t="s">
        <v>64</v>
      </c>
      <c r="U1010" t="s">
        <v>8684</v>
      </c>
      <c r="W1010" s="26">
        <v>45559</v>
      </c>
      <c r="X1010" t="s">
        <v>61</v>
      </c>
      <c r="Y1010" t="s">
        <v>237</v>
      </c>
    </row>
    <row r="1011" spans="1:25" x14ac:dyDescent="0.25">
      <c r="A1011" t="s">
        <v>3731</v>
      </c>
      <c r="B1011">
        <v>11</v>
      </c>
      <c r="C1011">
        <v>91</v>
      </c>
      <c r="D1011">
        <v>9064</v>
      </c>
      <c r="E1011" t="s">
        <v>266</v>
      </c>
      <c r="F1011" t="s">
        <v>457</v>
      </c>
      <c r="G1011" t="s">
        <v>3732</v>
      </c>
      <c r="H1011" s="26">
        <v>24617</v>
      </c>
      <c r="I1011" t="s">
        <v>58</v>
      </c>
      <c r="J1011" t="s">
        <v>3733</v>
      </c>
      <c r="M1011">
        <v>91300</v>
      </c>
      <c r="N1011" t="s">
        <v>675</v>
      </c>
      <c r="O1011" t="s">
        <v>61</v>
      </c>
      <c r="Q1011">
        <v>668003037</v>
      </c>
      <c r="R1011" t="s">
        <v>3734</v>
      </c>
      <c r="S1011" t="s">
        <v>63</v>
      </c>
      <c r="T1011" t="s">
        <v>64</v>
      </c>
      <c r="U1011" t="s">
        <v>65</v>
      </c>
      <c r="W1011" s="26">
        <v>45539</v>
      </c>
      <c r="X1011" t="s">
        <v>61</v>
      </c>
      <c r="Y1011" t="s">
        <v>237</v>
      </c>
    </row>
    <row r="1012" spans="1:25" x14ac:dyDescent="0.25">
      <c r="A1012" t="s">
        <v>10130</v>
      </c>
      <c r="B1012">
        <v>11</v>
      </c>
      <c r="C1012">
        <v>91</v>
      </c>
      <c r="D1012">
        <v>9082</v>
      </c>
      <c r="E1012" t="s">
        <v>67</v>
      </c>
      <c r="F1012" t="s">
        <v>143</v>
      </c>
      <c r="G1012" t="s">
        <v>10131</v>
      </c>
      <c r="H1012" s="26">
        <v>21747</v>
      </c>
      <c r="I1012" t="s">
        <v>58</v>
      </c>
      <c r="J1012" t="s">
        <v>10132</v>
      </c>
      <c r="M1012">
        <v>91270</v>
      </c>
      <c r="N1012" t="s">
        <v>1412</v>
      </c>
      <c r="O1012" t="s">
        <v>61</v>
      </c>
      <c r="Q1012">
        <v>616220892</v>
      </c>
      <c r="R1012" t="s">
        <v>10133</v>
      </c>
      <c r="S1012" t="s">
        <v>63</v>
      </c>
      <c r="T1012" t="s">
        <v>64</v>
      </c>
      <c r="U1012" t="s">
        <v>65</v>
      </c>
      <c r="W1012" s="26">
        <v>45568</v>
      </c>
      <c r="X1012" t="s">
        <v>61</v>
      </c>
      <c r="Y1012" t="s">
        <v>237</v>
      </c>
    </row>
    <row r="1013" spans="1:25" x14ac:dyDescent="0.25">
      <c r="A1013" t="s">
        <v>3735</v>
      </c>
      <c r="B1013">
        <v>11</v>
      </c>
      <c r="C1013">
        <v>95</v>
      </c>
      <c r="D1013">
        <v>9010</v>
      </c>
      <c r="E1013" t="s">
        <v>6</v>
      </c>
      <c r="F1013" t="s">
        <v>3736</v>
      </c>
      <c r="G1013" t="s">
        <v>3737</v>
      </c>
      <c r="H1013" s="26">
        <v>30733</v>
      </c>
      <c r="I1013" t="s">
        <v>58</v>
      </c>
      <c r="J1013" t="s">
        <v>3718</v>
      </c>
      <c r="M1013">
        <v>93600</v>
      </c>
      <c r="N1013" t="s">
        <v>1558</v>
      </c>
      <c r="O1013" t="s">
        <v>61</v>
      </c>
      <c r="R1013" t="s">
        <v>3719</v>
      </c>
      <c r="S1013" t="s">
        <v>63</v>
      </c>
      <c r="T1013" t="s">
        <v>64</v>
      </c>
      <c r="U1013" t="s">
        <v>8684</v>
      </c>
      <c r="W1013" s="26">
        <v>45531</v>
      </c>
      <c r="X1013" t="s">
        <v>3738</v>
      </c>
      <c r="Y1013" t="s">
        <v>237</v>
      </c>
    </row>
    <row r="1014" spans="1:25" x14ac:dyDescent="0.25">
      <c r="A1014" t="s">
        <v>3739</v>
      </c>
      <c r="B1014">
        <v>11</v>
      </c>
      <c r="C1014">
        <v>94</v>
      </c>
      <c r="D1014">
        <v>9031</v>
      </c>
      <c r="E1014" t="s">
        <v>7</v>
      </c>
      <c r="F1014" t="s">
        <v>457</v>
      </c>
      <c r="G1014" t="s">
        <v>3740</v>
      </c>
      <c r="H1014" s="26">
        <v>19052</v>
      </c>
      <c r="I1014" t="s">
        <v>58</v>
      </c>
      <c r="J1014" t="s">
        <v>3741</v>
      </c>
      <c r="K1014" t="s">
        <v>330</v>
      </c>
      <c r="M1014">
        <v>75012</v>
      </c>
      <c r="N1014" t="s">
        <v>330</v>
      </c>
      <c r="O1014" t="s">
        <v>61</v>
      </c>
      <c r="P1014">
        <v>625442792</v>
      </c>
      <c r="R1014" t="s">
        <v>3742</v>
      </c>
      <c r="S1014" t="s">
        <v>63</v>
      </c>
      <c r="T1014" t="s">
        <v>64</v>
      </c>
      <c r="U1014" t="s">
        <v>65</v>
      </c>
      <c r="W1014" s="26">
        <v>45550</v>
      </c>
      <c r="X1014" t="s">
        <v>61</v>
      </c>
      <c r="Y1014" t="s">
        <v>237</v>
      </c>
    </row>
    <row r="1015" spans="1:25" x14ac:dyDescent="0.25">
      <c r="A1015" t="s">
        <v>11274</v>
      </c>
      <c r="B1015">
        <v>11</v>
      </c>
      <c r="C1015">
        <v>95</v>
      </c>
      <c r="D1015">
        <v>9069</v>
      </c>
      <c r="E1015" t="s">
        <v>129</v>
      </c>
      <c r="F1015" t="s">
        <v>85</v>
      </c>
      <c r="G1015" t="s">
        <v>11275</v>
      </c>
      <c r="H1015" s="26">
        <v>19277</v>
      </c>
      <c r="I1015" t="s">
        <v>58</v>
      </c>
      <c r="J1015" t="s">
        <v>11276</v>
      </c>
      <c r="M1015">
        <v>95160</v>
      </c>
      <c r="N1015" t="s">
        <v>639</v>
      </c>
      <c r="O1015" t="s">
        <v>61</v>
      </c>
      <c r="Q1015">
        <v>671497531</v>
      </c>
      <c r="R1015" t="s">
        <v>11277</v>
      </c>
      <c r="S1015" t="s">
        <v>63</v>
      </c>
      <c r="T1015" t="s">
        <v>64</v>
      </c>
      <c r="U1015" t="s">
        <v>65</v>
      </c>
      <c r="W1015" s="26">
        <v>45586</v>
      </c>
      <c r="X1015" t="s">
        <v>61</v>
      </c>
      <c r="Y1015" t="s">
        <v>237</v>
      </c>
    </row>
    <row r="1016" spans="1:25" x14ac:dyDescent="0.25">
      <c r="A1016" t="s">
        <v>3743</v>
      </c>
      <c r="B1016">
        <v>11</v>
      </c>
      <c r="C1016">
        <v>95</v>
      </c>
      <c r="D1016">
        <v>9033</v>
      </c>
      <c r="E1016" t="s">
        <v>500</v>
      </c>
      <c r="F1016" t="s">
        <v>289</v>
      </c>
      <c r="G1016" t="s">
        <v>3744</v>
      </c>
      <c r="H1016" s="26">
        <v>15860</v>
      </c>
      <c r="I1016" t="s">
        <v>58</v>
      </c>
      <c r="J1016" t="s">
        <v>3745</v>
      </c>
      <c r="M1016">
        <v>95330</v>
      </c>
      <c r="N1016" t="s">
        <v>2304</v>
      </c>
      <c r="O1016" t="s">
        <v>61</v>
      </c>
      <c r="Q1016">
        <v>613553340</v>
      </c>
      <c r="R1016" t="s">
        <v>3746</v>
      </c>
      <c r="S1016" t="s">
        <v>63</v>
      </c>
      <c r="T1016" t="s">
        <v>64</v>
      </c>
      <c r="U1016" t="s">
        <v>65</v>
      </c>
      <c r="W1016" s="26">
        <v>45556</v>
      </c>
      <c r="X1016" t="s">
        <v>61</v>
      </c>
      <c r="Y1016" t="s">
        <v>237</v>
      </c>
    </row>
    <row r="1017" spans="1:25" x14ac:dyDescent="0.25">
      <c r="A1017" t="s">
        <v>10122</v>
      </c>
      <c r="B1017">
        <v>11</v>
      </c>
      <c r="C1017">
        <v>94</v>
      </c>
      <c r="D1017">
        <v>9024</v>
      </c>
      <c r="E1017" t="s">
        <v>4</v>
      </c>
      <c r="F1017" t="s">
        <v>10124</v>
      </c>
      <c r="G1017" t="s">
        <v>10123</v>
      </c>
      <c r="H1017" s="26">
        <v>40652</v>
      </c>
      <c r="I1017" t="s">
        <v>58</v>
      </c>
      <c r="J1017" t="s">
        <v>10125</v>
      </c>
      <c r="M1017">
        <v>94100</v>
      </c>
      <c r="N1017" t="s">
        <v>971</v>
      </c>
      <c r="O1017" t="s">
        <v>61</v>
      </c>
      <c r="Q1017">
        <v>651246330</v>
      </c>
      <c r="R1017" t="s">
        <v>10126</v>
      </c>
      <c r="S1017" t="s">
        <v>63</v>
      </c>
      <c r="T1017" t="s">
        <v>2510</v>
      </c>
      <c r="U1017" t="s">
        <v>65</v>
      </c>
      <c r="W1017" s="26">
        <v>45571</v>
      </c>
      <c r="X1017" t="s">
        <v>61</v>
      </c>
      <c r="Y1017" t="s">
        <v>237</v>
      </c>
    </row>
    <row r="1018" spans="1:25" x14ac:dyDescent="0.25">
      <c r="A1018" t="s">
        <v>9003</v>
      </c>
      <c r="B1018">
        <v>11</v>
      </c>
      <c r="C1018">
        <v>94</v>
      </c>
      <c r="D1018">
        <v>9024</v>
      </c>
      <c r="E1018" t="s">
        <v>4</v>
      </c>
      <c r="F1018" t="s">
        <v>85</v>
      </c>
      <c r="G1018" t="s">
        <v>9004</v>
      </c>
      <c r="H1018" s="26">
        <v>19956</v>
      </c>
      <c r="I1018" t="s">
        <v>58</v>
      </c>
      <c r="J1018" t="s">
        <v>9005</v>
      </c>
      <c r="M1018">
        <v>94100</v>
      </c>
      <c r="N1018" t="s">
        <v>971</v>
      </c>
      <c r="O1018" t="s">
        <v>61</v>
      </c>
      <c r="Q1018">
        <v>619680384</v>
      </c>
      <c r="R1018" t="s">
        <v>9006</v>
      </c>
      <c r="S1018" t="s">
        <v>63</v>
      </c>
      <c r="T1018" t="s">
        <v>64</v>
      </c>
      <c r="U1018" t="s">
        <v>65</v>
      </c>
      <c r="W1018" s="26">
        <v>45548</v>
      </c>
      <c r="X1018" t="s">
        <v>61</v>
      </c>
      <c r="Y1018" t="s">
        <v>237</v>
      </c>
    </row>
    <row r="1019" spans="1:25" x14ac:dyDescent="0.25">
      <c r="A1019" t="s">
        <v>3747</v>
      </c>
      <c r="B1019">
        <v>11</v>
      </c>
      <c r="C1019">
        <v>93</v>
      </c>
      <c r="D1019">
        <v>9122</v>
      </c>
      <c r="E1019" t="s">
        <v>1030</v>
      </c>
      <c r="F1019" t="s">
        <v>448</v>
      </c>
      <c r="G1019" t="s">
        <v>3748</v>
      </c>
      <c r="H1019" s="26">
        <v>25323</v>
      </c>
      <c r="I1019" t="s">
        <v>58</v>
      </c>
      <c r="J1019" t="s">
        <v>3749</v>
      </c>
      <c r="M1019">
        <v>93220</v>
      </c>
      <c r="N1019" t="s">
        <v>662</v>
      </c>
      <c r="O1019" t="s">
        <v>61</v>
      </c>
      <c r="Q1019">
        <v>685883847</v>
      </c>
      <c r="R1019" t="s">
        <v>3750</v>
      </c>
      <c r="S1019" t="s">
        <v>63</v>
      </c>
      <c r="T1019" t="s">
        <v>64</v>
      </c>
      <c r="U1019" t="s">
        <v>8684</v>
      </c>
      <c r="W1019" s="26">
        <v>45530</v>
      </c>
      <c r="X1019" t="s">
        <v>61</v>
      </c>
      <c r="Y1019" t="s">
        <v>237</v>
      </c>
    </row>
    <row r="1020" spans="1:25" x14ac:dyDescent="0.25">
      <c r="A1020" t="s">
        <v>3751</v>
      </c>
      <c r="B1020">
        <v>11</v>
      </c>
      <c r="C1020">
        <v>75</v>
      </c>
      <c r="D1020">
        <v>9070</v>
      </c>
      <c r="E1020" t="s">
        <v>168</v>
      </c>
      <c r="F1020" t="s">
        <v>3752</v>
      </c>
      <c r="G1020" t="s">
        <v>3753</v>
      </c>
      <c r="H1020" s="26">
        <v>29844</v>
      </c>
      <c r="I1020" t="s">
        <v>58</v>
      </c>
      <c r="J1020" t="s">
        <v>3754</v>
      </c>
      <c r="M1020">
        <v>75019</v>
      </c>
      <c r="N1020" t="s">
        <v>330</v>
      </c>
      <c r="O1020" t="s">
        <v>61</v>
      </c>
      <c r="Q1020">
        <v>761122676</v>
      </c>
      <c r="R1020" t="s">
        <v>3755</v>
      </c>
      <c r="S1020" t="s">
        <v>63</v>
      </c>
      <c r="T1020" t="s">
        <v>64</v>
      </c>
      <c r="U1020" t="s">
        <v>8684</v>
      </c>
      <c r="W1020" s="26">
        <v>45545</v>
      </c>
      <c r="X1020" t="s">
        <v>61</v>
      </c>
      <c r="Y1020" t="s">
        <v>237</v>
      </c>
    </row>
    <row r="1021" spans="1:25" x14ac:dyDescent="0.25">
      <c r="A1021" t="s">
        <v>3758</v>
      </c>
      <c r="B1021">
        <v>11</v>
      </c>
      <c r="C1021">
        <v>78</v>
      </c>
      <c r="D1021">
        <v>9130</v>
      </c>
      <c r="E1021" t="s">
        <v>1159</v>
      </c>
      <c r="F1021" t="s">
        <v>668</v>
      </c>
      <c r="G1021" t="s">
        <v>9007</v>
      </c>
      <c r="H1021" s="26">
        <v>27501</v>
      </c>
      <c r="I1021" t="s">
        <v>58</v>
      </c>
      <c r="J1021" t="s">
        <v>3759</v>
      </c>
      <c r="M1021">
        <v>78570</v>
      </c>
      <c r="N1021" t="s">
        <v>1568</v>
      </c>
      <c r="O1021" t="s">
        <v>61</v>
      </c>
      <c r="Q1021">
        <v>660274859</v>
      </c>
      <c r="R1021" t="s">
        <v>3760</v>
      </c>
      <c r="S1021" t="s">
        <v>63</v>
      </c>
      <c r="T1021" t="s">
        <v>64</v>
      </c>
      <c r="U1021" t="s">
        <v>486</v>
      </c>
      <c r="W1021" s="26">
        <v>45532</v>
      </c>
      <c r="X1021" t="s">
        <v>61</v>
      </c>
      <c r="Y1021" t="s">
        <v>237</v>
      </c>
    </row>
    <row r="1022" spans="1:25" x14ac:dyDescent="0.25">
      <c r="A1022" t="s">
        <v>10672</v>
      </c>
      <c r="B1022">
        <v>11</v>
      </c>
      <c r="C1022">
        <v>93</v>
      </c>
      <c r="D1022">
        <v>9060</v>
      </c>
      <c r="E1022" t="s">
        <v>203</v>
      </c>
      <c r="F1022" t="s">
        <v>2501</v>
      </c>
      <c r="G1022" t="s">
        <v>10673</v>
      </c>
      <c r="H1022" s="26">
        <v>21626</v>
      </c>
      <c r="I1022" t="s">
        <v>16</v>
      </c>
      <c r="J1022" t="s">
        <v>10674</v>
      </c>
      <c r="M1022">
        <v>77270</v>
      </c>
      <c r="N1022" t="s">
        <v>3402</v>
      </c>
      <c r="O1022" t="s">
        <v>61</v>
      </c>
      <c r="Q1022">
        <v>672924192</v>
      </c>
      <c r="R1022" t="s">
        <v>10675</v>
      </c>
      <c r="S1022" t="s">
        <v>63</v>
      </c>
      <c r="T1022" t="s">
        <v>64</v>
      </c>
      <c r="U1022" t="s">
        <v>65</v>
      </c>
      <c r="W1022" s="26">
        <v>45576</v>
      </c>
      <c r="X1022" t="s">
        <v>61</v>
      </c>
      <c r="Y1022" t="s">
        <v>237</v>
      </c>
    </row>
    <row r="1023" spans="1:25" x14ac:dyDescent="0.25">
      <c r="A1023" t="s">
        <v>3761</v>
      </c>
      <c r="B1023">
        <v>11</v>
      </c>
      <c r="C1023">
        <v>91</v>
      </c>
      <c r="D1023">
        <v>9096</v>
      </c>
      <c r="E1023" t="s">
        <v>526</v>
      </c>
      <c r="F1023" t="s">
        <v>1295</v>
      </c>
      <c r="G1023" t="s">
        <v>3762</v>
      </c>
      <c r="H1023" s="26">
        <v>18289</v>
      </c>
      <c r="I1023" t="s">
        <v>58</v>
      </c>
      <c r="J1023" t="s">
        <v>3763</v>
      </c>
      <c r="M1023">
        <v>78660</v>
      </c>
      <c r="N1023" t="s">
        <v>3764</v>
      </c>
      <c r="O1023" t="s">
        <v>61</v>
      </c>
      <c r="P1023">
        <v>130594184</v>
      </c>
      <c r="R1023" t="s">
        <v>3765</v>
      </c>
      <c r="S1023" t="s">
        <v>63</v>
      </c>
      <c r="T1023" t="s">
        <v>64</v>
      </c>
      <c r="U1023" t="s">
        <v>65</v>
      </c>
      <c r="W1023" s="26">
        <v>45537</v>
      </c>
      <c r="X1023" t="s">
        <v>61</v>
      </c>
      <c r="Y1023" t="s">
        <v>237</v>
      </c>
    </row>
    <row r="1024" spans="1:25" x14ac:dyDescent="0.25">
      <c r="A1024" t="s">
        <v>10676</v>
      </c>
      <c r="B1024">
        <v>11</v>
      </c>
      <c r="C1024">
        <v>92</v>
      </c>
      <c r="D1024">
        <v>9068</v>
      </c>
      <c r="E1024" t="s">
        <v>119</v>
      </c>
      <c r="F1024" t="s">
        <v>189</v>
      </c>
      <c r="G1024" t="s">
        <v>10677</v>
      </c>
      <c r="H1024" s="26">
        <v>17323</v>
      </c>
      <c r="I1024" t="s">
        <v>58</v>
      </c>
      <c r="J1024" t="s">
        <v>10678</v>
      </c>
      <c r="M1024">
        <v>75014</v>
      </c>
      <c r="N1024" t="s">
        <v>330</v>
      </c>
      <c r="O1024" t="s">
        <v>61</v>
      </c>
      <c r="Q1024">
        <v>685556023</v>
      </c>
      <c r="R1024" t="s">
        <v>10679</v>
      </c>
      <c r="S1024" t="s">
        <v>63</v>
      </c>
      <c r="T1024" t="s">
        <v>64</v>
      </c>
      <c r="U1024" t="s">
        <v>65</v>
      </c>
      <c r="W1024" s="26">
        <v>45579</v>
      </c>
      <c r="X1024" t="s">
        <v>61</v>
      </c>
      <c r="Y1024" t="s">
        <v>237</v>
      </c>
    </row>
    <row r="1025" spans="1:25" x14ac:dyDescent="0.25">
      <c r="A1025" t="s">
        <v>3766</v>
      </c>
      <c r="B1025">
        <v>11</v>
      </c>
      <c r="C1025">
        <v>91</v>
      </c>
      <c r="D1025">
        <v>9096</v>
      </c>
      <c r="E1025" t="s">
        <v>526</v>
      </c>
      <c r="F1025" t="s">
        <v>1099</v>
      </c>
      <c r="G1025" t="s">
        <v>3767</v>
      </c>
      <c r="H1025" s="26">
        <v>21754</v>
      </c>
      <c r="I1025" t="s">
        <v>58</v>
      </c>
      <c r="J1025" t="s">
        <v>3768</v>
      </c>
      <c r="M1025">
        <v>91510</v>
      </c>
      <c r="N1025" t="s">
        <v>3056</v>
      </c>
      <c r="O1025" t="s">
        <v>61</v>
      </c>
      <c r="Q1025">
        <v>670162086</v>
      </c>
      <c r="R1025" t="s">
        <v>3769</v>
      </c>
      <c r="S1025" t="s">
        <v>63</v>
      </c>
      <c r="T1025" t="s">
        <v>64</v>
      </c>
      <c r="U1025" t="s">
        <v>65</v>
      </c>
      <c r="W1025" s="26">
        <v>45538</v>
      </c>
      <c r="X1025" t="s">
        <v>61</v>
      </c>
      <c r="Y1025" t="s">
        <v>237</v>
      </c>
    </row>
    <row r="1026" spans="1:25" x14ac:dyDescent="0.25">
      <c r="A1026" t="s">
        <v>3770</v>
      </c>
      <c r="B1026">
        <v>11</v>
      </c>
      <c r="C1026">
        <v>77</v>
      </c>
      <c r="D1026">
        <v>9059</v>
      </c>
      <c r="E1026" t="s">
        <v>197</v>
      </c>
      <c r="F1026" t="s">
        <v>3771</v>
      </c>
      <c r="G1026" t="s">
        <v>3576</v>
      </c>
      <c r="H1026" s="26">
        <v>20476</v>
      </c>
      <c r="I1026" t="s">
        <v>58</v>
      </c>
      <c r="J1026" t="s">
        <v>3772</v>
      </c>
      <c r="M1026">
        <v>77220</v>
      </c>
      <c r="N1026" t="s">
        <v>2435</v>
      </c>
      <c r="O1026" t="s">
        <v>61</v>
      </c>
      <c r="Q1026">
        <v>698440473</v>
      </c>
      <c r="R1026" t="s">
        <v>3773</v>
      </c>
      <c r="S1026" t="s">
        <v>63</v>
      </c>
      <c r="T1026" t="s">
        <v>64</v>
      </c>
      <c r="U1026" t="s">
        <v>65</v>
      </c>
      <c r="W1026" s="26">
        <v>45537</v>
      </c>
      <c r="X1026" t="s">
        <v>61</v>
      </c>
      <c r="Y1026" t="s">
        <v>237</v>
      </c>
    </row>
    <row r="1027" spans="1:25" x14ac:dyDescent="0.25">
      <c r="A1027" t="s">
        <v>3774</v>
      </c>
      <c r="B1027">
        <v>11</v>
      </c>
      <c r="C1027">
        <v>94</v>
      </c>
      <c r="D1027">
        <v>9024</v>
      </c>
      <c r="E1027" t="s">
        <v>4</v>
      </c>
      <c r="F1027" t="s">
        <v>189</v>
      </c>
      <c r="G1027" t="s">
        <v>1292</v>
      </c>
      <c r="H1027" s="26">
        <v>18890</v>
      </c>
      <c r="I1027" t="s">
        <v>58</v>
      </c>
      <c r="J1027" t="s">
        <v>3775</v>
      </c>
      <c r="M1027">
        <v>94000</v>
      </c>
      <c r="N1027" t="s">
        <v>277</v>
      </c>
      <c r="O1027" t="s">
        <v>61</v>
      </c>
      <c r="Q1027">
        <v>624491187</v>
      </c>
      <c r="R1027" t="s">
        <v>3776</v>
      </c>
      <c r="S1027" t="s">
        <v>63</v>
      </c>
      <c r="T1027" t="s">
        <v>64</v>
      </c>
      <c r="U1027" t="s">
        <v>65</v>
      </c>
      <c r="W1027" s="26">
        <v>45560</v>
      </c>
      <c r="X1027" t="s">
        <v>61</v>
      </c>
      <c r="Y1027" t="s">
        <v>237</v>
      </c>
    </row>
    <row r="1028" spans="1:25" x14ac:dyDescent="0.25">
      <c r="A1028" t="s">
        <v>3777</v>
      </c>
      <c r="B1028">
        <v>11</v>
      </c>
      <c r="C1028">
        <v>95</v>
      </c>
      <c r="D1028">
        <v>9069</v>
      </c>
      <c r="E1028" t="s">
        <v>129</v>
      </c>
      <c r="F1028" t="s">
        <v>3778</v>
      </c>
      <c r="G1028" t="s">
        <v>3779</v>
      </c>
      <c r="H1028" s="26">
        <v>16234</v>
      </c>
      <c r="I1028" t="s">
        <v>58</v>
      </c>
      <c r="J1028" t="s">
        <v>3780</v>
      </c>
      <c r="M1028">
        <v>95430</v>
      </c>
      <c r="N1028" t="s">
        <v>3035</v>
      </c>
      <c r="O1028" t="s">
        <v>61</v>
      </c>
      <c r="R1028" t="s">
        <v>3781</v>
      </c>
      <c r="S1028" t="s">
        <v>63</v>
      </c>
      <c r="T1028" t="s">
        <v>64</v>
      </c>
      <c r="U1028" t="s">
        <v>65</v>
      </c>
      <c r="W1028" s="26">
        <v>45560</v>
      </c>
      <c r="X1028" t="s">
        <v>61</v>
      </c>
      <c r="Y1028" t="s">
        <v>237</v>
      </c>
    </row>
    <row r="1029" spans="1:25" x14ac:dyDescent="0.25">
      <c r="A1029" t="s">
        <v>3782</v>
      </c>
      <c r="B1029">
        <v>11</v>
      </c>
      <c r="C1029">
        <v>94</v>
      </c>
      <c r="D1029">
        <v>9024</v>
      </c>
      <c r="E1029" t="s">
        <v>4</v>
      </c>
      <c r="F1029" t="s">
        <v>1288</v>
      </c>
      <c r="G1029" t="s">
        <v>3783</v>
      </c>
      <c r="H1029" s="26">
        <v>18407</v>
      </c>
      <c r="I1029" t="s">
        <v>58</v>
      </c>
      <c r="J1029" t="s">
        <v>3784</v>
      </c>
      <c r="M1029">
        <v>94210</v>
      </c>
      <c r="N1029" t="s">
        <v>1323</v>
      </c>
      <c r="O1029" t="s">
        <v>61</v>
      </c>
      <c r="Q1029">
        <v>661736825</v>
      </c>
      <c r="R1029" t="s">
        <v>3785</v>
      </c>
      <c r="S1029" t="s">
        <v>63</v>
      </c>
      <c r="T1029" t="s">
        <v>64</v>
      </c>
      <c r="U1029" t="s">
        <v>65</v>
      </c>
      <c r="W1029" s="26">
        <v>45560</v>
      </c>
      <c r="X1029" t="s">
        <v>61</v>
      </c>
      <c r="Y1029" t="s">
        <v>237</v>
      </c>
    </row>
    <row r="1030" spans="1:25" x14ac:dyDescent="0.25">
      <c r="A1030" t="s">
        <v>10680</v>
      </c>
      <c r="B1030">
        <v>11</v>
      </c>
      <c r="C1030">
        <v>95</v>
      </c>
      <c r="D1030">
        <v>9061</v>
      </c>
      <c r="E1030" t="s">
        <v>360</v>
      </c>
      <c r="F1030" t="s">
        <v>10681</v>
      </c>
      <c r="G1030" t="s">
        <v>587</v>
      </c>
      <c r="H1030" s="26">
        <v>40490</v>
      </c>
      <c r="I1030" t="s">
        <v>58</v>
      </c>
      <c r="J1030" t="s">
        <v>591</v>
      </c>
      <c r="M1030">
        <v>95640</v>
      </c>
      <c r="N1030" t="s">
        <v>588</v>
      </c>
      <c r="O1030" t="s">
        <v>61</v>
      </c>
      <c r="Q1030">
        <v>789545089</v>
      </c>
      <c r="S1030" t="s">
        <v>63</v>
      </c>
      <c r="T1030" t="s">
        <v>2510</v>
      </c>
      <c r="U1030" t="s">
        <v>65</v>
      </c>
      <c r="W1030" s="26">
        <v>45582</v>
      </c>
      <c r="X1030" t="s">
        <v>61</v>
      </c>
      <c r="Y1030" t="s">
        <v>237</v>
      </c>
    </row>
    <row r="1031" spans="1:25" x14ac:dyDescent="0.25">
      <c r="A1031" t="s">
        <v>9008</v>
      </c>
      <c r="B1031">
        <v>11</v>
      </c>
      <c r="C1031">
        <v>75</v>
      </c>
      <c r="D1031">
        <v>9070</v>
      </c>
      <c r="E1031" t="s">
        <v>168</v>
      </c>
      <c r="F1031" t="s">
        <v>13</v>
      </c>
      <c r="G1031" t="s">
        <v>2256</v>
      </c>
      <c r="H1031" s="26">
        <v>29564</v>
      </c>
      <c r="I1031" t="s">
        <v>58</v>
      </c>
      <c r="J1031" t="s">
        <v>9009</v>
      </c>
      <c r="M1031">
        <v>94120</v>
      </c>
      <c r="N1031" t="s">
        <v>1217</v>
      </c>
      <c r="O1031" t="s">
        <v>61</v>
      </c>
      <c r="Q1031">
        <v>664186576</v>
      </c>
      <c r="R1031" t="s">
        <v>9010</v>
      </c>
      <c r="S1031" t="s">
        <v>63</v>
      </c>
      <c r="T1031" t="s">
        <v>64</v>
      </c>
      <c r="U1031" t="s">
        <v>8684</v>
      </c>
      <c r="W1031" s="26">
        <v>45559</v>
      </c>
      <c r="X1031" t="s">
        <v>61</v>
      </c>
      <c r="Y1031" t="s">
        <v>237</v>
      </c>
    </row>
    <row r="1032" spans="1:25" x14ac:dyDescent="0.25">
      <c r="A1032" t="s">
        <v>10682</v>
      </c>
      <c r="B1032">
        <v>11</v>
      </c>
      <c r="C1032">
        <v>93</v>
      </c>
      <c r="D1032">
        <v>9060</v>
      </c>
      <c r="E1032" t="s">
        <v>203</v>
      </c>
      <c r="F1032" t="s">
        <v>10683</v>
      </c>
      <c r="G1032" t="s">
        <v>10684</v>
      </c>
      <c r="H1032" s="26">
        <v>11799</v>
      </c>
      <c r="I1032" t="s">
        <v>58</v>
      </c>
      <c r="J1032" t="s">
        <v>10685</v>
      </c>
      <c r="M1032">
        <v>93290</v>
      </c>
      <c r="N1032" t="s">
        <v>1332</v>
      </c>
      <c r="O1032" t="s">
        <v>61</v>
      </c>
      <c r="P1032">
        <v>148608991</v>
      </c>
      <c r="S1032" t="s">
        <v>63</v>
      </c>
      <c r="T1032" t="s">
        <v>64</v>
      </c>
      <c r="U1032" t="s">
        <v>65</v>
      </c>
      <c r="W1032" s="26">
        <v>45576</v>
      </c>
      <c r="X1032" t="s">
        <v>61</v>
      </c>
      <c r="Y1032" t="s">
        <v>237</v>
      </c>
    </row>
    <row r="1033" spans="1:25" x14ac:dyDescent="0.25">
      <c r="A1033" t="s">
        <v>10686</v>
      </c>
      <c r="B1033">
        <v>11</v>
      </c>
      <c r="C1033">
        <v>93</v>
      </c>
      <c r="D1033">
        <v>9060</v>
      </c>
      <c r="E1033" t="s">
        <v>203</v>
      </c>
      <c r="F1033" t="s">
        <v>272</v>
      </c>
      <c r="G1033" t="s">
        <v>10687</v>
      </c>
      <c r="H1033" s="26">
        <v>18124</v>
      </c>
      <c r="I1033" t="s">
        <v>58</v>
      </c>
      <c r="J1033" t="s">
        <v>10688</v>
      </c>
      <c r="M1033">
        <v>93290</v>
      </c>
      <c r="N1033" t="s">
        <v>1332</v>
      </c>
      <c r="O1033" t="s">
        <v>61</v>
      </c>
      <c r="P1033">
        <v>148606789</v>
      </c>
      <c r="Q1033">
        <v>648122103</v>
      </c>
      <c r="R1033" t="s">
        <v>10689</v>
      </c>
      <c r="S1033" t="s">
        <v>63</v>
      </c>
      <c r="T1033" t="s">
        <v>64</v>
      </c>
      <c r="U1033" t="s">
        <v>65</v>
      </c>
      <c r="W1033" s="26">
        <v>45576</v>
      </c>
      <c r="X1033" t="s">
        <v>61</v>
      </c>
      <c r="Y1033" t="s">
        <v>237</v>
      </c>
    </row>
    <row r="1034" spans="1:25" x14ac:dyDescent="0.25">
      <c r="A1034" t="s">
        <v>3786</v>
      </c>
      <c r="B1034">
        <v>11</v>
      </c>
      <c r="C1034">
        <v>75</v>
      </c>
      <c r="D1034">
        <v>9070</v>
      </c>
      <c r="E1034" t="s">
        <v>168</v>
      </c>
      <c r="F1034" t="s">
        <v>3787</v>
      </c>
      <c r="G1034" t="s">
        <v>3788</v>
      </c>
      <c r="H1034" s="26">
        <v>31302</v>
      </c>
      <c r="I1034" t="s">
        <v>58</v>
      </c>
      <c r="J1034" t="s">
        <v>3789</v>
      </c>
      <c r="M1034">
        <v>91800</v>
      </c>
      <c r="N1034" t="s">
        <v>3790</v>
      </c>
      <c r="O1034" t="s">
        <v>61</v>
      </c>
      <c r="Q1034">
        <v>659918072</v>
      </c>
      <c r="R1034" t="s">
        <v>3791</v>
      </c>
      <c r="S1034" t="s">
        <v>63</v>
      </c>
      <c r="T1034" t="s">
        <v>64</v>
      </c>
      <c r="U1034" t="s">
        <v>8684</v>
      </c>
      <c r="W1034" s="26">
        <v>45537</v>
      </c>
      <c r="X1034" t="s">
        <v>61</v>
      </c>
      <c r="Y1034" t="s">
        <v>237</v>
      </c>
    </row>
    <row r="1035" spans="1:25" x14ac:dyDescent="0.25">
      <c r="A1035" t="s">
        <v>3792</v>
      </c>
      <c r="B1035">
        <v>11</v>
      </c>
      <c r="C1035">
        <v>92</v>
      </c>
      <c r="D1035">
        <v>9017</v>
      </c>
      <c r="E1035" t="s">
        <v>211</v>
      </c>
      <c r="F1035" t="s">
        <v>1019</v>
      </c>
      <c r="G1035" t="s">
        <v>3793</v>
      </c>
      <c r="H1035" s="26">
        <v>20548</v>
      </c>
      <c r="I1035" t="s">
        <v>58</v>
      </c>
      <c r="J1035" t="s">
        <v>3794</v>
      </c>
      <c r="M1035">
        <v>92400</v>
      </c>
      <c r="N1035" t="s">
        <v>478</v>
      </c>
      <c r="O1035" t="s">
        <v>61</v>
      </c>
      <c r="R1035" t="s">
        <v>9011</v>
      </c>
      <c r="S1035" t="s">
        <v>63</v>
      </c>
      <c r="T1035" t="s">
        <v>64</v>
      </c>
      <c r="U1035" t="s">
        <v>65</v>
      </c>
      <c r="W1035" s="26">
        <v>45546</v>
      </c>
      <c r="X1035" t="s">
        <v>61</v>
      </c>
      <c r="Y1035" t="s">
        <v>237</v>
      </c>
    </row>
    <row r="1036" spans="1:25" x14ac:dyDescent="0.25">
      <c r="A1036" t="s">
        <v>3795</v>
      </c>
      <c r="B1036">
        <v>11</v>
      </c>
      <c r="C1036">
        <v>92</v>
      </c>
      <c r="D1036">
        <v>9017</v>
      </c>
      <c r="E1036" t="s">
        <v>211</v>
      </c>
      <c r="F1036" t="s">
        <v>1442</v>
      </c>
      <c r="G1036" t="s">
        <v>3796</v>
      </c>
      <c r="H1036" s="26">
        <v>29247</v>
      </c>
      <c r="I1036" t="s">
        <v>58</v>
      </c>
      <c r="J1036" t="s">
        <v>3797</v>
      </c>
      <c r="M1036">
        <v>92150</v>
      </c>
      <c r="N1036" t="s">
        <v>485</v>
      </c>
      <c r="O1036" t="s">
        <v>61</v>
      </c>
      <c r="R1036" t="s">
        <v>3798</v>
      </c>
      <c r="S1036" t="s">
        <v>63</v>
      </c>
      <c r="T1036" t="s">
        <v>64</v>
      </c>
      <c r="U1036" t="s">
        <v>65</v>
      </c>
      <c r="W1036" s="26">
        <v>45546</v>
      </c>
      <c r="X1036" t="s">
        <v>61</v>
      </c>
      <c r="Y1036" t="s">
        <v>237</v>
      </c>
    </row>
    <row r="1037" spans="1:25" x14ac:dyDescent="0.25">
      <c r="A1037" t="s">
        <v>3799</v>
      </c>
      <c r="B1037">
        <v>11</v>
      </c>
      <c r="C1037">
        <v>94</v>
      </c>
      <c r="D1037">
        <v>9045</v>
      </c>
      <c r="E1037" t="s">
        <v>1234</v>
      </c>
      <c r="F1037" t="s">
        <v>1586</v>
      </c>
      <c r="G1037" t="s">
        <v>3800</v>
      </c>
      <c r="H1037" s="26">
        <v>31371</v>
      </c>
      <c r="I1037" t="s">
        <v>58</v>
      </c>
      <c r="J1037" t="s">
        <v>3801</v>
      </c>
      <c r="M1037">
        <v>92100</v>
      </c>
      <c r="N1037" t="s">
        <v>104</v>
      </c>
      <c r="O1037" t="s">
        <v>61</v>
      </c>
      <c r="Q1037">
        <v>782625212</v>
      </c>
      <c r="R1037" t="s">
        <v>3802</v>
      </c>
      <c r="S1037" t="s">
        <v>63</v>
      </c>
      <c r="T1037" t="s">
        <v>64</v>
      </c>
      <c r="U1037" t="s">
        <v>8684</v>
      </c>
      <c r="W1037" s="26">
        <v>45529</v>
      </c>
      <c r="X1037" t="s">
        <v>61</v>
      </c>
      <c r="Y1037" t="s">
        <v>237</v>
      </c>
    </row>
    <row r="1038" spans="1:25" x14ac:dyDescent="0.25">
      <c r="A1038" t="s">
        <v>9012</v>
      </c>
      <c r="B1038">
        <v>11</v>
      </c>
      <c r="C1038">
        <v>95</v>
      </c>
      <c r="D1038">
        <v>9127</v>
      </c>
      <c r="E1038" t="s">
        <v>536</v>
      </c>
      <c r="F1038" t="s">
        <v>9013</v>
      </c>
      <c r="G1038" t="s">
        <v>9014</v>
      </c>
      <c r="H1038" s="26">
        <v>31343</v>
      </c>
      <c r="I1038" t="s">
        <v>58</v>
      </c>
      <c r="J1038" t="s">
        <v>9015</v>
      </c>
      <c r="M1038">
        <v>78711</v>
      </c>
      <c r="N1038" t="s">
        <v>2698</v>
      </c>
      <c r="O1038" t="s">
        <v>61</v>
      </c>
      <c r="Q1038">
        <v>605621282</v>
      </c>
      <c r="R1038" t="s">
        <v>9016</v>
      </c>
      <c r="S1038" t="s">
        <v>63</v>
      </c>
      <c r="T1038" t="s">
        <v>64</v>
      </c>
      <c r="U1038" t="s">
        <v>8684</v>
      </c>
      <c r="W1038" s="26">
        <v>45560</v>
      </c>
      <c r="X1038" t="s">
        <v>3895</v>
      </c>
      <c r="Y1038" t="s">
        <v>237</v>
      </c>
    </row>
    <row r="1039" spans="1:25" x14ac:dyDescent="0.25">
      <c r="A1039" t="s">
        <v>9017</v>
      </c>
      <c r="B1039">
        <v>11</v>
      </c>
      <c r="C1039">
        <v>92</v>
      </c>
      <c r="D1039">
        <v>9007</v>
      </c>
      <c r="E1039" t="s">
        <v>121</v>
      </c>
      <c r="F1039" t="s">
        <v>137</v>
      </c>
      <c r="G1039" t="s">
        <v>9018</v>
      </c>
      <c r="H1039" s="26">
        <v>19362</v>
      </c>
      <c r="I1039" t="s">
        <v>58</v>
      </c>
      <c r="J1039" t="s">
        <v>9019</v>
      </c>
      <c r="M1039">
        <v>92600</v>
      </c>
      <c r="N1039" t="s">
        <v>410</v>
      </c>
      <c r="O1039" t="s">
        <v>61</v>
      </c>
      <c r="S1039" t="s">
        <v>63</v>
      </c>
      <c r="T1039" t="s">
        <v>64</v>
      </c>
      <c r="U1039" t="s">
        <v>65</v>
      </c>
      <c r="W1039" s="26">
        <v>45560</v>
      </c>
      <c r="X1039" t="s">
        <v>61</v>
      </c>
      <c r="Y1039" t="s">
        <v>237</v>
      </c>
    </row>
    <row r="1040" spans="1:25" x14ac:dyDescent="0.25">
      <c r="A1040" t="s">
        <v>11278</v>
      </c>
      <c r="B1040">
        <v>11</v>
      </c>
      <c r="C1040">
        <v>93</v>
      </c>
      <c r="D1040">
        <v>9060</v>
      </c>
      <c r="E1040" t="s">
        <v>203</v>
      </c>
      <c r="F1040" t="s">
        <v>189</v>
      </c>
      <c r="G1040" t="s">
        <v>11279</v>
      </c>
      <c r="H1040" s="26">
        <v>24238</v>
      </c>
      <c r="I1040" t="s">
        <v>58</v>
      </c>
      <c r="J1040" t="s">
        <v>11280</v>
      </c>
      <c r="M1040">
        <v>77410</v>
      </c>
      <c r="N1040" t="s">
        <v>11281</v>
      </c>
      <c r="O1040" t="s">
        <v>61</v>
      </c>
      <c r="Q1040">
        <v>606575835</v>
      </c>
      <c r="R1040" t="s">
        <v>11282</v>
      </c>
      <c r="S1040" t="s">
        <v>63</v>
      </c>
      <c r="T1040" t="s">
        <v>64</v>
      </c>
      <c r="U1040" t="s">
        <v>65</v>
      </c>
      <c r="W1040" s="26">
        <v>45589</v>
      </c>
      <c r="X1040" t="s">
        <v>61</v>
      </c>
      <c r="Y1040" t="s">
        <v>237</v>
      </c>
    </row>
    <row r="1041" spans="1:25" x14ac:dyDescent="0.25">
      <c r="A1041" t="s">
        <v>10690</v>
      </c>
      <c r="B1041">
        <v>11</v>
      </c>
      <c r="C1041">
        <v>93</v>
      </c>
      <c r="D1041">
        <v>9060</v>
      </c>
      <c r="E1041" t="s">
        <v>203</v>
      </c>
      <c r="F1041" t="s">
        <v>160</v>
      </c>
      <c r="G1041" t="s">
        <v>10691</v>
      </c>
      <c r="H1041" s="26">
        <v>24275</v>
      </c>
      <c r="I1041" t="s">
        <v>58</v>
      </c>
      <c r="J1041" t="s">
        <v>10692</v>
      </c>
      <c r="M1041">
        <v>93140</v>
      </c>
      <c r="N1041" t="s">
        <v>10693</v>
      </c>
      <c r="O1041" t="s">
        <v>61</v>
      </c>
      <c r="Q1041">
        <v>667664653</v>
      </c>
      <c r="R1041" t="s">
        <v>10694</v>
      </c>
      <c r="S1041" t="s">
        <v>63</v>
      </c>
      <c r="T1041" t="s">
        <v>64</v>
      </c>
      <c r="U1041" t="s">
        <v>65</v>
      </c>
      <c r="W1041" s="26">
        <v>45581</v>
      </c>
      <c r="X1041" t="s">
        <v>61</v>
      </c>
      <c r="Y1041" t="s">
        <v>237</v>
      </c>
    </row>
    <row r="1042" spans="1:25" x14ac:dyDescent="0.25">
      <c r="A1042" t="s">
        <v>3803</v>
      </c>
      <c r="B1042">
        <v>11</v>
      </c>
      <c r="C1042">
        <v>93</v>
      </c>
      <c r="D1042">
        <v>9122</v>
      </c>
      <c r="E1042" t="s">
        <v>1030</v>
      </c>
      <c r="F1042" t="s">
        <v>289</v>
      </c>
      <c r="G1042" t="s">
        <v>3804</v>
      </c>
      <c r="H1042" s="26">
        <v>20897</v>
      </c>
      <c r="I1042" t="s">
        <v>58</v>
      </c>
      <c r="J1042" t="s">
        <v>3805</v>
      </c>
      <c r="M1042">
        <v>93220</v>
      </c>
      <c r="N1042" t="s">
        <v>662</v>
      </c>
      <c r="O1042" t="s">
        <v>61</v>
      </c>
      <c r="Q1042">
        <v>623989195</v>
      </c>
      <c r="R1042" t="s">
        <v>3806</v>
      </c>
      <c r="S1042" t="s">
        <v>63</v>
      </c>
      <c r="T1042" t="s">
        <v>64</v>
      </c>
      <c r="U1042" t="s">
        <v>8684</v>
      </c>
      <c r="W1042" s="26">
        <v>45540</v>
      </c>
      <c r="X1042" t="s">
        <v>61</v>
      </c>
      <c r="Y1042" t="s">
        <v>237</v>
      </c>
    </row>
    <row r="1043" spans="1:25" x14ac:dyDescent="0.25">
      <c r="A1043" t="s">
        <v>10695</v>
      </c>
      <c r="B1043">
        <v>11</v>
      </c>
      <c r="C1043">
        <v>91</v>
      </c>
      <c r="D1043">
        <v>9025</v>
      </c>
      <c r="E1043" t="s">
        <v>188</v>
      </c>
      <c r="F1043" t="s">
        <v>457</v>
      </c>
      <c r="G1043" t="s">
        <v>10696</v>
      </c>
      <c r="H1043" s="26">
        <v>18991</v>
      </c>
      <c r="I1043" t="s">
        <v>58</v>
      </c>
      <c r="J1043" t="s">
        <v>10697</v>
      </c>
      <c r="M1043">
        <v>91170</v>
      </c>
      <c r="N1043" t="s">
        <v>1836</v>
      </c>
      <c r="O1043" t="s">
        <v>61</v>
      </c>
      <c r="Q1043">
        <v>606438227</v>
      </c>
      <c r="R1043" t="s">
        <v>10698</v>
      </c>
      <c r="S1043" t="s">
        <v>63</v>
      </c>
      <c r="T1043" t="s">
        <v>64</v>
      </c>
      <c r="U1043" t="s">
        <v>486</v>
      </c>
      <c r="W1043" s="26">
        <v>45576</v>
      </c>
      <c r="X1043" t="s">
        <v>61</v>
      </c>
      <c r="Y1043" t="s">
        <v>237</v>
      </c>
    </row>
    <row r="1044" spans="1:25" x14ac:dyDescent="0.25">
      <c r="A1044" t="s">
        <v>10699</v>
      </c>
      <c r="B1044">
        <v>11</v>
      </c>
      <c r="C1044">
        <v>91</v>
      </c>
      <c r="D1044">
        <v>9025</v>
      </c>
      <c r="E1044" t="s">
        <v>188</v>
      </c>
      <c r="F1044" t="s">
        <v>983</v>
      </c>
      <c r="G1044" t="s">
        <v>10696</v>
      </c>
      <c r="H1044" s="26">
        <v>29388</v>
      </c>
      <c r="I1044" t="s">
        <v>58</v>
      </c>
      <c r="J1044" t="s">
        <v>10697</v>
      </c>
      <c r="M1044">
        <v>91170</v>
      </c>
      <c r="N1044" t="s">
        <v>1836</v>
      </c>
      <c r="O1044" t="s">
        <v>61</v>
      </c>
      <c r="Q1044">
        <v>649168662</v>
      </c>
      <c r="R1044" t="s">
        <v>10700</v>
      </c>
      <c r="S1044" t="s">
        <v>63</v>
      </c>
      <c r="T1044" t="s">
        <v>64</v>
      </c>
      <c r="U1044" t="s">
        <v>486</v>
      </c>
      <c r="W1044" s="26">
        <v>45576</v>
      </c>
      <c r="X1044" t="s">
        <v>61</v>
      </c>
      <c r="Y1044" t="s">
        <v>237</v>
      </c>
    </row>
    <row r="1045" spans="1:25" x14ac:dyDescent="0.25">
      <c r="A1045" t="s">
        <v>3807</v>
      </c>
      <c r="B1045">
        <v>11</v>
      </c>
      <c r="C1045">
        <v>78</v>
      </c>
      <c r="D1045">
        <v>9038</v>
      </c>
      <c r="E1045" t="s">
        <v>484</v>
      </c>
      <c r="F1045" t="s">
        <v>1099</v>
      </c>
      <c r="G1045" t="s">
        <v>3808</v>
      </c>
      <c r="H1045" s="26">
        <v>21869</v>
      </c>
      <c r="I1045" t="s">
        <v>58</v>
      </c>
      <c r="J1045" t="s">
        <v>3809</v>
      </c>
      <c r="M1045">
        <v>78700</v>
      </c>
      <c r="N1045" t="s">
        <v>3810</v>
      </c>
      <c r="O1045" t="s">
        <v>61</v>
      </c>
      <c r="Q1045">
        <v>669405888</v>
      </c>
      <c r="S1045" t="s">
        <v>63</v>
      </c>
      <c r="T1045" t="s">
        <v>64</v>
      </c>
      <c r="U1045" t="s">
        <v>65</v>
      </c>
      <c r="W1045" s="26">
        <v>45560</v>
      </c>
      <c r="X1045" t="s">
        <v>61</v>
      </c>
      <c r="Y1045" t="s">
        <v>237</v>
      </c>
    </row>
    <row r="1046" spans="1:25" x14ac:dyDescent="0.25">
      <c r="A1046" t="s">
        <v>3811</v>
      </c>
      <c r="B1046">
        <v>11</v>
      </c>
      <c r="C1046">
        <v>78</v>
      </c>
      <c r="D1046">
        <v>9038</v>
      </c>
      <c r="E1046" t="s">
        <v>484</v>
      </c>
      <c r="F1046" t="s">
        <v>1618</v>
      </c>
      <c r="G1046" t="s">
        <v>3808</v>
      </c>
      <c r="H1046" s="26">
        <v>19161</v>
      </c>
      <c r="I1046" t="s">
        <v>58</v>
      </c>
      <c r="J1046" t="s">
        <v>3812</v>
      </c>
      <c r="M1046">
        <v>78780</v>
      </c>
      <c r="N1046" t="s">
        <v>3813</v>
      </c>
      <c r="O1046" t="s">
        <v>61</v>
      </c>
      <c r="Q1046">
        <v>687485917</v>
      </c>
      <c r="R1046" t="s">
        <v>3814</v>
      </c>
      <c r="S1046" t="s">
        <v>63</v>
      </c>
      <c r="T1046" t="s">
        <v>64</v>
      </c>
      <c r="U1046" t="s">
        <v>65</v>
      </c>
      <c r="W1046" s="26">
        <v>45562</v>
      </c>
      <c r="X1046" t="s">
        <v>61</v>
      </c>
      <c r="Y1046" t="s">
        <v>237</v>
      </c>
    </row>
    <row r="1047" spans="1:25" x14ac:dyDescent="0.25">
      <c r="A1047" t="s">
        <v>10701</v>
      </c>
      <c r="B1047">
        <v>11</v>
      </c>
      <c r="C1047">
        <v>95</v>
      </c>
      <c r="D1047">
        <v>9010</v>
      </c>
      <c r="E1047" t="s">
        <v>6</v>
      </c>
      <c r="F1047" t="s">
        <v>154</v>
      </c>
      <c r="G1047" t="s">
        <v>10702</v>
      </c>
      <c r="H1047" s="26">
        <v>16881</v>
      </c>
      <c r="I1047" t="s">
        <v>58</v>
      </c>
      <c r="J1047" t="s">
        <v>10703</v>
      </c>
      <c r="M1047">
        <v>92500</v>
      </c>
      <c r="N1047" t="s">
        <v>122</v>
      </c>
      <c r="O1047" t="s">
        <v>61</v>
      </c>
      <c r="R1047" t="s">
        <v>10704</v>
      </c>
      <c r="S1047" t="s">
        <v>63</v>
      </c>
      <c r="T1047" t="s">
        <v>64</v>
      </c>
      <c r="U1047" t="s">
        <v>65</v>
      </c>
      <c r="W1047" s="26">
        <v>45574</v>
      </c>
      <c r="X1047" t="s">
        <v>61</v>
      </c>
      <c r="Y1047" t="s">
        <v>237</v>
      </c>
    </row>
    <row r="1048" spans="1:25" x14ac:dyDescent="0.25">
      <c r="A1048" t="s">
        <v>10705</v>
      </c>
      <c r="B1048">
        <v>11</v>
      </c>
      <c r="C1048">
        <v>94</v>
      </c>
      <c r="D1048">
        <v>9031</v>
      </c>
      <c r="E1048" t="s">
        <v>7</v>
      </c>
      <c r="F1048" t="s">
        <v>10706</v>
      </c>
      <c r="G1048" t="s">
        <v>10707</v>
      </c>
      <c r="H1048" s="26">
        <v>19977</v>
      </c>
      <c r="I1048" t="s">
        <v>58</v>
      </c>
      <c r="J1048" t="s">
        <v>10708</v>
      </c>
      <c r="M1048">
        <v>94140</v>
      </c>
      <c r="N1048" t="s">
        <v>10709</v>
      </c>
      <c r="O1048" t="s">
        <v>61</v>
      </c>
      <c r="P1048">
        <v>142074584</v>
      </c>
      <c r="R1048" t="s">
        <v>10710</v>
      </c>
      <c r="S1048" t="s">
        <v>63</v>
      </c>
      <c r="T1048" t="s">
        <v>64</v>
      </c>
      <c r="U1048" t="s">
        <v>65</v>
      </c>
      <c r="W1048" s="26">
        <v>45579</v>
      </c>
      <c r="X1048" t="s">
        <v>61</v>
      </c>
      <c r="Y1048" t="s">
        <v>237</v>
      </c>
    </row>
    <row r="1049" spans="1:25" x14ac:dyDescent="0.25">
      <c r="A1049" t="s">
        <v>3815</v>
      </c>
      <c r="B1049">
        <v>11</v>
      </c>
      <c r="C1049">
        <v>77</v>
      </c>
      <c r="D1049">
        <v>9040</v>
      </c>
      <c r="E1049" t="s">
        <v>612</v>
      </c>
      <c r="F1049" t="s">
        <v>3816</v>
      </c>
      <c r="G1049" t="s">
        <v>3817</v>
      </c>
      <c r="H1049" s="26">
        <v>19972</v>
      </c>
      <c r="I1049" t="s">
        <v>58</v>
      </c>
      <c r="J1049" t="s">
        <v>3818</v>
      </c>
      <c r="M1049">
        <v>77590</v>
      </c>
      <c r="N1049" t="s">
        <v>3819</v>
      </c>
      <c r="O1049" t="s">
        <v>61</v>
      </c>
      <c r="Q1049">
        <v>680207364</v>
      </c>
      <c r="R1049" t="s">
        <v>3820</v>
      </c>
      <c r="S1049" t="s">
        <v>63</v>
      </c>
      <c r="T1049" t="s">
        <v>64</v>
      </c>
      <c r="U1049" t="s">
        <v>65</v>
      </c>
      <c r="V1049" t="s">
        <v>111</v>
      </c>
      <c r="W1049" s="26">
        <v>45538</v>
      </c>
      <c r="X1049" t="s">
        <v>61</v>
      </c>
      <c r="Y1049" t="s">
        <v>237</v>
      </c>
    </row>
    <row r="1050" spans="1:25" x14ac:dyDescent="0.25">
      <c r="A1050" t="s">
        <v>10711</v>
      </c>
      <c r="B1050">
        <v>11</v>
      </c>
      <c r="C1050">
        <v>91</v>
      </c>
      <c r="D1050">
        <v>9082</v>
      </c>
      <c r="E1050" t="s">
        <v>67</v>
      </c>
      <c r="F1050" t="s">
        <v>10712</v>
      </c>
      <c r="G1050" t="s">
        <v>10713</v>
      </c>
      <c r="H1050" s="26">
        <v>41183</v>
      </c>
      <c r="I1050" t="s">
        <v>58</v>
      </c>
      <c r="J1050" t="s">
        <v>10714</v>
      </c>
      <c r="K1050" t="s">
        <v>10715</v>
      </c>
      <c r="M1050">
        <v>91210</v>
      </c>
      <c r="N1050" t="s">
        <v>226</v>
      </c>
      <c r="O1050" t="s">
        <v>61</v>
      </c>
      <c r="P1050">
        <v>667223210</v>
      </c>
      <c r="Q1050">
        <v>662419507</v>
      </c>
      <c r="R1050" t="s">
        <v>10716</v>
      </c>
      <c r="S1050" t="s">
        <v>63</v>
      </c>
      <c r="T1050" t="s">
        <v>2510</v>
      </c>
      <c r="U1050" t="s">
        <v>486</v>
      </c>
      <c r="W1050" s="26">
        <v>45576</v>
      </c>
      <c r="X1050" t="s">
        <v>61</v>
      </c>
      <c r="Y1050" t="s">
        <v>237</v>
      </c>
    </row>
    <row r="1051" spans="1:25" x14ac:dyDescent="0.25">
      <c r="A1051" t="s">
        <v>10717</v>
      </c>
      <c r="B1051">
        <v>11</v>
      </c>
      <c r="C1051">
        <v>78</v>
      </c>
      <c r="D1051">
        <v>9056</v>
      </c>
      <c r="E1051" t="s">
        <v>214</v>
      </c>
      <c r="F1051" t="s">
        <v>1420</v>
      </c>
      <c r="G1051" t="s">
        <v>10718</v>
      </c>
      <c r="H1051" s="26">
        <v>20971</v>
      </c>
      <c r="I1051" t="s">
        <v>58</v>
      </c>
      <c r="J1051" t="s">
        <v>10719</v>
      </c>
      <c r="M1051">
        <v>78150</v>
      </c>
      <c r="N1051" t="s">
        <v>1846</v>
      </c>
      <c r="O1051" t="s">
        <v>61</v>
      </c>
      <c r="Q1051">
        <v>607141455</v>
      </c>
      <c r="R1051" t="s">
        <v>10720</v>
      </c>
      <c r="S1051" t="s">
        <v>63</v>
      </c>
      <c r="T1051" t="s">
        <v>64</v>
      </c>
      <c r="U1051" t="s">
        <v>65</v>
      </c>
      <c r="W1051" s="26">
        <v>45575</v>
      </c>
      <c r="X1051" t="s">
        <v>61</v>
      </c>
      <c r="Y1051" t="s">
        <v>237</v>
      </c>
    </row>
    <row r="1052" spans="1:25" x14ac:dyDescent="0.25">
      <c r="A1052" t="s">
        <v>3821</v>
      </c>
      <c r="B1052">
        <v>11</v>
      </c>
      <c r="C1052">
        <v>77</v>
      </c>
      <c r="D1052">
        <v>9059</v>
      </c>
      <c r="E1052" t="s">
        <v>197</v>
      </c>
      <c r="F1052" t="s">
        <v>1883</v>
      </c>
      <c r="G1052" t="s">
        <v>3822</v>
      </c>
      <c r="H1052" s="26">
        <v>19766</v>
      </c>
      <c r="I1052" t="s">
        <v>58</v>
      </c>
      <c r="J1052" t="s">
        <v>3823</v>
      </c>
      <c r="M1052">
        <v>77330</v>
      </c>
      <c r="N1052" t="s">
        <v>209</v>
      </c>
      <c r="O1052" t="s">
        <v>61</v>
      </c>
      <c r="R1052" t="s">
        <v>3824</v>
      </c>
      <c r="S1052" t="s">
        <v>63</v>
      </c>
      <c r="T1052" t="s">
        <v>64</v>
      </c>
      <c r="U1052" t="s">
        <v>65</v>
      </c>
      <c r="W1052" s="26">
        <v>45543</v>
      </c>
      <c r="X1052" t="s">
        <v>61</v>
      </c>
      <c r="Y1052" t="s">
        <v>237</v>
      </c>
    </row>
    <row r="1053" spans="1:25" x14ac:dyDescent="0.25">
      <c r="A1053" t="s">
        <v>3825</v>
      </c>
      <c r="B1053">
        <v>11</v>
      </c>
      <c r="C1053">
        <v>92</v>
      </c>
      <c r="D1053">
        <v>9065</v>
      </c>
      <c r="E1053" t="s">
        <v>426</v>
      </c>
      <c r="F1053" t="s">
        <v>3826</v>
      </c>
      <c r="G1053" t="s">
        <v>3827</v>
      </c>
      <c r="H1053" s="26">
        <v>36042</v>
      </c>
      <c r="I1053" t="s">
        <v>58</v>
      </c>
      <c r="J1053" t="s">
        <v>9020</v>
      </c>
      <c r="M1053">
        <v>78180</v>
      </c>
      <c r="N1053" t="s">
        <v>1162</v>
      </c>
      <c r="O1053" t="s">
        <v>61</v>
      </c>
      <c r="Q1053">
        <v>758421514</v>
      </c>
      <c r="R1053" t="s">
        <v>3828</v>
      </c>
      <c r="S1053" t="s">
        <v>63</v>
      </c>
      <c r="T1053" t="s">
        <v>64</v>
      </c>
      <c r="U1053" t="s">
        <v>486</v>
      </c>
      <c r="W1053" s="26">
        <v>45548</v>
      </c>
      <c r="X1053" t="s">
        <v>2726</v>
      </c>
      <c r="Y1053" t="s">
        <v>237</v>
      </c>
    </row>
    <row r="1054" spans="1:25" x14ac:dyDescent="0.25">
      <c r="A1054" t="s">
        <v>9940</v>
      </c>
      <c r="B1054">
        <v>11</v>
      </c>
      <c r="C1054">
        <v>78</v>
      </c>
      <c r="D1054">
        <v>9038</v>
      </c>
      <c r="E1054" t="s">
        <v>484</v>
      </c>
      <c r="F1054" t="s">
        <v>103</v>
      </c>
      <c r="G1054" t="s">
        <v>9941</v>
      </c>
      <c r="H1054" s="26">
        <v>25596</v>
      </c>
      <c r="I1054" t="s">
        <v>58</v>
      </c>
      <c r="J1054" t="s">
        <v>9942</v>
      </c>
      <c r="M1054">
        <v>95880</v>
      </c>
      <c r="N1054" t="s">
        <v>1535</v>
      </c>
      <c r="O1054" t="s">
        <v>61</v>
      </c>
      <c r="Q1054">
        <v>634726331</v>
      </c>
      <c r="R1054" t="s">
        <v>9943</v>
      </c>
      <c r="S1054" t="s">
        <v>63</v>
      </c>
      <c r="T1054" t="s">
        <v>64</v>
      </c>
      <c r="U1054" t="s">
        <v>65</v>
      </c>
      <c r="W1054" s="26">
        <v>45568</v>
      </c>
      <c r="X1054" t="s">
        <v>61</v>
      </c>
      <c r="Y1054" t="s">
        <v>237</v>
      </c>
    </row>
    <row r="1055" spans="1:25" x14ac:dyDescent="0.25">
      <c r="A1055" t="s">
        <v>3829</v>
      </c>
      <c r="B1055">
        <v>11</v>
      </c>
      <c r="C1055">
        <v>78</v>
      </c>
      <c r="D1055">
        <v>9030</v>
      </c>
      <c r="E1055" t="s">
        <v>96</v>
      </c>
      <c r="F1055" t="s">
        <v>103</v>
      </c>
      <c r="G1055" t="s">
        <v>3830</v>
      </c>
      <c r="H1055" s="26">
        <v>22667</v>
      </c>
      <c r="I1055" t="s">
        <v>58</v>
      </c>
      <c r="J1055" t="s">
        <v>3831</v>
      </c>
      <c r="M1055">
        <v>78960</v>
      </c>
      <c r="N1055" t="s">
        <v>566</v>
      </c>
      <c r="O1055" t="s">
        <v>61</v>
      </c>
      <c r="Q1055">
        <v>649161072</v>
      </c>
      <c r="R1055" t="s">
        <v>3832</v>
      </c>
      <c r="S1055" t="s">
        <v>63</v>
      </c>
      <c r="T1055" t="s">
        <v>64</v>
      </c>
      <c r="U1055" t="s">
        <v>65</v>
      </c>
      <c r="W1055" s="26">
        <v>45560</v>
      </c>
      <c r="X1055" t="s">
        <v>61</v>
      </c>
      <c r="Y1055" t="s">
        <v>237</v>
      </c>
    </row>
    <row r="1056" spans="1:25" x14ac:dyDescent="0.25">
      <c r="A1056" t="s">
        <v>3833</v>
      </c>
      <c r="B1056">
        <v>11</v>
      </c>
      <c r="C1056">
        <v>95</v>
      </c>
      <c r="D1056">
        <v>9061</v>
      </c>
      <c r="E1056" t="s">
        <v>360</v>
      </c>
      <c r="F1056" t="s">
        <v>440</v>
      </c>
      <c r="G1056" t="s">
        <v>3834</v>
      </c>
      <c r="H1056" s="26">
        <v>21734</v>
      </c>
      <c r="I1056" t="s">
        <v>58</v>
      </c>
      <c r="J1056" t="s">
        <v>3835</v>
      </c>
      <c r="M1056">
        <v>95520</v>
      </c>
      <c r="N1056" t="s">
        <v>290</v>
      </c>
      <c r="O1056" t="s">
        <v>61</v>
      </c>
      <c r="Q1056">
        <v>687128590</v>
      </c>
      <c r="R1056" t="s">
        <v>3836</v>
      </c>
      <c r="S1056" t="s">
        <v>63</v>
      </c>
      <c r="T1056" t="s">
        <v>64</v>
      </c>
      <c r="U1056" t="s">
        <v>65</v>
      </c>
      <c r="W1056" s="26">
        <v>45566</v>
      </c>
      <c r="X1056" t="s">
        <v>61</v>
      </c>
      <c r="Y1056" t="s">
        <v>237</v>
      </c>
    </row>
    <row r="1057" spans="1:25" x14ac:dyDescent="0.25">
      <c r="A1057" t="s">
        <v>3837</v>
      </c>
      <c r="B1057">
        <v>11</v>
      </c>
      <c r="C1057">
        <v>75</v>
      </c>
      <c r="D1057">
        <v>9070</v>
      </c>
      <c r="E1057" t="s">
        <v>168</v>
      </c>
      <c r="F1057" t="s">
        <v>289</v>
      </c>
      <c r="G1057" t="s">
        <v>3838</v>
      </c>
      <c r="H1057" s="26">
        <v>26191</v>
      </c>
      <c r="I1057" t="s">
        <v>58</v>
      </c>
      <c r="J1057" t="s">
        <v>3839</v>
      </c>
      <c r="M1057">
        <v>75012</v>
      </c>
      <c r="N1057" t="s">
        <v>330</v>
      </c>
      <c r="O1057" t="s">
        <v>61</v>
      </c>
      <c r="Q1057">
        <v>674007960</v>
      </c>
      <c r="R1057" t="s">
        <v>3840</v>
      </c>
      <c r="S1057" t="s">
        <v>63</v>
      </c>
      <c r="T1057" t="s">
        <v>64</v>
      </c>
      <c r="U1057" t="s">
        <v>8684</v>
      </c>
      <c r="W1057" s="26">
        <v>45545</v>
      </c>
      <c r="X1057" t="s">
        <v>61</v>
      </c>
      <c r="Y1057" t="s">
        <v>237</v>
      </c>
    </row>
    <row r="1058" spans="1:25" x14ac:dyDescent="0.25">
      <c r="A1058" t="s">
        <v>3841</v>
      </c>
      <c r="B1058">
        <v>11</v>
      </c>
      <c r="C1058">
        <v>78</v>
      </c>
      <c r="D1058">
        <v>9030</v>
      </c>
      <c r="E1058" t="s">
        <v>96</v>
      </c>
      <c r="F1058" t="s">
        <v>12</v>
      </c>
      <c r="G1058" t="s">
        <v>3842</v>
      </c>
      <c r="H1058" s="26">
        <v>21230</v>
      </c>
      <c r="I1058" t="s">
        <v>58</v>
      </c>
      <c r="J1058" t="s">
        <v>3843</v>
      </c>
      <c r="M1058">
        <v>78690</v>
      </c>
      <c r="N1058" t="s">
        <v>3844</v>
      </c>
      <c r="O1058" t="s">
        <v>61</v>
      </c>
      <c r="P1058">
        <v>130889578</v>
      </c>
      <c r="Q1058">
        <v>673713513</v>
      </c>
      <c r="R1058" t="s">
        <v>3845</v>
      </c>
      <c r="S1058" t="s">
        <v>63</v>
      </c>
      <c r="T1058" t="s">
        <v>64</v>
      </c>
      <c r="U1058" t="s">
        <v>65</v>
      </c>
      <c r="W1058" s="26">
        <v>45542</v>
      </c>
      <c r="X1058" t="s">
        <v>61</v>
      </c>
      <c r="Y1058" t="s">
        <v>237</v>
      </c>
    </row>
    <row r="1059" spans="1:25" x14ac:dyDescent="0.25">
      <c r="A1059" t="s">
        <v>3846</v>
      </c>
      <c r="B1059">
        <v>11</v>
      </c>
      <c r="C1059">
        <v>77</v>
      </c>
      <c r="D1059">
        <v>9021</v>
      </c>
      <c r="E1059" t="s">
        <v>229</v>
      </c>
      <c r="F1059" t="s">
        <v>85</v>
      </c>
      <c r="G1059" t="s">
        <v>3847</v>
      </c>
      <c r="H1059" s="26">
        <v>19090</v>
      </c>
      <c r="I1059" t="s">
        <v>58</v>
      </c>
      <c r="J1059" t="s">
        <v>3848</v>
      </c>
      <c r="M1059">
        <v>77590</v>
      </c>
      <c r="N1059" t="s">
        <v>3849</v>
      </c>
      <c r="O1059" t="s">
        <v>61</v>
      </c>
      <c r="P1059">
        <v>160695581</v>
      </c>
      <c r="Q1059">
        <v>652667960</v>
      </c>
      <c r="R1059" t="s">
        <v>3850</v>
      </c>
      <c r="S1059" t="s">
        <v>63</v>
      </c>
      <c r="T1059" t="s">
        <v>64</v>
      </c>
      <c r="U1059" t="s">
        <v>65</v>
      </c>
      <c r="W1059" s="26">
        <v>45562</v>
      </c>
      <c r="X1059" t="s">
        <v>61</v>
      </c>
      <c r="Y1059" t="s">
        <v>237</v>
      </c>
    </row>
    <row r="1060" spans="1:25" x14ac:dyDescent="0.25">
      <c r="A1060" t="s">
        <v>9915</v>
      </c>
      <c r="B1060">
        <v>11</v>
      </c>
      <c r="C1060">
        <v>94</v>
      </c>
      <c r="D1060">
        <v>9024</v>
      </c>
      <c r="E1060" t="s">
        <v>4</v>
      </c>
      <c r="F1060" t="s">
        <v>115</v>
      </c>
      <c r="G1060" t="s">
        <v>9916</v>
      </c>
      <c r="H1060" s="26">
        <v>19550</v>
      </c>
      <c r="I1060" t="s">
        <v>58</v>
      </c>
      <c r="J1060" t="s">
        <v>9917</v>
      </c>
      <c r="M1060">
        <v>75020</v>
      </c>
      <c r="N1060" t="s">
        <v>330</v>
      </c>
      <c r="O1060" t="s">
        <v>61</v>
      </c>
      <c r="Q1060">
        <v>677905358</v>
      </c>
      <c r="R1060" t="s">
        <v>9918</v>
      </c>
      <c r="S1060" t="s">
        <v>63</v>
      </c>
      <c r="T1060" t="s">
        <v>64</v>
      </c>
      <c r="U1060" t="s">
        <v>65</v>
      </c>
      <c r="W1060" s="26">
        <v>45567</v>
      </c>
      <c r="X1060" t="s">
        <v>61</v>
      </c>
      <c r="Y1060" t="s">
        <v>237</v>
      </c>
    </row>
    <row r="1061" spans="1:25" x14ac:dyDescent="0.25">
      <c r="A1061" t="s">
        <v>10721</v>
      </c>
      <c r="B1061">
        <v>11</v>
      </c>
      <c r="C1061">
        <v>94</v>
      </c>
      <c r="D1061">
        <v>9024</v>
      </c>
      <c r="E1061" t="s">
        <v>4</v>
      </c>
      <c r="F1061" t="s">
        <v>448</v>
      </c>
      <c r="G1061" t="s">
        <v>10722</v>
      </c>
      <c r="H1061" s="26">
        <v>20804</v>
      </c>
      <c r="I1061" t="s">
        <v>58</v>
      </c>
      <c r="J1061" t="s">
        <v>10723</v>
      </c>
      <c r="M1061">
        <v>94360</v>
      </c>
      <c r="N1061" t="s">
        <v>2430</v>
      </c>
      <c r="O1061" t="s">
        <v>61</v>
      </c>
      <c r="Q1061">
        <v>781015303</v>
      </c>
      <c r="R1061" t="s">
        <v>10724</v>
      </c>
      <c r="S1061" t="s">
        <v>63</v>
      </c>
      <c r="T1061" t="s">
        <v>64</v>
      </c>
      <c r="U1061" t="s">
        <v>65</v>
      </c>
      <c r="W1061" s="26">
        <v>45582</v>
      </c>
      <c r="X1061" t="s">
        <v>61</v>
      </c>
      <c r="Y1061" t="s">
        <v>237</v>
      </c>
    </row>
    <row r="1062" spans="1:25" x14ac:dyDescent="0.25">
      <c r="A1062" t="s">
        <v>3851</v>
      </c>
      <c r="B1062">
        <v>11</v>
      </c>
      <c r="C1062">
        <v>95</v>
      </c>
      <c r="D1062">
        <v>9010</v>
      </c>
      <c r="E1062" t="s">
        <v>6</v>
      </c>
      <c r="F1062" t="s">
        <v>480</v>
      </c>
      <c r="G1062" t="s">
        <v>607</v>
      </c>
      <c r="H1062" s="26">
        <v>23189</v>
      </c>
      <c r="I1062" t="s">
        <v>58</v>
      </c>
      <c r="J1062" t="s">
        <v>3852</v>
      </c>
      <c r="M1062">
        <v>95600</v>
      </c>
      <c r="N1062" t="s">
        <v>185</v>
      </c>
      <c r="O1062" t="s">
        <v>61</v>
      </c>
      <c r="R1062" t="s">
        <v>3853</v>
      </c>
      <c r="S1062" t="s">
        <v>63</v>
      </c>
      <c r="T1062" t="s">
        <v>64</v>
      </c>
      <c r="U1062" t="s">
        <v>8684</v>
      </c>
      <c r="W1062" s="26">
        <v>45524</v>
      </c>
      <c r="X1062" t="s">
        <v>61</v>
      </c>
      <c r="Y1062" t="s">
        <v>237</v>
      </c>
    </row>
    <row r="1063" spans="1:25" x14ac:dyDescent="0.25">
      <c r="A1063" t="s">
        <v>9021</v>
      </c>
      <c r="B1063">
        <v>11</v>
      </c>
      <c r="C1063">
        <v>92</v>
      </c>
      <c r="D1063">
        <v>9065</v>
      </c>
      <c r="E1063" t="s">
        <v>426</v>
      </c>
      <c r="F1063" t="s">
        <v>9022</v>
      </c>
      <c r="G1063" t="s">
        <v>9023</v>
      </c>
      <c r="H1063" s="26">
        <v>30194</v>
      </c>
      <c r="I1063" t="s">
        <v>58</v>
      </c>
      <c r="J1063" t="s">
        <v>9024</v>
      </c>
      <c r="M1063">
        <v>92290</v>
      </c>
      <c r="N1063" t="s">
        <v>1596</v>
      </c>
      <c r="O1063" t="s">
        <v>61</v>
      </c>
      <c r="Q1063">
        <v>623831303</v>
      </c>
      <c r="R1063" t="s">
        <v>9025</v>
      </c>
      <c r="S1063" t="s">
        <v>63</v>
      </c>
      <c r="T1063" t="s">
        <v>64</v>
      </c>
      <c r="U1063" t="s">
        <v>486</v>
      </c>
      <c r="W1063" s="26">
        <v>45550</v>
      </c>
      <c r="X1063" t="s">
        <v>2816</v>
      </c>
      <c r="Y1063" t="s">
        <v>237</v>
      </c>
    </row>
    <row r="1064" spans="1:25" x14ac:dyDescent="0.25">
      <c r="A1064" t="s">
        <v>3854</v>
      </c>
      <c r="B1064">
        <v>11</v>
      </c>
      <c r="C1064">
        <v>91</v>
      </c>
      <c r="D1064">
        <v>9082</v>
      </c>
      <c r="E1064" t="s">
        <v>67</v>
      </c>
      <c r="F1064" t="s">
        <v>555</v>
      </c>
      <c r="G1064" t="s">
        <v>3855</v>
      </c>
      <c r="H1064" s="26">
        <v>22109</v>
      </c>
      <c r="I1064" t="s">
        <v>58</v>
      </c>
      <c r="J1064" t="s">
        <v>3856</v>
      </c>
      <c r="M1064">
        <v>91090</v>
      </c>
      <c r="N1064" t="s">
        <v>180</v>
      </c>
      <c r="O1064" t="s">
        <v>61</v>
      </c>
      <c r="Q1064">
        <v>651221504</v>
      </c>
      <c r="R1064" t="s">
        <v>3857</v>
      </c>
      <c r="S1064" t="s">
        <v>63</v>
      </c>
      <c r="T1064" t="s">
        <v>64</v>
      </c>
      <c r="U1064" t="s">
        <v>65</v>
      </c>
      <c r="W1064" s="26">
        <v>45544</v>
      </c>
      <c r="X1064" t="s">
        <v>61</v>
      </c>
      <c r="Y1064" t="s">
        <v>237</v>
      </c>
    </row>
    <row r="1065" spans="1:25" x14ac:dyDescent="0.25">
      <c r="A1065" t="s">
        <v>3859</v>
      </c>
      <c r="B1065">
        <v>11</v>
      </c>
      <c r="C1065">
        <v>78</v>
      </c>
      <c r="D1065">
        <v>9130</v>
      </c>
      <c r="E1065" t="s">
        <v>1159</v>
      </c>
      <c r="F1065" t="s">
        <v>1586</v>
      </c>
      <c r="G1065" t="s">
        <v>3860</v>
      </c>
      <c r="H1065" s="26">
        <v>28385</v>
      </c>
      <c r="I1065" t="s">
        <v>58</v>
      </c>
      <c r="J1065" t="s">
        <v>3861</v>
      </c>
      <c r="M1065">
        <v>60290</v>
      </c>
      <c r="N1065" t="s">
        <v>3862</v>
      </c>
      <c r="O1065" t="s">
        <v>61</v>
      </c>
      <c r="Q1065">
        <v>612156699</v>
      </c>
      <c r="R1065" t="s">
        <v>3863</v>
      </c>
      <c r="S1065" t="s">
        <v>63</v>
      </c>
      <c r="T1065" t="s">
        <v>64</v>
      </c>
      <c r="U1065" t="s">
        <v>486</v>
      </c>
      <c r="W1065" s="26">
        <v>45532</v>
      </c>
      <c r="X1065" t="s">
        <v>61</v>
      </c>
      <c r="Y1065" t="s">
        <v>237</v>
      </c>
    </row>
    <row r="1066" spans="1:25" x14ac:dyDescent="0.25">
      <c r="A1066" t="s">
        <v>3864</v>
      </c>
      <c r="B1066">
        <v>11</v>
      </c>
      <c r="C1066">
        <v>91</v>
      </c>
      <c r="D1066">
        <v>9025</v>
      </c>
      <c r="E1066" t="s">
        <v>188</v>
      </c>
      <c r="F1066" t="s">
        <v>3865</v>
      </c>
      <c r="G1066" t="s">
        <v>3866</v>
      </c>
      <c r="H1066" s="26">
        <v>30581</v>
      </c>
      <c r="I1066" t="s">
        <v>16</v>
      </c>
      <c r="J1066" t="s">
        <v>3867</v>
      </c>
      <c r="M1066">
        <v>91100</v>
      </c>
      <c r="N1066" t="s">
        <v>1427</v>
      </c>
      <c r="O1066" t="s">
        <v>61</v>
      </c>
      <c r="P1066">
        <v>175293502</v>
      </c>
      <c r="Q1066">
        <v>676215815</v>
      </c>
      <c r="R1066" t="s">
        <v>3868</v>
      </c>
      <c r="S1066" t="s">
        <v>63</v>
      </c>
      <c r="T1066" t="s">
        <v>64</v>
      </c>
      <c r="U1066" t="s">
        <v>486</v>
      </c>
      <c r="W1066" s="26">
        <v>45562</v>
      </c>
      <c r="X1066" t="s">
        <v>61</v>
      </c>
      <c r="Y1066" t="s">
        <v>237</v>
      </c>
    </row>
    <row r="1067" spans="1:25" x14ac:dyDescent="0.25">
      <c r="A1067" t="s">
        <v>3869</v>
      </c>
      <c r="B1067">
        <v>11</v>
      </c>
      <c r="C1067">
        <v>91</v>
      </c>
      <c r="D1067">
        <v>9025</v>
      </c>
      <c r="E1067" t="s">
        <v>188</v>
      </c>
      <c r="F1067" t="s">
        <v>3870</v>
      </c>
      <c r="G1067" t="s">
        <v>3871</v>
      </c>
      <c r="H1067" s="26">
        <v>39563</v>
      </c>
      <c r="I1067" t="s">
        <v>58</v>
      </c>
      <c r="J1067" t="s">
        <v>3867</v>
      </c>
      <c r="M1067">
        <v>91100</v>
      </c>
      <c r="N1067" t="s">
        <v>1427</v>
      </c>
      <c r="O1067" t="s">
        <v>61</v>
      </c>
      <c r="P1067">
        <v>175293502</v>
      </c>
      <c r="Q1067">
        <v>767285804</v>
      </c>
      <c r="R1067" t="s">
        <v>3868</v>
      </c>
      <c r="S1067" t="s">
        <v>63</v>
      </c>
      <c r="T1067" t="s">
        <v>2510</v>
      </c>
      <c r="U1067" t="s">
        <v>486</v>
      </c>
      <c r="W1067" s="26">
        <v>45562</v>
      </c>
      <c r="X1067" t="s">
        <v>61</v>
      </c>
      <c r="Y1067" t="s">
        <v>237</v>
      </c>
    </row>
    <row r="1068" spans="1:25" x14ac:dyDescent="0.25">
      <c r="A1068" t="s">
        <v>3872</v>
      </c>
      <c r="B1068">
        <v>11</v>
      </c>
      <c r="C1068">
        <v>91</v>
      </c>
      <c r="D1068">
        <v>9095</v>
      </c>
      <c r="E1068" t="s">
        <v>113</v>
      </c>
      <c r="F1068" t="s">
        <v>1288</v>
      </c>
      <c r="G1068" t="s">
        <v>3873</v>
      </c>
      <c r="H1068" s="26">
        <v>19986</v>
      </c>
      <c r="I1068" t="s">
        <v>58</v>
      </c>
      <c r="J1068" t="s">
        <v>3874</v>
      </c>
      <c r="M1068">
        <v>91220</v>
      </c>
      <c r="N1068" t="s">
        <v>2883</v>
      </c>
      <c r="O1068" t="s">
        <v>61</v>
      </c>
      <c r="Q1068">
        <v>633949583</v>
      </c>
      <c r="R1068" t="s">
        <v>3875</v>
      </c>
      <c r="S1068" t="s">
        <v>63</v>
      </c>
      <c r="T1068" t="s">
        <v>64</v>
      </c>
      <c r="U1068" t="s">
        <v>65</v>
      </c>
      <c r="W1068" s="26">
        <v>45558</v>
      </c>
      <c r="X1068" t="s">
        <v>61</v>
      </c>
      <c r="Y1068" t="s">
        <v>237</v>
      </c>
    </row>
    <row r="1069" spans="1:25" x14ac:dyDescent="0.25">
      <c r="A1069" t="s">
        <v>3876</v>
      </c>
      <c r="B1069">
        <v>11</v>
      </c>
      <c r="C1069">
        <v>91</v>
      </c>
      <c r="D1069">
        <v>9095</v>
      </c>
      <c r="E1069" t="s">
        <v>113</v>
      </c>
      <c r="F1069" t="s">
        <v>100</v>
      </c>
      <c r="G1069" t="s">
        <v>3877</v>
      </c>
      <c r="H1069" s="26">
        <v>19927</v>
      </c>
      <c r="I1069" t="s">
        <v>58</v>
      </c>
      <c r="J1069" t="s">
        <v>3878</v>
      </c>
      <c r="M1069">
        <v>91220</v>
      </c>
      <c r="N1069" t="s">
        <v>3879</v>
      </c>
      <c r="O1069" t="s">
        <v>61</v>
      </c>
      <c r="Q1069">
        <v>687789645</v>
      </c>
      <c r="R1069" t="s">
        <v>3880</v>
      </c>
      <c r="S1069" t="s">
        <v>63</v>
      </c>
      <c r="T1069" t="s">
        <v>64</v>
      </c>
      <c r="U1069" t="s">
        <v>65</v>
      </c>
      <c r="W1069" s="26">
        <v>45544</v>
      </c>
      <c r="X1069" t="s">
        <v>61</v>
      </c>
      <c r="Y1069" t="s">
        <v>237</v>
      </c>
    </row>
    <row r="1070" spans="1:25" x14ac:dyDescent="0.25">
      <c r="A1070" t="s">
        <v>3881</v>
      </c>
      <c r="B1070">
        <v>11</v>
      </c>
      <c r="C1070">
        <v>91</v>
      </c>
      <c r="D1070">
        <v>9095</v>
      </c>
      <c r="E1070" t="s">
        <v>113</v>
      </c>
      <c r="F1070" t="s">
        <v>85</v>
      </c>
      <c r="G1070" t="s">
        <v>3882</v>
      </c>
      <c r="H1070" s="26">
        <v>21471</v>
      </c>
      <c r="I1070" t="s">
        <v>58</v>
      </c>
      <c r="J1070" t="s">
        <v>3883</v>
      </c>
      <c r="M1070">
        <v>91310</v>
      </c>
      <c r="N1070" t="s">
        <v>2020</v>
      </c>
      <c r="O1070" t="s">
        <v>61</v>
      </c>
      <c r="P1070">
        <v>169809088</v>
      </c>
      <c r="R1070" t="s">
        <v>3884</v>
      </c>
      <c r="S1070" t="s">
        <v>63</v>
      </c>
      <c r="T1070" t="s">
        <v>64</v>
      </c>
      <c r="U1070" t="s">
        <v>65</v>
      </c>
      <c r="W1070" s="26">
        <v>45544</v>
      </c>
      <c r="X1070" t="s">
        <v>61</v>
      </c>
      <c r="Y1070" t="s">
        <v>237</v>
      </c>
    </row>
    <row r="1071" spans="1:25" x14ac:dyDescent="0.25">
      <c r="A1071" t="s">
        <v>3885</v>
      </c>
      <c r="B1071">
        <v>11</v>
      </c>
      <c r="C1071">
        <v>91</v>
      </c>
      <c r="D1071">
        <v>9095</v>
      </c>
      <c r="E1071" t="s">
        <v>113</v>
      </c>
      <c r="F1071" t="s">
        <v>103</v>
      </c>
      <c r="G1071" t="s">
        <v>3886</v>
      </c>
      <c r="H1071" s="26">
        <v>11356</v>
      </c>
      <c r="I1071" t="s">
        <v>58</v>
      </c>
      <c r="J1071" t="s">
        <v>3887</v>
      </c>
      <c r="K1071" t="s">
        <v>3888</v>
      </c>
      <c r="M1071">
        <v>91290</v>
      </c>
      <c r="N1071" t="s">
        <v>2342</v>
      </c>
      <c r="O1071" t="s">
        <v>61</v>
      </c>
      <c r="Q1071">
        <v>629010960</v>
      </c>
      <c r="R1071" t="s">
        <v>3889</v>
      </c>
      <c r="S1071" t="s">
        <v>63</v>
      </c>
      <c r="T1071" t="s">
        <v>64</v>
      </c>
      <c r="U1071" t="s">
        <v>65</v>
      </c>
      <c r="W1071" s="26">
        <v>45555</v>
      </c>
      <c r="X1071" t="s">
        <v>61</v>
      </c>
      <c r="Y1071" t="s">
        <v>237</v>
      </c>
    </row>
    <row r="1072" spans="1:25" x14ac:dyDescent="0.25">
      <c r="A1072" t="s">
        <v>10725</v>
      </c>
      <c r="B1072">
        <v>11</v>
      </c>
      <c r="C1072">
        <v>93</v>
      </c>
      <c r="D1072">
        <v>9122</v>
      </c>
      <c r="E1072" t="s">
        <v>1030</v>
      </c>
      <c r="F1072" t="s">
        <v>440</v>
      </c>
      <c r="G1072" t="s">
        <v>10726</v>
      </c>
      <c r="H1072" s="26">
        <v>19306</v>
      </c>
      <c r="I1072" t="s">
        <v>58</v>
      </c>
      <c r="J1072" t="s">
        <v>10727</v>
      </c>
      <c r="M1072">
        <v>93220</v>
      </c>
      <c r="N1072" t="s">
        <v>662</v>
      </c>
      <c r="O1072" t="s">
        <v>61</v>
      </c>
      <c r="Q1072">
        <v>661475099</v>
      </c>
      <c r="R1072" t="s">
        <v>10728</v>
      </c>
      <c r="S1072" t="s">
        <v>63</v>
      </c>
      <c r="T1072" t="s">
        <v>64</v>
      </c>
      <c r="U1072" t="s">
        <v>8684</v>
      </c>
      <c r="W1072" s="26">
        <v>45577</v>
      </c>
      <c r="X1072" t="s">
        <v>61</v>
      </c>
      <c r="Y1072" t="s">
        <v>237</v>
      </c>
    </row>
    <row r="1073" spans="1:25" x14ac:dyDescent="0.25">
      <c r="A1073" t="s">
        <v>10729</v>
      </c>
      <c r="B1073">
        <v>11</v>
      </c>
      <c r="C1073">
        <v>93</v>
      </c>
      <c r="D1073">
        <v>9122</v>
      </c>
      <c r="E1073" t="s">
        <v>1030</v>
      </c>
      <c r="F1073" t="s">
        <v>3291</v>
      </c>
      <c r="G1073" t="s">
        <v>10730</v>
      </c>
      <c r="H1073" s="26">
        <v>26275</v>
      </c>
      <c r="I1073" t="s">
        <v>16</v>
      </c>
      <c r="J1073" t="s">
        <v>10731</v>
      </c>
      <c r="M1073">
        <v>93220</v>
      </c>
      <c r="N1073" t="s">
        <v>662</v>
      </c>
      <c r="O1073" t="s">
        <v>61</v>
      </c>
      <c r="P1073">
        <v>662093184</v>
      </c>
      <c r="Q1073">
        <v>662093184</v>
      </c>
      <c r="R1073" t="s">
        <v>10732</v>
      </c>
      <c r="S1073" t="s">
        <v>63</v>
      </c>
      <c r="T1073" t="s">
        <v>64</v>
      </c>
      <c r="U1073" t="s">
        <v>8684</v>
      </c>
      <c r="W1073" s="26">
        <v>45577</v>
      </c>
      <c r="X1073" t="s">
        <v>61</v>
      </c>
      <c r="Y1073" t="s">
        <v>237</v>
      </c>
    </row>
    <row r="1074" spans="1:25" x14ac:dyDescent="0.25">
      <c r="A1074" t="s">
        <v>10733</v>
      </c>
      <c r="B1074">
        <v>11</v>
      </c>
      <c r="C1074">
        <v>93</v>
      </c>
      <c r="D1074">
        <v>9122</v>
      </c>
      <c r="E1074" t="s">
        <v>1030</v>
      </c>
      <c r="F1074" t="s">
        <v>243</v>
      </c>
      <c r="G1074" t="s">
        <v>10730</v>
      </c>
      <c r="H1074" s="26">
        <v>40487</v>
      </c>
      <c r="I1074" t="s">
        <v>58</v>
      </c>
      <c r="J1074" t="s">
        <v>10731</v>
      </c>
      <c r="M1074">
        <v>93220</v>
      </c>
      <c r="N1074" t="s">
        <v>662</v>
      </c>
      <c r="O1074" t="s">
        <v>61</v>
      </c>
      <c r="P1074">
        <v>662093184</v>
      </c>
      <c r="R1074" t="s">
        <v>10734</v>
      </c>
      <c r="S1074" t="s">
        <v>237</v>
      </c>
      <c r="T1074" t="s">
        <v>2510</v>
      </c>
      <c r="U1074" t="s">
        <v>8684</v>
      </c>
      <c r="W1074" s="26">
        <v>45577</v>
      </c>
      <c r="X1074" t="s">
        <v>61</v>
      </c>
      <c r="Y1074" t="s">
        <v>237</v>
      </c>
    </row>
    <row r="1075" spans="1:25" x14ac:dyDescent="0.25">
      <c r="A1075" t="s">
        <v>10735</v>
      </c>
      <c r="B1075">
        <v>11</v>
      </c>
      <c r="C1075">
        <v>93</v>
      </c>
      <c r="D1075">
        <v>9122</v>
      </c>
      <c r="E1075" t="s">
        <v>1030</v>
      </c>
      <c r="F1075" t="s">
        <v>3170</v>
      </c>
      <c r="G1075" t="s">
        <v>10730</v>
      </c>
      <c r="H1075" s="26">
        <v>41141</v>
      </c>
      <c r="I1075" t="s">
        <v>58</v>
      </c>
      <c r="J1075" t="s">
        <v>10731</v>
      </c>
      <c r="M1075">
        <v>93220</v>
      </c>
      <c r="N1075" t="s">
        <v>662</v>
      </c>
      <c r="O1075" t="s">
        <v>61</v>
      </c>
      <c r="P1075">
        <v>662093184</v>
      </c>
      <c r="Q1075">
        <v>662093184</v>
      </c>
      <c r="R1075" t="s">
        <v>10736</v>
      </c>
      <c r="S1075" t="s">
        <v>237</v>
      </c>
      <c r="T1075" t="s">
        <v>2510</v>
      </c>
      <c r="U1075" t="s">
        <v>8684</v>
      </c>
      <c r="W1075" s="26">
        <v>45577</v>
      </c>
      <c r="X1075" t="s">
        <v>61</v>
      </c>
      <c r="Y1075" t="s">
        <v>237</v>
      </c>
    </row>
    <row r="1076" spans="1:25" x14ac:dyDescent="0.25">
      <c r="A1076" t="s">
        <v>3890</v>
      </c>
      <c r="B1076">
        <v>11</v>
      </c>
      <c r="C1076">
        <v>75</v>
      </c>
      <c r="D1076">
        <v>9070</v>
      </c>
      <c r="E1076" t="s">
        <v>168</v>
      </c>
      <c r="F1076" t="s">
        <v>3891</v>
      </c>
      <c r="G1076" t="s">
        <v>3892</v>
      </c>
      <c r="H1076" s="26">
        <v>31692</v>
      </c>
      <c r="I1076" t="s">
        <v>58</v>
      </c>
      <c r="J1076" t="s">
        <v>3893</v>
      </c>
      <c r="M1076">
        <v>92100</v>
      </c>
      <c r="N1076" t="s">
        <v>104</v>
      </c>
      <c r="O1076" t="s">
        <v>61</v>
      </c>
      <c r="P1076">
        <v>616221923</v>
      </c>
      <c r="R1076" t="s">
        <v>3894</v>
      </c>
      <c r="S1076" t="s">
        <v>63</v>
      </c>
      <c r="T1076" t="s">
        <v>64</v>
      </c>
      <c r="U1076" t="s">
        <v>8684</v>
      </c>
      <c r="W1076" s="26">
        <v>45539</v>
      </c>
      <c r="X1076" t="s">
        <v>3895</v>
      </c>
      <c r="Y1076" t="s">
        <v>237</v>
      </c>
    </row>
    <row r="1077" spans="1:25" x14ac:dyDescent="0.25">
      <c r="A1077" t="s">
        <v>3896</v>
      </c>
      <c r="B1077">
        <v>11</v>
      </c>
      <c r="C1077">
        <v>94</v>
      </c>
      <c r="D1077">
        <v>9045</v>
      </c>
      <c r="E1077" t="s">
        <v>1234</v>
      </c>
      <c r="F1077" t="s">
        <v>3897</v>
      </c>
      <c r="G1077" t="s">
        <v>3898</v>
      </c>
      <c r="H1077" s="26">
        <v>31202</v>
      </c>
      <c r="I1077" t="s">
        <v>58</v>
      </c>
      <c r="J1077" t="s">
        <v>3899</v>
      </c>
      <c r="M1077">
        <v>75014</v>
      </c>
      <c r="N1077" t="s">
        <v>330</v>
      </c>
      <c r="O1077" t="s">
        <v>61</v>
      </c>
      <c r="Q1077">
        <v>651320682</v>
      </c>
      <c r="R1077" t="s">
        <v>3900</v>
      </c>
      <c r="S1077" t="s">
        <v>63</v>
      </c>
      <c r="T1077" t="s">
        <v>64</v>
      </c>
      <c r="U1077" t="s">
        <v>8684</v>
      </c>
      <c r="W1077" s="26">
        <v>45533</v>
      </c>
      <c r="X1077" t="s">
        <v>3901</v>
      </c>
      <c r="Y1077" t="s">
        <v>237</v>
      </c>
    </row>
    <row r="1078" spans="1:25" x14ac:dyDescent="0.25">
      <c r="A1078" t="s">
        <v>3902</v>
      </c>
      <c r="B1078">
        <v>11</v>
      </c>
      <c r="C1078">
        <v>92</v>
      </c>
      <c r="D1078">
        <v>9068</v>
      </c>
      <c r="E1078" t="s">
        <v>119</v>
      </c>
      <c r="F1078" t="s">
        <v>322</v>
      </c>
      <c r="G1078" t="s">
        <v>3903</v>
      </c>
      <c r="H1078" s="26">
        <v>27126</v>
      </c>
      <c r="I1078" t="s">
        <v>58</v>
      </c>
      <c r="J1078" t="s">
        <v>3904</v>
      </c>
      <c r="M1078">
        <v>92130</v>
      </c>
      <c r="N1078" t="s">
        <v>2066</v>
      </c>
      <c r="O1078" t="s">
        <v>61</v>
      </c>
      <c r="Q1078">
        <v>607039689</v>
      </c>
      <c r="R1078" t="s">
        <v>3905</v>
      </c>
      <c r="S1078" t="s">
        <v>63</v>
      </c>
      <c r="T1078" t="s">
        <v>64</v>
      </c>
      <c r="U1078" t="s">
        <v>486</v>
      </c>
      <c r="W1078" s="26">
        <v>45544</v>
      </c>
      <c r="X1078" t="s">
        <v>61</v>
      </c>
      <c r="Y1078" t="s">
        <v>237</v>
      </c>
    </row>
    <row r="1079" spans="1:25" x14ac:dyDescent="0.25">
      <c r="A1079" t="s">
        <v>3906</v>
      </c>
      <c r="B1079">
        <v>11</v>
      </c>
      <c r="C1079">
        <v>78</v>
      </c>
      <c r="D1079">
        <v>9016</v>
      </c>
      <c r="E1079" t="s">
        <v>362</v>
      </c>
      <c r="F1079" t="s">
        <v>143</v>
      </c>
      <c r="G1079" t="s">
        <v>3907</v>
      </c>
      <c r="H1079" s="26">
        <v>18994</v>
      </c>
      <c r="I1079" t="s">
        <v>58</v>
      </c>
      <c r="J1079" t="s">
        <v>3908</v>
      </c>
      <c r="M1079">
        <v>78970</v>
      </c>
      <c r="N1079" t="s">
        <v>3909</v>
      </c>
      <c r="O1079" t="s">
        <v>61</v>
      </c>
      <c r="P1079">
        <v>130954744</v>
      </c>
      <c r="Q1079">
        <v>674064224</v>
      </c>
      <c r="S1079" t="s">
        <v>63</v>
      </c>
      <c r="T1079" t="s">
        <v>64</v>
      </c>
      <c r="U1079" t="s">
        <v>65</v>
      </c>
      <c r="W1079" s="26">
        <v>45546</v>
      </c>
      <c r="X1079" t="s">
        <v>61</v>
      </c>
      <c r="Y1079" t="s">
        <v>237</v>
      </c>
    </row>
    <row r="1080" spans="1:25" x14ac:dyDescent="0.25">
      <c r="A1080" t="s">
        <v>10032</v>
      </c>
      <c r="B1080">
        <v>11</v>
      </c>
      <c r="C1080">
        <v>78</v>
      </c>
      <c r="D1080">
        <v>9056</v>
      </c>
      <c r="E1080" t="s">
        <v>214</v>
      </c>
      <c r="F1080" t="s">
        <v>10034</v>
      </c>
      <c r="G1080" t="s">
        <v>10033</v>
      </c>
      <c r="H1080" s="26">
        <v>27275</v>
      </c>
      <c r="I1080" t="s">
        <v>16</v>
      </c>
      <c r="J1080" t="s">
        <v>10035</v>
      </c>
      <c r="M1080">
        <v>78000</v>
      </c>
      <c r="N1080" t="s">
        <v>1334</v>
      </c>
      <c r="O1080" t="s">
        <v>61</v>
      </c>
      <c r="Q1080">
        <v>609303484</v>
      </c>
      <c r="R1080" t="s">
        <v>10036</v>
      </c>
      <c r="S1080" t="s">
        <v>63</v>
      </c>
      <c r="T1080" t="s">
        <v>64</v>
      </c>
      <c r="U1080" t="s">
        <v>65</v>
      </c>
      <c r="W1080" s="26">
        <v>45568</v>
      </c>
      <c r="X1080" t="s">
        <v>61</v>
      </c>
      <c r="Y1080" t="s">
        <v>237</v>
      </c>
    </row>
    <row r="1081" spans="1:25" x14ac:dyDescent="0.25">
      <c r="A1081" t="s">
        <v>11283</v>
      </c>
      <c r="B1081">
        <v>11</v>
      </c>
      <c r="C1081">
        <v>92</v>
      </c>
      <c r="D1081">
        <v>9032</v>
      </c>
      <c r="E1081" t="s">
        <v>102</v>
      </c>
      <c r="F1081" t="s">
        <v>91</v>
      </c>
      <c r="G1081" t="s">
        <v>11284</v>
      </c>
      <c r="H1081" s="26">
        <v>19834</v>
      </c>
      <c r="I1081" t="s">
        <v>58</v>
      </c>
      <c r="J1081" t="s">
        <v>11285</v>
      </c>
      <c r="M1081">
        <v>92260</v>
      </c>
      <c r="N1081" t="s">
        <v>3910</v>
      </c>
      <c r="O1081" t="s">
        <v>61</v>
      </c>
      <c r="Q1081">
        <v>688962130</v>
      </c>
      <c r="R1081" t="s">
        <v>11286</v>
      </c>
      <c r="S1081" t="s">
        <v>63</v>
      </c>
      <c r="T1081" t="s">
        <v>64</v>
      </c>
      <c r="U1081" t="s">
        <v>65</v>
      </c>
      <c r="W1081" s="26">
        <v>45588</v>
      </c>
      <c r="X1081" t="s">
        <v>61</v>
      </c>
      <c r="Y1081" t="s">
        <v>237</v>
      </c>
    </row>
    <row r="1082" spans="1:25" x14ac:dyDescent="0.25">
      <c r="A1082" t="s">
        <v>3911</v>
      </c>
      <c r="B1082">
        <v>11</v>
      </c>
      <c r="C1082">
        <v>91</v>
      </c>
      <c r="D1082">
        <v>9025</v>
      </c>
      <c r="E1082" t="s">
        <v>188</v>
      </c>
      <c r="F1082" t="s">
        <v>3912</v>
      </c>
      <c r="G1082" t="s">
        <v>3913</v>
      </c>
      <c r="H1082" s="26">
        <v>39209</v>
      </c>
      <c r="I1082" t="s">
        <v>58</v>
      </c>
      <c r="J1082" t="s">
        <v>3914</v>
      </c>
      <c r="M1082">
        <v>91000</v>
      </c>
      <c r="N1082" t="s">
        <v>743</v>
      </c>
      <c r="O1082" t="s">
        <v>61</v>
      </c>
      <c r="Q1082">
        <v>766118623</v>
      </c>
      <c r="R1082" t="s">
        <v>3915</v>
      </c>
      <c r="S1082" t="s">
        <v>63</v>
      </c>
      <c r="T1082" t="s">
        <v>2510</v>
      </c>
      <c r="U1082" t="s">
        <v>486</v>
      </c>
      <c r="W1082" s="26">
        <v>45550</v>
      </c>
      <c r="X1082" t="s">
        <v>61</v>
      </c>
      <c r="Y1082" t="s">
        <v>237</v>
      </c>
    </row>
    <row r="1083" spans="1:25" x14ac:dyDescent="0.25">
      <c r="A1083" t="s">
        <v>3916</v>
      </c>
      <c r="B1083">
        <v>11</v>
      </c>
      <c r="C1083">
        <v>91</v>
      </c>
      <c r="D1083">
        <v>9025</v>
      </c>
      <c r="E1083" t="s">
        <v>188</v>
      </c>
      <c r="F1083" t="s">
        <v>160</v>
      </c>
      <c r="G1083" t="s">
        <v>3913</v>
      </c>
      <c r="H1083" s="26">
        <v>24141</v>
      </c>
      <c r="I1083" t="s">
        <v>58</v>
      </c>
      <c r="J1083" t="s">
        <v>3914</v>
      </c>
      <c r="M1083">
        <v>91000</v>
      </c>
      <c r="N1083" t="s">
        <v>743</v>
      </c>
      <c r="O1083" t="s">
        <v>61</v>
      </c>
      <c r="Q1083">
        <v>616910947</v>
      </c>
      <c r="R1083" t="s">
        <v>3917</v>
      </c>
      <c r="S1083" t="s">
        <v>63</v>
      </c>
      <c r="T1083" t="s">
        <v>64</v>
      </c>
      <c r="U1083" t="s">
        <v>486</v>
      </c>
      <c r="W1083" s="26">
        <v>45550</v>
      </c>
      <c r="X1083" t="s">
        <v>61</v>
      </c>
      <c r="Y1083" t="s">
        <v>237</v>
      </c>
    </row>
    <row r="1084" spans="1:25" x14ac:dyDescent="0.25">
      <c r="A1084" t="s">
        <v>3918</v>
      </c>
      <c r="B1084">
        <v>11</v>
      </c>
      <c r="C1084">
        <v>94</v>
      </c>
      <c r="D1084">
        <v>9045</v>
      </c>
      <c r="E1084" t="s">
        <v>1234</v>
      </c>
      <c r="F1084" t="s">
        <v>3170</v>
      </c>
      <c r="G1084" t="s">
        <v>3919</v>
      </c>
      <c r="H1084" s="26">
        <v>28994</v>
      </c>
      <c r="I1084" t="s">
        <v>58</v>
      </c>
      <c r="J1084" t="s">
        <v>3920</v>
      </c>
      <c r="M1084">
        <v>75013</v>
      </c>
      <c r="N1084" t="s">
        <v>330</v>
      </c>
      <c r="O1084" t="s">
        <v>61</v>
      </c>
      <c r="Q1084">
        <v>662877460</v>
      </c>
      <c r="R1084" t="s">
        <v>3921</v>
      </c>
      <c r="S1084" t="s">
        <v>63</v>
      </c>
      <c r="T1084" t="s">
        <v>64</v>
      </c>
      <c r="U1084" t="s">
        <v>8684</v>
      </c>
      <c r="W1084" s="26">
        <v>45538</v>
      </c>
      <c r="X1084" t="s">
        <v>61</v>
      </c>
      <c r="Y1084" t="s">
        <v>237</v>
      </c>
    </row>
    <row r="1085" spans="1:25" x14ac:dyDescent="0.25">
      <c r="A1085" t="s">
        <v>3923</v>
      </c>
      <c r="B1085">
        <v>11</v>
      </c>
      <c r="C1085">
        <v>78</v>
      </c>
      <c r="D1085">
        <v>9002</v>
      </c>
      <c r="E1085" t="s">
        <v>558</v>
      </c>
      <c r="F1085" t="s">
        <v>91</v>
      </c>
      <c r="G1085" t="s">
        <v>3924</v>
      </c>
      <c r="H1085" s="26">
        <v>21854</v>
      </c>
      <c r="I1085" t="s">
        <v>58</v>
      </c>
      <c r="J1085" t="s">
        <v>3925</v>
      </c>
      <c r="M1085">
        <v>78980</v>
      </c>
      <c r="N1085" t="s">
        <v>3926</v>
      </c>
      <c r="O1085" t="s">
        <v>61</v>
      </c>
      <c r="P1085">
        <v>130425871</v>
      </c>
      <c r="Q1085">
        <v>698396363</v>
      </c>
      <c r="R1085" t="s">
        <v>3927</v>
      </c>
      <c r="S1085" t="s">
        <v>63</v>
      </c>
      <c r="T1085" t="s">
        <v>64</v>
      </c>
      <c r="U1085" t="s">
        <v>65</v>
      </c>
      <c r="W1085" s="26">
        <v>45544</v>
      </c>
      <c r="X1085" t="s">
        <v>61</v>
      </c>
      <c r="Y1085" t="s">
        <v>237</v>
      </c>
    </row>
    <row r="1086" spans="1:25" x14ac:dyDescent="0.25">
      <c r="A1086" t="s">
        <v>3928</v>
      </c>
      <c r="B1086">
        <v>11</v>
      </c>
      <c r="C1086">
        <v>91</v>
      </c>
      <c r="D1086">
        <v>9025</v>
      </c>
      <c r="E1086" t="s">
        <v>188</v>
      </c>
      <c r="F1086" t="s">
        <v>3929</v>
      </c>
      <c r="G1086" t="s">
        <v>3930</v>
      </c>
      <c r="H1086" s="26">
        <v>31195</v>
      </c>
      <c r="I1086" t="s">
        <v>58</v>
      </c>
      <c r="J1086" t="s">
        <v>3931</v>
      </c>
      <c r="M1086">
        <v>91650</v>
      </c>
      <c r="N1086" t="s">
        <v>3932</v>
      </c>
      <c r="O1086" t="s">
        <v>61</v>
      </c>
      <c r="Q1086">
        <v>649810287</v>
      </c>
      <c r="R1086" t="s">
        <v>3933</v>
      </c>
      <c r="S1086" t="s">
        <v>63</v>
      </c>
      <c r="T1086" t="s">
        <v>64</v>
      </c>
      <c r="U1086" t="s">
        <v>486</v>
      </c>
      <c r="W1086" s="26">
        <v>45542</v>
      </c>
      <c r="X1086" t="s">
        <v>310</v>
      </c>
      <c r="Y1086" t="s">
        <v>237</v>
      </c>
    </row>
    <row r="1087" spans="1:25" x14ac:dyDescent="0.25">
      <c r="A1087" t="s">
        <v>3934</v>
      </c>
      <c r="B1087">
        <v>11</v>
      </c>
      <c r="C1087">
        <v>92</v>
      </c>
      <c r="D1087">
        <v>9065</v>
      </c>
      <c r="E1087" t="s">
        <v>426</v>
      </c>
      <c r="F1087" t="s">
        <v>85</v>
      </c>
      <c r="G1087" t="s">
        <v>3935</v>
      </c>
      <c r="H1087" s="26">
        <v>23463</v>
      </c>
      <c r="I1087" t="s">
        <v>58</v>
      </c>
      <c r="J1087" t="s">
        <v>3936</v>
      </c>
      <c r="M1087">
        <v>77170</v>
      </c>
      <c r="N1087" t="s">
        <v>3937</v>
      </c>
      <c r="O1087" t="s">
        <v>61</v>
      </c>
      <c r="Q1087">
        <v>768634334</v>
      </c>
      <c r="R1087" t="s">
        <v>3938</v>
      </c>
      <c r="S1087" t="s">
        <v>63</v>
      </c>
      <c r="T1087" t="s">
        <v>64</v>
      </c>
      <c r="U1087" t="s">
        <v>8684</v>
      </c>
      <c r="W1087" s="26">
        <v>45525</v>
      </c>
      <c r="X1087" t="s">
        <v>61</v>
      </c>
      <c r="Y1087" t="s">
        <v>237</v>
      </c>
    </row>
    <row r="1088" spans="1:25" x14ac:dyDescent="0.25">
      <c r="A1088" t="s">
        <v>3939</v>
      </c>
      <c r="B1088">
        <v>11</v>
      </c>
      <c r="C1088">
        <v>95</v>
      </c>
      <c r="D1088">
        <v>9061</v>
      </c>
      <c r="E1088" t="s">
        <v>360</v>
      </c>
      <c r="F1088" t="s">
        <v>1991</v>
      </c>
      <c r="G1088" t="s">
        <v>3940</v>
      </c>
      <c r="H1088" s="26">
        <v>20525</v>
      </c>
      <c r="I1088" t="s">
        <v>58</v>
      </c>
      <c r="J1088" t="s">
        <v>3941</v>
      </c>
      <c r="M1088">
        <v>95450</v>
      </c>
      <c r="N1088" t="s">
        <v>3942</v>
      </c>
      <c r="O1088" t="s">
        <v>61</v>
      </c>
      <c r="P1088">
        <v>9641308631</v>
      </c>
      <c r="Q1088">
        <v>680114579</v>
      </c>
      <c r="R1088" t="s">
        <v>9026</v>
      </c>
      <c r="S1088" t="s">
        <v>237</v>
      </c>
      <c r="T1088" t="s">
        <v>64</v>
      </c>
      <c r="U1088" t="s">
        <v>65</v>
      </c>
      <c r="W1088" s="26">
        <v>45562</v>
      </c>
      <c r="X1088" t="s">
        <v>61</v>
      </c>
      <c r="Y1088" t="s">
        <v>237</v>
      </c>
    </row>
    <row r="1089" spans="1:25" x14ac:dyDescent="0.25">
      <c r="A1089" t="s">
        <v>3943</v>
      </c>
      <c r="B1089">
        <v>11</v>
      </c>
      <c r="C1089">
        <v>77</v>
      </c>
      <c r="D1089">
        <v>9028</v>
      </c>
      <c r="E1089" t="s">
        <v>452</v>
      </c>
      <c r="F1089" t="s">
        <v>160</v>
      </c>
      <c r="G1089" t="s">
        <v>3944</v>
      </c>
      <c r="H1089" s="26">
        <v>21712</v>
      </c>
      <c r="I1089" t="s">
        <v>58</v>
      </c>
      <c r="J1089" t="s">
        <v>3945</v>
      </c>
      <c r="M1089">
        <v>77160</v>
      </c>
      <c r="N1089" t="s">
        <v>458</v>
      </c>
      <c r="O1089" t="s">
        <v>61</v>
      </c>
      <c r="Q1089">
        <v>665690136</v>
      </c>
      <c r="R1089" t="s">
        <v>3946</v>
      </c>
      <c r="S1089" t="s">
        <v>63</v>
      </c>
      <c r="T1089" t="s">
        <v>64</v>
      </c>
      <c r="U1089" t="s">
        <v>65</v>
      </c>
      <c r="W1089" s="26">
        <v>45555</v>
      </c>
      <c r="X1089" t="s">
        <v>61</v>
      </c>
      <c r="Y1089" t="s">
        <v>237</v>
      </c>
    </row>
    <row r="1090" spans="1:25" x14ac:dyDescent="0.25">
      <c r="A1090" t="s">
        <v>3947</v>
      </c>
      <c r="B1090">
        <v>11</v>
      </c>
      <c r="C1090">
        <v>78</v>
      </c>
      <c r="D1090">
        <v>9030</v>
      </c>
      <c r="E1090" t="s">
        <v>96</v>
      </c>
      <c r="F1090" t="s">
        <v>106</v>
      </c>
      <c r="G1090" t="s">
        <v>3948</v>
      </c>
      <c r="H1090" s="26">
        <v>17537</v>
      </c>
      <c r="I1090" t="s">
        <v>58</v>
      </c>
      <c r="J1090" t="s">
        <v>3949</v>
      </c>
      <c r="M1090">
        <v>78470</v>
      </c>
      <c r="N1090" t="s">
        <v>1448</v>
      </c>
      <c r="O1090" t="s">
        <v>61</v>
      </c>
      <c r="P1090">
        <v>130522496</v>
      </c>
      <c r="Q1090">
        <v>676854183</v>
      </c>
      <c r="R1090" t="s">
        <v>3950</v>
      </c>
      <c r="S1090" t="s">
        <v>63</v>
      </c>
      <c r="T1090" t="s">
        <v>64</v>
      </c>
      <c r="U1090" t="s">
        <v>65</v>
      </c>
      <c r="W1090" s="26">
        <v>45555</v>
      </c>
      <c r="X1090" t="s">
        <v>61</v>
      </c>
      <c r="Y1090" t="s">
        <v>237</v>
      </c>
    </row>
    <row r="1091" spans="1:25" x14ac:dyDescent="0.25">
      <c r="A1091" t="s">
        <v>3951</v>
      </c>
      <c r="B1091">
        <v>11</v>
      </c>
      <c r="C1091">
        <v>77</v>
      </c>
      <c r="D1091">
        <v>9040</v>
      </c>
      <c r="E1091" t="s">
        <v>612</v>
      </c>
      <c r="F1091" t="s">
        <v>243</v>
      </c>
      <c r="G1091" t="s">
        <v>3952</v>
      </c>
      <c r="H1091" s="26">
        <v>22673</v>
      </c>
      <c r="I1091" t="s">
        <v>58</v>
      </c>
      <c r="J1091" t="s">
        <v>3953</v>
      </c>
      <c r="M1091">
        <v>77130</v>
      </c>
      <c r="N1091" t="s">
        <v>3954</v>
      </c>
      <c r="O1091" t="s">
        <v>61</v>
      </c>
      <c r="P1091">
        <v>164702591</v>
      </c>
      <c r="Q1091">
        <v>617546958</v>
      </c>
      <c r="R1091" t="s">
        <v>3955</v>
      </c>
      <c r="S1091" t="s">
        <v>63</v>
      </c>
      <c r="T1091" t="s">
        <v>64</v>
      </c>
      <c r="U1091" t="s">
        <v>65</v>
      </c>
      <c r="W1091" s="26">
        <v>45548</v>
      </c>
      <c r="X1091" t="s">
        <v>61</v>
      </c>
      <c r="Y1091" t="s">
        <v>237</v>
      </c>
    </row>
    <row r="1092" spans="1:25" x14ac:dyDescent="0.25">
      <c r="A1092" t="s">
        <v>3956</v>
      </c>
      <c r="B1092">
        <v>11</v>
      </c>
      <c r="C1092">
        <v>95</v>
      </c>
      <c r="D1092">
        <v>9069</v>
      </c>
      <c r="E1092" t="s">
        <v>129</v>
      </c>
      <c r="F1092" t="s">
        <v>355</v>
      </c>
      <c r="G1092" t="s">
        <v>3957</v>
      </c>
      <c r="H1092" s="26">
        <v>17704</v>
      </c>
      <c r="I1092" t="s">
        <v>58</v>
      </c>
      <c r="J1092" t="s">
        <v>3958</v>
      </c>
      <c r="M1092">
        <v>95320</v>
      </c>
      <c r="N1092" t="s">
        <v>132</v>
      </c>
      <c r="O1092" t="s">
        <v>61</v>
      </c>
      <c r="Q1092">
        <v>634243501</v>
      </c>
      <c r="R1092" t="s">
        <v>3959</v>
      </c>
      <c r="S1092" t="s">
        <v>63</v>
      </c>
      <c r="T1092" t="s">
        <v>64</v>
      </c>
      <c r="U1092" t="s">
        <v>8684</v>
      </c>
      <c r="W1092" s="26">
        <v>45559</v>
      </c>
      <c r="X1092" t="s">
        <v>61</v>
      </c>
      <c r="Y1092" t="s">
        <v>237</v>
      </c>
    </row>
    <row r="1093" spans="1:25" x14ac:dyDescent="0.25">
      <c r="A1093" t="s">
        <v>3960</v>
      </c>
      <c r="B1093">
        <v>11</v>
      </c>
      <c r="C1093">
        <v>95</v>
      </c>
      <c r="D1093">
        <v>9069</v>
      </c>
      <c r="E1093" t="s">
        <v>129</v>
      </c>
      <c r="F1093" t="s">
        <v>85</v>
      </c>
      <c r="G1093" t="s">
        <v>1260</v>
      </c>
      <c r="H1093" s="26">
        <v>21255</v>
      </c>
      <c r="I1093" t="s">
        <v>58</v>
      </c>
      <c r="J1093" t="s">
        <v>3961</v>
      </c>
      <c r="M1093">
        <v>93800</v>
      </c>
      <c r="N1093" t="s">
        <v>3577</v>
      </c>
      <c r="O1093" t="s">
        <v>61</v>
      </c>
      <c r="Q1093">
        <v>607854982</v>
      </c>
      <c r="R1093" t="s">
        <v>3962</v>
      </c>
      <c r="S1093" t="s">
        <v>63</v>
      </c>
      <c r="T1093" t="s">
        <v>64</v>
      </c>
      <c r="U1093" t="s">
        <v>65</v>
      </c>
      <c r="W1093" s="26">
        <v>45559</v>
      </c>
      <c r="X1093" t="s">
        <v>61</v>
      </c>
      <c r="Y1093" t="s">
        <v>237</v>
      </c>
    </row>
    <row r="1094" spans="1:25" x14ac:dyDescent="0.25">
      <c r="A1094" t="s">
        <v>3963</v>
      </c>
      <c r="B1094">
        <v>11</v>
      </c>
      <c r="C1094">
        <v>75</v>
      </c>
      <c r="D1094">
        <v>9070</v>
      </c>
      <c r="E1094" t="s">
        <v>168</v>
      </c>
      <c r="F1094" t="s">
        <v>1172</v>
      </c>
      <c r="G1094" t="s">
        <v>3964</v>
      </c>
      <c r="H1094" s="26">
        <v>26395</v>
      </c>
      <c r="I1094" t="s">
        <v>58</v>
      </c>
      <c r="J1094" t="s">
        <v>3965</v>
      </c>
      <c r="M1094">
        <v>94700</v>
      </c>
      <c r="N1094" t="s">
        <v>163</v>
      </c>
      <c r="O1094" t="s">
        <v>61</v>
      </c>
      <c r="R1094" t="s">
        <v>3966</v>
      </c>
      <c r="S1094" t="s">
        <v>63</v>
      </c>
      <c r="T1094" t="s">
        <v>64</v>
      </c>
      <c r="U1094" t="s">
        <v>8684</v>
      </c>
      <c r="W1094" s="26">
        <v>45533</v>
      </c>
      <c r="X1094" t="s">
        <v>61</v>
      </c>
      <c r="Y1094" t="s">
        <v>237</v>
      </c>
    </row>
    <row r="1095" spans="1:25" x14ac:dyDescent="0.25">
      <c r="A1095" t="s">
        <v>10737</v>
      </c>
      <c r="B1095">
        <v>11</v>
      </c>
      <c r="C1095">
        <v>94</v>
      </c>
      <c r="D1095">
        <v>9024</v>
      </c>
      <c r="E1095" t="s">
        <v>4</v>
      </c>
      <c r="F1095" t="s">
        <v>551</v>
      </c>
      <c r="G1095" t="s">
        <v>10738</v>
      </c>
      <c r="H1095" s="26">
        <v>21695</v>
      </c>
      <c r="I1095" t="s">
        <v>58</v>
      </c>
      <c r="J1095" t="s">
        <v>10739</v>
      </c>
      <c r="M1095">
        <v>94170</v>
      </c>
      <c r="N1095" t="s">
        <v>3220</v>
      </c>
      <c r="O1095" t="s">
        <v>61</v>
      </c>
      <c r="Q1095">
        <v>665019555</v>
      </c>
      <c r="R1095" t="s">
        <v>10740</v>
      </c>
      <c r="S1095" t="s">
        <v>63</v>
      </c>
      <c r="T1095" t="s">
        <v>64</v>
      </c>
      <c r="U1095" t="s">
        <v>65</v>
      </c>
      <c r="W1095" s="26">
        <v>45582</v>
      </c>
      <c r="X1095" t="s">
        <v>61</v>
      </c>
      <c r="Y1095" t="s">
        <v>237</v>
      </c>
    </row>
    <row r="1096" spans="1:25" x14ac:dyDescent="0.25">
      <c r="A1096" t="s">
        <v>3967</v>
      </c>
      <c r="B1096">
        <v>11</v>
      </c>
      <c r="C1096">
        <v>78</v>
      </c>
      <c r="D1096">
        <v>9016</v>
      </c>
      <c r="E1096" t="s">
        <v>362</v>
      </c>
      <c r="F1096" t="s">
        <v>3968</v>
      </c>
      <c r="G1096" t="s">
        <v>3969</v>
      </c>
      <c r="H1096" s="26">
        <v>18148</v>
      </c>
      <c r="I1096" t="s">
        <v>58</v>
      </c>
      <c r="J1096" t="s">
        <v>3970</v>
      </c>
      <c r="M1096">
        <v>78440</v>
      </c>
      <c r="N1096" t="s">
        <v>1646</v>
      </c>
      <c r="O1096" t="s">
        <v>61</v>
      </c>
      <c r="Q1096">
        <v>609783024</v>
      </c>
      <c r="R1096" t="s">
        <v>3971</v>
      </c>
      <c r="S1096" t="s">
        <v>63</v>
      </c>
      <c r="T1096" t="s">
        <v>64</v>
      </c>
      <c r="U1096" t="s">
        <v>65</v>
      </c>
      <c r="W1096" s="26">
        <v>45540</v>
      </c>
      <c r="X1096" t="s">
        <v>61</v>
      </c>
      <c r="Y1096" t="s">
        <v>237</v>
      </c>
    </row>
    <row r="1097" spans="1:25" x14ac:dyDescent="0.25">
      <c r="A1097" t="s">
        <v>3972</v>
      </c>
      <c r="B1097">
        <v>11</v>
      </c>
      <c r="C1097">
        <v>91</v>
      </c>
      <c r="D1097">
        <v>9096</v>
      </c>
      <c r="E1097" t="s">
        <v>526</v>
      </c>
      <c r="F1097" t="s">
        <v>255</v>
      </c>
      <c r="G1097" t="s">
        <v>3973</v>
      </c>
      <c r="H1097" s="26">
        <v>23802</v>
      </c>
      <c r="I1097" t="s">
        <v>58</v>
      </c>
      <c r="J1097" t="s">
        <v>3974</v>
      </c>
      <c r="M1097">
        <v>91510</v>
      </c>
      <c r="N1097" t="s">
        <v>3056</v>
      </c>
      <c r="O1097" t="s">
        <v>61</v>
      </c>
      <c r="P1097">
        <v>160823407</v>
      </c>
      <c r="Q1097">
        <v>638451532</v>
      </c>
      <c r="R1097" t="s">
        <v>3975</v>
      </c>
      <c r="S1097" t="s">
        <v>63</v>
      </c>
      <c r="T1097" t="s">
        <v>64</v>
      </c>
      <c r="U1097" t="s">
        <v>65</v>
      </c>
      <c r="W1097" s="26">
        <v>45536</v>
      </c>
      <c r="X1097" t="s">
        <v>61</v>
      </c>
      <c r="Y1097" t="s">
        <v>237</v>
      </c>
    </row>
    <row r="1098" spans="1:25" x14ac:dyDescent="0.25">
      <c r="A1098" t="s">
        <v>10741</v>
      </c>
      <c r="B1098">
        <v>11</v>
      </c>
      <c r="C1098">
        <v>94</v>
      </c>
      <c r="D1098">
        <v>9024</v>
      </c>
      <c r="E1098" t="s">
        <v>4</v>
      </c>
      <c r="F1098" t="s">
        <v>183</v>
      </c>
      <c r="G1098" t="s">
        <v>10742</v>
      </c>
      <c r="H1098" s="26">
        <v>20921</v>
      </c>
      <c r="I1098" t="s">
        <v>58</v>
      </c>
      <c r="J1098" t="s">
        <v>10743</v>
      </c>
      <c r="M1098">
        <v>77600</v>
      </c>
      <c r="N1098" t="s">
        <v>10744</v>
      </c>
      <c r="O1098" t="s">
        <v>61</v>
      </c>
      <c r="Q1098">
        <v>607168859</v>
      </c>
      <c r="R1098" t="s">
        <v>10745</v>
      </c>
      <c r="S1098" t="s">
        <v>63</v>
      </c>
      <c r="T1098" t="s">
        <v>64</v>
      </c>
      <c r="U1098" t="s">
        <v>65</v>
      </c>
      <c r="W1098" s="26">
        <v>45579</v>
      </c>
      <c r="X1098" t="s">
        <v>61</v>
      </c>
      <c r="Y1098" t="s">
        <v>237</v>
      </c>
    </row>
    <row r="1099" spans="1:25" x14ac:dyDescent="0.25">
      <c r="A1099" t="s">
        <v>3977</v>
      </c>
      <c r="B1099">
        <v>11</v>
      </c>
      <c r="C1099">
        <v>75</v>
      </c>
      <c r="D1099">
        <v>9070</v>
      </c>
      <c r="E1099" t="s">
        <v>168</v>
      </c>
      <c r="F1099" t="s">
        <v>3978</v>
      </c>
      <c r="G1099" t="s">
        <v>3979</v>
      </c>
      <c r="H1099" s="26">
        <v>34073</v>
      </c>
      <c r="I1099" t="s">
        <v>16</v>
      </c>
      <c r="J1099" t="s">
        <v>3980</v>
      </c>
      <c r="M1099">
        <v>75001</v>
      </c>
      <c r="N1099" t="s">
        <v>330</v>
      </c>
      <c r="O1099" t="s">
        <v>61</v>
      </c>
      <c r="Q1099">
        <v>786405308</v>
      </c>
      <c r="R1099" t="s">
        <v>3981</v>
      </c>
      <c r="S1099" t="s">
        <v>63</v>
      </c>
      <c r="T1099" t="s">
        <v>64</v>
      </c>
      <c r="U1099" t="s">
        <v>8684</v>
      </c>
      <c r="W1099" s="26">
        <v>45539</v>
      </c>
      <c r="X1099" t="s">
        <v>3982</v>
      </c>
      <c r="Y1099" t="s">
        <v>237</v>
      </c>
    </row>
    <row r="1100" spans="1:25" x14ac:dyDescent="0.25">
      <c r="A1100" t="s">
        <v>3983</v>
      </c>
      <c r="B1100">
        <v>11</v>
      </c>
      <c r="C1100">
        <v>75</v>
      </c>
      <c r="D1100">
        <v>9070</v>
      </c>
      <c r="E1100" t="s">
        <v>168</v>
      </c>
      <c r="F1100" t="s">
        <v>2243</v>
      </c>
      <c r="G1100" t="s">
        <v>3984</v>
      </c>
      <c r="H1100" s="26">
        <v>31162</v>
      </c>
      <c r="I1100" t="s">
        <v>58</v>
      </c>
      <c r="J1100" t="s">
        <v>3985</v>
      </c>
      <c r="M1100">
        <v>92190</v>
      </c>
      <c r="N1100" t="s">
        <v>3986</v>
      </c>
      <c r="O1100" t="s">
        <v>61</v>
      </c>
      <c r="Q1100">
        <v>615879707</v>
      </c>
      <c r="R1100" t="s">
        <v>3987</v>
      </c>
      <c r="S1100" t="s">
        <v>63</v>
      </c>
      <c r="T1100" t="s">
        <v>64</v>
      </c>
      <c r="U1100" t="s">
        <v>8684</v>
      </c>
      <c r="W1100" s="26">
        <v>45540</v>
      </c>
      <c r="X1100" t="s">
        <v>61</v>
      </c>
      <c r="Y1100" t="s">
        <v>237</v>
      </c>
    </row>
    <row r="1101" spans="1:25" x14ac:dyDescent="0.25">
      <c r="A1101" t="s">
        <v>3990</v>
      </c>
      <c r="B1101">
        <v>11</v>
      </c>
      <c r="C1101">
        <v>92</v>
      </c>
      <c r="D1101">
        <v>9088</v>
      </c>
      <c r="E1101" t="s">
        <v>1</v>
      </c>
      <c r="F1101" t="s">
        <v>3991</v>
      </c>
      <c r="G1101" t="s">
        <v>3992</v>
      </c>
      <c r="H1101" s="26">
        <v>22784</v>
      </c>
      <c r="I1101" t="s">
        <v>16</v>
      </c>
      <c r="J1101" t="s">
        <v>3993</v>
      </c>
      <c r="M1101">
        <v>93200</v>
      </c>
      <c r="N1101" t="s">
        <v>194</v>
      </c>
      <c r="O1101" t="s">
        <v>61</v>
      </c>
      <c r="Q1101">
        <v>676026944</v>
      </c>
      <c r="R1101" t="s">
        <v>3994</v>
      </c>
      <c r="S1101" t="s">
        <v>63</v>
      </c>
      <c r="T1101" t="s">
        <v>64</v>
      </c>
      <c r="U1101" t="s">
        <v>65</v>
      </c>
      <c r="W1101" s="26">
        <v>45560</v>
      </c>
      <c r="X1101" t="s">
        <v>61</v>
      </c>
      <c r="Y1101" t="s">
        <v>237</v>
      </c>
    </row>
    <row r="1102" spans="1:25" x14ac:dyDescent="0.25">
      <c r="A1102" t="s">
        <v>10083</v>
      </c>
      <c r="B1102">
        <v>11</v>
      </c>
      <c r="C1102">
        <v>94</v>
      </c>
      <c r="D1102">
        <v>9024</v>
      </c>
      <c r="E1102" t="s">
        <v>4</v>
      </c>
      <c r="F1102" t="s">
        <v>10085</v>
      </c>
      <c r="G1102" t="s">
        <v>10084</v>
      </c>
      <c r="H1102" s="26">
        <v>18763</v>
      </c>
      <c r="I1102" t="s">
        <v>58</v>
      </c>
      <c r="J1102" t="s">
        <v>10086</v>
      </c>
      <c r="M1102">
        <v>93360</v>
      </c>
      <c r="N1102" t="s">
        <v>291</v>
      </c>
      <c r="O1102" t="s">
        <v>61</v>
      </c>
      <c r="Q1102">
        <v>605291634</v>
      </c>
      <c r="R1102" t="s">
        <v>10087</v>
      </c>
      <c r="S1102" t="s">
        <v>63</v>
      </c>
      <c r="T1102" t="s">
        <v>64</v>
      </c>
      <c r="U1102" t="s">
        <v>65</v>
      </c>
      <c r="W1102" s="26">
        <v>45568</v>
      </c>
      <c r="X1102" t="s">
        <v>61</v>
      </c>
      <c r="Y1102" t="s">
        <v>237</v>
      </c>
    </row>
    <row r="1103" spans="1:25" x14ac:dyDescent="0.25">
      <c r="A1103" t="s">
        <v>10088</v>
      </c>
      <c r="B1103">
        <v>11</v>
      </c>
      <c r="C1103">
        <v>94</v>
      </c>
      <c r="D1103">
        <v>9024</v>
      </c>
      <c r="E1103" t="s">
        <v>4</v>
      </c>
      <c r="F1103" t="s">
        <v>91</v>
      </c>
      <c r="G1103" t="s">
        <v>10084</v>
      </c>
      <c r="H1103" s="26">
        <v>18158</v>
      </c>
      <c r="I1103" t="s">
        <v>58</v>
      </c>
      <c r="J1103" t="s">
        <v>10089</v>
      </c>
      <c r="M1103">
        <v>94170</v>
      </c>
      <c r="N1103" t="s">
        <v>3220</v>
      </c>
      <c r="O1103" t="s">
        <v>61</v>
      </c>
      <c r="Q1103">
        <v>623676319</v>
      </c>
      <c r="R1103" t="s">
        <v>10090</v>
      </c>
      <c r="S1103" t="s">
        <v>63</v>
      </c>
      <c r="T1103" t="s">
        <v>64</v>
      </c>
      <c r="U1103" t="s">
        <v>65</v>
      </c>
      <c r="W1103" s="26">
        <v>45568</v>
      </c>
      <c r="X1103" t="s">
        <v>61</v>
      </c>
      <c r="Y1103" t="s">
        <v>237</v>
      </c>
    </row>
    <row r="1104" spans="1:25" x14ac:dyDescent="0.25">
      <c r="A1104" t="s">
        <v>10746</v>
      </c>
      <c r="B1104">
        <v>11</v>
      </c>
      <c r="C1104">
        <v>77</v>
      </c>
      <c r="D1104">
        <v>9049</v>
      </c>
      <c r="E1104" t="s">
        <v>902</v>
      </c>
      <c r="F1104" t="s">
        <v>927</v>
      </c>
      <c r="G1104" t="s">
        <v>10747</v>
      </c>
      <c r="H1104" s="26">
        <v>22813</v>
      </c>
      <c r="I1104" t="s">
        <v>58</v>
      </c>
      <c r="J1104" t="s">
        <v>10748</v>
      </c>
      <c r="M1104">
        <v>77260</v>
      </c>
      <c r="N1104" t="s">
        <v>5212</v>
      </c>
      <c r="O1104" t="s">
        <v>61</v>
      </c>
      <c r="Q1104">
        <v>622054320</v>
      </c>
      <c r="R1104" t="s">
        <v>10749</v>
      </c>
      <c r="S1104" t="s">
        <v>63</v>
      </c>
      <c r="T1104" t="s">
        <v>64</v>
      </c>
      <c r="U1104" t="s">
        <v>65</v>
      </c>
      <c r="W1104" s="26">
        <v>45579</v>
      </c>
      <c r="X1104" t="s">
        <v>61</v>
      </c>
      <c r="Y1104" t="s">
        <v>237</v>
      </c>
    </row>
    <row r="1105" spans="1:25" x14ac:dyDescent="0.25">
      <c r="A1105" t="s">
        <v>3995</v>
      </c>
      <c r="B1105">
        <v>11</v>
      </c>
      <c r="C1105">
        <v>77</v>
      </c>
      <c r="D1105">
        <v>9040</v>
      </c>
      <c r="E1105" t="s">
        <v>612</v>
      </c>
      <c r="F1105" t="s">
        <v>3996</v>
      </c>
      <c r="G1105" t="s">
        <v>624</v>
      </c>
      <c r="H1105" s="26">
        <v>23681</v>
      </c>
      <c r="I1105" t="s">
        <v>16</v>
      </c>
      <c r="J1105" t="s">
        <v>625</v>
      </c>
      <c r="M1105">
        <v>77210</v>
      </c>
      <c r="N1105" t="s">
        <v>626</v>
      </c>
      <c r="O1105" t="s">
        <v>61</v>
      </c>
      <c r="Q1105">
        <v>608418841</v>
      </c>
      <c r="R1105" t="s">
        <v>3997</v>
      </c>
      <c r="S1105" t="s">
        <v>63</v>
      </c>
      <c r="T1105" t="s">
        <v>64</v>
      </c>
      <c r="U1105" t="s">
        <v>65</v>
      </c>
      <c r="W1105" s="26">
        <v>45557</v>
      </c>
      <c r="X1105" t="s">
        <v>61</v>
      </c>
      <c r="Y1105" t="s">
        <v>237</v>
      </c>
    </row>
    <row r="1106" spans="1:25" x14ac:dyDescent="0.25">
      <c r="A1106" t="s">
        <v>3998</v>
      </c>
      <c r="B1106">
        <v>11</v>
      </c>
      <c r="C1106">
        <v>94</v>
      </c>
      <c r="D1106">
        <v>9024</v>
      </c>
      <c r="E1106" t="s">
        <v>4</v>
      </c>
      <c r="F1106" t="s">
        <v>3999</v>
      </c>
      <c r="G1106" t="s">
        <v>397</v>
      </c>
      <c r="H1106" s="26">
        <v>35074</v>
      </c>
      <c r="I1106" t="s">
        <v>16</v>
      </c>
      <c r="J1106" t="s">
        <v>4000</v>
      </c>
      <c r="M1106">
        <v>94100</v>
      </c>
      <c r="N1106" t="s">
        <v>971</v>
      </c>
      <c r="O1106" t="s">
        <v>61</v>
      </c>
      <c r="Q1106">
        <v>637059292</v>
      </c>
      <c r="R1106" t="s">
        <v>4001</v>
      </c>
      <c r="S1106" t="s">
        <v>63</v>
      </c>
      <c r="T1106" t="s">
        <v>64</v>
      </c>
      <c r="U1106" t="s">
        <v>8684</v>
      </c>
      <c r="W1106" s="26">
        <v>45548</v>
      </c>
      <c r="X1106" t="s">
        <v>61</v>
      </c>
      <c r="Y1106" t="s">
        <v>237</v>
      </c>
    </row>
    <row r="1107" spans="1:25" x14ac:dyDescent="0.25">
      <c r="A1107" t="s">
        <v>4002</v>
      </c>
      <c r="B1107">
        <v>11</v>
      </c>
      <c r="C1107">
        <v>78</v>
      </c>
      <c r="D1107">
        <v>9056</v>
      </c>
      <c r="E1107" t="s">
        <v>214</v>
      </c>
      <c r="F1107" t="s">
        <v>4003</v>
      </c>
      <c r="G1107" t="s">
        <v>4004</v>
      </c>
      <c r="H1107" s="26">
        <v>35337</v>
      </c>
      <c r="I1107" t="s">
        <v>58</v>
      </c>
      <c r="J1107" t="s">
        <v>4005</v>
      </c>
      <c r="M1107">
        <v>78000</v>
      </c>
      <c r="N1107" t="s">
        <v>1334</v>
      </c>
      <c r="O1107" t="s">
        <v>61</v>
      </c>
      <c r="Q1107">
        <v>672391462</v>
      </c>
      <c r="R1107" t="s">
        <v>4006</v>
      </c>
      <c r="S1107" t="s">
        <v>63</v>
      </c>
      <c r="T1107" t="s">
        <v>64</v>
      </c>
      <c r="U1107" t="s">
        <v>65</v>
      </c>
      <c r="W1107" s="26">
        <v>45551</v>
      </c>
      <c r="X1107" t="s">
        <v>61</v>
      </c>
      <c r="Y1107" t="s">
        <v>237</v>
      </c>
    </row>
    <row r="1108" spans="1:25" x14ac:dyDescent="0.25">
      <c r="A1108" t="s">
        <v>10750</v>
      </c>
      <c r="B1108">
        <v>11</v>
      </c>
      <c r="C1108">
        <v>93</v>
      </c>
      <c r="D1108">
        <v>9122</v>
      </c>
      <c r="E1108" t="s">
        <v>1030</v>
      </c>
      <c r="F1108" t="s">
        <v>1883</v>
      </c>
      <c r="G1108" t="s">
        <v>10751</v>
      </c>
      <c r="H1108" s="26">
        <v>18823</v>
      </c>
      <c r="I1108" t="s">
        <v>58</v>
      </c>
      <c r="J1108" t="s">
        <v>10752</v>
      </c>
      <c r="M1108">
        <v>93370</v>
      </c>
      <c r="N1108" t="s">
        <v>10753</v>
      </c>
      <c r="O1108" t="s">
        <v>61</v>
      </c>
      <c r="Q1108">
        <v>170028577</v>
      </c>
      <c r="S1108" t="s">
        <v>63</v>
      </c>
      <c r="T1108" t="s">
        <v>64</v>
      </c>
      <c r="U1108" t="s">
        <v>8684</v>
      </c>
      <c r="W1108" s="26">
        <v>45576</v>
      </c>
      <c r="X1108" t="s">
        <v>61</v>
      </c>
      <c r="Y1108" t="s">
        <v>237</v>
      </c>
    </row>
    <row r="1109" spans="1:25" x14ac:dyDescent="0.25">
      <c r="A1109" t="s">
        <v>4007</v>
      </c>
      <c r="B1109">
        <v>11</v>
      </c>
      <c r="C1109">
        <v>93</v>
      </c>
      <c r="D1109">
        <v>9122</v>
      </c>
      <c r="E1109" t="s">
        <v>1030</v>
      </c>
      <c r="F1109" t="s">
        <v>4008</v>
      </c>
      <c r="G1109" t="s">
        <v>4009</v>
      </c>
      <c r="H1109" s="26">
        <v>27049</v>
      </c>
      <c r="I1109" t="s">
        <v>16</v>
      </c>
      <c r="J1109" t="s">
        <v>4010</v>
      </c>
      <c r="M1109">
        <v>93220</v>
      </c>
      <c r="N1109" t="s">
        <v>662</v>
      </c>
      <c r="O1109" t="s">
        <v>61</v>
      </c>
      <c r="Q1109">
        <v>611312307</v>
      </c>
      <c r="R1109" t="s">
        <v>4011</v>
      </c>
      <c r="S1109" t="s">
        <v>63</v>
      </c>
      <c r="T1109" t="s">
        <v>64</v>
      </c>
      <c r="U1109" t="s">
        <v>486</v>
      </c>
      <c r="W1109" s="26">
        <v>45559</v>
      </c>
      <c r="X1109" t="s">
        <v>61</v>
      </c>
      <c r="Y1109" t="s">
        <v>237</v>
      </c>
    </row>
    <row r="1110" spans="1:25" x14ac:dyDescent="0.25">
      <c r="A1110" t="s">
        <v>4012</v>
      </c>
      <c r="B1110">
        <v>11</v>
      </c>
      <c r="C1110">
        <v>93</v>
      </c>
      <c r="D1110">
        <v>9122</v>
      </c>
      <c r="E1110" t="s">
        <v>1030</v>
      </c>
      <c r="F1110" t="s">
        <v>4013</v>
      </c>
      <c r="G1110" t="s">
        <v>4014</v>
      </c>
      <c r="H1110" s="26">
        <v>27584</v>
      </c>
      <c r="I1110" t="s">
        <v>58</v>
      </c>
      <c r="J1110" t="s">
        <v>4015</v>
      </c>
      <c r="M1110">
        <v>93220</v>
      </c>
      <c r="N1110" t="s">
        <v>662</v>
      </c>
      <c r="O1110" t="s">
        <v>61</v>
      </c>
      <c r="Q1110">
        <v>673774776</v>
      </c>
      <c r="R1110" t="s">
        <v>4016</v>
      </c>
      <c r="S1110" t="s">
        <v>63</v>
      </c>
      <c r="T1110" t="s">
        <v>64</v>
      </c>
      <c r="U1110" t="s">
        <v>8684</v>
      </c>
      <c r="W1110" s="26">
        <v>45530</v>
      </c>
      <c r="X1110" t="s">
        <v>61</v>
      </c>
      <c r="Y1110" t="s">
        <v>237</v>
      </c>
    </row>
    <row r="1111" spans="1:25" x14ac:dyDescent="0.25">
      <c r="A1111" t="s">
        <v>10754</v>
      </c>
      <c r="B1111">
        <v>11</v>
      </c>
      <c r="C1111">
        <v>93</v>
      </c>
      <c r="D1111">
        <v>9122</v>
      </c>
      <c r="E1111" t="s">
        <v>1030</v>
      </c>
      <c r="F1111" t="s">
        <v>143</v>
      </c>
      <c r="G1111" t="s">
        <v>10755</v>
      </c>
      <c r="H1111" s="26">
        <v>20492</v>
      </c>
      <c r="I1111" t="s">
        <v>58</v>
      </c>
      <c r="J1111" t="s">
        <v>10756</v>
      </c>
      <c r="M1111">
        <v>93220</v>
      </c>
      <c r="N1111" t="s">
        <v>662</v>
      </c>
      <c r="O1111" t="s">
        <v>61</v>
      </c>
      <c r="Q1111">
        <v>681973376</v>
      </c>
      <c r="R1111" t="s">
        <v>10757</v>
      </c>
      <c r="S1111" t="s">
        <v>63</v>
      </c>
      <c r="T1111" t="s">
        <v>64</v>
      </c>
      <c r="U1111" t="s">
        <v>8684</v>
      </c>
      <c r="W1111" s="26">
        <v>45575</v>
      </c>
      <c r="X1111" t="s">
        <v>61</v>
      </c>
      <c r="Y1111" t="s">
        <v>237</v>
      </c>
    </row>
    <row r="1112" spans="1:25" x14ac:dyDescent="0.25">
      <c r="A1112" t="s">
        <v>4017</v>
      </c>
      <c r="B1112">
        <v>11</v>
      </c>
      <c r="C1112">
        <v>95</v>
      </c>
      <c r="D1112">
        <v>9069</v>
      </c>
      <c r="E1112" t="s">
        <v>129</v>
      </c>
      <c r="F1112" t="s">
        <v>289</v>
      </c>
      <c r="G1112" t="s">
        <v>4018</v>
      </c>
      <c r="H1112" s="26">
        <v>17745</v>
      </c>
      <c r="I1112" t="s">
        <v>58</v>
      </c>
      <c r="J1112" t="s">
        <v>4019</v>
      </c>
      <c r="M1112">
        <v>95570</v>
      </c>
      <c r="N1112" t="s">
        <v>4020</v>
      </c>
      <c r="O1112" t="s">
        <v>61</v>
      </c>
      <c r="Q1112">
        <v>609488123</v>
      </c>
      <c r="R1112" t="s">
        <v>4021</v>
      </c>
      <c r="S1112" t="s">
        <v>63</v>
      </c>
      <c r="T1112" t="s">
        <v>64</v>
      </c>
      <c r="U1112" t="s">
        <v>65</v>
      </c>
      <c r="W1112" s="26">
        <v>45559</v>
      </c>
      <c r="X1112" t="s">
        <v>61</v>
      </c>
      <c r="Y1112" t="s">
        <v>237</v>
      </c>
    </row>
    <row r="1113" spans="1:25" x14ac:dyDescent="0.25">
      <c r="A1113" t="s">
        <v>4022</v>
      </c>
      <c r="B1113">
        <v>11</v>
      </c>
      <c r="C1113">
        <v>78</v>
      </c>
      <c r="D1113">
        <v>9030</v>
      </c>
      <c r="E1113" t="s">
        <v>96</v>
      </c>
      <c r="F1113" t="s">
        <v>4023</v>
      </c>
      <c r="G1113" t="s">
        <v>4024</v>
      </c>
      <c r="H1113" s="26">
        <v>40549</v>
      </c>
      <c r="I1113" t="s">
        <v>16</v>
      </c>
      <c r="J1113" t="s">
        <v>4025</v>
      </c>
      <c r="M1113">
        <v>78114</v>
      </c>
      <c r="N1113" t="s">
        <v>263</v>
      </c>
      <c r="O1113" t="s">
        <v>61</v>
      </c>
      <c r="P1113">
        <v>677709448</v>
      </c>
      <c r="Q1113">
        <v>676854183</v>
      </c>
      <c r="R1113" t="s">
        <v>3950</v>
      </c>
      <c r="S1113" t="s">
        <v>63</v>
      </c>
      <c r="T1113" t="s">
        <v>2510</v>
      </c>
      <c r="U1113" t="s">
        <v>486</v>
      </c>
      <c r="W1113" s="26">
        <v>45561</v>
      </c>
      <c r="X1113" t="s">
        <v>61</v>
      </c>
      <c r="Y1113" t="s">
        <v>237</v>
      </c>
    </row>
    <row r="1114" spans="1:25" x14ac:dyDescent="0.25">
      <c r="A1114" t="s">
        <v>10758</v>
      </c>
      <c r="B1114">
        <v>11</v>
      </c>
      <c r="C1114">
        <v>92</v>
      </c>
      <c r="D1114">
        <v>9068</v>
      </c>
      <c r="E1114" t="s">
        <v>119</v>
      </c>
      <c r="F1114" t="s">
        <v>1288</v>
      </c>
      <c r="G1114" t="s">
        <v>10759</v>
      </c>
      <c r="H1114" s="26">
        <v>16096</v>
      </c>
      <c r="I1114" t="s">
        <v>58</v>
      </c>
      <c r="J1114" t="s">
        <v>10760</v>
      </c>
      <c r="M1114">
        <v>92340</v>
      </c>
      <c r="N1114" t="s">
        <v>1091</v>
      </c>
      <c r="O1114" t="s">
        <v>61</v>
      </c>
      <c r="Q1114">
        <v>675613713</v>
      </c>
      <c r="R1114" t="s">
        <v>10761</v>
      </c>
      <c r="S1114" t="s">
        <v>63</v>
      </c>
      <c r="T1114" t="s">
        <v>64</v>
      </c>
      <c r="U1114" t="s">
        <v>65</v>
      </c>
      <c r="W1114" s="26">
        <v>45579</v>
      </c>
      <c r="X1114" t="s">
        <v>61</v>
      </c>
      <c r="Y1114" t="s">
        <v>237</v>
      </c>
    </row>
    <row r="1115" spans="1:25" x14ac:dyDescent="0.25">
      <c r="A1115" t="s">
        <v>4026</v>
      </c>
      <c r="B1115">
        <v>11</v>
      </c>
      <c r="C1115">
        <v>93</v>
      </c>
      <c r="D1115">
        <v>9122</v>
      </c>
      <c r="E1115" t="s">
        <v>1030</v>
      </c>
      <c r="F1115" t="s">
        <v>100</v>
      </c>
      <c r="G1115" t="s">
        <v>4027</v>
      </c>
      <c r="H1115" s="26">
        <v>21048</v>
      </c>
      <c r="I1115" t="s">
        <v>58</v>
      </c>
      <c r="J1115" t="s">
        <v>4028</v>
      </c>
      <c r="M1115">
        <v>93220</v>
      </c>
      <c r="N1115" t="s">
        <v>662</v>
      </c>
      <c r="O1115" t="s">
        <v>61</v>
      </c>
      <c r="Q1115">
        <v>629601470</v>
      </c>
      <c r="S1115" t="s">
        <v>63</v>
      </c>
      <c r="T1115" t="s">
        <v>64</v>
      </c>
      <c r="U1115" t="s">
        <v>8684</v>
      </c>
      <c r="W1115" s="26">
        <v>45559</v>
      </c>
      <c r="X1115" t="s">
        <v>61</v>
      </c>
      <c r="Y1115" t="s">
        <v>237</v>
      </c>
    </row>
    <row r="1116" spans="1:25" x14ac:dyDescent="0.25">
      <c r="A1116" t="s">
        <v>10046</v>
      </c>
      <c r="B1116">
        <v>11</v>
      </c>
      <c r="C1116">
        <v>93</v>
      </c>
      <c r="D1116">
        <v>9122</v>
      </c>
      <c r="E1116" t="s">
        <v>1030</v>
      </c>
      <c r="F1116" t="s">
        <v>886</v>
      </c>
      <c r="G1116" t="s">
        <v>10047</v>
      </c>
      <c r="H1116" s="26">
        <v>18898</v>
      </c>
      <c r="I1116" t="s">
        <v>58</v>
      </c>
      <c r="J1116" t="s">
        <v>10048</v>
      </c>
      <c r="M1116">
        <v>93220</v>
      </c>
      <c r="N1116" t="s">
        <v>662</v>
      </c>
      <c r="O1116" t="s">
        <v>61</v>
      </c>
      <c r="Q1116">
        <v>625034431</v>
      </c>
      <c r="R1116" t="s">
        <v>10049</v>
      </c>
      <c r="S1116" t="s">
        <v>63</v>
      </c>
      <c r="T1116" t="s">
        <v>64</v>
      </c>
      <c r="U1116" t="s">
        <v>65</v>
      </c>
      <c r="W1116" s="26">
        <v>45571</v>
      </c>
      <c r="X1116" t="s">
        <v>61</v>
      </c>
      <c r="Y1116" t="s">
        <v>237</v>
      </c>
    </row>
    <row r="1117" spans="1:25" x14ac:dyDescent="0.25">
      <c r="A1117" t="s">
        <v>4029</v>
      </c>
      <c r="B1117">
        <v>11</v>
      </c>
      <c r="C1117">
        <v>92</v>
      </c>
      <c r="D1117">
        <v>9088</v>
      </c>
      <c r="E1117" t="s">
        <v>1</v>
      </c>
      <c r="F1117" t="s">
        <v>115</v>
      </c>
      <c r="G1117" t="s">
        <v>2686</v>
      </c>
      <c r="H1117" s="26">
        <v>16163</v>
      </c>
      <c r="I1117" t="s">
        <v>58</v>
      </c>
      <c r="J1117" t="s">
        <v>4030</v>
      </c>
      <c r="M1117">
        <v>75020</v>
      </c>
      <c r="N1117" t="s">
        <v>330</v>
      </c>
      <c r="O1117" t="s">
        <v>61</v>
      </c>
      <c r="Q1117">
        <v>651514536</v>
      </c>
      <c r="R1117" t="s">
        <v>4031</v>
      </c>
      <c r="S1117" t="s">
        <v>63</v>
      </c>
      <c r="T1117" t="s">
        <v>64</v>
      </c>
      <c r="U1117" t="s">
        <v>65</v>
      </c>
      <c r="W1117" s="26">
        <v>45560</v>
      </c>
      <c r="X1117" t="s">
        <v>61</v>
      </c>
      <c r="Y1117" t="s">
        <v>237</v>
      </c>
    </row>
    <row r="1118" spans="1:25" x14ac:dyDescent="0.25">
      <c r="A1118" t="s">
        <v>4032</v>
      </c>
      <c r="B1118">
        <v>11</v>
      </c>
      <c r="C1118">
        <v>91</v>
      </c>
      <c r="D1118">
        <v>9096</v>
      </c>
      <c r="E1118" t="s">
        <v>526</v>
      </c>
      <c r="F1118" t="s">
        <v>100</v>
      </c>
      <c r="G1118" t="s">
        <v>4033</v>
      </c>
      <c r="H1118" s="26">
        <v>20718</v>
      </c>
      <c r="I1118" t="s">
        <v>58</v>
      </c>
      <c r="J1118" t="s">
        <v>4034</v>
      </c>
      <c r="M1118">
        <v>91580</v>
      </c>
      <c r="N1118" t="s">
        <v>528</v>
      </c>
      <c r="O1118" t="s">
        <v>61</v>
      </c>
      <c r="R1118" t="s">
        <v>4035</v>
      </c>
      <c r="S1118" t="s">
        <v>237</v>
      </c>
      <c r="T1118" t="s">
        <v>64</v>
      </c>
      <c r="U1118" t="s">
        <v>65</v>
      </c>
      <c r="W1118" s="26">
        <v>45536</v>
      </c>
      <c r="X1118" t="s">
        <v>61</v>
      </c>
      <c r="Y1118" t="s">
        <v>237</v>
      </c>
    </row>
    <row r="1119" spans="1:25" x14ac:dyDescent="0.25">
      <c r="A1119" t="s">
        <v>10762</v>
      </c>
      <c r="B1119">
        <v>11</v>
      </c>
      <c r="C1119">
        <v>93</v>
      </c>
      <c r="D1119">
        <v>9060</v>
      </c>
      <c r="E1119" t="s">
        <v>203</v>
      </c>
      <c r="F1119" t="s">
        <v>143</v>
      </c>
      <c r="G1119" t="s">
        <v>10763</v>
      </c>
      <c r="H1119" s="26">
        <v>21443</v>
      </c>
      <c r="I1119" t="s">
        <v>58</v>
      </c>
      <c r="J1119" t="s">
        <v>10764</v>
      </c>
      <c r="M1119">
        <v>77410</v>
      </c>
      <c r="N1119" t="s">
        <v>10765</v>
      </c>
      <c r="O1119" t="s">
        <v>61</v>
      </c>
      <c r="Q1119">
        <v>608912501</v>
      </c>
      <c r="R1119" t="s">
        <v>10766</v>
      </c>
      <c r="S1119" t="s">
        <v>237</v>
      </c>
      <c r="T1119" t="s">
        <v>64</v>
      </c>
      <c r="U1119" t="s">
        <v>65</v>
      </c>
      <c r="W1119" s="26">
        <v>45576</v>
      </c>
      <c r="X1119" t="s">
        <v>61</v>
      </c>
      <c r="Y1119" t="s">
        <v>237</v>
      </c>
    </row>
    <row r="1120" spans="1:25" x14ac:dyDescent="0.25">
      <c r="A1120" t="s">
        <v>4036</v>
      </c>
      <c r="B1120">
        <v>11</v>
      </c>
      <c r="C1120">
        <v>93</v>
      </c>
      <c r="D1120">
        <v>9060</v>
      </c>
      <c r="E1120" t="s">
        <v>203</v>
      </c>
      <c r="F1120" t="s">
        <v>4037</v>
      </c>
      <c r="G1120" t="s">
        <v>4038</v>
      </c>
      <c r="H1120" s="26">
        <v>19476</v>
      </c>
      <c r="I1120" t="s">
        <v>58</v>
      </c>
      <c r="J1120" t="s">
        <v>4039</v>
      </c>
      <c r="M1120">
        <v>93100</v>
      </c>
      <c r="N1120" t="s">
        <v>3132</v>
      </c>
      <c r="O1120" t="s">
        <v>61</v>
      </c>
      <c r="Q1120">
        <v>663850981</v>
      </c>
      <c r="S1120" t="s">
        <v>63</v>
      </c>
      <c r="T1120" t="s">
        <v>64</v>
      </c>
      <c r="U1120" t="s">
        <v>65</v>
      </c>
      <c r="W1120" s="26">
        <v>45556</v>
      </c>
      <c r="X1120" t="s">
        <v>61</v>
      </c>
      <c r="Y1120" t="s">
        <v>237</v>
      </c>
    </row>
    <row r="1121" spans="1:25" x14ac:dyDescent="0.25">
      <c r="A1121" t="s">
        <v>4040</v>
      </c>
      <c r="B1121">
        <v>11</v>
      </c>
      <c r="C1121">
        <v>78</v>
      </c>
      <c r="D1121">
        <v>9084</v>
      </c>
      <c r="E1121" t="s">
        <v>216</v>
      </c>
      <c r="F1121" t="s">
        <v>305</v>
      </c>
      <c r="G1121" t="s">
        <v>4041</v>
      </c>
      <c r="H1121" s="26">
        <v>20021</v>
      </c>
      <c r="I1121" t="s">
        <v>58</v>
      </c>
      <c r="J1121" t="s">
        <v>4042</v>
      </c>
      <c r="M1121">
        <v>78480</v>
      </c>
      <c r="N1121" t="s">
        <v>548</v>
      </c>
      <c r="O1121" t="s">
        <v>61</v>
      </c>
      <c r="Q1121">
        <v>622125061</v>
      </c>
      <c r="R1121" t="s">
        <v>4043</v>
      </c>
      <c r="S1121" t="s">
        <v>63</v>
      </c>
      <c r="T1121" t="s">
        <v>64</v>
      </c>
      <c r="U1121" t="s">
        <v>65</v>
      </c>
      <c r="W1121" s="26">
        <v>45545</v>
      </c>
      <c r="X1121" t="s">
        <v>61</v>
      </c>
      <c r="Y1121" t="s">
        <v>237</v>
      </c>
    </row>
    <row r="1122" spans="1:25" x14ac:dyDescent="0.25">
      <c r="A1122" t="s">
        <v>4044</v>
      </c>
      <c r="B1122">
        <v>11</v>
      </c>
      <c r="C1122">
        <v>92</v>
      </c>
      <c r="D1122">
        <v>9088</v>
      </c>
      <c r="E1122" t="s">
        <v>1</v>
      </c>
      <c r="F1122" t="s">
        <v>4045</v>
      </c>
      <c r="G1122" t="s">
        <v>4046</v>
      </c>
      <c r="H1122" s="26">
        <v>28650</v>
      </c>
      <c r="I1122" t="s">
        <v>58</v>
      </c>
      <c r="J1122" t="s">
        <v>4047</v>
      </c>
      <c r="M1122">
        <v>92800</v>
      </c>
      <c r="N1122" t="s">
        <v>1619</v>
      </c>
      <c r="O1122" t="s">
        <v>61</v>
      </c>
      <c r="R1122" t="s">
        <v>4048</v>
      </c>
      <c r="S1122" t="s">
        <v>63</v>
      </c>
      <c r="T1122" t="s">
        <v>64</v>
      </c>
      <c r="U1122" t="s">
        <v>65</v>
      </c>
      <c r="W1122" s="26">
        <v>45560</v>
      </c>
      <c r="X1122" t="s">
        <v>4049</v>
      </c>
      <c r="Y1122" t="s">
        <v>237</v>
      </c>
    </row>
    <row r="1123" spans="1:25" x14ac:dyDescent="0.25">
      <c r="A1123" t="s">
        <v>10767</v>
      </c>
      <c r="B1123">
        <v>11</v>
      </c>
      <c r="C1123">
        <v>94</v>
      </c>
      <c r="D1123">
        <v>9031</v>
      </c>
      <c r="E1123" t="s">
        <v>7</v>
      </c>
      <c r="F1123" t="s">
        <v>10768</v>
      </c>
      <c r="G1123" t="s">
        <v>10769</v>
      </c>
      <c r="H1123" s="26">
        <v>26673</v>
      </c>
      <c r="I1123" t="s">
        <v>16</v>
      </c>
      <c r="J1123" t="s">
        <v>10770</v>
      </c>
      <c r="M1123">
        <v>94700</v>
      </c>
      <c r="N1123" t="s">
        <v>163</v>
      </c>
      <c r="O1123" t="s">
        <v>61</v>
      </c>
      <c r="Q1123">
        <v>647009609</v>
      </c>
      <c r="R1123" t="s">
        <v>10771</v>
      </c>
      <c r="S1123" t="s">
        <v>237</v>
      </c>
      <c r="T1123" t="s">
        <v>64</v>
      </c>
      <c r="U1123" t="s">
        <v>65</v>
      </c>
      <c r="W1123" s="26">
        <v>45573</v>
      </c>
      <c r="X1123" t="s">
        <v>61</v>
      </c>
      <c r="Y1123" t="s">
        <v>237</v>
      </c>
    </row>
    <row r="1124" spans="1:25" x14ac:dyDescent="0.25">
      <c r="A1124" t="s">
        <v>4050</v>
      </c>
      <c r="B1124">
        <v>11</v>
      </c>
      <c r="C1124">
        <v>94</v>
      </c>
      <c r="D1124">
        <v>9031</v>
      </c>
      <c r="E1124" t="s">
        <v>7</v>
      </c>
      <c r="F1124" t="s">
        <v>91</v>
      </c>
      <c r="G1124" t="s">
        <v>4051</v>
      </c>
      <c r="H1124" s="26">
        <v>19988</v>
      </c>
      <c r="I1124" t="s">
        <v>58</v>
      </c>
      <c r="J1124" t="s">
        <v>4052</v>
      </c>
      <c r="M1124">
        <v>94700</v>
      </c>
      <c r="N1124" t="s">
        <v>163</v>
      </c>
      <c r="O1124" t="s">
        <v>61</v>
      </c>
      <c r="Q1124">
        <v>670276883</v>
      </c>
      <c r="R1124" t="s">
        <v>9027</v>
      </c>
      <c r="S1124" t="s">
        <v>63</v>
      </c>
      <c r="T1124" t="s">
        <v>64</v>
      </c>
      <c r="U1124" t="s">
        <v>65</v>
      </c>
      <c r="W1124" s="26">
        <v>45550</v>
      </c>
      <c r="X1124" t="s">
        <v>61</v>
      </c>
      <c r="Y1124" t="s">
        <v>237</v>
      </c>
    </row>
    <row r="1125" spans="1:25" x14ac:dyDescent="0.25">
      <c r="A1125" t="s">
        <v>4053</v>
      </c>
      <c r="B1125">
        <v>11</v>
      </c>
      <c r="C1125">
        <v>95</v>
      </c>
      <c r="D1125">
        <v>9069</v>
      </c>
      <c r="E1125" t="s">
        <v>129</v>
      </c>
      <c r="F1125" t="s">
        <v>154</v>
      </c>
      <c r="G1125" t="s">
        <v>4054</v>
      </c>
      <c r="H1125" s="26">
        <v>21656</v>
      </c>
      <c r="I1125" t="s">
        <v>58</v>
      </c>
      <c r="J1125" t="s">
        <v>4055</v>
      </c>
      <c r="M1125">
        <v>95130</v>
      </c>
      <c r="N1125" t="s">
        <v>878</v>
      </c>
      <c r="O1125" t="s">
        <v>61</v>
      </c>
      <c r="P1125">
        <v>665065023</v>
      </c>
      <c r="R1125" t="s">
        <v>4056</v>
      </c>
      <c r="S1125" t="s">
        <v>63</v>
      </c>
      <c r="T1125" t="s">
        <v>64</v>
      </c>
      <c r="U1125" t="s">
        <v>65</v>
      </c>
      <c r="W1125" s="26">
        <v>45552</v>
      </c>
      <c r="X1125" t="s">
        <v>61</v>
      </c>
      <c r="Y1125" t="s">
        <v>237</v>
      </c>
    </row>
    <row r="1126" spans="1:25" x14ac:dyDescent="0.25">
      <c r="A1126" t="s">
        <v>4057</v>
      </c>
      <c r="B1126">
        <v>11</v>
      </c>
      <c r="C1126">
        <v>94</v>
      </c>
      <c r="D1126">
        <v>9031</v>
      </c>
      <c r="E1126" t="s">
        <v>7</v>
      </c>
      <c r="F1126" t="s">
        <v>1178</v>
      </c>
      <c r="G1126" t="s">
        <v>4058</v>
      </c>
      <c r="H1126" s="26">
        <v>19919</v>
      </c>
      <c r="I1126" t="s">
        <v>58</v>
      </c>
      <c r="J1126" t="s">
        <v>4059</v>
      </c>
      <c r="M1126">
        <v>75020</v>
      </c>
      <c r="N1126" t="s">
        <v>330</v>
      </c>
      <c r="O1126" t="s">
        <v>61</v>
      </c>
      <c r="Q1126">
        <v>608986570</v>
      </c>
      <c r="R1126" t="s">
        <v>4060</v>
      </c>
      <c r="S1126" t="s">
        <v>63</v>
      </c>
      <c r="T1126" t="s">
        <v>64</v>
      </c>
      <c r="U1126" t="s">
        <v>65</v>
      </c>
      <c r="W1126" s="26">
        <v>45525</v>
      </c>
      <c r="X1126" t="s">
        <v>61</v>
      </c>
      <c r="Y1126" t="s">
        <v>237</v>
      </c>
    </row>
    <row r="1127" spans="1:25" x14ac:dyDescent="0.25">
      <c r="A1127" t="s">
        <v>4061</v>
      </c>
      <c r="B1127">
        <v>11</v>
      </c>
      <c r="C1127">
        <v>94</v>
      </c>
      <c r="D1127">
        <v>9024</v>
      </c>
      <c r="E1127" t="s">
        <v>4</v>
      </c>
      <c r="F1127" t="s">
        <v>1282</v>
      </c>
      <c r="G1127" t="s">
        <v>3313</v>
      </c>
      <c r="H1127" s="26">
        <v>32556</v>
      </c>
      <c r="I1127" t="s">
        <v>58</v>
      </c>
      <c r="J1127" t="s">
        <v>4062</v>
      </c>
      <c r="K1127" t="s">
        <v>4063</v>
      </c>
      <c r="M1127">
        <v>93100</v>
      </c>
      <c r="N1127" t="s">
        <v>3132</v>
      </c>
      <c r="O1127" t="s">
        <v>61</v>
      </c>
      <c r="Q1127">
        <v>645960909</v>
      </c>
      <c r="R1127" t="s">
        <v>4064</v>
      </c>
      <c r="S1127" t="s">
        <v>63</v>
      </c>
      <c r="T1127" t="s">
        <v>64</v>
      </c>
      <c r="U1127" t="s">
        <v>8684</v>
      </c>
      <c r="W1127" s="26">
        <v>45541</v>
      </c>
      <c r="X1127" t="s">
        <v>61</v>
      </c>
      <c r="Y1127" t="s">
        <v>237</v>
      </c>
    </row>
    <row r="1128" spans="1:25" x14ac:dyDescent="0.25">
      <c r="A1128" t="s">
        <v>9028</v>
      </c>
      <c r="B1128">
        <v>11</v>
      </c>
      <c r="C1128">
        <v>78</v>
      </c>
      <c r="D1128">
        <v>9130</v>
      </c>
      <c r="E1128" t="s">
        <v>1159</v>
      </c>
      <c r="F1128" t="s">
        <v>2409</v>
      </c>
      <c r="G1128" t="s">
        <v>9007</v>
      </c>
      <c r="H1128" s="26">
        <v>38635</v>
      </c>
      <c r="I1128" t="s">
        <v>58</v>
      </c>
      <c r="J1128" t="s">
        <v>3759</v>
      </c>
      <c r="M1128">
        <v>78570</v>
      </c>
      <c r="N1128" t="s">
        <v>1568</v>
      </c>
      <c r="O1128" t="s">
        <v>61</v>
      </c>
      <c r="Q1128">
        <v>768927246</v>
      </c>
      <c r="S1128" t="s">
        <v>63</v>
      </c>
      <c r="T1128" t="s">
        <v>2510</v>
      </c>
      <c r="U1128" t="s">
        <v>486</v>
      </c>
      <c r="W1128" s="26">
        <v>45533</v>
      </c>
      <c r="X1128" t="s">
        <v>61</v>
      </c>
      <c r="Y1128" t="s">
        <v>237</v>
      </c>
    </row>
    <row r="1129" spans="1:25" x14ac:dyDescent="0.25">
      <c r="A1129" t="s">
        <v>4065</v>
      </c>
      <c r="B1129">
        <v>11</v>
      </c>
      <c r="C1129">
        <v>95</v>
      </c>
      <c r="D1129">
        <v>9061</v>
      </c>
      <c r="E1129" t="s">
        <v>360</v>
      </c>
      <c r="F1129" t="s">
        <v>91</v>
      </c>
      <c r="G1129" t="s">
        <v>1215</v>
      </c>
      <c r="H1129" s="26">
        <v>21394</v>
      </c>
      <c r="I1129" t="s">
        <v>58</v>
      </c>
      <c r="J1129" t="s">
        <v>4066</v>
      </c>
      <c r="M1129">
        <v>95420</v>
      </c>
      <c r="N1129" t="s">
        <v>4067</v>
      </c>
      <c r="O1129" t="s">
        <v>61</v>
      </c>
      <c r="Q1129">
        <v>671918439</v>
      </c>
      <c r="R1129" t="s">
        <v>9029</v>
      </c>
      <c r="S1129" t="s">
        <v>63</v>
      </c>
      <c r="T1129" t="s">
        <v>64</v>
      </c>
      <c r="U1129" t="s">
        <v>65</v>
      </c>
      <c r="W1129" s="26">
        <v>45545</v>
      </c>
      <c r="X1129" t="s">
        <v>61</v>
      </c>
      <c r="Y1129" t="s">
        <v>237</v>
      </c>
    </row>
    <row r="1130" spans="1:25" x14ac:dyDescent="0.25">
      <c r="A1130" t="s">
        <v>4068</v>
      </c>
      <c r="B1130">
        <v>11</v>
      </c>
      <c r="C1130">
        <v>95</v>
      </c>
      <c r="D1130">
        <v>9069</v>
      </c>
      <c r="E1130" t="s">
        <v>129</v>
      </c>
      <c r="F1130" t="s">
        <v>4069</v>
      </c>
      <c r="G1130" t="s">
        <v>1912</v>
      </c>
      <c r="H1130" s="26">
        <v>28861</v>
      </c>
      <c r="I1130" t="s">
        <v>58</v>
      </c>
      <c r="J1130" t="s">
        <v>4070</v>
      </c>
      <c r="M1130">
        <v>95130</v>
      </c>
      <c r="N1130" t="s">
        <v>878</v>
      </c>
      <c r="O1130" t="s">
        <v>61</v>
      </c>
      <c r="Q1130">
        <v>612165741</v>
      </c>
      <c r="R1130" t="s">
        <v>4071</v>
      </c>
      <c r="S1130" t="s">
        <v>63</v>
      </c>
      <c r="T1130" t="s">
        <v>64</v>
      </c>
      <c r="U1130" t="s">
        <v>8684</v>
      </c>
      <c r="W1130" s="26">
        <v>45538</v>
      </c>
      <c r="X1130" t="s">
        <v>61</v>
      </c>
      <c r="Y1130" t="s">
        <v>237</v>
      </c>
    </row>
    <row r="1131" spans="1:25" x14ac:dyDescent="0.25">
      <c r="A1131" t="s">
        <v>4072</v>
      </c>
      <c r="B1131">
        <v>11</v>
      </c>
      <c r="C1131">
        <v>95</v>
      </c>
      <c r="D1131">
        <v>9033</v>
      </c>
      <c r="E1131" t="s">
        <v>500</v>
      </c>
      <c r="F1131" t="s">
        <v>472</v>
      </c>
      <c r="G1131" t="s">
        <v>4073</v>
      </c>
      <c r="H1131" s="26">
        <v>23197</v>
      </c>
      <c r="I1131" t="s">
        <v>58</v>
      </c>
      <c r="J1131" t="s">
        <v>4074</v>
      </c>
      <c r="M1131">
        <v>92600</v>
      </c>
      <c r="N1131" t="s">
        <v>3378</v>
      </c>
      <c r="O1131" t="s">
        <v>61</v>
      </c>
      <c r="Q1131">
        <v>662302472</v>
      </c>
      <c r="R1131" t="s">
        <v>4075</v>
      </c>
      <c r="S1131" t="s">
        <v>237</v>
      </c>
      <c r="T1131" t="s">
        <v>64</v>
      </c>
      <c r="U1131" t="s">
        <v>65</v>
      </c>
      <c r="W1131" s="26">
        <v>45549</v>
      </c>
      <c r="X1131" t="s">
        <v>61</v>
      </c>
      <c r="Y1131" t="s">
        <v>237</v>
      </c>
    </row>
    <row r="1132" spans="1:25" x14ac:dyDescent="0.25">
      <c r="A1132" t="s">
        <v>4076</v>
      </c>
      <c r="B1132">
        <v>11</v>
      </c>
      <c r="C1132">
        <v>95</v>
      </c>
      <c r="D1132">
        <v>9033</v>
      </c>
      <c r="E1132" t="s">
        <v>500</v>
      </c>
      <c r="F1132" t="s">
        <v>3659</v>
      </c>
      <c r="G1132" t="s">
        <v>4077</v>
      </c>
      <c r="H1132" s="26">
        <v>22192</v>
      </c>
      <c r="I1132" t="s">
        <v>58</v>
      </c>
      <c r="J1132" t="s">
        <v>4078</v>
      </c>
      <c r="M1132">
        <v>95500</v>
      </c>
      <c r="N1132" t="s">
        <v>2024</v>
      </c>
      <c r="O1132" t="s">
        <v>61</v>
      </c>
      <c r="Q1132">
        <v>664744610</v>
      </c>
      <c r="R1132" t="s">
        <v>4079</v>
      </c>
      <c r="S1132" t="s">
        <v>63</v>
      </c>
      <c r="T1132" t="s">
        <v>64</v>
      </c>
      <c r="U1132" t="s">
        <v>65</v>
      </c>
      <c r="W1132" s="26">
        <v>45549</v>
      </c>
      <c r="X1132" t="s">
        <v>61</v>
      </c>
      <c r="Y1132" t="s">
        <v>237</v>
      </c>
    </row>
    <row r="1133" spans="1:25" x14ac:dyDescent="0.25">
      <c r="A1133" t="s">
        <v>11287</v>
      </c>
      <c r="B1133">
        <v>11</v>
      </c>
      <c r="C1133">
        <v>94</v>
      </c>
      <c r="D1133">
        <v>9031</v>
      </c>
      <c r="E1133" t="s">
        <v>7</v>
      </c>
      <c r="F1133" t="s">
        <v>11288</v>
      </c>
      <c r="G1133" t="s">
        <v>11289</v>
      </c>
      <c r="H1133" s="26">
        <v>24722</v>
      </c>
      <c r="I1133" t="s">
        <v>58</v>
      </c>
      <c r="J1133" t="s">
        <v>11290</v>
      </c>
      <c r="M1133">
        <v>97000</v>
      </c>
      <c r="N1133" t="s">
        <v>277</v>
      </c>
      <c r="O1133" t="s">
        <v>61</v>
      </c>
      <c r="Q1133">
        <v>607012671</v>
      </c>
      <c r="R1133" t="s">
        <v>11291</v>
      </c>
      <c r="S1133" t="s">
        <v>63</v>
      </c>
      <c r="T1133" t="s">
        <v>64</v>
      </c>
      <c r="U1133" t="s">
        <v>65</v>
      </c>
      <c r="W1133" s="26">
        <v>45590</v>
      </c>
      <c r="X1133" t="s">
        <v>61</v>
      </c>
      <c r="Y1133" t="s">
        <v>237</v>
      </c>
    </row>
    <row r="1134" spans="1:25" x14ac:dyDescent="0.25">
      <c r="A1134" t="s">
        <v>10772</v>
      </c>
      <c r="B1134">
        <v>11</v>
      </c>
      <c r="C1134">
        <v>94</v>
      </c>
      <c r="D1134">
        <v>9031</v>
      </c>
      <c r="E1134" t="s">
        <v>7</v>
      </c>
      <c r="F1134" t="s">
        <v>816</v>
      </c>
      <c r="G1134" t="s">
        <v>10773</v>
      </c>
      <c r="H1134" s="26">
        <v>23797</v>
      </c>
      <c r="I1134" t="s">
        <v>58</v>
      </c>
      <c r="J1134" t="s">
        <v>10774</v>
      </c>
      <c r="M1134">
        <v>94300</v>
      </c>
      <c r="N1134" t="s">
        <v>838</v>
      </c>
      <c r="O1134" t="s">
        <v>61</v>
      </c>
      <c r="Q1134">
        <v>641940610</v>
      </c>
      <c r="R1134" t="s">
        <v>10775</v>
      </c>
      <c r="S1134" t="s">
        <v>63</v>
      </c>
      <c r="T1134" t="s">
        <v>64</v>
      </c>
      <c r="U1134" t="s">
        <v>65</v>
      </c>
      <c r="W1134" s="26">
        <v>45578</v>
      </c>
      <c r="X1134" t="s">
        <v>61</v>
      </c>
      <c r="Y1134" t="s">
        <v>237</v>
      </c>
    </row>
    <row r="1135" spans="1:25" x14ac:dyDescent="0.25">
      <c r="A1135" t="s">
        <v>10776</v>
      </c>
      <c r="B1135">
        <v>11</v>
      </c>
      <c r="C1135">
        <v>78</v>
      </c>
      <c r="D1135">
        <v>9056</v>
      </c>
      <c r="E1135" t="s">
        <v>214</v>
      </c>
      <c r="F1135" t="s">
        <v>10777</v>
      </c>
      <c r="G1135" t="s">
        <v>10778</v>
      </c>
      <c r="H1135" s="26">
        <v>19705</v>
      </c>
      <c r="I1135" t="s">
        <v>58</v>
      </c>
      <c r="J1135" t="s">
        <v>10779</v>
      </c>
      <c r="M1135">
        <v>91370</v>
      </c>
      <c r="N1135" t="s">
        <v>10780</v>
      </c>
      <c r="O1135" t="s">
        <v>61</v>
      </c>
      <c r="Q1135">
        <v>68578449</v>
      </c>
      <c r="R1135" t="s">
        <v>10781</v>
      </c>
      <c r="S1135" t="s">
        <v>63</v>
      </c>
      <c r="T1135" t="s">
        <v>64</v>
      </c>
      <c r="U1135" t="s">
        <v>65</v>
      </c>
      <c r="W1135" s="26">
        <v>45575</v>
      </c>
      <c r="X1135" t="s">
        <v>61</v>
      </c>
      <c r="Y1135" t="s">
        <v>237</v>
      </c>
    </row>
    <row r="1136" spans="1:25" x14ac:dyDescent="0.25">
      <c r="A1136" t="s">
        <v>10782</v>
      </c>
      <c r="B1136">
        <v>11</v>
      </c>
      <c r="C1136">
        <v>95</v>
      </c>
      <c r="D1136">
        <v>9010</v>
      </c>
      <c r="E1136" t="s">
        <v>6</v>
      </c>
      <c r="F1136" t="s">
        <v>10783</v>
      </c>
      <c r="G1136" t="s">
        <v>2069</v>
      </c>
      <c r="H1136" s="26">
        <v>21813</v>
      </c>
      <c r="I1136" t="s">
        <v>58</v>
      </c>
      <c r="J1136" t="s">
        <v>10784</v>
      </c>
      <c r="M1136">
        <v>95000</v>
      </c>
      <c r="N1136" t="s">
        <v>77</v>
      </c>
      <c r="O1136" t="s">
        <v>61</v>
      </c>
      <c r="R1136" t="s">
        <v>10785</v>
      </c>
      <c r="S1136" t="s">
        <v>63</v>
      </c>
      <c r="T1136" t="s">
        <v>64</v>
      </c>
      <c r="U1136" t="s">
        <v>65</v>
      </c>
      <c r="W1136" s="26">
        <v>45574</v>
      </c>
      <c r="X1136" t="s">
        <v>61</v>
      </c>
      <c r="Y1136" t="s">
        <v>237</v>
      </c>
    </row>
    <row r="1137" spans="1:25" x14ac:dyDescent="0.25">
      <c r="A1137" t="s">
        <v>4080</v>
      </c>
      <c r="B1137">
        <v>11</v>
      </c>
      <c r="C1137">
        <v>95</v>
      </c>
      <c r="D1137">
        <v>9069</v>
      </c>
      <c r="E1137" t="s">
        <v>129</v>
      </c>
      <c r="F1137" t="s">
        <v>4081</v>
      </c>
      <c r="G1137" t="s">
        <v>4082</v>
      </c>
      <c r="H1137" s="26">
        <v>28491</v>
      </c>
      <c r="I1137" t="s">
        <v>58</v>
      </c>
      <c r="J1137" t="s">
        <v>4083</v>
      </c>
      <c r="M1137">
        <v>95570</v>
      </c>
      <c r="N1137" t="s">
        <v>4020</v>
      </c>
      <c r="O1137" t="s">
        <v>61</v>
      </c>
      <c r="Q1137">
        <v>623718702</v>
      </c>
      <c r="R1137" t="s">
        <v>4084</v>
      </c>
      <c r="S1137" t="s">
        <v>63</v>
      </c>
      <c r="T1137" t="s">
        <v>64</v>
      </c>
      <c r="U1137" t="s">
        <v>65</v>
      </c>
      <c r="W1137" s="26">
        <v>45542</v>
      </c>
      <c r="X1137" t="s">
        <v>61</v>
      </c>
      <c r="Y1137" t="s">
        <v>237</v>
      </c>
    </row>
    <row r="1138" spans="1:25" x14ac:dyDescent="0.25">
      <c r="A1138" t="s">
        <v>4085</v>
      </c>
      <c r="B1138">
        <v>11</v>
      </c>
      <c r="C1138">
        <v>91</v>
      </c>
      <c r="D1138">
        <v>9095</v>
      </c>
      <c r="E1138" t="s">
        <v>113</v>
      </c>
      <c r="F1138" t="s">
        <v>2652</v>
      </c>
      <c r="G1138" t="s">
        <v>4086</v>
      </c>
      <c r="H1138" s="26">
        <v>24337</v>
      </c>
      <c r="I1138" t="s">
        <v>16</v>
      </c>
      <c r="J1138" t="s">
        <v>4087</v>
      </c>
      <c r="M1138">
        <v>91620</v>
      </c>
      <c r="N1138" t="s">
        <v>4088</v>
      </c>
      <c r="O1138" t="s">
        <v>61</v>
      </c>
      <c r="Q1138">
        <v>610150618</v>
      </c>
      <c r="R1138" t="s">
        <v>4089</v>
      </c>
      <c r="S1138" t="s">
        <v>63</v>
      </c>
      <c r="T1138" t="s">
        <v>64</v>
      </c>
      <c r="U1138" t="s">
        <v>65</v>
      </c>
      <c r="W1138" s="26">
        <v>45555</v>
      </c>
      <c r="X1138" t="s">
        <v>61</v>
      </c>
      <c r="Y1138" t="s">
        <v>237</v>
      </c>
    </row>
    <row r="1139" spans="1:25" x14ac:dyDescent="0.25">
      <c r="A1139" t="s">
        <v>4090</v>
      </c>
      <c r="B1139">
        <v>11</v>
      </c>
      <c r="C1139">
        <v>91</v>
      </c>
      <c r="D1139">
        <v>9025</v>
      </c>
      <c r="E1139" t="s">
        <v>188</v>
      </c>
      <c r="F1139" t="s">
        <v>4091</v>
      </c>
      <c r="G1139" t="s">
        <v>4092</v>
      </c>
      <c r="H1139" s="26">
        <v>29791</v>
      </c>
      <c r="I1139" t="s">
        <v>58</v>
      </c>
      <c r="J1139" t="s">
        <v>4093</v>
      </c>
      <c r="M1139">
        <v>91800</v>
      </c>
      <c r="N1139" t="s">
        <v>4094</v>
      </c>
      <c r="O1139" t="s">
        <v>61</v>
      </c>
      <c r="Q1139">
        <v>666445956</v>
      </c>
      <c r="R1139" t="s">
        <v>4095</v>
      </c>
      <c r="S1139" t="s">
        <v>63</v>
      </c>
      <c r="T1139" t="s">
        <v>64</v>
      </c>
      <c r="U1139" t="s">
        <v>486</v>
      </c>
      <c r="W1139" s="26">
        <v>45552</v>
      </c>
      <c r="X1139" t="s">
        <v>61</v>
      </c>
      <c r="Y1139" t="s">
        <v>237</v>
      </c>
    </row>
    <row r="1140" spans="1:25" x14ac:dyDescent="0.25">
      <c r="A1140" t="s">
        <v>4096</v>
      </c>
      <c r="B1140">
        <v>11</v>
      </c>
      <c r="C1140">
        <v>91</v>
      </c>
      <c r="D1140">
        <v>9096</v>
      </c>
      <c r="E1140" t="s">
        <v>526</v>
      </c>
      <c r="F1140" t="s">
        <v>289</v>
      </c>
      <c r="G1140" t="s">
        <v>4097</v>
      </c>
      <c r="H1140" s="26">
        <v>17589</v>
      </c>
      <c r="I1140" t="s">
        <v>58</v>
      </c>
      <c r="J1140" t="s">
        <v>4098</v>
      </c>
      <c r="M1140">
        <v>91510</v>
      </c>
      <c r="N1140" t="s">
        <v>3056</v>
      </c>
      <c r="O1140" t="s">
        <v>61</v>
      </c>
      <c r="Q1140">
        <v>683146139</v>
      </c>
      <c r="R1140" t="s">
        <v>4099</v>
      </c>
      <c r="S1140" t="s">
        <v>63</v>
      </c>
      <c r="T1140" t="s">
        <v>64</v>
      </c>
      <c r="U1140" t="s">
        <v>65</v>
      </c>
      <c r="W1140" s="26">
        <v>45546</v>
      </c>
      <c r="X1140" t="s">
        <v>61</v>
      </c>
      <c r="Y1140" t="s">
        <v>237</v>
      </c>
    </row>
    <row r="1141" spans="1:25" x14ac:dyDescent="0.25">
      <c r="A1141" t="s">
        <v>10157</v>
      </c>
      <c r="B1141">
        <v>11</v>
      </c>
      <c r="C1141">
        <v>78</v>
      </c>
      <c r="D1141">
        <v>9038</v>
      </c>
      <c r="E1141" t="s">
        <v>484</v>
      </c>
      <c r="F1141" t="s">
        <v>927</v>
      </c>
      <c r="G1141" t="s">
        <v>10158</v>
      </c>
      <c r="H1141" s="26">
        <v>21083</v>
      </c>
      <c r="I1141" t="s">
        <v>58</v>
      </c>
      <c r="J1141" t="s">
        <v>10159</v>
      </c>
      <c r="M1141">
        <v>78260</v>
      </c>
      <c r="N1141" t="s">
        <v>1691</v>
      </c>
      <c r="O1141" t="s">
        <v>61</v>
      </c>
      <c r="Q1141">
        <v>683660694</v>
      </c>
      <c r="R1141" t="s">
        <v>10160</v>
      </c>
      <c r="S1141" t="s">
        <v>63</v>
      </c>
      <c r="T1141" t="s">
        <v>64</v>
      </c>
      <c r="U1141" t="s">
        <v>65</v>
      </c>
      <c r="W1141" s="26">
        <v>45567</v>
      </c>
      <c r="X1141" t="s">
        <v>4100</v>
      </c>
      <c r="Y1141" t="s">
        <v>237</v>
      </c>
    </row>
    <row r="1142" spans="1:25" x14ac:dyDescent="0.25">
      <c r="A1142" t="s">
        <v>10786</v>
      </c>
      <c r="B1142">
        <v>11</v>
      </c>
      <c r="C1142">
        <v>95</v>
      </c>
      <c r="D1142">
        <v>9010</v>
      </c>
      <c r="E1142" t="s">
        <v>6</v>
      </c>
      <c r="F1142" t="s">
        <v>297</v>
      </c>
      <c r="G1142" t="s">
        <v>10787</v>
      </c>
      <c r="H1142" s="26">
        <v>26029</v>
      </c>
      <c r="I1142" t="s">
        <v>58</v>
      </c>
      <c r="J1142" t="s">
        <v>10788</v>
      </c>
      <c r="M1142">
        <v>78800</v>
      </c>
      <c r="N1142" t="s">
        <v>1472</v>
      </c>
      <c r="O1142" t="s">
        <v>61</v>
      </c>
      <c r="R1142" t="s">
        <v>10789</v>
      </c>
      <c r="S1142" t="s">
        <v>63</v>
      </c>
      <c r="T1142" t="s">
        <v>64</v>
      </c>
      <c r="U1142" t="s">
        <v>65</v>
      </c>
      <c r="W1142" s="26">
        <v>45574</v>
      </c>
      <c r="X1142" t="s">
        <v>61</v>
      </c>
      <c r="Y1142" t="s">
        <v>237</v>
      </c>
    </row>
    <row r="1143" spans="1:25" x14ac:dyDescent="0.25">
      <c r="A1143" t="s">
        <v>4101</v>
      </c>
      <c r="B1143">
        <v>11</v>
      </c>
      <c r="C1143">
        <v>94</v>
      </c>
      <c r="D1143">
        <v>9031</v>
      </c>
      <c r="E1143" t="s">
        <v>7</v>
      </c>
      <c r="F1143" t="s">
        <v>289</v>
      </c>
      <c r="G1143" t="s">
        <v>4102</v>
      </c>
      <c r="H1143" s="26">
        <v>18981</v>
      </c>
      <c r="I1143" t="s">
        <v>58</v>
      </c>
      <c r="J1143" t="s">
        <v>4103</v>
      </c>
      <c r="M1143">
        <v>94220</v>
      </c>
      <c r="N1143" t="s">
        <v>889</v>
      </c>
      <c r="O1143" t="s">
        <v>61</v>
      </c>
      <c r="Q1143">
        <v>607304296</v>
      </c>
      <c r="R1143" t="s">
        <v>9030</v>
      </c>
      <c r="S1143" t="s">
        <v>63</v>
      </c>
      <c r="T1143" t="s">
        <v>64</v>
      </c>
      <c r="U1143" t="s">
        <v>65</v>
      </c>
      <c r="W1143" s="26">
        <v>45558</v>
      </c>
      <c r="X1143" t="s">
        <v>61</v>
      </c>
      <c r="Y1143" t="s">
        <v>237</v>
      </c>
    </row>
    <row r="1144" spans="1:25" x14ac:dyDescent="0.25">
      <c r="A1144" t="s">
        <v>4104</v>
      </c>
      <c r="B1144">
        <v>11</v>
      </c>
      <c r="C1144">
        <v>93</v>
      </c>
      <c r="D1144">
        <v>9122</v>
      </c>
      <c r="E1144" t="s">
        <v>1030</v>
      </c>
      <c r="F1144" t="s">
        <v>312</v>
      </c>
      <c r="G1144" t="s">
        <v>4105</v>
      </c>
      <c r="H1144" s="26">
        <v>20557</v>
      </c>
      <c r="I1144" t="s">
        <v>58</v>
      </c>
      <c r="J1144" t="s">
        <v>4106</v>
      </c>
      <c r="K1144" t="s">
        <v>4107</v>
      </c>
      <c r="M1144">
        <v>93220</v>
      </c>
      <c r="N1144" t="s">
        <v>662</v>
      </c>
      <c r="O1144" t="s">
        <v>61</v>
      </c>
      <c r="Q1144">
        <v>675776970</v>
      </c>
      <c r="S1144" t="s">
        <v>63</v>
      </c>
      <c r="T1144" t="s">
        <v>64</v>
      </c>
      <c r="U1144" t="s">
        <v>8684</v>
      </c>
      <c r="W1144" s="26">
        <v>45563</v>
      </c>
      <c r="X1144" t="s">
        <v>61</v>
      </c>
      <c r="Y1144" t="s">
        <v>237</v>
      </c>
    </row>
    <row r="1145" spans="1:25" x14ac:dyDescent="0.25">
      <c r="A1145" t="s">
        <v>4108</v>
      </c>
      <c r="B1145">
        <v>11</v>
      </c>
      <c r="C1145">
        <v>78</v>
      </c>
      <c r="D1145">
        <v>9130</v>
      </c>
      <c r="E1145" t="s">
        <v>1159</v>
      </c>
      <c r="F1145" t="s">
        <v>4109</v>
      </c>
      <c r="G1145" t="s">
        <v>4110</v>
      </c>
      <c r="H1145" s="26">
        <v>33323</v>
      </c>
      <c r="I1145" t="s">
        <v>16</v>
      </c>
      <c r="J1145" t="s">
        <v>4111</v>
      </c>
      <c r="M1145">
        <v>78160</v>
      </c>
      <c r="N1145" t="s">
        <v>1258</v>
      </c>
      <c r="O1145" t="s">
        <v>61</v>
      </c>
      <c r="R1145" t="s">
        <v>4112</v>
      </c>
      <c r="S1145" t="s">
        <v>63</v>
      </c>
      <c r="T1145" t="s">
        <v>64</v>
      </c>
      <c r="U1145" t="s">
        <v>486</v>
      </c>
      <c r="W1145" s="26">
        <v>45532</v>
      </c>
      <c r="X1145" t="s">
        <v>61</v>
      </c>
      <c r="Y1145" t="s">
        <v>237</v>
      </c>
    </row>
    <row r="1146" spans="1:25" x14ac:dyDescent="0.25">
      <c r="A1146" t="s">
        <v>4113</v>
      </c>
      <c r="B1146">
        <v>11</v>
      </c>
      <c r="C1146">
        <v>95</v>
      </c>
      <c r="D1146">
        <v>9069</v>
      </c>
      <c r="E1146" t="s">
        <v>129</v>
      </c>
      <c r="F1146" t="s">
        <v>4114</v>
      </c>
      <c r="G1146" t="s">
        <v>2069</v>
      </c>
      <c r="H1146" s="26">
        <v>26557</v>
      </c>
      <c r="I1146" t="s">
        <v>58</v>
      </c>
      <c r="J1146" t="s">
        <v>4115</v>
      </c>
      <c r="M1146">
        <v>75020</v>
      </c>
      <c r="N1146" t="s">
        <v>330</v>
      </c>
      <c r="O1146" t="s">
        <v>61</v>
      </c>
      <c r="Q1146">
        <v>619735365</v>
      </c>
      <c r="R1146" t="s">
        <v>4116</v>
      </c>
      <c r="S1146" t="s">
        <v>63</v>
      </c>
      <c r="T1146" t="s">
        <v>64</v>
      </c>
      <c r="U1146" t="s">
        <v>65</v>
      </c>
      <c r="W1146" s="26">
        <v>45537</v>
      </c>
      <c r="X1146" t="s">
        <v>61</v>
      </c>
      <c r="Y1146" t="s">
        <v>237</v>
      </c>
    </row>
    <row r="1147" spans="1:25" x14ac:dyDescent="0.25">
      <c r="A1147" t="s">
        <v>9031</v>
      </c>
      <c r="B1147">
        <v>11</v>
      </c>
      <c r="C1147">
        <v>92</v>
      </c>
      <c r="D1147">
        <v>9065</v>
      </c>
      <c r="E1147" t="s">
        <v>426</v>
      </c>
      <c r="F1147" t="s">
        <v>9032</v>
      </c>
      <c r="G1147" t="s">
        <v>9033</v>
      </c>
      <c r="H1147" s="26">
        <v>35611</v>
      </c>
      <c r="I1147" t="s">
        <v>16</v>
      </c>
      <c r="J1147" t="s">
        <v>9034</v>
      </c>
      <c r="M1147">
        <v>91750</v>
      </c>
      <c r="N1147" t="s">
        <v>9035</v>
      </c>
      <c r="O1147" t="s">
        <v>61</v>
      </c>
      <c r="Q1147">
        <v>649603055</v>
      </c>
      <c r="R1147" t="s">
        <v>9036</v>
      </c>
      <c r="S1147" t="s">
        <v>63</v>
      </c>
      <c r="T1147" t="s">
        <v>64</v>
      </c>
      <c r="U1147" t="s">
        <v>486</v>
      </c>
      <c r="W1147" s="26">
        <v>45544</v>
      </c>
      <c r="X1147" t="s">
        <v>61</v>
      </c>
      <c r="Y1147" t="s">
        <v>237</v>
      </c>
    </row>
    <row r="1148" spans="1:25" x14ac:dyDescent="0.25">
      <c r="A1148" t="s">
        <v>4117</v>
      </c>
      <c r="B1148">
        <v>11</v>
      </c>
      <c r="C1148">
        <v>78</v>
      </c>
      <c r="D1148">
        <v>9052</v>
      </c>
      <c r="E1148" t="s">
        <v>337</v>
      </c>
      <c r="F1148" t="s">
        <v>289</v>
      </c>
      <c r="G1148" t="s">
        <v>1286</v>
      </c>
      <c r="H1148" s="26">
        <v>18514</v>
      </c>
      <c r="I1148" t="s">
        <v>58</v>
      </c>
      <c r="J1148" t="s">
        <v>4118</v>
      </c>
      <c r="M1148">
        <v>78150</v>
      </c>
      <c r="N1148" t="s">
        <v>1846</v>
      </c>
      <c r="O1148" t="s">
        <v>61</v>
      </c>
      <c r="Q1148">
        <v>660493288</v>
      </c>
      <c r="R1148" t="s">
        <v>4119</v>
      </c>
      <c r="S1148" t="s">
        <v>63</v>
      </c>
      <c r="T1148" t="s">
        <v>64</v>
      </c>
      <c r="U1148" t="s">
        <v>65</v>
      </c>
      <c r="W1148" s="26">
        <v>45554</v>
      </c>
      <c r="X1148" t="s">
        <v>61</v>
      </c>
      <c r="Y1148" t="s">
        <v>237</v>
      </c>
    </row>
    <row r="1149" spans="1:25" x14ac:dyDescent="0.25">
      <c r="A1149" t="s">
        <v>4120</v>
      </c>
      <c r="B1149">
        <v>11</v>
      </c>
      <c r="C1149">
        <v>77</v>
      </c>
      <c r="D1149">
        <v>9049</v>
      </c>
      <c r="E1149" t="s">
        <v>902</v>
      </c>
      <c r="F1149" t="s">
        <v>4121</v>
      </c>
      <c r="G1149" t="s">
        <v>4122</v>
      </c>
      <c r="H1149" s="26">
        <v>39069</v>
      </c>
      <c r="I1149" t="s">
        <v>16</v>
      </c>
      <c r="J1149" t="s">
        <v>4123</v>
      </c>
      <c r="M1149">
        <v>77340</v>
      </c>
      <c r="N1149" t="s">
        <v>201</v>
      </c>
      <c r="O1149" t="s">
        <v>61</v>
      </c>
      <c r="Q1149">
        <v>619377302</v>
      </c>
      <c r="R1149" t="s">
        <v>4124</v>
      </c>
      <c r="S1149" t="s">
        <v>63</v>
      </c>
      <c r="T1149" t="s">
        <v>2510</v>
      </c>
      <c r="U1149" t="s">
        <v>8684</v>
      </c>
      <c r="W1149" s="26">
        <v>45530</v>
      </c>
      <c r="X1149" t="s">
        <v>61</v>
      </c>
      <c r="Y1149" t="s">
        <v>237</v>
      </c>
    </row>
    <row r="1150" spans="1:25" x14ac:dyDescent="0.25">
      <c r="A1150" t="s">
        <v>4125</v>
      </c>
      <c r="B1150">
        <v>11</v>
      </c>
      <c r="C1150">
        <v>77</v>
      </c>
      <c r="D1150">
        <v>9040</v>
      </c>
      <c r="E1150" t="s">
        <v>612</v>
      </c>
      <c r="F1150" t="s">
        <v>103</v>
      </c>
      <c r="G1150" t="s">
        <v>3309</v>
      </c>
      <c r="H1150" s="26">
        <v>22708</v>
      </c>
      <c r="I1150" t="s">
        <v>58</v>
      </c>
      <c r="J1150" t="s">
        <v>4126</v>
      </c>
      <c r="M1150">
        <v>91490</v>
      </c>
      <c r="N1150" t="s">
        <v>2918</v>
      </c>
      <c r="O1150" t="s">
        <v>61</v>
      </c>
      <c r="Q1150">
        <v>609900665</v>
      </c>
      <c r="R1150" t="s">
        <v>4127</v>
      </c>
      <c r="S1150" t="s">
        <v>63</v>
      </c>
      <c r="T1150" t="s">
        <v>64</v>
      </c>
      <c r="U1150" t="s">
        <v>65</v>
      </c>
      <c r="W1150" s="26">
        <v>45545</v>
      </c>
      <c r="X1150" t="s">
        <v>61</v>
      </c>
      <c r="Y1150" t="s">
        <v>237</v>
      </c>
    </row>
    <row r="1151" spans="1:25" x14ac:dyDescent="0.25">
      <c r="A1151" t="s">
        <v>9926</v>
      </c>
      <c r="B1151">
        <v>11</v>
      </c>
      <c r="C1151">
        <v>78</v>
      </c>
      <c r="D1151">
        <v>9038</v>
      </c>
      <c r="E1151" t="s">
        <v>484</v>
      </c>
      <c r="F1151" t="s">
        <v>551</v>
      </c>
      <c r="G1151" t="s">
        <v>9927</v>
      </c>
      <c r="H1151" s="26">
        <v>21130</v>
      </c>
      <c r="I1151" t="s">
        <v>58</v>
      </c>
      <c r="J1151" t="s">
        <v>9928</v>
      </c>
      <c r="M1151">
        <v>78700</v>
      </c>
      <c r="N1151" t="s">
        <v>273</v>
      </c>
      <c r="O1151" t="s">
        <v>61</v>
      </c>
      <c r="Q1151">
        <v>644376587</v>
      </c>
      <c r="R1151" t="s">
        <v>9929</v>
      </c>
      <c r="S1151" t="s">
        <v>63</v>
      </c>
      <c r="T1151" t="s">
        <v>64</v>
      </c>
      <c r="U1151" t="s">
        <v>65</v>
      </c>
      <c r="W1151" s="26">
        <v>45568</v>
      </c>
      <c r="X1151" t="s">
        <v>61</v>
      </c>
      <c r="Y1151" t="s">
        <v>237</v>
      </c>
    </row>
    <row r="1152" spans="1:25" x14ac:dyDescent="0.25">
      <c r="A1152" t="s">
        <v>4128</v>
      </c>
      <c r="B1152">
        <v>11</v>
      </c>
      <c r="C1152">
        <v>78</v>
      </c>
      <c r="D1152">
        <v>9030</v>
      </c>
      <c r="E1152" t="s">
        <v>96</v>
      </c>
      <c r="F1152" t="s">
        <v>1586</v>
      </c>
      <c r="G1152" t="s">
        <v>2988</v>
      </c>
      <c r="H1152" s="26">
        <v>33158</v>
      </c>
      <c r="I1152" t="s">
        <v>58</v>
      </c>
      <c r="J1152" t="s">
        <v>4129</v>
      </c>
      <c r="M1152">
        <v>92350</v>
      </c>
      <c r="N1152" t="s">
        <v>1394</v>
      </c>
      <c r="O1152" t="s">
        <v>61</v>
      </c>
      <c r="Q1152">
        <v>637937192</v>
      </c>
      <c r="R1152" t="s">
        <v>4130</v>
      </c>
      <c r="S1152" t="s">
        <v>63</v>
      </c>
      <c r="T1152" t="s">
        <v>64</v>
      </c>
      <c r="U1152" t="s">
        <v>65</v>
      </c>
      <c r="W1152" s="26">
        <v>45561</v>
      </c>
      <c r="X1152" t="s">
        <v>61</v>
      </c>
      <c r="Y1152" t="s">
        <v>237</v>
      </c>
    </row>
    <row r="1153" spans="1:25" x14ac:dyDescent="0.25">
      <c r="A1153" t="s">
        <v>10790</v>
      </c>
      <c r="B1153">
        <v>11</v>
      </c>
      <c r="C1153">
        <v>93</v>
      </c>
      <c r="D1153">
        <v>9060</v>
      </c>
      <c r="E1153" t="s">
        <v>203</v>
      </c>
      <c r="F1153" t="s">
        <v>154</v>
      </c>
      <c r="G1153" t="s">
        <v>10791</v>
      </c>
      <c r="H1153" s="26">
        <v>16794</v>
      </c>
      <c r="I1153" t="s">
        <v>58</v>
      </c>
      <c r="J1153" t="s">
        <v>10792</v>
      </c>
      <c r="M1153">
        <v>77410</v>
      </c>
      <c r="N1153" t="s">
        <v>10765</v>
      </c>
      <c r="O1153" t="s">
        <v>61</v>
      </c>
      <c r="P1153">
        <v>980470873</v>
      </c>
      <c r="Q1153">
        <v>652477915</v>
      </c>
      <c r="R1153" t="s">
        <v>10793</v>
      </c>
      <c r="S1153" t="s">
        <v>63</v>
      </c>
      <c r="T1153" t="s">
        <v>64</v>
      </c>
      <c r="U1153" t="s">
        <v>65</v>
      </c>
      <c r="W1153" s="26">
        <v>45576</v>
      </c>
      <c r="X1153" t="s">
        <v>61</v>
      </c>
      <c r="Y1153" t="s">
        <v>237</v>
      </c>
    </row>
    <row r="1154" spans="1:25" x14ac:dyDescent="0.25">
      <c r="A1154" t="s">
        <v>4131</v>
      </c>
      <c r="B1154">
        <v>11</v>
      </c>
      <c r="C1154">
        <v>78</v>
      </c>
      <c r="D1154">
        <v>9056</v>
      </c>
      <c r="E1154" t="s">
        <v>214</v>
      </c>
      <c r="F1154" t="s">
        <v>97</v>
      </c>
      <c r="G1154" t="s">
        <v>4132</v>
      </c>
      <c r="H1154" s="26">
        <v>19048</v>
      </c>
      <c r="I1154" t="s">
        <v>58</v>
      </c>
      <c r="J1154" t="s">
        <v>4133</v>
      </c>
      <c r="M1154">
        <v>78000</v>
      </c>
      <c r="N1154" t="s">
        <v>1334</v>
      </c>
      <c r="O1154" t="s">
        <v>61</v>
      </c>
      <c r="Q1154">
        <v>676933279</v>
      </c>
      <c r="R1154" t="s">
        <v>4134</v>
      </c>
      <c r="S1154" t="s">
        <v>63</v>
      </c>
      <c r="T1154" t="s">
        <v>64</v>
      </c>
      <c r="U1154" t="s">
        <v>65</v>
      </c>
      <c r="W1154" s="26">
        <v>45555</v>
      </c>
      <c r="X1154" t="s">
        <v>61</v>
      </c>
      <c r="Y1154" t="s">
        <v>237</v>
      </c>
    </row>
    <row r="1155" spans="1:25" x14ac:dyDescent="0.25">
      <c r="A1155" t="s">
        <v>4135</v>
      </c>
      <c r="B1155">
        <v>11</v>
      </c>
      <c r="C1155">
        <v>75</v>
      </c>
      <c r="D1155">
        <v>9070</v>
      </c>
      <c r="E1155" t="s">
        <v>168</v>
      </c>
      <c r="F1155" t="s">
        <v>4136</v>
      </c>
      <c r="G1155" t="s">
        <v>4137</v>
      </c>
      <c r="H1155" s="26">
        <v>37667</v>
      </c>
      <c r="I1155" t="s">
        <v>58</v>
      </c>
      <c r="J1155" t="s">
        <v>4138</v>
      </c>
      <c r="M1155">
        <v>94800</v>
      </c>
      <c r="N1155" t="s">
        <v>1227</v>
      </c>
      <c r="O1155" t="s">
        <v>61</v>
      </c>
      <c r="Q1155">
        <v>617224968</v>
      </c>
      <c r="R1155" t="s">
        <v>4139</v>
      </c>
      <c r="S1155" t="s">
        <v>63</v>
      </c>
      <c r="T1155" t="s">
        <v>64</v>
      </c>
      <c r="U1155" t="s">
        <v>8684</v>
      </c>
      <c r="W1155" s="26">
        <v>45533</v>
      </c>
      <c r="X1155" t="s">
        <v>4100</v>
      </c>
      <c r="Y1155" t="s">
        <v>237</v>
      </c>
    </row>
    <row r="1156" spans="1:25" x14ac:dyDescent="0.25">
      <c r="A1156" t="s">
        <v>4140</v>
      </c>
      <c r="B1156">
        <v>11</v>
      </c>
      <c r="C1156">
        <v>91</v>
      </c>
      <c r="D1156">
        <v>9064</v>
      </c>
      <c r="E1156" t="s">
        <v>266</v>
      </c>
      <c r="F1156" t="s">
        <v>1288</v>
      </c>
      <c r="G1156" t="s">
        <v>4141</v>
      </c>
      <c r="H1156" s="26">
        <v>21445</v>
      </c>
      <c r="I1156" t="s">
        <v>58</v>
      </c>
      <c r="J1156" t="s">
        <v>4142</v>
      </c>
      <c r="M1156">
        <v>91940</v>
      </c>
      <c r="N1156" t="s">
        <v>4143</v>
      </c>
      <c r="O1156" t="s">
        <v>61</v>
      </c>
      <c r="Q1156">
        <v>622728829</v>
      </c>
      <c r="R1156" t="s">
        <v>4144</v>
      </c>
      <c r="S1156" t="s">
        <v>63</v>
      </c>
      <c r="T1156" t="s">
        <v>64</v>
      </c>
      <c r="U1156" t="s">
        <v>65</v>
      </c>
      <c r="W1156" s="26">
        <v>45544</v>
      </c>
      <c r="X1156" t="s">
        <v>61</v>
      </c>
      <c r="Y1156" t="s">
        <v>237</v>
      </c>
    </row>
    <row r="1157" spans="1:25" x14ac:dyDescent="0.25">
      <c r="A1157" t="s">
        <v>9948</v>
      </c>
      <c r="B1157">
        <v>11</v>
      </c>
      <c r="C1157">
        <v>94</v>
      </c>
      <c r="D1157">
        <v>9024</v>
      </c>
      <c r="E1157" t="s">
        <v>4</v>
      </c>
      <c r="F1157" t="s">
        <v>103</v>
      </c>
      <c r="G1157" t="s">
        <v>9949</v>
      </c>
      <c r="H1157" s="26">
        <v>20467</v>
      </c>
      <c r="I1157" t="s">
        <v>58</v>
      </c>
      <c r="J1157" t="s">
        <v>9950</v>
      </c>
      <c r="M1157">
        <v>94370</v>
      </c>
      <c r="N1157" t="s">
        <v>60</v>
      </c>
      <c r="O1157" t="s">
        <v>61</v>
      </c>
      <c r="P1157">
        <v>156313863</v>
      </c>
      <c r="Q1157">
        <v>612239279</v>
      </c>
      <c r="R1157" t="s">
        <v>9951</v>
      </c>
      <c r="S1157" t="s">
        <v>63</v>
      </c>
      <c r="T1157" t="s">
        <v>64</v>
      </c>
      <c r="U1157" t="s">
        <v>65</v>
      </c>
      <c r="W1157" s="26">
        <v>45572</v>
      </c>
      <c r="X1157" t="s">
        <v>61</v>
      </c>
      <c r="Y1157" t="s">
        <v>237</v>
      </c>
    </row>
    <row r="1158" spans="1:25" x14ac:dyDescent="0.25">
      <c r="A1158" t="s">
        <v>4145</v>
      </c>
      <c r="B1158">
        <v>11</v>
      </c>
      <c r="C1158">
        <v>92</v>
      </c>
      <c r="D1158">
        <v>9088</v>
      </c>
      <c r="E1158" t="s">
        <v>1</v>
      </c>
      <c r="F1158" t="s">
        <v>555</v>
      </c>
      <c r="G1158" t="s">
        <v>2031</v>
      </c>
      <c r="H1158" s="26">
        <v>23226</v>
      </c>
      <c r="I1158" t="s">
        <v>58</v>
      </c>
      <c r="J1158" t="s">
        <v>330</v>
      </c>
      <c r="M1158" t="s">
        <v>4146</v>
      </c>
      <c r="N1158" t="s">
        <v>330</v>
      </c>
      <c r="O1158" t="s">
        <v>61</v>
      </c>
      <c r="P1158">
        <v>612259418</v>
      </c>
      <c r="R1158" t="s">
        <v>4147</v>
      </c>
      <c r="S1158" t="s">
        <v>63</v>
      </c>
      <c r="T1158" t="s">
        <v>64</v>
      </c>
      <c r="U1158" t="s">
        <v>65</v>
      </c>
      <c r="W1158" s="26">
        <v>45558</v>
      </c>
      <c r="X1158" t="s">
        <v>61</v>
      </c>
      <c r="Y1158" t="s">
        <v>237</v>
      </c>
    </row>
    <row r="1159" spans="1:25" x14ac:dyDescent="0.25">
      <c r="A1159" t="s">
        <v>10794</v>
      </c>
      <c r="B1159">
        <v>11</v>
      </c>
      <c r="C1159">
        <v>95</v>
      </c>
      <c r="D1159">
        <v>9010</v>
      </c>
      <c r="E1159" t="s">
        <v>6</v>
      </c>
      <c r="F1159" t="s">
        <v>143</v>
      </c>
      <c r="G1159" t="s">
        <v>10795</v>
      </c>
      <c r="H1159" s="26">
        <v>19702</v>
      </c>
      <c r="I1159" t="s">
        <v>58</v>
      </c>
      <c r="J1159" t="s">
        <v>10796</v>
      </c>
      <c r="M1159">
        <v>93400</v>
      </c>
      <c r="N1159" t="s">
        <v>185</v>
      </c>
      <c r="O1159" t="s">
        <v>61</v>
      </c>
      <c r="R1159" t="s">
        <v>10797</v>
      </c>
      <c r="S1159" t="s">
        <v>63</v>
      </c>
      <c r="T1159" t="s">
        <v>64</v>
      </c>
      <c r="U1159" t="s">
        <v>65</v>
      </c>
      <c r="W1159" s="26">
        <v>45574</v>
      </c>
      <c r="X1159" t="s">
        <v>61</v>
      </c>
      <c r="Y1159" t="s">
        <v>237</v>
      </c>
    </row>
    <row r="1160" spans="1:25" x14ac:dyDescent="0.25">
      <c r="A1160" t="s">
        <v>10798</v>
      </c>
      <c r="B1160">
        <v>11</v>
      </c>
      <c r="C1160">
        <v>95</v>
      </c>
      <c r="D1160">
        <v>9010</v>
      </c>
      <c r="E1160" t="s">
        <v>6</v>
      </c>
      <c r="F1160" t="s">
        <v>137</v>
      </c>
      <c r="G1160" t="s">
        <v>10799</v>
      </c>
      <c r="H1160" s="26">
        <v>18854</v>
      </c>
      <c r="I1160" t="s">
        <v>58</v>
      </c>
      <c r="J1160" t="s">
        <v>10800</v>
      </c>
      <c r="M1160">
        <v>95230</v>
      </c>
      <c r="N1160" t="s">
        <v>774</v>
      </c>
      <c r="O1160" t="s">
        <v>61</v>
      </c>
      <c r="R1160" t="s">
        <v>236</v>
      </c>
      <c r="S1160" t="s">
        <v>63</v>
      </c>
      <c r="T1160" t="s">
        <v>64</v>
      </c>
      <c r="U1160" t="s">
        <v>65</v>
      </c>
      <c r="W1160" s="26">
        <v>45574</v>
      </c>
      <c r="X1160" t="s">
        <v>61</v>
      </c>
      <c r="Y1160" t="s">
        <v>237</v>
      </c>
    </row>
    <row r="1161" spans="1:25" x14ac:dyDescent="0.25">
      <c r="A1161" t="s">
        <v>10002</v>
      </c>
      <c r="B1161">
        <v>11</v>
      </c>
      <c r="C1161">
        <v>92</v>
      </c>
      <c r="D1161">
        <v>9007</v>
      </c>
      <c r="E1161" t="s">
        <v>121</v>
      </c>
      <c r="F1161" t="s">
        <v>160</v>
      </c>
      <c r="G1161" t="s">
        <v>10003</v>
      </c>
      <c r="H1161" s="26">
        <v>21748</v>
      </c>
      <c r="I1161" t="s">
        <v>58</v>
      </c>
      <c r="J1161" t="s">
        <v>10004</v>
      </c>
      <c r="M1161">
        <v>92600</v>
      </c>
      <c r="N1161" t="s">
        <v>410</v>
      </c>
      <c r="O1161" t="s">
        <v>61</v>
      </c>
      <c r="R1161" t="s">
        <v>10005</v>
      </c>
      <c r="S1161" t="s">
        <v>63</v>
      </c>
      <c r="T1161" t="s">
        <v>64</v>
      </c>
      <c r="U1161" t="s">
        <v>65</v>
      </c>
      <c r="W1161" s="26">
        <v>45569</v>
      </c>
      <c r="X1161" t="s">
        <v>61</v>
      </c>
      <c r="Y1161" t="s">
        <v>237</v>
      </c>
    </row>
    <row r="1162" spans="1:25" x14ac:dyDescent="0.25">
      <c r="A1162" t="s">
        <v>4148</v>
      </c>
      <c r="B1162">
        <v>11</v>
      </c>
      <c r="C1162">
        <v>75</v>
      </c>
      <c r="D1162">
        <v>9070</v>
      </c>
      <c r="E1162" t="s">
        <v>168</v>
      </c>
      <c r="F1162" t="s">
        <v>4149</v>
      </c>
      <c r="G1162" t="s">
        <v>4150</v>
      </c>
      <c r="H1162" s="26">
        <v>37406</v>
      </c>
      <c r="I1162" t="s">
        <v>58</v>
      </c>
      <c r="J1162" t="s">
        <v>4151</v>
      </c>
      <c r="M1162">
        <v>91120</v>
      </c>
      <c r="N1162" t="s">
        <v>335</v>
      </c>
      <c r="O1162" t="s">
        <v>61</v>
      </c>
      <c r="Q1162">
        <v>40753393947</v>
      </c>
      <c r="R1162" t="s">
        <v>4152</v>
      </c>
      <c r="S1162" t="s">
        <v>237</v>
      </c>
      <c r="T1162" t="s">
        <v>64</v>
      </c>
      <c r="U1162" t="s">
        <v>8684</v>
      </c>
      <c r="W1162" s="26">
        <v>45540</v>
      </c>
      <c r="X1162" t="s">
        <v>4153</v>
      </c>
      <c r="Y1162" t="s">
        <v>237</v>
      </c>
    </row>
    <row r="1163" spans="1:25" x14ac:dyDescent="0.25">
      <c r="A1163" t="s">
        <v>4154</v>
      </c>
      <c r="B1163">
        <v>11</v>
      </c>
      <c r="C1163">
        <v>75</v>
      </c>
      <c r="D1163">
        <v>9070</v>
      </c>
      <c r="E1163" t="s">
        <v>168</v>
      </c>
      <c r="F1163" t="s">
        <v>4155</v>
      </c>
      <c r="G1163" t="s">
        <v>4156</v>
      </c>
      <c r="H1163" s="26">
        <v>35243</v>
      </c>
      <c r="I1163" t="s">
        <v>58</v>
      </c>
      <c r="J1163" t="s">
        <v>4157</v>
      </c>
      <c r="M1163">
        <v>75015</v>
      </c>
      <c r="N1163" t="s">
        <v>330</v>
      </c>
      <c r="O1163" t="s">
        <v>61</v>
      </c>
      <c r="Q1163">
        <v>665387559</v>
      </c>
      <c r="R1163" t="s">
        <v>4158</v>
      </c>
      <c r="S1163" t="s">
        <v>63</v>
      </c>
      <c r="T1163" t="s">
        <v>64</v>
      </c>
      <c r="U1163" t="s">
        <v>8684</v>
      </c>
      <c r="W1163" s="26">
        <v>45539</v>
      </c>
      <c r="X1163" t="s">
        <v>4159</v>
      </c>
      <c r="Y1163" t="s">
        <v>237</v>
      </c>
    </row>
    <row r="1164" spans="1:25" x14ac:dyDescent="0.25">
      <c r="A1164" t="s">
        <v>10801</v>
      </c>
      <c r="B1164">
        <v>11</v>
      </c>
      <c r="C1164">
        <v>94</v>
      </c>
      <c r="D1164">
        <v>9024</v>
      </c>
      <c r="E1164" t="s">
        <v>4</v>
      </c>
      <c r="F1164" t="s">
        <v>137</v>
      </c>
      <c r="G1164" t="s">
        <v>10802</v>
      </c>
      <c r="H1164" s="26">
        <v>19039</v>
      </c>
      <c r="I1164" t="s">
        <v>58</v>
      </c>
      <c r="J1164" t="s">
        <v>10803</v>
      </c>
      <c r="M1164">
        <v>94410</v>
      </c>
      <c r="N1164" t="s">
        <v>728</v>
      </c>
      <c r="O1164" t="s">
        <v>61</v>
      </c>
      <c r="Q1164">
        <v>609854366</v>
      </c>
      <c r="R1164" t="s">
        <v>10804</v>
      </c>
      <c r="S1164" t="s">
        <v>63</v>
      </c>
      <c r="T1164" t="s">
        <v>64</v>
      </c>
      <c r="U1164" t="s">
        <v>65</v>
      </c>
      <c r="W1164" s="26">
        <v>45575</v>
      </c>
      <c r="X1164" t="s">
        <v>61</v>
      </c>
      <c r="Y1164" t="s">
        <v>237</v>
      </c>
    </row>
    <row r="1165" spans="1:25" x14ac:dyDescent="0.25">
      <c r="A1165" t="s">
        <v>10805</v>
      </c>
      <c r="B1165">
        <v>11</v>
      </c>
      <c r="C1165">
        <v>91</v>
      </c>
      <c r="D1165">
        <v>9095</v>
      </c>
      <c r="E1165" t="s">
        <v>113</v>
      </c>
      <c r="F1165" t="s">
        <v>10806</v>
      </c>
      <c r="G1165" t="s">
        <v>10807</v>
      </c>
      <c r="H1165" s="26">
        <v>39540</v>
      </c>
      <c r="I1165" t="s">
        <v>58</v>
      </c>
      <c r="J1165" t="s">
        <v>10808</v>
      </c>
      <c r="M1165">
        <v>91290</v>
      </c>
      <c r="N1165" t="s">
        <v>2342</v>
      </c>
      <c r="O1165" t="s">
        <v>61</v>
      </c>
      <c r="P1165">
        <v>179020108</v>
      </c>
      <c r="Q1165">
        <v>615937088</v>
      </c>
      <c r="R1165" t="s">
        <v>10809</v>
      </c>
      <c r="S1165" t="s">
        <v>63</v>
      </c>
      <c r="T1165" t="s">
        <v>10810</v>
      </c>
      <c r="U1165" t="s">
        <v>65</v>
      </c>
      <c r="W1165" s="26">
        <v>45574</v>
      </c>
      <c r="X1165" t="s">
        <v>61</v>
      </c>
      <c r="Y1165" t="s">
        <v>63</v>
      </c>
    </row>
    <row r="1166" spans="1:25" x14ac:dyDescent="0.25">
      <c r="A1166" t="s">
        <v>4160</v>
      </c>
      <c r="B1166">
        <v>11</v>
      </c>
      <c r="C1166">
        <v>91</v>
      </c>
      <c r="D1166">
        <v>9095</v>
      </c>
      <c r="E1166" t="s">
        <v>113</v>
      </c>
      <c r="F1166" t="s">
        <v>1019</v>
      </c>
      <c r="G1166" t="s">
        <v>4161</v>
      </c>
      <c r="H1166" s="26">
        <v>18908</v>
      </c>
      <c r="I1166" t="s">
        <v>58</v>
      </c>
      <c r="J1166" t="s">
        <v>4162</v>
      </c>
      <c r="M1166">
        <v>91310</v>
      </c>
      <c r="N1166" t="s">
        <v>4163</v>
      </c>
      <c r="O1166" t="s">
        <v>61</v>
      </c>
      <c r="P1166">
        <v>164498680</v>
      </c>
      <c r="Q1166">
        <v>787062059</v>
      </c>
      <c r="R1166" t="s">
        <v>4164</v>
      </c>
      <c r="S1166" t="s">
        <v>63</v>
      </c>
      <c r="T1166" t="s">
        <v>64</v>
      </c>
      <c r="U1166" t="s">
        <v>65</v>
      </c>
      <c r="W1166" s="26">
        <v>45544</v>
      </c>
      <c r="X1166" t="s">
        <v>61</v>
      </c>
      <c r="Y1166" t="s">
        <v>237</v>
      </c>
    </row>
    <row r="1167" spans="1:25" x14ac:dyDescent="0.25">
      <c r="A1167" t="s">
        <v>4165</v>
      </c>
      <c r="B1167">
        <v>11</v>
      </c>
      <c r="C1167">
        <v>75</v>
      </c>
      <c r="D1167">
        <v>9070</v>
      </c>
      <c r="E1167" t="s">
        <v>168</v>
      </c>
      <c r="F1167" t="s">
        <v>723</v>
      </c>
      <c r="G1167" t="s">
        <v>4166</v>
      </c>
      <c r="H1167" s="26">
        <v>35979</v>
      </c>
      <c r="I1167" t="s">
        <v>58</v>
      </c>
      <c r="J1167" t="s">
        <v>4167</v>
      </c>
      <c r="M1167">
        <v>22500</v>
      </c>
      <c r="N1167" t="s">
        <v>4168</v>
      </c>
      <c r="O1167" t="s">
        <v>61</v>
      </c>
      <c r="Q1167">
        <v>611854358</v>
      </c>
      <c r="R1167" t="s">
        <v>4169</v>
      </c>
      <c r="S1167" t="s">
        <v>63</v>
      </c>
      <c r="T1167" t="s">
        <v>64</v>
      </c>
      <c r="U1167" t="s">
        <v>8684</v>
      </c>
      <c r="W1167" s="26">
        <v>45545</v>
      </c>
      <c r="X1167" t="s">
        <v>61</v>
      </c>
      <c r="Y1167" t="s">
        <v>237</v>
      </c>
    </row>
    <row r="1168" spans="1:25" x14ac:dyDescent="0.25">
      <c r="A1168" t="s">
        <v>9990</v>
      </c>
      <c r="B1168">
        <v>11</v>
      </c>
      <c r="C1168">
        <v>77</v>
      </c>
      <c r="D1168">
        <v>9040</v>
      </c>
      <c r="E1168" t="s">
        <v>612</v>
      </c>
      <c r="F1168" t="s">
        <v>9992</v>
      </c>
      <c r="G1168" t="s">
        <v>9991</v>
      </c>
      <c r="H1168" s="26">
        <v>24604</v>
      </c>
      <c r="I1168" t="s">
        <v>58</v>
      </c>
      <c r="J1168" t="s">
        <v>9993</v>
      </c>
      <c r="M1168">
        <v>77133</v>
      </c>
      <c r="N1168" t="s">
        <v>9994</v>
      </c>
      <c r="O1168" t="s">
        <v>61</v>
      </c>
      <c r="Q1168">
        <v>620745511</v>
      </c>
      <c r="R1168" t="s">
        <v>9995</v>
      </c>
      <c r="S1168" t="s">
        <v>63</v>
      </c>
      <c r="T1168" t="s">
        <v>64</v>
      </c>
      <c r="U1168" t="s">
        <v>65</v>
      </c>
      <c r="W1168" s="26">
        <v>45570</v>
      </c>
      <c r="X1168" t="s">
        <v>61</v>
      </c>
      <c r="Y1168" t="s">
        <v>237</v>
      </c>
    </row>
    <row r="1169" spans="1:25" x14ac:dyDescent="0.25">
      <c r="A1169" t="s">
        <v>10811</v>
      </c>
      <c r="B1169">
        <v>11</v>
      </c>
      <c r="C1169">
        <v>93</v>
      </c>
      <c r="D1169">
        <v>9060</v>
      </c>
      <c r="E1169" t="s">
        <v>203</v>
      </c>
      <c r="F1169" t="s">
        <v>91</v>
      </c>
      <c r="G1169" t="s">
        <v>10812</v>
      </c>
      <c r="H1169" s="26">
        <v>21987</v>
      </c>
      <c r="I1169" t="s">
        <v>58</v>
      </c>
      <c r="J1169" t="s">
        <v>10813</v>
      </c>
      <c r="M1169">
        <v>93150</v>
      </c>
      <c r="N1169" t="s">
        <v>632</v>
      </c>
      <c r="O1169" t="s">
        <v>61</v>
      </c>
      <c r="Q1169">
        <v>695414522</v>
      </c>
      <c r="R1169" t="s">
        <v>10814</v>
      </c>
      <c r="S1169" t="s">
        <v>63</v>
      </c>
      <c r="T1169" t="s">
        <v>64</v>
      </c>
      <c r="U1169" t="s">
        <v>65</v>
      </c>
      <c r="W1169" s="26">
        <v>45576</v>
      </c>
      <c r="X1169" t="s">
        <v>61</v>
      </c>
      <c r="Y1169" t="s">
        <v>237</v>
      </c>
    </row>
    <row r="1170" spans="1:25" x14ac:dyDescent="0.25">
      <c r="A1170" t="s">
        <v>4170</v>
      </c>
      <c r="B1170">
        <v>11</v>
      </c>
      <c r="C1170">
        <v>78</v>
      </c>
      <c r="D1170">
        <v>9052</v>
      </c>
      <c r="E1170" t="s">
        <v>337</v>
      </c>
      <c r="F1170" t="s">
        <v>854</v>
      </c>
      <c r="G1170" t="s">
        <v>4171</v>
      </c>
      <c r="H1170" s="26">
        <v>20555</v>
      </c>
      <c r="I1170" t="s">
        <v>58</v>
      </c>
      <c r="J1170" t="s">
        <v>4172</v>
      </c>
      <c r="M1170">
        <v>78760</v>
      </c>
      <c r="N1170" t="s">
        <v>3037</v>
      </c>
      <c r="O1170" t="s">
        <v>61</v>
      </c>
      <c r="Q1170">
        <v>628051254</v>
      </c>
      <c r="R1170" t="s">
        <v>4173</v>
      </c>
      <c r="S1170" t="s">
        <v>63</v>
      </c>
      <c r="T1170" t="s">
        <v>64</v>
      </c>
      <c r="U1170" t="s">
        <v>65</v>
      </c>
      <c r="W1170" s="26">
        <v>45554</v>
      </c>
      <c r="X1170" t="s">
        <v>61</v>
      </c>
      <c r="Y1170" t="s">
        <v>237</v>
      </c>
    </row>
    <row r="1171" spans="1:25" x14ac:dyDescent="0.25">
      <c r="A1171" t="s">
        <v>10815</v>
      </c>
      <c r="B1171">
        <v>11</v>
      </c>
      <c r="C1171">
        <v>93</v>
      </c>
      <c r="D1171">
        <v>9060</v>
      </c>
      <c r="E1171" t="s">
        <v>203</v>
      </c>
      <c r="F1171" t="s">
        <v>1453</v>
      </c>
      <c r="G1171" t="s">
        <v>10816</v>
      </c>
      <c r="H1171" s="26">
        <v>12649</v>
      </c>
      <c r="I1171" t="s">
        <v>58</v>
      </c>
      <c r="J1171" t="s">
        <v>10817</v>
      </c>
      <c r="M1171">
        <v>93190</v>
      </c>
      <c r="N1171" t="s">
        <v>205</v>
      </c>
      <c r="O1171" t="s">
        <v>61</v>
      </c>
      <c r="Q1171">
        <v>783474689</v>
      </c>
      <c r="S1171" t="s">
        <v>63</v>
      </c>
      <c r="T1171" t="s">
        <v>64</v>
      </c>
      <c r="U1171" t="s">
        <v>65</v>
      </c>
      <c r="W1171" s="26">
        <v>45581</v>
      </c>
      <c r="X1171" t="s">
        <v>61</v>
      </c>
      <c r="Y1171" t="s">
        <v>237</v>
      </c>
    </row>
    <row r="1172" spans="1:25" x14ac:dyDescent="0.25">
      <c r="A1172" t="s">
        <v>10818</v>
      </c>
      <c r="B1172">
        <v>11</v>
      </c>
      <c r="C1172">
        <v>78</v>
      </c>
      <c r="D1172">
        <v>9084</v>
      </c>
      <c r="E1172" t="s">
        <v>216</v>
      </c>
      <c r="F1172" t="s">
        <v>653</v>
      </c>
      <c r="G1172" t="s">
        <v>4174</v>
      </c>
      <c r="H1172" s="26">
        <v>16642</v>
      </c>
      <c r="I1172" t="s">
        <v>58</v>
      </c>
      <c r="J1172" t="s">
        <v>10819</v>
      </c>
      <c r="M1172">
        <v>78580</v>
      </c>
      <c r="N1172" t="s">
        <v>2081</v>
      </c>
      <c r="O1172" t="s">
        <v>61</v>
      </c>
      <c r="P1172">
        <v>650428111</v>
      </c>
      <c r="R1172" t="s">
        <v>10820</v>
      </c>
      <c r="S1172" t="s">
        <v>63</v>
      </c>
      <c r="T1172" t="s">
        <v>64</v>
      </c>
      <c r="U1172" t="s">
        <v>65</v>
      </c>
      <c r="W1172" s="26">
        <v>45575</v>
      </c>
      <c r="X1172" t="s">
        <v>61</v>
      </c>
      <c r="Y1172" t="s">
        <v>237</v>
      </c>
    </row>
    <row r="1173" spans="1:25" x14ac:dyDescent="0.25">
      <c r="A1173" t="s">
        <v>4177</v>
      </c>
      <c r="B1173">
        <v>11</v>
      </c>
      <c r="C1173">
        <v>78</v>
      </c>
      <c r="D1173">
        <v>9030</v>
      </c>
      <c r="E1173" t="s">
        <v>96</v>
      </c>
      <c r="F1173" t="s">
        <v>4178</v>
      </c>
      <c r="G1173" t="s">
        <v>423</v>
      </c>
      <c r="H1173" s="26">
        <v>20776</v>
      </c>
      <c r="I1173" t="s">
        <v>58</v>
      </c>
      <c r="J1173" t="s">
        <v>4179</v>
      </c>
      <c r="K1173" t="s">
        <v>4180</v>
      </c>
      <c r="M1173">
        <v>78000</v>
      </c>
      <c r="N1173" t="s">
        <v>1334</v>
      </c>
      <c r="O1173" t="s">
        <v>61</v>
      </c>
      <c r="Q1173">
        <v>638387579</v>
      </c>
      <c r="R1173" t="s">
        <v>4181</v>
      </c>
      <c r="S1173" t="s">
        <v>63</v>
      </c>
      <c r="T1173" t="s">
        <v>64</v>
      </c>
      <c r="U1173" t="s">
        <v>65</v>
      </c>
      <c r="W1173" s="26">
        <v>45546</v>
      </c>
      <c r="X1173" t="s">
        <v>61</v>
      </c>
      <c r="Y1173" t="s">
        <v>237</v>
      </c>
    </row>
    <row r="1174" spans="1:25" x14ac:dyDescent="0.25">
      <c r="A1174" t="s">
        <v>4182</v>
      </c>
      <c r="B1174">
        <v>11</v>
      </c>
      <c r="C1174">
        <v>91</v>
      </c>
      <c r="D1174">
        <v>9095</v>
      </c>
      <c r="E1174" t="s">
        <v>113</v>
      </c>
      <c r="F1174" t="s">
        <v>312</v>
      </c>
      <c r="G1174" t="s">
        <v>4183</v>
      </c>
      <c r="H1174" s="26">
        <v>18731</v>
      </c>
      <c r="I1174" t="s">
        <v>58</v>
      </c>
      <c r="J1174" t="s">
        <v>4184</v>
      </c>
      <c r="M1174">
        <v>91700</v>
      </c>
      <c r="N1174" t="s">
        <v>4185</v>
      </c>
      <c r="O1174" t="s">
        <v>61</v>
      </c>
      <c r="Q1174">
        <v>631219983</v>
      </c>
      <c r="R1174" t="s">
        <v>4186</v>
      </c>
      <c r="S1174" t="s">
        <v>63</v>
      </c>
      <c r="T1174" t="s">
        <v>64</v>
      </c>
      <c r="U1174" t="s">
        <v>65</v>
      </c>
      <c r="W1174" s="26">
        <v>45551</v>
      </c>
      <c r="X1174" t="s">
        <v>61</v>
      </c>
      <c r="Y1174" t="s">
        <v>237</v>
      </c>
    </row>
    <row r="1175" spans="1:25" x14ac:dyDescent="0.25">
      <c r="A1175" t="s">
        <v>4187</v>
      </c>
      <c r="B1175">
        <v>11</v>
      </c>
      <c r="C1175">
        <v>77</v>
      </c>
      <c r="D1175">
        <v>9040</v>
      </c>
      <c r="E1175" t="s">
        <v>612</v>
      </c>
      <c r="F1175" t="s">
        <v>68</v>
      </c>
      <c r="G1175" t="s">
        <v>4188</v>
      </c>
      <c r="H1175" s="26">
        <v>17939</v>
      </c>
      <c r="I1175" t="s">
        <v>58</v>
      </c>
      <c r="J1175" t="s">
        <v>4189</v>
      </c>
      <c r="M1175">
        <v>77850</v>
      </c>
      <c r="N1175" t="s">
        <v>4190</v>
      </c>
      <c r="O1175" t="s">
        <v>61</v>
      </c>
      <c r="Q1175">
        <v>675339764</v>
      </c>
      <c r="R1175" t="s">
        <v>4191</v>
      </c>
      <c r="S1175" t="s">
        <v>63</v>
      </c>
      <c r="T1175" t="s">
        <v>64</v>
      </c>
      <c r="U1175" t="s">
        <v>65</v>
      </c>
      <c r="W1175" s="26">
        <v>45539</v>
      </c>
      <c r="X1175" t="s">
        <v>61</v>
      </c>
      <c r="Y1175" t="s">
        <v>237</v>
      </c>
    </row>
    <row r="1176" spans="1:25" x14ac:dyDescent="0.25">
      <c r="A1176" t="s">
        <v>4192</v>
      </c>
      <c r="B1176">
        <v>11</v>
      </c>
      <c r="C1176">
        <v>94</v>
      </c>
      <c r="D1176">
        <v>9024</v>
      </c>
      <c r="E1176" t="s">
        <v>4</v>
      </c>
      <c r="F1176" t="s">
        <v>967</v>
      </c>
      <c r="G1176" t="s">
        <v>4193</v>
      </c>
      <c r="H1176" s="26">
        <v>22538</v>
      </c>
      <c r="I1176" t="s">
        <v>16</v>
      </c>
      <c r="J1176" t="s">
        <v>4194</v>
      </c>
      <c r="M1176">
        <v>94100</v>
      </c>
      <c r="N1176" t="s">
        <v>971</v>
      </c>
      <c r="O1176" t="s">
        <v>61</v>
      </c>
      <c r="P1176">
        <v>622074241</v>
      </c>
      <c r="Q1176">
        <v>622074241</v>
      </c>
      <c r="R1176" t="s">
        <v>4195</v>
      </c>
      <c r="S1176" t="s">
        <v>63</v>
      </c>
      <c r="T1176" t="s">
        <v>64</v>
      </c>
      <c r="U1176" t="s">
        <v>65</v>
      </c>
      <c r="W1176" s="26">
        <v>45537</v>
      </c>
      <c r="X1176" t="s">
        <v>61</v>
      </c>
      <c r="Y1176" t="s">
        <v>237</v>
      </c>
    </row>
    <row r="1177" spans="1:25" x14ac:dyDescent="0.25">
      <c r="A1177" t="s">
        <v>4196</v>
      </c>
      <c r="B1177">
        <v>11</v>
      </c>
      <c r="C1177">
        <v>78</v>
      </c>
      <c r="D1177">
        <v>9084</v>
      </c>
      <c r="E1177" t="s">
        <v>216</v>
      </c>
      <c r="F1177" t="s">
        <v>160</v>
      </c>
      <c r="G1177" t="s">
        <v>4197</v>
      </c>
      <c r="H1177" s="26">
        <v>21163</v>
      </c>
      <c r="I1177" t="s">
        <v>58</v>
      </c>
      <c r="J1177" t="s">
        <v>4198</v>
      </c>
      <c r="M1177">
        <v>78300</v>
      </c>
      <c r="N1177" t="s">
        <v>2018</v>
      </c>
      <c r="O1177" t="s">
        <v>61</v>
      </c>
      <c r="Q1177">
        <v>612786455</v>
      </c>
      <c r="R1177" t="s">
        <v>4199</v>
      </c>
      <c r="S1177" t="s">
        <v>63</v>
      </c>
      <c r="T1177" t="s">
        <v>64</v>
      </c>
      <c r="U1177" t="s">
        <v>65</v>
      </c>
      <c r="W1177" s="26">
        <v>45561</v>
      </c>
      <c r="X1177" t="s">
        <v>61</v>
      </c>
      <c r="Y1177" t="s">
        <v>237</v>
      </c>
    </row>
    <row r="1178" spans="1:25" x14ac:dyDescent="0.25">
      <c r="A1178" t="s">
        <v>4200</v>
      </c>
      <c r="B1178">
        <v>11</v>
      </c>
      <c r="C1178">
        <v>91</v>
      </c>
      <c r="D1178">
        <v>9096</v>
      </c>
      <c r="E1178" t="s">
        <v>526</v>
      </c>
      <c r="F1178" t="s">
        <v>3603</v>
      </c>
      <c r="G1178" t="s">
        <v>4201</v>
      </c>
      <c r="H1178" s="26">
        <v>17333</v>
      </c>
      <c r="I1178" t="s">
        <v>58</v>
      </c>
      <c r="J1178" t="s">
        <v>4202</v>
      </c>
      <c r="M1178">
        <v>91580</v>
      </c>
      <c r="N1178" t="s">
        <v>894</v>
      </c>
      <c r="O1178" t="s">
        <v>61</v>
      </c>
      <c r="Q1178">
        <v>684518938</v>
      </c>
      <c r="R1178" t="s">
        <v>4203</v>
      </c>
      <c r="S1178" t="s">
        <v>63</v>
      </c>
      <c r="T1178" t="s">
        <v>64</v>
      </c>
      <c r="U1178" t="s">
        <v>65</v>
      </c>
      <c r="W1178" s="26">
        <v>45546</v>
      </c>
      <c r="X1178" t="s">
        <v>61</v>
      </c>
      <c r="Y1178" t="s">
        <v>237</v>
      </c>
    </row>
    <row r="1179" spans="1:25" x14ac:dyDescent="0.25">
      <c r="A1179" t="s">
        <v>4204</v>
      </c>
      <c r="B1179">
        <v>11</v>
      </c>
      <c r="C1179">
        <v>91</v>
      </c>
      <c r="D1179">
        <v>9096</v>
      </c>
      <c r="E1179" t="s">
        <v>526</v>
      </c>
      <c r="F1179" t="s">
        <v>91</v>
      </c>
      <c r="G1179" t="s">
        <v>4205</v>
      </c>
      <c r="H1179" s="26">
        <v>18791</v>
      </c>
      <c r="I1179" t="s">
        <v>58</v>
      </c>
      <c r="J1179" t="s">
        <v>4206</v>
      </c>
      <c r="M1179">
        <v>78830</v>
      </c>
      <c r="N1179" t="s">
        <v>4207</v>
      </c>
      <c r="O1179" t="s">
        <v>61</v>
      </c>
      <c r="P1179">
        <v>130413810</v>
      </c>
      <c r="Q1179">
        <v>782979559</v>
      </c>
      <c r="R1179" t="s">
        <v>4208</v>
      </c>
      <c r="S1179" t="s">
        <v>63</v>
      </c>
      <c r="T1179" t="s">
        <v>64</v>
      </c>
      <c r="U1179" t="s">
        <v>65</v>
      </c>
      <c r="W1179" s="26">
        <v>45538</v>
      </c>
      <c r="X1179" t="s">
        <v>61</v>
      </c>
      <c r="Y1179" t="s">
        <v>237</v>
      </c>
    </row>
    <row r="1180" spans="1:25" x14ac:dyDescent="0.25">
      <c r="A1180" t="s">
        <v>10821</v>
      </c>
      <c r="B1180">
        <v>11</v>
      </c>
      <c r="C1180">
        <v>94</v>
      </c>
      <c r="D1180">
        <v>9024</v>
      </c>
      <c r="E1180" t="s">
        <v>4</v>
      </c>
      <c r="F1180" t="s">
        <v>448</v>
      </c>
      <c r="G1180" t="s">
        <v>10822</v>
      </c>
      <c r="H1180" s="26">
        <v>21831</v>
      </c>
      <c r="I1180" t="s">
        <v>58</v>
      </c>
      <c r="J1180" t="s">
        <v>10823</v>
      </c>
      <c r="M1180">
        <v>94210</v>
      </c>
      <c r="N1180" t="s">
        <v>4209</v>
      </c>
      <c r="O1180" t="s">
        <v>61</v>
      </c>
      <c r="Q1180">
        <v>618058421</v>
      </c>
      <c r="R1180" t="s">
        <v>10824</v>
      </c>
      <c r="S1180" t="s">
        <v>63</v>
      </c>
      <c r="T1180" t="s">
        <v>64</v>
      </c>
      <c r="U1180" t="s">
        <v>65</v>
      </c>
      <c r="W1180" s="26">
        <v>45575</v>
      </c>
      <c r="X1180" t="s">
        <v>61</v>
      </c>
      <c r="Y1180" t="s">
        <v>237</v>
      </c>
    </row>
    <row r="1181" spans="1:25" x14ac:dyDescent="0.25">
      <c r="A1181" t="s">
        <v>4210</v>
      </c>
      <c r="B1181">
        <v>11</v>
      </c>
      <c r="C1181">
        <v>94</v>
      </c>
      <c r="D1181">
        <v>9024</v>
      </c>
      <c r="E1181" t="s">
        <v>4</v>
      </c>
      <c r="F1181" t="s">
        <v>2315</v>
      </c>
      <c r="G1181" t="s">
        <v>4211</v>
      </c>
      <c r="H1181" s="26">
        <v>25487</v>
      </c>
      <c r="I1181" t="s">
        <v>58</v>
      </c>
      <c r="J1181" t="s">
        <v>4212</v>
      </c>
      <c r="M1181">
        <v>94100</v>
      </c>
      <c r="N1181" t="s">
        <v>971</v>
      </c>
      <c r="O1181" t="s">
        <v>61</v>
      </c>
      <c r="Q1181">
        <v>676929104</v>
      </c>
      <c r="R1181" t="s">
        <v>4213</v>
      </c>
      <c r="S1181" t="s">
        <v>63</v>
      </c>
      <c r="T1181" t="s">
        <v>64</v>
      </c>
      <c r="U1181" t="s">
        <v>8684</v>
      </c>
      <c r="W1181" s="26">
        <v>45539</v>
      </c>
      <c r="X1181" t="s">
        <v>61</v>
      </c>
      <c r="Y1181" t="s">
        <v>237</v>
      </c>
    </row>
    <row r="1182" spans="1:25" x14ac:dyDescent="0.25">
      <c r="A1182" t="s">
        <v>4214</v>
      </c>
      <c r="B1182">
        <v>11</v>
      </c>
      <c r="C1182">
        <v>77</v>
      </c>
      <c r="D1182">
        <v>9049</v>
      </c>
      <c r="E1182" t="s">
        <v>902</v>
      </c>
      <c r="F1182" t="s">
        <v>4215</v>
      </c>
      <c r="G1182" t="s">
        <v>9037</v>
      </c>
      <c r="H1182" s="26">
        <v>22073</v>
      </c>
      <c r="I1182" t="s">
        <v>58</v>
      </c>
      <c r="J1182" t="s">
        <v>4216</v>
      </c>
      <c r="M1182">
        <v>77440</v>
      </c>
      <c r="N1182" t="s">
        <v>2258</v>
      </c>
      <c r="O1182" t="s">
        <v>61</v>
      </c>
      <c r="Q1182">
        <v>749815974</v>
      </c>
      <c r="R1182" t="s">
        <v>4217</v>
      </c>
      <c r="S1182" t="s">
        <v>63</v>
      </c>
      <c r="T1182" t="s">
        <v>64</v>
      </c>
      <c r="U1182" t="s">
        <v>65</v>
      </c>
      <c r="W1182" s="26">
        <v>45530</v>
      </c>
      <c r="X1182" t="s">
        <v>61</v>
      </c>
      <c r="Y1182" t="s">
        <v>237</v>
      </c>
    </row>
    <row r="1183" spans="1:25" x14ac:dyDescent="0.25">
      <c r="A1183" t="s">
        <v>4218</v>
      </c>
      <c r="B1183">
        <v>11</v>
      </c>
      <c r="C1183">
        <v>77</v>
      </c>
      <c r="D1183">
        <v>9049</v>
      </c>
      <c r="E1183" t="s">
        <v>902</v>
      </c>
      <c r="F1183" t="s">
        <v>204</v>
      </c>
      <c r="G1183" t="s">
        <v>4219</v>
      </c>
      <c r="H1183" s="26">
        <v>21598</v>
      </c>
      <c r="I1183" t="s">
        <v>58</v>
      </c>
      <c r="J1183" t="s">
        <v>4220</v>
      </c>
      <c r="M1183">
        <v>77730</v>
      </c>
      <c r="N1183" t="s">
        <v>905</v>
      </c>
      <c r="O1183" t="s">
        <v>61</v>
      </c>
      <c r="Q1183">
        <v>678007219</v>
      </c>
      <c r="R1183" t="s">
        <v>4221</v>
      </c>
      <c r="S1183" t="s">
        <v>63</v>
      </c>
      <c r="T1183" t="s">
        <v>64</v>
      </c>
      <c r="U1183" t="s">
        <v>65</v>
      </c>
      <c r="W1183" s="26">
        <v>45524</v>
      </c>
      <c r="X1183" t="s">
        <v>61</v>
      </c>
      <c r="Y1183" t="s">
        <v>237</v>
      </c>
    </row>
    <row r="1184" spans="1:25" x14ac:dyDescent="0.25">
      <c r="A1184" t="s">
        <v>10825</v>
      </c>
      <c r="B1184">
        <v>11</v>
      </c>
      <c r="C1184">
        <v>92</v>
      </c>
      <c r="D1184">
        <v>9065</v>
      </c>
      <c r="E1184" t="s">
        <v>426</v>
      </c>
      <c r="F1184" t="s">
        <v>10092</v>
      </c>
      <c r="G1184" t="s">
        <v>10826</v>
      </c>
      <c r="H1184" s="26">
        <v>33642</v>
      </c>
      <c r="I1184" t="s">
        <v>58</v>
      </c>
      <c r="J1184" t="s">
        <v>10827</v>
      </c>
      <c r="M1184">
        <v>91300</v>
      </c>
      <c r="N1184" t="s">
        <v>675</v>
      </c>
      <c r="O1184" t="s">
        <v>61</v>
      </c>
      <c r="Q1184">
        <v>649726597</v>
      </c>
      <c r="R1184" t="s">
        <v>10828</v>
      </c>
      <c r="S1184" t="s">
        <v>63</v>
      </c>
      <c r="T1184" t="s">
        <v>64</v>
      </c>
      <c r="U1184" t="s">
        <v>486</v>
      </c>
      <c r="W1184" s="26">
        <v>45580</v>
      </c>
      <c r="X1184" t="s">
        <v>61</v>
      </c>
      <c r="Y1184" t="s">
        <v>237</v>
      </c>
    </row>
    <row r="1185" spans="1:25" x14ac:dyDescent="0.25">
      <c r="A1185" t="s">
        <v>4222</v>
      </c>
      <c r="B1185">
        <v>11</v>
      </c>
      <c r="C1185">
        <v>91</v>
      </c>
      <c r="D1185">
        <v>9064</v>
      </c>
      <c r="E1185" t="s">
        <v>266</v>
      </c>
      <c r="F1185" t="s">
        <v>927</v>
      </c>
      <c r="G1185" t="s">
        <v>4223</v>
      </c>
      <c r="H1185" s="26">
        <v>21437</v>
      </c>
      <c r="I1185" t="s">
        <v>58</v>
      </c>
      <c r="J1185" t="s">
        <v>4224</v>
      </c>
      <c r="M1185">
        <v>91300</v>
      </c>
      <c r="N1185" t="s">
        <v>675</v>
      </c>
      <c r="O1185" t="s">
        <v>61</v>
      </c>
      <c r="S1185" t="s">
        <v>237</v>
      </c>
      <c r="T1185" t="s">
        <v>64</v>
      </c>
      <c r="U1185" t="s">
        <v>65</v>
      </c>
      <c r="W1185" s="26">
        <v>45539</v>
      </c>
      <c r="X1185" t="s">
        <v>61</v>
      </c>
      <c r="Y1185" t="s">
        <v>237</v>
      </c>
    </row>
    <row r="1186" spans="1:25" x14ac:dyDescent="0.25">
      <c r="A1186" t="s">
        <v>4225</v>
      </c>
      <c r="B1186">
        <v>11</v>
      </c>
      <c r="C1186">
        <v>94</v>
      </c>
      <c r="D1186">
        <v>9129</v>
      </c>
      <c r="E1186" t="s">
        <v>1549</v>
      </c>
      <c r="F1186" t="s">
        <v>820</v>
      </c>
      <c r="G1186" t="s">
        <v>4226</v>
      </c>
      <c r="H1186" s="26">
        <v>32296</v>
      </c>
      <c r="I1186" t="s">
        <v>58</v>
      </c>
      <c r="J1186" t="s">
        <v>9038</v>
      </c>
      <c r="M1186">
        <v>94510</v>
      </c>
      <c r="N1186" t="s">
        <v>1102</v>
      </c>
      <c r="O1186" t="s">
        <v>61</v>
      </c>
      <c r="R1186" t="s">
        <v>4227</v>
      </c>
      <c r="S1186" t="s">
        <v>237</v>
      </c>
      <c r="T1186" t="s">
        <v>64</v>
      </c>
      <c r="U1186" t="s">
        <v>8684</v>
      </c>
      <c r="W1186" s="26">
        <v>45538</v>
      </c>
      <c r="X1186" t="s">
        <v>61</v>
      </c>
      <c r="Y1186" t="s">
        <v>237</v>
      </c>
    </row>
    <row r="1187" spans="1:25" x14ac:dyDescent="0.25">
      <c r="A1187" t="s">
        <v>4228</v>
      </c>
      <c r="B1187">
        <v>11</v>
      </c>
      <c r="C1187">
        <v>91</v>
      </c>
      <c r="D1187">
        <v>9082</v>
      </c>
      <c r="E1187" t="s">
        <v>67</v>
      </c>
      <c r="F1187" t="s">
        <v>115</v>
      </c>
      <c r="G1187" t="s">
        <v>4229</v>
      </c>
      <c r="H1187" s="26">
        <v>18794</v>
      </c>
      <c r="I1187" t="s">
        <v>58</v>
      </c>
      <c r="J1187" t="s">
        <v>4230</v>
      </c>
      <c r="M1187">
        <v>91210</v>
      </c>
      <c r="N1187" t="s">
        <v>226</v>
      </c>
      <c r="O1187" t="s">
        <v>61</v>
      </c>
      <c r="Q1187">
        <v>618220720</v>
      </c>
      <c r="R1187" t="s">
        <v>4231</v>
      </c>
      <c r="S1187" t="s">
        <v>63</v>
      </c>
      <c r="T1187" t="s">
        <v>64</v>
      </c>
      <c r="U1187" t="s">
        <v>65</v>
      </c>
      <c r="W1187" s="26">
        <v>45544</v>
      </c>
      <c r="X1187" t="s">
        <v>61</v>
      </c>
      <c r="Y1187" t="s">
        <v>237</v>
      </c>
    </row>
    <row r="1188" spans="1:25" x14ac:dyDescent="0.25">
      <c r="A1188" t="s">
        <v>4232</v>
      </c>
      <c r="B1188">
        <v>11</v>
      </c>
      <c r="C1188">
        <v>78</v>
      </c>
      <c r="D1188">
        <v>9084</v>
      </c>
      <c r="E1188" t="s">
        <v>216</v>
      </c>
      <c r="F1188" t="s">
        <v>555</v>
      </c>
      <c r="G1188" t="s">
        <v>4233</v>
      </c>
      <c r="H1188" s="26">
        <v>23120</v>
      </c>
      <c r="I1188" t="s">
        <v>58</v>
      </c>
      <c r="J1188" t="s">
        <v>4234</v>
      </c>
      <c r="M1188">
        <v>78480</v>
      </c>
      <c r="N1188" t="s">
        <v>4235</v>
      </c>
      <c r="O1188" t="s">
        <v>61</v>
      </c>
      <c r="P1188">
        <v>679522632</v>
      </c>
      <c r="R1188" t="s">
        <v>4236</v>
      </c>
      <c r="S1188" t="s">
        <v>63</v>
      </c>
      <c r="T1188" t="s">
        <v>64</v>
      </c>
      <c r="U1188" t="s">
        <v>65</v>
      </c>
      <c r="W1188" s="26">
        <v>45551</v>
      </c>
      <c r="X1188" t="s">
        <v>61</v>
      </c>
      <c r="Y1188" t="s">
        <v>237</v>
      </c>
    </row>
    <row r="1189" spans="1:25" x14ac:dyDescent="0.25">
      <c r="A1189" t="s">
        <v>4237</v>
      </c>
      <c r="B1189">
        <v>11</v>
      </c>
      <c r="C1189">
        <v>78</v>
      </c>
      <c r="D1189">
        <v>9084</v>
      </c>
      <c r="E1189" t="s">
        <v>216</v>
      </c>
      <c r="F1189" t="s">
        <v>312</v>
      </c>
      <c r="G1189" t="s">
        <v>4238</v>
      </c>
      <c r="H1189" s="26">
        <v>25061</v>
      </c>
      <c r="I1189" t="s">
        <v>58</v>
      </c>
      <c r="J1189" t="s">
        <v>4234</v>
      </c>
      <c r="M1189">
        <v>78480</v>
      </c>
      <c r="N1189" t="s">
        <v>4235</v>
      </c>
      <c r="O1189" t="s">
        <v>61</v>
      </c>
      <c r="P1189">
        <v>660472665</v>
      </c>
      <c r="R1189" t="s">
        <v>4239</v>
      </c>
      <c r="S1189" t="s">
        <v>63</v>
      </c>
      <c r="T1189" t="s">
        <v>64</v>
      </c>
      <c r="U1189" t="s">
        <v>65</v>
      </c>
      <c r="W1189" s="26">
        <v>45559</v>
      </c>
      <c r="X1189" t="s">
        <v>61</v>
      </c>
      <c r="Y1189" t="s">
        <v>237</v>
      </c>
    </row>
    <row r="1190" spans="1:25" x14ac:dyDescent="0.25">
      <c r="A1190" t="s">
        <v>4240</v>
      </c>
      <c r="B1190">
        <v>11</v>
      </c>
      <c r="C1190">
        <v>78</v>
      </c>
      <c r="D1190">
        <v>9030</v>
      </c>
      <c r="E1190" t="s">
        <v>96</v>
      </c>
      <c r="F1190" t="s">
        <v>289</v>
      </c>
      <c r="G1190" t="s">
        <v>4241</v>
      </c>
      <c r="H1190" s="26">
        <v>20627</v>
      </c>
      <c r="I1190" t="s">
        <v>58</v>
      </c>
      <c r="J1190" t="s">
        <v>4242</v>
      </c>
      <c r="M1190">
        <v>78117</v>
      </c>
      <c r="N1190" t="s">
        <v>3003</v>
      </c>
      <c r="O1190" t="s">
        <v>61</v>
      </c>
      <c r="P1190">
        <v>139563381</v>
      </c>
      <c r="Q1190">
        <v>682550163</v>
      </c>
      <c r="R1190" t="s">
        <v>4243</v>
      </c>
      <c r="S1190" t="s">
        <v>63</v>
      </c>
      <c r="T1190" t="s">
        <v>64</v>
      </c>
      <c r="U1190" t="s">
        <v>486</v>
      </c>
      <c r="W1190" s="26">
        <v>45539</v>
      </c>
      <c r="X1190" t="s">
        <v>61</v>
      </c>
      <c r="Y1190" t="s">
        <v>237</v>
      </c>
    </row>
    <row r="1191" spans="1:25" x14ac:dyDescent="0.25">
      <c r="A1191" t="s">
        <v>4244</v>
      </c>
      <c r="B1191">
        <v>11</v>
      </c>
      <c r="C1191">
        <v>78</v>
      </c>
      <c r="D1191">
        <v>9084</v>
      </c>
      <c r="E1191" t="s">
        <v>216</v>
      </c>
      <c r="F1191" t="s">
        <v>555</v>
      </c>
      <c r="G1191" t="s">
        <v>4245</v>
      </c>
      <c r="H1191" s="26">
        <v>18285</v>
      </c>
      <c r="I1191" t="s">
        <v>58</v>
      </c>
      <c r="J1191" t="s">
        <v>4246</v>
      </c>
      <c r="M1191">
        <v>78540</v>
      </c>
      <c r="N1191" t="s">
        <v>1059</v>
      </c>
      <c r="O1191" t="s">
        <v>61</v>
      </c>
      <c r="P1191">
        <v>139289775</v>
      </c>
      <c r="Q1191">
        <v>646673731</v>
      </c>
      <c r="R1191" t="s">
        <v>4247</v>
      </c>
      <c r="S1191" t="s">
        <v>63</v>
      </c>
      <c r="T1191" t="s">
        <v>64</v>
      </c>
      <c r="U1191" t="s">
        <v>65</v>
      </c>
      <c r="W1191" s="26">
        <v>45532</v>
      </c>
      <c r="X1191" t="s">
        <v>61</v>
      </c>
      <c r="Y1191" t="s">
        <v>237</v>
      </c>
    </row>
    <row r="1192" spans="1:25" x14ac:dyDescent="0.25">
      <c r="A1192" t="s">
        <v>4248</v>
      </c>
      <c r="B1192">
        <v>11</v>
      </c>
      <c r="C1192">
        <v>77</v>
      </c>
      <c r="D1192">
        <v>9059</v>
      </c>
      <c r="E1192" t="s">
        <v>197</v>
      </c>
      <c r="F1192" t="s">
        <v>103</v>
      </c>
      <c r="G1192" t="s">
        <v>4249</v>
      </c>
      <c r="H1192" s="26">
        <v>20363</v>
      </c>
      <c r="I1192" t="s">
        <v>58</v>
      </c>
      <c r="J1192" t="s">
        <v>4250</v>
      </c>
      <c r="M1192">
        <v>77400</v>
      </c>
      <c r="N1192" t="s">
        <v>4251</v>
      </c>
      <c r="O1192" t="s">
        <v>61</v>
      </c>
      <c r="R1192" t="s">
        <v>4252</v>
      </c>
      <c r="S1192" t="s">
        <v>63</v>
      </c>
      <c r="T1192" t="s">
        <v>64</v>
      </c>
      <c r="U1192" t="s">
        <v>65</v>
      </c>
      <c r="W1192" s="26">
        <v>45541</v>
      </c>
      <c r="X1192" t="s">
        <v>61</v>
      </c>
      <c r="Y1192" t="s">
        <v>237</v>
      </c>
    </row>
    <row r="1193" spans="1:25" x14ac:dyDescent="0.25">
      <c r="A1193" t="s">
        <v>4253</v>
      </c>
      <c r="B1193">
        <v>11</v>
      </c>
      <c r="C1193">
        <v>91</v>
      </c>
      <c r="D1193">
        <v>9095</v>
      </c>
      <c r="E1193" t="s">
        <v>113</v>
      </c>
      <c r="F1193" t="s">
        <v>555</v>
      </c>
      <c r="G1193" t="s">
        <v>4254</v>
      </c>
      <c r="H1193" s="26">
        <v>22896</v>
      </c>
      <c r="I1193" t="s">
        <v>58</v>
      </c>
      <c r="J1193" t="s">
        <v>4255</v>
      </c>
      <c r="M1193">
        <v>91290</v>
      </c>
      <c r="N1193" t="s">
        <v>2342</v>
      </c>
      <c r="O1193" t="s">
        <v>61</v>
      </c>
      <c r="Q1193">
        <v>767272274</v>
      </c>
      <c r="R1193" t="s">
        <v>4256</v>
      </c>
      <c r="S1193" t="s">
        <v>63</v>
      </c>
      <c r="T1193" t="s">
        <v>64</v>
      </c>
      <c r="U1193" t="s">
        <v>65</v>
      </c>
      <c r="W1193" s="26">
        <v>45544</v>
      </c>
      <c r="X1193" t="s">
        <v>61</v>
      </c>
      <c r="Y1193" t="s">
        <v>237</v>
      </c>
    </row>
    <row r="1194" spans="1:25" x14ac:dyDescent="0.25">
      <c r="A1194" t="s">
        <v>4257</v>
      </c>
      <c r="B1194">
        <v>11</v>
      </c>
      <c r="C1194">
        <v>93</v>
      </c>
      <c r="D1194">
        <v>9060</v>
      </c>
      <c r="E1194" t="s">
        <v>203</v>
      </c>
      <c r="F1194" t="s">
        <v>1503</v>
      </c>
      <c r="G1194" t="s">
        <v>3314</v>
      </c>
      <c r="H1194" s="26">
        <v>18800</v>
      </c>
      <c r="I1194" t="s">
        <v>58</v>
      </c>
      <c r="J1194" t="s">
        <v>4258</v>
      </c>
      <c r="M1194">
        <v>93220</v>
      </c>
      <c r="N1194" t="s">
        <v>662</v>
      </c>
      <c r="O1194" t="s">
        <v>61</v>
      </c>
      <c r="P1194">
        <v>141538524</v>
      </c>
      <c r="Q1194">
        <v>757573840</v>
      </c>
      <c r="R1194" t="s">
        <v>4259</v>
      </c>
      <c r="S1194" t="s">
        <v>63</v>
      </c>
      <c r="T1194" t="s">
        <v>64</v>
      </c>
      <c r="U1194" t="s">
        <v>65</v>
      </c>
      <c r="W1194" s="26">
        <v>45546</v>
      </c>
      <c r="X1194" t="s">
        <v>61</v>
      </c>
      <c r="Y1194" t="s">
        <v>237</v>
      </c>
    </row>
    <row r="1195" spans="1:25" x14ac:dyDescent="0.25">
      <c r="A1195" t="s">
        <v>9039</v>
      </c>
      <c r="B1195">
        <v>11</v>
      </c>
      <c r="C1195">
        <v>77</v>
      </c>
      <c r="D1195">
        <v>9055</v>
      </c>
      <c r="E1195" t="s">
        <v>341</v>
      </c>
      <c r="F1195" t="s">
        <v>97</v>
      </c>
      <c r="G1195" t="s">
        <v>9040</v>
      </c>
      <c r="H1195" s="26">
        <v>23980</v>
      </c>
      <c r="I1195" t="s">
        <v>58</v>
      </c>
      <c r="J1195" t="s">
        <v>9041</v>
      </c>
      <c r="M1195">
        <v>77930</v>
      </c>
      <c r="N1195" t="s">
        <v>9042</v>
      </c>
      <c r="O1195" t="s">
        <v>61</v>
      </c>
      <c r="Q1195">
        <v>683071022</v>
      </c>
      <c r="R1195" t="s">
        <v>9043</v>
      </c>
      <c r="S1195" t="s">
        <v>63</v>
      </c>
      <c r="T1195" t="s">
        <v>64</v>
      </c>
      <c r="U1195" t="s">
        <v>65</v>
      </c>
      <c r="W1195" s="26">
        <v>45539</v>
      </c>
      <c r="X1195" t="s">
        <v>61</v>
      </c>
      <c r="Y1195" t="s">
        <v>237</v>
      </c>
    </row>
    <row r="1196" spans="1:25" x14ac:dyDescent="0.25">
      <c r="A1196" t="s">
        <v>9044</v>
      </c>
      <c r="B1196">
        <v>11</v>
      </c>
      <c r="C1196">
        <v>92</v>
      </c>
      <c r="D1196">
        <v>9065</v>
      </c>
      <c r="E1196" t="s">
        <v>426</v>
      </c>
      <c r="F1196" t="s">
        <v>68</v>
      </c>
      <c r="G1196" t="s">
        <v>9045</v>
      </c>
      <c r="H1196" s="26">
        <v>21489</v>
      </c>
      <c r="I1196" t="s">
        <v>58</v>
      </c>
      <c r="J1196" t="s">
        <v>9046</v>
      </c>
      <c r="M1196">
        <v>91380</v>
      </c>
      <c r="N1196" t="s">
        <v>1651</v>
      </c>
      <c r="O1196" t="s">
        <v>61</v>
      </c>
      <c r="Q1196">
        <v>616235183</v>
      </c>
      <c r="R1196" t="s">
        <v>9047</v>
      </c>
      <c r="S1196" t="s">
        <v>63</v>
      </c>
      <c r="T1196" t="s">
        <v>64</v>
      </c>
      <c r="U1196" t="s">
        <v>486</v>
      </c>
      <c r="W1196" s="26">
        <v>45528</v>
      </c>
      <c r="X1196" t="s">
        <v>61</v>
      </c>
      <c r="Y1196" t="s">
        <v>237</v>
      </c>
    </row>
    <row r="1197" spans="1:25" x14ac:dyDescent="0.25">
      <c r="A1197" t="s">
        <v>4260</v>
      </c>
      <c r="B1197">
        <v>11</v>
      </c>
      <c r="C1197">
        <v>78</v>
      </c>
      <c r="D1197">
        <v>9016</v>
      </c>
      <c r="E1197" t="s">
        <v>362</v>
      </c>
      <c r="F1197" t="s">
        <v>2880</v>
      </c>
      <c r="G1197" t="s">
        <v>4261</v>
      </c>
      <c r="H1197" s="26">
        <v>19830</v>
      </c>
      <c r="I1197" t="s">
        <v>58</v>
      </c>
      <c r="J1197" t="s">
        <v>4262</v>
      </c>
      <c r="M1197">
        <v>85420</v>
      </c>
      <c r="N1197" t="s">
        <v>4263</v>
      </c>
      <c r="O1197" t="s">
        <v>61</v>
      </c>
      <c r="Q1197">
        <v>625759078</v>
      </c>
      <c r="S1197" t="s">
        <v>63</v>
      </c>
      <c r="T1197" t="s">
        <v>64</v>
      </c>
      <c r="U1197" t="s">
        <v>65</v>
      </c>
      <c r="W1197" s="26">
        <v>45541</v>
      </c>
      <c r="X1197" t="s">
        <v>61</v>
      </c>
      <c r="Y1197" t="s">
        <v>237</v>
      </c>
    </row>
    <row r="1198" spans="1:25" x14ac:dyDescent="0.25">
      <c r="A1198" t="s">
        <v>4264</v>
      </c>
      <c r="B1198">
        <v>11</v>
      </c>
      <c r="C1198">
        <v>77</v>
      </c>
      <c r="D1198">
        <v>9055</v>
      </c>
      <c r="E1198" t="s">
        <v>341</v>
      </c>
      <c r="F1198" t="s">
        <v>85</v>
      </c>
      <c r="G1198" t="s">
        <v>4265</v>
      </c>
      <c r="H1198" s="26">
        <v>26883</v>
      </c>
      <c r="I1198" t="s">
        <v>58</v>
      </c>
      <c r="J1198" t="s">
        <v>4266</v>
      </c>
      <c r="M1198">
        <v>77630</v>
      </c>
      <c r="N1198" t="s">
        <v>4267</v>
      </c>
      <c r="O1198" t="s">
        <v>61</v>
      </c>
      <c r="Q1198">
        <v>603205605</v>
      </c>
      <c r="R1198" t="s">
        <v>4268</v>
      </c>
      <c r="S1198" t="s">
        <v>237</v>
      </c>
      <c r="T1198" t="s">
        <v>64</v>
      </c>
      <c r="U1198" t="s">
        <v>65</v>
      </c>
      <c r="W1198" s="26">
        <v>45539</v>
      </c>
      <c r="X1198" t="s">
        <v>61</v>
      </c>
      <c r="Y1198" t="s">
        <v>237</v>
      </c>
    </row>
    <row r="1199" spans="1:25" x14ac:dyDescent="0.25">
      <c r="A1199" t="s">
        <v>4269</v>
      </c>
      <c r="B1199">
        <v>11</v>
      </c>
      <c r="C1199">
        <v>78</v>
      </c>
      <c r="D1199">
        <v>9030</v>
      </c>
      <c r="E1199" t="s">
        <v>96</v>
      </c>
      <c r="F1199" t="s">
        <v>4270</v>
      </c>
      <c r="G1199" t="s">
        <v>4271</v>
      </c>
      <c r="H1199" s="26">
        <v>33992</v>
      </c>
      <c r="I1199" t="s">
        <v>58</v>
      </c>
      <c r="J1199" t="s">
        <v>4272</v>
      </c>
      <c r="M1199">
        <v>78960</v>
      </c>
      <c r="N1199" t="s">
        <v>566</v>
      </c>
      <c r="O1199" t="s">
        <v>61</v>
      </c>
      <c r="Q1199">
        <v>648115151</v>
      </c>
      <c r="R1199" t="s">
        <v>4273</v>
      </c>
      <c r="S1199" t="s">
        <v>63</v>
      </c>
      <c r="T1199" t="s">
        <v>64</v>
      </c>
      <c r="U1199" t="s">
        <v>65</v>
      </c>
      <c r="W1199" s="26">
        <v>45551</v>
      </c>
      <c r="X1199" t="s">
        <v>61</v>
      </c>
      <c r="Y1199" t="s">
        <v>237</v>
      </c>
    </row>
    <row r="1200" spans="1:25" x14ac:dyDescent="0.25">
      <c r="A1200" t="s">
        <v>4274</v>
      </c>
      <c r="B1200">
        <v>11</v>
      </c>
      <c r="C1200">
        <v>78</v>
      </c>
      <c r="D1200">
        <v>9030</v>
      </c>
      <c r="E1200" t="s">
        <v>96</v>
      </c>
      <c r="F1200" t="s">
        <v>212</v>
      </c>
      <c r="G1200" t="s">
        <v>4275</v>
      </c>
      <c r="H1200" s="26">
        <v>18980</v>
      </c>
      <c r="I1200" t="s">
        <v>58</v>
      </c>
      <c r="J1200" t="s">
        <v>4276</v>
      </c>
      <c r="M1200">
        <v>78280</v>
      </c>
      <c r="N1200" t="s">
        <v>98</v>
      </c>
      <c r="O1200" t="s">
        <v>61</v>
      </c>
      <c r="Q1200">
        <v>685819828</v>
      </c>
      <c r="R1200" t="s">
        <v>4277</v>
      </c>
      <c r="S1200" t="s">
        <v>63</v>
      </c>
      <c r="T1200" t="s">
        <v>64</v>
      </c>
      <c r="U1200" t="s">
        <v>65</v>
      </c>
      <c r="W1200" s="26">
        <v>45542</v>
      </c>
      <c r="X1200" t="s">
        <v>61</v>
      </c>
      <c r="Y1200" t="s">
        <v>237</v>
      </c>
    </row>
    <row r="1201" spans="1:25" x14ac:dyDescent="0.25">
      <c r="A1201" t="s">
        <v>4278</v>
      </c>
      <c r="B1201">
        <v>11</v>
      </c>
      <c r="C1201">
        <v>91</v>
      </c>
      <c r="D1201">
        <v>9082</v>
      </c>
      <c r="E1201" t="s">
        <v>67</v>
      </c>
      <c r="F1201" t="s">
        <v>4279</v>
      </c>
      <c r="G1201" t="s">
        <v>4280</v>
      </c>
      <c r="H1201" s="26">
        <v>20645</v>
      </c>
      <c r="I1201" t="s">
        <v>58</v>
      </c>
      <c r="J1201" t="s">
        <v>4281</v>
      </c>
      <c r="M1201">
        <v>91210</v>
      </c>
      <c r="N1201" t="s">
        <v>226</v>
      </c>
      <c r="O1201" t="s">
        <v>61</v>
      </c>
      <c r="Q1201">
        <v>652547123</v>
      </c>
      <c r="R1201" t="s">
        <v>4282</v>
      </c>
      <c r="S1201" t="s">
        <v>63</v>
      </c>
      <c r="T1201" t="s">
        <v>64</v>
      </c>
      <c r="U1201" t="s">
        <v>65</v>
      </c>
      <c r="W1201" s="26">
        <v>45552</v>
      </c>
      <c r="X1201" t="s">
        <v>61</v>
      </c>
      <c r="Y1201" t="s">
        <v>237</v>
      </c>
    </row>
    <row r="1202" spans="1:25" x14ac:dyDescent="0.25">
      <c r="A1202" t="s">
        <v>4283</v>
      </c>
      <c r="B1202">
        <v>11</v>
      </c>
      <c r="C1202">
        <v>94</v>
      </c>
      <c r="D1202">
        <v>9045</v>
      </c>
      <c r="E1202" t="s">
        <v>1234</v>
      </c>
      <c r="F1202" t="s">
        <v>4284</v>
      </c>
      <c r="G1202" t="s">
        <v>4285</v>
      </c>
      <c r="H1202" s="26">
        <v>29053</v>
      </c>
      <c r="I1202" t="s">
        <v>58</v>
      </c>
      <c r="J1202" t="s">
        <v>4286</v>
      </c>
      <c r="M1202">
        <v>94200</v>
      </c>
      <c r="N1202" t="s">
        <v>899</v>
      </c>
      <c r="O1202" t="s">
        <v>61</v>
      </c>
      <c r="Q1202">
        <v>632411728</v>
      </c>
      <c r="R1202" t="s">
        <v>4287</v>
      </c>
      <c r="S1202" t="s">
        <v>63</v>
      </c>
      <c r="T1202" t="s">
        <v>64</v>
      </c>
      <c r="U1202" t="s">
        <v>8684</v>
      </c>
      <c r="W1202" s="26">
        <v>45545</v>
      </c>
      <c r="X1202" t="s">
        <v>61</v>
      </c>
      <c r="Y1202" t="s">
        <v>237</v>
      </c>
    </row>
    <row r="1203" spans="1:25" x14ac:dyDescent="0.25">
      <c r="A1203" t="s">
        <v>4288</v>
      </c>
      <c r="B1203">
        <v>11</v>
      </c>
      <c r="C1203">
        <v>92</v>
      </c>
      <c r="D1203">
        <v>9065</v>
      </c>
      <c r="E1203" t="s">
        <v>426</v>
      </c>
      <c r="F1203" t="s">
        <v>4289</v>
      </c>
      <c r="G1203" t="s">
        <v>4290</v>
      </c>
      <c r="H1203" s="26">
        <v>33604</v>
      </c>
      <c r="I1203" t="s">
        <v>58</v>
      </c>
      <c r="J1203" t="s">
        <v>4291</v>
      </c>
      <c r="M1203">
        <v>92600</v>
      </c>
      <c r="N1203" t="s">
        <v>3378</v>
      </c>
      <c r="O1203" t="s">
        <v>61</v>
      </c>
      <c r="Q1203">
        <v>783121133</v>
      </c>
      <c r="R1203" t="s">
        <v>4292</v>
      </c>
      <c r="S1203" t="s">
        <v>63</v>
      </c>
      <c r="T1203" t="s">
        <v>64</v>
      </c>
      <c r="U1203" t="s">
        <v>486</v>
      </c>
      <c r="W1203" s="26">
        <v>45534</v>
      </c>
      <c r="X1203" t="s">
        <v>61</v>
      </c>
      <c r="Y1203" t="s">
        <v>237</v>
      </c>
    </row>
    <row r="1204" spans="1:25" x14ac:dyDescent="0.25">
      <c r="A1204" t="s">
        <v>4293</v>
      </c>
      <c r="B1204">
        <v>11</v>
      </c>
      <c r="C1204">
        <v>77</v>
      </c>
      <c r="D1204">
        <v>9021</v>
      </c>
      <c r="E1204" t="s">
        <v>229</v>
      </c>
      <c r="F1204" t="s">
        <v>114</v>
      </c>
      <c r="G1204" t="s">
        <v>4294</v>
      </c>
      <c r="H1204" s="26">
        <v>22108</v>
      </c>
      <c r="I1204" t="s">
        <v>58</v>
      </c>
      <c r="J1204" t="s">
        <v>4295</v>
      </c>
      <c r="M1204">
        <v>77430</v>
      </c>
      <c r="N1204" t="s">
        <v>615</v>
      </c>
      <c r="O1204" t="s">
        <v>61</v>
      </c>
      <c r="Q1204">
        <v>650794802</v>
      </c>
      <c r="R1204" t="s">
        <v>4296</v>
      </c>
      <c r="S1204" t="s">
        <v>63</v>
      </c>
      <c r="T1204" t="s">
        <v>64</v>
      </c>
      <c r="U1204" t="s">
        <v>65</v>
      </c>
      <c r="W1204" s="26">
        <v>45562</v>
      </c>
      <c r="X1204" t="s">
        <v>61</v>
      </c>
      <c r="Y1204" t="s">
        <v>237</v>
      </c>
    </row>
    <row r="1205" spans="1:25" x14ac:dyDescent="0.25">
      <c r="A1205" t="s">
        <v>4297</v>
      </c>
      <c r="B1205">
        <v>11</v>
      </c>
      <c r="C1205">
        <v>95</v>
      </c>
      <c r="D1205">
        <v>9069</v>
      </c>
      <c r="E1205" t="s">
        <v>129</v>
      </c>
      <c r="F1205" t="s">
        <v>4298</v>
      </c>
      <c r="G1205" t="s">
        <v>4299</v>
      </c>
      <c r="H1205" s="26">
        <v>21396</v>
      </c>
      <c r="I1205" t="s">
        <v>58</v>
      </c>
      <c r="J1205" t="s">
        <v>4300</v>
      </c>
      <c r="M1205">
        <v>95250</v>
      </c>
      <c r="N1205" t="s">
        <v>423</v>
      </c>
      <c r="O1205" t="s">
        <v>61</v>
      </c>
      <c r="Q1205">
        <v>673787259</v>
      </c>
      <c r="R1205" t="s">
        <v>4301</v>
      </c>
      <c r="S1205" t="s">
        <v>63</v>
      </c>
      <c r="T1205" t="s">
        <v>64</v>
      </c>
      <c r="U1205" t="s">
        <v>65</v>
      </c>
      <c r="W1205" s="26">
        <v>45545</v>
      </c>
      <c r="X1205" t="s">
        <v>61</v>
      </c>
      <c r="Y1205" t="s">
        <v>237</v>
      </c>
    </row>
    <row r="1206" spans="1:25" x14ac:dyDescent="0.25">
      <c r="A1206" t="s">
        <v>4302</v>
      </c>
      <c r="B1206">
        <v>11</v>
      </c>
      <c r="C1206">
        <v>77</v>
      </c>
      <c r="D1206">
        <v>9059</v>
      </c>
      <c r="E1206" t="s">
        <v>197</v>
      </c>
      <c r="F1206" t="s">
        <v>555</v>
      </c>
      <c r="G1206" t="s">
        <v>1893</v>
      </c>
      <c r="H1206" s="26">
        <v>26603</v>
      </c>
      <c r="I1206" t="s">
        <v>58</v>
      </c>
      <c r="J1206" t="s">
        <v>4303</v>
      </c>
      <c r="M1206">
        <v>77340</v>
      </c>
      <c r="N1206" t="s">
        <v>201</v>
      </c>
      <c r="O1206" t="s">
        <v>61</v>
      </c>
      <c r="R1206" t="s">
        <v>4304</v>
      </c>
      <c r="S1206" t="s">
        <v>63</v>
      </c>
      <c r="T1206" t="s">
        <v>64</v>
      </c>
      <c r="U1206" t="s">
        <v>65</v>
      </c>
      <c r="W1206" s="26">
        <v>45540</v>
      </c>
      <c r="X1206" t="s">
        <v>61</v>
      </c>
      <c r="Y1206" t="s">
        <v>237</v>
      </c>
    </row>
    <row r="1207" spans="1:25" x14ac:dyDescent="0.25">
      <c r="A1207" t="s">
        <v>4305</v>
      </c>
      <c r="B1207">
        <v>11</v>
      </c>
      <c r="C1207">
        <v>95</v>
      </c>
      <c r="D1207">
        <v>9069</v>
      </c>
      <c r="E1207" t="s">
        <v>129</v>
      </c>
      <c r="F1207" t="s">
        <v>143</v>
      </c>
      <c r="G1207" t="s">
        <v>4306</v>
      </c>
      <c r="H1207" s="26">
        <v>20837</v>
      </c>
      <c r="I1207" t="s">
        <v>58</v>
      </c>
      <c r="J1207" t="s">
        <v>4307</v>
      </c>
      <c r="M1207">
        <v>95130</v>
      </c>
      <c r="N1207" t="s">
        <v>878</v>
      </c>
      <c r="O1207" t="s">
        <v>61</v>
      </c>
      <c r="Q1207">
        <v>671921808</v>
      </c>
      <c r="R1207" t="s">
        <v>4308</v>
      </c>
      <c r="S1207" t="s">
        <v>63</v>
      </c>
      <c r="T1207" t="s">
        <v>64</v>
      </c>
      <c r="U1207" t="s">
        <v>65</v>
      </c>
      <c r="W1207" s="26">
        <v>45544</v>
      </c>
      <c r="X1207" t="s">
        <v>61</v>
      </c>
      <c r="Y1207" t="s">
        <v>237</v>
      </c>
    </row>
    <row r="1208" spans="1:25" x14ac:dyDescent="0.25">
      <c r="A1208" t="s">
        <v>11292</v>
      </c>
      <c r="B1208">
        <v>11</v>
      </c>
      <c r="C1208">
        <v>93</v>
      </c>
      <c r="D1208">
        <v>9122</v>
      </c>
      <c r="E1208" t="s">
        <v>1030</v>
      </c>
      <c r="F1208" t="s">
        <v>955</v>
      </c>
      <c r="G1208" t="s">
        <v>11293</v>
      </c>
      <c r="H1208" s="26">
        <v>23433</v>
      </c>
      <c r="I1208" t="s">
        <v>58</v>
      </c>
      <c r="J1208" t="s">
        <v>11294</v>
      </c>
      <c r="M1208">
        <v>93220</v>
      </c>
      <c r="N1208" t="s">
        <v>662</v>
      </c>
      <c r="O1208" t="s">
        <v>61</v>
      </c>
      <c r="Q1208">
        <v>612806731</v>
      </c>
      <c r="R1208" t="s">
        <v>11295</v>
      </c>
      <c r="S1208" t="s">
        <v>63</v>
      </c>
      <c r="T1208" t="s">
        <v>64</v>
      </c>
      <c r="U1208" t="s">
        <v>65</v>
      </c>
      <c r="W1208" s="26">
        <v>45585</v>
      </c>
      <c r="X1208" t="s">
        <v>61</v>
      </c>
      <c r="Y1208" t="s">
        <v>237</v>
      </c>
    </row>
    <row r="1209" spans="1:25" x14ac:dyDescent="0.25">
      <c r="A1209" t="s">
        <v>4309</v>
      </c>
      <c r="B1209">
        <v>11</v>
      </c>
      <c r="C1209">
        <v>78</v>
      </c>
      <c r="D1209">
        <v>9038</v>
      </c>
      <c r="E1209" t="s">
        <v>484</v>
      </c>
      <c r="F1209" t="s">
        <v>13</v>
      </c>
      <c r="G1209" t="s">
        <v>4310</v>
      </c>
      <c r="H1209" s="26">
        <v>24492</v>
      </c>
      <c r="I1209" t="s">
        <v>58</v>
      </c>
      <c r="J1209" t="s">
        <v>4311</v>
      </c>
      <c r="M1209">
        <v>95220</v>
      </c>
      <c r="N1209" t="s">
        <v>1477</v>
      </c>
      <c r="O1209" t="s">
        <v>61</v>
      </c>
      <c r="Q1209">
        <v>619651584</v>
      </c>
      <c r="R1209" t="s">
        <v>4312</v>
      </c>
      <c r="S1209" t="s">
        <v>63</v>
      </c>
      <c r="T1209" t="s">
        <v>64</v>
      </c>
      <c r="U1209" t="s">
        <v>65</v>
      </c>
      <c r="W1209" s="26">
        <v>45553</v>
      </c>
      <c r="X1209" t="s">
        <v>61</v>
      </c>
      <c r="Y1209" t="s">
        <v>237</v>
      </c>
    </row>
    <row r="1210" spans="1:25" x14ac:dyDescent="0.25">
      <c r="A1210" t="s">
        <v>4313</v>
      </c>
      <c r="B1210">
        <v>11</v>
      </c>
      <c r="C1210">
        <v>91</v>
      </c>
      <c r="D1210">
        <v>9025</v>
      </c>
      <c r="E1210" t="s">
        <v>188</v>
      </c>
      <c r="F1210" t="s">
        <v>4314</v>
      </c>
      <c r="G1210" t="s">
        <v>4315</v>
      </c>
      <c r="H1210" s="26">
        <v>40596</v>
      </c>
      <c r="I1210" t="s">
        <v>58</v>
      </c>
      <c r="J1210" t="s">
        <v>4316</v>
      </c>
      <c r="M1210">
        <v>91100</v>
      </c>
      <c r="N1210" t="s">
        <v>1427</v>
      </c>
      <c r="O1210" t="s">
        <v>61</v>
      </c>
      <c r="Q1210">
        <v>671503361</v>
      </c>
      <c r="R1210" t="s">
        <v>4317</v>
      </c>
      <c r="S1210" t="s">
        <v>63</v>
      </c>
      <c r="T1210" t="s">
        <v>2510</v>
      </c>
      <c r="U1210" t="s">
        <v>486</v>
      </c>
      <c r="W1210" s="26">
        <v>45556</v>
      </c>
      <c r="X1210" t="s">
        <v>61</v>
      </c>
      <c r="Y1210" t="s">
        <v>237</v>
      </c>
    </row>
    <row r="1211" spans="1:25" x14ac:dyDescent="0.25">
      <c r="A1211" t="s">
        <v>4321</v>
      </c>
      <c r="B1211">
        <v>11</v>
      </c>
      <c r="C1211">
        <v>91</v>
      </c>
      <c r="D1211">
        <v>9025</v>
      </c>
      <c r="E1211" t="s">
        <v>188</v>
      </c>
      <c r="F1211" t="s">
        <v>2409</v>
      </c>
      <c r="G1211" t="s">
        <v>4322</v>
      </c>
      <c r="H1211" s="26">
        <v>40779</v>
      </c>
      <c r="I1211" t="s">
        <v>58</v>
      </c>
      <c r="J1211" t="s">
        <v>4323</v>
      </c>
      <c r="M1211">
        <v>91100</v>
      </c>
      <c r="N1211" t="s">
        <v>1427</v>
      </c>
      <c r="O1211" t="s">
        <v>61</v>
      </c>
      <c r="Q1211">
        <v>661709028</v>
      </c>
      <c r="R1211" t="s">
        <v>4324</v>
      </c>
      <c r="S1211" t="s">
        <v>63</v>
      </c>
      <c r="T1211" t="s">
        <v>2510</v>
      </c>
      <c r="U1211" t="s">
        <v>486</v>
      </c>
      <c r="W1211" s="26">
        <v>45552</v>
      </c>
      <c r="X1211" t="s">
        <v>61</v>
      </c>
      <c r="Y1211" t="s">
        <v>237</v>
      </c>
    </row>
    <row r="1212" spans="1:25" x14ac:dyDescent="0.25">
      <c r="A1212" t="s">
        <v>4325</v>
      </c>
      <c r="B1212">
        <v>11</v>
      </c>
      <c r="C1212">
        <v>91</v>
      </c>
      <c r="D1212">
        <v>9025</v>
      </c>
      <c r="E1212" t="s">
        <v>188</v>
      </c>
      <c r="F1212" t="s">
        <v>217</v>
      </c>
      <c r="G1212" t="s">
        <v>4326</v>
      </c>
      <c r="H1212" s="26">
        <v>21854</v>
      </c>
      <c r="I1212" t="s">
        <v>58</v>
      </c>
      <c r="J1212" t="s">
        <v>4327</v>
      </c>
      <c r="M1212">
        <v>91280</v>
      </c>
      <c r="N1212" t="s">
        <v>1399</v>
      </c>
      <c r="O1212" t="s">
        <v>61</v>
      </c>
      <c r="Q1212">
        <v>785058801</v>
      </c>
      <c r="R1212" t="s">
        <v>4328</v>
      </c>
      <c r="S1212" t="s">
        <v>63</v>
      </c>
      <c r="T1212" t="s">
        <v>64</v>
      </c>
      <c r="U1212" t="s">
        <v>65</v>
      </c>
      <c r="W1212" s="26">
        <v>45567</v>
      </c>
      <c r="X1212" t="s">
        <v>61</v>
      </c>
      <c r="Y1212" t="s">
        <v>237</v>
      </c>
    </row>
    <row r="1213" spans="1:25" x14ac:dyDescent="0.25">
      <c r="A1213" t="s">
        <v>4329</v>
      </c>
      <c r="B1213">
        <v>11</v>
      </c>
      <c r="C1213">
        <v>92</v>
      </c>
      <c r="D1213">
        <v>9065</v>
      </c>
      <c r="E1213" t="s">
        <v>426</v>
      </c>
      <c r="F1213" t="s">
        <v>169</v>
      </c>
      <c r="G1213" t="s">
        <v>4330</v>
      </c>
      <c r="H1213" s="26">
        <v>31175</v>
      </c>
      <c r="I1213" t="s">
        <v>58</v>
      </c>
      <c r="J1213" t="s">
        <v>4331</v>
      </c>
      <c r="M1213">
        <v>91300</v>
      </c>
      <c r="N1213" t="s">
        <v>675</v>
      </c>
      <c r="O1213" t="s">
        <v>61</v>
      </c>
      <c r="Q1213">
        <v>649772520</v>
      </c>
      <c r="R1213" t="s">
        <v>4332</v>
      </c>
      <c r="S1213" t="s">
        <v>63</v>
      </c>
      <c r="T1213" t="s">
        <v>64</v>
      </c>
      <c r="U1213" t="s">
        <v>486</v>
      </c>
      <c r="W1213" s="26">
        <v>45538</v>
      </c>
      <c r="X1213" t="s">
        <v>2726</v>
      </c>
      <c r="Y1213" t="s">
        <v>237</v>
      </c>
    </row>
    <row r="1214" spans="1:25" x14ac:dyDescent="0.25">
      <c r="A1214" t="s">
        <v>4333</v>
      </c>
      <c r="B1214">
        <v>11</v>
      </c>
      <c r="C1214">
        <v>78</v>
      </c>
      <c r="D1214">
        <v>9030</v>
      </c>
      <c r="E1214" t="s">
        <v>96</v>
      </c>
      <c r="F1214" t="s">
        <v>887</v>
      </c>
      <c r="G1214" t="s">
        <v>4334</v>
      </c>
      <c r="H1214" s="26">
        <v>22313</v>
      </c>
      <c r="I1214" t="s">
        <v>58</v>
      </c>
      <c r="J1214" t="s">
        <v>4335</v>
      </c>
      <c r="M1214">
        <v>78960</v>
      </c>
      <c r="N1214" t="s">
        <v>566</v>
      </c>
      <c r="O1214" t="s">
        <v>61</v>
      </c>
      <c r="Q1214">
        <v>768535849</v>
      </c>
      <c r="R1214" t="s">
        <v>4336</v>
      </c>
      <c r="S1214" t="s">
        <v>63</v>
      </c>
      <c r="T1214" t="s">
        <v>64</v>
      </c>
      <c r="U1214" t="s">
        <v>65</v>
      </c>
      <c r="W1214" s="26">
        <v>45545</v>
      </c>
      <c r="X1214" t="s">
        <v>61</v>
      </c>
      <c r="Y1214" t="s">
        <v>237</v>
      </c>
    </row>
    <row r="1215" spans="1:25" x14ac:dyDescent="0.25">
      <c r="A1215" t="s">
        <v>4337</v>
      </c>
      <c r="B1215">
        <v>11</v>
      </c>
      <c r="C1215">
        <v>75</v>
      </c>
      <c r="D1215">
        <v>9126</v>
      </c>
      <c r="E1215" t="s">
        <v>1818</v>
      </c>
      <c r="F1215" t="s">
        <v>4338</v>
      </c>
      <c r="G1215" t="s">
        <v>4339</v>
      </c>
      <c r="H1215" s="26">
        <v>26512</v>
      </c>
      <c r="I1215" t="s">
        <v>58</v>
      </c>
      <c r="J1215" t="s">
        <v>4340</v>
      </c>
      <c r="M1215">
        <v>92700</v>
      </c>
      <c r="N1215" t="s">
        <v>151</v>
      </c>
      <c r="O1215" t="s">
        <v>61</v>
      </c>
      <c r="Q1215">
        <v>623008944</v>
      </c>
      <c r="R1215" t="s">
        <v>4341</v>
      </c>
      <c r="S1215" t="s">
        <v>63</v>
      </c>
      <c r="T1215" t="s">
        <v>64</v>
      </c>
      <c r="U1215" t="s">
        <v>8684</v>
      </c>
      <c r="W1215" s="26">
        <v>45534</v>
      </c>
      <c r="X1215" t="s">
        <v>61</v>
      </c>
      <c r="Y1215" t="s">
        <v>237</v>
      </c>
    </row>
    <row r="1216" spans="1:25" x14ac:dyDescent="0.25">
      <c r="A1216" t="s">
        <v>4342</v>
      </c>
      <c r="B1216">
        <v>11</v>
      </c>
      <c r="C1216">
        <v>75</v>
      </c>
      <c r="D1216">
        <v>9126</v>
      </c>
      <c r="E1216" t="s">
        <v>1818</v>
      </c>
      <c r="F1216" t="s">
        <v>4343</v>
      </c>
      <c r="G1216" t="s">
        <v>4344</v>
      </c>
      <c r="H1216" s="26">
        <v>34699</v>
      </c>
      <c r="I1216" t="s">
        <v>16</v>
      </c>
      <c r="J1216" t="s">
        <v>4345</v>
      </c>
      <c r="M1216">
        <v>75010</v>
      </c>
      <c r="N1216" t="s">
        <v>330</v>
      </c>
      <c r="O1216" t="s">
        <v>61</v>
      </c>
      <c r="Q1216">
        <v>772055467</v>
      </c>
      <c r="R1216" t="s">
        <v>4346</v>
      </c>
      <c r="S1216" t="s">
        <v>63</v>
      </c>
      <c r="T1216" t="s">
        <v>64</v>
      </c>
      <c r="U1216" t="s">
        <v>8684</v>
      </c>
      <c r="W1216" s="26">
        <v>45553</v>
      </c>
      <c r="X1216" t="s">
        <v>61</v>
      </c>
      <c r="Y1216" t="s">
        <v>237</v>
      </c>
    </row>
    <row r="1217" spans="1:25" x14ac:dyDescent="0.25">
      <c r="A1217" t="s">
        <v>4347</v>
      </c>
      <c r="B1217">
        <v>11</v>
      </c>
      <c r="C1217">
        <v>78</v>
      </c>
      <c r="D1217">
        <v>9056</v>
      </c>
      <c r="E1217" t="s">
        <v>214</v>
      </c>
      <c r="F1217" t="s">
        <v>91</v>
      </c>
      <c r="G1217" t="s">
        <v>4348</v>
      </c>
      <c r="H1217" s="26">
        <v>20725</v>
      </c>
      <c r="I1217" t="s">
        <v>58</v>
      </c>
      <c r="J1217" t="s">
        <v>4349</v>
      </c>
      <c r="M1217">
        <v>78000</v>
      </c>
      <c r="N1217" t="s">
        <v>1334</v>
      </c>
      <c r="O1217" t="s">
        <v>61</v>
      </c>
      <c r="Q1217">
        <v>638054679</v>
      </c>
      <c r="R1217" t="s">
        <v>4350</v>
      </c>
      <c r="S1217" t="s">
        <v>63</v>
      </c>
      <c r="T1217" t="s">
        <v>64</v>
      </c>
      <c r="U1217" t="s">
        <v>65</v>
      </c>
      <c r="W1217" s="26">
        <v>45555</v>
      </c>
      <c r="X1217" t="s">
        <v>61</v>
      </c>
      <c r="Y1217" t="s">
        <v>237</v>
      </c>
    </row>
    <row r="1218" spans="1:25" x14ac:dyDescent="0.25">
      <c r="A1218" t="s">
        <v>4351</v>
      </c>
      <c r="B1218">
        <v>11</v>
      </c>
      <c r="C1218">
        <v>77</v>
      </c>
      <c r="D1218">
        <v>9059</v>
      </c>
      <c r="E1218" t="s">
        <v>197</v>
      </c>
      <c r="F1218" t="s">
        <v>1991</v>
      </c>
      <c r="G1218" t="s">
        <v>4352</v>
      </c>
      <c r="H1218" s="26">
        <v>22132</v>
      </c>
      <c r="I1218" t="s">
        <v>58</v>
      </c>
      <c r="J1218" t="s">
        <v>4353</v>
      </c>
      <c r="M1218">
        <v>77610</v>
      </c>
      <c r="N1218" t="s">
        <v>2351</v>
      </c>
      <c r="O1218" t="s">
        <v>61</v>
      </c>
      <c r="R1218" t="s">
        <v>4354</v>
      </c>
      <c r="S1218" t="s">
        <v>63</v>
      </c>
      <c r="T1218" t="s">
        <v>64</v>
      </c>
      <c r="U1218" t="s">
        <v>65</v>
      </c>
      <c r="W1218" s="26">
        <v>45548</v>
      </c>
      <c r="X1218" t="s">
        <v>61</v>
      </c>
      <c r="Y1218" t="s">
        <v>237</v>
      </c>
    </row>
    <row r="1219" spans="1:25" x14ac:dyDescent="0.25">
      <c r="A1219" t="s">
        <v>4355</v>
      </c>
      <c r="B1219">
        <v>11</v>
      </c>
      <c r="C1219">
        <v>75</v>
      </c>
      <c r="D1219">
        <v>9070</v>
      </c>
      <c r="E1219" t="s">
        <v>168</v>
      </c>
      <c r="F1219" t="s">
        <v>4356</v>
      </c>
      <c r="G1219" t="s">
        <v>4357</v>
      </c>
      <c r="H1219" s="26">
        <v>35025</v>
      </c>
      <c r="I1219" t="s">
        <v>58</v>
      </c>
      <c r="J1219" t="s">
        <v>4358</v>
      </c>
      <c r="M1219">
        <v>94300</v>
      </c>
      <c r="N1219" t="s">
        <v>838</v>
      </c>
      <c r="O1219" t="s">
        <v>61</v>
      </c>
      <c r="P1219">
        <v>33778648553</v>
      </c>
      <c r="R1219" t="s">
        <v>4359</v>
      </c>
      <c r="S1219" t="s">
        <v>63</v>
      </c>
      <c r="T1219" t="s">
        <v>64</v>
      </c>
      <c r="U1219" t="s">
        <v>8684</v>
      </c>
      <c r="W1219" s="26">
        <v>45533</v>
      </c>
      <c r="X1219" t="s">
        <v>3895</v>
      </c>
      <c r="Y1219" t="s">
        <v>237</v>
      </c>
    </row>
    <row r="1220" spans="1:25" x14ac:dyDescent="0.25">
      <c r="A1220" t="s">
        <v>4360</v>
      </c>
      <c r="B1220">
        <v>11</v>
      </c>
      <c r="C1220">
        <v>92</v>
      </c>
      <c r="D1220">
        <v>9065</v>
      </c>
      <c r="E1220" t="s">
        <v>426</v>
      </c>
      <c r="F1220" t="s">
        <v>4361</v>
      </c>
      <c r="G1220" t="s">
        <v>4362</v>
      </c>
      <c r="H1220" s="26">
        <v>34640</v>
      </c>
      <c r="I1220" t="s">
        <v>58</v>
      </c>
      <c r="J1220" t="s">
        <v>4363</v>
      </c>
      <c r="M1220">
        <v>78000</v>
      </c>
      <c r="N1220" t="s">
        <v>1334</v>
      </c>
      <c r="O1220" t="s">
        <v>61</v>
      </c>
      <c r="Q1220">
        <v>749505000</v>
      </c>
      <c r="R1220" t="s">
        <v>4364</v>
      </c>
      <c r="S1220" t="s">
        <v>63</v>
      </c>
      <c r="T1220" t="s">
        <v>64</v>
      </c>
      <c r="U1220" t="s">
        <v>486</v>
      </c>
      <c r="W1220" s="26">
        <v>45539</v>
      </c>
      <c r="X1220" t="s">
        <v>61</v>
      </c>
      <c r="Y1220" t="s">
        <v>237</v>
      </c>
    </row>
    <row r="1221" spans="1:25" x14ac:dyDescent="0.25">
      <c r="A1221" t="s">
        <v>4365</v>
      </c>
      <c r="B1221">
        <v>11</v>
      </c>
      <c r="C1221">
        <v>95</v>
      </c>
      <c r="D1221">
        <v>9069</v>
      </c>
      <c r="E1221" t="s">
        <v>129</v>
      </c>
      <c r="F1221" t="s">
        <v>106</v>
      </c>
      <c r="G1221" t="s">
        <v>4366</v>
      </c>
      <c r="H1221" s="26">
        <v>19900</v>
      </c>
      <c r="I1221" t="s">
        <v>58</v>
      </c>
      <c r="J1221" t="s">
        <v>4367</v>
      </c>
      <c r="M1221">
        <v>95130</v>
      </c>
      <c r="N1221" t="s">
        <v>878</v>
      </c>
      <c r="O1221" t="s">
        <v>61</v>
      </c>
      <c r="P1221">
        <v>134140478</v>
      </c>
      <c r="Q1221">
        <v>783102586</v>
      </c>
      <c r="R1221" t="s">
        <v>4368</v>
      </c>
      <c r="S1221" t="s">
        <v>63</v>
      </c>
      <c r="T1221" t="s">
        <v>64</v>
      </c>
      <c r="U1221" t="s">
        <v>65</v>
      </c>
      <c r="W1221" s="26">
        <v>45567</v>
      </c>
      <c r="X1221" t="s">
        <v>61</v>
      </c>
      <c r="Y1221" t="s">
        <v>237</v>
      </c>
    </row>
    <row r="1222" spans="1:25" x14ac:dyDescent="0.25">
      <c r="A1222" t="s">
        <v>10829</v>
      </c>
      <c r="B1222">
        <v>11</v>
      </c>
      <c r="C1222">
        <v>92</v>
      </c>
      <c r="D1222">
        <v>9032</v>
      </c>
      <c r="E1222" t="s">
        <v>102</v>
      </c>
      <c r="F1222" t="s">
        <v>10830</v>
      </c>
      <c r="G1222" t="s">
        <v>10831</v>
      </c>
      <c r="H1222" s="26">
        <v>21545</v>
      </c>
      <c r="I1222" t="s">
        <v>58</v>
      </c>
      <c r="J1222" t="s">
        <v>10832</v>
      </c>
      <c r="M1222">
        <v>91440</v>
      </c>
      <c r="N1222" t="s">
        <v>2033</v>
      </c>
      <c r="O1222" t="s">
        <v>61</v>
      </c>
      <c r="R1222" t="s">
        <v>10833</v>
      </c>
      <c r="S1222" t="s">
        <v>63</v>
      </c>
      <c r="T1222" t="s">
        <v>64</v>
      </c>
      <c r="U1222" t="s">
        <v>65</v>
      </c>
      <c r="W1222" s="26">
        <v>45581</v>
      </c>
      <c r="X1222" t="s">
        <v>61</v>
      </c>
      <c r="Y1222" t="s">
        <v>237</v>
      </c>
    </row>
    <row r="1223" spans="1:25" x14ac:dyDescent="0.25">
      <c r="A1223" t="s">
        <v>4369</v>
      </c>
      <c r="B1223">
        <v>11</v>
      </c>
      <c r="C1223">
        <v>91</v>
      </c>
      <c r="D1223">
        <v>9095</v>
      </c>
      <c r="E1223" t="s">
        <v>113</v>
      </c>
      <c r="F1223" t="s">
        <v>4370</v>
      </c>
      <c r="G1223" t="s">
        <v>2069</v>
      </c>
      <c r="H1223" s="26">
        <v>25266</v>
      </c>
      <c r="I1223" t="s">
        <v>58</v>
      </c>
      <c r="J1223" t="s">
        <v>4371</v>
      </c>
      <c r="M1223">
        <v>91220</v>
      </c>
      <c r="N1223" t="s">
        <v>2883</v>
      </c>
      <c r="O1223" t="s">
        <v>61</v>
      </c>
      <c r="Q1223">
        <v>695942307</v>
      </c>
      <c r="R1223" t="s">
        <v>4372</v>
      </c>
      <c r="S1223" t="s">
        <v>63</v>
      </c>
      <c r="T1223" t="s">
        <v>64</v>
      </c>
      <c r="U1223" t="s">
        <v>65</v>
      </c>
      <c r="W1223" s="26">
        <v>45544</v>
      </c>
      <c r="X1223" t="s">
        <v>61</v>
      </c>
      <c r="Y1223" t="s">
        <v>237</v>
      </c>
    </row>
    <row r="1224" spans="1:25" x14ac:dyDescent="0.25">
      <c r="A1224" t="s">
        <v>4373</v>
      </c>
      <c r="B1224">
        <v>11</v>
      </c>
      <c r="C1224">
        <v>78</v>
      </c>
      <c r="D1224">
        <v>9084</v>
      </c>
      <c r="E1224" t="s">
        <v>216</v>
      </c>
      <c r="F1224" t="s">
        <v>4374</v>
      </c>
      <c r="G1224" t="s">
        <v>4375</v>
      </c>
      <c r="H1224" s="26">
        <v>19546</v>
      </c>
      <c r="I1224" t="s">
        <v>16</v>
      </c>
      <c r="J1224" t="s">
        <v>4376</v>
      </c>
      <c r="M1224">
        <v>78510</v>
      </c>
      <c r="N1224" t="s">
        <v>3356</v>
      </c>
      <c r="O1224" t="s">
        <v>61</v>
      </c>
      <c r="Q1224">
        <v>611143010</v>
      </c>
      <c r="R1224" t="s">
        <v>4377</v>
      </c>
      <c r="S1224" t="s">
        <v>63</v>
      </c>
      <c r="T1224" t="s">
        <v>64</v>
      </c>
      <c r="U1224" t="s">
        <v>65</v>
      </c>
      <c r="W1224" s="26">
        <v>45547</v>
      </c>
      <c r="X1224" t="s">
        <v>61</v>
      </c>
      <c r="Y1224" t="s">
        <v>237</v>
      </c>
    </row>
    <row r="1225" spans="1:25" x14ac:dyDescent="0.25">
      <c r="A1225" t="s">
        <v>4378</v>
      </c>
      <c r="B1225">
        <v>11</v>
      </c>
      <c r="C1225">
        <v>92</v>
      </c>
      <c r="D1225">
        <v>9017</v>
      </c>
      <c r="E1225" t="s">
        <v>211</v>
      </c>
      <c r="F1225" t="s">
        <v>538</v>
      </c>
      <c r="G1225" t="s">
        <v>298</v>
      </c>
      <c r="H1225" s="26">
        <v>35490</v>
      </c>
      <c r="I1225" t="s">
        <v>58</v>
      </c>
      <c r="J1225" t="s">
        <v>299</v>
      </c>
      <c r="M1225">
        <v>92100</v>
      </c>
      <c r="N1225" t="s">
        <v>104</v>
      </c>
      <c r="O1225" t="s">
        <v>61</v>
      </c>
      <c r="S1225" t="s">
        <v>63</v>
      </c>
      <c r="T1225" t="s">
        <v>64</v>
      </c>
      <c r="U1225" t="s">
        <v>65</v>
      </c>
      <c r="W1225" s="26">
        <v>45537</v>
      </c>
      <c r="X1225" t="s">
        <v>61</v>
      </c>
      <c r="Y1225" t="s">
        <v>237</v>
      </c>
    </row>
    <row r="1226" spans="1:25" x14ac:dyDescent="0.25">
      <c r="A1226" t="s">
        <v>4379</v>
      </c>
      <c r="B1226">
        <v>11</v>
      </c>
      <c r="C1226">
        <v>95</v>
      </c>
      <c r="D1226">
        <v>9010</v>
      </c>
      <c r="E1226" t="s">
        <v>6</v>
      </c>
      <c r="F1226" t="s">
        <v>3572</v>
      </c>
      <c r="G1226" t="s">
        <v>4380</v>
      </c>
      <c r="H1226" s="26">
        <v>28977</v>
      </c>
      <c r="I1226" t="s">
        <v>58</v>
      </c>
      <c r="J1226" t="s">
        <v>4381</v>
      </c>
      <c r="M1226">
        <v>78420</v>
      </c>
      <c r="N1226" t="s">
        <v>4382</v>
      </c>
      <c r="O1226" t="s">
        <v>61</v>
      </c>
      <c r="R1226" t="s">
        <v>4383</v>
      </c>
      <c r="S1226" t="s">
        <v>63</v>
      </c>
      <c r="T1226" t="s">
        <v>64</v>
      </c>
      <c r="U1226" t="s">
        <v>486</v>
      </c>
      <c r="W1226" s="26">
        <v>45534</v>
      </c>
      <c r="X1226" t="s">
        <v>61</v>
      </c>
      <c r="Y1226" t="s">
        <v>237</v>
      </c>
    </row>
    <row r="1227" spans="1:25" x14ac:dyDescent="0.25">
      <c r="A1227" t="s">
        <v>10834</v>
      </c>
      <c r="B1227">
        <v>11</v>
      </c>
      <c r="C1227">
        <v>93</v>
      </c>
      <c r="D1227">
        <v>9060</v>
      </c>
      <c r="E1227" t="s">
        <v>203</v>
      </c>
      <c r="F1227" t="s">
        <v>289</v>
      </c>
      <c r="G1227" t="s">
        <v>10835</v>
      </c>
      <c r="H1227" s="26">
        <v>21699</v>
      </c>
      <c r="I1227" t="s">
        <v>58</v>
      </c>
      <c r="J1227" t="s">
        <v>10836</v>
      </c>
      <c r="M1227">
        <v>93190</v>
      </c>
      <c r="N1227" t="s">
        <v>205</v>
      </c>
      <c r="O1227" t="s">
        <v>61</v>
      </c>
      <c r="Q1227">
        <v>610335471</v>
      </c>
      <c r="R1227" t="s">
        <v>10837</v>
      </c>
      <c r="S1227" t="s">
        <v>63</v>
      </c>
      <c r="T1227" t="s">
        <v>64</v>
      </c>
      <c r="U1227" t="s">
        <v>65</v>
      </c>
      <c r="W1227" s="26">
        <v>45576</v>
      </c>
      <c r="X1227" t="s">
        <v>61</v>
      </c>
      <c r="Y1227" t="s">
        <v>237</v>
      </c>
    </row>
    <row r="1228" spans="1:25" x14ac:dyDescent="0.25">
      <c r="A1228" t="s">
        <v>10838</v>
      </c>
      <c r="B1228">
        <v>11</v>
      </c>
      <c r="C1228">
        <v>93</v>
      </c>
      <c r="D1228">
        <v>9060</v>
      </c>
      <c r="E1228" t="s">
        <v>203</v>
      </c>
      <c r="F1228" t="s">
        <v>10839</v>
      </c>
      <c r="G1228" t="s">
        <v>10840</v>
      </c>
      <c r="H1228" s="26">
        <v>19137</v>
      </c>
      <c r="I1228" t="s">
        <v>58</v>
      </c>
      <c r="J1228" t="s">
        <v>10841</v>
      </c>
      <c r="M1228">
        <v>93190</v>
      </c>
      <c r="N1228" t="s">
        <v>205</v>
      </c>
      <c r="O1228" t="s">
        <v>61</v>
      </c>
      <c r="Q1228">
        <v>664651684</v>
      </c>
      <c r="R1228" t="s">
        <v>10842</v>
      </c>
      <c r="S1228" t="s">
        <v>63</v>
      </c>
      <c r="T1228" t="s">
        <v>64</v>
      </c>
      <c r="U1228" t="s">
        <v>65</v>
      </c>
      <c r="W1228" s="26">
        <v>45577</v>
      </c>
      <c r="X1228" t="s">
        <v>61</v>
      </c>
      <c r="Y1228" t="s">
        <v>237</v>
      </c>
    </row>
    <row r="1229" spans="1:25" x14ac:dyDescent="0.25">
      <c r="A1229" t="s">
        <v>11296</v>
      </c>
      <c r="B1229">
        <v>11</v>
      </c>
      <c r="C1229">
        <v>92</v>
      </c>
      <c r="D1229">
        <v>9032</v>
      </c>
      <c r="E1229" t="s">
        <v>102</v>
      </c>
      <c r="F1229" t="s">
        <v>887</v>
      </c>
      <c r="G1229" t="s">
        <v>11297</v>
      </c>
      <c r="H1229" s="26">
        <v>21066</v>
      </c>
      <c r="I1229" t="s">
        <v>58</v>
      </c>
      <c r="J1229" t="s">
        <v>11298</v>
      </c>
      <c r="M1229">
        <v>92340</v>
      </c>
      <c r="N1229" t="s">
        <v>1091</v>
      </c>
      <c r="O1229" t="s">
        <v>61</v>
      </c>
      <c r="Q1229">
        <v>623947827</v>
      </c>
      <c r="R1229" t="s">
        <v>11299</v>
      </c>
      <c r="S1229" t="s">
        <v>63</v>
      </c>
      <c r="T1229" t="s">
        <v>64</v>
      </c>
      <c r="U1229" t="s">
        <v>65</v>
      </c>
      <c r="W1229" s="26">
        <v>45588</v>
      </c>
      <c r="X1229" t="s">
        <v>61</v>
      </c>
      <c r="Y1229" t="s">
        <v>237</v>
      </c>
    </row>
    <row r="1230" spans="1:25" x14ac:dyDescent="0.25">
      <c r="A1230" t="s">
        <v>4384</v>
      </c>
      <c r="B1230">
        <v>11</v>
      </c>
      <c r="C1230">
        <v>92</v>
      </c>
      <c r="D1230">
        <v>9065</v>
      </c>
      <c r="E1230" t="s">
        <v>426</v>
      </c>
      <c r="F1230" t="s">
        <v>4385</v>
      </c>
      <c r="G1230" t="s">
        <v>2456</v>
      </c>
      <c r="H1230" s="26">
        <v>29451</v>
      </c>
      <c r="I1230" t="s">
        <v>58</v>
      </c>
      <c r="J1230" t="s">
        <v>4386</v>
      </c>
      <c r="M1230">
        <v>91150</v>
      </c>
      <c r="N1230" t="s">
        <v>101</v>
      </c>
      <c r="O1230" t="s">
        <v>61</v>
      </c>
      <c r="R1230" t="s">
        <v>4387</v>
      </c>
      <c r="S1230" t="s">
        <v>63</v>
      </c>
      <c r="T1230" t="s">
        <v>64</v>
      </c>
      <c r="U1230" t="s">
        <v>486</v>
      </c>
      <c r="W1230" s="26">
        <v>45534</v>
      </c>
      <c r="X1230" t="s">
        <v>61</v>
      </c>
      <c r="Y1230" t="s">
        <v>237</v>
      </c>
    </row>
    <row r="1231" spans="1:25" x14ac:dyDescent="0.25">
      <c r="A1231" t="s">
        <v>4388</v>
      </c>
      <c r="B1231">
        <v>11</v>
      </c>
      <c r="C1231">
        <v>92</v>
      </c>
      <c r="D1231">
        <v>9088</v>
      </c>
      <c r="E1231" t="s">
        <v>1</v>
      </c>
      <c r="F1231" t="s">
        <v>1512</v>
      </c>
      <c r="G1231" t="s">
        <v>4389</v>
      </c>
      <c r="H1231" s="26">
        <v>25917</v>
      </c>
      <c r="I1231" t="s">
        <v>58</v>
      </c>
      <c r="J1231" t="s">
        <v>2554</v>
      </c>
      <c r="M1231">
        <v>92110</v>
      </c>
      <c r="N1231" t="s">
        <v>4937</v>
      </c>
      <c r="O1231" t="s">
        <v>61</v>
      </c>
      <c r="Q1231">
        <v>662858320</v>
      </c>
      <c r="R1231" t="s">
        <v>4390</v>
      </c>
      <c r="S1231" t="s">
        <v>63</v>
      </c>
      <c r="T1231" t="s">
        <v>64</v>
      </c>
      <c r="U1231" t="s">
        <v>65</v>
      </c>
      <c r="W1231" s="26">
        <v>45558</v>
      </c>
      <c r="X1231" t="s">
        <v>61</v>
      </c>
      <c r="Y1231" t="s">
        <v>63</v>
      </c>
    </row>
    <row r="1232" spans="1:25" x14ac:dyDescent="0.25">
      <c r="A1232" t="s">
        <v>4391</v>
      </c>
      <c r="B1232">
        <v>11</v>
      </c>
      <c r="C1232">
        <v>92</v>
      </c>
      <c r="D1232">
        <v>9088</v>
      </c>
      <c r="E1232" t="s">
        <v>1</v>
      </c>
      <c r="F1232" t="s">
        <v>297</v>
      </c>
      <c r="G1232" t="s">
        <v>4392</v>
      </c>
      <c r="H1232" s="26">
        <v>23806</v>
      </c>
      <c r="I1232" t="s">
        <v>58</v>
      </c>
      <c r="J1232" t="s">
        <v>4393</v>
      </c>
      <c r="M1232">
        <v>75010</v>
      </c>
      <c r="N1232" t="s">
        <v>330</v>
      </c>
      <c r="O1232" t="s">
        <v>61</v>
      </c>
      <c r="P1232">
        <v>620964774</v>
      </c>
      <c r="R1232" t="s">
        <v>4394</v>
      </c>
      <c r="S1232" t="s">
        <v>63</v>
      </c>
      <c r="T1232" t="s">
        <v>64</v>
      </c>
      <c r="U1232" t="s">
        <v>65</v>
      </c>
      <c r="W1232" s="26">
        <v>45558</v>
      </c>
      <c r="X1232" t="s">
        <v>61</v>
      </c>
      <c r="Y1232" t="s">
        <v>237</v>
      </c>
    </row>
    <row r="1233" spans="1:25" x14ac:dyDescent="0.25">
      <c r="A1233" t="s">
        <v>4395</v>
      </c>
      <c r="B1233">
        <v>11</v>
      </c>
      <c r="C1233">
        <v>78</v>
      </c>
      <c r="D1233">
        <v>9056</v>
      </c>
      <c r="E1233" t="s">
        <v>214</v>
      </c>
      <c r="F1233" t="s">
        <v>4396</v>
      </c>
      <c r="G1233" t="s">
        <v>4397</v>
      </c>
      <c r="H1233" s="26">
        <v>24395</v>
      </c>
      <c r="I1233" t="s">
        <v>16</v>
      </c>
      <c r="J1233" t="s">
        <v>4398</v>
      </c>
      <c r="M1233">
        <v>78000</v>
      </c>
      <c r="N1233" t="s">
        <v>1334</v>
      </c>
      <c r="O1233" t="s">
        <v>61</v>
      </c>
      <c r="Q1233">
        <v>608901455</v>
      </c>
      <c r="R1233" t="s">
        <v>4399</v>
      </c>
      <c r="S1233" t="s">
        <v>63</v>
      </c>
      <c r="T1233" t="s">
        <v>64</v>
      </c>
      <c r="U1233" t="s">
        <v>65</v>
      </c>
      <c r="W1233" s="26">
        <v>45555</v>
      </c>
      <c r="X1233" t="s">
        <v>61</v>
      </c>
      <c r="Y1233" t="s">
        <v>237</v>
      </c>
    </row>
    <row r="1234" spans="1:25" x14ac:dyDescent="0.25">
      <c r="A1234" t="s">
        <v>4400</v>
      </c>
      <c r="B1234">
        <v>11</v>
      </c>
      <c r="C1234">
        <v>94</v>
      </c>
      <c r="D1234">
        <v>9045</v>
      </c>
      <c r="E1234" t="s">
        <v>1234</v>
      </c>
      <c r="F1234" t="s">
        <v>297</v>
      </c>
      <c r="G1234" t="s">
        <v>4401</v>
      </c>
      <c r="H1234" s="26">
        <v>31831</v>
      </c>
      <c r="I1234" t="s">
        <v>58</v>
      </c>
      <c r="J1234" t="s">
        <v>4402</v>
      </c>
      <c r="M1234">
        <v>75015</v>
      </c>
      <c r="N1234" t="s">
        <v>330</v>
      </c>
      <c r="O1234" t="s">
        <v>61</v>
      </c>
      <c r="Q1234">
        <v>622652281</v>
      </c>
      <c r="R1234" t="s">
        <v>4403</v>
      </c>
      <c r="S1234" t="s">
        <v>63</v>
      </c>
      <c r="T1234" t="s">
        <v>64</v>
      </c>
      <c r="U1234" t="s">
        <v>8684</v>
      </c>
      <c r="W1234" s="26">
        <v>45557</v>
      </c>
      <c r="X1234" t="s">
        <v>61</v>
      </c>
      <c r="Y1234" t="s">
        <v>237</v>
      </c>
    </row>
    <row r="1235" spans="1:25" x14ac:dyDescent="0.25">
      <c r="A1235" t="s">
        <v>9048</v>
      </c>
      <c r="B1235">
        <v>11</v>
      </c>
      <c r="C1235">
        <v>92</v>
      </c>
      <c r="D1235">
        <v>9065</v>
      </c>
      <c r="E1235" t="s">
        <v>426</v>
      </c>
      <c r="F1235" t="s">
        <v>9049</v>
      </c>
      <c r="G1235" t="s">
        <v>9050</v>
      </c>
      <c r="H1235" s="26">
        <v>31649</v>
      </c>
      <c r="I1235" t="s">
        <v>58</v>
      </c>
      <c r="J1235" t="s">
        <v>9051</v>
      </c>
      <c r="M1235">
        <v>94200</v>
      </c>
      <c r="N1235" t="s">
        <v>899</v>
      </c>
      <c r="O1235" t="s">
        <v>61</v>
      </c>
      <c r="Q1235">
        <v>609337325</v>
      </c>
      <c r="R1235" t="s">
        <v>9052</v>
      </c>
      <c r="S1235" t="s">
        <v>63</v>
      </c>
      <c r="T1235" t="s">
        <v>64</v>
      </c>
      <c r="U1235" t="s">
        <v>486</v>
      </c>
      <c r="W1235" s="26">
        <v>45550</v>
      </c>
      <c r="X1235" t="s">
        <v>2726</v>
      </c>
      <c r="Y1235" t="s">
        <v>237</v>
      </c>
    </row>
    <row r="1236" spans="1:25" x14ac:dyDescent="0.25">
      <c r="A1236" t="s">
        <v>4404</v>
      </c>
      <c r="B1236">
        <v>11</v>
      </c>
      <c r="C1236">
        <v>77</v>
      </c>
      <c r="D1236">
        <v>9028</v>
      </c>
      <c r="E1236" t="s">
        <v>452</v>
      </c>
      <c r="F1236" t="s">
        <v>3210</v>
      </c>
      <c r="G1236" t="s">
        <v>4405</v>
      </c>
      <c r="H1236" s="26">
        <v>27964</v>
      </c>
      <c r="I1236" t="s">
        <v>58</v>
      </c>
      <c r="J1236" t="s">
        <v>4406</v>
      </c>
      <c r="M1236">
        <v>77720</v>
      </c>
      <c r="N1236" t="s">
        <v>2694</v>
      </c>
      <c r="O1236" t="s">
        <v>61</v>
      </c>
      <c r="Q1236">
        <v>675040886</v>
      </c>
      <c r="R1236" t="s">
        <v>4407</v>
      </c>
      <c r="S1236" t="s">
        <v>63</v>
      </c>
      <c r="T1236" t="s">
        <v>64</v>
      </c>
      <c r="U1236" t="s">
        <v>65</v>
      </c>
      <c r="W1236" s="26">
        <v>45557</v>
      </c>
      <c r="X1236" t="s">
        <v>61</v>
      </c>
      <c r="Y1236" t="s">
        <v>237</v>
      </c>
    </row>
    <row r="1237" spans="1:25" x14ac:dyDescent="0.25">
      <c r="A1237" t="s">
        <v>4408</v>
      </c>
      <c r="B1237">
        <v>11</v>
      </c>
      <c r="C1237">
        <v>94</v>
      </c>
      <c r="D1237">
        <v>9024</v>
      </c>
      <c r="E1237" t="s">
        <v>4</v>
      </c>
      <c r="F1237" t="s">
        <v>4409</v>
      </c>
      <c r="G1237" t="s">
        <v>4410</v>
      </c>
      <c r="H1237" s="26">
        <v>19371</v>
      </c>
      <c r="I1237" t="s">
        <v>58</v>
      </c>
      <c r="J1237" t="s">
        <v>4411</v>
      </c>
      <c r="M1237">
        <v>94290</v>
      </c>
      <c r="N1237" t="s">
        <v>2458</v>
      </c>
      <c r="O1237" t="s">
        <v>61</v>
      </c>
      <c r="Q1237">
        <v>652734867</v>
      </c>
      <c r="R1237" t="s">
        <v>4412</v>
      </c>
      <c r="S1237" t="s">
        <v>63</v>
      </c>
      <c r="T1237" t="s">
        <v>64</v>
      </c>
      <c r="U1237" t="s">
        <v>65</v>
      </c>
      <c r="W1237" s="26">
        <v>45555</v>
      </c>
      <c r="X1237" t="s">
        <v>61</v>
      </c>
      <c r="Y1237" t="s">
        <v>237</v>
      </c>
    </row>
    <row r="1238" spans="1:25" x14ac:dyDescent="0.25">
      <c r="A1238" t="s">
        <v>4413</v>
      </c>
      <c r="B1238">
        <v>11</v>
      </c>
      <c r="C1238">
        <v>75</v>
      </c>
      <c r="D1238">
        <v>9070</v>
      </c>
      <c r="E1238" t="s">
        <v>168</v>
      </c>
      <c r="F1238" t="s">
        <v>4414</v>
      </c>
      <c r="G1238" t="s">
        <v>4415</v>
      </c>
      <c r="H1238" s="26">
        <v>29400</v>
      </c>
      <c r="I1238" t="s">
        <v>58</v>
      </c>
      <c r="J1238" t="s">
        <v>4416</v>
      </c>
      <c r="M1238">
        <v>93120</v>
      </c>
      <c r="N1238" t="s">
        <v>4417</v>
      </c>
      <c r="O1238" t="s">
        <v>61</v>
      </c>
      <c r="Q1238">
        <v>628118253</v>
      </c>
      <c r="R1238" t="s">
        <v>4418</v>
      </c>
      <c r="S1238" t="s">
        <v>237</v>
      </c>
      <c r="T1238" t="s">
        <v>64</v>
      </c>
      <c r="U1238" t="s">
        <v>8684</v>
      </c>
      <c r="W1238" s="26">
        <v>45537</v>
      </c>
      <c r="X1238" t="s">
        <v>4419</v>
      </c>
      <c r="Y1238" t="s">
        <v>237</v>
      </c>
    </row>
    <row r="1239" spans="1:25" x14ac:dyDescent="0.25">
      <c r="A1239" t="s">
        <v>4420</v>
      </c>
      <c r="B1239">
        <v>11</v>
      </c>
      <c r="C1239">
        <v>75</v>
      </c>
      <c r="D1239">
        <v>9070</v>
      </c>
      <c r="E1239" t="s">
        <v>168</v>
      </c>
      <c r="F1239" t="s">
        <v>538</v>
      </c>
      <c r="G1239" t="s">
        <v>4421</v>
      </c>
      <c r="H1239" s="26">
        <v>34689</v>
      </c>
      <c r="I1239" t="s">
        <v>58</v>
      </c>
      <c r="J1239" t="s">
        <v>4422</v>
      </c>
      <c r="M1239">
        <v>92400</v>
      </c>
      <c r="N1239" t="s">
        <v>478</v>
      </c>
      <c r="O1239" t="s">
        <v>61</v>
      </c>
      <c r="Q1239">
        <v>143340243</v>
      </c>
      <c r="R1239" t="s">
        <v>4423</v>
      </c>
      <c r="S1239" t="s">
        <v>63</v>
      </c>
      <c r="T1239" t="s">
        <v>64</v>
      </c>
      <c r="U1239" t="s">
        <v>8684</v>
      </c>
      <c r="W1239" s="26">
        <v>45545</v>
      </c>
      <c r="X1239" t="s">
        <v>61</v>
      </c>
      <c r="Y1239" t="s">
        <v>237</v>
      </c>
    </row>
    <row r="1240" spans="1:25" x14ac:dyDescent="0.25">
      <c r="A1240" t="s">
        <v>10843</v>
      </c>
      <c r="B1240">
        <v>11</v>
      </c>
      <c r="C1240">
        <v>95</v>
      </c>
      <c r="D1240">
        <v>9010</v>
      </c>
      <c r="E1240" t="s">
        <v>6</v>
      </c>
      <c r="F1240" t="s">
        <v>272</v>
      </c>
      <c r="G1240" t="s">
        <v>10844</v>
      </c>
      <c r="H1240" s="26">
        <v>24905</v>
      </c>
      <c r="I1240" t="s">
        <v>58</v>
      </c>
      <c r="J1240" t="s">
        <v>10845</v>
      </c>
      <c r="M1240">
        <v>95390</v>
      </c>
      <c r="N1240" t="s">
        <v>2761</v>
      </c>
      <c r="O1240" t="s">
        <v>61</v>
      </c>
      <c r="R1240" t="s">
        <v>10846</v>
      </c>
      <c r="S1240" t="s">
        <v>63</v>
      </c>
      <c r="T1240" t="s">
        <v>64</v>
      </c>
      <c r="U1240" t="s">
        <v>65</v>
      </c>
      <c r="W1240" s="26">
        <v>45574</v>
      </c>
      <c r="X1240" t="s">
        <v>61</v>
      </c>
      <c r="Y1240" t="s">
        <v>237</v>
      </c>
    </row>
    <row r="1241" spans="1:25" x14ac:dyDescent="0.25">
      <c r="A1241" t="s">
        <v>4425</v>
      </c>
      <c r="B1241">
        <v>11</v>
      </c>
      <c r="C1241">
        <v>91</v>
      </c>
      <c r="D1241">
        <v>9096</v>
      </c>
      <c r="E1241" t="s">
        <v>526</v>
      </c>
      <c r="F1241" t="s">
        <v>837</v>
      </c>
      <c r="G1241" t="s">
        <v>3592</v>
      </c>
      <c r="H1241" s="26">
        <v>19809</v>
      </c>
      <c r="I1241" t="s">
        <v>58</v>
      </c>
      <c r="J1241" t="s">
        <v>4426</v>
      </c>
      <c r="M1241">
        <v>78660</v>
      </c>
      <c r="N1241" t="s">
        <v>3764</v>
      </c>
      <c r="O1241" t="s">
        <v>61</v>
      </c>
      <c r="Q1241">
        <v>682977257</v>
      </c>
      <c r="R1241" t="s">
        <v>4427</v>
      </c>
      <c r="S1241" t="s">
        <v>63</v>
      </c>
      <c r="T1241" t="s">
        <v>64</v>
      </c>
      <c r="U1241" t="s">
        <v>65</v>
      </c>
      <c r="W1241" s="26">
        <v>45547</v>
      </c>
      <c r="X1241" t="s">
        <v>61</v>
      </c>
      <c r="Y1241" t="s">
        <v>237</v>
      </c>
    </row>
    <row r="1242" spans="1:25" x14ac:dyDescent="0.25">
      <c r="A1242" t="s">
        <v>4428</v>
      </c>
      <c r="B1242">
        <v>11</v>
      </c>
      <c r="C1242">
        <v>91</v>
      </c>
      <c r="D1242">
        <v>9064</v>
      </c>
      <c r="E1242" t="s">
        <v>266</v>
      </c>
      <c r="F1242" t="s">
        <v>4429</v>
      </c>
      <c r="G1242" t="s">
        <v>4430</v>
      </c>
      <c r="H1242" s="26">
        <v>34274</v>
      </c>
      <c r="I1242" t="s">
        <v>58</v>
      </c>
      <c r="J1242" t="s">
        <v>4431</v>
      </c>
      <c r="M1242">
        <v>91300</v>
      </c>
      <c r="N1242" t="s">
        <v>675</v>
      </c>
      <c r="O1242" t="s">
        <v>61</v>
      </c>
      <c r="Q1242">
        <v>781425367</v>
      </c>
      <c r="R1242" t="s">
        <v>4432</v>
      </c>
      <c r="S1242" t="s">
        <v>63</v>
      </c>
      <c r="T1242" t="s">
        <v>64</v>
      </c>
      <c r="U1242" t="s">
        <v>65</v>
      </c>
      <c r="W1242" s="26">
        <v>45546</v>
      </c>
      <c r="X1242" t="s">
        <v>61</v>
      </c>
      <c r="Y1242" t="s">
        <v>237</v>
      </c>
    </row>
    <row r="1243" spans="1:25" x14ac:dyDescent="0.25">
      <c r="A1243" t="s">
        <v>10847</v>
      </c>
      <c r="B1243">
        <v>11</v>
      </c>
      <c r="C1243">
        <v>95</v>
      </c>
      <c r="D1243">
        <v>9010</v>
      </c>
      <c r="E1243" t="s">
        <v>6</v>
      </c>
      <c r="F1243" t="s">
        <v>10848</v>
      </c>
      <c r="G1243" t="s">
        <v>10849</v>
      </c>
      <c r="H1243" s="26">
        <v>32016</v>
      </c>
      <c r="I1243" t="s">
        <v>58</v>
      </c>
      <c r="J1243" t="s">
        <v>10850</v>
      </c>
      <c r="M1243">
        <v>95530</v>
      </c>
      <c r="N1243" t="s">
        <v>2267</v>
      </c>
      <c r="O1243" t="s">
        <v>61</v>
      </c>
      <c r="R1243" t="s">
        <v>10851</v>
      </c>
      <c r="S1243" t="s">
        <v>63</v>
      </c>
      <c r="T1243" t="s">
        <v>64</v>
      </c>
      <c r="U1243" t="s">
        <v>486</v>
      </c>
      <c r="W1243" s="26">
        <v>45579</v>
      </c>
      <c r="X1243" t="s">
        <v>61</v>
      </c>
      <c r="Y1243" t="s">
        <v>237</v>
      </c>
    </row>
    <row r="1244" spans="1:25" x14ac:dyDescent="0.25">
      <c r="A1244" t="s">
        <v>4433</v>
      </c>
      <c r="B1244">
        <v>11</v>
      </c>
      <c r="C1244">
        <v>91</v>
      </c>
      <c r="D1244">
        <v>9009</v>
      </c>
      <c r="E1244" t="s">
        <v>159</v>
      </c>
      <c r="F1244" t="s">
        <v>103</v>
      </c>
      <c r="G1244" t="s">
        <v>4434</v>
      </c>
      <c r="H1244" s="26">
        <v>17277</v>
      </c>
      <c r="I1244" t="s">
        <v>58</v>
      </c>
      <c r="J1244" t="s">
        <v>4435</v>
      </c>
      <c r="M1244">
        <v>91600</v>
      </c>
      <c r="N1244" t="s">
        <v>1680</v>
      </c>
      <c r="O1244" t="s">
        <v>61</v>
      </c>
      <c r="P1244">
        <v>679837188</v>
      </c>
      <c r="Q1244">
        <v>679837188</v>
      </c>
      <c r="R1244" t="s">
        <v>4436</v>
      </c>
      <c r="S1244" t="s">
        <v>63</v>
      </c>
      <c r="T1244" t="s">
        <v>64</v>
      </c>
      <c r="U1244" t="s">
        <v>65</v>
      </c>
      <c r="W1244" s="26">
        <v>45535</v>
      </c>
      <c r="X1244" t="s">
        <v>61</v>
      </c>
      <c r="Y1244" t="s">
        <v>237</v>
      </c>
    </row>
    <row r="1245" spans="1:25" x14ac:dyDescent="0.25">
      <c r="A1245" t="s">
        <v>4437</v>
      </c>
      <c r="B1245">
        <v>11</v>
      </c>
      <c r="C1245">
        <v>78</v>
      </c>
      <c r="D1245">
        <v>9038</v>
      </c>
      <c r="E1245" t="s">
        <v>484</v>
      </c>
      <c r="F1245" t="s">
        <v>160</v>
      </c>
      <c r="G1245" t="s">
        <v>4438</v>
      </c>
      <c r="H1245" s="26">
        <v>22379</v>
      </c>
      <c r="I1245" t="s">
        <v>58</v>
      </c>
      <c r="J1245" t="s">
        <v>4439</v>
      </c>
      <c r="M1245">
        <v>78700</v>
      </c>
      <c r="N1245" t="s">
        <v>3404</v>
      </c>
      <c r="O1245" t="s">
        <v>61</v>
      </c>
      <c r="Q1245">
        <v>672533271</v>
      </c>
      <c r="S1245" t="s">
        <v>63</v>
      </c>
      <c r="T1245" t="s">
        <v>64</v>
      </c>
      <c r="U1245" t="s">
        <v>65</v>
      </c>
      <c r="W1245" s="26">
        <v>45562</v>
      </c>
      <c r="X1245" t="s">
        <v>61</v>
      </c>
      <c r="Y1245" t="s">
        <v>237</v>
      </c>
    </row>
    <row r="1246" spans="1:25" x14ac:dyDescent="0.25">
      <c r="A1246" t="s">
        <v>9053</v>
      </c>
      <c r="B1246">
        <v>11</v>
      </c>
      <c r="C1246">
        <v>92</v>
      </c>
      <c r="D1246">
        <v>9065</v>
      </c>
      <c r="E1246" t="s">
        <v>426</v>
      </c>
      <c r="F1246" t="s">
        <v>4707</v>
      </c>
      <c r="G1246" t="s">
        <v>9054</v>
      </c>
      <c r="H1246" s="26">
        <v>26759</v>
      </c>
      <c r="I1246" t="s">
        <v>16</v>
      </c>
      <c r="J1246" t="s">
        <v>9055</v>
      </c>
      <c r="M1246">
        <v>91300</v>
      </c>
      <c r="N1246" t="s">
        <v>675</v>
      </c>
      <c r="O1246" t="s">
        <v>61</v>
      </c>
      <c r="R1246" t="s">
        <v>9056</v>
      </c>
      <c r="S1246" t="s">
        <v>63</v>
      </c>
      <c r="T1246" t="s">
        <v>64</v>
      </c>
      <c r="U1246" t="s">
        <v>8684</v>
      </c>
      <c r="W1246" s="26">
        <v>45531</v>
      </c>
      <c r="X1246" t="s">
        <v>61</v>
      </c>
      <c r="Y1246" t="s">
        <v>237</v>
      </c>
    </row>
    <row r="1247" spans="1:25" x14ac:dyDescent="0.25">
      <c r="A1247" t="s">
        <v>9987</v>
      </c>
      <c r="B1247">
        <v>11</v>
      </c>
      <c r="C1247">
        <v>92</v>
      </c>
      <c r="D1247">
        <v>9007</v>
      </c>
      <c r="E1247" t="s">
        <v>121</v>
      </c>
      <c r="F1247" t="s">
        <v>114</v>
      </c>
      <c r="G1247" t="s">
        <v>4440</v>
      </c>
      <c r="H1247" s="26">
        <v>22544</v>
      </c>
      <c r="I1247" t="s">
        <v>58</v>
      </c>
      <c r="J1247" t="s">
        <v>9988</v>
      </c>
      <c r="M1247">
        <v>92270</v>
      </c>
      <c r="N1247" t="s">
        <v>796</v>
      </c>
      <c r="O1247" t="s">
        <v>61</v>
      </c>
      <c r="R1247" t="s">
        <v>9989</v>
      </c>
      <c r="S1247" t="s">
        <v>63</v>
      </c>
      <c r="T1247" t="s">
        <v>64</v>
      </c>
      <c r="U1247" t="s">
        <v>65</v>
      </c>
      <c r="W1247" s="26">
        <v>45569</v>
      </c>
      <c r="X1247" t="s">
        <v>61</v>
      </c>
      <c r="Y1247" t="s">
        <v>237</v>
      </c>
    </row>
    <row r="1248" spans="1:25" x14ac:dyDescent="0.25">
      <c r="A1248" t="s">
        <v>11300</v>
      </c>
      <c r="B1248">
        <v>11</v>
      </c>
      <c r="C1248">
        <v>94</v>
      </c>
      <c r="D1248">
        <v>9045</v>
      </c>
      <c r="E1248" t="s">
        <v>1234</v>
      </c>
      <c r="F1248" t="s">
        <v>3181</v>
      </c>
      <c r="G1248" t="s">
        <v>11301</v>
      </c>
      <c r="H1248" s="26">
        <v>36621</v>
      </c>
      <c r="I1248" t="s">
        <v>58</v>
      </c>
      <c r="J1248" t="s">
        <v>11302</v>
      </c>
      <c r="M1248">
        <v>75005</v>
      </c>
      <c r="N1248" t="s">
        <v>330</v>
      </c>
      <c r="O1248" t="s">
        <v>61</v>
      </c>
      <c r="Q1248">
        <v>613084853</v>
      </c>
      <c r="R1248" t="s">
        <v>11303</v>
      </c>
      <c r="S1248" t="s">
        <v>63</v>
      </c>
      <c r="T1248" t="s">
        <v>64</v>
      </c>
      <c r="U1248" t="s">
        <v>8684</v>
      </c>
      <c r="W1248" s="26">
        <v>45585</v>
      </c>
      <c r="X1248" t="s">
        <v>61</v>
      </c>
      <c r="Y1248" t="s">
        <v>237</v>
      </c>
    </row>
    <row r="1249" spans="1:25" x14ac:dyDescent="0.25">
      <c r="A1249" t="s">
        <v>11304</v>
      </c>
      <c r="B1249">
        <v>11</v>
      </c>
      <c r="C1249">
        <v>92</v>
      </c>
      <c r="D1249">
        <v>9032</v>
      </c>
      <c r="E1249" t="s">
        <v>102</v>
      </c>
      <c r="F1249" t="s">
        <v>11305</v>
      </c>
      <c r="G1249" t="s">
        <v>11306</v>
      </c>
      <c r="H1249" s="26">
        <v>21328</v>
      </c>
      <c r="I1249" t="s">
        <v>58</v>
      </c>
      <c r="J1249" t="s">
        <v>11307</v>
      </c>
      <c r="M1249">
        <v>75020</v>
      </c>
      <c r="N1249" t="s">
        <v>330</v>
      </c>
      <c r="O1249" t="s">
        <v>61</v>
      </c>
      <c r="Q1249">
        <v>668515871</v>
      </c>
      <c r="R1249" t="s">
        <v>11308</v>
      </c>
      <c r="S1249" t="s">
        <v>63</v>
      </c>
      <c r="T1249" t="s">
        <v>64</v>
      </c>
      <c r="U1249" t="s">
        <v>65</v>
      </c>
      <c r="W1249" s="26">
        <v>45588</v>
      </c>
      <c r="X1249" t="s">
        <v>61</v>
      </c>
      <c r="Y1249" t="s">
        <v>237</v>
      </c>
    </row>
    <row r="1250" spans="1:25" x14ac:dyDescent="0.25">
      <c r="A1250" t="s">
        <v>11309</v>
      </c>
      <c r="B1250">
        <v>11</v>
      </c>
      <c r="C1250">
        <v>92</v>
      </c>
      <c r="D1250">
        <v>9032</v>
      </c>
      <c r="E1250" t="s">
        <v>102</v>
      </c>
      <c r="F1250" t="s">
        <v>927</v>
      </c>
      <c r="G1250" t="s">
        <v>11306</v>
      </c>
      <c r="H1250" s="26">
        <v>20737</v>
      </c>
      <c r="I1250" t="s">
        <v>58</v>
      </c>
      <c r="J1250" t="s">
        <v>11307</v>
      </c>
      <c r="M1250">
        <v>75020</v>
      </c>
      <c r="N1250" t="s">
        <v>330</v>
      </c>
      <c r="O1250" t="s">
        <v>61</v>
      </c>
      <c r="Q1250">
        <v>658115547</v>
      </c>
      <c r="R1250" t="s">
        <v>11310</v>
      </c>
      <c r="S1250" t="s">
        <v>63</v>
      </c>
      <c r="T1250" t="s">
        <v>64</v>
      </c>
      <c r="U1250" t="s">
        <v>65</v>
      </c>
      <c r="W1250" s="26">
        <v>45588</v>
      </c>
      <c r="X1250" t="s">
        <v>61</v>
      </c>
      <c r="Y1250" t="s">
        <v>237</v>
      </c>
    </row>
    <row r="1251" spans="1:25" x14ac:dyDescent="0.25">
      <c r="A1251" t="s">
        <v>4441</v>
      </c>
      <c r="B1251">
        <v>11</v>
      </c>
      <c r="C1251">
        <v>92</v>
      </c>
      <c r="D1251">
        <v>9088</v>
      </c>
      <c r="E1251" t="s">
        <v>1</v>
      </c>
      <c r="F1251" t="s">
        <v>3405</v>
      </c>
      <c r="G1251" t="s">
        <v>1070</v>
      </c>
      <c r="H1251" s="26">
        <v>24373</v>
      </c>
      <c r="I1251" t="s">
        <v>58</v>
      </c>
      <c r="J1251" t="s">
        <v>4442</v>
      </c>
      <c r="M1251">
        <v>75012</v>
      </c>
      <c r="N1251" t="s">
        <v>330</v>
      </c>
      <c r="O1251" t="s">
        <v>61</v>
      </c>
      <c r="P1251">
        <v>611849162</v>
      </c>
      <c r="R1251" t="s">
        <v>4443</v>
      </c>
      <c r="S1251" t="s">
        <v>63</v>
      </c>
      <c r="T1251" t="s">
        <v>64</v>
      </c>
      <c r="U1251" t="s">
        <v>65</v>
      </c>
      <c r="W1251" s="26">
        <v>45558</v>
      </c>
      <c r="X1251" t="s">
        <v>61</v>
      </c>
      <c r="Y1251" t="s">
        <v>237</v>
      </c>
    </row>
    <row r="1252" spans="1:25" x14ac:dyDescent="0.25">
      <c r="A1252" t="s">
        <v>10852</v>
      </c>
      <c r="B1252">
        <v>11</v>
      </c>
      <c r="C1252">
        <v>95</v>
      </c>
      <c r="D1252">
        <v>9061</v>
      </c>
      <c r="E1252" t="s">
        <v>360</v>
      </c>
      <c r="F1252" t="s">
        <v>10853</v>
      </c>
      <c r="G1252" t="s">
        <v>10854</v>
      </c>
      <c r="H1252" s="26">
        <v>41972</v>
      </c>
      <c r="I1252" t="s">
        <v>58</v>
      </c>
      <c r="J1252" t="s">
        <v>10855</v>
      </c>
      <c r="M1252">
        <v>95640</v>
      </c>
      <c r="N1252" t="s">
        <v>2901</v>
      </c>
      <c r="O1252" t="s">
        <v>61</v>
      </c>
      <c r="Q1252">
        <v>658952279</v>
      </c>
      <c r="R1252" t="s">
        <v>10856</v>
      </c>
      <c r="S1252" t="s">
        <v>63</v>
      </c>
      <c r="T1252" t="s">
        <v>2510</v>
      </c>
      <c r="U1252" t="s">
        <v>65</v>
      </c>
      <c r="W1252" s="26">
        <v>45582</v>
      </c>
      <c r="X1252" t="s">
        <v>61</v>
      </c>
      <c r="Y1252" t="s">
        <v>237</v>
      </c>
    </row>
    <row r="1253" spans="1:25" x14ac:dyDescent="0.25">
      <c r="A1253" t="s">
        <v>10857</v>
      </c>
      <c r="B1253">
        <v>11</v>
      </c>
      <c r="C1253">
        <v>94</v>
      </c>
      <c r="D1253">
        <v>9024</v>
      </c>
      <c r="E1253" t="s">
        <v>4</v>
      </c>
      <c r="F1253" t="s">
        <v>820</v>
      </c>
      <c r="G1253" t="s">
        <v>10858</v>
      </c>
      <c r="H1253" s="26">
        <v>25364</v>
      </c>
      <c r="I1253" t="s">
        <v>58</v>
      </c>
      <c r="J1253" t="s">
        <v>10859</v>
      </c>
      <c r="M1253">
        <v>94700</v>
      </c>
      <c r="N1253" t="s">
        <v>163</v>
      </c>
      <c r="O1253" t="s">
        <v>61</v>
      </c>
      <c r="Q1253">
        <v>682535919</v>
      </c>
      <c r="R1253" t="s">
        <v>10860</v>
      </c>
      <c r="S1253" t="s">
        <v>63</v>
      </c>
      <c r="T1253" t="s">
        <v>64</v>
      </c>
      <c r="U1253" t="s">
        <v>65</v>
      </c>
      <c r="W1253" s="26">
        <v>45579</v>
      </c>
      <c r="X1253" t="s">
        <v>61</v>
      </c>
      <c r="Y1253" t="s">
        <v>237</v>
      </c>
    </row>
    <row r="1254" spans="1:25" x14ac:dyDescent="0.25">
      <c r="A1254" t="s">
        <v>4444</v>
      </c>
      <c r="B1254">
        <v>11</v>
      </c>
      <c r="C1254">
        <v>75</v>
      </c>
      <c r="D1254">
        <v>9070</v>
      </c>
      <c r="E1254" t="s">
        <v>168</v>
      </c>
      <c r="F1254" t="s">
        <v>4445</v>
      </c>
      <c r="G1254" t="s">
        <v>4446</v>
      </c>
      <c r="H1254" s="26">
        <v>37375</v>
      </c>
      <c r="I1254" t="s">
        <v>58</v>
      </c>
      <c r="J1254" t="s">
        <v>4447</v>
      </c>
      <c r="M1254">
        <v>75018</v>
      </c>
      <c r="N1254" t="s">
        <v>330</v>
      </c>
      <c r="O1254" t="s">
        <v>61</v>
      </c>
      <c r="Q1254">
        <v>751259692</v>
      </c>
      <c r="R1254" t="s">
        <v>4448</v>
      </c>
      <c r="S1254" t="s">
        <v>63</v>
      </c>
      <c r="T1254" t="s">
        <v>64</v>
      </c>
      <c r="U1254" t="s">
        <v>8684</v>
      </c>
      <c r="W1254" s="26">
        <v>45533</v>
      </c>
      <c r="X1254" t="s">
        <v>61</v>
      </c>
      <c r="Y1254" t="s">
        <v>237</v>
      </c>
    </row>
    <row r="1255" spans="1:25" x14ac:dyDescent="0.25">
      <c r="A1255" t="s">
        <v>4449</v>
      </c>
      <c r="B1255">
        <v>11</v>
      </c>
      <c r="C1255">
        <v>91</v>
      </c>
      <c r="D1255">
        <v>9095</v>
      </c>
      <c r="E1255" t="s">
        <v>113</v>
      </c>
      <c r="F1255" t="s">
        <v>103</v>
      </c>
      <c r="G1255" t="s">
        <v>4450</v>
      </c>
      <c r="H1255" s="26">
        <v>19688</v>
      </c>
      <c r="I1255" t="s">
        <v>58</v>
      </c>
      <c r="J1255" t="s">
        <v>4451</v>
      </c>
      <c r="M1255">
        <v>91630</v>
      </c>
      <c r="N1255" t="s">
        <v>4452</v>
      </c>
      <c r="O1255" t="s">
        <v>61</v>
      </c>
      <c r="Q1255">
        <v>631619233</v>
      </c>
      <c r="R1255" t="s">
        <v>4453</v>
      </c>
      <c r="S1255" t="s">
        <v>63</v>
      </c>
      <c r="T1255" t="s">
        <v>64</v>
      </c>
      <c r="U1255" t="s">
        <v>65</v>
      </c>
      <c r="W1255" s="26">
        <v>45544</v>
      </c>
      <c r="X1255" t="s">
        <v>61</v>
      </c>
      <c r="Y1255" t="s">
        <v>237</v>
      </c>
    </row>
    <row r="1256" spans="1:25" x14ac:dyDescent="0.25">
      <c r="A1256" t="s">
        <v>9999</v>
      </c>
      <c r="B1256">
        <v>11</v>
      </c>
      <c r="C1256">
        <v>94</v>
      </c>
      <c r="D1256">
        <v>9024</v>
      </c>
      <c r="E1256" t="s">
        <v>4</v>
      </c>
      <c r="F1256" t="s">
        <v>886</v>
      </c>
      <c r="G1256" t="s">
        <v>417</v>
      </c>
      <c r="H1256" s="26">
        <v>21751</v>
      </c>
      <c r="I1256" t="s">
        <v>58</v>
      </c>
      <c r="J1256" t="s">
        <v>10000</v>
      </c>
      <c r="M1256">
        <v>94100</v>
      </c>
      <c r="N1256" t="s">
        <v>971</v>
      </c>
      <c r="O1256" t="s">
        <v>61</v>
      </c>
      <c r="Q1256">
        <v>6616449772</v>
      </c>
      <c r="R1256" t="s">
        <v>10001</v>
      </c>
      <c r="S1256" t="s">
        <v>63</v>
      </c>
      <c r="T1256" t="s">
        <v>64</v>
      </c>
      <c r="U1256" t="s">
        <v>65</v>
      </c>
      <c r="W1256" s="26">
        <v>45568</v>
      </c>
      <c r="X1256" t="s">
        <v>61</v>
      </c>
      <c r="Y1256" t="s">
        <v>237</v>
      </c>
    </row>
    <row r="1257" spans="1:25" x14ac:dyDescent="0.25">
      <c r="A1257" t="s">
        <v>10108</v>
      </c>
      <c r="B1257">
        <v>11</v>
      </c>
      <c r="C1257">
        <v>94</v>
      </c>
      <c r="D1257">
        <v>9024</v>
      </c>
      <c r="E1257" t="s">
        <v>4</v>
      </c>
      <c r="F1257" t="s">
        <v>137</v>
      </c>
      <c r="G1257" t="s">
        <v>10109</v>
      </c>
      <c r="H1257" s="26">
        <v>20800</v>
      </c>
      <c r="I1257" t="s">
        <v>58</v>
      </c>
      <c r="J1257" t="s">
        <v>10110</v>
      </c>
      <c r="M1257">
        <v>94210</v>
      </c>
      <c r="N1257" t="s">
        <v>1323</v>
      </c>
      <c r="O1257" t="s">
        <v>61</v>
      </c>
      <c r="Q1257">
        <v>695966575</v>
      </c>
      <c r="R1257" t="s">
        <v>10111</v>
      </c>
      <c r="S1257" t="s">
        <v>63</v>
      </c>
      <c r="T1257" t="s">
        <v>64</v>
      </c>
      <c r="U1257" t="s">
        <v>65</v>
      </c>
      <c r="W1257" s="26">
        <v>45568</v>
      </c>
      <c r="X1257" t="s">
        <v>61</v>
      </c>
      <c r="Y1257" t="s">
        <v>237</v>
      </c>
    </row>
    <row r="1258" spans="1:25" x14ac:dyDescent="0.25">
      <c r="A1258" t="s">
        <v>4454</v>
      </c>
      <c r="B1258">
        <v>11</v>
      </c>
      <c r="C1258">
        <v>92</v>
      </c>
      <c r="D1258">
        <v>9007</v>
      </c>
      <c r="E1258" t="s">
        <v>121</v>
      </c>
      <c r="F1258" t="s">
        <v>4455</v>
      </c>
      <c r="G1258" t="s">
        <v>4456</v>
      </c>
      <c r="H1258" s="26">
        <v>21530</v>
      </c>
      <c r="I1258" t="s">
        <v>58</v>
      </c>
      <c r="J1258" t="s">
        <v>4457</v>
      </c>
      <c r="M1258">
        <v>92600</v>
      </c>
      <c r="N1258" t="s">
        <v>410</v>
      </c>
      <c r="O1258" t="s">
        <v>61</v>
      </c>
      <c r="R1258" t="s">
        <v>4458</v>
      </c>
      <c r="S1258" t="s">
        <v>63</v>
      </c>
      <c r="T1258" t="s">
        <v>64</v>
      </c>
      <c r="U1258" t="s">
        <v>65</v>
      </c>
      <c r="W1258" s="26">
        <v>45537</v>
      </c>
      <c r="X1258" t="s">
        <v>61</v>
      </c>
      <c r="Y1258" t="s">
        <v>237</v>
      </c>
    </row>
    <row r="1259" spans="1:25" x14ac:dyDescent="0.25">
      <c r="A1259" t="s">
        <v>4459</v>
      </c>
      <c r="B1259">
        <v>11</v>
      </c>
      <c r="C1259">
        <v>75</v>
      </c>
      <c r="D1259">
        <v>9070</v>
      </c>
      <c r="E1259" t="s">
        <v>168</v>
      </c>
      <c r="F1259" t="s">
        <v>983</v>
      </c>
      <c r="G1259" t="s">
        <v>4460</v>
      </c>
      <c r="H1259" s="26">
        <v>27649</v>
      </c>
      <c r="I1259" t="s">
        <v>58</v>
      </c>
      <c r="J1259" t="s">
        <v>4461</v>
      </c>
      <c r="M1259">
        <v>92130</v>
      </c>
      <c r="N1259" t="s">
        <v>2066</v>
      </c>
      <c r="O1259" t="s">
        <v>61</v>
      </c>
      <c r="Q1259">
        <v>698561208</v>
      </c>
      <c r="R1259" t="s">
        <v>4462</v>
      </c>
      <c r="S1259" t="s">
        <v>63</v>
      </c>
      <c r="T1259" t="s">
        <v>64</v>
      </c>
      <c r="U1259" t="s">
        <v>8684</v>
      </c>
      <c r="W1259" s="26">
        <v>45532</v>
      </c>
      <c r="X1259" t="s">
        <v>61</v>
      </c>
      <c r="Y1259" t="s">
        <v>237</v>
      </c>
    </row>
    <row r="1260" spans="1:25" x14ac:dyDescent="0.25">
      <c r="A1260" t="s">
        <v>4463</v>
      </c>
      <c r="B1260">
        <v>11</v>
      </c>
      <c r="C1260">
        <v>78</v>
      </c>
      <c r="D1260">
        <v>9002</v>
      </c>
      <c r="E1260" t="s">
        <v>558</v>
      </c>
      <c r="F1260" t="s">
        <v>1991</v>
      </c>
      <c r="G1260" t="s">
        <v>4464</v>
      </c>
      <c r="H1260" s="26">
        <v>22798</v>
      </c>
      <c r="I1260" t="s">
        <v>58</v>
      </c>
      <c r="J1260" t="s">
        <v>4465</v>
      </c>
      <c r="M1260">
        <v>78270</v>
      </c>
      <c r="N1260" t="s">
        <v>4466</v>
      </c>
      <c r="O1260" t="s">
        <v>61</v>
      </c>
      <c r="P1260">
        <v>130422845</v>
      </c>
      <c r="Q1260">
        <v>627191326</v>
      </c>
      <c r="R1260" t="s">
        <v>4467</v>
      </c>
      <c r="S1260" t="s">
        <v>63</v>
      </c>
      <c r="T1260" t="s">
        <v>64</v>
      </c>
      <c r="U1260" t="s">
        <v>65</v>
      </c>
      <c r="W1260" s="26">
        <v>45539</v>
      </c>
      <c r="X1260" t="s">
        <v>61</v>
      </c>
      <c r="Y1260" t="s">
        <v>237</v>
      </c>
    </row>
    <row r="1261" spans="1:25" x14ac:dyDescent="0.25">
      <c r="A1261" t="s">
        <v>4468</v>
      </c>
      <c r="B1261">
        <v>11</v>
      </c>
      <c r="C1261">
        <v>93</v>
      </c>
      <c r="D1261">
        <v>9060</v>
      </c>
      <c r="E1261" t="s">
        <v>203</v>
      </c>
      <c r="F1261" t="s">
        <v>154</v>
      </c>
      <c r="G1261" t="s">
        <v>4469</v>
      </c>
      <c r="H1261" s="26">
        <v>16886</v>
      </c>
      <c r="I1261" t="s">
        <v>58</v>
      </c>
      <c r="J1261" t="s">
        <v>4470</v>
      </c>
      <c r="M1261">
        <v>93270</v>
      </c>
      <c r="N1261" t="s">
        <v>2129</v>
      </c>
      <c r="O1261" t="s">
        <v>61</v>
      </c>
      <c r="P1261">
        <v>962122757</v>
      </c>
      <c r="R1261" t="s">
        <v>4471</v>
      </c>
      <c r="S1261" t="s">
        <v>63</v>
      </c>
      <c r="T1261" t="s">
        <v>64</v>
      </c>
      <c r="U1261" t="s">
        <v>65</v>
      </c>
      <c r="W1261" s="26">
        <v>45546</v>
      </c>
      <c r="X1261" t="s">
        <v>61</v>
      </c>
      <c r="Y1261" t="s">
        <v>237</v>
      </c>
    </row>
    <row r="1262" spans="1:25" x14ac:dyDescent="0.25">
      <c r="A1262" t="s">
        <v>10861</v>
      </c>
      <c r="B1262">
        <v>11</v>
      </c>
      <c r="C1262">
        <v>93</v>
      </c>
      <c r="D1262">
        <v>9060</v>
      </c>
      <c r="E1262" t="s">
        <v>203</v>
      </c>
      <c r="F1262" t="s">
        <v>887</v>
      </c>
      <c r="G1262" t="s">
        <v>10862</v>
      </c>
      <c r="H1262" s="26">
        <v>23265</v>
      </c>
      <c r="I1262" t="s">
        <v>58</v>
      </c>
      <c r="J1262" t="s">
        <v>10863</v>
      </c>
      <c r="M1262">
        <v>93270</v>
      </c>
      <c r="N1262" t="s">
        <v>2129</v>
      </c>
      <c r="O1262" t="s">
        <v>61</v>
      </c>
      <c r="Q1262">
        <v>615384993</v>
      </c>
      <c r="S1262" t="s">
        <v>63</v>
      </c>
      <c r="T1262" t="s">
        <v>64</v>
      </c>
      <c r="U1262" t="s">
        <v>486</v>
      </c>
      <c r="W1262" s="26">
        <v>45576</v>
      </c>
      <c r="X1262" t="s">
        <v>61</v>
      </c>
      <c r="Y1262" t="s">
        <v>237</v>
      </c>
    </row>
    <row r="1263" spans="1:25" x14ac:dyDescent="0.25">
      <c r="A1263" t="s">
        <v>11311</v>
      </c>
      <c r="B1263">
        <v>11</v>
      </c>
      <c r="C1263">
        <v>92</v>
      </c>
      <c r="D1263">
        <v>9032</v>
      </c>
      <c r="E1263" t="s">
        <v>102</v>
      </c>
      <c r="F1263" t="s">
        <v>11312</v>
      </c>
      <c r="G1263" t="s">
        <v>11313</v>
      </c>
      <c r="H1263" s="26">
        <v>15544</v>
      </c>
      <c r="I1263" t="s">
        <v>16</v>
      </c>
      <c r="J1263" t="s">
        <v>11314</v>
      </c>
      <c r="M1263">
        <v>92360</v>
      </c>
      <c r="N1263" t="s">
        <v>2485</v>
      </c>
      <c r="O1263" t="s">
        <v>61</v>
      </c>
      <c r="Q1263">
        <v>613720950</v>
      </c>
      <c r="R1263" t="s">
        <v>11315</v>
      </c>
      <c r="S1263" t="s">
        <v>63</v>
      </c>
      <c r="T1263" t="s">
        <v>64</v>
      </c>
      <c r="U1263" t="s">
        <v>65</v>
      </c>
      <c r="W1263" s="26">
        <v>45588</v>
      </c>
      <c r="X1263" t="s">
        <v>61</v>
      </c>
      <c r="Y1263" t="s">
        <v>237</v>
      </c>
    </row>
    <row r="1264" spans="1:25" x14ac:dyDescent="0.25">
      <c r="A1264" t="s">
        <v>4472</v>
      </c>
      <c r="B1264">
        <v>11</v>
      </c>
      <c r="C1264">
        <v>92</v>
      </c>
      <c r="D1264">
        <v>9065</v>
      </c>
      <c r="E1264" t="s">
        <v>426</v>
      </c>
      <c r="F1264" t="s">
        <v>2409</v>
      </c>
      <c r="G1264" t="s">
        <v>4473</v>
      </c>
      <c r="H1264" s="26">
        <v>28967</v>
      </c>
      <c r="I1264" t="s">
        <v>58</v>
      </c>
      <c r="J1264" t="s">
        <v>4474</v>
      </c>
      <c r="M1264">
        <v>92160</v>
      </c>
      <c r="N1264" t="s">
        <v>320</v>
      </c>
      <c r="O1264" t="s">
        <v>61</v>
      </c>
      <c r="Q1264">
        <v>684260121</v>
      </c>
      <c r="R1264" t="s">
        <v>4475</v>
      </c>
      <c r="S1264" t="s">
        <v>63</v>
      </c>
      <c r="T1264" t="s">
        <v>64</v>
      </c>
      <c r="U1264" t="s">
        <v>8684</v>
      </c>
      <c r="W1264" s="26">
        <v>45529</v>
      </c>
      <c r="X1264" t="s">
        <v>61</v>
      </c>
      <c r="Y1264" t="s">
        <v>237</v>
      </c>
    </row>
    <row r="1265" spans="1:25" x14ac:dyDescent="0.25">
      <c r="A1265" t="s">
        <v>4476</v>
      </c>
      <c r="B1265">
        <v>11</v>
      </c>
      <c r="C1265">
        <v>92</v>
      </c>
      <c r="D1265">
        <v>9017</v>
      </c>
      <c r="E1265" t="s">
        <v>211</v>
      </c>
      <c r="F1265" t="s">
        <v>115</v>
      </c>
      <c r="G1265" t="s">
        <v>4477</v>
      </c>
      <c r="H1265" s="26">
        <v>21976</v>
      </c>
      <c r="I1265" t="s">
        <v>58</v>
      </c>
      <c r="J1265" t="s">
        <v>1669</v>
      </c>
      <c r="M1265">
        <v>92400</v>
      </c>
      <c r="N1265" t="s">
        <v>478</v>
      </c>
      <c r="O1265" t="s">
        <v>61</v>
      </c>
      <c r="P1265">
        <v>684585563</v>
      </c>
      <c r="R1265" t="s">
        <v>1670</v>
      </c>
      <c r="S1265" t="s">
        <v>63</v>
      </c>
      <c r="T1265" t="s">
        <v>64</v>
      </c>
      <c r="U1265" t="s">
        <v>65</v>
      </c>
      <c r="W1265" s="26">
        <v>45546</v>
      </c>
      <c r="X1265" t="s">
        <v>61</v>
      </c>
      <c r="Y1265" t="s">
        <v>237</v>
      </c>
    </row>
    <row r="1266" spans="1:25" x14ac:dyDescent="0.25">
      <c r="A1266" t="s">
        <v>4478</v>
      </c>
      <c r="B1266">
        <v>11</v>
      </c>
      <c r="C1266">
        <v>77</v>
      </c>
      <c r="D1266">
        <v>9077</v>
      </c>
      <c r="E1266" t="s">
        <v>90</v>
      </c>
      <c r="F1266" t="s">
        <v>1382</v>
      </c>
      <c r="G1266" t="s">
        <v>4479</v>
      </c>
      <c r="H1266" s="26">
        <v>16029</v>
      </c>
      <c r="I1266" t="s">
        <v>58</v>
      </c>
      <c r="J1266" t="s">
        <v>4480</v>
      </c>
      <c r="M1266">
        <v>77120</v>
      </c>
      <c r="N1266" t="s">
        <v>4481</v>
      </c>
      <c r="O1266" t="s">
        <v>61</v>
      </c>
      <c r="Q1266">
        <v>683009124</v>
      </c>
      <c r="S1266" t="s">
        <v>63</v>
      </c>
      <c r="T1266" t="s">
        <v>64</v>
      </c>
      <c r="U1266" t="s">
        <v>65</v>
      </c>
      <c r="W1266" s="26">
        <v>45562</v>
      </c>
      <c r="X1266" t="s">
        <v>61</v>
      </c>
      <c r="Y1266" t="s">
        <v>237</v>
      </c>
    </row>
    <row r="1267" spans="1:25" x14ac:dyDescent="0.25">
      <c r="A1267" t="s">
        <v>11316</v>
      </c>
      <c r="B1267">
        <v>11</v>
      </c>
      <c r="C1267">
        <v>95</v>
      </c>
      <c r="D1267">
        <v>9010</v>
      </c>
      <c r="E1267" t="s">
        <v>6</v>
      </c>
      <c r="F1267" t="s">
        <v>11317</v>
      </c>
      <c r="G1267" t="s">
        <v>11318</v>
      </c>
      <c r="H1267" s="26">
        <v>26339</v>
      </c>
      <c r="I1267" t="s">
        <v>58</v>
      </c>
      <c r="J1267" t="s">
        <v>11319</v>
      </c>
      <c r="M1267">
        <v>75011</v>
      </c>
      <c r="N1267" t="s">
        <v>330</v>
      </c>
      <c r="O1267" t="s">
        <v>61</v>
      </c>
      <c r="R1267" t="s">
        <v>11320</v>
      </c>
      <c r="S1267" t="s">
        <v>63</v>
      </c>
      <c r="T1267" t="s">
        <v>64</v>
      </c>
      <c r="U1267" t="s">
        <v>1636</v>
      </c>
      <c r="W1267" s="26">
        <v>45588</v>
      </c>
      <c r="X1267" t="s">
        <v>61</v>
      </c>
      <c r="Y1267" t="s">
        <v>237</v>
      </c>
    </row>
    <row r="1268" spans="1:25" x14ac:dyDescent="0.25">
      <c r="A1268" t="s">
        <v>11321</v>
      </c>
      <c r="B1268">
        <v>11</v>
      </c>
      <c r="C1268">
        <v>92</v>
      </c>
      <c r="D1268">
        <v>9032</v>
      </c>
      <c r="E1268" t="s">
        <v>102</v>
      </c>
      <c r="F1268" t="s">
        <v>472</v>
      </c>
      <c r="G1268" t="s">
        <v>11322</v>
      </c>
      <c r="H1268" s="26">
        <v>25601</v>
      </c>
      <c r="I1268" t="s">
        <v>58</v>
      </c>
      <c r="J1268" t="s">
        <v>11323</v>
      </c>
      <c r="M1268">
        <v>92140</v>
      </c>
      <c r="N1268" t="s">
        <v>1380</v>
      </c>
      <c r="O1268" t="s">
        <v>61</v>
      </c>
      <c r="Q1268">
        <v>617772576</v>
      </c>
      <c r="R1268" t="s">
        <v>11324</v>
      </c>
      <c r="S1268" t="s">
        <v>63</v>
      </c>
      <c r="T1268" t="s">
        <v>64</v>
      </c>
      <c r="U1268" t="s">
        <v>65</v>
      </c>
      <c r="W1268" s="26">
        <v>45587</v>
      </c>
      <c r="X1268" t="s">
        <v>61</v>
      </c>
      <c r="Y1268" t="s">
        <v>237</v>
      </c>
    </row>
    <row r="1269" spans="1:25" x14ac:dyDescent="0.25">
      <c r="A1269" t="s">
        <v>4485</v>
      </c>
      <c r="B1269">
        <v>11</v>
      </c>
      <c r="C1269">
        <v>75</v>
      </c>
      <c r="D1269">
        <v>9070</v>
      </c>
      <c r="E1269" t="s">
        <v>168</v>
      </c>
      <c r="F1269" t="s">
        <v>1586</v>
      </c>
      <c r="G1269" t="s">
        <v>3107</v>
      </c>
      <c r="H1269" s="26">
        <v>28060</v>
      </c>
      <c r="I1269" t="s">
        <v>58</v>
      </c>
      <c r="J1269" t="s">
        <v>4486</v>
      </c>
      <c r="M1269">
        <v>92300</v>
      </c>
      <c r="N1269" t="s">
        <v>1229</v>
      </c>
      <c r="O1269" t="s">
        <v>61</v>
      </c>
      <c r="Q1269">
        <v>611550059</v>
      </c>
      <c r="R1269" t="s">
        <v>4487</v>
      </c>
      <c r="S1269" t="s">
        <v>63</v>
      </c>
      <c r="T1269" t="s">
        <v>64</v>
      </c>
      <c r="U1269" t="s">
        <v>8684</v>
      </c>
      <c r="W1269" s="26">
        <v>45537</v>
      </c>
      <c r="X1269" t="s">
        <v>61</v>
      </c>
      <c r="Y1269" t="s">
        <v>237</v>
      </c>
    </row>
    <row r="1270" spans="1:25" x14ac:dyDescent="0.25">
      <c r="A1270" t="s">
        <v>4488</v>
      </c>
      <c r="B1270">
        <v>11</v>
      </c>
      <c r="C1270">
        <v>95</v>
      </c>
      <c r="D1270">
        <v>9010</v>
      </c>
      <c r="E1270" t="s">
        <v>6</v>
      </c>
      <c r="F1270" t="s">
        <v>4489</v>
      </c>
      <c r="G1270" t="s">
        <v>4490</v>
      </c>
      <c r="H1270" s="26">
        <v>25510</v>
      </c>
      <c r="I1270" t="s">
        <v>58</v>
      </c>
      <c r="J1270" t="s">
        <v>4491</v>
      </c>
      <c r="M1270">
        <v>78100</v>
      </c>
      <c r="N1270" t="s">
        <v>2390</v>
      </c>
      <c r="O1270" t="s">
        <v>61</v>
      </c>
      <c r="R1270" t="s">
        <v>4492</v>
      </c>
      <c r="S1270" t="s">
        <v>63</v>
      </c>
      <c r="T1270" t="s">
        <v>64</v>
      </c>
      <c r="U1270" t="s">
        <v>8684</v>
      </c>
      <c r="W1270" s="26">
        <v>45530</v>
      </c>
      <c r="X1270" t="s">
        <v>4493</v>
      </c>
      <c r="Y1270" t="s">
        <v>237</v>
      </c>
    </row>
    <row r="1271" spans="1:25" x14ac:dyDescent="0.25">
      <c r="A1271" t="s">
        <v>4494</v>
      </c>
      <c r="B1271">
        <v>11</v>
      </c>
      <c r="C1271">
        <v>95</v>
      </c>
      <c r="D1271">
        <v>9010</v>
      </c>
      <c r="E1271" t="s">
        <v>6</v>
      </c>
      <c r="F1271" t="s">
        <v>4495</v>
      </c>
      <c r="G1271" t="s">
        <v>4490</v>
      </c>
      <c r="H1271" s="26">
        <v>38741</v>
      </c>
      <c r="I1271" t="s">
        <v>58</v>
      </c>
      <c r="J1271" t="s">
        <v>4491</v>
      </c>
      <c r="M1271">
        <v>78100</v>
      </c>
      <c r="N1271" t="s">
        <v>2390</v>
      </c>
      <c r="O1271" t="s">
        <v>61</v>
      </c>
      <c r="R1271" t="s">
        <v>4496</v>
      </c>
      <c r="S1271" t="s">
        <v>63</v>
      </c>
      <c r="T1271" t="s">
        <v>2510</v>
      </c>
      <c r="U1271" t="s">
        <v>8684</v>
      </c>
      <c r="W1271" s="26">
        <v>45530</v>
      </c>
      <c r="X1271" t="s">
        <v>4493</v>
      </c>
      <c r="Y1271" t="s">
        <v>237</v>
      </c>
    </row>
    <row r="1272" spans="1:25" x14ac:dyDescent="0.25">
      <c r="A1272" t="s">
        <v>10864</v>
      </c>
      <c r="B1272">
        <v>11</v>
      </c>
      <c r="C1272">
        <v>93</v>
      </c>
      <c r="D1272">
        <v>9060</v>
      </c>
      <c r="E1272" t="s">
        <v>203</v>
      </c>
      <c r="F1272" t="s">
        <v>1295</v>
      </c>
      <c r="G1272" t="s">
        <v>10835</v>
      </c>
      <c r="H1272" s="26">
        <v>19838</v>
      </c>
      <c r="I1272" t="s">
        <v>58</v>
      </c>
      <c r="J1272" t="s">
        <v>10865</v>
      </c>
      <c r="M1272">
        <v>93190</v>
      </c>
      <c r="N1272" t="s">
        <v>205</v>
      </c>
      <c r="O1272" t="s">
        <v>61</v>
      </c>
      <c r="P1272">
        <v>143307423</v>
      </c>
      <c r="Q1272">
        <v>625723146</v>
      </c>
      <c r="S1272" t="s">
        <v>63</v>
      </c>
      <c r="T1272" t="s">
        <v>64</v>
      </c>
      <c r="U1272" t="s">
        <v>65</v>
      </c>
      <c r="W1272" s="26">
        <v>45576</v>
      </c>
      <c r="X1272" t="s">
        <v>61</v>
      </c>
      <c r="Y1272" t="s">
        <v>237</v>
      </c>
    </row>
    <row r="1273" spans="1:25" x14ac:dyDescent="0.25">
      <c r="A1273" t="s">
        <v>4497</v>
      </c>
      <c r="B1273">
        <v>11</v>
      </c>
      <c r="C1273">
        <v>91</v>
      </c>
      <c r="D1273">
        <v>9082</v>
      </c>
      <c r="E1273" t="s">
        <v>67</v>
      </c>
      <c r="F1273" t="s">
        <v>820</v>
      </c>
      <c r="G1273" t="s">
        <v>4498</v>
      </c>
      <c r="H1273" s="26">
        <v>24535</v>
      </c>
      <c r="I1273" t="s">
        <v>58</v>
      </c>
      <c r="J1273" t="s">
        <v>4499</v>
      </c>
      <c r="M1273">
        <v>91700</v>
      </c>
      <c r="N1273" t="s">
        <v>4500</v>
      </c>
      <c r="O1273" t="s">
        <v>61</v>
      </c>
      <c r="Q1273">
        <v>678869391</v>
      </c>
      <c r="R1273" t="s">
        <v>4501</v>
      </c>
      <c r="S1273" t="s">
        <v>63</v>
      </c>
      <c r="T1273" t="s">
        <v>64</v>
      </c>
      <c r="U1273" t="s">
        <v>65</v>
      </c>
      <c r="W1273" s="26">
        <v>45544</v>
      </c>
      <c r="X1273" t="s">
        <v>61</v>
      </c>
      <c r="Y1273" t="s">
        <v>237</v>
      </c>
    </row>
    <row r="1274" spans="1:25" x14ac:dyDescent="0.25">
      <c r="A1274" t="s">
        <v>4502</v>
      </c>
      <c r="B1274">
        <v>11</v>
      </c>
      <c r="C1274">
        <v>78</v>
      </c>
      <c r="D1274">
        <v>9038</v>
      </c>
      <c r="E1274" t="s">
        <v>484</v>
      </c>
      <c r="F1274" t="s">
        <v>204</v>
      </c>
      <c r="G1274" t="s">
        <v>4503</v>
      </c>
      <c r="H1274" s="26">
        <v>17442</v>
      </c>
      <c r="I1274" t="s">
        <v>58</v>
      </c>
      <c r="J1274" t="s">
        <v>4504</v>
      </c>
      <c r="M1274">
        <v>78300</v>
      </c>
      <c r="N1274" t="s">
        <v>2018</v>
      </c>
      <c r="O1274" t="s">
        <v>61</v>
      </c>
      <c r="Q1274">
        <v>629423225</v>
      </c>
      <c r="R1274" t="s">
        <v>4505</v>
      </c>
      <c r="S1274" t="s">
        <v>63</v>
      </c>
      <c r="T1274" t="s">
        <v>64</v>
      </c>
      <c r="U1274" t="s">
        <v>65</v>
      </c>
      <c r="W1274" s="26">
        <v>45544</v>
      </c>
      <c r="X1274" t="s">
        <v>61</v>
      </c>
      <c r="Y1274" t="s">
        <v>237</v>
      </c>
    </row>
    <row r="1275" spans="1:25" x14ac:dyDescent="0.25">
      <c r="A1275" t="s">
        <v>4506</v>
      </c>
      <c r="B1275">
        <v>11</v>
      </c>
      <c r="C1275">
        <v>95</v>
      </c>
      <c r="D1275">
        <v>9069</v>
      </c>
      <c r="E1275" t="s">
        <v>129</v>
      </c>
      <c r="F1275" t="s">
        <v>97</v>
      </c>
      <c r="G1275" t="s">
        <v>297</v>
      </c>
      <c r="H1275" s="26">
        <v>18317</v>
      </c>
      <c r="I1275" t="s">
        <v>58</v>
      </c>
      <c r="J1275" t="s">
        <v>4507</v>
      </c>
      <c r="M1275">
        <v>95150</v>
      </c>
      <c r="N1275" t="s">
        <v>82</v>
      </c>
      <c r="O1275" t="s">
        <v>61</v>
      </c>
      <c r="Q1275">
        <v>685305188</v>
      </c>
      <c r="R1275" t="s">
        <v>4508</v>
      </c>
      <c r="S1275" t="s">
        <v>63</v>
      </c>
      <c r="T1275" t="s">
        <v>64</v>
      </c>
      <c r="U1275" t="s">
        <v>65</v>
      </c>
      <c r="W1275" s="26">
        <v>45544</v>
      </c>
      <c r="X1275" t="s">
        <v>61</v>
      </c>
      <c r="Y1275" t="s">
        <v>237</v>
      </c>
    </row>
    <row r="1276" spans="1:25" x14ac:dyDescent="0.25">
      <c r="A1276" t="s">
        <v>4509</v>
      </c>
      <c r="B1276">
        <v>11</v>
      </c>
      <c r="C1276">
        <v>95</v>
      </c>
      <c r="D1276">
        <v>9069</v>
      </c>
      <c r="E1276" t="s">
        <v>129</v>
      </c>
      <c r="F1276" t="s">
        <v>297</v>
      </c>
      <c r="G1276" t="s">
        <v>4510</v>
      </c>
      <c r="H1276" s="26">
        <v>21870</v>
      </c>
      <c r="I1276" t="s">
        <v>58</v>
      </c>
      <c r="J1276" t="s">
        <v>4511</v>
      </c>
      <c r="M1276">
        <v>95250</v>
      </c>
      <c r="N1276" t="s">
        <v>423</v>
      </c>
      <c r="O1276" t="s">
        <v>61</v>
      </c>
      <c r="Q1276">
        <v>610541518</v>
      </c>
      <c r="S1276" t="s">
        <v>63</v>
      </c>
      <c r="T1276" t="s">
        <v>64</v>
      </c>
      <c r="U1276" t="s">
        <v>65</v>
      </c>
      <c r="W1276" s="26">
        <v>45545</v>
      </c>
      <c r="X1276" t="s">
        <v>61</v>
      </c>
      <c r="Y1276" t="s">
        <v>237</v>
      </c>
    </row>
    <row r="1277" spans="1:25" x14ac:dyDescent="0.25">
      <c r="A1277" t="s">
        <v>4512</v>
      </c>
      <c r="B1277">
        <v>11</v>
      </c>
      <c r="C1277">
        <v>78</v>
      </c>
      <c r="D1277">
        <v>9002</v>
      </c>
      <c r="E1277" t="s">
        <v>558</v>
      </c>
      <c r="F1277" t="s">
        <v>4513</v>
      </c>
      <c r="G1277" t="s">
        <v>1898</v>
      </c>
      <c r="H1277" s="26">
        <v>19549</v>
      </c>
      <c r="I1277" t="s">
        <v>58</v>
      </c>
      <c r="J1277" t="s">
        <v>4514</v>
      </c>
      <c r="M1277">
        <v>78980</v>
      </c>
      <c r="N1277" t="s">
        <v>4515</v>
      </c>
      <c r="O1277" t="s">
        <v>61</v>
      </c>
      <c r="Q1277">
        <v>683286783</v>
      </c>
      <c r="R1277" t="s">
        <v>4516</v>
      </c>
      <c r="S1277" t="s">
        <v>63</v>
      </c>
      <c r="T1277" t="s">
        <v>64</v>
      </c>
      <c r="U1277" t="s">
        <v>65</v>
      </c>
      <c r="W1277" s="26">
        <v>45544</v>
      </c>
      <c r="X1277" t="s">
        <v>61</v>
      </c>
      <c r="Y1277" t="s">
        <v>237</v>
      </c>
    </row>
    <row r="1278" spans="1:25" x14ac:dyDescent="0.25">
      <c r="A1278" t="s">
        <v>4517</v>
      </c>
      <c r="B1278">
        <v>11</v>
      </c>
      <c r="C1278">
        <v>94</v>
      </c>
      <c r="D1278">
        <v>9024</v>
      </c>
      <c r="E1278" t="s">
        <v>4</v>
      </c>
      <c r="F1278" t="s">
        <v>91</v>
      </c>
      <c r="G1278" t="s">
        <v>4518</v>
      </c>
      <c r="H1278" s="26">
        <v>22245</v>
      </c>
      <c r="I1278" t="s">
        <v>58</v>
      </c>
      <c r="J1278" t="s">
        <v>4519</v>
      </c>
      <c r="M1278">
        <v>94100</v>
      </c>
      <c r="N1278" t="s">
        <v>971</v>
      </c>
      <c r="O1278" t="s">
        <v>61</v>
      </c>
      <c r="Q1278">
        <v>623982704</v>
      </c>
      <c r="R1278" t="s">
        <v>4520</v>
      </c>
      <c r="S1278" t="s">
        <v>63</v>
      </c>
      <c r="T1278" t="s">
        <v>64</v>
      </c>
      <c r="U1278" t="s">
        <v>65</v>
      </c>
      <c r="W1278" s="26">
        <v>45551</v>
      </c>
      <c r="X1278" t="s">
        <v>61</v>
      </c>
      <c r="Y1278" t="s">
        <v>237</v>
      </c>
    </row>
    <row r="1279" spans="1:25" x14ac:dyDescent="0.25">
      <c r="A1279" t="s">
        <v>4521</v>
      </c>
      <c r="B1279">
        <v>11</v>
      </c>
      <c r="C1279">
        <v>78</v>
      </c>
      <c r="D1279">
        <v>9030</v>
      </c>
      <c r="E1279" t="s">
        <v>96</v>
      </c>
      <c r="F1279" t="s">
        <v>1282</v>
      </c>
      <c r="G1279" t="s">
        <v>4522</v>
      </c>
      <c r="H1279" s="26">
        <v>27238</v>
      </c>
      <c r="I1279" t="s">
        <v>58</v>
      </c>
      <c r="J1279" t="s">
        <v>4523</v>
      </c>
      <c r="M1279">
        <v>78960</v>
      </c>
      <c r="N1279" t="s">
        <v>566</v>
      </c>
      <c r="O1279" t="s">
        <v>61</v>
      </c>
      <c r="Q1279">
        <v>689875712</v>
      </c>
      <c r="R1279" t="s">
        <v>10161</v>
      </c>
      <c r="S1279" t="s">
        <v>63</v>
      </c>
      <c r="T1279" t="s">
        <v>64</v>
      </c>
      <c r="U1279" t="s">
        <v>65</v>
      </c>
      <c r="W1279" s="26">
        <v>45545</v>
      </c>
      <c r="X1279" t="s">
        <v>61</v>
      </c>
      <c r="Y1279" t="s">
        <v>237</v>
      </c>
    </row>
    <row r="1280" spans="1:25" x14ac:dyDescent="0.25">
      <c r="A1280" t="s">
        <v>4524</v>
      </c>
      <c r="B1280">
        <v>11</v>
      </c>
      <c r="C1280">
        <v>92</v>
      </c>
      <c r="D1280">
        <v>9068</v>
      </c>
      <c r="E1280" t="s">
        <v>119</v>
      </c>
      <c r="F1280" t="s">
        <v>1991</v>
      </c>
      <c r="G1280" t="s">
        <v>4525</v>
      </c>
      <c r="H1280" s="26">
        <v>24592</v>
      </c>
      <c r="I1280" t="s">
        <v>58</v>
      </c>
      <c r="J1280" t="s">
        <v>9057</v>
      </c>
      <c r="M1280">
        <v>94550</v>
      </c>
      <c r="N1280" t="s">
        <v>9058</v>
      </c>
      <c r="O1280" t="s">
        <v>61</v>
      </c>
      <c r="Q1280">
        <v>665921628</v>
      </c>
      <c r="R1280" t="s">
        <v>4526</v>
      </c>
      <c r="S1280" t="s">
        <v>63</v>
      </c>
      <c r="T1280" t="s">
        <v>64</v>
      </c>
      <c r="U1280" t="s">
        <v>65</v>
      </c>
      <c r="W1280" s="26">
        <v>45552</v>
      </c>
      <c r="X1280" t="s">
        <v>61</v>
      </c>
      <c r="Y1280" t="s">
        <v>237</v>
      </c>
    </row>
    <row r="1281" spans="1:25" x14ac:dyDescent="0.25">
      <c r="A1281" t="s">
        <v>4527</v>
      </c>
      <c r="B1281">
        <v>11</v>
      </c>
      <c r="C1281">
        <v>91</v>
      </c>
      <c r="D1281">
        <v>9009</v>
      </c>
      <c r="E1281" t="s">
        <v>159</v>
      </c>
      <c r="F1281" t="s">
        <v>820</v>
      </c>
      <c r="G1281" t="s">
        <v>327</v>
      </c>
      <c r="H1281" s="26">
        <v>26472</v>
      </c>
      <c r="I1281" t="s">
        <v>58</v>
      </c>
      <c r="J1281" t="s">
        <v>4528</v>
      </c>
      <c r="M1281">
        <v>91600</v>
      </c>
      <c r="N1281" t="s">
        <v>4529</v>
      </c>
      <c r="O1281" t="s">
        <v>61</v>
      </c>
      <c r="Q1281">
        <v>684517548</v>
      </c>
      <c r="S1281" t="s">
        <v>63</v>
      </c>
      <c r="T1281" t="s">
        <v>64</v>
      </c>
      <c r="U1281" t="s">
        <v>65</v>
      </c>
      <c r="W1281" s="26">
        <v>45549</v>
      </c>
      <c r="X1281" t="s">
        <v>61</v>
      </c>
      <c r="Y1281" t="s">
        <v>237</v>
      </c>
    </row>
    <row r="1282" spans="1:25" x14ac:dyDescent="0.25">
      <c r="A1282" t="s">
        <v>4530</v>
      </c>
      <c r="B1282">
        <v>11</v>
      </c>
      <c r="C1282">
        <v>92</v>
      </c>
      <c r="D1282">
        <v>9007</v>
      </c>
      <c r="E1282" t="s">
        <v>121</v>
      </c>
      <c r="F1282" t="s">
        <v>983</v>
      </c>
      <c r="G1282" t="s">
        <v>4531</v>
      </c>
      <c r="H1282" s="26">
        <v>21906</v>
      </c>
      <c r="I1282" t="s">
        <v>58</v>
      </c>
      <c r="J1282" t="s">
        <v>9059</v>
      </c>
      <c r="M1282">
        <v>92400</v>
      </c>
      <c r="N1282" t="s">
        <v>478</v>
      </c>
      <c r="O1282" t="s">
        <v>61</v>
      </c>
      <c r="R1282" t="s">
        <v>4532</v>
      </c>
      <c r="S1282" t="s">
        <v>63</v>
      </c>
      <c r="T1282" t="s">
        <v>64</v>
      </c>
      <c r="U1282" t="s">
        <v>65</v>
      </c>
      <c r="W1282" s="26">
        <v>45537</v>
      </c>
      <c r="X1282" t="s">
        <v>61</v>
      </c>
      <c r="Y1282" t="s">
        <v>237</v>
      </c>
    </row>
    <row r="1283" spans="1:25" x14ac:dyDescent="0.25">
      <c r="A1283" t="s">
        <v>4533</v>
      </c>
      <c r="B1283">
        <v>11</v>
      </c>
      <c r="C1283">
        <v>78</v>
      </c>
      <c r="D1283">
        <v>9016</v>
      </c>
      <c r="E1283" t="s">
        <v>362</v>
      </c>
      <c r="F1283" t="s">
        <v>204</v>
      </c>
      <c r="G1283" t="s">
        <v>4534</v>
      </c>
      <c r="H1283" s="26">
        <v>19732</v>
      </c>
      <c r="I1283" t="s">
        <v>58</v>
      </c>
      <c r="J1283" t="s">
        <v>4535</v>
      </c>
      <c r="M1283">
        <v>78820</v>
      </c>
      <c r="N1283" t="s">
        <v>2347</v>
      </c>
      <c r="O1283" t="s">
        <v>61</v>
      </c>
      <c r="Q1283">
        <v>769213226</v>
      </c>
      <c r="S1283" t="s">
        <v>63</v>
      </c>
      <c r="T1283" t="s">
        <v>64</v>
      </c>
      <c r="U1283" t="s">
        <v>65</v>
      </c>
      <c r="W1283" s="26">
        <v>45539</v>
      </c>
      <c r="X1283" t="s">
        <v>61</v>
      </c>
      <c r="Y1283" t="s">
        <v>237</v>
      </c>
    </row>
    <row r="1284" spans="1:25" x14ac:dyDescent="0.25">
      <c r="A1284" t="s">
        <v>4536</v>
      </c>
      <c r="B1284">
        <v>11</v>
      </c>
      <c r="C1284">
        <v>91</v>
      </c>
      <c r="D1284">
        <v>9025</v>
      </c>
      <c r="E1284" t="s">
        <v>188</v>
      </c>
      <c r="F1284" t="s">
        <v>4537</v>
      </c>
      <c r="G1284" t="s">
        <v>3691</v>
      </c>
      <c r="H1284" s="26">
        <v>42094</v>
      </c>
      <c r="I1284" t="s">
        <v>16</v>
      </c>
      <c r="J1284" t="s">
        <v>4538</v>
      </c>
      <c r="M1284">
        <v>91100</v>
      </c>
      <c r="N1284" t="s">
        <v>1427</v>
      </c>
      <c r="O1284" t="s">
        <v>61</v>
      </c>
      <c r="R1284" t="s">
        <v>3693</v>
      </c>
      <c r="S1284" t="s">
        <v>63</v>
      </c>
      <c r="T1284" t="s">
        <v>2510</v>
      </c>
      <c r="U1284" t="s">
        <v>486</v>
      </c>
      <c r="W1284" s="26">
        <v>45538</v>
      </c>
      <c r="X1284" t="s">
        <v>61</v>
      </c>
      <c r="Y1284" t="s">
        <v>237</v>
      </c>
    </row>
    <row r="1285" spans="1:25" x14ac:dyDescent="0.25">
      <c r="A1285" t="s">
        <v>4539</v>
      </c>
      <c r="B1285">
        <v>11</v>
      </c>
      <c r="C1285">
        <v>91</v>
      </c>
      <c r="D1285">
        <v>9009</v>
      </c>
      <c r="E1285" t="s">
        <v>159</v>
      </c>
      <c r="F1285" t="s">
        <v>1618</v>
      </c>
      <c r="G1285" t="s">
        <v>4540</v>
      </c>
      <c r="H1285" s="26">
        <v>22497</v>
      </c>
      <c r="I1285" t="s">
        <v>58</v>
      </c>
      <c r="J1285" t="s">
        <v>4541</v>
      </c>
      <c r="M1285">
        <v>91420</v>
      </c>
      <c r="N1285" t="s">
        <v>1675</v>
      </c>
      <c r="O1285" t="s">
        <v>61</v>
      </c>
      <c r="Q1285">
        <v>662166358</v>
      </c>
      <c r="R1285" t="s">
        <v>4542</v>
      </c>
      <c r="S1285" t="s">
        <v>63</v>
      </c>
      <c r="T1285" t="s">
        <v>64</v>
      </c>
      <c r="U1285" t="s">
        <v>65</v>
      </c>
      <c r="W1285" s="26">
        <v>45543</v>
      </c>
      <c r="X1285" t="s">
        <v>61</v>
      </c>
      <c r="Y1285" t="s">
        <v>237</v>
      </c>
    </row>
    <row r="1286" spans="1:25" x14ac:dyDescent="0.25">
      <c r="A1286" t="s">
        <v>4543</v>
      </c>
      <c r="B1286">
        <v>11</v>
      </c>
      <c r="C1286">
        <v>78</v>
      </c>
      <c r="D1286">
        <v>9016</v>
      </c>
      <c r="E1286" t="s">
        <v>362</v>
      </c>
      <c r="F1286" t="s">
        <v>189</v>
      </c>
      <c r="G1286" t="s">
        <v>4544</v>
      </c>
      <c r="H1286" s="26">
        <v>22792</v>
      </c>
      <c r="I1286" t="s">
        <v>58</v>
      </c>
      <c r="J1286" t="s">
        <v>4545</v>
      </c>
      <c r="M1286">
        <v>78250</v>
      </c>
      <c r="N1286" t="s">
        <v>4546</v>
      </c>
      <c r="O1286" t="s">
        <v>61</v>
      </c>
      <c r="Q1286">
        <v>769964643</v>
      </c>
      <c r="R1286" t="s">
        <v>4547</v>
      </c>
      <c r="S1286" t="s">
        <v>63</v>
      </c>
      <c r="T1286" t="s">
        <v>64</v>
      </c>
      <c r="U1286" t="s">
        <v>65</v>
      </c>
      <c r="W1286" s="26">
        <v>45548</v>
      </c>
      <c r="X1286" t="s">
        <v>61</v>
      </c>
      <c r="Y1286" t="s">
        <v>237</v>
      </c>
    </row>
    <row r="1287" spans="1:25" x14ac:dyDescent="0.25">
      <c r="A1287" t="s">
        <v>4549</v>
      </c>
      <c r="B1287">
        <v>11</v>
      </c>
      <c r="C1287">
        <v>91</v>
      </c>
      <c r="D1287">
        <v>9082</v>
      </c>
      <c r="E1287" t="s">
        <v>67</v>
      </c>
      <c r="F1287" t="s">
        <v>448</v>
      </c>
      <c r="G1287" t="s">
        <v>4550</v>
      </c>
      <c r="H1287" s="26">
        <v>23650</v>
      </c>
      <c r="I1287" t="s">
        <v>58</v>
      </c>
      <c r="J1287" t="s">
        <v>4551</v>
      </c>
      <c r="M1287">
        <v>91700</v>
      </c>
      <c r="N1287" t="s">
        <v>4500</v>
      </c>
      <c r="O1287" t="s">
        <v>61</v>
      </c>
      <c r="Q1287">
        <v>687518677</v>
      </c>
      <c r="R1287" t="s">
        <v>4552</v>
      </c>
      <c r="S1287" t="s">
        <v>63</v>
      </c>
      <c r="T1287" t="s">
        <v>64</v>
      </c>
      <c r="U1287" t="s">
        <v>65</v>
      </c>
      <c r="W1287" s="26">
        <v>45556</v>
      </c>
      <c r="X1287" t="s">
        <v>61</v>
      </c>
      <c r="Y1287" t="s">
        <v>237</v>
      </c>
    </row>
    <row r="1288" spans="1:25" x14ac:dyDescent="0.25">
      <c r="A1288" t="s">
        <v>4553</v>
      </c>
      <c r="B1288">
        <v>11</v>
      </c>
      <c r="C1288">
        <v>91</v>
      </c>
      <c r="D1288">
        <v>9082</v>
      </c>
      <c r="E1288" t="s">
        <v>67</v>
      </c>
      <c r="F1288" t="s">
        <v>137</v>
      </c>
      <c r="G1288" t="s">
        <v>4554</v>
      </c>
      <c r="H1288" s="26">
        <v>18177</v>
      </c>
      <c r="I1288" t="s">
        <v>58</v>
      </c>
      <c r="J1288" t="s">
        <v>4555</v>
      </c>
      <c r="M1288">
        <v>91210</v>
      </c>
      <c r="N1288" t="s">
        <v>226</v>
      </c>
      <c r="O1288" t="s">
        <v>61</v>
      </c>
      <c r="Q1288">
        <v>648157701</v>
      </c>
      <c r="R1288" t="s">
        <v>4556</v>
      </c>
      <c r="S1288" t="s">
        <v>63</v>
      </c>
      <c r="T1288" t="s">
        <v>64</v>
      </c>
      <c r="U1288" t="s">
        <v>65</v>
      </c>
      <c r="W1288" s="26">
        <v>45544</v>
      </c>
      <c r="X1288" t="s">
        <v>61</v>
      </c>
      <c r="Y1288" t="s">
        <v>237</v>
      </c>
    </row>
    <row r="1289" spans="1:25" x14ac:dyDescent="0.25">
      <c r="A1289" t="s">
        <v>9060</v>
      </c>
      <c r="B1289">
        <v>11</v>
      </c>
      <c r="C1289">
        <v>91</v>
      </c>
      <c r="D1289">
        <v>9009</v>
      </c>
      <c r="E1289" t="s">
        <v>159</v>
      </c>
      <c r="F1289" t="s">
        <v>2812</v>
      </c>
      <c r="G1289" t="s">
        <v>9061</v>
      </c>
      <c r="H1289" s="26">
        <v>19286</v>
      </c>
      <c r="I1289" t="s">
        <v>58</v>
      </c>
      <c r="J1289" t="s">
        <v>9062</v>
      </c>
      <c r="M1289">
        <v>78000</v>
      </c>
      <c r="N1289" t="s">
        <v>1334</v>
      </c>
      <c r="O1289" t="s">
        <v>61</v>
      </c>
      <c r="Q1289">
        <v>607263000</v>
      </c>
      <c r="R1289" t="s">
        <v>9063</v>
      </c>
      <c r="S1289" t="s">
        <v>63</v>
      </c>
      <c r="T1289" t="s">
        <v>64</v>
      </c>
      <c r="U1289" t="s">
        <v>65</v>
      </c>
      <c r="W1289" s="26">
        <v>45540</v>
      </c>
      <c r="X1289" t="s">
        <v>2816</v>
      </c>
      <c r="Y1289" t="s">
        <v>237</v>
      </c>
    </row>
    <row r="1290" spans="1:25" x14ac:dyDescent="0.25">
      <c r="A1290" t="s">
        <v>4558</v>
      </c>
      <c r="B1290">
        <v>11</v>
      </c>
      <c r="C1290">
        <v>91</v>
      </c>
      <c r="D1290">
        <v>9095</v>
      </c>
      <c r="E1290" t="s">
        <v>113</v>
      </c>
      <c r="F1290" t="s">
        <v>85</v>
      </c>
      <c r="G1290" t="s">
        <v>3752</v>
      </c>
      <c r="H1290" s="26">
        <v>22066</v>
      </c>
      <c r="I1290" t="s">
        <v>58</v>
      </c>
      <c r="J1290" t="s">
        <v>4559</v>
      </c>
      <c r="M1290">
        <v>91290</v>
      </c>
      <c r="N1290" t="s">
        <v>2342</v>
      </c>
      <c r="O1290" t="s">
        <v>61</v>
      </c>
      <c r="Q1290">
        <v>612538543</v>
      </c>
      <c r="R1290" t="s">
        <v>4560</v>
      </c>
      <c r="S1290" t="s">
        <v>63</v>
      </c>
      <c r="T1290" t="s">
        <v>64</v>
      </c>
      <c r="U1290" t="s">
        <v>65</v>
      </c>
      <c r="W1290" s="26">
        <v>45559</v>
      </c>
      <c r="X1290" t="s">
        <v>61</v>
      </c>
      <c r="Y1290" t="s">
        <v>237</v>
      </c>
    </row>
    <row r="1291" spans="1:25" x14ac:dyDescent="0.25">
      <c r="A1291" t="s">
        <v>10866</v>
      </c>
      <c r="B1291">
        <v>11</v>
      </c>
      <c r="C1291">
        <v>93</v>
      </c>
      <c r="D1291">
        <v>9060</v>
      </c>
      <c r="E1291" t="s">
        <v>203</v>
      </c>
      <c r="F1291" t="s">
        <v>886</v>
      </c>
      <c r="G1291" t="s">
        <v>1861</v>
      </c>
      <c r="H1291" s="26">
        <v>21519</v>
      </c>
      <c r="I1291" t="s">
        <v>58</v>
      </c>
      <c r="J1291" t="s">
        <v>10867</v>
      </c>
      <c r="M1291">
        <v>93600</v>
      </c>
      <c r="N1291" t="s">
        <v>1558</v>
      </c>
      <c r="O1291" t="s">
        <v>61</v>
      </c>
      <c r="Q1291">
        <v>661452640</v>
      </c>
      <c r="R1291" t="s">
        <v>10868</v>
      </c>
      <c r="S1291" t="s">
        <v>63</v>
      </c>
      <c r="T1291" t="s">
        <v>64</v>
      </c>
      <c r="U1291" t="s">
        <v>65</v>
      </c>
      <c r="W1291" s="26">
        <v>45576</v>
      </c>
      <c r="X1291" t="s">
        <v>61</v>
      </c>
      <c r="Y1291" t="s">
        <v>237</v>
      </c>
    </row>
    <row r="1292" spans="1:25" x14ac:dyDescent="0.25">
      <c r="A1292" t="s">
        <v>4561</v>
      </c>
      <c r="B1292">
        <v>11</v>
      </c>
      <c r="C1292">
        <v>93</v>
      </c>
      <c r="D1292">
        <v>9060</v>
      </c>
      <c r="E1292" t="s">
        <v>203</v>
      </c>
      <c r="F1292" t="s">
        <v>289</v>
      </c>
      <c r="G1292" t="s">
        <v>4562</v>
      </c>
      <c r="H1292" s="26">
        <v>15238</v>
      </c>
      <c r="I1292" t="s">
        <v>58</v>
      </c>
      <c r="J1292" t="s">
        <v>4563</v>
      </c>
      <c r="M1292">
        <v>93270</v>
      </c>
      <c r="N1292" t="s">
        <v>2129</v>
      </c>
      <c r="O1292" t="s">
        <v>61</v>
      </c>
      <c r="Q1292">
        <v>672825930</v>
      </c>
      <c r="R1292" t="s">
        <v>4564</v>
      </c>
      <c r="S1292" t="s">
        <v>63</v>
      </c>
      <c r="T1292" t="s">
        <v>64</v>
      </c>
      <c r="U1292" t="s">
        <v>65</v>
      </c>
      <c r="W1292" s="26">
        <v>45546</v>
      </c>
      <c r="X1292" t="s">
        <v>61</v>
      </c>
      <c r="Y1292" t="s">
        <v>237</v>
      </c>
    </row>
    <row r="1293" spans="1:25" x14ac:dyDescent="0.25">
      <c r="A1293" t="s">
        <v>11325</v>
      </c>
      <c r="B1293">
        <v>11</v>
      </c>
      <c r="C1293">
        <v>93</v>
      </c>
      <c r="D1293">
        <v>9122</v>
      </c>
      <c r="E1293" t="s">
        <v>1030</v>
      </c>
      <c r="F1293" t="s">
        <v>68</v>
      </c>
      <c r="G1293" t="s">
        <v>11326</v>
      </c>
      <c r="H1293" s="26">
        <v>19697</v>
      </c>
      <c r="I1293" t="s">
        <v>58</v>
      </c>
      <c r="J1293" t="s">
        <v>11327</v>
      </c>
      <c r="M1293">
        <v>93220</v>
      </c>
      <c r="N1293" t="s">
        <v>662</v>
      </c>
      <c r="O1293" t="s">
        <v>61</v>
      </c>
      <c r="Q1293">
        <v>652346835</v>
      </c>
      <c r="R1293" t="s">
        <v>11328</v>
      </c>
      <c r="S1293" t="s">
        <v>63</v>
      </c>
      <c r="T1293" t="s">
        <v>64</v>
      </c>
      <c r="U1293" t="s">
        <v>65</v>
      </c>
      <c r="W1293" s="26">
        <v>45585</v>
      </c>
      <c r="X1293" t="s">
        <v>61</v>
      </c>
      <c r="Y1293" t="s">
        <v>237</v>
      </c>
    </row>
    <row r="1294" spans="1:25" x14ac:dyDescent="0.25">
      <c r="A1294" t="s">
        <v>10869</v>
      </c>
      <c r="B1294">
        <v>11</v>
      </c>
      <c r="C1294">
        <v>93</v>
      </c>
      <c r="D1294">
        <v>9122</v>
      </c>
      <c r="E1294" t="s">
        <v>1030</v>
      </c>
      <c r="F1294" t="s">
        <v>551</v>
      </c>
      <c r="G1294" t="s">
        <v>10870</v>
      </c>
      <c r="H1294" s="26">
        <v>22196</v>
      </c>
      <c r="I1294" t="s">
        <v>58</v>
      </c>
      <c r="J1294" t="s">
        <v>10871</v>
      </c>
      <c r="M1294">
        <v>93220</v>
      </c>
      <c r="N1294" t="s">
        <v>662</v>
      </c>
      <c r="O1294" t="s">
        <v>61</v>
      </c>
      <c r="Q1294">
        <v>629613479</v>
      </c>
      <c r="R1294" t="s">
        <v>10872</v>
      </c>
      <c r="S1294" t="s">
        <v>63</v>
      </c>
      <c r="T1294" t="s">
        <v>64</v>
      </c>
      <c r="U1294" t="s">
        <v>65</v>
      </c>
      <c r="W1294" s="26">
        <v>45576</v>
      </c>
      <c r="X1294" t="s">
        <v>61</v>
      </c>
      <c r="Y1294" t="s">
        <v>237</v>
      </c>
    </row>
    <row r="1295" spans="1:25" x14ac:dyDescent="0.25">
      <c r="A1295" t="s">
        <v>11329</v>
      </c>
      <c r="B1295">
        <v>11</v>
      </c>
      <c r="C1295">
        <v>93</v>
      </c>
      <c r="D1295">
        <v>9122</v>
      </c>
      <c r="E1295" t="s">
        <v>1030</v>
      </c>
      <c r="F1295" t="s">
        <v>887</v>
      </c>
      <c r="G1295" t="s">
        <v>11330</v>
      </c>
      <c r="H1295" s="26">
        <v>21220</v>
      </c>
      <c r="I1295" t="s">
        <v>58</v>
      </c>
      <c r="J1295" t="s">
        <v>11331</v>
      </c>
      <c r="M1295">
        <v>93220</v>
      </c>
      <c r="N1295" t="s">
        <v>662</v>
      </c>
      <c r="O1295" t="s">
        <v>61</v>
      </c>
      <c r="Q1295">
        <v>677076673</v>
      </c>
      <c r="R1295" t="s">
        <v>11332</v>
      </c>
      <c r="S1295" t="s">
        <v>63</v>
      </c>
      <c r="T1295" t="s">
        <v>64</v>
      </c>
      <c r="U1295" t="s">
        <v>65</v>
      </c>
      <c r="W1295" s="26">
        <v>45587</v>
      </c>
      <c r="X1295" t="s">
        <v>61</v>
      </c>
      <c r="Y1295" t="s">
        <v>237</v>
      </c>
    </row>
    <row r="1296" spans="1:25" x14ac:dyDescent="0.25">
      <c r="A1296" t="s">
        <v>4565</v>
      </c>
      <c r="B1296">
        <v>11</v>
      </c>
      <c r="C1296">
        <v>95</v>
      </c>
      <c r="D1296">
        <v>9010</v>
      </c>
      <c r="E1296" t="s">
        <v>6</v>
      </c>
      <c r="F1296" t="s">
        <v>4566</v>
      </c>
      <c r="G1296" t="s">
        <v>4567</v>
      </c>
      <c r="H1296" s="26">
        <v>25423</v>
      </c>
      <c r="I1296" t="s">
        <v>58</v>
      </c>
      <c r="J1296" t="s">
        <v>4568</v>
      </c>
      <c r="M1296">
        <v>95870</v>
      </c>
      <c r="N1296" t="s">
        <v>2109</v>
      </c>
      <c r="O1296" t="s">
        <v>61</v>
      </c>
      <c r="R1296" t="s">
        <v>4569</v>
      </c>
      <c r="S1296" t="s">
        <v>237</v>
      </c>
      <c r="T1296" t="s">
        <v>64</v>
      </c>
      <c r="U1296" t="s">
        <v>65</v>
      </c>
      <c r="W1296" s="26">
        <v>45555</v>
      </c>
      <c r="X1296" t="s">
        <v>61</v>
      </c>
      <c r="Y1296" t="s">
        <v>237</v>
      </c>
    </row>
    <row r="1297" spans="1:25" x14ac:dyDescent="0.25">
      <c r="A1297" t="s">
        <v>4570</v>
      </c>
      <c r="B1297">
        <v>11</v>
      </c>
      <c r="C1297">
        <v>91</v>
      </c>
      <c r="D1297">
        <v>9095</v>
      </c>
      <c r="E1297" t="s">
        <v>113</v>
      </c>
      <c r="F1297" t="s">
        <v>887</v>
      </c>
      <c r="G1297" t="s">
        <v>1762</v>
      </c>
      <c r="H1297" s="26">
        <v>23292</v>
      </c>
      <c r="I1297" t="s">
        <v>58</v>
      </c>
      <c r="J1297" t="s">
        <v>4571</v>
      </c>
      <c r="M1297">
        <v>91340</v>
      </c>
      <c r="N1297" t="s">
        <v>489</v>
      </c>
      <c r="O1297" t="s">
        <v>61</v>
      </c>
      <c r="P1297">
        <v>160831377</v>
      </c>
      <c r="Q1297">
        <v>666948093</v>
      </c>
      <c r="R1297" t="s">
        <v>4572</v>
      </c>
      <c r="S1297" t="s">
        <v>63</v>
      </c>
      <c r="T1297" t="s">
        <v>64</v>
      </c>
      <c r="U1297" t="s">
        <v>65</v>
      </c>
      <c r="W1297" s="26">
        <v>45544</v>
      </c>
      <c r="X1297" t="s">
        <v>61</v>
      </c>
      <c r="Y1297" t="s">
        <v>237</v>
      </c>
    </row>
    <row r="1298" spans="1:25" x14ac:dyDescent="0.25">
      <c r="A1298" t="s">
        <v>10873</v>
      </c>
      <c r="B1298">
        <v>11</v>
      </c>
      <c r="C1298">
        <v>78</v>
      </c>
      <c r="D1298">
        <v>9002</v>
      </c>
      <c r="E1298" t="s">
        <v>558</v>
      </c>
      <c r="F1298" t="s">
        <v>551</v>
      </c>
      <c r="G1298" t="s">
        <v>10874</v>
      </c>
      <c r="H1298" s="26">
        <v>20330</v>
      </c>
      <c r="I1298" t="s">
        <v>58</v>
      </c>
      <c r="J1298" t="s">
        <v>10875</v>
      </c>
      <c r="M1298">
        <v>78550</v>
      </c>
      <c r="N1298" t="s">
        <v>10876</v>
      </c>
      <c r="O1298" t="s">
        <v>61</v>
      </c>
      <c r="Q1298">
        <v>680470099</v>
      </c>
      <c r="R1298" t="s">
        <v>10877</v>
      </c>
      <c r="S1298" t="s">
        <v>63</v>
      </c>
      <c r="T1298" t="s">
        <v>64</v>
      </c>
      <c r="U1298" t="s">
        <v>65</v>
      </c>
      <c r="W1298" s="26">
        <v>45573</v>
      </c>
      <c r="X1298" t="s">
        <v>61</v>
      </c>
      <c r="Y1298" t="s">
        <v>237</v>
      </c>
    </row>
    <row r="1299" spans="1:25" x14ac:dyDescent="0.25">
      <c r="A1299" t="s">
        <v>11333</v>
      </c>
      <c r="B1299">
        <v>11</v>
      </c>
      <c r="C1299">
        <v>78</v>
      </c>
      <c r="D1299">
        <v>9016</v>
      </c>
      <c r="E1299" t="s">
        <v>362</v>
      </c>
      <c r="F1299" t="s">
        <v>198</v>
      </c>
      <c r="G1299" t="s">
        <v>10898</v>
      </c>
      <c r="H1299" s="26">
        <v>30462</v>
      </c>
      <c r="I1299" t="s">
        <v>58</v>
      </c>
      <c r="J1299" t="s">
        <v>11334</v>
      </c>
      <c r="M1299">
        <v>78440</v>
      </c>
      <c r="N1299" t="s">
        <v>1646</v>
      </c>
      <c r="O1299" t="s">
        <v>61</v>
      </c>
      <c r="Q1299">
        <v>678516583</v>
      </c>
      <c r="R1299" t="s">
        <v>11335</v>
      </c>
      <c r="S1299" t="s">
        <v>63</v>
      </c>
      <c r="T1299" t="s">
        <v>64</v>
      </c>
      <c r="U1299" t="s">
        <v>65</v>
      </c>
      <c r="W1299" s="26">
        <v>45590</v>
      </c>
      <c r="X1299" t="s">
        <v>61</v>
      </c>
      <c r="Y1299" t="s">
        <v>237</v>
      </c>
    </row>
    <row r="1300" spans="1:25" x14ac:dyDescent="0.25">
      <c r="A1300" t="s">
        <v>4573</v>
      </c>
      <c r="B1300">
        <v>11</v>
      </c>
      <c r="C1300">
        <v>91</v>
      </c>
      <c r="D1300">
        <v>9095</v>
      </c>
      <c r="E1300" t="s">
        <v>113</v>
      </c>
      <c r="F1300" t="s">
        <v>68</v>
      </c>
      <c r="G1300" t="s">
        <v>4574</v>
      </c>
      <c r="H1300" s="26">
        <v>23044</v>
      </c>
      <c r="I1300" t="s">
        <v>58</v>
      </c>
      <c r="J1300" t="s">
        <v>4575</v>
      </c>
      <c r="M1300">
        <v>91310</v>
      </c>
      <c r="N1300" t="s">
        <v>4163</v>
      </c>
      <c r="O1300" t="s">
        <v>61</v>
      </c>
      <c r="Q1300">
        <v>603102387</v>
      </c>
      <c r="R1300" t="s">
        <v>4576</v>
      </c>
      <c r="S1300" t="s">
        <v>63</v>
      </c>
      <c r="T1300" t="s">
        <v>64</v>
      </c>
      <c r="U1300" t="s">
        <v>65</v>
      </c>
      <c r="W1300" s="26">
        <v>45544</v>
      </c>
      <c r="X1300" t="s">
        <v>61</v>
      </c>
      <c r="Y1300" t="s">
        <v>237</v>
      </c>
    </row>
    <row r="1301" spans="1:25" x14ac:dyDescent="0.25">
      <c r="A1301" t="s">
        <v>4577</v>
      </c>
      <c r="B1301">
        <v>11</v>
      </c>
      <c r="C1301">
        <v>91</v>
      </c>
      <c r="D1301">
        <v>9095</v>
      </c>
      <c r="E1301" t="s">
        <v>113</v>
      </c>
      <c r="F1301" t="s">
        <v>91</v>
      </c>
      <c r="G1301" t="s">
        <v>4578</v>
      </c>
      <c r="H1301" s="26">
        <v>16139</v>
      </c>
      <c r="I1301" t="s">
        <v>58</v>
      </c>
      <c r="J1301" t="s">
        <v>4579</v>
      </c>
      <c r="M1301">
        <v>91290</v>
      </c>
      <c r="N1301" t="s">
        <v>2342</v>
      </c>
      <c r="O1301" t="s">
        <v>61</v>
      </c>
      <c r="P1301">
        <v>160830401</v>
      </c>
      <c r="Q1301">
        <v>662029178</v>
      </c>
      <c r="R1301" t="s">
        <v>4580</v>
      </c>
      <c r="S1301" t="s">
        <v>63</v>
      </c>
      <c r="T1301" t="s">
        <v>64</v>
      </c>
      <c r="U1301" t="s">
        <v>65</v>
      </c>
      <c r="W1301" s="26">
        <v>45551</v>
      </c>
      <c r="X1301" t="s">
        <v>61</v>
      </c>
      <c r="Y1301" t="s">
        <v>237</v>
      </c>
    </row>
    <row r="1302" spans="1:25" x14ac:dyDescent="0.25">
      <c r="A1302" t="s">
        <v>4581</v>
      </c>
      <c r="B1302">
        <v>11</v>
      </c>
      <c r="C1302">
        <v>78</v>
      </c>
      <c r="D1302">
        <v>9084</v>
      </c>
      <c r="E1302" t="s">
        <v>216</v>
      </c>
      <c r="F1302" t="s">
        <v>154</v>
      </c>
      <c r="G1302" t="s">
        <v>4582</v>
      </c>
      <c r="H1302" s="26">
        <v>12202</v>
      </c>
      <c r="I1302" t="s">
        <v>58</v>
      </c>
      <c r="J1302" t="s">
        <v>4583</v>
      </c>
      <c r="M1302">
        <v>78130</v>
      </c>
      <c r="N1302" t="s">
        <v>3018</v>
      </c>
      <c r="O1302" t="s">
        <v>61</v>
      </c>
      <c r="P1302">
        <v>130996569</v>
      </c>
      <c r="Q1302">
        <v>784025753</v>
      </c>
      <c r="S1302" t="s">
        <v>63</v>
      </c>
      <c r="T1302" t="s">
        <v>64</v>
      </c>
      <c r="U1302" t="s">
        <v>65</v>
      </c>
      <c r="W1302" s="26">
        <v>45559</v>
      </c>
      <c r="X1302" t="s">
        <v>61</v>
      </c>
      <c r="Y1302" t="s">
        <v>237</v>
      </c>
    </row>
    <row r="1303" spans="1:25" x14ac:dyDescent="0.25">
      <c r="A1303" t="s">
        <v>4585</v>
      </c>
      <c r="B1303">
        <v>11</v>
      </c>
      <c r="C1303">
        <v>94</v>
      </c>
      <c r="D1303">
        <v>9129</v>
      </c>
      <c r="E1303" t="s">
        <v>1549</v>
      </c>
      <c r="F1303" t="s">
        <v>1282</v>
      </c>
      <c r="G1303" t="s">
        <v>4586</v>
      </c>
      <c r="H1303" s="26">
        <v>33922</v>
      </c>
      <c r="I1303" t="s">
        <v>58</v>
      </c>
      <c r="J1303" t="s">
        <v>9064</v>
      </c>
      <c r="M1303">
        <v>94300</v>
      </c>
      <c r="N1303" t="s">
        <v>838</v>
      </c>
      <c r="O1303" t="s">
        <v>61</v>
      </c>
      <c r="Q1303">
        <v>661643592</v>
      </c>
      <c r="R1303" t="s">
        <v>4587</v>
      </c>
      <c r="S1303" t="s">
        <v>63</v>
      </c>
      <c r="T1303" t="s">
        <v>64</v>
      </c>
      <c r="U1303" t="s">
        <v>8684</v>
      </c>
      <c r="W1303" s="26">
        <v>45538</v>
      </c>
      <c r="X1303" t="s">
        <v>61</v>
      </c>
      <c r="Y1303" t="s">
        <v>237</v>
      </c>
    </row>
    <row r="1304" spans="1:25" x14ac:dyDescent="0.25">
      <c r="A1304" t="s">
        <v>4588</v>
      </c>
      <c r="B1304">
        <v>11</v>
      </c>
      <c r="C1304">
        <v>94</v>
      </c>
      <c r="D1304">
        <v>9024</v>
      </c>
      <c r="E1304" t="s">
        <v>4</v>
      </c>
      <c r="F1304" t="s">
        <v>3968</v>
      </c>
      <c r="G1304" t="s">
        <v>4589</v>
      </c>
      <c r="H1304" s="26">
        <v>29877</v>
      </c>
      <c r="I1304" t="s">
        <v>58</v>
      </c>
      <c r="J1304" t="s">
        <v>9065</v>
      </c>
      <c r="M1304">
        <v>94000</v>
      </c>
      <c r="N1304" t="s">
        <v>277</v>
      </c>
      <c r="O1304" t="s">
        <v>61</v>
      </c>
      <c r="Q1304">
        <v>617803790</v>
      </c>
      <c r="R1304" t="s">
        <v>9066</v>
      </c>
      <c r="S1304" t="s">
        <v>63</v>
      </c>
      <c r="T1304" t="s">
        <v>64</v>
      </c>
      <c r="U1304" t="s">
        <v>8684</v>
      </c>
      <c r="W1304" s="26">
        <v>45537</v>
      </c>
      <c r="X1304" t="s">
        <v>61</v>
      </c>
      <c r="Y1304" t="s">
        <v>237</v>
      </c>
    </row>
    <row r="1305" spans="1:25" x14ac:dyDescent="0.25">
      <c r="A1305" t="s">
        <v>4590</v>
      </c>
      <c r="B1305">
        <v>11</v>
      </c>
      <c r="C1305">
        <v>77</v>
      </c>
      <c r="D1305">
        <v>9049</v>
      </c>
      <c r="E1305" t="s">
        <v>902</v>
      </c>
      <c r="F1305" t="s">
        <v>480</v>
      </c>
      <c r="G1305" t="s">
        <v>4591</v>
      </c>
      <c r="H1305" s="26">
        <v>18625</v>
      </c>
      <c r="I1305" t="s">
        <v>58</v>
      </c>
      <c r="J1305" t="s">
        <v>4592</v>
      </c>
      <c r="M1305">
        <v>77470</v>
      </c>
      <c r="N1305" t="s">
        <v>4593</v>
      </c>
      <c r="O1305" t="s">
        <v>61</v>
      </c>
      <c r="Q1305">
        <v>748255052</v>
      </c>
      <c r="R1305" t="s">
        <v>4594</v>
      </c>
      <c r="S1305" t="s">
        <v>63</v>
      </c>
      <c r="T1305" t="s">
        <v>64</v>
      </c>
      <c r="U1305" t="s">
        <v>65</v>
      </c>
      <c r="W1305" s="26">
        <v>45524</v>
      </c>
      <c r="X1305" t="s">
        <v>61</v>
      </c>
      <c r="Y1305" t="s">
        <v>237</v>
      </c>
    </row>
    <row r="1306" spans="1:25" x14ac:dyDescent="0.25">
      <c r="A1306" t="s">
        <v>4595</v>
      </c>
      <c r="B1306">
        <v>11</v>
      </c>
      <c r="C1306">
        <v>94</v>
      </c>
      <c r="D1306">
        <v>9045</v>
      </c>
      <c r="E1306" t="s">
        <v>1234</v>
      </c>
      <c r="F1306" t="s">
        <v>4596</v>
      </c>
      <c r="G1306" t="s">
        <v>4597</v>
      </c>
      <c r="H1306" s="26">
        <v>33931</v>
      </c>
      <c r="I1306" t="s">
        <v>58</v>
      </c>
      <c r="J1306" t="s">
        <v>4598</v>
      </c>
      <c r="M1306">
        <v>94400</v>
      </c>
      <c r="N1306" t="s">
        <v>406</v>
      </c>
      <c r="O1306" t="s">
        <v>61</v>
      </c>
      <c r="Q1306">
        <v>767795565</v>
      </c>
      <c r="R1306" t="s">
        <v>4599</v>
      </c>
      <c r="S1306" t="s">
        <v>63</v>
      </c>
      <c r="T1306" t="s">
        <v>64</v>
      </c>
      <c r="U1306" t="s">
        <v>8684</v>
      </c>
      <c r="W1306" s="26">
        <v>45532</v>
      </c>
      <c r="X1306" t="s">
        <v>61</v>
      </c>
      <c r="Y1306" t="s">
        <v>237</v>
      </c>
    </row>
    <row r="1307" spans="1:25" x14ac:dyDescent="0.25">
      <c r="A1307" t="s">
        <v>4600</v>
      </c>
      <c r="B1307">
        <v>11</v>
      </c>
      <c r="C1307">
        <v>94</v>
      </c>
      <c r="D1307">
        <v>9024</v>
      </c>
      <c r="E1307" t="s">
        <v>4</v>
      </c>
      <c r="F1307" t="s">
        <v>4601</v>
      </c>
      <c r="G1307" t="s">
        <v>4602</v>
      </c>
      <c r="H1307" s="26">
        <v>23508</v>
      </c>
      <c r="I1307" t="s">
        <v>16</v>
      </c>
      <c r="J1307" t="s">
        <v>414</v>
      </c>
      <c r="M1307">
        <v>94350</v>
      </c>
      <c r="N1307" t="s">
        <v>172</v>
      </c>
      <c r="O1307" t="s">
        <v>61</v>
      </c>
      <c r="Q1307">
        <v>698904135</v>
      </c>
      <c r="R1307" t="s">
        <v>4603</v>
      </c>
      <c r="S1307" t="s">
        <v>63</v>
      </c>
      <c r="T1307" t="s">
        <v>64</v>
      </c>
      <c r="U1307" t="s">
        <v>65</v>
      </c>
      <c r="W1307" s="26">
        <v>45536</v>
      </c>
      <c r="X1307" t="s">
        <v>61</v>
      </c>
      <c r="Y1307" t="s">
        <v>237</v>
      </c>
    </row>
    <row r="1308" spans="1:25" x14ac:dyDescent="0.25">
      <c r="A1308" t="s">
        <v>4604</v>
      </c>
      <c r="B1308">
        <v>11</v>
      </c>
      <c r="C1308">
        <v>95</v>
      </c>
      <c r="D1308">
        <v>9069</v>
      </c>
      <c r="E1308" t="s">
        <v>129</v>
      </c>
      <c r="F1308" t="s">
        <v>4605</v>
      </c>
      <c r="G1308" t="s">
        <v>4606</v>
      </c>
      <c r="H1308" s="26">
        <v>19140</v>
      </c>
      <c r="I1308" t="s">
        <v>58</v>
      </c>
      <c r="J1308" t="s">
        <v>4607</v>
      </c>
      <c r="M1308">
        <v>95160</v>
      </c>
      <c r="N1308" t="s">
        <v>639</v>
      </c>
      <c r="O1308" t="s">
        <v>61</v>
      </c>
      <c r="Q1308">
        <v>681150821</v>
      </c>
      <c r="R1308" t="s">
        <v>4608</v>
      </c>
      <c r="S1308" t="s">
        <v>63</v>
      </c>
      <c r="T1308" t="s">
        <v>64</v>
      </c>
      <c r="U1308" t="s">
        <v>65</v>
      </c>
      <c r="W1308" s="26">
        <v>45544</v>
      </c>
      <c r="X1308" t="s">
        <v>61</v>
      </c>
      <c r="Y1308" t="s">
        <v>237</v>
      </c>
    </row>
    <row r="1309" spans="1:25" x14ac:dyDescent="0.25">
      <c r="A1309" t="s">
        <v>4609</v>
      </c>
      <c r="B1309">
        <v>11</v>
      </c>
      <c r="C1309">
        <v>95</v>
      </c>
      <c r="D1309">
        <v>9069</v>
      </c>
      <c r="E1309" t="s">
        <v>129</v>
      </c>
      <c r="F1309" t="s">
        <v>212</v>
      </c>
      <c r="G1309" t="s">
        <v>2969</v>
      </c>
      <c r="H1309" s="26">
        <v>20245</v>
      </c>
      <c r="I1309" t="s">
        <v>58</v>
      </c>
      <c r="J1309" t="s">
        <v>4610</v>
      </c>
      <c r="M1309">
        <v>95530</v>
      </c>
      <c r="N1309" t="s">
        <v>2267</v>
      </c>
      <c r="O1309" t="s">
        <v>61</v>
      </c>
      <c r="P1309">
        <v>139785655</v>
      </c>
      <c r="Q1309">
        <v>658861242</v>
      </c>
      <c r="R1309" t="s">
        <v>4611</v>
      </c>
      <c r="S1309" t="s">
        <v>63</v>
      </c>
      <c r="T1309" t="s">
        <v>64</v>
      </c>
      <c r="U1309" t="s">
        <v>65</v>
      </c>
      <c r="W1309" s="26">
        <v>45540</v>
      </c>
      <c r="X1309" t="s">
        <v>61</v>
      </c>
      <c r="Y1309" t="s">
        <v>237</v>
      </c>
    </row>
    <row r="1310" spans="1:25" x14ac:dyDescent="0.25">
      <c r="A1310" t="s">
        <v>4612</v>
      </c>
      <c r="B1310">
        <v>11</v>
      </c>
      <c r="C1310">
        <v>94</v>
      </c>
      <c r="D1310">
        <v>9024</v>
      </c>
      <c r="E1310" t="s">
        <v>4</v>
      </c>
      <c r="F1310" t="s">
        <v>4613</v>
      </c>
      <c r="G1310" t="s">
        <v>4614</v>
      </c>
      <c r="H1310" s="26">
        <v>40730</v>
      </c>
      <c r="I1310" t="s">
        <v>16</v>
      </c>
      <c r="J1310" t="s">
        <v>9067</v>
      </c>
      <c r="M1310" t="s">
        <v>4615</v>
      </c>
      <c r="N1310" t="s">
        <v>971</v>
      </c>
      <c r="O1310" t="s">
        <v>61</v>
      </c>
      <c r="Q1310">
        <v>769714667</v>
      </c>
      <c r="S1310" t="s">
        <v>63</v>
      </c>
      <c r="T1310" t="s">
        <v>2510</v>
      </c>
      <c r="U1310" t="s">
        <v>8684</v>
      </c>
      <c r="W1310" s="26">
        <v>45555</v>
      </c>
      <c r="X1310" t="s">
        <v>61</v>
      </c>
      <c r="Y1310" t="s">
        <v>237</v>
      </c>
    </row>
    <row r="1311" spans="1:25" x14ac:dyDescent="0.25">
      <c r="A1311" t="s">
        <v>4617</v>
      </c>
      <c r="B1311">
        <v>11</v>
      </c>
      <c r="C1311">
        <v>94</v>
      </c>
      <c r="D1311">
        <v>9024</v>
      </c>
      <c r="E1311" t="s">
        <v>4</v>
      </c>
      <c r="F1311" t="s">
        <v>13</v>
      </c>
      <c r="G1311" t="s">
        <v>4618</v>
      </c>
      <c r="H1311" s="26">
        <v>21063</v>
      </c>
      <c r="I1311" t="s">
        <v>58</v>
      </c>
      <c r="J1311" t="s">
        <v>4619</v>
      </c>
      <c r="M1311">
        <v>93160</v>
      </c>
      <c r="N1311" t="s">
        <v>649</v>
      </c>
      <c r="O1311" t="s">
        <v>61</v>
      </c>
      <c r="Q1311">
        <v>678413351</v>
      </c>
      <c r="R1311" t="s">
        <v>9068</v>
      </c>
      <c r="S1311" t="s">
        <v>63</v>
      </c>
      <c r="T1311" t="s">
        <v>64</v>
      </c>
      <c r="U1311" t="s">
        <v>65</v>
      </c>
      <c r="W1311" s="26">
        <v>45555</v>
      </c>
      <c r="X1311" t="s">
        <v>61</v>
      </c>
      <c r="Y1311" t="s">
        <v>237</v>
      </c>
    </row>
    <row r="1312" spans="1:25" x14ac:dyDescent="0.25">
      <c r="A1312" t="s">
        <v>4620</v>
      </c>
      <c r="B1312">
        <v>11</v>
      </c>
      <c r="C1312">
        <v>91</v>
      </c>
      <c r="D1312">
        <v>9025</v>
      </c>
      <c r="E1312" t="s">
        <v>188</v>
      </c>
      <c r="F1312" t="s">
        <v>74</v>
      </c>
      <c r="G1312" t="s">
        <v>4621</v>
      </c>
      <c r="H1312" s="26">
        <v>22369</v>
      </c>
      <c r="I1312" t="s">
        <v>58</v>
      </c>
      <c r="J1312" t="s">
        <v>4622</v>
      </c>
      <c r="M1312">
        <v>91100</v>
      </c>
      <c r="N1312" t="s">
        <v>1427</v>
      </c>
      <c r="O1312" t="s">
        <v>61</v>
      </c>
      <c r="Q1312">
        <v>749253252</v>
      </c>
      <c r="R1312" t="s">
        <v>4623</v>
      </c>
      <c r="S1312" t="s">
        <v>63</v>
      </c>
      <c r="T1312" t="s">
        <v>64</v>
      </c>
      <c r="U1312" t="s">
        <v>486</v>
      </c>
      <c r="W1312" s="26">
        <v>45546</v>
      </c>
      <c r="X1312" t="s">
        <v>61</v>
      </c>
      <c r="Y1312" t="s">
        <v>237</v>
      </c>
    </row>
    <row r="1313" spans="1:25" x14ac:dyDescent="0.25">
      <c r="A1313" t="s">
        <v>4624</v>
      </c>
      <c r="B1313">
        <v>11</v>
      </c>
      <c r="C1313">
        <v>91</v>
      </c>
      <c r="D1313">
        <v>9025</v>
      </c>
      <c r="E1313" t="s">
        <v>188</v>
      </c>
      <c r="F1313" t="s">
        <v>4625</v>
      </c>
      <c r="G1313" t="s">
        <v>4621</v>
      </c>
      <c r="H1313" s="26">
        <v>26736</v>
      </c>
      <c r="I1313" t="s">
        <v>58</v>
      </c>
      <c r="J1313" t="s">
        <v>4626</v>
      </c>
      <c r="K1313" t="s">
        <v>4627</v>
      </c>
      <c r="M1313">
        <v>91080</v>
      </c>
      <c r="N1313" t="s">
        <v>4628</v>
      </c>
      <c r="O1313" t="s">
        <v>61</v>
      </c>
      <c r="Q1313">
        <v>699750464</v>
      </c>
      <c r="R1313" t="s">
        <v>4629</v>
      </c>
      <c r="S1313" t="s">
        <v>63</v>
      </c>
      <c r="T1313" t="s">
        <v>64</v>
      </c>
      <c r="U1313" t="s">
        <v>486</v>
      </c>
      <c r="W1313" s="26">
        <v>45546</v>
      </c>
      <c r="X1313" t="s">
        <v>61</v>
      </c>
      <c r="Y1313" t="s">
        <v>237</v>
      </c>
    </row>
    <row r="1314" spans="1:25" x14ac:dyDescent="0.25">
      <c r="A1314" t="s">
        <v>4630</v>
      </c>
      <c r="B1314">
        <v>11</v>
      </c>
      <c r="C1314">
        <v>92</v>
      </c>
      <c r="D1314">
        <v>9065</v>
      </c>
      <c r="E1314" t="s">
        <v>426</v>
      </c>
      <c r="F1314" t="s">
        <v>4631</v>
      </c>
      <c r="G1314" t="s">
        <v>4632</v>
      </c>
      <c r="H1314" s="26">
        <v>32958</v>
      </c>
      <c r="I1314" t="s">
        <v>58</v>
      </c>
      <c r="J1314" t="s">
        <v>4633</v>
      </c>
      <c r="M1314">
        <v>94200</v>
      </c>
      <c r="N1314" t="s">
        <v>899</v>
      </c>
      <c r="O1314" t="s">
        <v>61</v>
      </c>
      <c r="Q1314">
        <v>652895624</v>
      </c>
      <c r="R1314" t="s">
        <v>4634</v>
      </c>
      <c r="S1314" t="s">
        <v>63</v>
      </c>
      <c r="T1314" t="s">
        <v>64</v>
      </c>
      <c r="U1314" t="s">
        <v>486</v>
      </c>
      <c r="W1314" s="26">
        <v>45539</v>
      </c>
      <c r="X1314" t="s">
        <v>61</v>
      </c>
      <c r="Y1314" t="s">
        <v>237</v>
      </c>
    </row>
    <row r="1315" spans="1:25" x14ac:dyDescent="0.25">
      <c r="A1315" t="s">
        <v>9906</v>
      </c>
      <c r="B1315">
        <v>11</v>
      </c>
      <c r="C1315">
        <v>93</v>
      </c>
      <c r="D1315">
        <v>9122</v>
      </c>
      <c r="E1315" t="s">
        <v>1030</v>
      </c>
      <c r="F1315" t="s">
        <v>312</v>
      </c>
      <c r="G1315" t="s">
        <v>4635</v>
      </c>
      <c r="H1315" s="26">
        <v>27473</v>
      </c>
      <c r="I1315" t="s">
        <v>58</v>
      </c>
      <c r="J1315" t="s">
        <v>4636</v>
      </c>
      <c r="M1315">
        <v>93250</v>
      </c>
      <c r="N1315" t="s">
        <v>1505</v>
      </c>
      <c r="O1315" t="s">
        <v>61</v>
      </c>
      <c r="Q1315">
        <v>662657345</v>
      </c>
      <c r="R1315" t="s">
        <v>9907</v>
      </c>
      <c r="S1315" t="s">
        <v>63</v>
      </c>
      <c r="T1315" t="s">
        <v>64</v>
      </c>
      <c r="U1315" t="s">
        <v>8684</v>
      </c>
      <c r="W1315" s="26">
        <v>45571</v>
      </c>
      <c r="X1315" t="s">
        <v>61</v>
      </c>
      <c r="Y1315" t="s">
        <v>237</v>
      </c>
    </row>
    <row r="1316" spans="1:25" x14ac:dyDescent="0.25">
      <c r="A1316" t="s">
        <v>4637</v>
      </c>
      <c r="B1316">
        <v>11</v>
      </c>
      <c r="C1316">
        <v>94</v>
      </c>
      <c r="D1316">
        <v>9024</v>
      </c>
      <c r="E1316" t="s">
        <v>4</v>
      </c>
      <c r="F1316" t="s">
        <v>13</v>
      </c>
      <c r="G1316" t="s">
        <v>4638</v>
      </c>
      <c r="H1316" s="26">
        <v>20467</v>
      </c>
      <c r="I1316" t="s">
        <v>58</v>
      </c>
      <c r="J1316" t="s">
        <v>4639</v>
      </c>
      <c r="M1316">
        <v>94170</v>
      </c>
      <c r="N1316" t="s">
        <v>3220</v>
      </c>
      <c r="O1316" t="s">
        <v>61</v>
      </c>
      <c r="Q1316">
        <v>670667547</v>
      </c>
      <c r="R1316" t="s">
        <v>4640</v>
      </c>
      <c r="S1316" t="s">
        <v>63</v>
      </c>
      <c r="T1316" t="s">
        <v>64</v>
      </c>
      <c r="U1316" t="s">
        <v>65</v>
      </c>
      <c r="W1316" s="26">
        <v>45565</v>
      </c>
      <c r="X1316" t="s">
        <v>61</v>
      </c>
      <c r="Y1316" t="s">
        <v>237</v>
      </c>
    </row>
    <row r="1317" spans="1:25" x14ac:dyDescent="0.25">
      <c r="A1317" t="s">
        <v>4641</v>
      </c>
      <c r="B1317">
        <v>11</v>
      </c>
      <c r="C1317">
        <v>91</v>
      </c>
      <c r="D1317">
        <v>9025</v>
      </c>
      <c r="E1317" t="s">
        <v>188</v>
      </c>
      <c r="F1317" t="s">
        <v>4642</v>
      </c>
      <c r="G1317" t="s">
        <v>4643</v>
      </c>
      <c r="H1317" s="26">
        <v>27781</v>
      </c>
      <c r="I1317" t="s">
        <v>16</v>
      </c>
      <c r="J1317" t="s">
        <v>4644</v>
      </c>
      <c r="M1317">
        <v>94320</v>
      </c>
      <c r="N1317" t="s">
        <v>505</v>
      </c>
      <c r="O1317" t="s">
        <v>61</v>
      </c>
      <c r="Q1317">
        <v>662708542</v>
      </c>
      <c r="R1317" t="s">
        <v>4645</v>
      </c>
      <c r="S1317" t="s">
        <v>63</v>
      </c>
      <c r="T1317" t="s">
        <v>64</v>
      </c>
      <c r="U1317" t="s">
        <v>486</v>
      </c>
      <c r="W1317" s="26">
        <v>45562</v>
      </c>
      <c r="X1317" t="s">
        <v>61</v>
      </c>
      <c r="Y1317" t="s">
        <v>237</v>
      </c>
    </row>
    <row r="1318" spans="1:25" x14ac:dyDescent="0.25">
      <c r="A1318" t="s">
        <v>9069</v>
      </c>
      <c r="B1318">
        <v>11</v>
      </c>
      <c r="C1318">
        <v>95</v>
      </c>
      <c r="D1318">
        <v>9069</v>
      </c>
      <c r="E1318" t="s">
        <v>129</v>
      </c>
      <c r="F1318" t="s">
        <v>13</v>
      </c>
      <c r="G1318" t="s">
        <v>9070</v>
      </c>
      <c r="H1318" s="26">
        <v>23210</v>
      </c>
      <c r="I1318" t="s">
        <v>58</v>
      </c>
      <c r="J1318" t="s">
        <v>9071</v>
      </c>
      <c r="M1318">
        <v>95310</v>
      </c>
      <c r="N1318" t="s">
        <v>757</v>
      </c>
      <c r="O1318" t="s">
        <v>61</v>
      </c>
      <c r="Q1318">
        <v>619024083</v>
      </c>
      <c r="R1318" t="s">
        <v>9072</v>
      </c>
      <c r="S1318" t="s">
        <v>63</v>
      </c>
      <c r="T1318" t="s">
        <v>64</v>
      </c>
      <c r="U1318" t="s">
        <v>65</v>
      </c>
      <c r="W1318" s="26">
        <v>45561</v>
      </c>
      <c r="X1318" t="s">
        <v>61</v>
      </c>
      <c r="Y1318" t="s">
        <v>237</v>
      </c>
    </row>
    <row r="1319" spans="1:25" x14ac:dyDescent="0.25">
      <c r="A1319" t="s">
        <v>4646</v>
      </c>
      <c r="B1319">
        <v>11</v>
      </c>
      <c r="C1319">
        <v>91</v>
      </c>
      <c r="D1319">
        <v>9131</v>
      </c>
      <c r="E1319" t="s">
        <v>8686</v>
      </c>
      <c r="F1319" t="s">
        <v>4647</v>
      </c>
      <c r="G1319" t="s">
        <v>4648</v>
      </c>
      <c r="H1319" s="26">
        <v>32171</v>
      </c>
      <c r="I1319" t="s">
        <v>58</v>
      </c>
      <c r="J1319" t="s">
        <v>4649</v>
      </c>
      <c r="M1319">
        <v>91270</v>
      </c>
      <c r="N1319" t="s">
        <v>1412</v>
      </c>
      <c r="O1319" t="s">
        <v>61</v>
      </c>
      <c r="Q1319">
        <v>753672467</v>
      </c>
      <c r="R1319" t="s">
        <v>4650</v>
      </c>
      <c r="S1319" t="s">
        <v>63</v>
      </c>
      <c r="T1319" t="s">
        <v>64</v>
      </c>
      <c r="U1319" t="s">
        <v>65</v>
      </c>
      <c r="W1319" s="26">
        <v>45539</v>
      </c>
      <c r="X1319" t="s">
        <v>2726</v>
      </c>
      <c r="Y1319" t="s">
        <v>237</v>
      </c>
    </row>
    <row r="1320" spans="1:25" x14ac:dyDescent="0.25">
      <c r="A1320" t="s">
        <v>4651</v>
      </c>
      <c r="B1320">
        <v>11</v>
      </c>
      <c r="C1320">
        <v>94</v>
      </c>
      <c r="D1320">
        <v>9024</v>
      </c>
      <c r="E1320" t="s">
        <v>4</v>
      </c>
      <c r="F1320" t="s">
        <v>4652</v>
      </c>
      <c r="G1320" t="s">
        <v>4614</v>
      </c>
      <c r="H1320" s="26">
        <v>40369</v>
      </c>
      <c r="I1320" t="s">
        <v>16</v>
      </c>
      <c r="J1320" t="s">
        <v>4653</v>
      </c>
      <c r="M1320">
        <v>94210</v>
      </c>
      <c r="N1320" t="s">
        <v>971</v>
      </c>
      <c r="O1320" t="s">
        <v>61</v>
      </c>
      <c r="Q1320">
        <v>602302744</v>
      </c>
      <c r="R1320" t="s">
        <v>4654</v>
      </c>
      <c r="S1320" t="s">
        <v>63</v>
      </c>
      <c r="T1320" t="s">
        <v>2510</v>
      </c>
      <c r="U1320" t="s">
        <v>8684</v>
      </c>
      <c r="W1320" s="26">
        <v>45548</v>
      </c>
      <c r="X1320" t="s">
        <v>61</v>
      </c>
      <c r="Y1320" t="s">
        <v>237</v>
      </c>
    </row>
    <row r="1321" spans="1:25" x14ac:dyDescent="0.25">
      <c r="A1321" t="s">
        <v>4655</v>
      </c>
      <c r="B1321">
        <v>11</v>
      </c>
      <c r="C1321">
        <v>78</v>
      </c>
      <c r="D1321">
        <v>9052</v>
      </c>
      <c r="E1321" t="s">
        <v>337</v>
      </c>
      <c r="F1321" t="s">
        <v>4656</v>
      </c>
      <c r="G1321" t="s">
        <v>4657</v>
      </c>
      <c r="H1321" s="26">
        <v>28704</v>
      </c>
      <c r="I1321" t="s">
        <v>58</v>
      </c>
      <c r="J1321" t="s">
        <v>4658</v>
      </c>
      <c r="M1321">
        <v>78580</v>
      </c>
      <c r="N1321" t="s">
        <v>2013</v>
      </c>
      <c r="O1321" t="s">
        <v>61</v>
      </c>
      <c r="Q1321">
        <v>782639590</v>
      </c>
      <c r="R1321" t="s">
        <v>4659</v>
      </c>
      <c r="S1321" t="s">
        <v>63</v>
      </c>
      <c r="T1321" t="s">
        <v>64</v>
      </c>
      <c r="U1321" t="s">
        <v>65</v>
      </c>
      <c r="W1321" s="26">
        <v>45534</v>
      </c>
      <c r="X1321" t="s">
        <v>61</v>
      </c>
      <c r="Y1321" t="s">
        <v>237</v>
      </c>
    </row>
    <row r="1322" spans="1:25" x14ac:dyDescent="0.25">
      <c r="A1322" t="s">
        <v>4660</v>
      </c>
      <c r="B1322">
        <v>11</v>
      </c>
      <c r="C1322">
        <v>95</v>
      </c>
      <c r="D1322">
        <v>9010</v>
      </c>
      <c r="E1322" t="s">
        <v>6</v>
      </c>
      <c r="F1322" t="s">
        <v>4661</v>
      </c>
      <c r="G1322" t="s">
        <v>4662</v>
      </c>
      <c r="H1322" s="26">
        <v>32889</v>
      </c>
      <c r="I1322" t="s">
        <v>58</v>
      </c>
      <c r="J1322" t="s">
        <v>4663</v>
      </c>
      <c r="M1322">
        <v>95300</v>
      </c>
      <c r="N1322" t="s">
        <v>1977</v>
      </c>
      <c r="O1322" t="s">
        <v>61</v>
      </c>
      <c r="Q1322">
        <v>752754434</v>
      </c>
      <c r="R1322" t="s">
        <v>4664</v>
      </c>
      <c r="S1322" t="s">
        <v>63</v>
      </c>
      <c r="T1322" t="s">
        <v>64</v>
      </c>
      <c r="U1322" t="s">
        <v>486</v>
      </c>
      <c r="W1322" s="26">
        <v>45555</v>
      </c>
      <c r="X1322" t="s">
        <v>2726</v>
      </c>
      <c r="Y1322" t="s">
        <v>237</v>
      </c>
    </row>
    <row r="1323" spans="1:25" x14ac:dyDescent="0.25">
      <c r="A1323" t="s">
        <v>9956</v>
      </c>
      <c r="B1323">
        <v>11</v>
      </c>
      <c r="C1323">
        <v>95</v>
      </c>
      <c r="D1323">
        <v>9069</v>
      </c>
      <c r="E1323" t="s">
        <v>129</v>
      </c>
      <c r="F1323" t="s">
        <v>887</v>
      </c>
      <c r="G1323" t="s">
        <v>9957</v>
      </c>
      <c r="H1323" s="26">
        <v>18732</v>
      </c>
      <c r="I1323" t="s">
        <v>58</v>
      </c>
      <c r="J1323" t="s">
        <v>9958</v>
      </c>
      <c r="M1323">
        <v>95880</v>
      </c>
      <c r="N1323" t="s">
        <v>9959</v>
      </c>
      <c r="O1323" t="s">
        <v>61</v>
      </c>
      <c r="Q1323">
        <v>620828106</v>
      </c>
      <c r="R1323" t="s">
        <v>9960</v>
      </c>
      <c r="S1323" t="s">
        <v>63</v>
      </c>
      <c r="T1323" t="s">
        <v>64</v>
      </c>
      <c r="U1323" t="s">
        <v>65</v>
      </c>
      <c r="W1323" s="26">
        <v>45567</v>
      </c>
      <c r="X1323" t="s">
        <v>61</v>
      </c>
      <c r="Y1323" t="s">
        <v>237</v>
      </c>
    </row>
    <row r="1324" spans="1:25" x14ac:dyDescent="0.25">
      <c r="A1324" t="s">
        <v>10878</v>
      </c>
      <c r="B1324">
        <v>11</v>
      </c>
      <c r="C1324">
        <v>93</v>
      </c>
      <c r="D1324">
        <v>9122</v>
      </c>
      <c r="E1324" t="s">
        <v>1030</v>
      </c>
      <c r="F1324" t="s">
        <v>10879</v>
      </c>
      <c r="G1324" t="s">
        <v>10880</v>
      </c>
      <c r="H1324" s="26">
        <v>27878</v>
      </c>
      <c r="I1324" t="s">
        <v>58</v>
      </c>
      <c r="J1324" t="s">
        <v>10881</v>
      </c>
      <c r="M1324">
        <v>93220</v>
      </c>
      <c r="N1324" t="s">
        <v>662</v>
      </c>
      <c r="O1324" t="s">
        <v>61</v>
      </c>
      <c r="Q1324">
        <v>664137483</v>
      </c>
      <c r="R1324" t="s">
        <v>10882</v>
      </c>
      <c r="S1324" t="s">
        <v>63</v>
      </c>
      <c r="T1324" t="s">
        <v>64</v>
      </c>
      <c r="U1324" t="s">
        <v>486</v>
      </c>
      <c r="W1324" s="26">
        <v>45577</v>
      </c>
      <c r="X1324" t="s">
        <v>61</v>
      </c>
      <c r="Y1324" t="s">
        <v>237</v>
      </c>
    </row>
    <row r="1325" spans="1:25" x14ac:dyDescent="0.25">
      <c r="A1325" t="s">
        <v>4665</v>
      </c>
      <c r="B1325">
        <v>11</v>
      </c>
      <c r="C1325">
        <v>93</v>
      </c>
      <c r="D1325">
        <v>9122</v>
      </c>
      <c r="E1325" t="s">
        <v>1030</v>
      </c>
      <c r="F1325" t="s">
        <v>538</v>
      </c>
      <c r="G1325" t="s">
        <v>4635</v>
      </c>
      <c r="H1325" s="26">
        <v>37642</v>
      </c>
      <c r="I1325" t="s">
        <v>58</v>
      </c>
      <c r="J1325" t="s">
        <v>4636</v>
      </c>
      <c r="M1325">
        <v>93250</v>
      </c>
      <c r="N1325" t="s">
        <v>1505</v>
      </c>
      <c r="O1325" t="s">
        <v>61</v>
      </c>
      <c r="Q1325">
        <v>644320012</v>
      </c>
      <c r="R1325" t="s">
        <v>4666</v>
      </c>
      <c r="S1325" t="s">
        <v>63</v>
      </c>
      <c r="T1325" t="s">
        <v>64</v>
      </c>
      <c r="U1325" t="s">
        <v>8684</v>
      </c>
      <c r="W1325" s="26">
        <v>45530</v>
      </c>
      <c r="X1325" t="s">
        <v>61</v>
      </c>
      <c r="Y1325" t="s">
        <v>237</v>
      </c>
    </row>
    <row r="1326" spans="1:25" x14ac:dyDescent="0.25">
      <c r="A1326" t="s">
        <v>4667</v>
      </c>
      <c r="B1326">
        <v>11</v>
      </c>
      <c r="C1326">
        <v>91</v>
      </c>
      <c r="D1326">
        <v>9095</v>
      </c>
      <c r="E1326" t="s">
        <v>113</v>
      </c>
      <c r="F1326" t="s">
        <v>480</v>
      </c>
      <c r="G1326" t="s">
        <v>4668</v>
      </c>
      <c r="H1326" s="26">
        <v>21195</v>
      </c>
      <c r="I1326" t="s">
        <v>58</v>
      </c>
      <c r="J1326" t="s">
        <v>4669</v>
      </c>
      <c r="M1326">
        <v>91340</v>
      </c>
      <c r="N1326" t="s">
        <v>489</v>
      </c>
      <c r="O1326" t="s">
        <v>61</v>
      </c>
      <c r="P1326">
        <v>160830527</v>
      </c>
      <c r="Q1326">
        <v>646540612</v>
      </c>
      <c r="R1326" t="s">
        <v>4670</v>
      </c>
      <c r="S1326" t="s">
        <v>63</v>
      </c>
      <c r="T1326" t="s">
        <v>64</v>
      </c>
      <c r="U1326" t="s">
        <v>65</v>
      </c>
      <c r="W1326" s="26">
        <v>45551</v>
      </c>
      <c r="X1326" t="s">
        <v>61</v>
      </c>
      <c r="Y1326" t="s">
        <v>237</v>
      </c>
    </row>
    <row r="1327" spans="1:25" x14ac:dyDescent="0.25">
      <c r="A1327" t="s">
        <v>4671</v>
      </c>
      <c r="B1327">
        <v>11</v>
      </c>
      <c r="C1327">
        <v>91</v>
      </c>
      <c r="D1327">
        <v>9095</v>
      </c>
      <c r="E1327" t="s">
        <v>113</v>
      </c>
      <c r="F1327" t="s">
        <v>97</v>
      </c>
      <c r="G1327" t="s">
        <v>4672</v>
      </c>
      <c r="H1327" s="26">
        <v>18078</v>
      </c>
      <c r="I1327" t="s">
        <v>58</v>
      </c>
      <c r="J1327" t="s">
        <v>4673</v>
      </c>
      <c r="M1327">
        <v>91240</v>
      </c>
      <c r="N1327" t="s">
        <v>4674</v>
      </c>
      <c r="O1327" t="s">
        <v>61</v>
      </c>
      <c r="Q1327">
        <v>620137632</v>
      </c>
      <c r="R1327" t="s">
        <v>4675</v>
      </c>
      <c r="S1327" t="s">
        <v>63</v>
      </c>
      <c r="T1327" t="s">
        <v>64</v>
      </c>
      <c r="U1327" t="s">
        <v>65</v>
      </c>
      <c r="W1327" s="26">
        <v>45551</v>
      </c>
      <c r="X1327" t="s">
        <v>61</v>
      </c>
      <c r="Y1327" t="s">
        <v>237</v>
      </c>
    </row>
    <row r="1328" spans="1:25" x14ac:dyDescent="0.25">
      <c r="A1328" t="s">
        <v>4676</v>
      </c>
      <c r="B1328">
        <v>11</v>
      </c>
      <c r="C1328">
        <v>77</v>
      </c>
      <c r="D1328">
        <v>9055</v>
      </c>
      <c r="E1328" t="s">
        <v>341</v>
      </c>
      <c r="F1328" t="s">
        <v>472</v>
      </c>
      <c r="G1328" t="s">
        <v>4677</v>
      </c>
      <c r="H1328" s="26">
        <v>22551</v>
      </c>
      <c r="I1328" t="s">
        <v>58</v>
      </c>
      <c r="J1328" t="s">
        <v>4678</v>
      </c>
      <c r="M1328">
        <v>91830</v>
      </c>
      <c r="N1328" t="s">
        <v>4679</v>
      </c>
      <c r="O1328" t="s">
        <v>61</v>
      </c>
      <c r="Q1328">
        <v>614281866</v>
      </c>
      <c r="R1328" t="s">
        <v>4680</v>
      </c>
      <c r="S1328" t="s">
        <v>63</v>
      </c>
      <c r="T1328" t="s">
        <v>64</v>
      </c>
      <c r="U1328" t="s">
        <v>65</v>
      </c>
      <c r="W1328" s="26">
        <v>45539</v>
      </c>
      <c r="X1328" t="s">
        <v>61</v>
      </c>
      <c r="Y1328" t="s">
        <v>237</v>
      </c>
    </row>
    <row r="1329" spans="1:25" x14ac:dyDescent="0.25">
      <c r="A1329" t="s">
        <v>4681</v>
      </c>
      <c r="B1329">
        <v>11</v>
      </c>
      <c r="C1329">
        <v>75</v>
      </c>
      <c r="D1329">
        <v>9070</v>
      </c>
      <c r="E1329" t="s">
        <v>168</v>
      </c>
      <c r="F1329" t="s">
        <v>4682</v>
      </c>
      <c r="G1329" t="s">
        <v>4683</v>
      </c>
      <c r="H1329" s="26">
        <v>32192</v>
      </c>
      <c r="I1329" t="s">
        <v>58</v>
      </c>
      <c r="J1329" t="s">
        <v>4684</v>
      </c>
      <c r="M1329">
        <v>91450</v>
      </c>
      <c r="N1329" t="s">
        <v>709</v>
      </c>
      <c r="O1329" t="s">
        <v>61</v>
      </c>
      <c r="Q1329">
        <v>616609825</v>
      </c>
      <c r="R1329" t="s">
        <v>4685</v>
      </c>
      <c r="S1329" t="s">
        <v>63</v>
      </c>
      <c r="T1329" t="s">
        <v>64</v>
      </c>
      <c r="U1329" t="s">
        <v>8684</v>
      </c>
      <c r="W1329" s="26">
        <v>45533</v>
      </c>
      <c r="X1329" t="s">
        <v>4686</v>
      </c>
      <c r="Y1329" t="s">
        <v>237</v>
      </c>
    </row>
    <row r="1330" spans="1:25" x14ac:dyDescent="0.25">
      <c r="A1330" t="s">
        <v>4687</v>
      </c>
      <c r="B1330">
        <v>11</v>
      </c>
      <c r="C1330">
        <v>75</v>
      </c>
      <c r="D1330">
        <v>9070</v>
      </c>
      <c r="E1330" t="s">
        <v>168</v>
      </c>
      <c r="F1330" t="s">
        <v>4688</v>
      </c>
      <c r="G1330" t="s">
        <v>4689</v>
      </c>
      <c r="H1330" s="26">
        <v>34616</v>
      </c>
      <c r="I1330" t="s">
        <v>58</v>
      </c>
      <c r="J1330" t="s">
        <v>4690</v>
      </c>
      <c r="M1330">
        <v>75017</v>
      </c>
      <c r="N1330" t="s">
        <v>330</v>
      </c>
      <c r="O1330" t="s">
        <v>61</v>
      </c>
      <c r="Q1330">
        <v>749444813</v>
      </c>
      <c r="R1330" t="s">
        <v>4691</v>
      </c>
      <c r="S1330" t="s">
        <v>237</v>
      </c>
      <c r="T1330" t="s">
        <v>64</v>
      </c>
      <c r="U1330" t="s">
        <v>8684</v>
      </c>
      <c r="W1330" s="26">
        <v>45545</v>
      </c>
      <c r="X1330" t="s">
        <v>1300</v>
      </c>
      <c r="Y1330" t="s">
        <v>237</v>
      </c>
    </row>
    <row r="1331" spans="1:25" x14ac:dyDescent="0.25">
      <c r="A1331" t="s">
        <v>4692</v>
      </c>
      <c r="B1331">
        <v>11</v>
      </c>
      <c r="C1331">
        <v>75</v>
      </c>
      <c r="D1331">
        <v>9070</v>
      </c>
      <c r="E1331" t="s">
        <v>168</v>
      </c>
      <c r="F1331" t="s">
        <v>4693</v>
      </c>
      <c r="G1331" t="s">
        <v>4694</v>
      </c>
      <c r="H1331" s="26">
        <v>34507</v>
      </c>
      <c r="I1331" t="s">
        <v>58</v>
      </c>
      <c r="J1331" t="s">
        <v>4695</v>
      </c>
      <c r="M1331">
        <v>92300</v>
      </c>
      <c r="N1331" t="s">
        <v>1229</v>
      </c>
      <c r="O1331" t="s">
        <v>61</v>
      </c>
      <c r="Q1331">
        <v>664021223</v>
      </c>
      <c r="R1331" t="s">
        <v>4696</v>
      </c>
      <c r="S1331" t="s">
        <v>237</v>
      </c>
      <c r="T1331" t="s">
        <v>64</v>
      </c>
      <c r="U1331" t="s">
        <v>8684</v>
      </c>
      <c r="W1331" s="26">
        <v>45539</v>
      </c>
      <c r="X1331" t="s">
        <v>1300</v>
      </c>
      <c r="Y1331" t="s">
        <v>237</v>
      </c>
    </row>
    <row r="1332" spans="1:25" x14ac:dyDescent="0.25">
      <c r="A1332" t="s">
        <v>4697</v>
      </c>
      <c r="B1332">
        <v>11</v>
      </c>
      <c r="C1332">
        <v>78</v>
      </c>
      <c r="D1332">
        <v>9002</v>
      </c>
      <c r="E1332" t="s">
        <v>558</v>
      </c>
      <c r="F1332" t="s">
        <v>1823</v>
      </c>
      <c r="G1332" t="s">
        <v>816</v>
      </c>
      <c r="H1332" s="26">
        <v>16655</v>
      </c>
      <c r="I1332" t="s">
        <v>58</v>
      </c>
      <c r="J1332" t="s">
        <v>4698</v>
      </c>
      <c r="M1332">
        <v>78930</v>
      </c>
      <c r="N1332" t="s">
        <v>4699</v>
      </c>
      <c r="O1332" t="s">
        <v>61</v>
      </c>
      <c r="Q1332">
        <v>632147331</v>
      </c>
      <c r="R1332" t="s">
        <v>4700</v>
      </c>
      <c r="S1332" t="s">
        <v>63</v>
      </c>
      <c r="T1332" t="s">
        <v>64</v>
      </c>
      <c r="U1332" t="s">
        <v>65</v>
      </c>
      <c r="W1332" s="26">
        <v>45558</v>
      </c>
      <c r="X1332" t="s">
        <v>61</v>
      </c>
      <c r="Y1332" t="s">
        <v>237</v>
      </c>
    </row>
    <row r="1333" spans="1:25" x14ac:dyDescent="0.25">
      <c r="A1333" t="s">
        <v>4701</v>
      </c>
      <c r="B1333">
        <v>11</v>
      </c>
      <c r="C1333">
        <v>93</v>
      </c>
      <c r="D1333">
        <v>9060</v>
      </c>
      <c r="E1333" t="s">
        <v>203</v>
      </c>
      <c r="F1333" t="s">
        <v>1453</v>
      </c>
      <c r="G1333" t="s">
        <v>4702</v>
      </c>
      <c r="H1333" s="26">
        <v>22244</v>
      </c>
      <c r="I1333" t="s">
        <v>58</v>
      </c>
      <c r="J1333" t="s">
        <v>4703</v>
      </c>
      <c r="M1333">
        <v>3391</v>
      </c>
      <c r="N1333" t="s">
        <v>4704</v>
      </c>
      <c r="O1333" t="s">
        <v>4705</v>
      </c>
      <c r="Q1333">
        <v>352691379789</v>
      </c>
      <c r="R1333" t="s">
        <v>4706</v>
      </c>
      <c r="S1333" t="s">
        <v>63</v>
      </c>
      <c r="T1333" t="s">
        <v>64</v>
      </c>
      <c r="U1333" t="s">
        <v>65</v>
      </c>
      <c r="W1333" s="26">
        <v>45549</v>
      </c>
      <c r="X1333" t="s">
        <v>61</v>
      </c>
      <c r="Y1333" t="s">
        <v>237</v>
      </c>
    </row>
    <row r="1334" spans="1:25" x14ac:dyDescent="0.25">
      <c r="A1334" t="s">
        <v>11336</v>
      </c>
      <c r="B1334">
        <v>11</v>
      </c>
      <c r="C1334">
        <v>92</v>
      </c>
      <c r="D1334">
        <v>9032</v>
      </c>
      <c r="E1334" t="s">
        <v>102</v>
      </c>
      <c r="F1334" t="s">
        <v>4109</v>
      </c>
      <c r="G1334" t="s">
        <v>11337</v>
      </c>
      <c r="H1334" s="26">
        <v>18728</v>
      </c>
      <c r="I1334" t="s">
        <v>16</v>
      </c>
      <c r="J1334" t="s">
        <v>11338</v>
      </c>
      <c r="M1334">
        <v>92190</v>
      </c>
      <c r="N1334" t="s">
        <v>3986</v>
      </c>
      <c r="O1334" t="s">
        <v>61</v>
      </c>
      <c r="Q1334">
        <v>614221610</v>
      </c>
      <c r="R1334" t="s">
        <v>11339</v>
      </c>
      <c r="S1334" t="s">
        <v>63</v>
      </c>
      <c r="T1334" t="s">
        <v>64</v>
      </c>
      <c r="U1334" t="s">
        <v>65</v>
      </c>
      <c r="W1334" s="26">
        <v>45588</v>
      </c>
      <c r="X1334" t="s">
        <v>61</v>
      </c>
      <c r="Y1334" t="s">
        <v>237</v>
      </c>
    </row>
    <row r="1335" spans="1:25" x14ac:dyDescent="0.25">
      <c r="A1335" t="s">
        <v>4709</v>
      </c>
      <c r="B1335">
        <v>11</v>
      </c>
      <c r="C1335">
        <v>94</v>
      </c>
      <c r="D1335">
        <v>9045</v>
      </c>
      <c r="E1335" t="s">
        <v>1234</v>
      </c>
      <c r="F1335" t="s">
        <v>2409</v>
      </c>
      <c r="G1335" t="s">
        <v>4710</v>
      </c>
      <c r="H1335" s="26">
        <v>36313</v>
      </c>
      <c r="I1335" t="s">
        <v>58</v>
      </c>
      <c r="J1335" t="s">
        <v>9073</v>
      </c>
      <c r="M1335">
        <v>92240</v>
      </c>
      <c r="N1335" t="s">
        <v>1368</v>
      </c>
      <c r="O1335" t="s">
        <v>61</v>
      </c>
      <c r="Q1335">
        <v>699187930</v>
      </c>
      <c r="R1335" t="s">
        <v>4711</v>
      </c>
      <c r="S1335" t="s">
        <v>63</v>
      </c>
      <c r="T1335" t="s">
        <v>64</v>
      </c>
      <c r="U1335" t="s">
        <v>8684</v>
      </c>
      <c r="W1335" s="26">
        <v>45557</v>
      </c>
      <c r="X1335" t="s">
        <v>61</v>
      </c>
      <c r="Y1335" t="s">
        <v>237</v>
      </c>
    </row>
    <row r="1336" spans="1:25" x14ac:dyDescent="0.25">
      <c r="A1336" t="s">
        <v>10883</v>
      </c>
      <c r="B1336">
        <v>11</v>
      </c>
      <c r="C1336">
        <v>95</v>
      </c>
      <c r="D1336">
        <v>9069</v>
      </c>
      <c r="E1336" t="s">
        <v>129</v>
      </c>
      <c r="F1336" t="s">
        <v>160</v>
      </c>
      <c r="G1336" t="s">
        <v>10884</v>
      </c>
      <c r="H1336" s="26">
        <v>25171</v>
      </c>
      <c r="I1336" t="s">
        <v>58</v>
      </c>
      <c r="J1336" t="s">
        <v>10885</v>
      </c>
      <c r="M1336">
        <v>95350</v>
      </c>
      <c r="N1336" t="s">
        <v>10886</v>
      </c>
      <c r="O1336" t="s">
        <v>61</v>
      </c>
      <c r="Q1336">
        <v>634359611</v>
      </c>
      <c r="R1336" t="s">
        <v>10887</v>
      </c>
      <c r="S1336" t="s">
        <v>63</v>
      </c>
      <c r="T1336" t="s">
        <v>64</v>
      </c>
      <c r="U1336" t="s">
        <v>65</v>
      </c>
      <c r="W1336" s="26">
        <v>45573</v>
      </c>
      <c r="X1336" t="s">
        <v>61</v>
      </c>
      <c r="Y1336" t="s">
        <v>237</v>
      </c>
    </row>
    <row r="1337" spans="1:25" x14ac:dyDescent="0.25">
      <c r="A1337" t="s">
        <v>9074</v>
      </c>
      <c r="B1337">
        <v>11</v>
      </c>
      <c r="C1337">
        <v>91</v>
      </c>
      <c r="D1337">
        <v>9096</v>
      </c>
      <c r="E1337" t="s">
        <v>526</v>
      </c>
      <c r="F1337" t="s">
        <v>555</v>
      </c>
      <c r="G1337" t="s">
        <v>9075</v>
      </c>
      <c r="H1337" s="26">
        <v>22075</v>
      </c>
      <c r="I1337" t="s">
        <v>58</v>
      </c>
      <c r="J1337" t="s">
        <v>9076</v>
      </c>
      <c r="M1337">
        <v>91670</v>
      </c>
      <c r="N1337" t="s">
        <v>8926</v>
      </c>
      <c r="O1337" t="s">
        <v>61</v>
      </c>
      <c r="P1337">
        <v>650309900</v>
      </c>
      <c r="R1337" t="s">
        <v>9077</v>
      </c>
      <c r="S1337" t="s">
        <v>63</v>
      </c>
      <c r="T1337" t="s">
        <v>64</v>
      </c>
      <c r="U1337" t="s">
        <v>65</v>
      </c>
      <c r="W1337" s="26">
        <v>45537</v>
      </c>
      <c r="X1337" t="s">
        <v>61</v>
      </c>
      <c r="Y1337" t="s">
        <v>237</v>
      </c>
    </row>
    <row r="1338" spans="1:25" x14ac:dyDescent="0.25">
      <c r="A1338" t="s">
        <v>4712</v>
      </c>
      <c r="B1338">
        <v>11</v>
      </c>
      <c r="C1338">
        <v>95</v>
      </c>
      <c r="D1338">
        <v>9127</v>
      </c>
      <c r="E1338" t="s">
        <v>536</v>
      </c>
      <c r="F1338" t="s">
        <v>4713</v>
      </c>
      <c r="G1338" t="s">
        <v>1431</v>
      </c>
      <c r="H1338" s="26">
        <v>28968</v>
      </c>
      <c r="I1338" t="s">
        <v>58</v>
      </c>
      <c r="J1338" t="s">
        <v>4714</v>
      </c>
      <c r="M1338">
        <v>91710</v>
      </c>
      <c r="N1338" t="s">
        <v>4715</v>
      </c>
      <c r="O1338" t="s">
        <v>61</v>
      </c>
      <c r="Q1338">
        <v>621175327</v>
      </c>
      <c r="R1338" t="s">
        <v>4716</v>
      </c>
      <c r="S1338" t="s">
        <v>63</v>
      </c>
      <c r="T1338" t="s">
        <v>64</v>
      </c>
      <c r="U1338" t="s">
        <v>486</v>
      </c>
      <c r="W1338" s="26">
        <v>45536</v>
      </c>
      <c r="X1338" t="s">
        <v>61</v>
      </c>
      <c r="Y1338" t="s">
        <v>237</v>
      </c>
    </row>
    <row r="1339" spans="1:25" x14ac:dyDescent="0.25">
      <c r="A1339" t="s">
        <v>4717</v>
      </c>
      <c r="B1339">
        <v>11</v>
      </c>
      <c r="C1339">
        <v>92</v>
      </c>
      <c r="D1339">
        <v>9007</v>
      </c>
      <c r="E1339" t="s">
        <v>121</v>
      </c>
      <c r="F1339" t="s">
        <v>4718</v>
      </c>
      <c r="G1339" t="s">
        <v>3109</v>
      </c>
      <c r="H1339" s="26">
        <v>31562</v>
      </c>
      <c r="I1339" t="s">
        <v>58</v>
      </c>
      <c r="J1339" t="s">
        <v>4719</v>
      </c>
      <c r="M1339">
        <v>92600</v>
      </c>
      <c r="N1339" t="s">
        <v>4720</v>
      </c>
      <c r="O1339" t="s">
        <v>61</v>
      </c>
      <c r="R1339" t="s">
        <v>4721</v>
      </c>
      <c r="S1339" t="s">
        <v>63</v>
      </c>
      <c r="T1339" t="s">
        <v>64</v>
      </c>
      <c r="U1339" t="s">
        <v>486</v>
      </c>
      <c r="W1339" s="26">
        <v>45561</v>
      </c>
      <c r="X1339" t="s">
        <v>61</v>
      </c>
      <c r="Y1339" t="s">
        <v>237</v>
      </c>
    </row>
    <row r="1340" spans="1:25" x14ac:dyDescent="0.25">
      <c r="A1340" t="s">
        <v>4722</v>
      </c>
      <c r="B1340">
        <v>11</v>
      </c>
      <c r="C1340">
        <v>78</v>
      </c>
      <c r="D1340">
        <v>9030</v>
      </c>
      <c r="E1340" t="s">
        <v>96</v>
      </c>
      <c r="F1340" t="s">
        <v>2921</v>
      </c>
      <c r="G1340" t="s">
        <v>4723</v>
      </c>
      <c r="H1340" s="26">
        <v>14716</v>
      </c>
      <c r="I1340" t="s">
        <v>58</v>
      </c>
      <c r="J1340" t="s">
        <v>4724</v>
      </c>
      <c r="M1340">
        <v>78117</v>
      </c>
      <c r="N1340" t="s">
        <v>3003</v>
      </c>
      <c r="O1340" t="s">
        <v>61</v>
      </c>
      <c r="Q1340">
        <v>663801357</v>
      </c>
      <c r="R1340" t="s">
        <v>4725</v>
      </c>
      <c r="S1340" t="s">
        <v>63</v>
      </c>
      <c r="T1340" t="s">
        <v>64</v>
      </c>
      <c r="U1340" t="s">
        <v>65</v>
      </c>
      <c r="W1340" s="26">
        <v>45555</v>
      </c>
      <c r="X1340" t="s">
        <v>61</v>
      </c>
      <c r="Y1340" t="s">
        <v>237</v>
      </c>
    </row>
    <row r="1341" spans="1:25" x14ac:dyDescent="0.25">
      <c r="A1341" t="s">
        <v>4726</v>
      </c>
      <c r="B1341">
        <v>11</v>
      </c>
      <c r="C1341">
        <v>91</v>
      </c>
      <c r="D1341">
        <v>9025</v>
      </c>
      <c r="E1341" t="s">
        <v>188</v>
      </c>
      <c r="F1341" t="s">
        <v>538</v>
      </c>
      <c r="G1341" t="s">
        <v>4322</v>
      </c>
      <c r="H1341" s="26">
        <v>29960</v>
      </c>
      <c r="I1341" t="s">
        <v>58</v>
      </c>
      <c r="J1341" t="s">
        <v>4323</v>
      </c>
      <c r="M1341">
        <v>91100</v>
      </c>
      <c r="N1341" t="s">
        <v>1427</v>
      </c>
      <c r="O1341" t="s">
        <v>61</v>
      </c>
      <c r="P1341">
        <v>669013983</v>
      </c>
      <c r="R1341" t="s">
        <v>4727</v>
      </c>
      <c r="S1341" t="s">
        <v>63</v>
      </c>
      <c r="T1341" t="s">
        <v>64</v>
      </c>
      <c r="U1341" t="s">
        <v>486</v>
      </c>
      <c r="W1341" s="26">
        <v>45552</v>
      </c>
      <c r="X1341" t="s">
        <v>61</v>
      </c>
      <c r="Y1341" t="s">
        <v>237</v>
      </c>
    </row>
    <row r="1342" spans="1:25" x14ac:dyDescent="0.25">
      <c r="A1342" t="s">
        <v>10888</v>
      </c>
      <c r="B1342">
        <v>11</v>
      </c>
      <c r="C1342">
        <v>92</v>
      </c>
      <c r="D1342">
        <v>9088</v>
      </c>
      <c r="E1342" t="s">
        <v>1</v>
      </c>
      <c r="F1342" t="s">
        <v>10889</v>
      </c>
      <c r="G1342" t="s">
        <v>10890</v>
      </c>
      <c r="H1342" s="26">
        <v>28978</v>
      </c>
      <c r="I1342" t="s">
        <v>58</v>
      </c>
      <c r="J1342" t="s">
        <v>10891</v>
      </c>
      <c r="M1342">
        <v>92110</v>
      </c>
      <c r="N1342" t="s">
        <v>135</v>
      </c>
      <c r="O1342" t="s">
        <v>61</v>
      </c>
      <c r="P1342">
        <v>750701808</v>
      </c>
      <c r="R1342" t="s">
        <v>10892</v>
      </c>
      <c r="S1342" t="s">
        <v>63</v>
      </c>
      <c r="T1342" t="s">
        <v>64</v>
      </c>
      <c r="U1342" t="s">
        <v>65</v>
      </c>
      <c r="W1342" s="26">
        <v>45578</v>
      </c>
      <c r="X1342" t="s">
        <v>61</v>
      </c>
      <c r="Y1342" t="s">
        <v>237</v>
      </c>
    </row>
    <row r="1343" spans="1:25" x14ac:dyDescent="0.25">
      <c r="A1343" t="s">
        <v>10893</v>
      </c>
      <c r="B1343">
        <v>11</v>
      </c>
      <c r="C1343">
        <v>92</v>
      </c>
      <c r="D1343">
        <v>9088</v>
      </c>
      <c r="E1343" t="s">
        <v>1</v>
      </c>
      <c r="F1343" t="s">
        <v>10894</v>
      </c>
      <c r="G1343" t="s">
        <v>10895</v>
      </c>
      <c r="H1343" s="26">
        <v>29412</v>
      </c>
      <c r="I1343" t="s">
        <v>58</v>
      </c>
      <c r="J1343" t="s">
        <v>10891</v>
      </c>
      <c r="M1343">
        <v>92110</v>
      </c>
      <c r="N1343" t="s">
        <v>135</v>
      </c>
      <c r="O1343" t="s">
        <v>61</v>
      </c>
      <c r="Q1343">
        <v>751608490</v>
      </c>
      <c r="R1343" t="s">
        <v>10896</v>
      </c>
      <c r="S1343" t="s">
        <v>63</v>
      </c>
      <c r="T1343" t="s">
        <v>64</v>
      </c>
      <c r="U1343" t="s">
        <v>65</v>
      </c>
      <c r="W1343" s="26">
        <v>45578</v>
      </c>
      <c r="X1343" t="s">
        <v>61</v>
      </c>
      <c r="Y1343" t="s">
        <v>237</v>
      </c>
    </row>
    <row r="1344" spans="1:25" x14ac:dyDescent="0.25">
      <c r="A1344" t="s">
        <v>4728</v>
      </c>
      <c r="B1344">
        <v>11</v>
      </c>
      <c r="C1344">
        <v>95</v>
      </c>
      <c r="D1344">
        <v>9069</v>
      </c>
      <c r="E1344" t="s">
        <v>129</v>
      </c>
      <c r="F1344" t="s">
        <v>448</v>
      </c>
      <c r="G1344" t="s">
        <v>4729</v>
      </c>
      <c r="H1344" s="26">
        <v>21068</v>
      </c>
      <c r="I1344" t="s">
        <v>58</v>
      </c>
      <c r="J1344" t="s">
        <v>4730</v>
      </c>
      <c r="M1344">
        <v>95600</v>
      </c>
      <c r="N1344" t="s">
        <v>185</v>
      </c>
      <c r="O1344" t="s">
        <v>61</v>
      </c>
      <c r="Q1344">
        <v>783822281</v>
      </c>
      <c r="S1344" t="s">
        <v>63</v>
      </c>
      <c r="T1344" t="s">
        <v>64</v>
      </c>
      <c r="U1344" t="s">
        <v>65</v>
      </c>
      <c r="W1344" s="26">
        <v>45542</v>
      </c>
      <c r="X1344" t="s">
        <v>61</v>
      </c>
      <c r="Y1344" t="s">
        <v>237</v>
      </c>
    </row>
    <row r="1345" spans="1:25" x14ac:dyDescent="0.25">
      <c r="A1345" t="s">
        <v>4731</v>
      </c>
      <c r="B1345">
        <v>11</v>
      </c>
      <c r="C1345">
        <v>95</v>
      </c>
      <c r="D1345">
        <v>9010</v>
      </c>
      <c r="E1345" t="s">
        <v>6</v>
      </c>
      <c r="F1345" t="s">
        <v>3891</v>
      </c>
      <c r="G1345" t="s">
        <v>4732</v>
      </c>
      <c r="H1345" s="26">
        <v>31048</v>
      </c>
      <c r="I1345" t="s">
        <v>58</v>
      </c>
      <c r="J1345" t="s">
        <v>9078</v>
      </c>
      <c r="M1345">
        <v>92700</v>
      </c>
      <c r="N1345" t="s">
        <v>151</v>
      </c>
      <c r="O1345" t="s">
        <v>61</v>
      </c>
      <c r="R1345" t="s">
        <v>4733</v>
      </c>
      <c r="S1345" t="s">
        <v>237</v>
      </c>
      <c r="T1345" t="s">
        <v>64</v>
      </c>
      <c r="U1345" t="s">
        <v>8684</v>
      </c>
      <c r="W1345" s="26">
        <v>45534</v>
      </c>
      <c r="X1345" t="s">
        <v>2726</v>
      </c>
      <c r="Y1345" t="s">
        <v>237</v>
      </c>
    </row>
    <row r="1346" spans="1:25" x14ac:dyDescent="0.25">
      <c r="A1346" t="s">
        <v>4734</v>
      </c>
      <c r="B1346">
        <v>11</v>
      </c>
      <c r="C1346">
        <v>91</v>
      </c>
      <c r="D1346">
        <v>9025</v>
      </c>
      <c r="E1346" t="s">
        <v>188</v>
      </c>
      <c r="F1346" t="s">
        <v>3210</v>
      </c>
      <c r="G1346" t="s">
        <v>4735</v>
      </c>
      <c r="H1346" s="26">
        <v>30046</v>
      </c>
      <c r="I1346" t="s">
        <v>58</v>
      </c>
      <c r="J1346" t="s">
        <v>4736</v>
      </c>
      <c r="M1346">
        <v>94480</v>
      </c>
      <c r="N1346" t="s">
        <v>4737</v>
      </c>
      <c r="O1346" t="s">
        <v>61</v>
      </c>
      <c r="Q1346">
        <v>618065153</v>
      </c>
      <c r="R1346" t="s">
        <v>4738</v>
      </c>
      <c r="S1346" t="s">
        <v>63</v>
      </c>
      <c r="T1346" t="s">
        <v>64</v>
      </c>
      <c r="U1346" t="s">
        <v>486</v>
      </c>
      <c r="W1346" s="26">
        <v>45552</v>
      </c>
      <c r="X1346" t="s">
        <v>61</v>
      </c>
      <c r="Y1346" t="s">
        <v>237</v>
      </c>
    </row>
    <row r="1347" spans="1:25" x14ac:dyDescent="0.25">
      <c r="A1347" t="s">
        <v>4739</v>
      </c>
      <c r="B1347">
        <v>11</v>
      </c>
      <c r="C1347">
        <v>94</v>
      </c>
      <c r="D1347">
        <v>9045</v>
      </c>
      <c r="E1347" t="s">
        <v>1234</v>
      </c>
      <c r="F1347" t="s">
        <v>2054</v>
      </c>
      <c r="G1347" t="s">
        <v>4740</v>
      </c>
      <c r="H1347" s="26">
        <v>29365</v>
      </c>
      <c r="I1347" t="s">
        <v>58</v>
      </c>
      <c r="J1347" t="s">
        <v>4741</v>
      </c>
      <c r="M1347">
        <v>94270</v>
      </c>
      <c r="N1347" t="s">
        <v>2800</v>
      </c>
      <c r="O1347" t="s">
        <v>61</v>
      </c>
      <c r="Q1347">
        <v>634285571</v>
      </c>
      <c r="R1347" t="s">
        <v>4742</v>
      </c>
      <c r="S1347" t="s">
        <v>63</v>
      </c>
      <c r="T1347" t="s">
        <v>64</v>
      </c>
      <c r="U1347" t="s">
        <v>8684</v>
      </c>
      <c r="W1347" s="26">
        <v>45538</v>
      </c>
      <c r="X1347" t="s">
        <v>61</v>
      </c>
      <c r="Y1347" t="s">
        <v>237</v>
      </c>
    </row>
    <row r="1348" spans="1:25" x14ac:dyDescent="0.25">
      <c r="A1348" t="s">
        <v>4743</v>
      </c>
      <c r="B1348">
        <v>11</v>
      </c>
      <c r="C1348">
        <v>95</v>
      </c>
      <c r="D1348">
        <v>9061</v>
      </c>
      <c r="E1348" t="s">
        <v>360</v>
      </c>
      <c r="F1348" t="s">
        <v>4424</v>
      </c>
      <c r="G1348" t="s">
        <v>4744</v>
      </c>
      <c r="H1348" s="26">
        <v>28616</v>
      </c>
      <c r="I1348" t="s">
        <v>16</v>
      </c>
      <c r="J1348" t="s">
        <v>591</v>
      </c>
      <c r="M1348">
        <v>95640</v>
      </c>
      <c r="N1348" t="s">
        <v>588</v>
      </c>
      <c r="O1348" t="s">
        <v>61</v>
      </c>
      <c r="Q1348">
        <v>660953432</v>
      </c>
      <c r="R1348" t="s">
        <v>4745</v>
      </c>
      <c r="S1348" t="s">
        <v>63</v>
      </c>
      <c r="T1348" t="s">
        <v>64</v>
      </c>
      <c r="U1348" t="s">
        <v>65</v>
      </c>
      <c r="W1348" s="26">
        <v>45548</v>
      </c>
      <c r="X1348" t="s">
        <v>61</v>
      </c>
      <c r="Y1348" t="s">
        <v>237</v>
      </c>
    </row>
    <row r="1349" spans="1:25" x14ac:dyDescent="0.25">
      <c r="A1349" t="s">
        <v>4746</v>
      </c>
      <c r="B1349">
        <v>11</v>
      </c>
      <c r="C1349">
        <v>78</v>
      </c>
      <c r="D1349">
        <v>9084</v>
      </c>
      <c r="E1349" t="s">
        <v>216</v>
      </c>
      <c r="F1349" t="s">
        <v>457</v>
      </c>
      <c r="G1349" t="s">
        <v>1861</v>
      </c>
      <c r="H1349" s="26">
        <v>23822</v>
      </c>
      <c r="I1349" t="s">
        <v>58</v>
      </c>
      <c r="J1349" t="s">
        <v>4747</v>
      </c>
      <c r="M1349">
        <v>78130</v>
      </c>
      <c r="N1349" t="s">
        <v>3018</v>
      </c>
      <c r="O1349" t="s">
        <v>61</v>
      </c>
      <c r="Q1349">
        <v>681774956</v>
      </c>
      <c r="R1349" t="s">
        <v>4748</v>
      </c>
      <c r="S1349" t="s">
        <v>63</v>
      </c>
      <c r="T1349" t="s">
        <v>64</v>
      </c>
      <c r="U1349" t="s">
        <v>65</v>
      </c>
      <c r="W1349" s="26">
        <v>45560</v>
      </c>
      <c r="X1349" t="s">
        <v>61</v>
      </c>
      <c r="Y1349" t="s">
        <v>237</v>
      </c>
    </row>
    <row r="1350" spans="1:25" x14ac:dyDescent="0.25">
      <c r="A1350" t="s">
        <v>4749</v>
      </c>
      <c r="B1350">
        <v>11</v>
      </c>
      <c r="C1350">
        <v>91</v>
      </c>
      <c r="D1350">
        <v>9064</v>
      </c>
      <c r="E1350" t="s">
        <v>266</v>
      </c>
      <c r="F1350" t="s">
        <v>91</v>
      </c>
      <c r="G1350" t="s">
        <v>4750</v>
      </c>
      <c r="H1350" s="26">
        <v>22158</v>
      </c>
      <c r="I1350" t="s">
        <v>58</v>
      </c>
      <c r="J1350" t="s">
        <v>4751</v>
      </c>
      <c r="M1350">
        <v>92160</v>
      </c>
      <c r="N1350" t="s">
        <v>1202</v>
      </c>
      <c r="O1350" t="s">
        <v>61</v>
      </c>
      <c r="Q1350">
        <v>618465859</v>
      </c>
      <c r="R1350" t="s">
        <v>4752</v>
      </c>
      <c r="S1350" t="s">
        <v>63</v>
      </c>
      <c r="T1350" t="s">
        <v>64</v>
      </c>
      <c r="U1350" t="s">
        <v>65</v>
      </c>
      <c r="W1350" s="26">
        <v>45539</v>
      </c>
      <c r="X1350" t="s">
        <v>61</v>
      </c>
      <c r="Y1350" t="s">
        <v>237</v>
      </c>
    </row>
    <row r="1351" spans="1:25" x14ac:dyDescent="0.25">
      <c r="A1351" t="s">
        <v>4753</v>
      </c>
      <c r="B1351">
        <v>11</v>
      </c>
      <c r="C1351">
        <v>91</v>
      </c>
      <c r="D1351">
        <v>9025</v>
      </c>
      <c r="E1351" t="s">
        <v>188</v>
      </c>
      <c r="F1351" t="s">
        <v>551</v>
      </c>
      <c r="G1351" t="s">
        <v>4318</v>
      </c>
      <c r="H1351" s="26">
        <v>29871</v>
      </c>
      <c r="I1351" t="s">
        <v>58</v>
      </c>
      <c r="J1351" t="s">
        <v>4319</v>
      </c>
      <c r="M1351">
        <v>91100</v>
      </c>
      <c r="N1351" t="s">
        <v>787</v>
      </c>
      <c r="O1351" t="s">
        <v>61</v>
      </c>
      <c r="Q1351">
        <v>603345816</v>
      </c>
      <c r="R1351" t="s">
        <v>4320</v>
      </c>
      <c r="S1351" t="s">
        <v>63</v>
      </c>
      <c r="T1351" t="s">
        <v>64</v>
      </c>
      <c r="U1351" t="s">
        <v>486</v>
      </c>
      <c r="W1351" s="26">
        <v>45566</v>
      </c>
      <c r="X1351" t="s">
        <v>61</v>
      </c>
      <c r="Y1351" t="s">
        <v>237</v>
      </c>
    </row>
    <row r="1352" spans="1:25" x14ac:dyDescent="0.25">
      <c r="A1352" t="s">
        <v>11340</v>
      </c>
      <c r="B1352">
        <v>11</v>
      </c>
      <c r="C1352">
        <v>92</v>
      </c>
      <c r="D1352">
        <v>9032</v>
      </c>
      <c r="E1352" t="s">
        <v>102</v>
      </c>
      <c r="F1352" t="s">
        <v>11341</v>
      </c>
      <c r="G1352" t="s">
        <v>11342</v>
      </c>
      <c r="H1352" s="26">
        <v>21702</v>
      </c>
      <c r="I1352" t="s">
        <v>16</v>
      </c>
      <c r="J1352" t="s">
        <v>11307</v>
      </c>
      <c r="M1352">
        <v>75020</v>
      </c>
      <c r="N1352" t="s">
        <v>330</v>
      </c>
      <c r="O1352" t="s">
        <v>61</v>
      </c>
      <c r="Q1352">
        <v>669109768</v>
      </c>
      <c r="R1352" t="s">
        <v>11343</v>
      </c>
      <c r="S1352" t="s">
        <v>63</v>
      </c>
      <c r="T1352" t="s">
        <v>64</v>
      </c>
      <c r="U1352" t="s">
        <v>65</v>
      </c>
      <c r="W1352" s="26">
        <v>45588</v>
      </c>
      <c r="X1352" t="s">
        <v>61</v>
      </c>
      <c r="Y1352" t="s">
        <v>237</v>
      </c>
    </row>
    <row r="1353" spans="1:25" x14ac:dyDescent="0.25">
      <c r="A1353" t="s">
        <v>4754</v>
      </c>
      <c r="B1353">
        <v>11</v>
      </c>
      <c r="C1353">
        <v>91</v>
      </c>
      <c r="D1353">
        <v>9096</v>
      </c>
      <c r="E1353" t="s">
        <v>526</v>
      </c>
      <c r="F1353" t="s">
        <v>1019</v>
      </c>
      <c r="G1353" t="s">
        <v>4755</v>
      </c>
      <c r="H1353" s="26">
        <v>26265</v>
      </c>
      <c r="I1353" t="s">
        <v>58</v>
      </c>
      <c r="J1353" t="s">
        <v>4756</v>
      </c>
      <c r="M1353">
        <v>91150</v>
      </c>
      <c r="N1353" t="s">
        <v>1556</v>
      </c>
      <c r="O1353" t="s">
        <v>61</v>
      </c>
      <c r="Q1353">
        <v>681194769</v>
      </c>
      <c r="R1353" t="s">
        <v>4757</v>
      </c>
      <c r="S1353" t="s">
        <v>63</v>
      </c>
      <c r="T1353" t="s">
        <v>64</v>
      </c>
      <c r="U1353" t="s">
        <v>486</v>
      </c>
      <c r="W1353" s="26">
        <v>45536</v>
      </c>
      <c r="X1353" t="s">
        <v>61</v>
      </c>
      <c r="Y1353" t="s">
        <v>237</v>
      </c>
    </row>
    <row r="1354" spans="1:25" x14ac:dyDescent="0.25">
      <c r="A1354" t="s">
        <v>4758</v>
      </c>
      <c r="B1354">
        <v>11</v>
      </c>
      <c r="C1354">
        <v>91</v>
      </c>
      <c r="D1354">
        <v>9096</v>
      </c>
      <c r="E1354" t="s">
        <v>526</v>
      </c>
      <c r="F1354" t="s">
        <v>85</v>
      </c>
      <c r="G1354" t="s">
        <v>4759</v>
      </c>
      <c r="H1354" s="26">
        <v>22895</v>
      </c>
      <c r="I1354" t="s">
        <v>58</v>
      </c>
      <c r="J1354" t="s">
        <v>4760</v>
      </c>
      <c r="M1354">
        <v>91580</v>
      </c>
      <c r="N1354" t="s">
        <v>528</v>
      </c>
      <c r="O1354" t="s">
        <v>61</v>
      </c>
      <c r="Q1354">
        <v>778686201</v>
      </c>
      <c r="R1354" t="s">
        <v>4761</v>
      </c>
      <c r="S1354" t="s">
        <v>63</v>
      </c>
      <c r="T1354" t="s">
        <v>64</v>
      </c>
      <c r="U1354" t="s">
        <v>65</v>
      </c>
      <c r="W1354" s="26">
        <v>45536</v>
      </c>
      <c r="X1354" t="s">
        <v>61</v>
      </c>
      <c r="Y1354" t="s">
        <v>237</v>
      </c>
    </row>
    <row r="1355" spans="1:25" x14ac:dyDescent="0.25">
      <c r="A1355" t="s">
        <v>10897</v>
      </c>
      <c r="B1355">
        <v>11</v>
      </c>
      <c r="C1355">
        <v>78</v>
      </c>
      <c r="D1355">
        <v>9056</v>
      </c>
      <c r="E1355" t="s">
        <v>214</v>
      </c>
      <c r="F1355" t="s">
        <v>85</v>
      </c>
      <c r="G1355" t="s">
        <v>10898</v>
      </c>
      <c r="H1355" s="26">
        <v>24677</v>
      </c>
      <c r="I1355" t="s">
        <v>58</v>
      </c>
      <c r="J1355" t="s">
        <v>10899</v>
      </c>
      <c r="M1355">
        <v>78000</v>
      </c>
      <c r="N1355" t="s">
        <v>1334</v>
      </c>
      <c r="O1355" t="s">
        <v>61</v>
      </c>
      <c r="P1355">
        <v>170441613</v>
      </c>
      <c r="Q1355">
        <v>646985655</v>
      </c>
      <c r="R1355" t="s">
        <v>10900</v>
      </c>
      <c r="S1355" t="s">
        <v>63</v>
      </c>
      <c r="T1355" t="s">
        <v>64</v>
      </c>
      <c r="U1355" t="s">
        <v>65</v>
      </c>
      <c r="W1355" s="26">
        <v>45575</v>
      </c>
      <c r="X1355" t="s">
        <v>61</v>
      </c>
      <c r="Y1355" t="s">
        <v>237</v>
      </c>
    </row>
    <row r="1356" spans="1:25" x14ac:dyDescent="0.25">
      <c r="A1356" t="s">
        <v>10901</v>
      </c>
      <c r="B1356">
        <v>11</v>
      </c>
      <c r="C1356">
        <v>78</v>
      </c>
      <c r="D1356">
        <v>9056</v>
      </c>
      <c r="E1356" t="s">
        <v>214</v>
      </c>
      <c r="F1356" t="s">
        <v>1442</v>
      </c>
      <c r="G1356" t="s">
        <v>10902</v>
      </c>
      <c r="H1356" s="26">
        <v>22327</v>
      </c>
      <c r="I1356" t="s">
        <v>58</v>
      </c>
      <c r="J1356" t="s">
        <v>10903</v>
      </c>
      <c r="M1356">
        <v>78280</v>
      </c>
      <c r="N1356" t="s">
        <v>98</v>
      </c>
      <c r="O1356" t="s">
        <v>61</v>
      </c>
      <c r="P1356">
        <v>178511924</v>
      </c>
      <c r="Q1356">
        <v>673779930</v>
      </c>
      <c r="R1356" t="s">
        <v>10904</v>
      </c>
      <c r="S1356" t="s">
        <v>63</v>
      </c>
      <c r="T1356" t="s">
        <v>64</v>
      </c>
      <c r="U1356" t="s">
        <v>65</v>
      </c>
      <c r="W1356" s="26">
        <v>45580</v>
      </c>
      <c r="X1356" t="s">
        <v>61</v>
      </c>
      <c r="Y1356" t="s">
        <v>237</v>
      </c>
    </row>
    <row r="1357" spans="1:25" x14ac:dyDescent="0.25">
      <c r="A1357" t="s">
        <v>10905</v>
      </c>
      <c r="B1357">
        <v>11</v>
      </c>
      <c r="C1357">
        <v>94</v>
      </c>
      <c r="D1357">
        <v>9024</v>
      </c>
      <c r="E1357" t="s">
        <v>4</v>
      </c>
      <c r="F1357" t="s">
        <v>10410</v>
      </c>
      <c r="G1357" t="s">
        <v>10906</v>
      </c>
      <c r="H1357" s="26">
        <v>21709</v>
      </c>
      <c r="I1357" t="s">
        <v>58</v>
      </c>
      <c r="J1357" t="s">
        <v>10907</v>
      </c>
      <c r="M1357">
        <v>94100</v>
      </c>
      <c r="N1357" t="s">
        <v>971</v>
      </c>
      <c r="O1357" t="s">
        <v>61</v>
      </c>
      <c r="Q1357">
        <v>660910562</v>
      </c>
      <c r="R1357" t="s">
        <v>10908</v>
      </c>
      <c r="S1357" t="s">
        <v>63</v>
      </c>
      <c r="T1357" t="s">
        <v>64</v>
      </c>
      <c r="U1357" t="s">
        <v>65</v>
      </c>
      <c r="W1357" s="26">
        <v>45582</v>
      </c>
      <c r="X1357" t="s">
        <v>61</v>
      </c>
      <c r="Y1357" t="s">
        <v>237</v>
      </c>
    </row>
    <row r="1358" spans="1:25" x14ac:dyDescent="0.25">
      <c r="A1358" t="s">
        <v>11344</v>
      </c>
      <c r="B1358">
        <v>11</v>
      </c>
      <c r="C1358">
        <v>91</v>
      </c>
      <c r="D1358">
        <v>9025</v>
      </c>
      <c r="E1358" t="s">
        <v>188</v>
      </c>
      <c r="F1358" t="s">
        <v>320</v>
      </c>
      <c r="G1358" t="s">
        <v>4762</v>
      </c>
      <c r="H1358" s="26">
        <v>35465</v>
      </c>
      <c r="I1358" t="s">
        <v>58</v>
      </c>
      <c r="J1358" t="s">
        <v>11345</v>
      </c>
      <c r="M1358">
        <v>91280</v>
      </c>
      <c r="N1358" t="s">
        <v>1399</v>
      </c>
      <c r="O1358" t="s">
        <v>61</v>
      </c>
      <c r="Q1358">
        <v>675495925</v>
      </c>
      <c r="R1358" t="s">
        <v>11346</v>
      </c>
      <c r="S1358" t="s">
        <v>63</v>
      </c>
      <c r="T1358" t="s">
        <v>64</v>
      </c>
      <c r="U1358" t="s">
        <v>486</v>
      </c>
      <c r="W1358" s="26">
        <v>45584</v>
      </c>
      <c r="X1358" t="s">
        <v>61</v>
      </c>
      <c r="Y1358" t="s">
        <v>237</v>
      </c>
    </row>
    <row r="1359" spans="1:25" x14ac:dyDescent="0.25">
      <c r="A1359" t="s">
        <v>4763</v>
      </c>
      <c r="B1359">
        <v>11</v>
      </c>
      <c r="C1359">
        <v>92</v>
      </c>
      <c r="D1359">
        <v>9065</v>
      </c>
      <c r="E1359" t="s">
        <v>426</v>
      </c>
      <c r="F1359" t="s">
        <v>4764</v>
      </c>
      <c r="G1359" t="s">
        <v>4765</v>
      </c>
      <c r="H1359" s="26">
        <v>33275</v>
      </c>
      <c r="I1359" t="s">
        <v>58</v>
      </c>
      <c r="J1359" t="s">
        <v>4766</v>
      </c>
      <c r="M1359">
        <v>92290</v>
      </c>
      <c r="N1359" t="s">
        <v>1596</v>
      </c>
      <c r="O1359" t="s">
        <v>61</v>
      </c>
      <c r="Q1359">
        <v>785767305</v>
      </c>
      <c r="R1359" t="s">
        <v>4767</v>
      </c>
      <c r="S1359" t="s">
        <v>63</v>
      </c>
      <c r="T1359" t="s">
        <v>64</v>
      </c>
      <c r="U1359" t="s">
        <v>486</v>
      </c>
      <c r="W1359" s="26">
        <v>45537</v>
      </c>
      <c r="X1359" t="s">
        <v>3738</v>
      </c>
      <c r="Y1359" t="s">
        <v>237</v>
      </c>
    </row>
    <row r="1360" spans="1:25" x14ac:dyDescent="0.25">
      <c r="A1360" t="s">
        <v>10909</v>
      </c>
      <c r="B1360">
        <v>11</v>
      </c>
      <c r="C1360">
        <v>78</v>
      </c>
      <c r="D1360">
        <v>9056</v>
      </c>
      <c r="E1360" t="s">
        <v>214</v>
      </c>
      <c r="F1360" t="s">
        <v>551</v>
      </c>
      <c r="G1360" t="s">
        <v>10910</v>
      </c>
      <c r="H1360" s="26">
        <v>24256</v>
      </c>
      <c r="I1360" t="s">
        <v>58</v>
      </c>
      <c r="J1360" t="s">
        <v>10911</v>
      </c>
      <c r="M1360">
        <v>78000</v>
      </c>
      <c r="N1360" t="s">
        <v>1334</v>
      </c>
      <c r="O1360" t="s">
        <v>61</v>
      </c>
      <c r="Q1360">
        <v>618929114</v>
      </c>
      <c r="R1360" t="s">
        <v>10912</v>
      </c>
      <c r="S1360" t="s">
        <v>63</v>
      </c>
      <c r="T1360" t="s">
        <v>64</v>
      </c>
      <c r="U1360" t="s">
        <v>65</v>
      </c>
      <c r="W1360" s="26">
        <v>45575</v>
      </c>
      <c r="X1360" t="s">
        <v>61</v>
      </c>
      <c r="Y1360" t="s">
        <v>237</v>
      </c>
    </row>
    <row r="1361" spans="1:25" x14ac:dyDescent="0.25">
      <c r="A1361" t="s">
        <v>4768</v>
      </c>
      <c r="B1361">
        <v>11</v>
      </c>
      <c r="C1361">
        <v>94</v>
      </c>
      <c r="D1361">
        <v>9024</v>
      </c>
      <c r="E1361" t="s">
        <v>4</v>
      </c>
      <c r="F1361" t="s">
        <v>355</v>
      </c>
      <c r="G1361" t="s">
        <v>4769</v>
      </c>
      <c r="H1361" s="26">
        <v>39709</v>
      </c>
      <c r="I1361" t="s">
        <v>58</v>
      </c>
      <c r="J1361" t="s">
        <v>4770</v>
      </c>
      <c r="M1361">
        <v>94340</v>
      </c>
      <c r="N1361" t="s">
        <v>1504</v>
      </c>
      <c r="O1361" t="s">
        <v>61</v>
      </c>
      <c r="Q1361">
        <v>766622436</v>
      </c>
      <c r="R1361" t="s">
        <v>4771</v>
      </c>
      <c r="S1361" t="s">
        <v>63</v>
      </c>
      <c r="T1361" t="s">
        <v>2510</v>
      </c>
      <c r="U1361" t="s">
        <v>8684</v>
      </c>
      <c r="W1361" s="26">
        <v>45531</v>
      </c>
      <c r="X1361" t="s">
        <v>61</v>
      </c>
      <c r="Y1361" t="s">
        <v>237</v>
      </c>
    </row>
    <row r="1362" spans="1:25" x14ac:dyDescent="0.25">
      <c r="A1362" t="s">
        <v>4772</v>
      </c>
      <c r="B1362">
        <v>11</v>
      </c>
      <c r="C1362">
        <v>94</v>
      </c>
      <c r="D1362">
        <v>9024</v>
      </c>
      <c r="E1362" t="s">
        <v>4</v>
      </c>
      <c r="F1362" t="s">
        <v>4773</v>
      </c>
      <c r="G1362" t="s">
        <v>4774</v>
      </c>
      <c r="H1362" s="26">
        <v>37157</v>
      </c>
      <c r="I1362" t="s">
        <v>58</v>
      </c>
      <c r="J1362" t="s">
        <v>4775</v>
      </c>
      <c r="M1362">
        <v>94350</v>
      </c>
      <c r="N1362" t="s">
        <v>172</v>
      </c>
      <c r="O1362" t="s">
        <v>61</v>
      </c>
      <c r="Q1362">
        <v>744470033</v>
      </c>
      <c r="R1362" t="s">
        <v>4776</v>
      </c>
      <c r="S1362" t="s">
        <v>63</v>
      </c>
      <c r="T1362" t="s">
        <v>64</v>
      </c>
      <c r="U1362" t="s">
        <v>8684</v>
      </c>
      <c r="W1362" s="26">
        <v>45548</v>
      </c>
      <c r="X1362" t="s">
        <v>61</v>
      </c>
      <c r="Y1362" t="s">
        <v>237</v>
      </c>
    </row>
    <row r="1363" spans="1:25" x14ac:dyDescent="0.25">
      <c r="A1363" t="s">
        <v>4777</v>
      </c>
      <c r="B1363">
        <v>11</v>
      </c>
      <c r="C1363">
        <v>77</v>
      </c>
      <c r="D1363">
        <v>9077</v>
      </c>
      <c r="E1363" t="s">
        <v>90</v>
      </c>
      <c r="F1363" t="s">
        <v>4778</v>
      </c>
      <c r="G1363" t="s">
        <v>3474</v>
      </c>
      <c r="H1363" s="26">
        <v>20241</v>
      </c>
      <c r="I1363" t="s">
        <v>16</v>
      </c>
      <c r="J1363" t="s">
        <v>9079</v>
      </c>
      <c r="M1363">
        <v>77120</v>
      </c>
      <c r="N1363" t="s">
        <v>803</v>
      </c>
      <c r="O1363" t="s">
        <v>61</v>
      </c>
      <c r="Q1363">
        <v>618013704</v>
      </c>
      <c r="S1363" t="s">
        <v>63</v>
      </c>
      <c r="T1363" t="s">
        <v>64</v>
      </c>
      <c r="U1363" t="s">
        <v>65</v>
      </c>
      <c r="W1363" s="26">
        <v>45566</v>
      </c>
      <c r="X1363" t="s">
        <v>61</v>
      </c>
      <c r="Y1363" t="s">
        <v>237</v>
      </c>
    </row>
    <row r="1364" spans="1:25" x14ac:dyDescent="0.25">
      <c r="A1364" t="s">
        <v>4779</v>
      </c>
      <c r="B1364">
        <v>11</v>
      </c>
      <c r="C1364">
        <v>91</v>
      </c>
      <c r="D1364">
        <v>9025</v>
      </c>
      <c r="E1364" t="s">
        <v>188</v>
      </c>
      <c r="F1364" t="s">
        <v>983</v>
      </c>
      <c r="G1364" t="s">
        <v>4780</v>
      </c>
      <c r="H1364" s="26">
        <v>31525</v>
      </c>
      <c r="I1364" t="s">
        <v>58</v>
      </c>
      <c r="J1364" t="s">
        <v>4781</v>
      </c>
      <c r="M1364">
        <v>77111</v>
      </c>
      <c r="N1364" t="s">
        <v>4782</v>
      </c>
      <c r="O1364" t="s">
        <v>61</v>
      </c>
      <c r="R1364" t="s">
        <v>4783</v>
      </c>
      <c r="S1364" t="s">
        <v>63</v>
      </c>
      <c r="T1364" t="s">
        <v>64</v>
      </c>
      <c r="U1364" t="s">
        <v>486</v>
      </c>
      <c r="W1364" s="26">
        <v>45546</v>
      </c>
      <c r="X1364" t="s">
        <v>61</v>
      </c>
      <c r="Y1364" t="s">
        <v>237</v>
      </c>
    </row>
    <row r="1365" spans="1:25" x14ac:dyDescent="0.25">
      <c r="A1365" t="s">
        <v>4784</v>
      </c>
      <c r="B1365">
        <v>11</v>
      </c>
      <c r="C1365">
        <v>93</v>
      </c>
      <c r="D1365">
        <v>9122</v>
      </c>
      <c r="E1365" t="s">
        <v>1030</v>
      </c>
      <c r="F1365" t="s">
        <v>4785</v>
      </c>
      <c r="G1365" t="s">
        <v>4786</v>
      </c>
      <c r="H1365" s="26">
        <v>23967</v>
      </c>
      <c r="I1365" t="s">
        <v>16</v>
      </c>
      <c r="J1365" t="s">
        <v>4787</v>
      </c>
      <c r="M1365">
        <v>93220</v>
      </c>
      <c r="N1365" t="s">
        <v>662</v>
      </c>
      <c r="O1365" t="s">
        <v>61</v>
      </c>
      <c r="Q1365">
        <v>613702556</v>
      </c>
      <c r="S1365" t="s">
        <v>63</v>
      </c>
      <c r="T1365" t="s">
        <v>64</v>
      </c>
      <c r="U1365" t="s">
        <v>8684</v>
      </c>
      <c r="W1365" s="26">
        <v>45563</v>
      </c>
      <c r="X1365" t="s">
        <v>61</v>
      </c>
      <c r="Y1365" t="s">
        <v>237</v>
      </c>
    </row>
    <row r="1366" spans="1:25" x14ac:dyDescent="0.25">
      <c r="A1366" t="s">
        <v>10913</v>
      </c>
      <c r="B1366">
        <v>11</v>
      </c>
      <c r="C1366">
        <v>93</v>
      </c>
      <c r="D1366">
        <v>9122</v>
      </c>
      <c r="E1366" t="s">
        <v>1030</v>
      </c>
      <c r="F1366" t="s">
        <v>10914</v>
      </c>
      <c r="G1366" t="s">
        <v>10915</v>
      </c>
      <c r="H1366" s="26">
        <v>41571</v>
      </c>
      <c r="I1366" t="s">
        <v>58</v>
      </c>
      <c r="J1366" t="s">
        <v>10916</v>
      </c>
      <c r="M1366">
        <v>93220</v>
      </c>
      <c r="N1366" t="s">
        <v>662</v>
      </c>
      <c r="O1366" t="s">
        <v>61</v>
      </c>
      <c r="Q1366">
        <v>650896966</v>
      </c>
      <c r="R1366" t="s">
        <v>10917</v>
      </c>
      <c r="S1366" t="s">
        <v>63</v>
      </c>
      <c r="T1366" t="s">
        <v>2510</v>
      </c>
      <c r="U1366" t="s">
        <v>486</v>
      </c>
      <c r="W1366" s="26">
        <v>45576</v>
      </c>
      <c r="X1366" t="s">
        <v>61</v>
      </c>
      <c r="Y1366" t="s">
        <v>237</v>
      </c>
    </row>
    <row r="1367" spans="1:25" x14ac:dyDescent="0.25">
      <c r="A1367" t="s">
        <v>4789</v>
      </c>
      <c r="B1367">
        <v>11</v>
      </c>
      <c r="C1367">
        <v>95</v>
      </c>
      <c r="D1367">
        <v>9069</v>
      </c>
      <c r="E1367" t="s">
        <v>129</v>
      </c>
      <c r="F1367" t="s">
        <v>816</v>
      </c>
      <c r="G1367" t="s">
        <v>4790</v>
      </c>
      <c r="H1367" s="26">
        <v>39115</v>
      </c>
      <c r="I1367" t="s">
        <v>58</v>
      </c>
      <c r="J1367" t="s">
        <v>4791</v>
      </c>
      <c r="M1367">
        <v>95130</v>
      </c>
      <c r="N1367" t="s">
        <v>878</v>
      </c>
      <c r="O1367" t="s">
        <v>61</v>
      </c>
      <c r="Q1367">
        <v>768373917</v>
      </c>
      <c r="R1367" t="s">
        <v>4792</v>
      </c>
      <c r="S1367" t="s">
        <v>63</v>
      </c>
      <c r="T1367" t="s">
        <v>2510</v>
      </c>
      <c r="U1367" t="s">
        <v>65</v>
      </c>
      <c r="W1367" s="26">
        <v>45561</v>
      </c>
      <c r="X1367" t="s">
        <v>61</v>
      </c>
      <c r="Y1367" t="s">
        <v>237</v>
      </c>
    </row>
    <row r="1368" spans="1:25" x14ac:dyDescent="0.25">
      <c r="A1368" t="s">
        <v>4793</v>
      </c>
      <c r="B1368">
        <v>11</v>
      </c>
      <c r="C1368">
        <v>91</v>
      </c>
      <c r="D1368">
        <v>9096</v>
      </c>
      <c r="E1368" t="s">
        <v>526</v>
      </c>
      <c r="F1368" t="s">
        <v>4794</v>
      </c>
      <c r="G1368" t="s">
        <v>2733</v>
      </c>
      <c r="H1368" s="26">
        <v>33694</v>
      </c>
      <c r="I1368" t="s">
        <v>58</v>
      </c>
      <c r="J1368" t="s">
        <v>4795</v>
      </c>
      <c r="M1368">
        <v>91150</v>
      </c>
      <c r="N1368" t="s">
        <v>101</v>
      </c>
      <c r="O1368" t="s">
        <v>61</v>
      </c>
      <c r="Q1368">
        <v>668338782</v>
      </c>
      <c r="R1368" t="s">
        <v>4796</v>
      </c>
      <c r="S1368" t="s">
        <v>63</v>
      </c>
      <c r="T1368" t="s">
        <v>64</v>
      </c>
      <c r="U1368" t="s">
        <v>486</v>
      </c>
      <c r="W1368" s="26">
        <v>45542</v>
      </c>
      <c r="X1368" t="s">
        <v>61</v>
      </c>
      <c r="Y1368" t="s">
        <v>237</v>
      </c>
    </row>
    <row r="1369" spans="1:25" x14ac:dyDescent="0.25">
      <c r="A1369" t="s">
        <v>4797</v>
      </c>
      <c r="B1369">
        <v>11</v>
      </c>
      <c r="C1369">
        <v>77</v>
      </c>
      <c r="D1369">
        <v>9077</v>
      </c>
      <c r="E1369" t="s">
        <v>90</v>
      </c>
      <c r="F1369" t="s">
        <v>4798</v>
      </c>
      <c r="G1369" t="s">
        <v>4799</v>
      </c>
      <c r="H1369" s="26">
        <v>22184</v>
      </c>
      <c r="I1369" t="s">
        <v>16</v>
      </c>
      <c r="J1369" t="s">
        <v>4800</v>
      </c>
      <c r="M1369">
        <v>77515</v>
      </c>
      <c r="N1369" t="s">
        <v>1959</v>
      </c>
      <c r="O1369" t="s">
        <v>61</v>
      </c>
      <c r="Q1369">
        <v>622652932</v>
      </c>
      <c r="R1369" t="s">
        <v>4801</v>
      </c>
      <c r="S1369" t="s">
        <v>63</v>
      </c>
      <c r="T1369" t="s">
        <v>64</v>
      </c>
      <c r="U1369" t="s">
        <v>65</v>
      </c>
      <c r="W1369" s="26">
        <v>45552</v>
      </c>
      <c r="X1369" t="s">
        <v>61</v>
      </c>
      <c r="Y1369" t="s">
        <v>237</v>
      </c>
    </row>
    <row r="1370" spans="1:25" x14ac:dyDescent="0.25">
      <c r="A1370" t="s">
        <v>4802</v>
      </c>
      <c r="B1370">
        <v>11</v>
      </c>
      <c r="C1370">
        <v>91</v>
      </c>
      <c r="D1370">
        <v>9096</v>
      </c>
      <c r="E1370" t="s">
        <v>526</v>
      </c>
      <c r="F1370" t="s">
        <v>4803</v>
      </c>
      <c r="G1370" t="s">
        <v>4804</v>
      </c>
      <c r="H1370" s="26">
        <v>37930</v>
      </c>
      <c r="I1370" t="s">
        <v>58</v>
      </c>
      <c r="J1370" t="s">
        <v>4805</v>
      </c>
      <c r="M1370">
        <v>91540</v>
      </c>
      <c r="N1370" t="s">
        <v>4806</v>
      </c>
      <c r="O1370" t="s">
        <v>61</v>
      </c>
      <c r="Q1370">
        <v>629786042</v>
      </c>
      <c r="R1370" t="s">
        <v>4807</v>
      </c>
      <c r="S1370" t="s">
        <v>63</v>
      </c>
      <c r="T1370" t="s">
        <v>2510</v>
      </c>
      <c r="U1370" t="s">
        <v>486</v>
      </c>
      <c r="W1370" s="26">
        <v>45548</v>
      </c>
      <c r="X1370" t="s">
        <v>61</v>
      </c>
      <c r="Y1370" t="s">
        <v>237</v>
      </c>
    </row>
    <row r="1371" spans="1:25" x14ac:dyDescent="0.25">
      <c r="A1371" t="s">
        <v>4808</v>
      </c>
      <c r="B1371">
        <v>11</v>
      </c>
      <c r="C1371">
        <v>91</v>
      </c>
      <c r="D1371">
        <v>9096</v>
      </c>
      <c r="E1371" t="s">
        <v>526</v>
      </c>
      <c r="F1371" t="s">
        <v>2932</v>
      </c>
      <c r="G1371" t="s">
        <v>4809</v>
      </c>
      <c r="H1371" s="26">
        <v>28776</v>
      </c>
      <c r="I1371" t="s">
        <v>58</v>
      </c>
      <c r="J1371" t="s">
        <v>4810</v>
      </c>
      <c r="M1371">
        <v>91720</v>
      </c>
      <c r="N1371" t="s">
        <v>4811</v>
      </c>
      <c r="O1371" t="s">
        <v>61</v>
      </c>
      <c r="Q1371">
        <v>784328317</v>
      </c>
      <c r="R1371" t="s">
        <v>4812</v>
      </c>
      <c r="S1371" t="s">
        <v>63</v>
      </c>
      <c r="T1371" t="s">
        <v>64</v>
      </c>
      <c r="U1371" t="s">
        <v>486</v>
      </c>
      <c r="W1371" s="26">
        <v>45542</v>
      </c>
      <c r="X1371" t="s">
        <v>61</v>
      </c>
      <c r="Y1371" t="s">
        <v>237</v>
      </c>
    </row>
    <row r="1372" spans="1:25" x14ac:dyDescent="0.25">
      <c r="A1372" t="s">
        <v>4813</v>
      </c>
      <c r="B1372">
        <v>11</v>
      </c>
      <c r="C1372">
        <v>91</v>
      </c>
      <c r="D1372">
        <v>9096</v>
      </c>
      <c r="E1372" t="s">
        <v>526</v>
      </c>
      <c r="F1372" t="s">
        <v>983</v>
      </c>
      <c r="G1372" t="s">
        <v>4814</v>
      </c>
      <c r="H1372" s="26">
        <v>27771</v>
      </c>
      <c r="I1372" t="s">
        <v>58</v>
      </c>
      <c r="J1372" t="s">
        <v>4815</v>
      </c>
      <c r="M1372">
        <v>91580</v>
      </c>
      <c r="N1372" t="s">
        <v>2655</v>
      </c>
      <c r="O1372" t="s">
        <v>61</v>
      </c>
      <c r="P1372">
        <v>160804604</v>
      </c>
      <c r="Q1372">
        <v>617910754</v>
      </c>
      <c r="R1372" t="s">
        <v>4816</v>
      </c>
      <c r="S1372" t="s">
        <v>63</v>
      </c>
      <c r="T1372" t="s">
        <v>64</v>
      </c>
      <c r="U1372" t="s">
        <v>486</v>
      </c>
      <c r="W1372" s="26">
        <v>45551</v>
      </c>
      <c r="X1372" t="s">
        <v>61</v>
      </c>
      <c r="Y1372" t="s">
        <v>237</v>
      </c>
    </row>
    <row r="1373" spans="1:25" x14ac:dyDescent="0.25">
      <c r="A1373" t="s">
        <v>4817</v>
      </c>
      <c r="B1373">
        <v>11</v>
      </c>
      <c r="C1373">
        <v>91</v>
      </c>
      <c r="D1373">
        <v>9096</v>
      </c>
      <c r="E1373" t="s">
        <v>526</v>
      </c>
      <c r="F1373" t="s">
        <v>723</v>
      </c>
      <c r="G1373" t="s">
        <v>4818</v>
      </c>
      <c r="H1373" s="26">
        <v>37459</v>
      </c>
      <c r="I1373" t="s">
        <v>58</v>
      </c>
      <c r="J1373" t="s">
        <v>4819</v>
      </c>
      <c r="M1373">
        <v>91690</v>
      </c>
      <c r="N1373" t="s">
        <v>4820</v>
      </c>
      <c r="O1373" t="s">
        <v>61</v>
      </c>
      <c r="P1373">
        <v>164955445</v>
      </c>
      <c r="Q1373">
        <v>637517156</v>
      </c>
      <c r="R1373" t="s">
        <v>4821</v>
      </c>
      <c r="S1373" t="s">
        <v>63</v>
      </c>
      <c r="T1373" t="s">
        <v>64</v>
      </c>
      <c r="U1373" t="s">
        <v>486</v>
      </c>
      <c r="W1373" s="26">
        <v>45547</v>
      </c>
      <c r="X1373" t="s">
        <v>61</v>
      </c>
      <c r="Y1373" t="s">
        <v>237</v>
      </c>
    </row>
    <row r="1374" spans="1:25" x14ac:dyDescent="0.25">
      <c r="A1374" t="s">
        <v>4822</v>
      </c>
      <c r="B1374">
        <v>11</v>
      </c>
      <c r="C1374">
        <v>91</v>
      </c>
      <c r="D1374">
        <v>9096</v>
      </c>
      <c r="E1374" t="s">
        <v>526</v>
      </c>
      <c r="F1374" t="s">
        <v>820</v>
      </c>
      <c r="G1374" t="s">
        <v>4823</v>
      </c>
      <c r="H1374" s="26">
        <v>27143</v>
      </c>
      <c r="I1374" t="s">
        <v>58</v>
      </c>
      <c r="J1374" t="s">
        <v>4824</v>
      </c>
      <c r="M1374">
        <v>91150</v>
      </c>
      <c r="N1374" t="s">
        <v>101</v>
      </c>
      <c r="O1374" t="s">
        <v>61</v>
      </c>
      <c r="P1374">
        <v>164941452</v>
      </c>
      <c r="Q1374">
        <v>611019019</v>
      </c>
      <c r="R1374" t="s">
        <v>4825</v>
      </c>
      <c r="S1374" t="s">
        <v>63</v>
      </c>
      <c r="T1374" t="s">
        <v>64</v>
      </c>
      <c r="U1374" t="s">
        <v>65</v>
      </c>
      <c r="W1374" s="26">
        <v>45542</v>
      </c>
      <c r="X1374" t="s">
        <v>61</v>
      </c>
      <c r="Y1374" t="s">
        <v>237</v>
      </c>
    </row>
    <row r="1375" spans="1:25" x14ac:dyDescent="0.25">
      <c r="A1375" t="s">
        <v>4826</v>
      </c>
      <c r="B1375">
        <v>11</v>
      </c>
      <c r="C1375">
        <v>91</v>
      </c>
      <c r="D1375">
        <v>9096</v>
      </c>
      <c r="E1375" t="s">
        <v>526</v>
      </c>
      <c r="F1375" t="s">
        <v>1005</v>
      </c>
      <c r="G1375" t="s">
        <v>4827</v>
      </c>
      <c r="H1375" s="26">
        <v>28100</v>
      </c>
      <c r="I1375" t="s">
        <v>58</v>
      </c>
      <c r="J1375" t="s">
        <v>4828</v>
      </c>
      <c r="M1375">
        <v>91580</v>
      </c>
      <c r="N1375" t="s">
        <v>528</v>
      </c>
      <c r="O1375" t="s">
        <v>61</v>
      </c>
      <c r="Q1375">
        <v>782473706</v>
      </c>
      <c r="R1375" t="s">
        <v>4829</v>
      </c>
      <c r="S1375" t="s">
        <v>63</v>
      </c>
      <c r="T1375" t="s">
        <v>64</v>
      </c>
      <c r="U1375" t="s">
        <v>486</v>
      </c>
      <c r="W1375" s="26">
        <v>45561</v>
      </c>
      <c r="X1375" t="s">
        <v>61</v>
      </c>
      <c r="Y1375" t="s">
        <v>237</v>
      </c>
    </row>
    <row r="1376" spans="1:25" x14ac:dyDescent="0.25">
      <c r="A1376" t="s">
        <v>4830</v>
      </c>
      <c r="B1376">
        <v>11</v>
      </c>
      <c r="C1376">
        <v>91</v>
      </c>
      <c r="D1376">
        <v>9096</v>
      </c>
      <c r="E1376" t="s">
        <v>526</v>
      </c>
      <c r="F1376" t="s">
        <v>641</v>
      </c>
      <c r="G1376" t="s">
        <v>4831</v>
      </c>
      <c r="H1376" s="26">
        <v>20841</v>
      </c>
      <c r="I1376" t="s">
        <v>58</v>
      </c>
      <c r="J1376" t="s">
        <v>4832</v>
      </c>
      <c r="M1376">
        <v>91790</v>
      </c>
      <c r="N1376" t="s">
        <v>4833</v>
      </c>
      <c r="O1376" t="s">
        <v>61</v>
      </c>
      <c r="P1376">
        <v>164568979</v>
      </c>
      <c r="Q1376">
        <v>612403492</v>
      </c>
      <c r="R1376" t="s">
        <v>4834</v>
      </c>
      <c r="S1376" t="s">
        <v>63</v>
      </c>
      <c r="T1376" t="s">
        <v>64</v>
      </c>
      <c r="U1376" t="s">
        <v>65</v>
      </c>
      <c r="W1376" s="26">
        <v>45552</v>
      </c>
      <c r="X1376" t="s">
        <v>61</v>
      </c>
      <c r="Y1376" t="s">
        <v>237</v>
      </c>
    </row>
    <row r="1377" spans="1:25" x14ac:dyDescent="0.25">
      <c r="A1377" t="s">
        <v>4836</v>
      </c>
      <c r="B1377">
        <v>11</v>
      </c>
      <c r="C1377">
        <v>91</v>
      </c>
      <c r="D1377">
        <v>9096</v>
      </c>
      <c r="E1377" t="s">
        <v>526</v>
      </c>
      <c r="F1377" t="s">
        <v>1991</v>
      </c>
      <c r="G1377" t="s">
        <v>4837</v>
      </c>
      <c r="H1377" s="26">
        <v>17103</v>
      </c>
      <c r="I1377" t="s">
        <v>58</v>
      </c>
      <c r="J1377" t="s">
        <v>4838</v>
      </c>
      <c r="M1377">
        <v>91580</v>
      </c>
      <c r="N1377" t="s">
        <v>528</v>
      </c>
      <c r="O1377" t="s">
        <v>61</v>
      </c>
      <c r="Q1377">
        <v>631076286</v>
      </c>
      <c r="R1377" t="s">
        <v>4839</v>
      </c>
      <c r="S1377" t="s">
        <v>63</v>
      </c>
      <c r="T1377" t="s">
        <v>64</v>
      </c>
      <c r="U1377" t="s">
        <v>65</v>
      </c>
      <c r="W1377" s="26">
        <v>45538</v>
      </c>
      <c r="X1377" t="s">
        <v>61</v>
      </c>
      <c r="Y1377" t="s">
        <v>237</v>
      </c>
    </row>
    <row r="1378" spans="1:25" x14ac:dyDescent="0.25">
      <c r="A1378" t="s">
        <v>4840</v>
      </c>
      <c r="B1378">
        <v>11</v>
      </c>
      <c r="C1378">
        <v>91</v>
      </c>
      <c r="D1378">
        <v>9096</v>
      </c>
      <c r="E1378" t="s">
        <v>526</v>
      </c>
      <c r="F1378" t="s">
        <v>1288</v>
      </c>
      <c r="G1378" t="s">
        <v>859</v>
      </c>
      <c r="H1378" s="26">
        <v>18618</v>
      </c>
      <c r="I1378" t="s">
        <v>58</v>
      </c>
      <c r="J1378" t="s">
        <v>4841</v>
      </c>
      <c r="M1378">
        <v>91580</v>
      </c>
      <c r="N1378" t="s">
        <v>528</v>
      </c>
      <c r="O1378" t="s">
        <v>61</v>
      </c>
      <c r="Q1378">
        <v>608478912</v>
      </c>
      <c r="R1378" t="s">
        <v>4842</v>
      </c>
      <c r="S1378" t="s">
        <v>63</v>
      </c>
      <c r="T1378" t="s">
        <v>64</v>
      </c>
      <c r="U1378" t="s">
        <v>65</v>
      </c>
      <c r="W1378" s="26">
        <v>45538</v>
      </c>
      <c r="X1378" t="s">
        <v>61</v>
      </c>
      <c r="Y1378" t="s">
        <v>237</v>
      </c>
    </row>
    <row r="1379" spans="1:25" x14ac:dyDescent="0.25">
      <c r="A1379" t="s">
        <v>4844</v>
      </c>
      <c r="B1379">
        <v>11</v>
      </c>
      <c r="C1379">
        <v>95</v>
      </c>
      <c r="D1379">
        <v>9061</v>
      </c>
      <c r="E1379" t="s">
        <v>360</v>
      </c>
      <c r="F1379" t="s">
        <v>3271</v>
      </c>
      <c r="G1379" t="s">
        <v>4845</v>
      </c>
      <c r="H1379" s="26">
        <v>42439</v>
      </c>
      <c r="I1379" t="s">
        <v>58</v>
      </c>
      <c r="J1379" t="s">
        <v>4846</v>
      </c>
      <c r="M1379">
        <v>95640</v>
      </c>
      <c r="N1379" t="s">
        <v>2901</v>
      </c>
      <c r="O1379" t="s">
        <v>61</v>
      </c>
      <c r="Q1379">
        <v>649362507</v>
      </c>
      <c r="R1379" t="s">
        <v>4847</v>
      </c>
      <c r="S1379" t="s">
        <v>63</v>
      </c>
      <c r="T1379" t="s">
        <v>2510</v>
      </c>
      <c r="U1379" t="s">
        <v>65</v>
      </c>
      <c r="W1379" s="26">
        <v>45556</v>
      </c>
      <c r="X1379" t="s">
        <v>61</v>
      </c>
      <c r="Y1379" t="s">
        <v>237</v>
      </c>
    </row>
    <row r="1380" spans="1:25" x14ac:dyDescent="0.25">
      <c r="A1380" t="s">
        <v>10918</v>
      </c>
      <c r="B1380">
        <v>11</v>
      </c>
      <c r="C1380">
        <v>93</v>
      </c>
      <c r="D1380">
        <v>9122</v>
      </c>
      <c r="E1380" t="s">
        <v>1030</v>
      </c>
      <c r="F1380" t="s">
        <v>1075</v>
      </c>
      <c r="G1380" t="s">
        <v>10919</v>
      </c>
      <c r="H1380" s="26">
        <v>29914</v>
      </c>
      <c r="I1380" t="s">
        <v>58</v>
      </c>
      <c r="J1380" t="s">
        <v>10916</v>
      </c>
      <c r="M1380">
        <v>93220</v>
      </c>
      <c r="N1380" t="s">
        <v>662</v>
      </c>
      <c r="O1380" t="s">
        <v>61</v>
      </c>
      <c r="P1380">
        <v>650896966</v>
      </c>
      <c r="R1380" t="s">
        <v>10917</v>
      </c>
      <c r="S1380" t="s">
        <v>63</v>
      </c>
      <c r="T1380" t="s">
        <v>64</v>
      </c>
      <c r="U1380" t="s">
        <v>486</v>
      </c>
      <c r="W1380" s="26">
        <v>45576</v>
      </c>
      <c r="X1380" t="s">
        <v>61</v>
      </c>
      <c r="Y1380" t="s">
        <v>237</v>
      </c>
    </row>
    <row r="1381" spans="1:25" x14ac:dyDescent="0.25">
      <c r="A1381" t="s">
        <v>9080</v>
      </c>
      <c r="B1381">
        <v>11</v>
      </c>
      <c r="C1381">
        <v>75</v>
      </c>
      <c r="D1381">
        <v>9070</v>
      </c>
      <c r="E1381" t="s">
        <v>168</v>
      </c>
      <c r="F1381" t="s">
        <v>9081</v>
      </c>
      <c r="G1381" t="s">
        <v>9082</v>
      </c>
      <c r="H1381" s="26">
        <v>37127</v>
      </c>
      <c r="I1381" t="s">
        <v>58</v>
      </c>
      <c r="J1381" t="s">
        <v>9083</v>
      </c>
      <c r="M1381">
        <v>93360</v>
      </c>
      <c r="N1381" t="s">
        <v>291</v>
      </c>
      <c r="O1381" t="s">
        <v>61</v>
      </c>
      <c r="Q1381">
        <v>766469841</v>
      </c>
      <c r="R1381" t="s">
        <v>9084</v>
      </c>
      <c r="S1381" t="s">
        <v>63</v>
      </c>
      <c r="T1381" t="s">
        <v>64</v>
      </c>
      <c r="U1381" t="s">
        <v>8684</v>
      </c>
      <c r="W1381" s="26">
        <v>45559</v>
      </c>
      <c r="X1381" t="s">
        <v>4929</v>
      </c>
      <c r="Y1381" t="s">
        <v>237</v>
      </c>
    </row>
    <row r="1382" spans="1:25" x14ac:dyDescent="0.25">
      <c r="A1382" t="s">
        <v>4849</v>
      </c>
      <c r="B1382">
        <v>11</v>
      </c>
      <c r="C1382">
        <v>94</v>
      </c>
      <c r="D1382">
        <v>9045</v>
      </c>
      <c r="E1382" t="s">
        <v>1234</v>
      </c>
      <c r="F1382" t="s">
        <v>217</v>
      </c>
      <c r="G1382" t="s">
        <v>2069</v>
      </c>
      <c r="H1382" s="26">
        <v>28346</v>
      </c>
      <c r="I1382" t="s">
        <v>58</v>
      </c>
      <c r="J1382" t="s">
        <v>4850</v>
      </c>
      <c r="M1382">
        <v>91280</v>
      </c>
      <c r="N1382" t="s">
        <v>1399</v>
      </c>
      <c r="O1382" t="s">
        <v>61</v>
      </c>
      <c r="Q1382">
        <v>662534023</v>
      </c>
      <c r="R1382" t="s">
        <v>4851</v>
      </c>
      <c r="S1382" t="s">
        <v>63</v>
      </c>
      <c r="T1382" t="s">
        <v>64</v>
      </c>
      <c r="U1382" t="s">
        <v>8684</v>
      </c>
      <c r="W1382" s="26">
        <v>45544</v>
      </c>
      <c r="X1382" t="s">
        <v>61</v>
      </c>
      <c r="Y1382" t="s">
        <v>237</v>
      </c>
    </row>
    <row r="1383" spans="1:25" x14ac:dyDescent="0.25">
      <c r="A1383" t="s">
        <v>4852</v>
      </c>
      <c r="B1383">
        <v>11</v>
      </c>
      <c r="C1383">
        <v>91</v>
      </c>
      <c r="D1383">
        <v>9064</v>
      </c>
      <c r="E1383" t="s">
        <v>266</v>
      </c>
      <c r="F1383" t="s">
        <v>85</v>
      </c>
      <c r="G1383" t="s">
        <v>4853</v>
      </c>
      <c r="H1383" s="26">
        <v>21473</v>
      </c>
      <c r="I1383" t="s">
        <v>58</v>
      </c>
      <c r="J1383" t="s">
        <v>4854</v>
      </c>
      <c r="M1383">
        <v>91300</v>
      </c>
      <c r="N1383" t="s">
        <v>675</v>
      </c>
      <c r="O1383" t="s">
        <v>61</v>
      </c>
      <c r="Q1383">
        <v>608713440</v>
      </c>
      <c r="R1383" t="s">
        <v>4855</v>
      </c>
      <c r="S1383" t="s">
        <v>63</v>
      </c>
      <c r="T1383" t="s">
        <v>64</v>
      </c>
      <c r="U1383" t="s">
        <v>65</v>
      </c>
      <c r="W1383" s="26">
        <v>45539</v>
      </c>
      <c r="X1383" t="s">
        <v>61</v>
      </c>
      <c r="Y1383" t="s">
        <v>237</v>
      </c>
    </row>
    <row r="1384" spans="1:25" x14ac:dyDescent="0.25">
      <c r="A1384" t="s">
        <v>4856</v>
      </c>
      <c r="B1384">
        <v>11</v>
      </c>
      <c r="C1384">
        <v>91</v>
      </c>
      <c r="D1384">
        <v>9064</v>
      </c>
      <c r="E1384" t="s">
        <v>266</v>
      </c>
      <c r="F1384" t="s">
        <v>160</v>
      </c>
      <c r="G1384" t="s">
        <v>4857</v>
      </c>
      <c r="H1384" s="26">
        <v>23201</v>
      </c>
      <c r="I1384" t="s">
        <v>58</v>
      </c>
      <c r="J1384" t="s">
        <v>4858</v>
      </c>
      <c r="M1384">
        <v>92330</v>
      </c>
      <c r="N1384" t="s">
        <v>3238</v>
      </c>
      <c r="O1384" t="s">
        <v>61</v>
      </c>
      <c r="Q1384">
        <v>664196141</v>
      </c>
      <c r="R1384" t="s">
        <v>4859</v>
      </c>
      <c r="S1384" t="s">
        <v>63</v>
      </c>
      <c r="T1384" t="s">
        <v>64</v>
      </c>
      <c r="U1384" t="s">
        <v>65</v>
      </c>
      <c r="W1384" s="26">
        <v>45545</v>
      </c>
      <c r="X1384" t="s">
        <v>61</v>
      </c>
      <c r="Y1384" t="s">
        <v>237</v>
      </c>
    </row>
    <row r="1385" spans="1:25" x14ac:dyDescent="0.25">
      <c r="A1385" t="s">
        <v>4860</v>
      </c>
      <c r="B1385">
        <v>11</v>
      </c>
      <c r="C1385">
        <v>91</v>
      </c>
      <c r="D1385">
        <v>9064</v>
      </c>
      <c r="E1385" t="s">
        <v>266</v>
      </c>
      <c r="F1385" t="s">
        <v>816</v>
      </c>
      <c r="G1385" t="s">
        <v>4861</v>
      </c>
      <c r="H1385" s="26">
        <v>23600</v>
      </c>
      <c r="I1385" t="s">
        <v>58</v>
      </c>
      <c r="J1385" t="s">
        <v>4862</v>
      </c>
      <c r="K1385" t="s">
        <v>4863</v>
      </c>
      <c r="M1385">
        <v>91120</v>
      </c>
      <c r="N1385" t="s">
        <v>335</v>
      </c>
      <c r="O1385" t="s">
        <v>61</v>
      </c>
      <c r="Q1385">
        <v>642892249</v>
      </c>
      <c r="R1385" t="s">
        <v>4864</v>
      </c>
      <c r="S1385" t="s">
        <v>63</v>
      </c>
      <c r="T1385" t="s">
        <v>64</v>
      </c>
      <c r="U1385" t="s">
        <v>65</v>
      </c>
      <c r="W1385" s="26">
        <v>45547</v>
      </c>
      <c r="X1385" t="s">
        <v>61</v>
      </c>
      <c r="Y1385" t="s">
        <v>237</v>
      </c>
    </row>
    <row r="1386" spans="1:25" x14ac:dyDescent="0.25">
      <c r="A1386" t="s">
        <v>9085</v>
      </c>
      <c r="B1386">
        <v>11</v>
      </c>
      <c r="C1386">
        <v>95</v>
      </c>
      <c r="D1386">
        <v>9127</v>
      </c>
      <c r="E1386" t="s">
        <v>536</v>
      </c>
      <c r="F1386" t="s">
        <v>3891</v>
      </c>
      <c r="G1386" t="s">
        <v>9086</v>
      </c>
      <c r="H1386" s="26">
        <v>37293</v>
      </c>
      <c r="I1386" t="s">
        <v>58</v>
      </c>
      <c r="J1386" t="s">
        <v>9087</v>
      </c>
      <c r="M1386">
        <v>92000</v>
      </c>
      <c r="N1386" t="s">
        <v>135</v>
      </c>
      <c r="O1386" t="s">
        <v>61</v>
      </c>
      <c r="R1386" t="s">
        <v>9088</v>
      </c>
      <c r="S1386" t="s">
        <v>63</v>
      </c>
      <c r="T1386" t="s">
        <v>64</v>
      </c>
      <c r="U1386" t="s">
        <v>8684</v>
      </c>
      <c r="W1386" s="26">
        <v>45566</v>
      </c>
      <c r="X1386" t="s">
        <v>61</v>
      </c>
      <c r="Y1386" t="s">
        <v>237</v>
      </c>
    </row>
    <row r="1387" spans="1:25" x14ac:dyDescent="0.25">
      <c r="A1387" t="s">
        <v>4865</v>
      </c>
      <c r="B1387">
        <v>11</v>
      </c>
      <c r="C1387">
        <v>94</v>
      </c>
      <c r="D1387">
        <v>9045</v>
      </c>
      <c r="E1387" t="s">
        <v>1234</v>
      </c>
      <c r="F1387" t="s">
        <v>4866</v>
      </c>
      <c r="G1387" t="s">
        <v>4867</v>
      </c>
      <c r="H1387" s="26">
        <v>35496</v>
      </c>
      <c r="I1387" t="s">
        <v>58</v>
      </c>
      <c r="J1387" t="s">
        <v>4868</v>
      </c>
      <c r="M1387">
        <v>94140</v>
      </c>
      <c r="N1387" t="s">
        <v>959</v>
      </c>
      <c r="O1387" t="s">
        <v>61</v>
      </c>
      <c r="Q1387">
        <v>755819405</v>
      </c>
      <c r="R1387" t="s">
        <v>4869</v>
      </c>
      <c r="S1387" t="s">
        <v>63</v>
      </c>
      <c r="T1387" t="s">
        <v>64</v>
      </c>
      <c r="U1387" t="s">
        <v>8684</v>
      </c>
      <c r="W1387" s="26">
        <v>45534</v>
      </c>
      <c r="X1387" t="s">
        <v>61</v>
      </c>
      <c r="Y1387" t="s">
        <v>237</v>
      </c>
    </row>
    <row r="1388" spans="1:25" x14ac:dyDescent="0.25">
      <c r="A1388" t="s">
        <v>4870</v>
      </c>
      <c r="B1388">
        <v>11</v>
      </c>
      <c r="C1388">
        <v>92</v>
      </c>
      <c r="D1388">
        <v>9017</v>
      </c>
      <c r="E1388" t="s">
        <v>211</v>
      </c>
      <c r="F1388" t="s">
        <v>955</v>
      </c>
      <c r="G1388" t="s">
        <v>4871</v>
      </c>
      <c r="H1388" s="26">
        <v>26957</v>
      </c>
      <c r="I1388" t="s">
        <v>58</v>
      </c>
      <c r="J1388" t="s">
        <v>4872</v>
      </c>
      <c r="M1388">
        <v>92400</v>
      </c>
      <c r="N1388" t="s">
        <v>478</v>
      </c>
      <c r="O1388" t="s">
        <v>61</v>
      </c>
      <c r="Q1388">
        <v>676745724</v>
      </c>
      <c r="R1388" t="s">
        <v>4873</v>
      </c>
      <c r="S1388" t="s">
        <v>63</v>
      </c>
      <c r="T1388" t="s">
        <v>64</v>
      </c>
      <c r="U1388" t="s">
        <v>65</v>
      </c>
      <c r="W1388" s="26">
        <v>45546</v>
      </c>
      <c r="X1388" t="s">
        <v>61</v>
      </c>
      <c r="Y1388" t="s">
        <v>237</v>
      </c>
    </row>
    <row r="1389" spans="1:25" x14ac:dyDescent="0.25">
      <c r="A1389" t="s">
        <v>11347</v>
      </c>
      <c r="B1389">
        <v>11</v>
      </c>
      <c r="C1389">
        <v>94</v>
      </c>
      <c r="D1389">
        <v>9024</v>
      </c>
      <c r="E1389" t="s">
        <v>4</v>
      </c>
      <c r="F1389" t="s">
        <v>100</v>
      </c>
      <c r="G1389" t="s">
        <v>11348</v>
      </c>
      <c r="H1389" s="26">
        <v>20821</v>
      </c>
      <c r="I1389" t="s">
        <v>58</v>
      </c>
      <c r="J1389" t="s">
        <v>11349</v>
      </c>
      <c r="M1389">
        <v>94210</v>
      </c>
      <c r="N1389" t="s">
        <v>971</v>
      </c>
      <c r="O1389" t="s">
        <v>61</v>
      </c>
      <c r="Q1389">
        <v>683229135</v>
      </c>
      <c r="R1389" t="s">
        <v>11350</v>
      </c>
      <c r="S1389" t="s">
        <v>63</v>
      </c>
      <c r="T1389" t="s">
        <v>64</v>
      </c>
      <c r="U1389" t="s">
        <v>65</v>
      </c>
      <c r="W1389" s="26">
        <v>45586</v>
      </c>
      <c r="X1389" t="s">
        <v>61</v>
      </c>
      <c r="Y1389" t="s">
        <v>237</v>
      </c>
    </row>
    <row r="1390" spans="1:25" x14ac:dyDescent="0.25">
      <c r="A1390" t="s">
        <v>10920</v>
      </c>
      <c r="B1390">
        <v>11</v>
      </c>
      <c r="C1390">
        <v>91</v>
      </c>
      <c r="D1390">
        <v>9095</v>
      </c>
      <c r="E1390" t="s">
        <v>113</v>
      </c>
      <c r="F1390" t="s">
        <v>187</v>
      </c>
      <c r="G1390" t="s">
        <v>10921</v>
      </c>
      <c r="H1390" s="26">
        <v>14609</v>
      </c>
      <c r="I1390" t="s">
        <v>58</v>
      </c>
      <c r="J1390" t="s">
        <v>10922</v>
      </c>
      <c r="M1390">
        <v>91290</v>
      </c>
      <c r="N1390" t="s">
        <v>2342</v>
      </c>
      <c r="O1390" t="s">
        <v>61</v>
      </c>
      <c r="Q1390">
        <v>624661080</v>
      </c>
      <c r="R1390" t="s">
        <v>10923</v>
      </c>
      <c r="S1390" t="s">
        <v>63</v>
      </c>
      <c r="T1390" t="s">
        <v>64</v>
      </c>
      <c r="U1390" t="s">
        <v>65</v>
      </c>
      <c r="W1390" s="26">
        <v>45574</v>
      </c>
      <c r="X1390" t="s">
        <v>61</v>
      </c>
      <c r="Y1390" t="s">
        <v>237</v>
      </c>
    </row>
    <row r="1391" spans="1:25" x14ac:dyDescent="0.25">
      <c r="A1391" t="s">
        <v>4874</v>
      </c>
      <c r="B1391">
        <v>11</v>
      </c>
      <c r="C1391">
        <v>75</v>
      </c>
      <c r="D1391">
        <v>9070</v>
      </c>
      <c r="E1391" t="s">
        <v>168</v>
      </c>
      <c r="F1391" t="s">
        <v>4875</v>
      </c>
      <c r="G1391" t="s">
        <v>4876</v>
      </c>
      <c r="H1391" s="26">
        <v>34419</v>
      </c>
      <c r="I1391" t="s">
        <v>16</v>
      </c>
      <c r="J1391" t="s">
        <v>4877</v>
      </c>
      <c r="M1391">
        <v>75014</v>
      </c>
      <c r="N1391" t="s">
        <v>4878</v>
      </c>
      <c r="O1391" t="s">
        <v>61</v>
      </c>
      <c r="Q1391">
        <v>668188614</v>
      </c>
      <c r="R1391" t="s">
        <v>4879</v>
      </c>
      <c r="S1391" t="s">
        <v>63</v>
      </c>
      <c r="T1391" t="s">
        <v>64</v>
      </c>
      <c r="U1391" t="s">
        <v>8684</v>
      </c>
      <c r="W1391" s="26">
        <v>45558</v>
      </c>
      <c r="X1391" t="s">
        <v>1300</v>
      </c>
      <c r="Y1391" t="s">
        <v>237</v>
      </c>
    </row>
    <row r="1392" spans="1:25" x14ac:dyDescent="0.25">
      <c r="A1392" t="s">
        <v>9089</v>
      </c>
      <c r="B1392">
        <v>11</v>
      </c>
      <c r="C1392">
        <v>77</v>
      </c>
      <c r="D1392">
        <v>9059</v>
      </c>
      <c r="E1392" t="s">
        <v>197</v>
      </c>
      <c r="F1392" t="s">
        <v>9090</v>
      </c>
      <c r="G1392" t="s">
        <v>9091</v>
      </c>
      <c r="H1392" s="26">
        <v>29753</v>
      </c>
      <c r="I1392" t="s">
        <v>58</v>
      </c>
      <c r="J1392" t="s">
        <v>9092</v>
      </c>
      <c r="M1392">
        <v>77150</v>
      </c>
      <c r="N1392" t="s">
        <v>9093</v>
      </c>
      <c r="O1392" t="s">
        <v>61</v>
      </c>
      <c r="Q1392">
        <v>745291628</v>
      </c>
      <c r="R1392" t="s">
        <v>10924</v>
      </c>
      <c r="S1392" t="s">
        <v>63</v>
      </c>
      <c r="T1392" t="s">
        <v>64</v>
      </c>
      <c r="U1392" t="s">
        <v>65</v>
      </c>
      <c r="W1392" s="26">
        <v>45542</v>
      </c>
      <c r="X1392" t="s">
        <v>2816</v>
      </c>
      <c r="Y1392" t="s">
        <v>237</v>
      </c>
    </row>
    <row r="1393" spans="1:25" x14ac:dyDescent="0.25">
      <c r="A1393" t="s">
        <v>4880</v>
      </c>
      <c r="B1393">
        <v>11</v>
      </c>
      <c r="C1393">
        <v>91</v>
      </c>
      <c r="D1393">
        <v>9025</v>
      </c>
      <c r="E1393" t="s">
        <v>188</v>
      </c>
      <c r="F1393" t="s">
        <v>4881</v>
      </c>
      <c r="G1393" t="s">
        <v>4882</v>
      </c>
      <c r="H1393" s="26">
        <v>29130</v>
      </c>
      <c r="I1393" t="s">
        <v>58</v>
      </c>
      <c r="J1393" t="s">
        <v>4883</v>
      </c>
      <c r="M1393">
        <v>91100</v>
      </c>
      <c r="N1393" t="s">
        <v>1427</v>
      </c>
      <c r="O1393" t="s">
        <v>61</v>
      </c>
      <c r="Q1393">
        <v>749036603</v>
      </c>
      <c r="R1393" t="s">
        <v>4884</v>
      </c>
      <c r="S1393" t="s">
        <v>63</v>
      </c>
      <c r="T1393" t="s">
        <v>64</v>
      </c>
      <c r="U1393" t="s">
        <v>486</v>
      </c>
      <c r="W1393" s="26">
        <v>45536</v>
      </c>
      <c r="X1393" t="s">
        <v>3895</v>
      </c>
      <c r="Y1393" t="s">
        <v>237</v>
      </c>
    </row>
    <row r="1394" spans="1:25" x14ac:dyDescent="0.25">
      <c r="A1394" t="s">
        <v>4885</v>
      </c>
      <c r="B1394">
        <v>11</v>
      </c>
      <c r="C1394">
        <v>91</v>
      </c>
      <c r="D1394">
        <v>9025</v>
      </c>
      <c r="E1394" t="s">
        <v>188</v>
      </c>
      <c r="F1394" t="s">
        <v>4886</v>
      </c>
      <c r="G1394" t="s">
        <v>4887</v>
      </c>
      <c r="H1394" s="26">
        <v>30423</v>
      </c>
      <c r="I1394" t="s">
        <v>58</v>
      </c>
      <c r="J1394" t="s">
        <v>4888</v>
      </c>
      <c r="M1394">
        <v>91100</v>
      </c>
      <c r="N1394" t="s">
        <v>1427</v>
      </c>
      <c r="O1394" t="s">
        <v>61</v>
      </c>
      <c r="Q1394">
        <v>769254034</v>
      </c>
      <c r="R1394" t="s">
        <v>4889</v>
      </c>
      <c r="S1394" t="s">
        <v>63</v>
      </c>
      <c r="T1394" t="s">
        <v>64</v>
      </c>
      <c r="U1394" t="s">
        <v>486</v>
      </c>
      <c r="W1394" s="26">
        <v>45566</v>
      </c>
      <c r="X1394" t="s">
        <v>61</v>
      </c>
      <c r="Y1394" t="s">
        <v>237</v>
      </c>
    </row>
    <row r="1395" spans="1:25" x14ac:dyDescent="0.25">
      <c r="A1395" t="s">
        <v>4890</v>
      </c>
      <c r="B1395">
        <v>11</v>
      </c>
      <c r="C1395">
        <v>91</v>
      </c>
      <c r="D1395">
        <v>9025</v>
      </c>
      <c r="E1395" t="s">
        <v>188</v>
      </c>
      <c r="F1395" t="s">
        <v>555</v>
      </c>
      <c r="G1395" t="s">
        <v>4891</v>
      </c>
      <c r="H1395" s="26">
        <v>25644</v>
      </c>
      <c r="I1395" t="s">
        <v>58</v>
      </c>
      <c r="J1395" t="s">
        <v>4892</v>
      </c>
      <c r="M1395">
        <v>91100</v>
      </c>
      <c r="N1395" t="s">
        <v>1427</v>
      </c>
      <c r="O1395" t="s">
        <v>61</v>
      </c>
      <c r="Q1395">
        <v>613418490</v>
      </c>
      <c r="R1395" t="s">
        <v>4893</v>
      </c>
      <c r="S1395" t="s">
        <v>63</v>
      </c>
      <c r="T1395" t="s">
        <v>64</v>
      </c>
      <c r="U1395" t="s">
        <v>65</v>
      </c>
      <c r="W1395" s="26">
        <v>45541</v>
      </c>
      <c r="X1395" t="s">
        <v>61</v>
      </c>
      <c r="Y1395" t="s">
        <v>237</v>
      </c>
    </row>
    <row r="1396" spans="1:25" x14ac:dyDescent="0.25">
      <c r="A1396" t="s">
        <v>4894</v>
      </c>
      <c r="B1396">
        <v>11</v>
      </c>
      <c r="C1396">
        <v>75</v>
      </c>
      <c r="D1396">
        <v>9070</v>
      </c>
      <c r="E1396" t="s">
        <v>168</v>
      </c>
      <c r="F1396" t="s">
        <v>4895</v>
      </c>
      <c r="G1396" t="s">
        <v>2419</v>
      </c>
      <c r="H1396" s="26">
        <v>34784</v>
      </c>
      <c r="I1396" t="s">
        <v>58</v>
      </c>
      <c r="J1396" t="s">
        <v>4896</v>
      </c>
      <c r="M1396">
        <v>75010</v>
      </c>
      <c r="N1396" t="s">
        <v>330</v>
      </c>
      <c r="O1396" t="s">
        <v>61</v>
      </c>
      <c r="Q1396">
        <v>695180709</v>
      </c>
      <c r="R1396" t="s">
        <v>4897</v>
      </c>
      <c r="S1396" t="s">
        <v>237</v>
      </c>
      <c r="T1396" t="s">
        <v>64</v>
      </c>
      <c r="U1396" t="s">
        <v>8684</v>
      </c>
      <c r="W1396" s="26">
        <v>45559</v>
      </c>
      <c r="X1396" t="s">
        <v>61</v>
      </c>
      <c r="Y1396" t="s">
        <v>237</v>
      </c>
    </row>
    <row r="1397" spans="1:25" x14ac:dyDescent="0.25">
      <c r="A1397" t="s">
        <v>4898</v>
      </c>
      <c r="B1397">
        <v>11</v>
      </c>
      <c r="C1397">
        <v>93</v>
      </c>
      <c r="D1397">
        <v>9060</v>
      </c>
      <c r="E1397" t="s">
        <v>203</v>
      </c>
      <c r="F1397" t="s">
        <v>4899</v>
      </c>
      <c r="G1397" t="s">
        <v>4900</v>
      </c>
      <c r="H1397" s="26">
        <v>17815</v>
      </c>
      <c r="I1397" t="s">
        <v>16</v>
      </c>
      <c r="J1397" t="s">
        <v>4901</v>
      </c>
      <c r="M1397">
        <v>93190</v>
      </c>
      <c r="N1397" t="s">
        <v>205</v>
      </c>
      <c r="O1397" t="s">
        <v>61</v>
      </c>
      <c r="Q1397">
        <v>675645923</v>
      </c>
      <c r="R1397" t="s">
        <v>4902</v>
      </c>
      <c r="S1397" t="s">
        <v>63</v>
      </c>
      <c r="T1397" t="s">
        <v>64</v>
      </c>
      <c r="U1397" t="s">
        <v>65</v>
      </c>
      <c r="W1397" s="26">
        <v>45556</v>
      </c>
      <c r="X1397" t="s">
        <v>61</v>
      </c>
      <c r="Y1397" t="s">
        <v>237</v>
      </c>
    </row>
    <row r="1398" spans="1:25" x14ac:dyDescent="0.25">
      <c r="A1398" t="s">
        <v>10925</v>
      </c>
      <c r="B1398">
        <v>11</v>
      </c>
      <c r="C1398">
        <v>93</v>
      </c>
      <c r="D1398">
        <v>9060</v>
      </c>
      <c r="E1398" t="s">
        <v>203</v>
      </c>
      <c r="F1398" t="s">
        <v>305</v>
      </c>
      <c r="G1398" t="s">
        <v>10926</v>
      </c>
      <c r="H1398" s="26">
        <v>21315</v>
      </c>
      <c r="I1398" t="s">
        <v>58</v>
      </c>
      <c r="J1398" t="s">
        <v>10927</v>
      </c>
      <c r="M1398">
        <v>93600</v>
      </c>
      <c r="N1398" t="s">
        <v>1558</v>
      </c>
      <c r="O1398" t="s">
        <v>61</v>
      </c>
      <c r="Q1398">
        <v>782088905</v>
      </c>
      <c r="R1398" t="s">
        <v>10928</v>
      </c>
      <c r="S1398" t="s">
        <v>63</v>
      </c>
      <c r="T1398" t="s">
        <v>64</v>
      </c>
      <c r="U1398" t="s">
        <v>65</v>
      </c>
      <c r="W1398" s="26">
        <v>45576</v>
      </c>
      <c r="X1398" t="s">
        <v>61</v>
      </c>
      <c r="Y1398" t="s">
        <v>237</v>
      </c>
    </row>
    <row r="1399" spans="1:25" x14ac:dyDescent="0.25">
      <c r="A1399" t="s">
        <v>4903</v>
      </c>
      <c r="B1399">
        <v>11</v>
      </c>
      <c r="C1399">
        <v>93</v>
      </c>
      <c r="D1399">
        <v>9060</v>
      </c>
      <c r="E1399" t="s">
        <v>203</v>
      </c>
      <c r="F1399" t="s">
        <v>13</v>
      </c>
      <c r="G1399" t="s">
        <v>2874</v>
      </c>
      <c r="H1399" s="26">
        <v>19814</v>
      </c>
      <c r="I1399" t="s">
        <v>58</v>
      </c>
      <c r="J1399" t="s">
        <v>9094</v>
      </c>
      <c r="M1399">
        <v>93600</v>
      </c>
      <c r="N1399" t="s">
        <v>1558</v>
      </c>
      <c r="O1399" t="s">
        <v>61</v>
      </c>
      <c r="Q1399">
        <v>616166490</v>
      </c>
      <c r="S1399" t="s">
        <v>63</v>
      </c>
      <c r="T1399" t="s">
        <v>64</v>
      </c>
      <c r="U1399" t="s">
        <v>65</v>
      </c>
      <c r="W1399" s="26">
        <v>45546</v>
      </c>
      <c r="X1399" t="s">
        <v>61</v>
      </c>
      <c r="Y1399" t="s">
        <v>237</v>
      </c>
    </row>
    <row r="1400" spans="1:25" x14ac:dyDescent="0.25">
      <c r="A1400" t="s">
        <v>10929</v>
      </c>
      <c r="B1400">
        <v>11</v>
      </c>
      <c r="C1400">
        <v>93</v>
      </c>
      <c r="D1400">
        <v>9060</v>
      </c>
      <c r="E1400" t="s">
        <v>203</v>
      </c>
      <c r="F1400" t="s">
        <v>10930</v>
      </c>
      <c r="G1400" t="s">
        <v>10931</v>
      </c>
      <c r="H1400" s="26">
        <v>21242</v>
      </c>
      <c r="I1400" t="s">
        <v>16</v>
      </c>
      <c r="J1400" t="s">
        <v>10932</v>
      </c>
      <c r="M1400">
        <v>93270</v>
      </c>
      <c r="N1400" t="s">
        <v>2129</v>
      </c>
      <c r="O1400" t="s">
        <v>61</v>
      </c>
      <c r="Q1400">
        <v>614647609</v>
      </c>
      <c r="R1400" t="s">
        <v>10933</v>
      </c>
      <c r="S1400" t="s">
        <v>63</v>
      </c>
      <c r="T1400" t="s">
        <v>64</v>
      </c>
      <c r="U1400" t="s">
        <v>65</v>
      </c>
      <c r="W1400" s="26">
        <v>45576</v>
      </c>
      <c r="X1400" t="s">
        <v>61</v>
      </c>
      <c r="Y1400" t="s">
        <v>237</v>
      </c>
    </row>
    <row r="1401" spans="1:25" x14ac:dyDescent="0.25">
      <c r="A1401" t="s">
        <v>11351</v>
      </c>
      <c r="B1401">
        <v>11</v>
      </c>
      <c r="C1401">
        <v>93</v>
      </c>
      <c r="D1401">
        <v>9060</v>
      </c>
      <c r="E1401" t="s">
        <v>203</v>
      </c>
      <c r="F1401" t="s">
        <v>887</v>
      </c>
      <c r="G1401" t="s">
        <v>11352</v>
      </c>
      <c r="H1401" s="26">
        <v>21489</v>
      </c>
      <c r="I1401" t="s">
        <v>58</v>
      </c>
      <c r="J1401" t="s">
        <v>11353</v>
      </c>
      <c r="M1401">
        <v>93340</v>
      </c>
      <c r="N1401" t="s">
        <v>2147</v>
      </c>
      <c r="O1401" t="s">
        <v>61</v>
      </c>
      <c r="Q1401">
        <v>629875549</v>
      </c>
      <c r="R1401" t="s">
        <v>11354</v>
      </c>
      <c r="S1401" t="s">
        <v>63</v>
      </c>
      <c r="T1401" t="s">
        <v>64</v>
      </c>
      <c r="U1401" t="s">
        <v>65</v>
      </c>
      <c r="W1401" s="26">
        <v>45589</v>
      </c>
      <c r="X1401" t="s">
        <v>61</v>
      </c>
      <c r="Y1401" t="s">
        <v>237</v>
      </c>
    </row>
    <row r="1402" spans="1:25" x14ac:dyDescent="0.25">
      <c r="A1402" t="s">
        <v>11355</v>
      </c>
      <c r="B1402">
        <v>11</v>
      </c>
      <c r="C1402">
        <v>93</v>
      </c>
      <c r="D1402">
        <v>9122</v>
      </c>
      <c r="E1402" t="s">
        <v>1030</v>
      </c>
      <c r="F1402" t="s">
        <v>457</v>
      </c>
      <c r="G1402" t="s">
        <v>11356</v>
      </c>
      <c r="H1402" s="26">
        <v>20724</v>
      </c>
      <c r="I1402" t="s">
        <v>58</v>
      </c>
      <c r="J1402" t="s">
        <v>11357</v>
      </c>
      <c r="M1402">
        <v>93220</v>
      </c>
      <c r="N1402" t="s">
        <v>662</v>
      </c>
      <c r="O1402" t="s">
        <v>61</v>
      </c>
      <c r="Q1402">
        <v>668298081</v>
      </c>
      <c r="R1402" t="s">
        <v>11358</v>
      </c>
      <c r="S1402" t="s">
        <v>63</v>
      </c>
      <c r="T1402" t="s">
        <v>64</v>
      </c>
      <c r="U1402" t="s">
        <v>65</v>
      </c>
      <c r="W1402" s="26">
        <v>45587</v>
      </c>
      <c r="X1402" t="s">
        <v>61</v>
      </c>
      <c r="Y1402" t="s">
        <v>237</v>
      </c>
    </row>
    <row r="1403" spans="1:25" x14ac:dyDescent="0.25">
      <c r="A1403" t="s">
        <v>4904</v>
      </c>
      <c r="B1403">
        <v>11</v>
      </c>
      <c r="C1403">
        <v>75</v>
      </c>
      <c r="D1403">
        <v>9070</v>
      </c>
      <c r="E1403" t="s">
        <v>168</v>
      </c>
      <c r="F1403" t="s">
        <v>4905</v>
      </c>
      <c r="G1403" t="s">
        <v>4906</v>
      </c>
      <c r="H1403" s="26">
        <v>33599</v>
      </c>
      <c r="I1403" t="s">
        <v>58</v>
      </c>
      <c r="J1403" t="s">
        <v>4907</v>
      </c>
      <c r="M1403">
        <v>92400</v>
      </c>
      <c r="N1403" t="s">
        <v>478</v>
      </c>
      <c r="O1403" t="s">
        <v>61</v>
      </c>
      <c r="Q1403">
        <v>605590090</v>
      </c>
      <c r="R1403" t="s">
        <v>9095</v>
      </c>
      <c r="S1403" t="s">
        <v>237</v>
      </c>
      <c r="T1403" t="s">
        <v>64</v>
      </c>
      <c r="U1403" t="s">
        <v>8684</v>
      </c>
      <c r="W1403" s="26">
        <v>45540</v>
      </c>
      <c r="X1403" t="s">
        <v>3895</v>
      </c>
      <c r="Y1403" t="s">
        <v>237</v>
      </c>
    </row>
    <row r="1404" spans="1:25" x14ac:dyDescent="0.25">
      <c r="A1404" t="s">
        <v>4908</v>
      </c>
      <c r="B1404">
        <v>11</v>
      </c>
      <c r="C1404">
        <v>95</v>
      </c>
      <c r="D1404">
        <v>9061</v>
      </c>
      <c r="E1404" t="s">
        <v>360</v>
      </c>
      <c r="F1404" t="s">
        <v>4909</v>
      </c>
      <c r="G1404" t="s">
        <v>4910</v>
      </c>
      <c r="H1404" s="26">
        <v>42264</v>
      </c>
      <c r="I1404" t="s">
        <v>58</v>
      </c>
      <c r="J1404" t="s">
        <v>4911</v>
      </c>
      <c r="M1404">
        <v>95810</v>
      </c>
      <c r="N1404" t="s">
        <v>2114</v>
      </c>
      <c r="O1404" t="s">
        <v>61</v>
      </c>
      <c r="Q1404">
        <v>662689667</v>
      </c>
      <c r="S1404" t="s">
        <v>63</v>
      </c>
      <c r="T1404" t="s">
        <v>2510</v>
      </c>
      <c r="U1404" t="s">
        <v>65</v>
      </c>
      <c r="W1404" s="26">
        <v>45548</v>
      </c>
      <c r="X1404" t="s">
        <v>61</v>
      </c>
      <c r="Y1404" t="s">
        <v>237</v>
      </c>
    </row>
    <row r="1405" spans="1:25" x14ac:dyDescent="0.25">
      <c r="A1405" t="s">
        <v>10209</v>
      </c>
      <c r="B1405">
        <v>11</v>
      </c>
      <c r="C1405">
        <v>95</v>
      </c>
      <c r="D1405">
        <v>9069</v>
      </c>
      <c r="E1405" t="s">
        <v>129</v>
      </c>
      <c r="F1405" t="s">
        <v>10211</v>
      </c>
      <c r="G1405" t="s">
        <v>10210</v>
      </c>
      <c r="H1405" s="26">
        <v>23223</v>
      </c>
      <c r="I1405" t="s">
        <v>58</v>
      </c>
      <c r="J1405" t="s">
        <v>10212</v>
      </c>
      <c r="M1405">
        <v>95220</v>
      </c>
      <c r="N1405" t="s">
        <v>1477</v>
      </c>
      <c r="O1405" t="s">
        <v>61</v>
      </c>
      <c r="Q1405">
        <v>774450754</v>
      </c>
      <c r="R1405" t="s">
        <v>10213</v>
      </c>
      <c r="S1405" t="s">
        <v>63</v>
      </c>
      <c r="T1405" t="s">
        <v>64</v>
      </c>
      <c r="U1405" t="s">
        <v>65</v>
      </c>
      <c r="W1405" s="26">
        <v>45567</v>
      </c>
      <c r="X1405" t="s">
        <v>61</v>
      </c>
      <c r="Y1405" t="s">
        <v>237</v>
      </c>
    </row>
    <row r="1406" spans="1:25" x14ac:dyDescent="0.25">
      <c r="A1406" t="s">
        <v>4912</v>
      </c>
      <c r="B1406">
        <v>11</v>
      </c>
      <c r="C1406">
        <v>75</v>
      </c>
      <c r="D1406">
        <v>9070</v>
      </c>
      <c r="E1406" t="s">
        <v>168</v>
      </c>
      <c r="F1406" t="s">
        <v>1299</v>
      </c>
      <c r="G1406" t="s">
        <v>3157</v>
      </c>
      <c r="H1406" s="26">
        <v>29915</v>
      </c>
      <c r="I1406" t="s">
        <v>58</v>
      </c>
      <c r="J1406" t="s">
        <v>4913</v>
      </c>
      <c r="M1406">
        <v>75005</v>
      </c>
      <c r="N1406" t="s">
        <v>330</v>
      </c>
      <c r="O1406" t="s">
        <v>61</v>
      </c>
      <c r="Q1406">
        <v>650187129</v>
      </c>
      <c r="R1406" t="s">
        <v>4914</v>
      </c>
      <c r="S1406" t="s">
        <v>63</v>
      </c>
      <c r="T1406" t="s">
        <v>64</v>
      </c>
      <c r="U1406" t="s">
        <v>8684</v>
      </c>
      <c r="W1406" s="26">
        <v>45545</v>
      </c>
      <c r="X1406" t="s">
        <v>61</v>
      </c>
      <c r="Y1406" t="s">
        <v>237</v>
      </c>
    </row>
    <row r="1407" spans="1:25" x14ac:dyDescent="0.25">
      <c r="A1407" t="s">
        <v>4916</v>
      </c>
      <c r="B1407">
        <v>11</v>
      </c>
      <c r="C1407">
        <v>78</v>
      </c>
      <c r="D1407">
        <v>9030</v>
      </c>
      <c r="E1407" t="s">
        <v>96</v>
      </c>
      <c r="F1407" t="s">
        <v>4917</v>
      </c>
      <c r="G1407" t="s">
        <v>4762</v>
      </c>
      <c r="H1407" s="26">
        <v>25793</v>
      </c>
      <c r="I1407" t="s">
        <v>16</v>
      </c>
      <c r="J1407" t="s">
        <v>4918</v>
      </c>
      <c r="M1407">
        <v>78180</v>
      </c>
      <c r="N1407" t="s">
        <v>1162</v>
      </c>
      <c r="O1407" t="s">
        <v>61</v>
      </c>
      <c r="P1407">
        <v>950132823</v>
      </c>
      <c r="Q1407">
        <v>661591615</v>
      </c>
      <c r="R1407" t="s">
        <v>4919</v>
      </c>
      <c r="S1407" t="s">
        <v>63</v>
      </c>
      <c r="T1407" t="s">
        <v>64</v>
      </c>
      <c r="U1407" t="s">
        <v>486</v>
      </c>
      <c r="W1407" s="26">
        <v>45548</v>
      </c>
      <c r="X1407" t="s">
        <v>61</v>
      </c>
      <c r="Y1407" t="s">
        <v>237</v>
      </c>
    </row>
    <row r="1408" spans="1:25" x14ac:dyDescent="0.25">
      <c r="A1408" t="s">
        <v>11359</v>
      </c>
      <c r="B1408">
        <v>11</v>
      </c>
      <c r="C1408">
        <v>92</v>
      </c>
      <c r="D1408">
        <v>9017</v>
      </c>
      <c r="E1408" t="s">
        <v>211</v>
      </c>
      <c r="F1408" t="s">
        <v>100</v>
      </c>
      <c r="G1408" t="s">
        <v>11360</v>
      </c>
      <c r="H1408" s="26">
        <v>21935</v>
      </c>
      <c r="I1408" t="s">
        <v>58</v>
      </c>
      <c r="J1408" t="s">
        <v>11361</v>
      </c>
      <c r="M1408">
        <v>92400</v>
      </c>
      <c r="N1408" t="s">
        <v>478</v>
      </c>
      <c r="O1408" t="s">
        <v>61</v>
      </c>
      <c r="P1408">
        <v>627893105</v>
      </c>
      <c r="R1408" t="s">
        <v>11362</v>
      </c>
      <c r="S1408" t="s">
        <v>63</v>
      </c>
      <c r="T1408" t="s">
        <v>64</v>
      </c>
      <c r="U1408" t="s">
        <v>65</v>
      </c>
      <c r="W1408" s="26">
        <v>45585</v>
      </c>
      <c r="X1408" t="s">
        <v>61</v>
      </c>
      <c r="Y1408" t="s">
        <v>237</v>
      </c>
    </row>
    <row r="1409" spans="1:25" x14ac:dyDescent="0.25">
      <c r="A1409" t="s">
        <v>4920</v>
      </c>
      <c r="B1409">
        <v>11</v>
      </c>
      <c r="C1409">
        <v>92</v>
      </c>
      <c r="D1409">
        <v>9068</v>
      </c>
      <c r="E1409" t="s">
        <v>119</v>
      </c>
      <c r="F1409" t="s">
        <v>4921</v>
      </c>
      <c r="G1409" t="s">
        <v>4922</v>
      </c>
      <c r="H1409" s="26">
        <v>28802</v>
      </c>
      <c r="I1409" t="s">
        <v>58</v>
      </c>
      <c r="J1409" t="s">
        <v>4923</v>
      </c>
      <c r="M1409">
        <v>92350</v>
      </c>
      <c r="N1409" t="s">
        <v>1394</v>
      </c>
      <c r="O1409" t="s">
        <v>61</v>
      </c>
      <c r="Q1409">
        <v>623546828</v>
      </c>
      <c r="R1409" t="s">
        <v>4924</v>
      </c>
      <c r="S1409" t="s">
        <v>63</v>
      </c>
      <c r="T1409" t="s">
        <v>64</v>
      </c>
      <c r="U1409" t="s">
        <v>8684</v>
      </c>
      <c r="W1409" s="26">
        <v>45544</v>
      </c>
      <c r="X1409" t="s">
        <v>61</v>
      </c>
      <c r="Y1409" t="s">
        <v>237</v>
      </c>
    </row>
    <row r="1410" spans="1:25" x14ac:dyDescent="0.25">
      <c r="A1410" t="s">
        <v>4925</v>
      </c>
      <c r="B1410">
        <v>11</v>
      </c>
      <c r="C1410">
        <v>95</v>
      </c>
      <c r="D1410">
        <v>9010</v>
      </c>
      <c r="E1410" t="s">
        <v>6</v>
      </c>
      <c r="F1410" t="s">
        <v>4926</v>
      </c>
      <c r="G1410" t="s">
        <v>4927</v>
      </c>
      <c r="H1410" s="26">
        <v>32493</v>
      </c>
      <c r="I1410" t="s">
        <v>58</v>
      </c>
      <c r="J1410" t="s">
        <v>4928</v>
      </c>
      <c r="M1410">
        <v>95870</v>
      </c>
      <c r="N1410" t="s">
        <v>2109</v>
      </c>
      <c r="O1410" t="s">
        <v>61</v>
      </c>
      <c r="R1410" t="s">
        <v>9096</v>
      </c>
      <c r="S1410" t="s">
        <v>63</v>
      </c>
      <c r="T1410" t="s">
        <v>64</v>
      </c>
      <c r="U1410" t="s">
        <v>8684</v>
      </c>
      <c r="W1410" s="26">
        <v>45526</v>
      </c>
      <c r="X1410" t="s">
        <v>61</v>
      </c>
      <c r="Y1410" t="s">
        <v>237</v>
      </c>
    </row>
    <row r="1411" spans="1:25" x14ac:dyDescent="0.25">
      <c r="A1411" t="s">
        <v>10934</v>
      </c>
      <c r="B1411">
        <v>11</v>
      </c>
      <c r="C1411">
        <v>95</v>
      </c>
      <c r="D1411">
        <v>9010</v>
      </c>
      <c r="E1411" t="s">
        <v>6</v>
      </c>
      <c r="F1411" t="s">
        <v>1396</v>
      </c>
      <c r="G1411" t="s">
        <v>10935</v>
      </c>
      <c r="H1411" s="26">
        <v>30215</v>
      </c>
      <c r="I1411" t="s">
        <v>58</v>
      </c>
      <c r="J1411" t="s">
        <v>10936</v>
      </c>
      <c r="M1411">
        <v>95100</v>
      </c>
      <c r="N1411" t="s">
        <v>311</v>
      </c>
      <c r="O1411" t="s">
        <v>61</v>
      </c>
      <c r="R1411" t="s">
        <v>10937</v>
      </c>
      <c r="S1411" t="s">
        <v>63</v>
      </c>
      <c r="T1411" t="s">
        <v>64</v>
      </c>
      <c r="U1411" t="s">
        <v>486</v>
      </c>
      <c r="W1411" s="26">
        <v>45574</v>
      </c>
      <c r="X1411" t="s">
        <v>61</v>
      </c>
      <c r="Y1411" t="s">
        <v>237</v>
      </c>
    </row>
    <row r="1412" spans="1:25" x14ac:dyDescent="0.25">
      <c r="A1412" t="s">
        <v>10938</v>
      </c>
      <c r="B1412">
        <v>11</v>
      </c>
      <c r="C1412">
        <v>95</v>
      </c>
      <c r="D1412">
        <v>9010</v>
      </c>
      <c r="E1412" t="s">
        <v>6</v>
      </c>
      <c r="F1412" t="s">
        <v>4713</v>
      </c>
      <c r="G1412" t="s">
        <v>10935</v>
      </c>
      <c r="H1412" s="26">
        <v>41647</v>
      </c>
      <c r="I1412" t="s">
        <v>58</v>
      </c>
      <c r="J1412" t="s">
        <v>10936</v>
      </c>
      <c r="M1412">
        <v>95100</v>
      </c>
      <c r="N1412" t="s">
        <v>311</v>
      </c>
      <c r="O1412" t="s">
        <v>61</v>
      </c>
      <c r="R1412" t="s">
        <v>10937</v>
      </c>
      <c r="S1412" t="s">
        <v>63</v>
      </c>
      <c r="T1412" t="s">
        <v>2510</v>
      </c>
      <c r="U1412" t="s">
        <v>486</v>
      </c>
      <c r="W1412" s="26">
        <v>45574</v>
      </c>
      <c r="X1412" t="s">
        <v>61</v>
      </c>
      <c r="Y1412" t="s">
        <v>237</v>
      </c>
    </row>
    <row r="1413" spans="1:25" x14ac:dyDescent="0.25">
      <c r="A1413" t="s">
        <v>10939</v>
      </c>
      <c r="B1413">
        <v>11</v>
      </c>
      <c r="C1413">
        <v>95</v>
      </c>
      <c r="D1413">
        <v>9010</v>
      </c>
      <c r="E1413" t="s">
        <v>6</v>
      </c>
      <c r="F1413" t="s">
        <v>289</v>
      </c>
      <c r="G1413" t="s">
        <v>10940</v>
      </c>
      <c r="H1413" s="26">
        <v>21584</v>
      </c>
      <c r="I1413" t="s">
        <v>58</v>
      </c>
      <c r="J1413" t="s">
        <v>10941</v>
      </c>
      <c r="M1413">
        <v>95240</v>
      </c>
      <c r="N1413" t="s">
        <v>1138</v>
      </c>
      <c r="O1413" t="s">
        <v>61</v>
      </c>
      <c r="R1413" t="s">
        <v>10942</v>
      </c>
      <c r="S1413" t="s">
        <v>63</v>
      </c>
      <c r="T1413" t="s">
        <v>64</v>
      </c>
      <c r="U1413" t="s">
        <v>8684</v>
      </c>
      <c r="W1413" s="26">
        <v>45574</v>
      </c>
      <c r="X1413" t="s">
        <v>61</v>
      </c>
      <c r="Y1413" t="s">
        <v>237</v>
      </c>
    </row>
    <row r="1414" spans="1:25" x14ac:dyDescent="0.25">
      <c r="A1414" t="s">
        <v>4931</v>
      </c>
      <c r="B1414">
        <v>11</v>
      </c>
      <c r="C1414">
        <v>95</v>
      </c>
      <c r="D1414">
        <v>9010</v>
      </c>
      <c r="E1414" t="s">
        <v>6</v>
      </c>
      <c r="F1414" t="s">
        <v>85</v>
      </c>
      <c r="G1414" t="s">
        <v>4932</v>
      </c>
      <c r="H1414" s="26">
        <v>21960</v>
      </c>
      <c r="I1414" t="s">
        <v>58</v>
      </c>
      <c r="J1414" t="s">
        <v>4933</v>
      </c>
      <c r="M1414">
        <v>78360</v>
      </c>
      <c r="N1414" t="s">
        <v>3208</v>
      </c>
      <c r="O1414" t="s">
        <v>61</v>
      </c>
      <c r="R1414" t="s">
        <v>4934</v>
      </c>
      <c r="S1414" t="s">
        <v>63</v>
      </c>
      <c r="T1414" t="s">
        <v>64</v>
      </c>
      <c r="U1414" t="s">
        <v>65</v>
      </c>
      <c r="W1414" s="26">
        <v>45524</v>
      </c>
      <c r="X1414" t="s">
        <v>61</v>
      </c>
      <c r="Y1414" t="s">
        <v>237</v>
      </c>
    </row>
    <row r="1415" spans="1:25" x14ac:dyDescent="0.25">
      <c r="A1415" t="s">
        <v>10943</v>
      </c>
      <c r="B1415">
        <v>11</v>
      </c>
      <c r="C1415">
        <v>77</v>
      </c>
      <c r="D1415">
        <v>9026</v>
      </c>
      <c r="E1415" t="s">
        <v>508</v>
      </c>
      <c r="F1415" t="s">
        <v>10944</v>
      </c>
      <c r="G1415" t="s">
        <v>10945</v>
      </c>
      <c r="H1415" s="26">
        <v>41732</v>
      </c>
      <c r="I1415" t="s">
        <v>58</v>
      </c>
      <c r="J1415" t="s">
        <v>10946</v>
      </c>
      <c r="M1415">
        <v>77390</v>
      </c>
      <c r="N1415" t="s">
        <v>1700</v>
      </c>
      <c r="O1415" t="s">
        <v>61</v>
      </c>
      <c r="R1415" t="s">
        <v>10947</v>
      </c>
      <c r="S1415" t="s">
        <v>237</v>
      </c>
      <c r="T1415" t="s">
        <v>2510</v>
      </c>
      <c r="U1415" t="s">
        <v>65</v>
      </c>
      <c r="W1415" s="26">
        <v>45576</v>
      </c>
      <c r="X1415" t="s">
        <v>61</v>
      </c>
      <c r="Y1415" t="s">
        <v>237</v>
      </c>
    </row>
    <row r="1416" spans="1:25" x14ac:dyDescent="0.25">
      <c r="A1416" t="s">
        <v>9977</v>
      </c>
      <c r="B1416">
        <v>11</v>
      </c>
      <c r="C1416">
        <v>92</v>
      </c>
      <c r="D1416">
        <v>9007</v>
      </c>
      <c r="E1416" t="s">
        <v>121</v>
      </c>
      <c r="F1416" t="s">
        <v>1005</v>
      </c>
      <c r="G1416" t="s">
        <v>9978</v>
      </c>
      <c r="H1416" s="26">
        <v>34759</v>
      </c>
      <c r="I1416" t="s">
        <v>58</v>
      </c>
      <c r="J1416" t="s">
        <v>9979</v>
      </c>
      <c r="M1416">
        <v>93400</v>
      </c>
      <c r="N1416" t="s">
        <v>9980</v>
      </c>
      <c r="O1416" t="s">
        <v>61</v>
      </c>
      <c r="R1416" t="s">
        <v>9981</v>
      </c>
      <c r="S1416" t="s">
        <v>63</v>
      </c>
      <c r="T1416" t="s">
        <v>64</v>
      </c>
      <c r="U1416" t="s">
        <v>486</v>
      </c>
      <c r="W1416" s="26">
        <v>45569</v>
      </c>
      <c r="X1416" t="s">
        <v>61</v>
      </c>
      <c r="Y1416" t="s">
        <v>237</v>
      </c>
    </row>
    <row r="1417" spans="1:25" x14ac:dyDescent="0.25">
      <c r="A1417" t="s">
        <v>4938</v>
      </c>
      <c r="B1417">
        <v>11</v>
      </c>
      <c r="C1417">
        <v>77</v>
      </c>
      <c r="D1417">
        <v>9059</v>
      </c>
      <c r="E1417" t="s">
        <v>197</v>
      </c>
      <c r="F1417" t="s">
        <v>204</v>
      </c>
      <c r="G1417" t="s">
        <v>4939</v>
      </c>
      <c r="H1417" s="26">
        <v>18520</v>
      </c>
      <c r="I1417" t="s">
        <v>58</v>
      </c>
      <c r="J1417" t="s">
        <v>4940</v>
      </c>
      <c r="M1417">
        <v>77340</v>
      </c>
      <c r="N1417" t="s">
        <v>201</v>
      </c>
      <c r="O1417" t="s">
        <v>61</v>
      </c>
      <c r="R1417" t="s">
        <v>4941</v>
      </c>
      <c r="S1417" t="s">
        <v>237</v>
      </c>
      <c r="T1417" t="s">
        <v>64</v>
      </c>
      <c r="U1417" t="s">
        <v>65</v>
      </c>
      <c r="W1417" s="26">
        <v>45554</v>
      </c>
      <c r="X1417" t="s">
        <v>61</v>
      </c>
      <c r="Y1417" t="s">
        <v>237</v>
      </c>
    </row>
    <row r="1418" spans="1:25" x14ac:dyDescent="0.25">
      <c r="A1418" t="s">
        <v>10145</v>
      </c>
      <c r="B1418">
        <v>11</v>
      </c>
      <c r="C1418">
        <v>77</v>
      </c>
      <c r="D1418">
        <v>9026</v>
      </c>
      <c r="E1418" t="s">
        <v>508</v>
      </c>
      <c r="F1418" t="s">
        <v>154</v>
      </c>
      <c r="G1418" t="s">
        <v>10146</v>
      </c>
      <c r="H1418" s="26">
        <v>22449</v>
      </c>
      <c r="I1418" t="s">
        <v>58</v>
      </c>
      <c r="J1418" t="s">
        <v>10147</v>
      </c>
      <c r="M1418">
        <v>77340</v>
      </c>
      <c r="N1418" t="s">
        <v>281</v>
      </c>
      <c r="O1418" t="s">
        <v>61</v>
      </c>
      <c r="R1418" t="s">
        <v>10148</v>
      </c>
      <c r="S1418" t="s">
        <v>237</v>
      </c>
      <c r="T1418" t="s">
        <v>64</v>
      </c>
      <c r="U1418" t="s">
        <v>65</v>
      </c>
      <c r="W1418" s="26">
        <v>45568</v>
      </c>
      <c r="X1418" t="s">
        <v>61</v>
      </c>
      <c r="Y1418" t="s">
        <v>237</v>
      </c>
    </row>
    <row r="1419" spans="1:25" x14ac:dyDescent="0.25">
      <c r="A1419" t="s">
        <v>4942</v>
      </c>
      <c r="B1419">
        <v>11</v>
      </c>
      <c r="C1419">
        <v>77</v>
      </c>
      <c r="D1419">
        <v>9059</v>
      </c>
      <c r="E1419" t="s">
        <v>197</v>
      </c>
      <c r="F1419" t="s">
        <v>137</v>
      </c>
      <c r="G1419" t="s">
        <v>1521</v>
      </c>
      <c r="H1419" s="26">
        <v>22412</v>
      </c>
      <c r="I1419" t="s">
        <v>58</v>
      </c>
      <c r="J1419" t="s">
        <v>4943</v>
      </c>
      <c r="K1419" t="s">
        <v>4944</v>
      </c>
      <c r="M1419">
        <v>77400</v>
      </c>
      <c r="N1419" t="s">
        <v>4945</v>
      </c>
      <c r="O1419" t="s">
        <v>61</v>
      </c>
      <c r="R1419" t="s">
        <v>4946</v>
      </c>
      <c r="S1419" t="s">
        <v>63</v>
      </c>
      <c r="T1419" t="s">
        <v>64</v>
      </c>
      <c r="U1419" t="s">
        <v>65</v>
      </c>
      <c r="W1419" s="26">
        <v>45537</v>
      </c>
      <c r="X1419" t="s">
        <v>61</v>
      </c>
      <c r="Y1419" t="s">
        <v>237</v>
      </c>
    </row>
    <row r="1420" spans="1:25" x14ac:dyDescent="0.25">
      <c r="A1420" t="s">
        <v>10948</v>
      </c>
      <c r="B1420">
        <v>11</v>
      </c>
      <c r="C1420">
        <v>95</v>
      </c>
      <c r="D1420">
        <v>9069</v>
      </c>
      <c r="E1420" t="s">
        <v>129</v>
      </c>
      <c r="F1420" t="s">
        <v>1499</v>
      </c>
      <c r="G1420" t="s">
        <v>10949</v>
      </c>
      <c r="H1420" s="26">
        <v>41330</v>
      </c>
      <c r="I1420" t="s">
        <v>58</v>
      </c>
      <c r="J1420" t="s">
        <v>10950</v>
      </c>
      <c r="M1420">
        <v>95610</v>
      </c>
      <c r="N1420" t="s">
        <v>1439</v>
      </c>
      <c r="O1420" t="s">
        <v>61</v>
      </c>
      <c r="P1420">
        <v>981272078</v>
      </c>
      <c r="Q1420">
        <v>758461765</v>
      </c>
      <c r="R1420" t="s">
        <v>10951</v>
      </c>
      <c r="S1420" t="s">
        <v>63</v>
      </c>
      <c r="T1420" t="s">
        <v>2510</v>
      </c>
      <c r="U1420" t="s">
        <v>65</v>
      </c>
      <c r="W1420" s="26">
        <v>45582</v>
      </c>
      <c r="X1420" t="s">
        <v>61</v>
      </c>
      <c r="Y1420" t="s">
        <v>237</v>
      </c>
    </row>
    <row r="1421" spans="1:25" x14ac:dyDescent="0.25">
      <c r="A1421" t="s">
        <v>4947</v>
      </c>
      <c r="B1421">
        <v>11</v>
      </c>
      <c r="C1421">
        <v>78</v>
      </c>
      <c r="D1421">
        <v>9030</v>
      </c>
      <c r="E1421" t="s">
        <v>96</v>
      </c>
      <c r="F1421" t="s">
        <v>1252</v>
      </c>
      <c r="G1421" t="s">
        <v>4948</v>
      </c>
      <c r="H1421" s="26">
        <v>23751</v>
      </c>
      <c r="I1421" t="s">
        <v>16</v>
      </c>
      <c r="J1421" t="s">
        <v>4918</v>
      </c>
      <c r="M1421">
        <v>78180</v>
      </c>
      <c r="N1421" t="s">
        <v>1162</v>
      </c>
      <c r="O1421" t="s">
        <v>61</v>
      </c>
      <c r="Q1421">
        <v>607809023</v>
      </c>
      <c r="R1421" t="s">
        <v>4949</v>
      </c>
      <c r="S1421" t="s">
        <v>63</v>
      </c>
      <c r="T1421" t="s">
        <v>64</v>
      </c>
      <c r="U1421" t="s">
        <v>486</v>
      </c>
      <c r="W1421" s="26">
        <v>45560</v>
      </c>
      <c r="X1421" t="s">
        <v>61</v>
      </c>
      <c r="Y1421" t="s">
        <v>237</v>
      </c>
    </row>
    <row r="1422" spans="1:25" x14ac:dyDescent="0.25">
      <c r="A1422" t="s">
        <v>4950</v>
      </c>
      <c r="B1422">
        <v>11</v>
      </c>
      <c r="C1422">
        <v>78</v>
      </c>
      <c r="D1422">
        <v>9052</v>
      </c>
      <c r="E1422" t="s">
        <v>337</v>
      </c>
      <c r="F1422" t="s">
        <v>4951</v>
      </c>
      <c r="G1422" t="s">
        <v>4483</v>
      </c>
      <c r="H1422" s="26">
        <v>22574</v>
      </c>
      <c r="I1422" t="s">
        <v>58</v>
      </c>
      <c r="J1422" t="s">
        <v>4952</v>
      </c>
      <c r="M1422">
        <v>92370</v>
      </c>
      <c r="N1422" t="s">
        <v>1968</v>
      </c>
      <c r="O1422" t="s">
        <v>61</v>
      </c>
      <c r="Q1422">
        <v>676001538</v>
      </c>
      <c r="R1422" t="s">
        <v>4953</v>
      </c>
      <c r="S1422" t="s">
        <v>63</v>
      </c>
      <c r="T1422" t="s">
        <v>64</v>
      </c>
      <c r="U1422" t="s">
        <v>65</v>
      </c>
      <c r="W1422" s="26">
        <v>45542</v>
      </c>
      <c r="X1422" t="s">
        <v>61</v>
      </c>
      <c r="Y1422" t="s">
        <v>237</v>
      </c>
    </row>
    <row r="1423" spans="1:25" x14ac:dyDescent="0.25">
      <c r="A1423" t="s">
        <v>4954</v>
      </c>
      <c r="B1423">
        <v>11</v>
      </c>
      <c r="C1423">
        <v>78</v>
      </c>
      <c r="D1423">
        <v>9056</v>
      </c>
      <c r="E1423" t="s">
        <v>214</v>
      </c>
      <c r="F1423" t="s">
        <v>800</v>
      </c>
      <c r="G1423" t="s">
        <v>4955</v>
      </c>
      <c r="H1423" s="26">
        <v>29233</v>
      </c>
      <c r="I1423" t="s">
        <v>58</v>
      </c>
      <c r="J1423" t="s">
        <v>4956</v>
      </c>
      <c r="M1423">
        <v>78000</v>
      </c>
      <c r="N1423" t="s">
        <v>1334</v>
      </c>
      <c r="O1423" t="s">
        <v>61</v>
      </c>
      <c r="Q1423">
        <v>629585524</v>
      </c>
      <c r="R1423" t="s">
        <v>4957</v>
      </c>
      <c r="S1423" t="s">
        <v>63</v>
      </c>
      <c r="T1423" t="s">
        <v>64</v>
      </c>
      <c r="U1423" t="s">
        <v>65</v>
      </c>
      <c r="W1423" s="26">
        <v>45555</v>
      </c>
      <c r="X1423" t="s">
        <v>61</v>
      </c>
      <c r="Y1423" t="s">
        <v>237</v>
      </c>
    </row>
    <row r="1424" spans="1:25" x14ac:dyDescent="0.25">
      <c r="A1424" t="s">
        <v>4958</v>
      </c>
      <c r="B1424">
        <v>11</v>
      </c>
      <c r="C1424">
        <v>95</v>
      </c>
      <c r="D1424">
        <v>9069</v>
      </c>
      <c r="E1424" t="s">
        <v>129</v>
      </c>
      <c r="F1424" t="s">
        <v>1277</v>
      </c>
      <c r="G1424" t="s">
        <v>4959</v>
      </c>
      <c r="H1424" s="26">
        <v>28475</v>
      </c>
      <c r="I1424" t="s">
        <v>16</v>
      </c>
      <c r="J1424" t="s">
        <v>4960</v>
      </c>
      <c r="M1424">
        <v>95130</v>
      </c>
      <c r="N1424" t="s">
        <v>878</v>
      </c>
      <c r="O1424" t="s">
        <v>61</v>
      </c>
      <c r="Q1424">
        <v>612727755</v>
      </c>
      <c r="R1424" t="s">
        <v>4961</v>
      </c>
      <c r="S1424" t="s">
        <v>63</v>
      </c>
      <c r="T1424" t="s">
        <v>64</v>
      </c>
      <c r="U1424" t="s">
        <v>8684</v>
      </c>
      <c r="W1424" s="26">
        <v>45562</v>
      </c>
      <c r="X1424" t="s">
        <v>61</v>
      </c>
      <c r="Y1424" t="s">
        <v>237</v>
      </c>
    </row>
    <row r="1425" spans="1:25" x14ac:dyDescent="0.25">
      <c r="A1425" t="s">
        <v>10952</v>
      </c>
      <c r="B1425">
        <v>11</v>
      </c>
      <c r="C1425">
        <v>92</v>
      </c>
      <c r="D1425">
        <v>9088</v>
      </c>
      <c r="E1425" t="s">
        <v>1</v>
      </c>
      <c r="F1425" t="s">
        <v>2996</v>
      </c>
      <c r="G1425" t="s">
        <v>10953</v>
      </c>
      <c r="H1425" s="26">
        <v>21596</v>
      </c>
      <c r="I1425" t="s">
        <v>58</v>
      </c>
      <c r="J1425" t="s">
        <v>10954</v>
      </c>
      <c r="M1425">
        <v>92110</v>
      </c>
      <c r="N1425" t="s">
        <v>135</v>
      </c>
      <c r="O1425" t="s">
        <v>61</v>
      </c>
      <c r="Q1425">
        <v>622359650</v>
      </c>
      <c r="R1425" t="s">
        <v>10955</v>
      </c>
      <c r="S1425" t="s">
        <v>63</v>
      </c>
      <c r="T1425" t="s">
        <v>64</v>
      </c>
      <c r="U1425" t="s">
        <v>65</v>
      </c>
      <c r="W1425" s="26">
        <v>45582</v>
      </c>
      <c r="X1425" t="s">
        <v>61</v>
      </c>
      <c r="Y1425" t="s">
        <v>237</v>
      </c>
    </row>
    <row r="1426" spans="1:25" x14ac:dyDescent="0.25">
      <c r="A1426" t="s">
        <v>10956</v>
      </c>
      <c r="B1426">
        <v>11</v>
      </c>
      <c r="C1426">
        <v>95</v>
      </c>
      <c r="D1426">
        <v>9010</v>
      </c>
      <c r="E1426" t="s">
        <v>6</v>
      </c>
      <c r="F1426" t="s">
        <v>723</v>
      </c>
      <c r="G1426" t="s">
        <v>10957</v>
      </c>
      <c r="H1426" s="26">
        <v>25563</v>
      </c>
      <c r="I1426" t="s">
        <v>58</v>
      </c>
      <c r="J1426" t="s">
        <v>10958</v>
      </c>
      <c r="M1426">
        <v>95100</v>
      </c>
      <c r="N1426" t="s">
        <v>311</v>
      </c>
      <c r="O1426" t="s">
        <v>61</v>
      </c>
      <c r="Q1426">
        <v>629129170</v>
      </c>
      <c r="R1426" t="s">
        <v>10959</v>
      </c>
      <c r="S1426" t="s">
        <v>63</v>
      </c>
      <c r="T1426" t="s">
        <v>64</v>
      </c>
      <c r="U1426" t="s">
        <v>65</v>
      </c>
      <c r="W1426" s="26">
        <v>45574</v>
      </c>
      <c r="X1426" t="s">
        <v>61</v>
      </c>
      <c r="Y1426" t="s">
        <v>237</v>
      </c>
    </row>
    <row r="1427" spans="1:25" x14ac:dyDescent="0.25">
      <c r="A1427" t="s">
        <v>10960</v>
      </c>
      <c r="B1427">
        <v>11</v>
      </c>
      <c r="C1427">
        <v>78</v>
      </c>
      <c r="D1427">
        <v>9016</v>
      </c>
      <c r="E1427" t="s">
        <v>362</v>
      </c>
      <c r="F1427" t="s">
        <v>189</v>
      </c>
      <c r="G1427" t="s">
        <v>10961</v>
      </c>
      <c r="H1427" s="26">
        <v>16964</v>
      </c>
      <c r="I1427" t="s">
        <v>58</v>
      </c>
      <c r="J1427" t="s">
        <v>10962</v>
      </c>
      <c r="M1427">
        <v>78820</v>
      </c>
      <c r="N1427" t="s">
        <v>2347</v>
      </c>
      <c r="O1427" t="s">
        <v>61</v>
      </c>
      <c r="Q1427">
        <v>660424341</v>
      </c>
      <c r="R1427" t="s">
        <v>10963</v>
      </c>
      <c r="S1427" t="s">
        <v>63</v>
      </c>
      <c r="T1427" t="s">
        <v>64</v>
      </c>
      <c r="U1427" t="s">
        <v>65</v>
      </c>
      <c r="W1427" s="26">
        <v>45576</v>
      </c>
      <c r="X1427" t="s">
        <v>61</v>
      </c>
      <c r="Y1427" t="s">
        <v>237</v>
      </c>
    </row>
    <row r="1428" spans="1:25" x14ac:dyDescent="0.25">
      <c r="A1428" t="s">
        <v>4963</v>
      </c>
      <c r="B1428">
        <v>11</v>
      </c>
      <c r="C1428">
        <v>77</v>
      </c>
      <c r="D1428">
        <v>9049</v>
      </c>
      <c r="E1428" t="s">
        <v>902</v>
      </c>
      <c r="F1428" t="s">
        <v>106</v>
      </c>
      <c r="G1428" t="s">
        <v>630</v>
      </c>
      <c r="H1428" s="26">
        <v>19098</v>
      </c>
      <c r="I1428" t="s">
        <v>58</v>
      </c>
      <c r="J1428" t="s">
        <v>9097</v>
      </c>
      <c r="M1428">
        <v>77320</v>
      </c>
      <c r="N1428" t="s">
        <v>4964</v>
      </c>
      <c r="O1428" t="s">
        <v>61</v>
      </c>
      <c r="Q1428">
        <v>648883734</v>
      </c>
      <c r="R1428" t="s">
        <v>4965</v>
      </c>
      <c r="S1428" t="s">
        <v>63</v>
      </c>
      <c r="T1428" t="s">
        <v>64</v>
      </c>
      <c r="U1428" t="s">
        <v>65</v>
      </c>
      <c r="W1428" s="26">
        <v>45524</v>
      </c>
      <c r="X1428" t="s">
        <v>61</v>
      </c>
      <c r="Y1428" t="s">
        <v>237</v>
      </c>
    </row>
    <row r="1429" spans="1:25" x14ac:dyDescent="0.25">
      <c r="A1429" t="s">
        <v>4966</v>
      </c>
      <c r="B1429">
        <v>11</v>
      </c>
      <c r="C1429">
        <v>95</v>
      </c>
      <c r="D1429">
        <v>9069</v>
      </c>
      <c r="E1429" t="s">
        <v>129</v>
      </c>
      <c r="F1429" t="s">
        <v>4967</v>
      </c>
      <c r="G1429" t="s">
        <v>4968</v>
      </c>
      <c r="H1429" s="26">
        <v>27777</v>
      </c>
      <c r="I1429" t="s">
        <v>58</v>
      </c>
      <c r="J1429" t="s">
        <v>4969</v>
      </c>
      <c r="M1429">
        <v>95330</v>
      </c>
      <c r="N1429" t="s">
        <v>2304</v>
      </c>
      <c r="O1429" t="s">
        <v>61</v>
      </c>
      <c r="Q1429">
        <v>607018867</v>
      </c>
      <c r="R1429" t="s">
        <v>4970</v>
      </c>
      <c r="S1429" t="s">
        <v>63</v>
      </c>
      <c r="T1429" t="s">
        <v>64</v>
      </c>
      <c r="U1429" t="s">
        <v>8684</v>
      </c>
      <c r="W1429" s="26">
        <v>45542</v>
      </c>
      <c r="X1429" t="s">
        <v>61</v>
      </c>
      <c r="Y1429" t="s">
        <v>237</v>
      </c>
    </row>
    <row r="1430" spans="1:25" x14ac:dyDescent="0.25">
      <c r="A1430" t="s">
        <v>4971</v>
      </c>
      <c r="B1430">
        <v>11</v>
      </c>
      <c r="C1430">
        <v>78</v>
      </c>
      <c r="D1430">
        <v>9084</v>
      </c>
      <c r="E1430" t="s">
        <v>216</v>
      </c>
      <c r="F1430" t="s">
        <v>100</v>
      </c>
      <c r="G1430" t="s">
        <v>4972</v>
      </c>
      <c r="H1430" s="26">
        <v>17834</v>
      </c>
      <c r="I1430" t="s">
        <v>58</v>
      </c>
      <c r="J1430" t="s">
        <v>4973</v>
      </c>
      <c r="M1430">
        <v>78540</v>
      </c>
      <c r="N1430" t="s">
        <v>1059</v>
      </c>
      <c r="O1430" t="s">
        <v>61</v>
      </c>
      <c r="Q1430">
        <v>607417628</v>
      </c>
      <c r="S1430" t="s">
        <v>63</v>
      </c>
      <c r="T1430" t="s">
        <v>64</v>
      </c>
      <c r="U1430" t="s">
        <v>65</v>
      </c>
      <c r="W1430" s="26">
        <v>45545</v>
      </c>
      <c r="X1430" t="s">
        <v>61</v>
      </c>
      <c r="Y1430" t="s">
        <v>237</v>
      </c>
    </row>
    <row r="1431" spans="1:25" x14ac:dyDescent="0.25">
      <c r="A1431" t="s">
        <v>4974</v>
      </c>
      <c r="B1431">
        <v>11</v>
      </c>
      <c r="C1431">
        <v>92</v>
      </c>
      <c r="D1431">
        <v>9065</v>
      </c>
      <c r="E1431" t="s">
        <v>426</v>
      </c>
      <c r="F1431" t="s">
        <v>4915</v>
      </c>
      <c r="G1431" t="s">
        <v>4975</v>
      </c>
      <c r="H1431" s="26">
        <v>34475</v>
      </c>
      <c r="I1431" t="s">
        <v>58</v>
      </c>
      <c r="J1431" t="s">
        <v>4976</v>
      </c>
      <c r="M1431">
        <v>91160</v>
      </c>
      <c r="N1431" t="s">
        <v>809</v>
      </c>
      <c r="O1431" t="s">
        <v>61</v>
      </c>
      <c r="Q1431">
        <v>752508125</v>
      </c>
      <c r="R1431" t="s">
        <v>9098</v>
      </c>
      <c r="S1431" t="s">
        <v>63</v>
      </c>
      <c r="T1431" t="s">
        <v>64</v>
      </c>
      <c r="U1431" t="s">
        <v>486</v>
      </c>
      <c r="W1431" s="26">
        <v>45552</v>
      </c>
      <c r="X1431" t="s">
        <v>61</v>
      </c>
      <c r="Y1431" t="s">
        <v>237</v>
      </c>
    </row>
    <row r="1432" spans="1:25" x14ac:dyDescent="0.25">
      <c r="A1432" t="s">
        <v>11363</v>
      </c>
      <c r="B1432">
        <v>11</v>
      </c>
      <c r="C1432">
        <v>92</v>
      </c>
      <c r="D1432">
        <v>9032</v>
      </c>
      <c r="E1432" t="s">
        <v>102</v>
      </c>
      <c r="F1432" t="s">
        <v>103</v>
      </c>
      <c r="G1432" t="s">
        <v>11364</v>
      </c>
      <c r="H1432" s="26">
        <v>21989</v>
      </c>
      <c r="I1432" t="s">
        <v>58</v>
      </c>
      <c r="J1432" t="s">
        <v>11365</v>
      </c>
      <c r="M1432">
        <v>92140</v>
      </c>
      <c r="N1432" t="s">
        <v>1380</v>
      </c>
      <c r="O1432" t="s">
        <v>61</v>
      </c>
      <c r="Q1432">
        <v>620492579</v>
      </c>
      <c r="R1432" t="s">
        <v>11366</v>
      </c>
      <c r="S1432" t="s">
        <v>63</v>
      </c>
      <c r="T1432" t="s">
        <v>64</v>
      </c>
      <c r="U1432" t="s">
        <v>65</v>
      </c>
      <c r="W1432" s="26">
        <v>45588</v>
      </c>
      <c r="X1432" t="s">
        <v>61</v>
      </c>
      <c r="Y1432" t="s">
        <v>237</v>
      </c>
    </row>
    <row r="1433" spans="1:25" x14ac:dyDescent="0.25">
      <c r="A1433" t="s">
        <v>4977</v>
      </c>
      <c r="B1433">
        <v>11</v>
      </c>
      <c r="C1433">
        <v>91</v>
      </c>
      <c r="D1433">
        <v>9025</v>
      </c>
      <c r="E1433" t="s">
        <v>188</v>
      </c>
      <c r="F1433" t="s">
        <v>820</v>
      </c>
      <c r="G1433" t="s">
        <v>4978</v>
      </c>
      <c r="H1433" s="26">
        <v>24707</v>
      </c>
      <c r="I1433" t="s">
        <v>58</v>
      </c>
      <c r="J1433" t="s">
        <v>4979</v>
      </c>
      <c r="M1433">
        <v>91800</v>
      </c>
      <c r="N1433" t="s">
        <v>3790</v>
      </c>
      <c r="O1433" t="s">
        <v>61</v>
      </c>
      <c r="Q1433">
        <v>650007211</v>
      </c>
      <c r="R1433" t="s">
        <v>4980</v>
      </c>
      <c r="S1433" t="s">
        <v>63</v>
      </c>
      <c r="T1433" t="s">
        <v>64</v>
      </c>
      <c r="U1433" t="s">
        <v>486</v>
      </c>
      <c r="W1433" s="26">
        <v>45545</v>
      </c>
      <c r="X1433" t="s">
        <v>61</v>
      </c>
      <c r="Y1433" t="s">
        <v>237</v>
      </c>
    </row>
    <row r="1434" spans="1:25" x14ac:dyDescent="0.25">
      <c r="A1434" t="s">
        <v>10964</v>
      </c>
      <c r="B1434">
        <v>11</v>
      </c>
      <c r="C1434">
        <v>92</v>
      </c>
      <c r="D1434">
        <v>9068</v>
      </c>
      <c r="E1434" t="s">
        <v>119</v>
      </c>
      <c r="F1434" t="s">
        <v>10965</v>
      </c>
      <c r="G1434" t="s">
        <v>10966</v>
      </c>
      <c r="H1434" s="26">
        <v>24718</v>
      </c>
      <c r="I1434" t="s">
        <v>16</v>
      </c>
      <c r="J1434" t="s">
        <v>10967</v>
      </c>
      <c r="M1434">
        <v>92320</v>
      </c>
      <c r="N1434" t="s">
        <v>228</v>
      </c>
      <c r="O1434" t="s">
        <v>61</v>
      </c>
      <c r="Q1434">
        <v>668661707</v>
      </c>
      <c r="R1434" t="s">
        <v>10968</v>
      </c>
      <c r="S1434" t="s">
        <v>63</v>
      </c>
      <c r="T1434" t="s">
        <v>64</v>
      </c>
      <c r="U1434" t="s">
        <v>65</v>
      </c>
      <c r="W1434" s="26">
        <v>45579</v>
      </c>
      <c r="X1434" t="s">
        <v>61</v>
      </c>
      <c r="Y1434" t="s">
        <v>237</v>
      </c>
    </row>
    <row r="1435" spans="1:25" x14ac:dyDescent="0.25">
      <c r="A1435" t="s">
        <v>10969</v>
      </c>
      <c r="B1435">
        <v>11</v>
      </c>
      <c r="C1435">
        <v>92</v>
      </c>
      <c r="D1435">
        <v>9068</v>
      </c>
      <c r="E1435" t="s">
        <v>119</v>
      </c>
      <c r="F1435" t="s">
        <v>10970</v>
      </c>
      <c r="G1435" t="s">
        <v>10971</v>
      </c>
      <c r="H1435" s="26">
        <v>30245</v>
      </c>
      <c r="I1435" t="s">
        <v>16</v>
      </c>
      <c r="J1435" t="s">
        <v>10972</v>
      </c>
      <c r="M1435">
        <v>92320</v>
      </c>
      <c r="N1435" t="s">
        <v>228</v>
      </c>
      <c r="O1435" t="s">
        <v>61</v>
      </c>
      <c r="Q1435">
        <v>751416890</v>
      </c>
      <c r="R1435" t="s">
        <v>10973</v>
      </c>
      <c r="S1435" t="s">
        <v>63</v>
      </c>
      <c r="T1435" t="s">
        <v>64</v>
      </c>
      <c r="U1435" t="s">
        <v>65</v>
      </c>
      <c r="W1435" s="26">
        <v>45579</v>
      </c>
      <c r="X1435" t="s">
        <v>61</v>
      </c>
      <c r="Y1435" t="s">
        <v>237</v>
      </c>
    </row>
    <row r="1436" spans="1:25" x14ac:dyDescent="0.25">
      <c r="A1436" t="s">
        <v>4981</v>
      </c>
      <c r="B1436">
        <v>11</v>
      </c>
      <c r="C1436">
        <v>94</v>
      </c>
      <c r="D1436">
        <v>9024</v>
      </c>
      <c r="E1436" t="s">
        <v>4</v>
      </c>
      <c r="F1436" t="s">
        <v>85</v>
      </c>
      <c r="G1436" t="s">
        <v>4982</v>
      </c>
      <c r="H1436" s="26">
        <v>20604</v>
      </c>
      <c r="I1436" t="s">
        <v>58</v>
      </c>
      <c r="J1436" t="s">
        <v>4983</v>
      </c>
      <c r="M1436">
        <v>94360</v>
      </c>
      <c r="N1436" t="s">
        <v>2430</v>
      </c>
      <c r="O1436" t="s">
        <v>61</v>
      </c>
      <c r="Q1436">
        <v>662444737</v>
      </c>
      <c r="R1436" t="s">
        <v>4984</v>
      </c>
      <c r="S1436" t="s">
        <v>63</v>
      </c>
      <c r="T1436" t="s">
        <v>64</v>
      </c>
      <c r="U1436" t="s">
        <v>65</v>
      </c>
      <c r="W1436" s="26">
        <v>45555</v>
      </c>
      <c r="X1436" t="s">
        <v>61</v>
      </c>
      <c r="Y1436" t="s">
        <v>237</v>
      </c>
    </row>
    <row r="1437" spans="1:25" x14ac:dyDescent="0.25">
      <c r="A1437" t="s">
        <v>4985</v>
      </c>
      <c r="B1437">
        <v>11</v>
      </c>
      <c r="C1437">
        <v>92</v>
      </c>
      <c r="D1437">
        <v>9007</v>
      </c>
      <c r="E1437" t="s">
        <v>121</v>
      </c>
      <c r="F1437" t="s">
        <v>4986</v>
      </c>
      <c r="G1437" t="s">
        <v>4987</v>
      </c>
      <c r="H1437" s="26">
        <v>21326</v>
      </c>
      <c r="I1437" t="s">
        <v>58</v>
      </c>
      <c r="J1437" t="s">
        <v>4988</v>
      </c>
      <c r="M1437">
        <v>92700</v>
      </c>
      <c r="N1437" t="s">
        <v>151</v>
      </c>
      <c r="O1437" t="s">
        <v>61</v>
      </c>
      <c r="R1437" t="s">
        <v>4989</v>
      </c>
      <c r="S1437" t="s">
        <v>63</v>
      </c>
      <c r="T1437" t="s">
        <v>64</v>
      </c>
      <c r="U1437" t="s">
        <v>65</v>
      </c>
      <c r="W1437" s="26">
        <v>45561</v>
      </c>
      <c r="X1437" t="s">
        <v>3198</v>
      </c>
      <c r="Y1437" t="s">
        <v>237</v>
      </c>
    </row>
    <row r="1438" spans="1:25" x14ac:dyDescent="0.25">
      <c r="A1438" t="s">
        <v>4990</v>
      </c>
      <c r="B1438">
        <v>11</v>
      </c>
      <c r="C1438">
        <v>94</v>
      </c>
      <c r="D1438">
        <v>9045</v>
      </c>
      <c r="E1438" t="s">
        <v>1234</v>
      </c>
      <c r="F1438" t="s">
        <v>4991</v>
      </c>
      <c r="G1438" t="s">
        <v>2695</v>
      </c>
      <c r="H1438" s="26">
        <v>36403</v>
      </c>
      <c r="I1438" t="s">
        <v>58</v>
      </c>
      <c r="J1438" t="s">
        <v>9099</v>
      </c>
      <c r="M1438">
        <v>75013</v>
      </c>
      <c r="N1438" t="s">
        <v>330</v>
      </c>
      <c r="O1438" t="s">
        <v>61</v>
      </c>
      <c r="Q1438">
        <v>767427799</v>
      </c>
      <c r="R1438" t="s">
        <v>4992</v>
      </c>
      <c r="S1438" t="s">
        <v>63</v>
      </c>
      <c r="T1438" t="s">
        <v>64</v>
      </c>
      <c r="U1438" t="s">
        <v>8684</v>
      </c>
      <c r="W1438" s="26">
        <v>45540</v>
      </c>
      <c r="X1438" t="s">
        <v>61</v>
      </c>
      <c r="Y1438" t="s">
        <v>237</v>
      </c>
    </row>
    <row r="1439" spans="1:25" x14ac:dyDescent="0.25">
      <c r="A1439" t="s">
        <v>4993</v>
      </c>
      <c r="B1439">
        <v>11</v>
      </c>
      <c r="C1439">
        <v>93</v>
      </c>
      <c r="D1439">
        <v>9060</v>
      </c>
      <c r="E1439" t="s">
        <v>203</v>
      </c>
      <c r="F1439" t="s">
        <v>160</v>
      </c>
      <c r="G1439" t="s">
        <v>1454</v>
      </c>
      <c r="H1439" s="26">
        <v>21441</v>
      </c>
      <c r="I1439" t="s">
        <v>58</v>
      </c>
      <c r="J1439" t="s">
        <v>4994</v>
      </c>
      <c r="M1439">
        <v>93190</v>
      </c>
      <c r="N1439" t="s">
        <v>205</v>
      </c>
      <c r="O1439" t="s">
        <v>61</v>
      </c>
      <c r="Q1439">
        <v>609597749</v>
      </c>
      <c r="R1439" t="s">
        <v>4995</v>
      </c>
      <c r="S1439" t="s">
        <v>63</v>
      </c>
      <c r="T1439" t="s">
        <v>64</v>
      </c>
      <c r="U1439" t="s">
        <v>65</v>
      </c>
      <c r="W1439" s="26">
        <v>45546</v>
      </c>
      <c r="X1439" t="s">
        <v>61</v>
      </c>
      <c r="Y1439" t="s">
        <v>237</v>
      </c>
    </row>
    <row r="1440" spans="1:25" x14ac:dyDescent="0.25">
      <c r="A1440" t="s">
        <v>4996</v>
      </c>
      <c r="B1440">
        <v>11</v>
      </c>
      <c r="C1440">
        <v>95</v>
      </c>
      <c r="D1440">
        <v>9010</v>
      </c>
      <c r="E1440" t="s">
        <v>6</v>
      </c>
      <c r="F1440" t="s">
        <v>3891</v>
      </c>
      <c r="G1440" t="s">
        <v>4997</v>
      </c>
      <c r="H1440" s="26">
        <v>33801</v>
      </c>
      <c r="I1440" t="s">
        <v>58</v>
      </c>
      <c r="J1440" t="s">
        <v>4998</v>
      </c>
      <c r="M1440">
        <v>92500</v>
      </c>
      <c r="N1440" t="s">
        <v>122</v>
      </c>
      <c r="O1440" t="s">
        <v>61</v>
      </c>
      <c r="P1440">
        <v>665924896</v>
      </c>
      <c r="Q1440">
        <v>665924896</v>
      </c>
      <c r="R1440" t="s">
        <v>4999</v>
      </c>
      <c r="S1440" t="s">
        <v>63</v>
      </c>
      <c r="T1440" t="s">
        <v>64</v>
      </c>
      <c r="U1440" t="s">
        <v>486</v>
      </c>
      <c r="W1440" s="26">
        <v>45545</v>
      </c>
      <c r="X1440" t="s">
        <v>2726</v>
      </c>
      <c r="Y1440" t="s">
        <v>237</v>
      </c>
    </row>
    <row r="1441" spans="1:25" x14ac:dyDescent="0.25">
      <c r="A1441" t="s">
        <v>5000</v>
      </c>
      <c r="B1441">
        <v>11</v>
      </c>
      <c r="C1441">
        <v>91</v>
      </c>
      <c r="D1441">
        <v>9009</v>
      </c>
      <c r="E1441" t="s">
        <v>159</v>
      </c>
      <c r="F1441" t="s">
        <v>448</v>
      </c>
      <c r="G1441" t="s">
        <v>5001</v>
      </c>
      <c r="H1441" s="26">
        <v>22020</v>
      </c>
      <c r="I1441" t="s">
        <v>58</v>
      </c>
      <c r="J1441" t="s">
        <v>5002</v>
      </c>
      <c r="M1441">
        <v>91390</v>
      </c>
      <c r="N1441" t="s">
        <v>429</v>
      </c>
      <c r="O1441" t="s">
        <v>61</v>
      </c>
      <c r="P1441">
        <v>160154267</v>
      </c>
      <c r="Q1441">
        <v>783393714</v>
      </c>
      <c r="R1441" t="s">
        <v>5003</v>
      </c>
      <c r="S1441" t="s">
        <v>63</v>
      </c>
      <c r="T1441" t="s">
        <v>64</v>
      </c>
      <c r="U1441" t="s">
        <v>65</v>
      </c>
      <c r="W1441" s="26">
        <v>45553</v>
      </c>
      <c r="X1441" t="s">
        <v>61</v>
      </c>
      <c r="Y1441" t="s">
        <v>237</v>
      </c>
    </row>
    <row r="1442" spans="1:25" x14ac:dyDescent="0.25">
      <c r="A1442" t="s">
        <v>5004</v>
      </c>
      <c r="B1442">
        <v>11</v>
      </c>
      <c r="C1442">
        <v>91</v>
      </c>
      <c r="D1442">
        <v>9025</v>
      </c>
      <c r="E1442" t="s">
        <v>188</v>
      </c>
      <c r="F1442" t="s">
        <v>5005</v>
      </c>
      <c r="G1442" t="s">
        <v>5006</v>
      </c>
      <c r="H1442" s="26">
        <v>41084</v>
      </c>
      <c r="I1442" t="s">
        <v>58</v>
      </c>
      <c r="J1442" t="s">
        <v>5007</v>
      </c>
      <c r="M1442">
        <v>91100</v>
      </c>
      <c r="N1442" t="s">
        <v>1427</v>
      </c>
      <c r="O1442" t="s">
        <v>61</v>
      </c>
      <c r="Q1442">
        <v>651544065</v>
      </c>
      <c r="R1442" t="s">
        <v>5008</v>
      </c>
      <c r="S1442" t="s">
        <v>63</v>
      </c>
      <c r="T1442" t="s">
        <v>2510</v>
      </c>
      <c r="U1442" t="s">
        <v>486</v>
      </c>
      <c r="W1442" s="26">
        <v>45564</v>
      </c>
      <c r="X1442" t="s">
        <v>61</v>
      </c>
      <c r="Y1442" t="s">
        <v>237</v>
      </c>
    </row>
    <row r="1443" spans="1:25" x14ac:dyDescent="0.25">
      <c r="A1443" t="s">
        <v>5009</v>
      </c>
      <c r="B1443">
        <v>11</v>
      </c>
      <c r="C1443">
        <v>78</v>
      </c>
      <c r="D1443">
        <v>9038</v>
      </c>
      <c r="E1443" t="s">
        <v>484</v>
      </c>
      <c r="F1443" t="s">
        <v>5010</v>
      </c>
      <c r="G1443" t="s">
        <v>4440</v>
      </c>
      <c r="H1443" s="26">
        <v>19211</v>
      </c>
      <c r="I1443" t="s">
        <v>58</v>
      </c>
      <c r="J1443" t="s">
        <v>5011</v>
      </c>
      <c r="M1443">
        <v>95300</v>
      </c>
      <c r="N1443" t="s">
        <v>1977</v>
      </c>
      <c r="O1443" t="s">
        <v>61</v>
      </c>
      <c r="R1443" t="s">
        <v>5012</v>
      </c>
      <c r="S1443" t="s">
        <v>63</v>
      </c>
      <c r="T1443" t="s">
        <v>64</v>
      </c>
      <c r="U1443" t="s">
        <v>65</v>
      </c>
      <c r="W1443" s="26">
        <v>45561</v>
      </c>
      <c r="X1443" t="s">
        <v>61</v>
      </c>
      <c r="Y1443" t="s">
        <v>237</v>
      </c>
    </row>
    <row r="1444" spans="1:25" x14ac:dyDescent="0.25">
      <c r="A1444" t="s">
        <v>10974</v>
      </c>
      <c r="B1444">
        <v>11</v>
      </c>
      <c r="C1444">
        <v>78</v>
      </c>
      <c r="D1444">
        <v>9038</v>
      </c>
      <c r="E1444" t="s">
        <v>484</v>
      </c>
      <c r="F1444" t="s">
        <v>56</v>
      </c>
      <c r="G1444" t="s">
        <v>10975</v>
      </c>
      <c r="H1444" s="26">
        <v>19690</v>
      </c>
      <c r="I1444" t="s">
        <v>58</v>
      </c>
      <c r="J1444" t="s">
        <v>10976</v>
      </c>
      <c r="M1444">
        <v>95300</v>
      </c>
      <c r="N1444" t="s">
        <v>1977</v>
      </c>
      <c r="O1444" t="s">
        <v>61</v>
      </c>
      <c r="Q1444">
        <v>637192212</v>
      </c>
      <c r="R1444" t="s">
        <v>10977</v>
      </c>
      <c r="S1444" t="s">
        <v>63</v>
      </c>
      <c r="T1444" t="s">
        <v>64</v>
      </c>
      <c r="U1444" t="s">
        <v>65</v>
      </c>
      <c r="W1444" s="26">
        <v>45579</v>
      </c>
      <c r="X1444" t="s">
        <v>61</v>
      </c>
      <c r="Y1444" t="s">
        <v>237</v>
      </c>
    </row>
    <row r="1445" spans="1:25" x14ac:dyDescent="0.25">
      <c r="A1445" t="s">
        <v>9961</v>
      </c>
      <c r="B1445">
        <v>11</v>
      </c>
      <c r="C1445">
        <v>77</v>
      </c>
      <c r="D1445">
        <v>9077</v>
      </c>
      <c r="E1445" t="s">
        <v>90</v>
      </c>
      <c r="F1445" t="s">
        <v>204</v>
      </c>
      <c r="G1445" t="s">
        <v>9962</v>
      </c>
      <c r="H1445" s="26">
        <v>15919</v>
      </c>
      <c r="I1445" t="s">
        <v>58</v>
      </c>
      <c r="J1445" t="s">
        <v>9963</v>
      </c>
      <c r="M1445">
        <v>77169</v>
      </c>
      <c r="N1445" t="s">
        <v>94</v>
      </c>
      <c r="O1445" t="s">
        <v>61</v>
      </c>
      <c r="P1445">
        <v>164033552</v>
      </c>
      <c r="Q1445">
        <v>603327688</v>
      </c>
      <c r="S1445" t="s">
        <v>63</v>
      </c>
      <c r="T1445" t="s">
        <v>64</v>
      </c>
      <c r="U1445" t="s">
        <v>65</v>
      </c>
      <c r="W1445" s="26">
        <v>45570</v>
      </c>
      <c r="X1445" t="s">
        <v>61</v>
      </c>
      <c r="Y1445" t="s">
        <v>237</v>
      </c>
    </row>
    <row r="1446" spans="1:25" x14ac:dyDescent="0.25">
      <c r="A1446" t="s">
        <v>10978</v>
      </c>
      <c r="B1446">
        <v>11</v>
      </c>
      <c r="C1446">
        <v>77</v>
      </c>
      <c r="D1446">
        <v>9077</v>
      </c>
      <c r="E1446" t="s">
        <v>90</v>
      </c>
      <c r="F1446" t="s">
        <v>137</v>
      </c>
      <c r="G1446" t="s">
        <v>10979</v>
      </c>
      <c r="H1446" s="26">
        <v>18733</v>
      </c>
      <c r="I1446" t="s">
        <v>58</v>
      </c>
      <c r="J1446" t="s">
        <v>10980</v>
      </c>
      <c r="M1446">
        <v>77120</v>
      </c>
      <c r="N1446" t="s">
        <v>10981</v>
      </c>
      <c r="O1446" t="s">
        <v>61</v>
      </c>
      <c r="P1446">
        <v>164752730</v>
      </c>
      <c r="Q1446">
        <v>607413705</v>
      </c>
      <c r="R1446" t="s">
        <v>10982</v>
      </c>
      <c r="S1446" t="s">
        <v>63</v>
      </c>
      <c r="T1446" t="s">
        <v>64</v>
      </c>
      <c r="U1446" t="s">
        <v>65</v>
      </c>
      <c r="W1446" s="26">
        <v>45583</v>
      </c>
      <c r="X1446" t="s">
        <v>61</v>
      </c>
      <c r="Y1446" t="s">
        <v>237</v>
      </c>
    </row>
    <row r="1447" spans="1:25" x14ac:dyDescent="0.25">
      <c r="A1447" t="s">
        <v>10983</v>
      </c>
      <c r="B1447">
        <v>11</v>
      </c>
      <c r="C1447">
        <v>77</v>
      </c>
      <c r="D1447">
        <v>9077</v>
      </c>
      <c r="E1447" t="s">
        <v>90</v>
      </c>
      <c r="F1447" t="s">
        <v>1586</v>
      </c>
      <c r="G1447" t="s">
        <v>10979</v>
      </c>
      <c r="H1447" s="26">
        <v>31441</v>
      </c>
      <c r="I1447" t="s">
        <v>58</v>
      </c>
      <c r="J1447" t="s">
        <v>10980</v>
      </c>
      <c r="M1447">
        <v>77120</v>
      </c>
      <c r="N1447" t="s">
        <v>10981</v>
      </c>
      <c r="O1447" t="s">
        <v>61</v>
      </c>
      <c r="P1447">
        <v>164752730</v>
      </c>
      <c r="Q1447">
        <v>663764049</v>
      </c>
      <c r="R1447" t="s">
        <v>10984</v>
      </c>
      <c r="S1447" t="s">
        <v>63</v>
      </c>
      <c r="T1447" t="s">
        <v>64</v>
      </c>
      <c r="U1447" t="s">
        <v>65</v>
      </c>
      <c r="W1447" s="26">
        <v>45583</v>
      </c>
      <c r="X1447" t="s">
        <v>61</v>
      </c>
      <c r="Y1447" t="s">
        <v>237</v>
      </c>
    </row>
    <row r="1448" spans="1:25" x14ac:dyDescent="0.25">
      <c r="A1448" t="s">
        <v>5013</v>
      </c>
      <c r="B1448">
        <v>11</v>
      </c>
      <c r="C1448">
        <v>78</v>
      </c>
      <c r="D1448">
        <v>9030</v>
      </c>
      <c r="E1448" t="s">
        <v>96</v>
      </c>
      <c r="F1448" t="s">
        <v>1512</v>
      </c>
      <c r="G1448" t="s">
        <v>5014</v>
      </c>
      <c r="H1448" s="26">
        <v>32233</v>
      </c>
      <c r="I1448" t="s">
        <v>58</v>
      </c>
      <c r="J1448" t="s">
        <v>3203</v>
      </c>
      <c r="M1448">
        <v>78460</v>
      </c>
      <c r="N1448" t="s">
        <v>1744</v>
      </c>
      <c r="O1448" t="s">
        <v>61</v>
      </c>
      <c r="Q1448">
        <v>777984226</v>
      </c>
      <c r="R1448" t="s">
        <v>5015</v>
      </c>
      <c r="S1448" t="s">
        <v>63</v>
      </c>
      <c r="T1448" t="s">
        <v>64</v>
      </c>
      <c r="U1448" t="s">
        <v>486</v>
      </c>
      <c r="W1448" s="26">
        <v>45560</v>
      </c>
      <c r="X1448" t="s">
        <v>61</v>
      </c>
      <c r="Y1448" t="s">
        <v>237</v>
      </c>
    </row>
    <row r="1449" spans="1:25" x14ac:dyDescent="0.25">
      <c r="A1449" t="s">
        <v>5016</v>
      </c>
      <c r="B1449">
        <v>11</v>
      </c>
      <c r="C1449">
        <v>78</v>
      </c>
      <c r="D1449">
        <v>9030</v>
      </c>
      <c r="E1449" t="s">
        <v>96</v>
      </c>
      <c r="F1449" t="s">
        <v>955</v>
      </c>
      <c r="G1449" t="s">
        <v>5017</v>
      </c>
      <c r="H1449" s="26">
        <v>30110</v>
      </c>
      <c r="I1449" t="s">
        <v>58</v>
      </c>
      <c r="J1449" t="s">
        <v>5018</v>
      </c>
      <c r="M1449">
        <v>91190</v>
      </c>
      <c r="N1449" t="s">
        <v>5019</v>
      </c>
      <c r="O1449" t="s">
        <v>61</v>
      </c>
      <c r="Q1449">
        <v>616676791</v>
      </c>
      <c r="R1449" t="s">
        <v>5020</v>
      </c>
      <c r="S1449" t="s">
        <v>63</v>
      </c>
      <c r="T1449" t="s">
        <v>64</v>
      </c>
      <c r="U1449" t="s">
        <v>486</v>
      </c>
      <c r="W1449" s="26">
        <v>45563</v>
      </c>
      <c r="X1449" t="s">
        <v>61</v>
      </c>
      <c r="Y1449" t="s">
        <v>237</v>
      </c>
    </row>
    <row r="1450" spans="1:25" x14ac:dyDescent="0.25">
      <c r="A1450" t="s">
        <v>5021</v>
      </c>
      <c r="B1450">
        <v>11</v>
      </c>
      <c r="C1450">
        <v>78</v>
      </c>
      <c r="D1450">
        <v>9052</v>
      </c>
      <c r="E1450" t="s">
        <v>337</v>
      </c>
      <c r="F1450" t="s">
        <v>520</v>
      </c>
      <c r="G1450" t="s">
        <v>5022</v>
      </c>
      <c r="H1450" s="26">
        <v>25802</v>
      </c>
      <c r="I1450" t="s">
        <v>58</v>
      </c>
      <c r="J1450" t="s">
        <v>5023</v>
      </c>
      <c r="M1450">
        <v>78370</v>
      </c>
      <c r="N1450" t="s">
        <v>338</v>
      </c>
      <c r="O1450" t="s">
        <v>61</v>
      </c>
      <c r="Q1450">
        <v>621381043</v>
      </c>
      <c r="R1450" t="s">
        <v>5024</v>
      </c>
      <c r="S1450" t="s">
        <v>63</v>
      </c>
      <c r="T1450" t="s">
        <v>64</v>
      </c>
      <c r="U1450" t="s">
        <v>65</v>
      </c>
      <c r="W1450" s="26">
        <v>45540</v>
      </c>
      <c r="X1450" t="s">
        <v>61</v>
      </c>
      <c r="Y1450" t="s">
        <v>237</v>
      </c>
    </row>
    <row r="1451" spans="1:25" x14ac:dyDescent="0.25">
      <c r="A1451" t="s">
        <v>10985</v>
      </c>
      <c r="B1451">
        <v>11</v>
      </c>
      <c r="C1451">
        <v>93</v>
      </c>
      <c r="D1451">
        <v>9060</v>
      </c>
      <c r="E1451" t="s">
        <v>203</v>
      </c>
      <c r="F1451" t="s">
        <v>10986</v>
      </c>
      <c r="G1451" t="s">
        <v>10987</v>
      </c>
      <c r="H1451" s="26">
        <v>26079</v>
      </c>
      <c r="I1451" t="s">
        <v>16</v>
      </c>
      <c r="J1451" t="s">
        <v>10988</v>
      </c>
      <c r="M1451">
        <v>93390</v>
      </c>
      <c r="N1451" t="s">
        <v>2103</v>
      </c>
      <c r="O1451" t="s">
        <v>61</v>
      </c>
      <c r="Q1451">
        <v>781464796</v>
      </c>
      <c r="R1451" t="s">
        <v>10989</v>
      </c>
      <c r="S1451" t="s">
        <v>63</v>
      </c>
      <c r="T1451" t="s">
        <v>64</v>
      </c>
      <c r="U1451" t="s">
        <v>65</v>
      </c>
      <c r="W1451" s="26">
        <v>45576</v>
      </c>
      <c r="X1451" t="s">
        <v>61</v>
      </c>
      <c r="Y1451" t="s">
        <v>237</v>
      </c>
    </row>
    <row r="1452" spans="1:25" x14ac:dyDescent="0.25">
      <c r="A1452" t="s">
        <v>9100</v>
      </c>
      <c r="B1452">
        <v>11</v>
      </c>
      <c r="C1452">
        <v>92</v>
      </c>
      <c r="D1452">
        <v>9065</v>
      </c>
      <c r="E1452" t="s">
        <v>426</v>
      </c>
      <c r="F1452" t="s">
        <v>9101</v>
      </c>
      <c r="G1452" t="s">
        <v>9102</v>
      </c>
      <c r="H1452" s="26">
        <v>34648</v>
      </c>
      <c r="I1452" t="s">
        <v>58</v>
      </c>
      <c r="J1452" t="s">
        <v>9103</v>
      </c>
      <c r="M1452">
        <v>94800</v>
      </c>
      <c r="N1452" t="s">
        <v>1227</v>
      </c>
      <c r="O1452" t="s">
        <v>61</v>
      </c>
      <c r="Q1452">
        <v>786245580</v>
      </c>
      <c r="R1452" t="s">
        <v>9104</v>
      </c>
      <c r="S1452" t="s">
        <v>63</v>
      </c>
      <c r="T1452" t="s">
        <v>64</v>
      </c>
      <c r="U1452" t="s">
        <v>486</v>
      </c>
      <c r="W1452" s="26">
        <v>45539</v>
      </c>
      <c r="X1452" t="s">
        <v>2726</v>
      </c>
      <c r="Y1452" t="s">
        <v>237</v>
      </c>
    </row>
    <row r="1453" spans="1:25" x14ac:dyDescent="0.25">
      <c r="A1453" t="s">
        <v>9105</v>
      </c>
      <c r="B1453">
        <v>11</v>
      </c>
      <c r="C1453">
        <v>95</v>
      </c>
      <c r="D1453">
        <v>9010</v>
      </c>
      <c r="E1453" t="s">
        <v>6</v>
      </c>
      <c r="F1453" t="s">
        <v>3576</v>
      </c>
      <c r="G1453" t="s">
        <v>9106</v>
      </c>
      <c r="H1453" s="26">
        <v>35518</v>
      </c>
      <c r="I1453" t="s">
        <v>58</v>
      </c>
      <c r="J1453" t="s">
        <v>9107</v>
      </c>
      <c r="M1453">
        <v>93110</v>
      </c>
      <c r="N1453" t="s">
        <v>556</v>
      </c>
      <c r="O1453" t="s">
        <v>61</v>
      </c>
      <c r="R1453" t="s">
        <v>9108</v>
      </c>
      <c r="S1453" t="s">
        <v>63</v>
      </c>
      <c r="T1453" t="s">
        <v>64</v>
      </c>
      <c r="U1453" t="s">
        <v>1636</v>
      </c>
      <c r="W1453" s="26">
        <v>45545</v>
      </c>
      <c r="X1453" t="s">
        <v>2726</v>
      </c>
      <c r="Y1453" t="s">
        <v>237</v>
      </c>
    </row>
    <row r="1454" spans="1:25" x14ac:dyDescent="0.25">
      <c r="A1454" t="s">
        <v>9109</v>
      </c>
      <c r="B1454">
        <v>11</v>
      </c>
      <c r="C1454">
        <v>94</v>
      </c>
      <c r="D1454">
        <v>9024</v>
      </c>
      <c r="E1454" t="s">
        <v>4</v>
      </c>
      <c r="F1454" t="s">
        <v>267</v>
      </c>
      <c r="G1454" t="s">
        <v>9110</v>
      </c>
      <c r="H1454" s="26">
        <v>22184</v>
      </c>
      <c r="I1454" t="s">
        <v>58</v>
      </c>
      <c r="J1454" t="s">
        <v>9111</v>
      </c>
      <c r="M1454">
        <v>75013</v>
      </c>
      <c r="N1454" t="s">
        <v>330</v>
      </c>
      <c r="O1454" t="s">
        <v>61</v>
      </c>
      <c r="Q1454">
        <v>626685244</v>
      </c>
      <c r="R1454" t="s">
        <v>9112</v>
      </c>
      <c r="S1454" t="s">
        <v>63</v>
      </c>
      <c r="T1454" t="s">
        <v>64</v>
      </c>
      <c r="U1454" t="s">
        <v>65</v>
      </c>
      <c r="W1454" s="26">
        <v>45562</v>
      </c>
      <c r="X1454" t="s">
        <v>61</v>
      </c>
      <c r="Y1454" t="s">
        <v>237</v>
      </c>
    </row>
    <row r="1455" spans="1:25" x14ac:dyDescent="0.25">
      <c r="A1455" t="s">
        <v>9113</v>
      </c>
      <c r="B1455">
        <v>11</v>
      </c>
      <c r="C1455">
        <v>94</v>
      </c>
      <c r="D1455">
        <v>9024</v>
      </c>
      <c r="E1455" t="s">
        <v>4</v>
      </c>
      <c r="F1455" t="s">
        <v>204</v>
      </c>
      <c r="G1455" t="s">
        <v>9110</v>
      </c>
      <c r="H1455" s="26">
        <v>21740</v>
      </c>
      <c r="I1455" t="s">
        <v>58</v>
      </c>
      <c r="J1455" t="s">
        <v>9114</v>
      </c>
      <c r="M1455">
        <v>93160</v>
      </c>
      <c r="N1455" t="s">
        <v>649</v>
      </c>
      <c r="O1455" t="s">
        <v>61</v>
      </c>
      <c r="Q1455">
        <v>630761836</v>
      </c>
      <c r="R1455" t="s">
        <v>9115</v>
      </c>
      <c r="S1455" t="s">
        <v>63</v>
      </c>
      <c r="T1455" t="s">
        <v>64</v>
      </c>
      <c r="U1455" t="s">
        <v>65</v>
      </c>
      <c r="W1455" s="26">
        <v>45555</v>
      </c>
      <c r="X1455" t="s">
        <v>61</v>
      </c>
      <c r="Y1455" t="s">
        <v>237</v>
      </c>
    </row>
    <row r="1456" spans="1:25" x14ac:dyDescent="0.25">
      <c r="A1456" t="s">
        <v>9116</v>
      </c>
      <c r="B1456">
        <v>11</v>
      </c>
      <c r="C1456">
        <v>77</v>
      </c>
      <c r="D1456">
        <v>9077</v>
      </c>
      <c r="E1456" t="s">
        <v>90</v>
      </c>
      <c r="F1456" t="s">
        <v>9117</v>
      </c>
      <c r="G1456" t="s">
        <v>9118</v>
      </c>
      <c r="H1456" s="26">
        <v>20078</v>
      </c>
      <c r="I1456" t="s">
        <v>16</v>
      </c>
      <c r="J1456" t="s">
        <v>9119</v>
      </c>
      <c r="M1456">
        <v>77120</v>
      </c>
      <c r="N1456" t="s">
        <v>803</v>
      </c>
      <c r="O1456" t="s">
        <v>61</v>
      </c>
      <c r="Q1456">
        <v>649314095</v>
      </c>
      <c r="R1456" t="s">
        <v>9120</v>
      </c>
      <c r="S1456" t="s">
        <v>63</v>
      </c>
      <c r="T1456" t="s">
        <v>64</v>
      </c>
      <c r="U1456" t="s">
        <v>65</v>
      </c>
      <c r="W1456" s="26">
        <v>45546</v>
      </c>
      <c r="X1456" t="s">
        <v>61</v>
      </c>
      <c r="Y1456" t="s">
        <v>237</v>
      </c>
    </row>
    <row r="1457" spans="1:25" x14ac:dyDescent="0.25">
      <c r="A1457" t="s">
        <v>9121</v>
      </c>
      <c r="B1457">
        <v>11</v>
      </c>
      <c r="C1457">
        <v>91</v>
      </c>
      <c r="D1457">
        <v>9095</v>
      </c>
      <c r="E1457" t="s">
        <v>113</v>
      </c>
      <c r="F1457" t="s">
        <v>160</v>
      </c>
      <c r="G1457" t="s">
        <v>9122</v>
      </c>
      <c r="H1457" s="26">
        <v>21985</v>
      </c>
      <c r="I1457" t="s">
        <v>58</v>
      </c>
      <c r="J1457" t="s">
        <v>9123</v>
      </c>
      <c r="K1457" t="s">
        <v>9124</v>
      </c>
      <c r="M1457">
        <v>91520</v>
      </c>
      <c r="N1457" t="s">
        <v>1590</v>
      </c>
      <c r="O1457" t="s">
        <v>61</v>
      </c>
      <c r="Q1457">
        <v>768019366</v>
      </c>
      <c r="R1457" t="s">
        <v>9125</v>
      </c>
      <c r="S1457" t="s">
        <v>63</v>
      </c>
      <c r="T1457" t="s">
        <v>64</v>
      </c>
      <c r="U1457" t="s">
        <v>65</v>
      </c>
      <c r="W1457" s="26">
        <v>45544</v>
      </c>
      <c r="X1457" t="s">
        <v>61</v>
      </c>
      <c r="Y1457" t="s">
        <v>237</v>
      </c>
    </row>
    <row r="1458" spans="1:25" x14ac:dyDescent="0.25">
      <c r="A1458" t="s">
        <v>9126</v>
      </c>
      <c r="B1458">
        <v>11</v>
      </c>
      <c r="C1458">
        <v>91</v>
      </c>
      <c r="D1458">
        <v>9096</v>
      </c>
      <c r="E1458" t="s">
        <v>526</v>
      </c>
      <c r="F1458" t="s">
        <v>887</v>
      </c>
      <c r="G1458" t="s">
        <v>9127</v>
      </c>
      <c r="H1458" s="26">
        <v>25078</v>
      </c>
      <c r="I1458" t="s">
        <v>58</v>
      </c>
      <c r="J1458" t="s">
        <v>9128</v>
      </c>
      <c r="M1458">
        <v>91390</v>
      </c>
      <c r="N1458" t="s">
        <v>429</v>
      </c>
      <c r="O1458" t="s">
        <v>61</v>
      </c>
      <c r="Q1458">
        <v>769885487</v>
      </c>
      <c r="R1458" t="s">
        <v>9129</v>
      </c>
      <c r="S1458" t="s">
        <v>63</v>
      </c>
      <c r="T1458" t="s">
        <v>64</v>
      </c>
      <c r="U1458" t="s">
        <v>65</v>
      </c>
      <c r="W1458" s="26">
        <v>45538</v>
      </c>
      <c r="X1458" t="s">
        <v>61</v>
      </c>
      <c r="Y1458" t="s">
        <v>237</v>
      </c>
    </row>
    <row r="1459" spans="1:25" x14ac:dyDescent="0.25">
      <c r="A1459" t="s">
        <v>9130</v>
      </c>
      <c r="B1459">
        <v>11</v>
      </c>
      <c r="C1459">
        <v>78</v>
      </c>
      <c r="D1459">
        <v>9016</v>
      </c>
      <c r="E1459" t="s">
        <v>362</v>
      </c>
      <c r="F1459" t="s">
        <v>13</v>
      </c>
      <c r="G1459" t="s">
        <v>9131</v>
      </c>
      <c r="H1459" s="26">
        <v>18115</v>
      </c>
      <c r="I1459" t="s">
        <v>58</v>
      </c>
      <c r="J1459" t="s">
        <v>9132</v>
      </c>
      <c r="M1459">
        <v>78440</v>
      </c>
      <c r="N1459" t="s">
        <v>605</v>
      </c>
      <c r="O1459" t="s">
        <v>61</v>
      </c>
      <c r="Q1459">
        <v>680148097</v>
      </c>
      <c r="S1459" t="s">
        <v>63</v>
      </c>
      <c r="T1459" t="s">
        <v>64</v>
      </c>
      <c r="U1459" t="s">
        <v>65</v>
      </c>
      <c r="W1459" s="26">
        <v>45560</v>
      </c>
      <c r="X1459" t="s">
        <v>61</v>
      </c>
      <c r="Y1459" t="s">
        <v>237</v>
      </c>
    </row>
    <row r="1460" spans="1:25" x14ac:dyDescent="0.25">
      <c r="A1460" t="s">
        <v>9133</v>
      </c>
      <c r="B1460">
        <v>11</v>
      </c>
      <c r="C1460">
        <v>91</v>
      </c>
      <c r="D1460">
        <v>9131</v>
      </c>
      <c r="E1460" t="s">
        <v>8686</v>
      </c>
      <c r="F1460" t="s">
        <v>1247</v>
      </c>
      <c r="G1460" t="s">
        <v>9134</v>
      </c>
      <c r="H1460" s="26">
        <v>23304</v>
      </c>
      <c r="I1460" t="s">
        <v>58</v>
      </c>
      <c r="J1460" t="s">
        <v>9135</v>
      </c>
      <c r="M1460">
        <v>91270</v>
      </c>
      <c r="N1460" t="s">
        <v>9136</v>
      </c>
      <c r="O1460" t="s">
        <v>61</v>
      </c>
      <c r="Q1460">
        <v>629127280</v>
      </c>
      <c r="R1460" t="s">
        <v>9137</v>
      </c>
      <c r="S1460" t="s">
        <v>63</v>
      </c>
      <c r="T1460" t="s">
        <v>64</v>
      </c>
      <c r="U1460" t="s">
        <v>65</v>
      </c>
      <c r="W1460" s="26">
        <v>45541</v>
      </c>
      <c r="X1460" t="s">
        <v>61</v>
      </c>
      <c r="Y1460" t="s">
        <v>237</v>
      </c>
    </row>
    <row r="1461" spans="1:25" x14ac:dyDescent="0.25">
      <c r="A1461" t="s">
        <v>9138</v>
      </c>
      <c r="B1461">
        <v>11</v>
      </c>
      <c r="C1461">
        <v>78</v>
      </c>
      <c r="D1461">
        <v>9030</v>
      </c>
      <c r="E1461" t="s">
        <v>96</v>
      </c>
      <c r="F1461" t="s">
        <v>198</v>
      </c>
      <c r="G1461" t="s">
        <v>481</v>
      </c>
      <c r="H1461" s="26">
        <v>32394</v>
      </c>
      <c r="I1461" t="s">
        <v>58</v>
      </c>
      <c r="J1461" t="s">
        <v>9139</v>
      </c>
      <c r="M1461">
        <v>78470</v>
      </c>
      <c r="N1461" t="s">
        <v>9140</v>
      </c>
      <c r="O1461" t="s">
        <v>61</v>
      </c>
      <c r="Q1461">
        <v>670189123</v>
      </c>
      <c r="R1461" t="s">
        <v>9141</v>
      </c>
      <c r="S1461" t="s">
        <v>63</v>
      </c>
      <c r="T1461" t="s">
        <v>64</v>
      </c>
      <c r="U1461" t="s">
        <v>486</v>
      </c>
      <c r="W1461" s="26">
        <v>45561</v>
      </c>
      <c r="X1461" t="s">
        <v>61</v>
      </c>
      <c r="Y1461" t="s">
        <v>237</v>
      </c>
    </row>
    <row r="1462" spans="1:25" x14ac:dyDescent="0.25">
      <c r="A1462" t="s">
        <v>9142</v>
      </c>
      <c r="B1462">
        <v>11</v>
      </c>
      <c r="C1462">
        <v>91</v>
      </c>
      <c r="D1462">
        <v>9082</v>
      </c>
      <c r="E1462" t="s">
        <v>67</v>
      </c>
      <c r="F1462" t="s">
        <v>3870</v>
      </c>
      <c r="G1462" t="s">
        <v>4392</v>
      </c>
      <c r="H1462" s="26">
        <v>40214</v>
      </c>
      <c r="I1462" t="s">
        <v>58</v>
      </c>
      <c r="J1462" t="s">
        <v>9143</v>
      </c>
      <c r="K1462" t="s">
        <v>9144</v>
      </c>
      <c r="M1462">
        <v>91270</v>
      </c>
      <c r="N1462" t="s">
        <v>9136</v>
      </c>
      <c r="O1462" t="s">
        <v>61</v>
      </c>
      <c r="P1462">
        <v>617963611</v>
      </c>
      <c r="R1462" t="s">
        <v>9145</v>
      </c>
      <c r="S1462" t="s">
        <v>63</v>
      </c>
      <c r="T1462" t="s">
        <v>2510</v>
      </c>
      <c r="U1462" t="s">
        <v>486</v>
      </c>
      <c r="W1462" s="26">
        <v>45546</v>
      </c>
      <c r="X1462" t="s">
        <v>61</v>
      </c>
      <c r="Y1462" t="s">
        <v>237</v>
      </c>
    </row>
    <row r="1463" spans="1:25" x14ac:dyDescent="0.25">
      <c r="A1463" t="s">
        <v>9146</v>
      </c>
      <c r="B1463">
        <v>11</v>
      </c>
      <c r="C1463">
        <v>91</v>
      </c>
      <c r="D1463">
        <v>9095</v>
      </c>
      <c r="E1463" t="s">
        <v>113</v>
      </c>
      <c r="F1463" t="s">
        <v>91</v>
      </c>
      <c r="G1463" t="s">
        <v>9147</v>
      </c>
      <c r="H1463" s="26">
        <v>21183</v>
      </c>
      <c r="I1463" t="s">
        <v>58</v>
      </c>
      <c r="J1463" t="s">
        <v>9148</v>
      </c>
      <c r="M1463">
        <v>91310</v>
      </c>
      <c r="N1463" t="s">
        <v>4163</v>
      </c>
      <c r="O1463" t="s">
        <v>61</v>
      </c>
      <c r="Q1463">
        <v>695519633</v>
      </c>
      <c r="R1463" t="s">
        <v>9149</v>
      </c>
      <c r="S1463" t="s">
        <v>63</v>
      </c>
      <c r="T1463" t="s">
        <v>64</v>
      </c>
      <c r="U1463" t="s">
        <v>65</v>
      </c>
      <c r="W1463" s="26">
        <v>45544</v>
      </c>
      <c r="X1463" t="s">
        <v>61</v>
      </c>
      <c r="Y1463" t="s">
        <v>237</v>
      </c>
    </row>
    <row r="1464" spans="1:25" x14ac:dyDescent="0.25">
      <c r="A1464" t="s">
        <v>9150</v>
      </c>
      <c r="B1464">
        <v>11</v>
      </c>
      <c r="C1464">
        <v>78</v>
      </c>
      <c r="D1464">
        <v>9016</v>
      </c>
      <c r="E1464" t="s">
        <v>362</v>
      </c>
      <c r="F1464" t="s">
        <v>204</v>
      </c>
      <c r="G1464" t="s">
        <v>9151</v>
      </c>
      <c r="H1464" s="26">
        <v>16858</v>
      </c>
      <c r="I1464" t="s">
        <v>58</v>
      </c>
      <c r="J1464" t="s">
        <v>9152</v>
      </c>
      <c r="M1464">
        <v>95450</v>
      </c>
      <c r="N1464" t="s">
        <v>9153</v>
      </c>
      <c r="O1464" t="s">
        <v>61</v>
      </c>
      <c r="Q1464">
        <v>613524613</v>
      </c>
      <c r="S1464" t="s">
        <v>63</v>
      </c>
      <c r="T1464" t="s">
        <v>64</v>
      </c>
      <c r="U1464" t="s">
        <v>65</v>
      </c>
      <c r="W1464" s="26">
        <v>45560</v>
      </c>
      <c r="X1464" t="s">
        <v>61</v>
      </c>
      <c r="Y1464" t="s">
        <v>237</v>
      </c>
    </row>
    <row r="1465" spans="1:25" x14ac:dyDescent="0.25">
      <c r="A1465" t="s">
        <v>9154</v>
      </c>
      <c r="B1465">
        <v>11</v>
      </c>
      <c r="C1465">
        <v>91</v>
      </c>
      <c r="D1465">
        <v>9096</v>
      </c>
      <c r="E1465" t="s">
        <v>526</v>
      </c>
      <c r="F1465" t="s">
        <v>9155</v>
      </c>
      <c r="G1465" t="s">
        <v>9156</v>
      </c>
      <c r="H1465" s="26">
        <v>40429</v>
      </c>
      <c r="I1465" t="s">
        <v>58</v>
      </c>
      <c r="J1465" t="s">
        <v>9157</v>
      </c>
      <c r="M1465">
        <v>91650</v>
      </c>
      <c r="N1465" t="s">
        <v>986</v>
      </c>
      <c r="O1465" t="s">
        <v>61</v>
      </c>
      <c r="Q1465">
        <v>613486910</v>
      </c>
      <c r="S1465" t="s">
        <v>237</v>
      </c>
      <c r="T1465" t="s">
        <v>9158</v>
      </c>
      <c r="U1465" t="s">
        <v>65</v>
      </c>
      <c r="W1465" s="26">
        <v>45536</v>
      </c>
      <c r="X1465" t="s">
        <v>61</v>
      </c>
      <c r="Y1465" t="s">
        <v>237</v>
      </c>
    </row>
    <row r="1466" spans="1:25" x14ac:dyDescent="0.25">
      <c r="A1466" t="s">
        <v>10190</v>
      </c>
      <c r="B1466">
        <v>11</v>
      </c>
      <c r="C1466">
        <v>91</v>
      </c>
      <c r="D1466">
        <v>9095</v>
      </c>
      <c r="E1466" t="s">
        <v>113</v>
      </c>
      <c r="F1466" t="s">
        <v>1282</v>
      </c>
      <c r="G1466" t="s">
        <v>9743</v>
      </c>
      <c r="H1466" s="26">
        <v>26099</v>
      </c>
      <c r="I1466" t="s">
        <v>58</v>
      </c>
      <c r="J1466" t="s">
        <v>10191</v>
      </c>
      <c r="M1466">
        <v>91290</v>
      </c>
      <c r="N1466" t="s">
        <v>3526</v>
      </c>
      <c r="O1466" t="s">
        <v>61</v>
      </c>
      <c r="Q1466">
        <v>610244350</v>
      </c>
      <c r="R1466" t="s">
        <v>10192</v>
      </c>
      <c r="S1466" t="s">
        <v>63</v>
      </c>
      <c r="T1466" t="s">
        <v>64</v>
      </c>
      <c r="U1466" t="s">
        <v>65</v>
      </c>
      <c r="W1466" s="26">
        <v>45572</v>
      </c>
      <c r="X1466" t="s">
        <v>61</v>
      </c>
      <c r="Y1466" t="s">
        <v>237</v>
      </c>
    </row>
    <row r="1467" spans="1:25" x14ac:dyDescent="0.25">
      <c r="A1467" t="s">
        <v>11367</v>
      </c>
      <c r="B1467">
        <v>11</v>
      </c>
      <c r="C1467">
        <v>95</v>
      </c>
      <c r="D1467">
        <v>9010</v>
      </c>
      <c r="E1467" t="s">
        <v>6</v>
      </c>
      <c r="F1467" t="s">
        <v>11368</v>
      </c>
      <c r="G1467" t="s">
        <v>11369</v>
      </c>
      <c r="H1467" s="26">
        <v>33797</v>
      </c>
      <c r="I1467" t="s">
        <v>58</v>
      </c>
      <c r="J1467" t="s">
        <v>11370</v>
      </c>
      <c r="M1467">
        <v>92600</v>
      </c>
      <c r="N1467" t="s">
        <v>3378</v>
      </c>
      <c r="O1467" t="s">
        <v>61</v>
      </c>
      <c r="R1467" t="s">
        <v>11371</v>
      </c>
      <c r="S1467" t="s">
        <v>63</v>
      </c>
      <c r="T1467" t="s">
        <v>64</v>
      </c>
      <c r="U1467" t="s">
        <v>1636</v>
      </c>
      <c r="W1467" s="26">
        <v>45583</v>
      </c>
      <c r="X1467" t="s">
        <v>2726</v>
      </c>
      <c r="Y1467" t="s">
        <v>237</v>
      </c>
    </row>
    <row r="1468" spans="1:25" x14ac:dyDescent="0.25">
      <c r="A1468" t="s">
        <v>10010</v>
      </c>
      <c r="B1468">
        <v>11</v>
      </c>
      <c r="C1468">
        <v>95</v>
      </c>
      <c r="D1468">
        <v>9069</v>
      </c>
      <c r="E1468" t="s">
        <v>129</v>
      </c>
      <c r="F1468" t="s">
        <v>97</v>
      </c>
      <c r="G1468" t="s">
        <v>9366</v>
      </c>
      <c r="H1468" s="26">
        <v>21208</v>
      </c>
      <c r="I1468" t="s">
        <v>58</v>
      </c>
      <c r="J1468" t="s">
        <v>10011</v>
      </c>
      <c r="M1468">
        <v>95220</v>
      </c>
      <c r="N1468" t="s">
        <v>1477</v>
      </c>
      <c r="O1468" t="s">
        <v>61</v>
      </c>
      <c r="Q1468">
        <v>659785618</v>
      </c>
      <c r="R1468" t="s">
        <v>10012</v>
      </c>
      <c r="S1468" t="s">
        <v>63</v>
      </c>
      <c r="T1468" t="s">
        <v>64</v>
      </c>
      <c r="U1468" t="s">
        <v>65</v>
      </c>
      <c r="W1468" s="26">
        <v>45570</v>
      </c>
      <c r="X1468" t="s">
        <v>61</v>
      </c>
      <c r="Y1468" t="s">
        <v>237</v>
      </c>
    </row>
    <row r="1469" spans="1:25" x14ac:dyDescent="0.25">
      <c r="A1469" t="s">
        <v>9159</v>
      </c>
      <c r="B1469">
        <v>11</v>
      </c>
      <c r="C1469">
        <v>91</v>
      </c>
      <c r="D1469">
        <v>9009</v>
      </c>
      <c r="E1469" t="s">
        <v>159</v>
      </c>
      <c r="F1469" t="s">
        <v>723</v>
      </c>
      <c r="G1469" t="s">
        <v>9160</v>
      </c>
      <c r="H1469" s="26">
        <v>12496</v>
      </c>
      <c r="I1469" t="s">
        <v>58</v>
      </c>
      <c r="J1469" t="s">
        <v>9161</v>
      </c>
      <c r="M1469">
        <v>91420</v>
      </c>
      <c r="N1469" t="s">
        <v>1675</v>
      </c>
      <c r="O1469" t="s">
        <v>61</v>
      </c>
      <c r="P1469">
        <v>169093102</v>
      </c>
      <c r="Q1469">
        <v>603044784</v>
      </c>
      <c r="R1469" t="s">
        <v>9162</v>
      </c>
      <c r="S1469" t="s">
        <v>63</v>
      </c>
      <c r="T1469" t="s">
        <v>64</v>
      </c>
      <c r="U1469" t="s">
        <v>65</v>
      </c>
      <c r="W1469" s="26">
        <v>45554</v>
      </c>
      <c r="X1469" t="s">
        <v>61</v>
      </c>
      <c r="Y1469" t="s">
        <v>237</v>
      </c>
    </row>
    <row r="1470" spans="1:25" x14ac:dyDescent="0.25">
      <c r="A1470" t="s">
        <v>9163</v>
      </c>
      <c r="B1470">
        <v>11</v>
      </c>
      <c r="C1470">
        <v>77</v>
      </c>
      <c r="D1470">
        <v>9040</v>
      </c>
      <c r="E1470" t="s">
        <v>612</v>
      </c>
      <c r="F1470" t="s">
        <v>342</v>
      </c>
      <c r="G1470" t="s">
        <v>9164</v>
      </c>
      <c r="H1470" s="26">
        <v>23357</v>
      </c>
      <c r="I1470" t="s">
        <v>58</v>
      </c>
      <c r="J1470" t="s">
        <v>9165</v>
      </c>
      <c r="M1470">
        <v>77590</v>
      </c>
      <c r="N1470" t="s">
        <v>3819</v>
      </c>
      <c r="O1470" t="s">
        <v>61</v>
      </c>
      <c r="Q1470">
        <v>632939007</v>
      </c>
      <c r="R1470" t="s">
        <v>9166</v>
      </c>
      <c r="S1470" t="s">
        <v>63</v>
      </c>
      <c r="T1470" t="s">
        <v>64</v>
      </c>
      <c r="U1470" t="s">
        <v>65</v>
      </c>
      <c r="W1470" s="26">
        <v>45544</v>
      </c>
      <c r="X1470" t="s">
        <v>61</v>
      </c>
      <c r="Y1470" t="s">
        <v>237</v>
      </c>
    </row>
    <row r="1471" spans="1:25" x14ac:dyDescent="0.25">
      <c r="A1471" t="s">
        <v>9167</v>
      </c>
      <c r="B1471">
        <v>11</v>
      </c>
      <c r="C1471">
        <v>91</v>
      </c>
      <c r="D1471">
        <v>9082</v>
      </c>
      <c r="E1471" t="s">
        <v>67</v>
      </c>
      <c r="F1471" t="s">
        <v>137</v>
      </c>
      <c r="G1471" t="s">
        <v>9168</v>
      </c>
      <c r="H1471" s="26">
        <v>21233</v>
      </c>
      <c r="I1471" t="s">
        <v>58</v>
      </c>
      <c r="J1471" t="s">
        <v>9169</v>
      </c>
      <c r="M1471">
        <v>91330</v>
      </c>
      <c r="N1471" t="s">
        <v>688</v>
      </c>
      <c r="O1471" t="s">
        <v>61</v>
      </c>
      <c r="Q1471">
        <v>670759672</v>
      </c>
      <c r="R1471" t="s">
        <v>9170</v>
      </c>
      <c r="S1471" t="s">
        <v>63</v>
      </c>
      <c r="T1471" t="s">
        <v>64</v>
      </c>
      <c r="U1471" t="s">
        <v>65</v>
      </c>
      <c r="W1471" s="26">
        <v>45555</v>
      </c>
      <c r="X1471" t="s">
        <v>61</v>
      </c>
      <c r="Y1471" t="s">
        <v>237</v>
      </c>
    </row>
    <row r="1472" spans="1:25" x14ac:dyDescent="0.25">
      <c r="A1472" t="s">
        <v>9171</v>
      </c>
      <c r="B1472">
        <v>11</v>
      </c>
      <c r="C1472">
        <v>77</v>
      </c>
      <c r="D1472">
        <v>9049</v>
      </c>
      <c r="E1472" t="s">
        <v>902</v>
      </c>
      <c r="F1472" t="s">
        <v>272</v>
      </c>
      <c r="G1472" t="s">
        <v>9172</v>
      </c>
      <c r="H1472" s="26">
        <v>20103</v>
      </c>
      <c r="I1472" t="s">
        <v>58</v>
      </c>
      <c r="J1472" t="s">
        <v>9173</v>
      </c>
      <c r="M1472">
        <v>77260</v>
      </c>
      <c r="N1472" t="s">
        <v>2472</v>
      </c>
      <c r="O1472" t="s">
        <v>61</v>
      </c>
      <c r="R1472" t="s">
        <v>9174</v>
      </c>
      <c r="S1472" t="s">
        <v>63</v>
      </c>
      <c r="T1472" t="s">
        <v>64</v>
      </c>
      <c r="U1472" t="s">
        <v>65</v>
      </c>
      <c r="W1472" s="26">
        <v>45524</v>
      </c>
      <c r="X1472" t="s">
        <v>61</v>
      </c>
      <c r="Y1472" t="s">
        <v>237</v>
      </c>
    </row>
    <row r="1473" spans="1:25" x14ac:dyDescent="0.25">
      <c r="A1473" t="s">
        <v>9175</v>
      </c>
      <c r="B1473">
        <v>11</v>
      </c>
      <c r="C1473">
        <v>78</v>
      </c>
      <c r="D1473">
        <v>9030</v>
      </c>
      <c r="E1473" t="s">
        <v>96</v>
      </c>
      <c r="F1473" t="s">
        <v>950</v>
      </c>
      <c r="G1473" t="s">
        <v>9176</v>
      </c>
      <c r="H1473" s="26">
        <v>36347</v>
      </c>
      <c r="I1473" t="s">
        <v>58</v>
      </c>
      <c r="J1473" t="s">
        <v>9177</v>
      </c>
      <c r="M1473">
        <v>77190</v>
      </c>
      <c r="N1473" t="s">
        <v>1096</v>
      </c>
      <c r="O1473" t="s">
        <v>61</v>
      </c>
      <c r="Q1473">
        <v>674715385</v>
      </c>
      <c r="R1473" t="s">
        <v>9178</v>
      </c>
      <c r="S1473" t="s">
        <v>63</v>
      </c>
      <c r="T1473" t="s">
        <v>64</v>
      </c>
      <c r="U1473" t="s">
        <v>486</v>
      </c>
      <c r="W1473" s="26">
        <v>45551</v>
      </c>
      <c r="X1473" t="s">
        <v>61</v>
      </c>
      <c r="Y1473" t="s">
        <v>237</v>
      </c>
    </row>
    <row r="1474" spans="1:25" x14ac:dyDescent="0.25">
      <c r="A1474" t="s">
        <v>9179</v>
      </c>
      <c r="B1474">
        <v>11</v>
      </c>
      <c r="C1474">
        <v>75</v>
      </c>
      <c r="D1474">
        <v>9070</v>
      </c>
      <c r="E1474" t="s">
        <v>168</v>
      </c>
      <c r="F1474" t="s">
        <v>9180</v>
      </c>
      <c r="G1474" t="s">
        <v>9181</v>
      </c>
      <c r="H1474" s="26">
        <v>29882</v>
      </c>
      <c r="I1474" t="s">
        <v>16</v>
      </c>
      <c r="J1474" t="s">
        <v>9182</v>
      </c>
      <c r="M1474">
        <v>75008</v>
      </c>
      <c r="N1474" t="s">
        <v>330</v>
      </c>
      <c r="O1474" t="s">
        <v>61</v>
      </c>
      <c r="Q1474">
        <v>682367911</v>
      </c>
      <c r="S1474" t="s">
        <v>237</v>
      </c>
      <c r="T1474" t="s">
        <v>64</v>
      </c>
      <c r="U1474" t="s">
        <v>8684</v>
      </c>
      <c r="W1474" s="26">
        <v>45546</v>
      </c>
      <c r="X1474" t="s">
        <v>61</v>
      </c>
      <c r="Y1474" t="s">
        <v>237</v>
      </c>
    </row>
    <row r="1475" spans="1:25" x14ac:dyDescent="0.25">
      <c r="A1475" t="s">
        <v>9183</v>
      </c>
      <c r="B1475">
        <v>11</v>
      </c>
      <c r="C1475">
        <v>75</v>
      </c>
      <c r="D1475">
        <v>9070</v>
      </c>
      <c r="E1475" t="s">
        <v>168</v>
      </c>
      <c r="F1475" t="s">
        <v>9184</v>
      </c>
      <c r="G1475" t="s">
        <v>9185</v>
      </c>
      <c r="H1475" s="26">
        <v>37178</v>
      </c>
      <c r="I1475" t="s">
        <v>58</v>
      </c>
      <c r="J1475" t="s">
        <v>9186</v>
      </c>
      <c r="M1475">
        <v>93320</v>
      </c>
      <c r="N1475" t="s">
        <v>1185</v>
      </c>
      <c r="O1475" t="s">
        <v>61</v>
      </c>
      <c r="Q1475">
        <v>766477922</v>
      </c>
      <c r="R1475" t="s">
        <v>9187</v>
      </c>
      <c r="S1475" t="s">
        <v>63</v>
      </c>
      <c r="T1475" t="s">
        <v>64</v>
      </c>
      <c r="U1475" t="s">
        <v>8684</v>
      </c>
      <c r="W1475" s="26">
        <v>45541</v>
      </c>
      <c r="X1475" t="s">
        <v>3895</v>
      </c>
      <c r="Y1475" t="s">
        <v>237</v>
      </c>
    </row>
    <row r="1476" spans="1:25" x14ac:dyDescent="0.25">
      <c r="A1476" t="s">
        <v>9188</v>
      </c>
      <c r="B1476">
        <v>11</v>
      </c>
      <c r="C1476">
        <v>94</v>
      </c>
      <c r="D1476">
        <v>9024</v>
      </c>
      <c r="E1476" t="s">
        <v>4</v>
      </c>
      <c r="F1476" t="s">
        <v>13</v>
      </c>
      <c r="G1476" t="s">
        <v>9189</v>
      </c>
      <c r="H1476" s="26">
        <v>22769</v>
      </c>
      <c r="I1476" t="s">
        <v>58</v>
      </c>
      <c r="J1476" t="s">
        <v>9190</v>
      </c>
      <c r="M1476">
        <v>94100</v>
      </c>
      <c r="N1476" t="s">
        <v>971</v>
      </c>
      <c r="O1476" t="s">
        <v>61</v>
      </c>
      <c r="Q1476">
        <v>630916518</v>
      </c>
      <c r="R1476" t="s">
        <v>9191</v>
      </c>
      <c r="S1476" t="s">
        <v>63</v>
      </c>
      <c r="T1476" t="s">
        <v>4584</v>
      </c>
      <c r="U1476" t="s">
        <v>65</v>
      </c>
      <c r="W1476" s="26">
        <v>45526</v>
      </c>
      <c r="X1476" t="s">
        <v>61</v>
      </c>
      <c r="Y1476" t="s">
        <v>237</v>
      </c>
    </row>
    <row r="1477" spans="1:25" x14ac:dyDescent="0.25">
      <c r="A1477" t="s">
        <v>9192</v>
      </c>
      <c r="B1477">
        <v>11</v>
      </c>
      <c r="C1477">
        <v>75</v>
      </c>
      <c r="D1477">
        <v>9126</v>
      </c>
      <c r="E1477" t="s">
        <v>1818</v>
      </c>
      <c r="F1477" t="s">
        <v>9193</v>
      </c>
      <c r="G1477" t="s">
        <v>9194</v>
      </c>
      <c r="H1477" s="26">
        <v>31585</v>
      </c>
      <c r="I1477" t="s">
        <v>58</v>
      </c>
      <c r="J1477" t="s">
        <v>9195</v>
      </c>
      <c r="M1477">
        <v>75004</v>
      </c>
      <c r="N1477" t="s">
        <v>330</v>
      </c>
      <c r="O1477" t="s">
        <v>61</v>
      </c>
      <c r="S1477" t="s">
        <v>237</v>
      </c>
      <c r="T1477" t="s">
        <v>4584</v>
      </c>
      <c r="U1477" t="s">
        <v>8684</v>
      </c>
      <c r="W1477" s="26">
        <v>45527</v>
      </c>
      <c r="X1477" t="s">
        <v>61</v>
      </c>
      <c r="Y1477" t="s">
        <v>237</v>
      </c>
    </row>
    <row r="1478" spans="1:25" x14ac:dyDescent="0.25">
      <c r="A1478" t="s">
        <v>9196</v>
      </c>
      <c r="B1478">
        <v>11</v>
      </c>
      <c r="C1478">
        <v>92</v>
      </c>
      <c r="D1478">
        <v>9065</v>
      </c>
      <c r="E1478" t="s">
        <v>426</v>
      </c>
      <c r="F1478" t="s">
        <v>9197</v>
      </c>
      <c r="G1478" t="s">
        <v>9198</v>
      </c>
      <c r="H1478" s="26">
        <v>36702</v>
      </c>
      <c r="I1478" t="s">
        <v>58</v>
      </c>
      <c r="J1478" t="s">
        <v>9199</v>
      </c>
      <c r="K1478" t="s">
        <v>9200</v>
      </c>
      <c r="M1478">
        <v>92160</v>
      </c>
      <c r="N1478" t="s">
        <v>320</v>
      </c>
      <c r="O1478" t="s">
        <v>61</v>
      </c>
      <c r="Q1478">
        <v>603227752</v>
      </c>
      <c r="R1478" t="s">
        <v>9201</v>
      </c>
      <c r="S1478" t="s">
        <v>63</v>
      </c>
      <c r="T1478" t="s">
        <v>4584</v>
      </c>
      <c r="U1478" t="s">
        <v>486</v>
      </c>
      <c r="W1478" s="26">
        <v>45528</v>
      </c>
      <c r="X1478" t="s">
        <v>4100</v>
      </c>
      <c r="Y1478" t="s">
        <v>237</v>
      </c>
    </row>
    <row r="1479" spans="1:25" x14ac:dyDescent="0.25">
      <c r="A1479" t="s">
        <v>9202</v>
      </c>
      <c r="B1479">
        <v>11</v>
      </c>
      <c r="C1479">
        <v>95</v>
      </c>
      <c r="D1479">
        <v>9127</v>
      </c>
      <c r="E1479" t="s">
        <v>536</v>
      </c>
      <c r="F1479" t="s">
        <v>9203</v>
      </c>
      <c r="G1479" t="s">
        <v>9204</v>
      </c>
      <c r="H1479" s="26">
        <v>35604</v>
      </c>
      <c r="I1479" t="s">
        <v>58</v>
      </c>
      <c r="J1479" t="s">
        <v>9205</v>
      </c>
      <c r="M1479">
        <v>78100</v>
      </c>
      <c r="N1479" t="s">
        <v>2390</v>
      </c>
      <c r="O1479" t="s">
        <v>61</v>
      </c>
      <c r="Q1479">
        <v>663326335</v>
      </c>
      <c r="R1479" t="s">
        <v>9206</v>
      </c>
      <c r="S1479" t="s">
        <v>63</v>
      </c>
      <c r="T1479" t="s">
        <v>4584</v>
      </c>
      <c r="U1479" t="s">
        <v>8684</v>
      </c>
      <c r="W1479" s="26">
        <v>45532</v>
      </c>
      <c r="X1479" t="s">
        <v>61</v>
      </c>
      <c r="Y1479" t="s">
        <v>237</v>
      </c>
    </row>
    <row r="1480" spans="1:25" x14ac:dyDescent="0.25">
      <c r="A1480" t="s">
        <v>9207</v>
      </c>
      <c r="B1480">
        <v>11</v>
      </c>
      <c r="C1480">
        <v>92</v>
      </c>
      <c r="D1480">
        <v>9065</v>
      </c>
      <c r="E1480" t="s">
        <v>426</v>
      </c>
      <c r="F1480" t="s">
        <v>183</v>
      </c>
      <c r="G1480" t="s">
        <v>9208</v>
      </c>
      <c r="H1480" s="26">
        <v>26382</v>
      </c>
      <c r="I1480" t="s">
        <v>58</v>
      </c>
      <c r="J1480" t="s">
        <v>9209</v>
      </c>
      <c r="M1480">
        <v>91150</v>
      </c>
      <c r="N1480" t="s">
        <v>9210</v>
      </c>
      <c r="O1480" t="s">
        <v>61</v>
      </c>
      <c r="Q1480">
        <v>672601482</v>
      </c>
      <c r="R1480" t="s">
        <v>9211</v>
      </c>
      <c r="S1480" t="s">
        <v>63</v>
      </c>
      <c r="T1480" t="s">
        <v>4584</v>
      </c>
      <c r="U1480" t="s">
        <v>486</v>
      </c>
      <c r="W1480" s="26">
        <v>45534</v>
      </c>
      <c r="X1480" t="s">
        <v>61</v>
      </c>
      <c r="Y1480" t="s">
        <v>237</v>
      </c>
    </row>
    <row r="1481" spans="1:25" x14ac:dyDescent="0.25">
      <c r="A1481" t="s">
        <v>9212</v>
      </c>
      <c r="B1481">
        <v>11</v>
      </c>
      <c r="C1481">
        <v>92</v>
      </c>
      <c r="D1481">
        <v>9065</v>
      </c>
      <c r="E1481" t="s">
        <v>426</v>
      </c>
      <c r="F1481" t="s">
        <v>2603</v>
      </c>
      <c r="G1481" t="s">
        <v>9213</v>
      </c>
      <c r="H1481" s="26">
        <v>36330</v>
      </c>
      <c r="I1481" t="s">
        <v>58</v>
      </c>
      <c r="J1481" t="s">
        <v>9214</v>
      </c>
      <c r="M1481">
        <v>92240</v>
      </c>
      <c r="N1481" t="s">
        <v>1368</v>
      </c>
      <c r="O1481" t="s">
        <v>61</v>
      </c>
      <c r="Q1481">
        <v>622509690</v>
      </c>
      <c r="R1481" t="s">
        <v>9215</v>
      </c>
      <c r="S1481" t="s">
        <v>63</v>
      </c>
      <c r="T1481" t="s">
        <v>4584</v>
      </c>
      <c r="U1481" t="s">
        <v>8684</v>
      </c>
      <c r="W1481" s="26">
        <v>45534</v>
      </c>
      <c r="X1481" t="s">
        <v>61</v>
      </c>
      <c r="Y1481" t="s">
        <v>237</v>
      </c>
    </row>
    <row r="1482" spans="1:25" x14ac:dyDescent="0.25">
      <c r="A1482" t="s">
        <v>9216</v>
      </c>
      <c r="B1482">
        <v>11</v>
      </c>
      <c r="C1482">
        <v>93</v>
      </c>
      <c r="D1482">
        <v>9122</v>
      </c>
      <c r="E1482" t="s">
        <v>1030</v>
      </c>
      <c r="F1482" t="s">
        <v>2243</v>
      </c>
      <c r="G1482" t="s">
        <v>9217</v>
      </c>
      <c r="H1482" s="26">
        <v>38041</v>
      </c>
      <c r="I1482" t="s">
        <v>58</v>
      </c>
      <c r="J1482" t="s">
        <v>9218</v>
      </c>
      <c r="M1482">
        <v>94430</v>
      </c>
      <c r="N1482" t="s">
        <v>2898</v>
      </c>
      <c r="O1482" t="s">
        <v>61</v>
      </c>
      <c r="Q1482">
        <v>782401847</v>
      </c>
      <c r="R1482" t="s">
        <v>9219</v>
      </c>
      <c r="S1482" t="s">
        <v>63</v>
      </c>
      <c r="T1482" t="s">
        <v>4616</v>
      </c>
      <c r="U1482" t="s">
        <v>8684</v>
      </c>
      <c r="W1482" s="26">
        <v>45535</v>
      </c>
      <c r="X1482" t="s">
        <v>61</v>
      </c>
      <c r="Y1482" t="s">
        <v>237</v>
      </c>
    </row>
    <row r="1483" spans="1:25" x14ac:dyDescent="0.25">
      <c r="A1483" t="s">
        <v>9220</v>
      </c>
      <c r="B1483">
        <v>11</v>
      </c>
      <c r="C1483">
        <v>91</v>
      </c>
      <c r="D1483">
        <v>9096</v>
      </c>
      <c r="E1483" t="s">
        <v>526</v>
      </c>
      <c r="F1483" t="s">
        <v>217</v>
      </c>
      <c r="G1483" t="s">
        <v>9221</v>
      </c>
      <c r="H1483" s="26">
        <v>30148</v>
      </c>
      <c r="I1483" t="s">
        <v>58</v>
      </c>
      <c r="J1483" t="s">
        <v>9222</v>
      </c>
      <c r="M1483">
        <v>91580</v>
      </c>
      <c r="N1483" t="s">
        <v>528</v>
      </c>
      <c r="O1483" t="s">
        <v>61</v>
      </c>
      <c r="Q1483">
        <v>617014314</v>
      </c>
      <c r="R1483" t="s">
        <v>9223</v>
      </c>
      <c r="S1483" t="s">
        <v>63</v>
      </c>
      <c r="T1483" t="s">
        <v>4584</v>
      </c>
      <c r="U1483" t="s">
        <v>486</v>
      </c>
      <c r="W1483" s="26">
        <v>45536</v>
      </c>
      <c r="X1483" t="s">
        <v>61</v>
      </c>
      <c r="Y1483" t="s">
        <v>237</v>
      </c>
    </row>
    <row r="1484" spans="1:25" x14ac:dyDescent="0.25">
      <c r="A1484" t="s">
        <v>9224</v>
      </c>
      <c r="B1484">
        <v>11</v>
      </c>
      <c r="C1484">
        <v>91</v>
      </c>
      <c r="D1484">
        <v>9096</v>
      </c>
      <c r="E1484" t="s">
        <v>526</v>
      </c>
      <c r="F1484" t="s">
        <v>13</v>
      </c>
      <c r="G1484" t="s">
        <v>1172</v>
      </c>
      <c r="H1484" s="26">
        <v>22117</v>
      </c>
      <c r="I1484" t="s">
        <v>58</v>
      </c>
      <c r="J1484" t="s">
        <v>9225</v>
      </c>
      <c r="M1484">
        <v>91150</v>
      </c>
      <c r="N1484" t="s">
        <v>9226</v>
      </c>
      <c r="O1484" t="s">
        <v>61</v>
      </c>
      <c r="Q1484">
        <v>774171726</v>
      </c>
      <c r="R1484" t="s">
        <v>9227</v>
      </c>
      <c r="S1484" t="s">
        <v>63</v>
      </c>
      <c r="T1484" t="s">
        <v>4584</v>
      </c>
      <c r="U1484" t="s">
        <v>65</v>
      </c>
      <c r="W1484" s="26">
        <v>45536</v>
      </c>
      <c r="X1484" t="s">
        <v>61</v>
      </c>
      <c r="Y1484" t="s">
        <v>237</v>
      </c>
    </row>
    <row r="1485" spans="1:25" x14ac:dyDescent="0.25">
      <c r="A1485" t="s">
        <v>9228</v>
      </c>
      <c r="B1485">
        <v>11</v>
      </c>
      <c r="C1485">
        <v>91</v>
      </c>
      <c r="D1485">
        <v>9096</v>
      </c>
      <c r="E1485" t="s">
        <v>526</v>
      </c>
      <c r="F1485" t="s">
        <v>555</v>
      </c>
      <c r="G1485" t="s">
        <v>9229</v>
      </c>
      <c r="H1485" s="26">
        <v>19921</v>
      </c>
      <c r="I1485" t="s">
        <v>58</v>
      </c>
      <c r="J1485" t="s">
        <v>9230</v>
      </c>
      <c r="M1485">
        <v>91580</v>
      </c>
      <c r="N1485" t="s">
        <v>528</v>
      </c>
      <c r="O1485" t="s">
        <v>61</v>
      </c>
      <c r="Q1485">
        <v>674766259</v>
      </c>
      <c r="R1485" t="s">
        <v>9231</v>
      </c>
      <c r="S1485" t="s">
        <v>63</v>
      </c>
      <c r="T1485" t="s">
        <v>4584</v>
      </c>
      <c r="U1485" t="s">
        <v>65</v>
      </c>
      <c r="W1485" s="26">
        <v>45536</v>
      </c>
      <c r="X1485" t="s">
        <v>61</v>
      </c>
      <c r="Y1485" t="s">
        <v>237</v>
      </c>
    </row>
    <row r="1486" spans="1:25" x14ac:dyDescent="0.25">
      <c r="A1486" t="s">
        <v>9232</v>
      </c>
      <c r="B1486">
        <v>11</v>
      </c>
      <c r="C1486">
        <v>92</v>
      </c>
      <c r="D1486">
        <v>9007</v>
      </c>
      <c r="E1486" t="s">
        <v>121</v>
      </c>
      <c r="F1486" t="s">
        <v>9233</v>
      </c>
      <c r="G1486" t="s">
        <v>1246</v>
      </c>
      <c r="H1486" s="26">
        <v>20991</v>
      </c>
      <c r="I1486" t="s">
        <v>16</v>
      </c>
      <c r="J1486" t="s">
        <v>9234</v>
      </c>
      <c r="M1486">
        <v>92600</v>
      </c>
      <c r="N1486" t="s">
        <v>410</v>
      </c>
      <c r="O1486" t="s">
        <v>61</v>
      </c>
      <c r="R1486" t="s">
        <v>9235</v>
      </c>
      <c r="S1486" t="s">
        <v>63</v>
      </c>
      <c r="T1486" t="s">
        <v>4584</v>
      </c>
      <c r="U1486" t="s">
        <v>65</v>
      </c>
      <c r="W1486" s="26">
        <v>45537</v>
      </c>
      <c r="X1486" t="s">
        <v>61</v>
      </c>
      <c r="Y1486" t="s">
        <v>237</v>
      </c>
    </row>
    <row r="1487" spans="1:25" x14ac:dyDescent="0.25">
      <c r="A1487" t="s">
        <v>9236</v>
      </c>
      <c r="B1487">
        <v>11</v>
      </c>
      <c r="C1487">
        <v>92</v>
      </c>
      <c r="D1487">
        <v>9007</v>
      </c>
      <c r="E1487" t="s">
        <v>121</v>
      </c>
      <c r="F1487" t="s">
        <v>2802</v>
      </c>
      <c r="G1487" t="s">
        <v>9237</v>
      </c>
      <c r="H1487" s="26">
        <v>41379</v>
      </c>
      <c r="I1487" t="s">
        <v>58</v>
      </c>
      <c r="J1487" t="s">
        <v>9238</v>
      </c>
      <c r="M1487">
        <v>92270</v>
      </c>
      <c r="N1487" t="s">
        <v>796</v>
      </c>
      <c r="O1487" t="s">
        <v>61</v>
      </c>
      <c r="R1487" t="s">
        <v>9239</v>
      </c>
      <c r="S1487" t="s">
        <v>63</v>
      </c>
      <c r="T1487" t="s">
        <v>4616</v>
      </c>
      <c r="U1487" t="s">
        <v>486</v>
      </c>
      <c r="W1487" s="26">
        <v>45537</v>
      </c>
      <c r="X1487" t="s">
        <v>61</v>
      </c>
      <c r="Y1487" t="s">
        <v>237</v>
      </c>
    </row>
    <row r="1488" spans="1:25" x14ac:dyDescent="0.25">
      <c r="A1488" t="s">
        <v>9240</v>
      </c>
      <c r="B1488">
        <v>11</v>
      </c>
      <c r="C1488">
        <v>77</v>
      </c>
      <c r="D1488">
        <v>9049</v>
      </c>
      <c r="E1488" t="s">
        <v>902</v>
      </c>
      <c r="F1488" t="s">
        <v>97</v>
      </c>
      <c r="G1488" t="s">
        <v>9241</v>
      </c>
      <c r="H1488" s="26">
        <v>16035</v>
      </c>
      <c r="I1488" t="s">
        <v>58</v>
      </c>
      <c r="J1488" t="s">
        <v>9242</v>
      </c>
      <c r="M1488">
        <v>77260</v>
      </c>
      <c r="N1488" t="s">
        <v>5212</v>
      </c>
      <c r="O1488" t="s">
        <v>61</v>
      </c>
      <c r="Q1488">
        <v>672195573</v>
      </c>
      <c r="R1488" t="s">
        <v>9243</v>
      </c>
      <c r="S1488" t="s">
        <v>63</v>
      </c>
      <c r="T1488" t="s">
        <v>4584</v>
      </c>
      <c r="U1488" t="s">
        <v>65</v>
      </c>
      <c r="W1488" s="26">
        <v>45537</v>
      </c>
      <c r="X1488" t="s">
        <v>61</v>
      </c>
      <c r="Y1488" t="s">
        <v>237</v>
      </c>
    </row>
    <row r="1489" spans="1:25" x14ac:dyDescent="0.25">
      <c r="A1489" t="s">
        <v>9244</v>
      </c>
      <c r="B1489">
        <v>11</v>
      </c>
      <c r="C1489">
        <v>92</v>
      </c>
      <c r="D1489">
        <v>9065</v>
      </c>
      <c r="E1489" t="s">
        <v>426</v>
      </c>
      <c r="F1489" t="s">
        <v>9245</v>
      </c>
      <c r="G1489" t="s">
        <v>9246</v>
      </c>
      <c r="H1489" s="26">
        <v>33999</v>
      </c>
      <c r="I1489" t="s">
        <v>58</v>
      </c>
      <c r="J1489" t="s">
        <v>9247</v>
      </c>
      <c r="M1489">
        <v>92340</v>
      </c>
      <c r="N1489" t="s">
        <v>1091</v>
      </c>
      <c r="O1489" t="s">
        <v>61</v>
      </c>
      <c r="Q1489">
        <v>766631824</v>
      </c>
      <c r="R1489" t="s">
        <v>9248</v>
      </c>
      <c r="S1489" t="s">
        <v>63</v>
      </c>
      <c r="T1489" t="s">
        <v>4584</v>
      </c>
      <c r="U1489" t="s">
        <v>486</v>
      </c>
      <c r="W1489" s="26">
        <v>45538</v>
      </c>
      <c r="X1489" t="s">
        <v>2726</v>
      </c>
      <c r="Y1489" t="s">
        <v>237</v>
      </c>
    </row>
    <row r="1490" spans="1:25" x14ac:dyDescent="0.25">
      <c r="A1490" t="s">
        <v>9249</v>
      </c>
      <c r="B1490">
        <v>11</v>
      </c>
      <c r="C1490">
        <v>77</v>
      </c>
      <c r="D1490">
        <v>9049</v>
      </c>
      <c r="E1490" t="s">
        <v>902</v>
      </c>
      <c r="F1490" t="s">
        <v>693</v>
      </c>
      <c r="G1490" t="s">
        <v>9250</v>
      </c>
      <c r="H1490" s="26">
        <v>20491</v>
      </c>
      <c r="I1490" t="s">
        <v>16</v>
      </c>
      <c r="J1490" t="s">
        <v>9251</v>
      </c>
      <c r="M1490">
        <v>77120</v>
      </c>
      <c r="N1490" t="s">
        <v>803</v>
      </c>
      <c r="O1490" t="s">
        <v>61</v>
      </c>
      <c r="Q1490">
        <v>651040033</v>
      </c>
      <c r="R1490" t="s">
        <v>9252</v>
      </c>
      <c r="S1490" t="s">
        <v>63</v>
      </c>
      <c r="T1490" t="s">
        <v>4584</v>
      </c>
      <c r="U1490" t="s">
        <v>65</v>
      </c>
      <c r="W1490" s="26">
        <v>45538</v>
      </c>
      <c r="X1490" t="s">
        <v>61</v>
      </c>
      <c r="Y1490" t="s">
        <v>237</v>
      </c>
    </row>
    <row r="1491" spans="1:25" x14ac:dyDescent="0.25">
      <c r="A1491" t="s">
        <v>9253</v>
      </c>
      <c r="B1491">
        <v>11</v>
      </c>
      <c r="C1491">
        <v>91</v>
      </c>
      <c r="D1491">
        <v>9025</v>
      </c>
      <c r="E1491" t="s">
        <v>188</v>
      </c>
      <c r="F1491" t="s">
        <v>4625</v>
      </c>
      <c r="G1491" t="s">
        <v>9254</v>
      </c>
      <c r="H1491" s="26">
        <v>31696</v>
      </c>
      <c r="I1491" t="s">
        <v>58</v>
      </c>
      <c r="J1491" t="s">
        <v>9255</v>
      </c>
      <c r="M1491">
        <v>91100</v>
      </c>
      <c r="N1491" t="s">
        <v>1427</v>
      </c>
      <c r="O1491" t="s">
        <v>61</v>
      </c>
      <c r="Q1491">
        <v>614018910</v>
      </c>
      <c r="R1491" t="s">
        <v>9256</v>
      </c>
      <c r="S1491" t="s">
        <v>63</v>
      </c>
      <c r="T1491" t="s">
        <v>4584</v>
      </c>
      <c r="U1491" t="s">
        <v>486</v>
      </c>
      <c r="W1491" s="26">
        <v>45538</v>
      </c>
      <c r="X1491" t="s">
        <v>3895</v>
      </c>
      <c r="Y1491" t="s">
        <v>237</v>
      </c>
    </row>
    <row r="1492" spans="1:25" x14ac:dyDescent="0.25">
      <c r="A1492" t="s">
        <v>9257</v>
      </c>
      <c r="B1492">
        <v>11</v>
      </c>
      <c r="C1492">
        <v>91</v>
      </c>
      <c r="D1492">
        <v>9096</v>
      </c>
      <c r="E1492" t="s">
        <v>526</v>
      </c>
      <c r="F1492" t="s">
        <v>9258</v>
      </c>
      <c r="G1492" t="s">
        <v>3767</v>
      </c>
      <c r="H1492" s="26">
        <v>22011</v>
      </c>
      <c r="I1492" t="s">
        <v>16</v>
      </c>
      <c r="J1492" t="s">
        <v>3768</v>
      </c>
      <c r="M1492">
        <v>91510</v>
      </c>
      <c r="N1492" t="s">
        <v>3056</v>
      </c>
      <c r="O1492" t="s">
        <v>61</v>
      </c>
      <c r="Q1492">
        <v>609639016</v>
      </c>
      <c r="S1492" t="s">
        <v>63</v>
      </c>
      <c r="T1492" t="s">
        <v>4584</v>
      </c>
      <c r="U1492" t="s">
        <v>65</v>
      </c>
      <c r="W1492" s="26">
        <v>45538</v>
      </c>
      <c r="X1492" t="s">
        <v>61</v>
      </c>
      <c r="Y1492" t="s">
        <v>237</v>
      </c>
    </row>
    <row r="1493" spans="1:25" x14ac:dyDescent="0.25">
      <c r="A1493" t="s">
        <v>9259</v>
      </c>
      <c r="B1493">
        <v>11</v>
      </c>
      <c r="C1493">
        <v>95</v>
      </c>
      <c r="D1493">
        <v>9010</v>
      </c>
      <c r="E1493" t="s">
        <v>6</v>
      </c>
      <c r="F1493" t="s">
        <v>9260</v>
      </c>
      <c r="G1493" t="s">
        <v>4490</v>
      </c>
      <c r="H1493" s="26">
        <v>36606</v>
      </c>
      <c r="I1493" t="s">
        <v>58</v>
      </c>
      <c r="J1493" t="s">
        <v>4491</v>
      </c>
      <c r="M1493">
        <v>78100</v>
      </c>
      <c r="N1493" t="s">
        <v>9261</v>
      </c>
      <c r="O1493" t="s">
        <v>61</v>
      </c>
      <c r="Q1493">
        <v>744987700</v>
      </c>
      <c r="R1493" t="s">
        <v>9262</v>
      </c>
      <c r="S1493" t="s">
        <v>63</v>
      </c>
      <c r="T1493" t="s">
        <v>4584</v>
      </c>
      <c r="U1493" t="s">
        <v>8684</v>
      </c>
      <c r="W1493" s="26">
        <v>45538</v>
      </c>
      <c r="X1493" t="s">
        <v>4493</v>
      </c>
      <c r="Y1493" t="s">
        <v>237</v>
      </c>
    </row>
    <row r="1494" spans="1:25" x14ac:dyDescent="0.25">
      <c r="A1494" t="s">
        <v>9263</v>
      </c>
      <c r="B1494">
        <v>11</v>
      </c>
      <c r="C1494">
        <v>95</v>
      </c>
      <c r="D1494">
        <v>9127</v>
      </c>
      <c r="E1494" t="s">
        <v>536</v>
      </c>
      <c r="F1494" t="s">
        <v>4548</v>
      </c>
      <c r="G1494" t="s">
        <v>8838</v>
      </c>
      <c r="H1494" s="26">
        <v>40255</v>
      </c>
      <c r="I1494" t="s">
        <v>58</v>
      </c>
      <c r="J1494" t="s">
        <v>8839</v>
      </c>
      <c r="M1494">
        <v>28920</v>
      </c>
      <c r="N1494" t="s">
        <v>8840</v>
      </c>
      <c r="O1494" t="s">
        <v>61</v>
      </c>
      <c r="Q1494">
        <v>613245683</v>
      </c>
      <c r="R1494" t="s">
        <v>9264</v>
      </c>
      <c r="S1494" t="s">
        <v>63</v>
      </c>
      <c r="T1494" t="s">
        <v>4616</v>
      </c>
      <c r="U1494" t="s">
        <v>486</v>
      </c>
      <c r="W1494" s="26">
        <v>45538</v>
      </c>
      <c r="X1494" t="s">
        <v>61</v>
      </c>
      <c r="Y1494" t="s">
        <v>237</v>
      </c>
    </row>
    <row r="1495" spans="1:25" x14ac:dyDescent="0.25">
      <c r="A1495" t="s">
        <v>9265</v>
      </c>
      <c r="B1495">
        <v>11</v>
      </c>
      <c r="C1495">
        <v>94</v>
      </c>
      <c r="D1495">
        <v>9129</v>
      </c>
      <c r="E1495" t="s">
        <v>1549</v>
      </c>
      <c r="F1495" t="s">
        <v>183</v>
      </c>
      <c r="G1495" t="s">
        <v>9266</v>
      </c>
      <c r="H1495" s="26">
        <v>24121</v>
      </c>
      <c r="I1495" t="s">
        <v>58</v>
      </c>
      <c r="J1495" t="s">
        <v>9267</v>
      </c>
      <c r="M1495">
        <v>94410</v>
      </c>
      <c r="N1495" t="s">
        <v>728</v>
      </c>
      <c r="O1495" t="s">
        <v>61</v>
      </c>
      <c r="Q1495">
        <v>688060578</v>
      </c>
      <c r="R1495" t="s">
        <v>9268</v>
      </c>
      <c r="S1495" t="s">
        <v>63</v>
      </c>
      <c r="T1495" t="s">
        <v>4584</v>
      </c>
      <c r="U1495" t="s">
        <v>8684</v>
      </c>
      <c r="W1495" s="26">
        <v>45538</v>
      </c>
      <c r="X1495" t="s">
        <v>61</v>
      </c>
      <c r="Y1495" t="s">
        <v>237</v>
      </c>
    </row>
    <row r="1496" spans="1:25" x14ac:dyDescent="0.25">
      <c r="A1496" t="s">
        <v>9269</v>
      </c>
      <c r="B1496">
        <v>11</v>
      </c>
      <c r="C1496">
        <v>94</v>
      </c>
      <c r="D1496">
        <v>9045</v>
      </c>
      <c r="E1496" t="s">
        <v>1234</v>
      </c>
      <c r="F1496" t="s">
        <v>3312</v>
      </c>
      <c r="G1496" t="s">
        <v>9270</v>
      </c>
      <c r="H1496" s="26">
        <v>29727</v>
      </c>
      <c r="I1496" t="s">
        <v>58</v>
      </c>
      <c r="J1496" t="s">
        <v>9271</v>
      </c>
      <c r="M1496">
        <v>94270</v>
      </c>
      <c r="N1496" t="s">
        <v>2800</v>
      </c>
      <c r="O1496" t="s">
        <v>61</v>
      </c>
      <c r="Q1496">
        <v>669906521</v>
      </c>
      <c r="R1496" t="s">
        <v>9272</v>
      </c>
      <c r="S1496" t="s">
        <v>63</v>
      </c>
      <c r="T1496" t="s">
        <v>4584</v>
      </c>
      <c r="U1496" t="s">
        <v>8684</v>
      </c>
      <c r="W1496" s="26">
        <v>45539</v>
      </c>
      <c r="X1496" t="s">
        <v>61</v>
      </c>
      <c r="Y1496" t="s">
        <v>237</v>
      </c>
    </row>
    <row r="1497" spans="1:25" x14ac:dyDescent="0.25">
      <c r="A1497" t="s">
        <v>9273</v>
      </c>
      <c r="B1497">
        <v>11</v>
      </c>
      <c r="C1497">
        <v>91</v>
      </c>
      <c r="D1497">
        <v>9131</v>
      </c>
      <c r="E1497" t="s">
        <v>8686</v>
      </c>
      <c r="F1497" t="s">
        <v>816</v>
      </c>
      <c r="G1497" t="s">
        <v>4740</v>
      </c>
      <c r="H1497" s="26">
        <v>20035</v>
      </c>
      <c r="I1497" t="s">
        <v>58</v>
      </c>
      <c r="J1497" t="s">
        <v>9274</v>
      </c>
      <c r="M1497">
        <v>91210</v>
      </c>
      <c r="N1497" t="s">
        <v>226</v>
      </c>
      <c r="O1497" t="s">
        <v>61</v>
      </c>
      <c r="Q1497">
        <v>626361696</v>
      </c>
      <c r="S1497" t="s">
        <v>63</v>
      </c>
      <c r="T1497" t="s">
        <v>4584</v>
      </c>
      <c r="U1497" t="s">
        <v>65</v>
      </c>
      <c r="W1497" s="26">
        <v>45539</v>
      </c>
      <c r="X1497" t="s">
        <v>61</v>
      </c>
      <c r="Y1497" t="s">
        <v>237</v>
      </c>
    </row>
    <row r="1498" spans="1:25" x14ac:dyDescent="0.25">
      <c r="A1498" t="s">
        <v>9275</v>
      </c>
      <c r="B1498">
        <v>11</v>
      </c>
      <c r="C1498">
        <v>94</v>
      </c>
      <c r="D1498">
        <v>9024</v>
      </c>
      <c r="E1498" t="s">
        <v>4</v>
      </c>
      <c r="F1498" t="s">
        <v>9276</v>
      </c>
      <c r="G1498" t="s">
        <v>9277</v>
      </c>
      <c r="H1498" s="26">
        <v>36140</v>
      </c>
      <c r="I1498" t="s">
        <v>58</v>
      </c>
      <c r="J1498" t="s">
        <v>9278</v>
      </c>
      <c r="K1498" t="s">
        <v>9279</v>
      </c>
      <c r="M1498">
        <v>94400</v>
      </c>
      <c r="N1498" t="s">
        <v>406</v>
      </c>
      <c r="O1498" t="s">
        <v>61</v>
      </c>
      <c r="Q1498">
        <v>769072245</v>
      </c>
      <c r="R1498" t="s">
        <v>9280</v>
      </c>
      <c r="S1498" t="s">
        <v>63</v>
      </c>
      <c r="T1498" t="s">
        <v>4584</v>
      </c>
      <c r="U1498" t="s">
        <v>8684</v>
      </c>
      <c r="W1498" s="26">
        <v>45539</v>
      </c>
      <c r="X1498" t="s">
        <v>61</v>
      </c>
      <c r="Y1498" t="s">
        <v>237</v>
      </c>
    </row>
    <row r="1499" spans="1:25" x14ac:dyDescent="0.25">
      <c r="A1499" t="s">
        <v>9281</v>
      </c>
      <c r="B1499">
        <v>11</v>
      </c>
      <c r="C1499">
        <v>95</v>
      </c>
      <c r="D1499">
        <v>9127</v>
      </c>
      <c r="E1499" t="s">
        <v>536</v>
      </c>
      <c r="F1499" t="s">
        <v>74</v>
      </c>
      <c r="G1499" t="s">
        <v>9282</v>
      </c>
      <c r="H1499" s="26">
        <v>33765</v>
      </c>
      <c r="I1499" t="s">
        <v>58</v>
      </c>
      <c r="J1499" t="s">
        <v>9283</v>
      </c>
      <c r="M1499">
        <v>27200</v>
      </c>
      <c r="N1499" t="s">
        <v>2038</v>
      </c>
      <c r="O1499" t="s">
        <v>61</v>
      </c>
      <c r="R1499" t="s">
        <v>9284</v>
      </c>
      <c r="S1499" t="s">
        <v>63</v>
      </c>
      <c r="T1499" t="s">
        <v>4584</v>
      </c>
      <c r="U1499" t="s">
        <v>486</v>
      </c>
      <c r="W1499" s="26">
        <v>45539</v>
      </c>
      <c r="X1499" t="s">
        <v>2726</v>
      </c>
      <c r="Y1499" t="s">
        <v>237</v>
      </c>
    </row>
    <row r="1500" spans="1:25" x14ac:dyDescent="0.25">
      <c r="A1500" t="s">
        <v>9285</v>
      </c>
      <c r="B1500">
        <v>11</v>
      </c>
      <c r="C1500">
        <v>95</v>
      </c>
      <c r="D1500">
        <v>9127</v>
      </c>
      <c r="E1500" t="s">
        <v>536</v>
      </c>
      <c r="F1500" t="s">
        <v>9286</v>
      </c>
      <c r="G1500" t="s">
        <v>9287</v>
      </c>
      <c r="H1500" s="26">
        <v>37585</v>
      </c>
      <c r="I1500" t="s">
        <v>58</v>
      </c>
      <c r="J1500" t="s">
        <v>9288</v>
      </c>
      <c r="M1500">
        <v>27940</v>
      </c>
      <c r="N1500" t="s">
        <v>9289</v>
      </c>
      <c r="O1500" t="s">
        <v>61</v>
      </c>
      <c r="R1500" t="s">
        <v>9290</v>
      </c>
      <c r="S1500" t="s">
        <v>63</v>
      </c>
      <c r="T1500" t="s">
        <v>4584</v>
      </c>
      <c r="U1500" t="s">
        <v>486</v>
      </c>
      <c r="W1500" s="26">
        <v>45539</v>
      </c>
      <c r="X1500" t="s">
        <v>61</v>
      </c>
      <c r="Y1500" t="s">
        <v>237</v>
      </c>
    </row>
    <row r="1501" spans="1:25" x14ac:dyDescent="0.25">
      <c r="A1501" t="s">
        <v>9291</v>
      </c>
      <c r="B1501">
        <v>11</v>
      </c>
      <c r="C1501">
        <v>94</v>
      </c>
      <c r="D1501">
        <v>9024</v>
      </c>
      <c r="E1501" t="s">
        <v>4</v>
      </c>
      <c r="F1501" t="s">
        <v>9292</v>
      </c>
      <c r="G1501" t="s">
        <v>2069</v>
      </c>
      <c r="H1501" s="26">
        <v>32490</v>
      </c>
      <c r="I1501" t="s">
        <v>58</v>
      </c>
      <c r="J1501" t="s">
        <v>9293</v>
      </c>
      <c r="K1501" t="s">
        <v>9294</v>
      </c>
      <c r="M1501">
        <v>93330</v>
      </c>
      <c r="N1501" t="s">
        <v>2375</v>
      </c>
      <c r="O1501" t="s">
        <v>61</v>
      </c>
      <c r="Q1501">
        <v>765988888</v>
      </c>
      <c r="R1501" t="s">
        <v>9295</v>
      </c>
      <c r="S1501" t="s">
        <v>63</v>
      </c>
      <c r="T1501" t="s">
        <v>4584</v>
      </c>
      <c r="U1501" t="s">
        <v>8684</v>
      </c>
      <c r="W1501" s="26">
        <v>45540</v>
      </c>
      <c r="X1501" t="s">
        <v>61</v>
      </c>
      <c r="Y1501" t="s">
        <v>237</v>
      </c>
    </row>
    <row r="1502" spans="1:25" x14ac:dyDescent="0.25">
      <c r="A1502" t="s">
        <v>9296</v>
      </c>
      <c r="B1502">
        <v>11</v>
      </c>
      <c r="C1502">
        <v>95</v>
      </c>
      <c r="D1502">
        <v>9069</v>
      </c>
      <c r="E1502" t="s">
        <v>129</v>
      </c>
      <c r="F1502" t="s">
        <v>143</v>
      </c>
      <c r="G1502" t="s">
        <v>9297</v>
      </c>
      <c r="H1502" s="26">
        <v>28666</v>
      </c>
      <c r="I1502" t="s">
        <v>58</v>
      </c>
      <c r="J1502" t="s">
        <v>1116</v>
      </c>
      <c r="M1502">
        <v>95110</v>
      </c>
      <c r="N1502" t="s">
        <v>1117</v>
      </c>
      <c r="O1502" t="s">
        <v>61</v>
      </c>
      <c r="Q1502">
        <v>662190678</v>
      </c>
      <c r="R1502" t="s">
        <v>9298</v>
      </c>
      <c r="S1502" t="s">
        <v>63</v>
      </c>
      <c r="T1502" t="s">
        <v>4584</v>
      </c>
      <c r="U1502" t="s">
        <v>8684</v>
      </c>
      <c r="W1502" s="26">
        <v>45540</v>
      </c>
      <c r="X1502" t="s">
        <v>61</v>
      </c>
      <c r="Y1502" t="s">
        <v>237</v>
      </c>
    </row>
    <row r="1503" spans="1:25" x14ac:dyDescent="0.25">
      <c r="A1503" t="s">
        <v>9299</v>
      </c>
      <c r="B1503">
        <v>11</v>
      </c>
      <c r="C1503">
        <v>91</v>
      </c>
      <c r="D1503">
        <v>9082</v>
      </c>
      <c r="E1503" t="s">
        <v>67</v>
      </c>
      <c r="F1503" t="s">
        <v>91</v>
      </c>
      <c r="G1503" t="s">
        <v>9300</v>
      </c>
      <c r="H1503" s="26">
        <v>13586</v>
      </c>
      <c r="I1503" t="s">
        <v>58</v>
      </c>
      <c r="J1503" t="s">
        <v>9301</v>
      </c>
      <c r="K1503" t="s">
        <v>9302</v>
      </c>
      <c r="M1503">
        <v>91210</v>
      </c>
      <c r="N1503" t="s">
        <v>226</v>
      </c>
      <c r="O1503" t="s">
        <v>61</v>
      </c>
      <c r="Q1503">
        <v>629313083</v>
      </c>
      <c r="R1503" t="s">
        <v>9303</v>
      </c>
      <c r="S1503" t="s">
        <v>63</v>
      </c>
      <c r="T1503" t="s">
        <v>4584</v>
      </c>
      <c r="U1503" t="s">
        <v>65</v>
      </c>
      <c r="W1503" s="26">
        <v>45540</v>
      </c>
      <c r="X1503" t="s">
        <v>61</v>
      </c>
      <c r="Y1503" t="s">
        <v>237</v>
      </c>
    </row>
    <row r="1504" spans="1:25" x14ac:dyDescent="0.25">
      <c r="A1504" t="s">
        <v>9304</v>
      </c>
      <c r="B1504">
        <v>11</v>
      </c>
      <c r="C1504">
        <v>91</v>
      </c>
      <c r="D1504">
        <v>9082</v>
      </c>
      <c r="E1504" t="s">
        <v>67</v>
      </c>
      <c r="F1504" t="s">
        <v>555</v>
      </c>
      <c r="G1504" t="s">
        <v>9305</v>
      </c>
      <c r="H1504" s="26">
        <v>22299</v>
      </c>
      <c r="I1504" t="s">
        <v>58</v>
      </c>
      <c r="J1504" t="s">
        <v>9306</v>
      </c>
      <c r="M1504">
        <v>91270</v>
      </c>
      <c r="N1504" t="s">
        <v>9136</v>
      </c>
      <c r="O1504" t="s">
        <v>61</v>
      </c>
      <c r="Q1504">
        <v>607836114</v>
      </c>
      <c r="R1504" t="s">
        <v>9307</v>
      </c>
      <c r="S1504" t="s">
        <v>63</v>
      </c>
      <c r="T1504" t="s">
        <v>4584</v>
      </c>
      <c r="U1504" t="s">
        <v>65</v>
      </c>
      <c r="W1504" s="26">
        <v>45540</v>
      </c>
      <c r="X1504" t="s">
        <v>61</v>
      </c>
      <c r="Y1504" t="s">
        <v>237</v>
      </c>
    </row>
    <row r="1505" spans="1:25" x14ac:dyDescent="0.25">
      <c r="A1505" t="s">
        <v>9308</v>
      </c>
      <c r="B1505">
        <v>11</v>
      </c>
      <c r="C1505">
        <v>91</v>
      </c>
      <c r="D1505">
        <v>9082</v>
      </c>
      <c r="E1505" t="s">
        <v>67</v>
      </c>
      <c r="F1505" t="s">
        <v>916</v>
      </c>
      <c r="G1505" t="s">
        <v>9309</v>
      </c>
      <c r="H1505" s="26">
        <v>23400</v>
      </c>
      <c r="I1505" t="s">
        <v>58</v>
      </c>
      <c r="J1505" t="s">
        <v>9310</v>
      </c>
      <c r="M1505">
        <v>91270</v>
      </c>
      <c r="N1505" t="s">
        <v>9136</v>
      </c>
      <c r="O1505" t="s">
        <v>61</v>
      </c>
      <c r="Q1505">
        <v>676618855</v>
      </c>
      <c r="R1505" t="s">
        <v>9311</v>
      </c>
      <c r="S1505" t="s">
        <v>63</v>
      </c>
      <c r="T1505" t="s">
        <v>4584</v>
      </c>
      <c r="U1505" t="s">
        <v>486</v>
      </c>
      <c r="W1505" s="26">
        <v>45540</v>
      </c>
      <c r="X1505" t="s">
        <v>61</v>
      </c>
      <c r="Y1505" t="s">
        <v>237</v>
      </c>
    </row>
    <row r="1506" spans="1:25" x14ac:dyDescent="0.25">
      <c r="A1506" t="s">
        <v>9312</v>
      </c>
      <c r="B1506">
        <v>11</v>
      </c>
      <c r="C1506">
        <v>94</v>
      </c>
      <c r="D1506">
        <v>9045</v>
      </c>
      <c r="E1506" t="s">
        <v>1234</v>
      </c>
      <c r="F1506" t="s">
        <v>9313</v>
      </c>
      <c r="G1506" t="s">
        <v>9082</v>
      </c>
      <c r="H1506" s="26">
        <v>36827</v>
      </c>
      <c r="I1506" t="s">
        <v>58</v>
      </c>
      <c r="J1506" t="s">
        <v>9314</v>
      </c>
      <c r="M1506">
        <v>94270</v>
      </c>
      <c r="N1506" t="s">
        <v>2800</v>
      </c>
      <c r="O1506" t="s">
        <v>61</v>
      </c>
      <c r="Q1506">
        <v>695024318</v>
      </c>
      <c r="R1506" t="s">
        <v>9315</v>
      </c>
      <c r="S1506" t="s">
        <v>63</v>
      </c>
      <c r="T1506" t="s">
        <v>4584</v>
      </c>
      <c r="U1506" t="s">
        <v>8684</v>
      </c>
      <c r="W1506" s="26">
        <v>45541</v>
      </c>
      <c r="X1506" t="s">
        <v>4929</v>
      </c>
      <c r="Y1506" t="s">
        <v>237</v>
      </c>
    </row>
    <row r="1507" spans="1:25" x14ac:dyDescent="0.25">
      <c r="A1507" t="s">
        <v>9316</v>
      </c>
      <c r="B1507">
        <v>11</v>
      </c>
      <c r="C1507">
        <v>94</v>
      </c>
      <c r="D1507">
        <v>9045</v>
      </c>
      <c r="E1507" t="s">
        <v>1234</v>
      </c>
      <c r="F1507" t="s">
        <v>9317</v>
      </c>
      <c r="G1507" t="s">
        <v>2695</v>
      </c>
      <c r="H1507" s="26">
        <v>36980</v>
      </c>
      <c r="I1507" t="s">
        <v>58</v>
      </c>
      <c r="J1507" t="s">
        <v>9318</v>
      </c>
      <c r="M1507">
        <v>94200</v>
      </c>
      <c r="N1507" t="s">
        <v>899</v>
      </c>
      <c r="O1507" t="s">
        <v>61</v>
      </c>
      <c r="Q1507">
        <v>669228933</v>
      </c>
      <c r="R1507" t="s">
        <v>9319</v>
      </c>
      <c r="S1507" t="s">
        <v>63</v>
      </c>
      <c r="T1507" t="s">
        <v>4584</v>
      </c>
      <c r="U1507" t="s">
        <v>8684</v>
      </c>
      <c r="W1507" s="26">
        <v>45541</v>
      </c>
      <c r="X1507" t="s">
        <v>4929</v>
      </c>
      <c r="Y1507" t="s">
        <v>237</v>
      </c>
    </row>
    <row r="1508" spans="1:25" x14ac:dyDescent="0.25">
      <c r="A1508" t="s">
        <v>9320</v>
      </c>
      <c r="B1508">
        <v>11</v>
      </c>
      <c r="C1508">
        <v>91</v>
      </c>
      <c r="D1508">
        <v>9131</v>
      </c>
      <c r="E1508" t="s">
        <v>8686</v>
      </c>
      <c r="F1508" t="s">
        <v>9321</v>
      </c>
      <c r="G1508" t="s">
        <v>9322</v>
      </c>
      <c r="H1508" s="26">
        <v>22050</v>
      </c>
      <c r="I1508" t="s">
        <v>58</v>
      </c>
      <c r="J1508" t="s">
        <v>9323</v>
      </c>
      <c r="M1508">
        <v>91270</v>
      </c>
      <c r="N1508" t="s">
        <v>1412</v>
      </c>
      <c r="O1508" t="s">
        <v>61</v>
      </c>
      <c r="Q1508">
        <v>622362257</v>
      </c>
      <c r="R1508" t="s">
        <v>9324</v>
      </c>
      <c r="S1508" t="s">
        <v>63</v>
      </c>
      <c r="T1508" t="s">
        <v>4584</v>
      </c>
      <c r="U1508" t="s">
        <v>65</v>
      </c>
      <c r="W1508" s="26">
        <v>45541</v>
      </c>
      <c r="X1508" t="s">
        <v>61</v>
      </c>
      <c r="Y1508" t="s">
        <v>237</v>
      </c>
    </row>
    <row r="1509" spans="1:25" x14ac:dyDescent="0.25">
      <c r="A1509" t="s">
        <v>9325</v>
      </c>
      <c r="B1509">
        <v>11</v>
      </c>
      <c r="C1509">
        <v>91</v>
      </c>
      <c r="D1509">
        <v>9131</v>
      </c>
      <c r="E1509" t="s">
        <v>8686</v>
      </c>
      <c r="F1509" t="s">
        <v>9326</v>
      </c>
      <c r="G1509" t="s">
        <v>9327</v>
      </c>
      <c r="H1509" s="26">
        <v>24653</v>
      </c>
      <c r="I1509" t="s">
        <v>58</v>
      </c>
      <c r="J1509" t="s">
        <v>9328</v>
      </c>
      <c r="M1509">
        <v>91270</v>
      </c>
      <c r="N1509" t="s">
        <v>1412</v>
      </c>
      <c r="O1509" t="s">
        <v>61</v>
      </c>
      <c r="Q1509">
        <v>668715341</v>
      </c>
      <c r="R1509" t="s">
        <v>9329</v>
      </c>
      <c r="S1509" t="s">
        <v>63</v>
      </c>
      <c r="T1509" t="s">
        <v>4584</v>
      </c>
      <c r="U1509" t="s">
        <v>65</v>
      </c>
      <c r="W1509" s="26">
        <v>45541</v>
      </c>
      <c r="X1509" t="s">
        <v>61</v>
      </c>
      <c r="Y1509" t="s">
        <v>237</v>
      </c>
    </row>
    <row r="1510" spans="1:25" x14ac:dyDescent="0.25">
      <c r="A1510" t="s">
        <v>9330</v>
      </c>
      <c r="B1510">
        <v>11</v>
      </c>
      <c r="C1510">
        <v>77</v>
      </c>
      <c r="D1510">
        <v>9049</v>
      </c>
      <c r="E1510" t="s">
        <v>902</v>
      </c>
      <c r="F1510" t="s">
        <v>4935</v>
      </c>
      <c r="G1510" t="s">
        <v>9331</v>
      </c>
      <c r="H1510" s="26">
        <v>27007</v>
      </c>
      <c r="I1510" t="s">
        <v>16</v>
      </c>
      <c r="J1510" t="s">
        <v>9332</v>
      </c>
      <c r="M1510">
        <v>77186</v>
      </c>
      <c r="N1510" t="s">
        <v>1580</v>
      </c>
      <c r="O1510" t="s">
        <v>61</v>
      </c>
      <c r="Q1510">
        <v>671026288</v>
      </c>
      <c r="R1510" t="s">
        <v>9333</v>
      </c>
      <c r="S1510" t="s">
        <v>63</v>
      </c>
      <c r="T1510" t="s">
        <v>4584</v>
      </c>
      <c r="U1510" t="s">
        <v>8684</v>
      </c>
      <c r="W1510" s="26">
        <v>45541</v>
      </c>
      <c r="X1510" t="s">
        <v>61</v>
      </c>
      <c r="Y1510" t="s">
        <v>237</v>
      </c>
    </row>
    <row r="1511" spans="1:25" x14ac:dyDescent="0.25">
      <c r="A1511" t="s">
        <v>9334</v>
      </c>
      <c r="B1511">
        <v>11</v>
      </c>
      <c r="C1511">
        <v>91</v>
      </c>
      <c r="D1511">
        <v>9025</v>
      </c>
      <c r="E1511" t="s">
        <v>188</v>
      </c>
      <c r="F1511" t="s">
        <v>3976</v>
      </c>
      <c r="G1511" t="s">
        <v>9335</v>
      </c>
      <c r="H1511" s="26">
        <v>28387</v>
      </c>
      <c r="I1511" t="s">
        <v>58</v>
      </c>
      <c r="J1511" t="s">
        <v>9336</v>
      </c>
      <c r="M1511">
        <v>77127</v>
      </c>
      <c r="N1511" t="s">
        <v>352</v>
      </c>
      <c r="O1511" t="s">
        <v>61</v>
      </c>
      <c r="Q1511">
        <v>770860825</v>
      </c>
      <c r="R1511" t="s">
        <v>9337</v>
      </c>
      <c r="S1511" t="s">
        <v>63</v>
      </c>
      <c r="T1511" t="s">
        <v>4584</v>
      </c>
      <c r="U1511" t="s">
        <v>65</v>
      </c>
      <c r="W1511" s="26">
        <v>45541</v>
      </c>
      <c r="X1511" t="s">
        <v>61</v>
      </c>
      <c r="Y1511" t="s">
        <v>237</v>
      </c>
    </row>
    <row r="1512" spans="1:25" x14ac:dyDescent="0.25">
      <c r="A1512" t="s">
        <v>9338</v>
      </c>
      <c r="B1512">
        <v>11</v>
      </c>
      <c r="C1512">
        <v>78</v>
      </c>
      <c r="D1512">
        <v>9030</v>
      </c>
      <c r="E1512" t="s">
        <v>96</v>
      </c>
      <c r="F1512" t="s">
        <v>9339</v>
      </c>
      <c r="G1512" t="s">
        <v>9340</v>
      </c>
      <c r="H1512" s="26">
        <v>25748</v>
      </c>
      <c r="I1512" t="s">
        <v>16</v>
      </c>
      <c r="J1512" t="s">
        <v>9341</v>
      </c>
      <c r="M1512">
        <v>78180</v>
      </c>
      <c r="N1512" t="s">
        <v>1162</v>
      </c>
      <c r="O1512" t="s">
        <v>61</v>
      </c>
      <c r="Q1512">
        <v>671263244</v>
      </c>
      <c r="R1512" t="s">
        <v>9342</v>
      </c>
      <c r="S1512" t="s">
        <v>63</v>
      </c>
      <c r="T1512" t="s">
        <v>4584</v>
      </c>
      <c r="U1512" t="s">
        <v>486</v>
      </c>
      <c r="W1512" s="26">
        <v>45542</v>
      </c>
      <c r="X1512" t="s">
        <v>61</v>
      </c>
      <c r="Y1512" t="s">
        <v>237</v>
      </c>
    </row>
    <row r="1513" spans="1:25" x14ac:dyDescent="0.25">
      <c r="A1513" t="s">
        <v>9343</v>
      </c>
      <c r="B1513">
        <v>11</v>
      </c>
      <c r="C1513">
        <v>95</v>
      </c>
      <c r="D1513">
        <v>9069</v>
      </c>
      <c r="E1513" t="s">
        <v>129</v>
      </c>
      <c r="F1513" t="s">
        <v>9344</v>
      </c>
      <c r="G1513" t="s">
        <v>9345</v>
      </c>
      <c r="H1513" s="26">
        <v>30187</v>
      </c>
      <c r="I1513" t="s">
        <v>58</v>
      </c>
      <c r="J1513" t="s">
        <v>9346</v>
      </c>
      <c r="M1513">
        <v>95600</v>
      </c>
      <c r="N1513" t="s">
        <v>185</v>
      </c>
      <c r="O1513" t="s">
        <v>61</v>
      </c>
      <c r="Q1513">
        <v>678910031</v>
      </c>
      <c r="R1513" t="s">
        <v>9347</v>
      </c>
      <c r="S1513" t="s">
        <v>63</v>
      </c>
      <c r="T1513" t="s">
        <v>4584</v>
      </c>
      <c r="U1513" t="s">
        <v>65</v>
      </c>
      <c r="W1513" s="26">
        <v>45542</v>
      </c>
      <c r="X1513" t="s">
        <v>61</v>
      </c>
      <c r="Y1513" t="s">
        <v>237</v>
      </c>
    </row>
    <row r="1514" spans="1:25" x14ac:dyDescent="0.25">
      <c r="A1514" t="s">
        <v>9348</v>
      </c>
      <c r="B1514">
        <v>11</v>
      </c>
      <c r="C1514">
        <v>77</v>
      </c>
      <c r="D1514">
        <v>9059</v>
      </c>
      <c r="E1514" t="s">
        <v>197</v>
      </c>
      <c r="F1514" t="s">
        <v>9349</v>
      </c>
      <c r="G1514" t="s">
        <v>9350</v>
      </c>
      <c r="H1514" s="26">
        <v>23125</v>
      </c>
      <c r="I1514" t="s">
        <v>58</v>
      </c>
      <c r="J1514" t="s">
        <v>9351</v>
      </c>
      <c r="M1514">
        <v>77330</v>
      </c>
      <c r="N1514" t="s">
        <v>209</v>
      </c>
      <c r="O1514" t="s">
        <v>61</v>
      </c>
      <c r="R1514" t="s">
        <v>9352</v>
      </c>
      <c r="S1514" t="s">
        <v>63</v>
      </c>
      <c r="T1514" t="s">
        <v>4584</v>
      </c>
      <c r="U1514" t="s">
        <v>65</v>
      </c>
      <c r="W1514" s="26">
        <v>45543</v>
      </c>
      <c r="X1514" t="s">
        <v>61</v>
      </c>
      <c r="Y1514" t="s">
        <v>237</v>
      </c>
    </row>
    <row r="1515" spans="1:25" x14ac:dyDescent="0.25">
      <c r="A1515" t="s">
        <v>9353</v>
      </c>
      <c r="B1515">
        <v>11</v>
      </c>
      <c r="C1515">
        <v>77</v>
      </c>
      <c r="D1515">
        <v>9059</v>
      </c>
      <c r="E1515" t="s">
        <v>197</v>
      </c>
      <c r="F1515" t="s">
        <v>85</v>
      </c>
      <c r="G1515" t="s">
        <v>9354</v>
      </c>
      <c r="H1515" s="26">
        <v>20485</v>
      </c>
      <c r="I1515" t="s">
        <v>58</v>
      </c>
      <c r="J1515" t="s">
        <v>9355</v>
      </c>
      <c r="M1515">
        <v>77220</v>
      </c>
      <c r="N1515" t="s">
        <v>2435</v>
      </c>
      <c r="O1515" t="s">
        <v>61</v>
      </c>
      <c r="R1515" t="s">
        <v>9356</v>
      </c>
      <c r="S1515" t="s">
        <v>63</v>
      </c>
      <c r="T1515" t="s">
        <v>4584</v>
      </c>
      <c r="U1515" t="s">
        <v>65</v>
      </c>
      <c r="W1515" s="26">
        <v>45544</v>
      </c>
      <c r="X1515" t="s">
        <v>61</v>
      </c>
      <c r="Y1515" t="s">
        <v>237</v>
      </c>
    </row>
    <row r="1516" spans="1:25" x14ac:dyDescent="0.25">
      <c r="A1516" t="s">
        <v>9357</v>
      </c>
      <c r="B1516">
        <v>11</v>
      </c>
      <c r="C1516">
        <v>78</v>
      </c>
      <c r="D1516">
        <v>9052</v>
      </c>
      <c r="E1516" t="s">
        <v>337</v>
      </c>
      <c r="F1516" t="s">
        <v>137</v>
      </c>
      <c r="G1516" t="s">
        <v>9358</v>
      </c>
      <c r="H1516" s="26">
        <v>15322</v>
      </c>
      <c r="I1516" t="s">
        <v>58</v>
      </c>
      <c r="J1516" t="s">
        <v>9359</v>
      </c>
      <c r="M1516">
        <v>78650</v>
      </c>
      <c r="N1516" t="s">
        <v>2463</v>
      </c>
      <c r="O1516" t="s">
        <v>61</v>
      </c>
      <c r="Q1516">
        <v>62053444</v>
      </c>
      <c r="R1516" t="s">
        <v>9360</v>
      </c>
      <c r="S1516" t="s">
        <v>63</v>
      </c>
      <c r="T1516" t="s">
        <v>4584</v>
      </c>
      <c r="U1516" t="s">
        <v>65</v>
      </c>
      <c r="W1516" s="26">
        <v>45544</v>
      </c>
      <c r="X1516" t="s">
        <v>61</v>
      </c>
      <c r="Y1516" t="s">
        <v>237</v>
      </c>
    </row>
    <row r="1517" spans="1:25" x14ac:dyDescent="0.25">
      <c r="A1517" t="s">
        <v>9361</v>
      </c>
      <c r="B1517">
        <v>11</v>
      </c>
      <c r="C1517">
        <v>78</v>
      </c>
      <c r="D1517">
        <v>9038</v>
      </c>
      <c r="E1517" t="s">
        <v>484</v>
      </c>
      <c r="F1517" t="s">
        <v>115</v>
      </c>
      <c r="G1517" t="s">
        <v>9362</v>
      </c>
      <c r="H1517" s="26">
        <v>45431</v>
      </c>
      <c r="I1517" t="s">
        <v>58</v>
      </c>
      <c r="J1517" t="s">
        <v>9363</v>
      </c>
      <c r="M1517">
        <v>78700</v>
      </c>
      <c r="N1517" t="s">
        <v>3404</v>
      </c>
      <c r="O1517" t="s">
        <v>61</v>
      </c>
      <c r="P1517">
        <v>628297943</v>
      </c>
      <c r="R1517" t="s">
        <v>9364</v>
      </c>
      <c r="S1517" t="s">
        <v>63</v>
      </c>
      <c r="T1517" t="s">
        <v>4616</v>
      </c>
      <c r="U1517" t="s">
        <v>65</v>
      </c>
      <c r="W1517" s="26">
        <v>45544</v>
      </c>
      <c r="X1517" t="s">
        <v>61</v>
      </c>
      <c r="Y1517" t="s">
        <v>237</v>
      </c>
    </row>
    <row r="1518" spans="1:25" x14ac:dyDescent="0.25">
      <c r="A1518" t="s">
        <v>9365</v>
      </c>
      <c r="B1518">
        <v>11</v>
      </c>
      <c r="C1518">
        <v>78</v>
      </c>
      <c r="D1518">
        <v>9038</v>
      </c>
      <c r="E1518" t="s">
        <v>484</v>
      </c>
      <c r="F1518" t="s">
        <v>542</v>
      </c>
      <c r="G1518" t="s">
        <v>9366</v>
      </c>
      <c r="H1518" s="26">
        <v>24597</v>
      </c>
      <c r="I1518" t="s">
        <v>16</v>
      </c>
      <c r="J1518" t="s">
        <v>9367</v>
      </c>
      <c r="M1518">
        <v>78700</v>
      </c>
      <c r="N1518" t="s">
        <v>3404</v>
      </c>
      <c r="O1518" t="s">
        <v>61</v>
      </c>
      <c r="P1518">
        <v>683253406</v>
      </c>
      <c r="R1518" t="s">
        <v>9368</v>
      </c>
      <c r="S1518" t="s">
        <v>63</v>
      </c>
      <c r="T1518" t="s">
        <v>4584</v>
      </c>
      <c r="U1518" t="s">
        <v>65</v>
      </c>
      <c r="W1518" s="26">
        <v>45544</v>
      </c>
      <c r="X1518" t="s">
        <v>61</v>
      </c>
      <c r="Y1518" t="s">
        <v>237</v>
      </c>
    </row>
    <row r="1519" spans="1:25" x14ac:dyDescent="0.25">
      <c r="A1519" t="s">
        <v>9369</v>
      </c>
      <c r="B1519">
        <v>11</v>
      </c>
      <c r="C1519">
        <v>91</v>
      </c>
      <c r="D1519">
        <v>9082</v>
      </c>
      <c r="E1519" t="s">
        <v>67</v>
      </c>
      <c r="F1519" t="s">
        <v>927</v>
      </c>
      <c r="G1519" t="s">
        <v>9370</v>
      </c>
      <c r="H1519" s="26">
        <v>19761</v>
      </c>
      <c r="I1519" t="s">
        <v>58</v>
      </c>
      <c r="J1519" t="s">
        <v>9371</v>
      </c>
      <c r="M1519">
        <v>91130</v>
      </c>
      <c r="N1519" t="s">
        <v>1616</v>
      </c>
      <c r="O1519" t="s">
        <v>61</v>
      </c>
      <c r="Q1519">
        <v>683814719</v>
      </c>
      <c r="R1519" t="s">
        <v>9372</v>
      </c>
      <c r="S1519" t="s">
        <v>63</v>
      </c>
      <c r="T1519" t="s">
        <v>4584</v>
      </c>
      <c r="U1519" t="s">
        <v>65</v>
      </c>
      <c r="W1519" s="26">
        <v>45544</v>
      </c>
      <c r="X1519" t="s">
        <v>61</v>
      </c>
      <c r="Y1519" t="s">
        <v>237</v>
      </c>
    </row>
    <row r="1520" spans="1:25" x14ac:dyDescent="0.25">
      <c r="A1520" t="s">
        <v>9373</v>
      </c>
      <c r="B1520">
        <v>11</v>
      </c>
      <c r="C1520">
        <v>78</v>
      </c>
      <c r="D1520">
        <v>9052</v>
      </c>
      <c r="E1520" t="s">
        <v>337</v>
      </c>
      <c r="F1520" t="s">
        <v>154</v>
      </c>
      <c r="G1520" t="s">
        <v>9374</v>
      </c>
      <c r="H1520" s="26">
        <v>23771</v>
      </c>
      <c r="I1520" t="s">
        <v>58</v>
      </c>
      <c r="J1520" t="s">
        <v>9375</v>
      </c>
      <c r="M1520">
        <v>78520</v>
      </c>
      <c r="N1520" t="s">
        <v>365</v>
      </c>
      <c r="O1520" t="s">
        <v>61</v>
      </c>
      <c r="Q1520">
        <v>695682549</v>
      </c>
      <c r="R1520" t="s">
        <v>9376</v>
      </c>
      <c r="S1520" t="s">
        <v>63</v>
      </c>
      <c r="T1520" t="s">
        <v>4584</v>
      </c>
      <c r="U1520" t="s">
        <v>65</v>
      </c>
      <c r="W1520" s="26">
        <v>45544</v>
      </c>
      <c r="X1520" t="s">
        <v>61</v>
      </c>
      <c r="Y1520" t="s">
        <v>237</v>
      </c>
    </row>
    <row r="1521" spans="1:25" x14ac:dyDescent="0.25">
      <c r="A1521" t="s">
        <v>9377</v>
      </c>
      <c r="B1521">
        <v>11</v>
      </c>
      <c r="C1521">
        <v>78</v>
      </c>
      <c r="D1521">
        <v>9084</v>
      </c>
      <c r="E1521" t="s">
        <v>216</v>
      </c>
      <c r="F1521" t="s">
        <v>480</v>
      </c>
      <c r="G1521" t="s">
        <v>9378</v>
      </c>
      <c r="H1521" s="26">
        <v>23294</v>
      </c>
      <c r="I1521" t="s">
        <v>58</v>
      </c>
      <c r="J1521" t="s">
        <v>9379</v>
      </c>
      <c r="M1521">
        <v>78480</v>
      </c>
      <c r="N1521" t="s">
        <v>548</v>
      </c>
      <c r="O1521" t="s">
        <v>61</v>
      </c>
      <c r="Q1521">
        <v>662057998</v>
      </c>
      <c r="R1521" t="s">
        <v>9380</v>
      </c>
      <c r="S1521" t="s">
        <v>63</v>
      </c>
      <c r="T1521" t="s">
        <v>4584</v>
      </c>
      <c r="U1521" t="s">
        <v>65</v>
      </c>
      <c r="W1521" s="26">
        <v>45545</v>
      </c>
      <c r="X1521" t="s">
        <v>61</v>
      </c>
      <c r="Y1521" t="s">
        <v>237</v>
      </c>
    </row>
    <row r="1522" spans="1:25" x14ac:dyDescent="0.25">
      <c r="A1522" t="s">
        <v>9381</v>
      </c>
      <c r="B1522">
        <v>11</v>
      </c>
      <c r="C1522">
        <v>95</v>
      </c>
      <c r="D1522">
        <v>9069</v>
      </c>
      <c r="E1522" t="s">
        <v>129</v>
      </c>
      <c r="F1522" t="s">
        <v>297</v>
      </c>
      <c r="G1522" t="s">
        <v>9382</v>
      </c>
      <c r="H1522" s="26">
        <v>28254</v>
      </c>
      <c r="I1522" t="s">
        <v>58</v>
      </c>
      <c r="J1522" t="s">
        <v>9383</v>
      </c>
      <c r="M1522">
        <v>95460</v>
      </c>
      <c r="N1522" t="s">
        <v>9384</v>
      </c>
      <c r="O1522" t="s">
        <v>61</v>
      </c>
      <c r="Q1522">
        <v>622572122</v>
      </c>
      <c r="R1522" t="s">
        <v>9385</v>
      </c>
      <c r="S1522" t="s">
        <v>63</v>
      </c>
      <c r="T1522" t="s">
        <v>4584</v>
      </c>
      <c r="U1522" t="s">
        <v>65</v>
      </c>
      <c r="W1522" s="26">
        <v>45545</v>
      </c>
      <c r="X1522" t="s">
        <v>61</v>
      </c>
      <c r="Y1522" t="s">
        <v>237</v>
      </c>
    </row>
    <row r="1523" spans="1:25" x14ac:dyDescent="0.25">
      <c r="A1523" t="s">
        <v>9386</v>
      </c>
      <c r="B1523">
        <v>11</v>
      </c>
      <c r="C1523">
        <v>77</v>
      </c>
      <c r="D1523">
        <v>9077</v>
      </c>
      <c r="E1523" t="s">
        <v>90</v>
      </c>
      <c r="F1523" t="s">
        <v>137</v>
      </c>
      <c r="G1523" t="s">
        <v>9387</v>
      </c>
      <c r="H1523" s="26">
        <v>24008</v>
      </c>
      <c r="I1523" t="s">
        <v>58</v>
      </c>
      <c r="J1523" t="s">
        <v>9388</v>
      </c>
      <c r="M1523">
        <v>77120</v>
      </c>
      <c r="N1523" t="s">
        <v>803</v>
      </c>
      <c r="O1523" t="s">
        <v>61</v>
      </c>
      <c r="Q1523">
        <v>616011703</v>
      </c>
      <c r="R1523" t="s">
        <v>9389</v>
      </c>
      <c r="S1523" t="s">
        <v>63</v>
      </c>
      <c r="T1523" t="s">
        <v>4584</v>
      </c>
      <c r="U1523" t="s">
        <v>65</v>
      </c>
      <c r="W1523" s="26">
        <v>45545</v>
      </c>
      <c r="X1523" t="s">
        <v>61</v>
      </c>
      <c r="Y1523" t="s">
        <v>237</v>
      </c>
    </row>
    <row r="1524" spans="1:25" x14ac:dyDescent="0.25">
      <c r="A1524" t="s">
        <v>9390</v>
      </c>
      <c r="B1524">
        <v>11</v>
      </c>
      <c r="C1524">
        <v>78</v>
      </c>
      <c r="D1524">
        <v>9030</v>
      </c>
      <c r="E1524" t="s">
        <v>96</v>
      </c>
      <c r="F1524" t="s">
        <v>9391</v>
      </c>
      <c r="G1524" t="s">
        <v>9392</v>
      </c>
      <c r="H1524" s="26">
        <v>23562</v>
      </c>
      <c r="I1524" t="s">
        <v>58</v>
      </c>
      <c r="J1524" t="s">
        <v>9393</v>
      </c>
      <c r="M1524">
        <v>78320</v>
      </c>
      <c r="N1524" t="s">
        <v>1191</v>
      </c>
      <c r="O1524" t="s">
        <v>61</v>
      </c>
      <c r="Q1524">
        <v>766196114</v>
      </c>
      <c r="R1524" t="s">
        <v>9394</v>
      </c>
      <c r="S1524" t="s">
        <v>63</v>
      </c>
      <c r="T1524" t="s">
        <v>4584</v>
      </c>
      <c r="U1524" t="s">
        <v>65</v>
      </c>
      <c r="W1524" s="26">
        <v>45545</v>
      </c>
      <c r="X1524" t="s">
        <v>61</v>
      </c>
      <c r="Y1524" t="s">
        <v>237</v>
      </c>
    </row>
    <row r="1525" spans="1:25" x14ac:dyDescent="0.25">
      <c r="A1525" t="s">
        <v>9395</v>
      </c>
      <c r="B1525">
        <v>11</v>
      </c>
      <c r="C1525">
        <v>78</v>
      </c>
      <c r="D1525">
        <v>9030</v>
      </c>
      <c r="E1525" t="s">
        <v>96</v>
      </c>
      <c r="F1525" t="s">
        <v>4788</v>
      </c>
      <c r="G1525" t="s">
        <v>9392</v>
      </c>
      <c r="H1525" s="26">
        <v>39204</v>
      </c>
      <c r="I1525" t="s">
        <v>58</v>
      </c>
      <c r="J1525" t="s">
        <v>9393</v>
      </c>
      <c r="M1525">
        <v>78320</v>
      </c>
      <c r="N1525" t="s">
        <v>1191</v>
      </c>
      <c r="O1525" t="s">
        <v>61</v>
      </c>
      <c r="Q1525">
        <v>766196117</v>
      </c>
      <c r="R1525" t="s">
        <v>9394</v>
      </c>
      <c r="S1525" t="s">
        <v>63</v>
      </c>
      <c r="T1525" t="s">
        <v>4616</v>
      </c>
      <c r="U1525" t="s">
        <v>65</v>
      </c>
      <c r="W1525" s="26">
        <v>45545</v>
      </c>
      <c r="X1525" t="s">
        <v>61</v>
      </c>
      <c r="Y1525" t="s">
        <v>237</v>
      </c>
    </row>
    <row r="1526" spans="1:25" x14ac:dyDescent="0.25">
      <c r="A1526" t="s">
        <v>9396</v>
      </c>
      <c r="B1526">
        <v>11</v>
      </c>
      <c r="C1526">
        <v>92</v>
      </c>
      <c r="D1526">
        <v>9065</v>
      </c>
      <c r="E1526" t="s">
        <v>426</v>
      </c>
      <c r="F1526" t="s">
        <v>9397</v>
      </c>
      <c r="G1526" t="s">
        <v>9398</v>
      </c>
      <c r="H1526" s="26">
        <v>35032</v>
      </c>
      <c r="I1526" t="s">
        <v>58</v>
      </c>
      <c r="J1526" t="s">
        <v>9399</v>
      </c>
      <c r="M1526">
        <v>91120</v>
      </c>
      <c r="N1526" t="s">
        <v>335</v>
      </c>
      <c r="O1526" t="s">
        <v>61</v>
      </c>
      <c r="Q1526">
        <v>781393630</v>
      </c>
      <c r="R1526" t="s">
        <v>9400</v>
      </c>
      <c r="S1526" t="s">
        <v>63</v>
      </c>
      <c r="T1526" t="s">
        <v>4584</v>
      </c>
      <c r="U1526" t="s">
        <v>486</v>
      </c>
      <c r="W1526" s="26">
        <v>45545</v>
      </c>
      <c r="X1526" t="s">
        <v>61</v>
      </c>
      <c r="Y1526" t="s">
        <v>237</v>
      </c>
    </row>
    <row r="1527" spans="1:25" x14ac:dyDescent="0.25">
      <c r="A1527" t="s">
        <v>9401</v>
      </c>
      <c r="B1527">
        <v>11</v>
      </c>
      <c r="C1527">
        <v>92</v>
      </c>
      <c r="D1527">
        <v>9065</v>
      </c>
      <c r="E1527" t="s">
        <v>426</v>
      </c>
      <c r="F1527" t="s">
        <v>3181</v>
      </c>
      <c r="G1527" t="s">
        <v>9402</v>
      </c>
      <c r="H1527" s="26">
        <v>31742</v>
      </c>
      <c r="I1527" t="s">
        <v>58</v>
      </c>
      <c r="J1527" t="s">
        <v>9403</v>
      </c>
      <c r="M1527">
        <v>91170</v>
      </c>
      <c r="N1527" t="s">
        <v>1836</v>
      </c>
      <c r="O1527" t="s">
        <v>61</v>
      </c>
      <c r="Q1527">
        <v>769962350</v>
      </c>
      <c r="R1527" t="s">
        <v>9404</v>
      </c>
      <c r="S1527" t="s">
        <v>63</v>
      </c>
      <c r="T1527" t="s">
        <v>4584</v>
      </c>
      <c r="U1527" t="s">
        <v>486</v>
      </c>
      <c r="W1527" s="26">
        <v>45545</v>
      </c>
      <c r="X1527" t="s">
        <v>61</v>
      </c>
      <c r="Y1527" t="s">
        <v>237</v>
      </c>
    </row>
    <row r="1528" spans="1:25" x14ac:dyDescent="0.25">
      <c r="A1528" t="s">
        <v>9405</v>
      </c>
      <c r="B1528">
        <v>11</v>
      </c>
      <c r="C1528">
        <v>92</v>
      </c>
      <c r="D1528">
        <v>9065</v>
      </c>
      <c r="E1528" t="s">
        <v>426</v>
      </c>
      <c r="F1528" t="s">
        <v>4930</v>
      </c>
      <c r="G1528" t="s">
        <v>9406</v>
      </c>
      <c r="H1528" s="26">
        <v>39183</v>
      </c>
      <c r="I1528" t="s">
        <v>58</v>
      </c>
      <c r="J1528" t="s">
        <v>9403</v>
      </c>
      <c r="M1528">
        <v>91170</v>
      </c>
      <c r="N1528" t="s">
        <v>1836</v>
      </c>
      <c r="O1528" t="s">
        <v>61</v>
      </c>
      <c r="Q1528">
        <v>782108324</v>
      </c>
      <c r="R1528" t="s">
        <v>9407</v>
      </c>
      <c r="S1528" t="s">
        <v>63</v>
      </c>
      <c r="T1528" t="s">
        <v>4616</v>
      </c>
      <c r="U1528" t="s">
        <v>486</v>
      </c>
      <c r="W1528" s="26">
        <v>45545</v>
      </c>
      <c r="X1528" t="s">
        <v>61</v>
      </c>
      <c r="Y1528" t="s">
        <v>237</v>
      </c>
    </row>
    <row r="1529" spans="1:25" x14ac:dyDescent="0.25">
      <c r="A1529" t="s">
        <v>9408</v>
      </c>
      <c r="B1529">
        <v>11</v>
      </c>
      <c r="C1529">
        <v>91</v>
      </c>
      <c r="D1529">
        <v>9082</v>
      </c>
      <c r="E1529" t="s">
        <v>67</v>
      </c>
      <c r="F1529" t="s">
        <v>9409</v>
      </c>
      <c r="G1529" t="s">
        <v>9410</v>
      </c>
      <c r="H1529" s="26">
        <v>33903</v>
      </c>
      <c r="I1529" t="s">
        <v>58</v>
      </c>
      <c r="J1529" t="s">
        <v>9411</v>
      </c>
      <c r="M1529">
        <v>91270</v>
      </c>
      <c r="N1529" t="s">
        <v>9136</v>
      </c>
      <c r="O1529" t="s">
        <v>61</v>
      </c>
      <c r="Q1529">
        <v>668997568</v>
      </c>
      <c r="R1529" t="s">
        <v>9412</v>
      </c>
      <c r="S1529" t="s">
        <v>63</v>
      </c>
      <c r="T1529" t="s">
        <v>4584</v>
      </c>
      <c r="U1529" t="s">
        <v>486</v>
      </c>
      <c r="W1529" s="26">
        <v>45545</v>
      </c>
      <c r="X1529" t="s">
        <v>61</v>
      </c>
      <c r="Y1529" t="s">
        <v>237</v>
      </c>
    </row>
    <row r="1530" spans="1:25" x14ac:dyDescent="0.25">
      <c r="A1530" t="s">
        <v>9413</v>
      </c>
      <c r="B1530">
        <v>11</v>
      </c>
      <c r="C1530">
        <v>91</v>
      </c>
      <c r="D1530">
        <v>9082</v>
      </c>
      <c r="E1530" t="s">
        <v>67</v>
      </c>
      <c r="F1530" t="s">
        <v>297</v>
      </c>
      <c r="G1530" t="s">
        <v>9414</v>
      </c>
      <c r="H1530" s="26">
        <v>20611</v>
      </c>
      <c r="I1530" t="s">
        <v>58</v>
      </c>
      <c r="J1530" t="s">
        <v>9415</v>
      </c>
      <c r="M1530">
        <v>91450</v>
      </c>
      <c r="N1530" t="s">
        <v>709</v>
      </c>
      <c r="O1530" t="s">
        <v>61</v>
      </c>
      <c r="Q1530">
        <v>607046373</v>
      </c>
      <c r="R1530" t="s">
        <v>9416</v>
      </c>
      <c r="S1530" t="s">
        <v>63</v>
      </c>
      <c r="T1530" t="s">
        <v>4584</v>
      </c>
      <c r="U1530" t="s">
        <v>65</v>
      </c>
      <c r="W1530" s="26">
        <v>45546</v>
      </c>
      <c r="X1530" t="s">
        <v>61</v>
      </c>
      <c r="Y1530" t="s">
        <v>237</v>
      </c>
    </row>
    <row r="1531" spans="1:25" x14ac:dyDescent="0.25">
      <c r="A1531" t="s">
        <v>9417</v>
      </c>
      <c r="B1531">
        <v>11</v>
      </c>
      <c r="C1531">
        <v>94</v>
      </c>
      <c r="D1531">
        <v>9024</v>
      </c>
      <c r="E1531" t="s">
        <v>4</v>
      </c>
      <c r="F1531" t="s">
        <v>9418</v>
      </c>
      <c r="G1531" t="s">
        <v>2695</v>
      </c>
      <c r="H1531" s="26">
        <v>31137</v>
      </c>
      <c r="I1531" t="s">
        <v>58</v>
      </c>
      <c r="J1531" t="s">
        <v>9419</v>
      </c>
      <c r="M1531">
        <v>94800</v>
      </c>
      <c r="N1531" t="s">
        <v>1227</v>
      </c>
      <c r="O1531" t="s">
        <v>61</v>
      </c>
      <c r="Q1531">
        <v>620814304</v>
      </c>
      <c r="R1531" t="s">
        <v>9420</v>
      </c>
      <c r="S1531" t="s">
        <v>63</v>
      </c>
      <c r="T1531" t="s">
        <v>4584</v>
      </c>
      <c r="U1531" t="s">
        <v>8684</v>
      </c>
      <c r="W1531" s="26">
        <v>45546</v>
      </c>
      <c r="X1531" t="s">
        <v>4929</v>
      </c>
      <c r="Y1531" t="s">
        <v>237</v>
      </c>
    </row>
    <row r="1532" spans="1:25" x14ac:dyDescent="0.25">
      <c r="A1532" t="s">
        <v>9421</v>
      </c>
      <c r="B1532">
        <v>11</v>
      </c>
      <c r="C1532">
        <v>94</v>
      </c>
      <c r="D1532">
        <v>9024</v>
      </c>
      <c r="E1532" t="s">
        <v>4</v>
      </c>
      <c r="F1532" t="s">
        <v>9422</v>
      </c>
      <c r="G1532" t="s">
        <v>9423</v>
      </c>
      <c r="H1532" s="26">
        <v>26183</v>
      </c>
      <c r="I1532" t="s">
        <v>16</v>
      </c>
      <c r="J1532" t="s">
        <v>9424</v>
      </c>
      <c r="M1532">
        <v>94210</v>
      </c>
      <c r="N1532" t="s">
        <v>971</v>
      </c>
      <c r="O1532" t="s">
        <v>61</v>
      </c>
      <c r="Q1532">
        <v>622052670</v>
      </c>
      <c r="R1532" t="s">
        <v>9425</v>
      </c>
      <c r="S1532" t="s">
        <v>63</v>
      </c>
      <c r="T1532" t="s">
        <v>4584</v>
      </c>
      <c r="U1532" t="s">
        <v>8684</v>
      </c>
      <c r="W1532" s="26">
        <v>45546</v>
      </c>
      <c r="X1532" t="s">
        <v>61</v>
      </c>
      <c r="Y1532" t="s">
        <v>237</v>
      </c>
    </row>
    <row r="1533" spans="1:25" x14ac:dyDescent="0.25">
      <c r="A1533" t="s">
        <v>9426</v>
      </c>
      <c r="B1533">
        <v>11</v>
      </c>
      <c r="C1533">
        <v>91</v>
      </c>
      <c r="D1533">
        <v>9025</v>
      </c>
      <c r="E1533" t="s">
        <v>188</v>
      </c>
      <c r="F1533" t="s">
        <v>3243</v>
      </c>
      <c r="G1533" t="s">
        <v>9427</v>
      </c>
      <c r="H1533" s="26">
        <v>32491</v>
      </c>
      <c r="I1533" t="s">
        <v>58</v>
      </c>
      <c r="J1533" t="s">
        <v>9428</v>
      </c>
      <c r="M1533">
        <v>77190</v>
      </c>
      <c r="N1533" t="s">
        <v>1096</v>
      </c>
      <c r="O1533" t="s">
        <v>61</v>
      </c>
      <c r="Q1533">
        <v>659143178</v>
      </c>
      <c r="R1533" t="s">
        <v>9429</v>
      </c>
      <c r="S1533" t="s">
        <v>63</v>
      </c>
      <c r="T1533" t="s">
        <v>4584</v>
      </c>
      <c r="U1533" t="s">
        <v>486</v>
      </c>
      <c r="W1533" s="26">
        <v>45547</v>
      </c>
      <c r="X1533" t="s">
        <v>9430</v>
      </c>
      <c r="Y1533" t="s">
        <v>237</v>
      </c>
    </row>
    <row r="1534" spans="1:25" x14ac:dyDescent="0.25">
      <c r="A1534" t="s">
        <v>9431</v>
      </c>
      <c r="B1534">
        <v>11</v>
      </c>
      <c r="C1534">
        <v>78</v>
      </c>
      <c r="D1534">
        <v>9002</v>
      </c>
      <c r="E1534" t="s">
        <v>558</v>
      </c>
      <c r="F1534" t="s">
        <v>9432</v>
      </c>
      <c r="G1534" t="s">
        <v>9433</v>
      </c>
      <c r="H1534" s="26">
        <v>39728</v>
      </c>
      <c r="I1534" t="s">
        <v>16</v>
      </c>
      <c r="J1534" t="s">
        <v>9434</v>
      </c>
      <c r="M1534">
        <v>78200</v>
      </c>
      <c r="N1534" t="s">
        <v>609</v>
      </c>
      <c r="O1534" t="s">
        <v>61</v>
      </c>
      <c r="P1534">
        <v>663857229</v>
      </c>
      <c r="Q1534">
        <v>667030522</v>
      </c>
      <c r="R1534" t="s">
        <v>9435</v>
      </c>
      <c r="S1534" t="s">
        <v>63</v>
      </c>
      <c r="T1534" t="s">
        <v>4616</v>
      </c>
      <c r="U1534" t="s">
        <v>65</v>
      </c>
      <c r="W1534" s="26">
        <v>45547</v>
      </c>
      <c r="X1534" t="s">
        <v>61</v>
      </c>
      <c r="Y1534" t="s">
        <v>237</v>
      </c>
    </row>
    <row r="1535" spans="1:25" x14ac:dyDescent="0.25">
      <c r="A1535" t="s">
        <v>9436</v>
      </c>
      <c r="B1535">
        <v>11</v>
      </c>
      <c r="C1535">
        <v>91</v>
      </c>
      <c r="D1535">
        <v>9064</v>
      </c>
      <c r="E1535" t="s">
        <v>266</v>
      </c>
      <c r="F1535" t="s">
        <v>9437</v>
      </c>
      <c r="G1535" t="s">
        <v>2069</v>
      </c>
      <c r="H1535" s="26">
        <v>31077</v>
      </c>
      <c r="I1535" t="s">
        <v>58</v>
      </c>
      <c r="J1535" t="s">
        <v>9438</v>
      </c>
      <c r="M1535">
        <v>91300</v>
      </c>
      <c r="N1535" t="s">
        <v>675</v>
      </c>
      <c r="O1535" t="s">
        <v>61</v>
      </c>
      <c r="Q1535">
        <v>777396988</v>
      </c>
      <c r="R1535" t="s">
        <v>9439</v>
      </c>
      <c r="S1535" t="s">
        <v>63</v>
      </c>
      <c r="T1535" t="s">
        <v>4584</v>
      </c>
      <c r="U1535" t="s">
        <v>65</v>
      </c>
      <c r="W1535" s="26">
        <v>45547</v>
      </c>
      <c r="X1535" t="s">
        <v>4929</v>
      </c>
      <c r="Y1535" t="s">
        <v>237</v>
      </c>
    </row>
    <row r="1536" spans="1:25" x14ac:dyDescent="0.25">
      <c r="A1536" t="s">
        <v>9440</v>
      </c>
      <c r="B1536">
        <v>11</v>
      </c>
      <c r="C1536">
        <v>94</v>
      </c>
      <c r="D1536">
        <v>9045</v>
      </c>
      <c r="E1536" t="s">
        <v>1234</v>
      </c>
      <c r="F1536" t="s">
        <v>9441</v>
      </c>
      <c r="G1536" t="s">
        <v>769</v>
      </c>
      <c r="H1536" s="26">
        <v>36436</v>
      </c>
      <c r="I1536" t="s">
        <v>58</v>
      </c>
      <c r="J1536" t="s">
        <v>9442</v>
      </c>
      <c r="M1536">
        <v>94110</v>
      </c>
      <c r="N1536" t="s">
        <v>771</v>
      </c>
      <c r="O1536" t="s">
        <v>61</v>
      </c>
      <c r="Q1536">
        <v>765249123</v>
      </c>
      <c r="R1536" t="s">
        <v>9443</v>
      </c>
      <c r="S1536" t="s">
        <v>63</v>
      </c>
      <c r="T1536" t="s">
        <v>4584</v>
      </c>
      <c r="U1536" t="s">
        <v>8684</v>
      </c>
      <c r="W1536" s="26">
        <v>45547</v>
      </c>
      <c r="X1536" t="s">
        <v>61</v>
      </c>
      <c r="Y1536" t="s">
        <v>237</v>
      </c>
    </row>
    <row r="1537" spans="1:25" x14ac:dyDescent="0.25">
      <c r="A1537" t="s">
        <v>9444</v>
      </c>
      <c r="B1537">
        <v>11</v>
      </c>
      <c r="C1537">
        <v>94</v>
      </c>
      <c r="D1537">
        <v>9024</v>
      </c>
      <c r="E1537" t="s">
        <v>4</v>
      </c>
      <c r="F1537" t="s">
        <v>97</v>
      </c>
      <c r="G1537" t="s">
        <v>9445</v>
      </c>
      <c r="H1537" s="26">
        <v>21596</v>
      </c>
      <c r="I1537" t="s">
        <v>58</v>
      </c>
      <c r="J1537" t="s">
        <v>9446</v>
      </c>
      <c r="M1537">
        <v>94100</v>
      </c>
      <c r="N1537" t="s">
        <v>971</v>
      </c>
      <c r="O1537" t="s">
        <v>61</v>
      </c>
      <c r="Q1537">
        <v>685062845</v>
      </c>
      <c r="R1537" t="s">
        <v>9447</v>
      </c>
      <c r="S1537" t="s">
        <v>63</v>
      </c>
      <c r="T1537" t="s">
        <v>4584</v>
      </c>
      <c r="U1537" t="s">
        <v>65</v>
      </c>
      <c r="W1537" s="26">
        <v>45548</v>
      </c>
      <c r="X1537" t="s">
        <v>61</v>
      </c>
      <c r="Y1537" t="s">
        <v>237</v>
      </c>
    </row>
    <row r="1538" spans="1:25" x14ac:dyDescent="0.25">
      <c r="A1538" t="s">
        <v>9448</v>
      </c>
      <c r="B1538">
        <v>11</v>
      </c>
      <c r="C1538">
        <v>78</v>
      </c>
      <c r="D1538">
        <v>9030</v>
      </c>
      <c r="E1538" t="s">
        <v>96</v>
      </c>
      <c r="F1538" t="s">
        <v>9449</v>
      </c>
      <c r="G1538" t="s">
        <v>9450</v>
      </c>
      <c r="H1538" s="26">
        <v>37404</v>
      </c>
      <c r="I1538" t="s">
        <v>16</v>
      </c>
      <c r="J1538" t="s">
        <v>9451</v>
      </c>
      <c r="K1538" t="s">
        <v>4918</v>
      </c>
      <c r="M1538">
        <v>78180</v>
      </c>
      <c r="N1538" t="s">
        <v>1162</v>
      </c>
      <c r="O1538" t="s">
        <v>61</v>
      </c>
      <c r="Q1538">
        <v>652972044</v>
      </c>
      <c r="R1538" t="s">
        <v>9452</v>
      </c>
      <c r="S1538" t="s">
        <v>63</v>
      </c>
      <c r="T1538" t="s">
        <v>4584</v>
      </c>
      <c r="U1538" t="s">
        <v>486</v>
      </c>
      <c r="W1538" s="26">
        <v>45548</v>
      </c>
      <c r="X1538" t="s">
        <v>61</v>
      </c>
      <c r="Y1538" t="s">
        <v>237</v>
      </c>
    </row>
    <row r="1539" spans="1:25" x14ac:dyDescent="0.25">
      <c r="A1539" t="s">
        <v>9453</v>
      </c>
      <c r="B1539">
        <v>11</v>
      </c>
      <c r="C1539">
        <v>95</v>
      </c>
      <c r="D1539">
        <v>9127</v>
      </c>
      <c r="E1539" t="s">
        <v>536</v>
      </c>
      <c r="F1539" t="s">
        <v>9454</v>
      </c>
      <c r="G1539" t="s">
        <v>2069</v>
      </c>
      <c r="H1539" s="26">
        <v>35865</v>
      </c>
      <c r="I1539" t="s">
        <v>58</v>
      </c>
      <c r="J1539" t="s">
        <v>9455</v>
      </c>
      <c r="K1539" t="s">
        <v>9456</v>
      </c>
      <c r="M1539">
        <v>78800</v>
      </c>
      <c r="N1539" t="s">
        <v>1472</v>
      </c>
      <c r="O1539" t="s">
        <v>61</v>
      </c>
      <c r="Q1539">
        <v>780856487</v>
      </c>
      <c r="R1539" t="s">
        <v>9457</v>
      </c>
      <c r="S1539" t="s">
        <v>63</v>
      </c>
      <c r="T1539" t="s">
        <v>4584</v>
      </c>
      <c r="U1539" t="s">
        <v>8684</v>
      </c>
      <c r="W1539" s="26">
        <v>45548</v>
      </c>
      <c r="X1539" t="s">
        <v>61</v>
      </c>
      <c r="Y1539" t="s">
        <v>237</v>
      </c>
    </row>
    <row r="1540" spans="1:25" x14ac:dyDescent="0.25">
      <c r="A1540" t="s">
        <v>9458</v>
      </c>
      <c r="B1540">
        <v>11</v>
      </c>
      <c r="C1540">
        <v>91</v>
      </c>
      <c r="D1540">
        <v>9025</v>
      </c>
      <c r="E1540" t="s">
        <v>188</v>
      </c>
      <c r="F1540" t="s">
        <v>134</v>
      </c>
      <c r="G1540" t="s">
        <v>9459</v>
      </c>
      <c r="H1540" s="26">
        <v>22563</v>
      </c>
      <c r="I1540" t="s">
        <v>58</v>
      </c>
      <c r="J1540" t="s">
        <v>9460</v>
      </c>
      <c r="M1540">
        <v>77310</v>
      </c>
      <c r="N1540" t="s">
        <v>1759</v>
      </c>
      <c r="O1540" t="s">
        <v>61</v>
      </c>
      <c r="Q1540">
        <v>659713179</v>
      </c>
      <c r="R1540" t="s">
        <v>9461</v>
      </c>
      <c r="S1540" t="s">
        <v>63</v>
      </c>
      <c r="T1540" t="s">
        <v>4584</v>
      </c>
      <c r="U1540" t="s">
        <v>486</v>
      </c>
      <c r="W1540" s="26">
        <v>45549</v>
      </c>
      <c r="X1540" t="s">
        <v>61</v>
      </c>
      <c r="Y1540" t="s">
        <v>237</v>
      </c>
    </row>
    <row r="1541" spans="1:25" x14ac:dyDescent="0.25">
      <c r="A1541" t="s">
        <v>9462</v>
      </c>
      <c r="B1541">
        <v>11</v>
      </c>
      <c r="C1541">
        <v>91</v>
      </c>
      <c r="D1541">
        <v>9025</v>
      </c>
      <c r="E1541" t="s">
        <v>188</v>
      </c>
      <c r="F1541" t="s">
        <v>9463</v>
      </c>
      <c r="G1541" t="s">
        <v>9459</v>
      </c>
      <c r="H1541" s="26">
        <v>29052</v>
      </c>
      <c r="I1541" t="s">
        <v>16</v>
      </c>
      <c r="J1541" t="s">
        <v>9464</v>
      </c>
      <c r="M1541">
        <v>77310</v>
      </c>
      <c r="N1541" t="s">
        <v>1759</v>
      </c>
      <c r="O1541" t="s">
        <v>61</v>
      </c>
      <c r="Q1541">
        <v>634083457</v>
      </c>
      <c r="R1541" t="s">
        <v>9465</v>
      </c>
      <c r="S1541" t="s">
        <v>63</v>
      </c>
      <c r="T1541" t="s">
        <v>4584</v>
      </c>
      <c r="U1541" t="s">
        <v>486</v>
      </c>
      <c r="W1541" s="26">
        <v>45549</v>
      </c>
      <c r="X1541" t="s">
        <v>61</v>
      </c>
      <c r="Y1541" t="s">
        <v>237</v>
      </c>
    </row>
    <row r="1542" spans="1:25" x14ac:dyDescent="0.25">
      <c r="A1542" t="s">
        <v>9466</v>
      </c>
      <c r="B1542">
        <v>11</v>
      </c>
      <c r="C1542">
        <v>91</v>
      </c>
      <c r="D1542">
        <v>9025</v>
      </c>
      <c r="E1542" t="s">
        <v>188</v>
      </c>
      <c r="F1542" t="s">
        <v>4343</v>
      </c>
      <c r="G1542" t="s">
        <v>9467</v>
      </c>
      <c r="H1542" s="26">
        <v>40479</v>
      </c>
      <c r="I1542" t="s">
        <v>16</v>
      </c>
      <c r="J1542" t="s">
        <v>9460</v>
      </c>
      <c r="M1542">
        <v>77310</v>
      </c>
      <c r="N1542" t="s">
        <v>1759</v>
      </c>
      <c r="O1542" t="s">
        <v>61</v>
      </c>
      <c r="Q1542">
        <v>750134018</v>
      </c>
      <c r="R1542" t="s">
        <v>9468</v>
      </c>
      <c r="S1542" t="s">
        <v>63</v>
      </c>
      <c r="T1542" t="s">
        <v>4616</v>
      </c>
      <c r="U1542" t="s">
        <v>486</v>
      </c>
      <c r="W1542" s="26">
        <v>45549</v>
      </c>
      <c r="X1542" t="s">
        <v>61</v>
      </c>
      <c r="Y1542" t="s">
        <v>237</v>
      </c>
    </row>
    <row r="1543" spans="1:25" x14ac:dyDescent="0.25">
      <c r="A1543" t="s">
        <v>9469</v>
      </c>
      <c r="B1543">
        <v>11</v>
      </c>
      <c r="C1543">
        <v>91</v>
      </c>
      <c r="D1543">
        <v>9025</v>
      </c>
      <c r="E1543" t="s">
        <v>188</v>
      </c>
      <c r="F1543" t="s">
        <v>397</v>
      </c>
      <c r="G1543" t="s">
        <v>9470</v>
      </c>
      <c r="H1543" s="26">
        <v>21600</v>
      </c>
      <c r="I1543" t="s">
        <v>58</v>
      </c>
      <c r="J1543" t="s">
        <v>9471</v>
      </c>
      <c r="M1543">
        <v>91100</v>
      </c>
      <c r="N1543" t="s">
        <v>1427</v>
      </c>
      <c r="O1543" t="s">
        <v>61</v>
      </c>
      <c r="Q1543">
        <v>660766144</v>
      </c>
      <c r="R1543" t="s">
        <v>9472</v>
      </c>
      <c r="S1543" t="s">
        <v>63</v>
      </c>
      <c r="T1543" t="s">
        <v>4584</v>
      </c>
      <c r="U1543" t="s">
        <v>65</v>
      </c>
      <c r="W1543" s="26">
        <v>45549</v>
      </c>
      <c r="X1543" t="s">
        <v>61</v>
      </c>
      <c r="Y1543" t="s">
        <v>237</v>
      </c>
    </row>
    <row r="1544" spans="1:25" x14ac:dyDescent="0.25">
      <c r="A1544" t="s">
        <v>9473</v>
      </c>
      <c r="B1544">
        <v>11</v>
      </c>
      <c r="C1544">
        <v>94</v>
      </c>
      <c r="D1544">
        <v>9031</v>
      </c>
      <c r="E1544" t="s">
        <v>7</v>
      </c>
      <c r="F1544" t="s">
        <v>12</v>
      </c>
      <c r="G1544" t="s">
        <v>9474</v>
      </c>
      <c r="H1544" s="26">
        <v>26358</v>
      </c>
      <c r="I1544" t="s">
        <v>58</v>
      </c>
      <c r="J1544" t="s">
        <v>9475</v>
      </c>
      <c r="M1544">
        <v>94700</v>
      </c>
      <c r="N1544" t="s">
        <v>9476</v>
      </c>
      <c r="O1544" t="s">
        <v>61</v>
      </c>
      <c r="Q1544">
        <v>663400546</v>
      </c>
      <c r="R1544" t="s">
        <v>9477</v>
      </c>
      <c r="S1544" t="s">
        <v>63</v>
      </c>
      <c r="T1544" t="s">
        <v>4584</v>
      </c>
      <c r="U1544" t="s">
        <v>65</v>
      </c>
      <c r="W1544" s="26">
        <v>45550</v>
      </c>
      <c r="X1544" t="s">
        <v>61</v>
      </c>
      <c r="Y1544" t="s">
        <v>237</v>
      </c>
    </row>
    <row r="1545" spans="1:25" x14ac:dyDescent="0.25">
      <c r="A1545" t="s">
        <v>9478</v>
      </c>
      <c r="B1545">
        <v>11</v>
      </c>
      <c r="C1545">
        <v>91</v>
      </c>
      <c r="D1545">
        <v>9095</v>
      </c>
      <c r="E1545" t="s">
        <v>113</v>
      </c>
      <c r="F1545" t="s">
        <v>85</v>
      </c>
      <c r="G1545" t="s">
        <v>4987</v>
      </c>
      <c r="H1545" s="26">
        <v>21504</v>
      </c>
      <c r="I1545" t="s">
        <v>58</v>
      </c>
      <c r="J1545" t="s">
        <v>9479</v>
      </c>
      <c r="M1545">
        <v>91290</v>
      </c>
      <c r="N1545" t="s">
        <v>2342</v>
      </c>
      <c r="O1545" t="s">
        <v>61</v>
      </c>
      <c r="Q1545">
        <v>640772154</v>
      </c>
      <c r="R1545" t="s">
        <v>9480</v>
      </c>
      <c r="S1545" t="s">
        <v>63</v>
      </c>
      <c r="T1545" t="s">
        <v>4584</v>
      </c>
      <c r="U1545" t="s">
        <v>65</v>
      </c>
      <c r="W1545" s="26">
        <v>45551</v>
      </c>
      <c r="X1545" t="s">
        <v>61</v>
      </c>
      <c r="Y1545" t="s">
        <v>237</v>
      </c>
    </row>
    <row r="1546" spans="1:25" x14ac:dyDescent="0.25">
      <c r="A1546" t="s">
        <v>9481</v>
      </c>
      <c r="B1546">
        <v>11</v>
      </c>
      <c r="C1546">
        <v>91</v>
      </c>
      <c r="D1546">
        <v>9095</v>
      </c>
      <c r="E1546" t="s">
        <v>113</v>
      </c>
      <c r="F1546" t="s">
        <v>91</v>
      </c>
      <c r="G1546" t="s">
        <v>9482</v>
      </c>
      <c r="H1546" s="26">
        <v>23575</v>
      </c>
      <c r="I1546" t="s">
        <v>58</v>
      </c>
      <c r="J1546" t="s">
        <v>9483</v>
      </c>
      <c r="M1546">
        <v>91310</v>
      </c>
      <c r="N1546" t="s">
        <v>1841</v>
      </c>
      <c r="O1546" t="s">
        <v>61</v>
      </c>
      <c r="Q1546">
        <v>603606265</v>
      </c>
      <c r="R1546" t="s">
        <v>9484</v>
      </c>
      <c r="S1546" t="s">
        <v>63</v>
      </c>
      <c r="T1546" t="s">
        <v>4584</v>
      </c>
      <c r="U1546" t="s">
        <v>65</v>
      </c>
      <c r="W1546" s="26">
        <v>45551</v>
      </c>
      <c r="X1546" t="s">
        <v>61</v>
      </c>
      <c r="Y1546" t="s">
        <v>237</v>
      </c>
    </row>
    <row r="1547" spans="1:25" x14ac:dyDescent="0.25">
      <c r="A1547" t="s">
        <v>9485</v>
      </c>
      <c r="B1547">
        <v>11</v>
      </c>
      <c r="C1547">
        <v>78</v>
      </c>
      <c r="D1547">
        <v>9084</v>
      </c>
      <c r="E1547" t="s">
        <v>216</v>
      </c>
      <c r="F1547" t="s">
        <v>1035</v>
      </c>
      <c r="G1547" t="s">
        <v>9486</v>
      </c>
      <c r="H1547" s="26">
        <v>25699</v>
      </c>
      <c r="I1547" t="s">
        <v>58</v>
      </c>
      <c r="J1547" t="s">
        <v>9487</v>
      </c>
      <c r="M1547">
        <v>78540</v>
      </c>
      <c r="N1547" t="s">
        <v>1059</v>
      </c>
      <c r="O1547" t="s">
        <v>61</v>
      </c>
      <c r="Q1547">
        <v>628032105</v>
      </c>
      <c r="R1547" t="s">
        <v>9488</v>
      </c>
      <c r="S1547" t="s">
        <v>63</v>
      </c>
      <c r="T1547" t="s">
        <v>4584</v>
      </c>
      <c r="U1547" t="s">
        <v>65</v>
      </c>
      <c r="W1547" s="26">
        <v>45551</v>
      </c>
      <c r="X1547" t="s">
        <v>61</v>
      </c>
      <c r="Y1547" t="s">
        <v>237</v>
      </c>
    </row>
    <row r="1548" spans="1:25" x14ac:dyDescent="0.25">
      <c r="A1548" t="s">
        <v>9489</v>
      </c>
      <c r="B1548">
        <v>11</v>
      </c>
      <c r="C1548">
        <v>78</v>
      </c>
      <c r="D1548">
        <v>9056</v>
      </c>
      <c r="E1548" t="s">
        <v>214</v>
      </c>
      <c r="F1548" t="s">
        <v>816</v>
      </c>
      <c r="G1548" t="s">
        <v>9490</v>
      </c>
      <c r="H1548" s="26">
        <v>24692</v>
      </c>
      <c r="I1548" t="s">
        <v>58</v>
      </c>
      <c r="J1548" t="s">
        <v>9491</v>
      </c>
      <c r="M1548">
        <v>95600</v>
      </c>
      <c r="N1548" t="s">
        <v>185</v>
      </c>
      <c r="O1548" t="s">
        <v>61</v>
      </c>
      <c r="Q1548">
        <v>658837004</v>
      </c>
      <c r="R1548" t="s">
        <v>9492</v>
      </c>
      <c r="S1548" t="s">
        <v>63</v>
      </c>
      <c r="T1548" t="s">
        <v>4584</v>
      </c>
      <c r="U1548" t="s">
        <v>65</v>
      </c>
      <c r="W1548" s="26">
        <v>45551</v>
      </c>
      <c r="X1548" t="s">
        <v>61</v>
      </c>
      <c r="Y1548" t="s">
        <v>237</v>
      </c>
    </row>
    <row r="1549" spans="1:25" x14ac:dyDescent="0.25">
      <c r="A1549" t="s">
        <v>9493</v>
      </c>
      <c r="B1549">
        <v>11</v>
      </c>
      <c r="C1549">
        <v>94</v>
      </c>
      <c r="D1549">
        <v>9024</v>
      </c>
      <c r="E1549" t="s">
        <v>4</v>
      </c>
      <c r="F1549" t="s">
        <v>9494</v>
      </c>
      <c r="G1549" t="s">
        <v>9495</v>
      </c>
      <c r="H1549" s="26">
        <v>23095</v>
      </c>
      <c r="I1549" t="s">
        <v>58</v>
      </c>
      <c r="J1549" t="s">
        <v>9496</v>
      </c>
      <c r="M1549">
        <v>75020</v>
      </c>
      <c r="N1549" t="s">
        <v>330</v>
      </c>
      <c r="O1549" t="s">
        <v>61</v>
      </c>
      <c r="Q1549">
        <v>619017703</v>
      </c>
      <c r="R1549" t="s">
        <v>9497</v>
      </c>
      <c r="S1549" t="s">
        <v>63</v>
      </c>
      <c r="T1549" t="s">
        <v>4584</v>
      </c>
      <c r="U1549" t="s">
        <v>65</v>
      </c>
      <c r="W1549" s="26">
        <v>45551</v>
      </c>
      <c r="X1549" t="s">
        <v>61</v>
      </c>
      <c r="Y1549" t="s">
        <v>237</v>
      </c>
    </row>
    <row r="1550" spans="1:25" x14ac:dyDescent="0.25">
      <c r="A1550" t="s">
        <v>9498</v>
      </c>
      <c r="B1550">
        <v>11</v>
      </c>
      <c r="C1550">
        <v>92</v>
      </c>
      <c r="D1550">
        <v>9065</v>
      </c>
      <c r="E1550" t="s">
        <v>426</v>
      </c>
      <c r="F1550" t="s">
        <v>4915</v>
      </c>
      <c r="G1550" t="s">
        <v>9499</v>
      </c>
      <c r="H1550" s="26">
        <v>35310</v>
      </c>
      <c r="I1550" t="s">
        <v>58</v>
      </c>
      <c r="J1550" t="s">
        <v>9500</v>
      </c>
      <c r="M1550">
        <v>94110</v>
      </c>
      <c r="N1550" t="s">
        <v>9501</v>
      </c>
      <c r="O1550" t="s">
        <v>61</v>
      </c>
      <c r="Q1550">
        <v>753383170</v>
      </c>
      <c r="R1550" t="s">
        <v>9502</v>
      </c>
      <c r="S1550" t="s">
        <v>63</v>
      </c>
      <c r="T1550" t="s">
        <v>4584</v>
      </c>
      <c r="U1550" t="s">
        <v>486</v>
      </c>
      <c r="W1550" s="26">
        <v>45552</v>
      </c>
      <c r="X1550" t="s">
        <v>2726</v>
      </c>
      <c r="Y1550" t="s">
        <v>237</v>
      </c>
    </row>
    <row r="1551" spans="1:25" x14ac:dyDescent="0.25">
      <c r="A1551" t="s">
        <v>9503</v>
      </c>
      <c r="B1551">
        <v>11</v>
      </c>
      <c r="C1551">
        <v>78</v>
      </c>
      <c r="D1551">
        <v>9001</v>
      </c>
      <c r="E1551" t="s">
        <v>8740</v>
      </c>
      <c r="F1551" t="s">
        <v>448</v>
      </c>
      <c r="G1551" t="s">
        <v>9504</v>
      </c>
      <c r="H1551" s="26">
        <v>20414</v>
      </c>
      <c r="I1551" t="s">
        <v>58</v>
      </c>
      <c r="J1551" t="s">
        <v>9505</v>
      </c>
      <c r="M1551">
        <v>92310</v>
      </c>
      <c r="N1551" t="s">
        <v>9506</v>
      </c>
      <c r="O1551" t="s">
        <v>61</v>
      </c>
      <c r="Q1551">
        <v>673995452</v>
      </c>
      <c r="R1551" t="s">
        <v>9507</v>
      </c>
      <c r="S1551" t="s">
        <v>237</v>
      </c>
      <c r="T1551" t="s">
        <v>4584</v>
      </c>
      <c r="U1551" t="s">
        <v>65</v>
      </c>
      <c r="W1551" s="26">
        <v>45552</v>
      </c>
      <c r="X1551" t="s">
        <v>61</v>
      </c>
      <c r="Y1551" t="s">
        <v>237</v>
      </c>
    </row>
    <row r="1552" spans="1:25" x14ac:dyDescent="0.25">
      <c r="A1552" t="s">
        <v>9508</v>
      </c>
      <c r="B1552">
        <v>11</v>
      </c>
      <c r="C1552">
        <v>78</v>
      </c>
      <c r="D1552">
        <v>9001</v>
      </c>
      <c r="E1552" t="s">
        <v>8740</v>
      </c>
      <c r="F1552" t="s">
        <v>154</v>
      </c>
      <c r="G1552" t="s">
        <v>9509</v>
      </c>
      <c r="H1552" s="26">
        <v>18202</v>
      </c>
      <c r="I1552" t="s">
        <v>58</v>
      </c>
      <c r="J1552" t="s">
        <v>9510</v>
      </c>
      <c r="M1552">
        <v>78140</v>
      </c>
      <c r="N1552" t="s">
        <v>8743</v>
      </c>
      <c r="O1552" t="s">
        <v>61</v>
      </c>
      <c r="Q1552">
        <v>622936133</v>
      </c>
      <c r="R1552" t="s">
        <v>9511</v>
      </c>
      <c r="S1552" t="s">
        <v>237</v>
      </c>
      <c r="T1552" t="s">
        <v>4584</v>
      </c>
      <c r="U1552" t="s">
        <v>65</v>
      </c>
      <c r="W1552" s="26">
        <v>45552</v>
      </c>
      <c r="X1552" t="s">
        <v>61</v>
      </c>
      <c r="Y1552" t="s">
        <v>237</v>
      </c>
    </row>
    <row r="1553" spans="1:25" x14ac:dyDescent="0.25">
      <c r="A1553" t="s">
        <v>9512</v>
      </c>
      <c r="B1553">
        <v>11</v>
      </c>
      <c r="C1553">
        <v>78</v>
      </c>
      <c r="D1553">
        <v>9001</v>
      </c>
      <c r="E1553" t="s">
        <v>8740</v>
      </c>
      <c r="F1553" t="s">
        <v>204</v>
      </c>
      <c r="G1553" t="s">
        <v>9513</v>
      </c>
      <c r="H1553" s="26">
        <v>19294</v>
      </c>
      <c r="I1553" t="s">
        <v>58</v>
      </c>
      <c r="J1553" t="s">
        <v>9514</v>
      </c>
      <c r="M1553">
        <v>78140</v>
      </c>
      <c r="N1553" t="s">
        <v>8743</v>
      </c>
      <c r="O1553" t="s">
        <v>61</v>
      </c>
      <c r="Q1553">
        <v>621127113</v>
      </c>
      <c r="R1553" t="s">
        <v>9515</v>
      </c>
      <c r="S1553" t="s">
        <v>237</v>
      </c>
      <c r="T1553" t="s">
        <v>4584</v>
      </c>
      <c r="U1553" t="s">
        <v>65</v>
      </c>
      <c r="W1553" s="26">
        <v>45552</v>
      </c>
      <c r="X1553" t="s">
        <v>61</v>
      </c>
      <c r="Y1553" t="s">
        <v>237</v>
      </c>
    </row>
    <row r="1554" spans="1:25" x14ac:dyDescent="0.25">
      <c r="A1554" t="s">
        <v>9516</v>
      </c>
      <c r="B1554">
        <v>11</v>
      </c>
      <c r="C1554">
        <v>78</v>
      </c>
      <c r="D1554">
        <v>9001</v>
      </c>
      <c r="E1554" t="s">
        <v>8740</v>
      </c>
      <c r="F1554" t="s">
        <v>457</v>
      </c>
      <c r="G1554" t="s">
        <v>9517</v>
      </c>
      <c r="H1554" s="26">
        <v>18589</v>
      </c>
      <c r="I1554" t="s">
        <v>58</v>
      </c>
      <c r="J1554" t="s">
        <v>9518</v>
      </c>
      <c r="M1554">
        <v>78140</v>
      </c>
      <c r="N1554" t="s">
        <v>8743</v>
      </c>
      <c r="O1554" t="s">
        <v>61</v>
      </c>
      <c r="Q1554">
        <v>660631150</v>
      </c>
      <c r="R1554" t="s">
        <v>9519</v>
      </c>
      <c r="S1554" t="s">
        <v>237</v>
      </c>
      <c r="T1554" t="s">
        <v>4584</v>
      </c>
      <c r="U1554" t="s">
        <v>65</v>
      </c>
      <c r="W1554" s="26">
        <v>45552</v>
      </c>
      <c r="X1554" t="s">
        <v>61</v>
      </c>
      <c r="Y1554" t="s">
        <v>237</v>
      </c>
    </row>
    <row r="1555" spans="1:25" x14ac:dyDescent="0.25">
      <c r="A1555" t="s">
        <v>9520</v>
      </c>
      <c r="B1555">
        <v>11</v>
      </c>
      <c r="C1555">
        <v>78</v>
      </c>
      <c r="D1555">
        <v>9001</v>
      </c>
      <c r="E1555" t="s">
        <v>8740</v>
      </c>
      <c r="F1555" t="s">
        <v>13</v>
      </c>
      <c r="G1555" t="s">
        <v>9521</v>
      </c>
      <c r="H1555" s="26">
        <v>18232</v>
      </c>
      <c r="I1555" t="s">
        <v>58</v>
      </c>
      <c r="J1555" t="s">
        <v>9522</v>
      </c>
      <c r="M1555">
        <v>78140</v>
      </c>
      <c r="N1555" t="s">
        <v>8743</v>
      </c>
      <c r="O1555" t="s">
        <v>61</v>
      </c>
      <c r="Q1555">
        <v>687719308</v>
      </c>
      <c r="R1555" t="s">
        <v>9523</v>
      </c>
      <c r="S1555" t="s">
        <v>237</v>
      </c>
      <c r="T1555" t="s">
        <v>4584</v>
      </c>
      <c r="U1555" t="s">
        <v>65</v>
      </c>
      <c r="W1555" s="26">
        <v>45552</v>
      </c>
      <c r="X1555" t="s">
        <v>61</v>
      </c>
      <c r="Y1555" t="s">
        <v>237</v>
      </c>
    </row>
    <row r="1556" spans="1:25" x14ac:dyDescent="0.25">
      <c r="A1556" t="s">
        <v>9524</v>
      </c>
      <c r="B1556">
        <v>11</v>
      </c>
      <c r="C1556">
        <v>78</v>
      </c>
      <c r="D1556">
        <v>9001</v>
      </c>
      <c r="E1556" t="s">
        <v>8740</v>
      </c>
      <c r="F1556" t="s">
        <v>11372</v>
      </c>
      <c r="G1556" t="s">
        <v>9525</v>
      </c>
      <c r="H1556" s="26">
        <v>16633</v>
      </c>
      <c r="I1556" t="s">
        <v>16</v>
      </c>
      <c r="J1556" t="s">
        <v>9526</v>
      </c>
      <c r="M1556">
        <v>78140</v>
      </c>
      <c r="N1556" t="s">
        <v>8743</v>
      </c>
      <c r="O1556" t="s">
        <v>61</v>
      </c>
      <c r="Q1556">
        <v>684174703</v>
      </c>
      <c r="R1556" t="s">
        <v>9527</v>
      </c>
      <c r="S1556" t="s">
        <v>237</v>
      </c>
      <c r="T1556" t="s">
        <v>4584</v>
      </c>
      <c r="U1556" t="s">
        <v>65</v>
      </c>
      <c r="W1556" s="26">
        <v>45552</v>
      </c>
      <c r="X1556" t="s">
        <v>61</v>
      </c>
      <c r="Y1556" t="s">
        <v>237</v>
      </c>
    </row>
    <row r="1557" spans="1:25" x14ac:dyDescent="0.25">
      <c r="A1557" t="s">
        <v>9528</v>
      </c>
      <c r="B1557">
        <v>11</v>
      </c>
      <c r="C1557">
        <v>78</v>
      </c>
      <c r="D1557">
        <v>9001</v>
      </c>
      <c r="E1557" t="s">
        <v>8740</v>
      </c>
      <c r="F1557" t="s">
        <v>243</v>
      </c>
      <c r="G1557" t="s">
        <v>9529</v>
      </c>
      <c r="H1557" s="26">
        <v>20080</v>
      </c>
      <c r="I1557" t="s">
        <v>58</v>
      </c>
      <c r="J1557" t="s">
        <v>9530</v>
      </c>
      <c r="M1557">
        <v>78150</v>
      </c>
      <c r="N1557" t="s">
        <v>1846</v>
      </c>
      <c r="O1557" t="s">
        <v>61</v>
      </c>
      <c r="Q1557">
        <v>611040507</v>
      </c>
      <c r="R1557" t="s">
        <v>9531</v>
      </c>
      <c r="S1557" t="s">
        <v>237</v>
      </c>
      <c r="T1557" t="s">
        <v>4584</v>
      </c>
      <c r="U1557" t="s">
        <v>65</v>
      </c>
      <c r="W1557" s="26">
        <v>45552</v>
      </c>
      <c r="X1557" t="s">
        <v>61</v>
      </c>
      <c r="Y1557" t="s">
        <v>237</v>
      </c>
    </row>
    <row r="1558" spans="1:25" x14ac:dyDescent="0.25">
      <c r="A1558" t="s">
        <v>9532</v>
      </c>
      <c r="B1558">
        <v>11</v>
      </c>
      <c r="C1558">
        <v>95</v>
      </c>
      <c r="D1558">
        <v>9069</v>
      </c>
      <c r="E1558" t="s">
        <v>129</v>
      </c>
      <c r="F1558" t="s">
        <v>864</v>
      </c>
      <c r="G1558" t="s">
        <v>9533</v>
      </c>
      <c r="H1558" s="26">
        <v>17621</v>
      </c>
      <c r="I1558" t="s">
        <v>58</v>
      </c>
      <c r="J1558" t="s">
        <v>9534</v>
      </c>
      <c r="M1558">
        <v>95130</v>
      </c>
      <c r="N1558" t="s">
        <v>878</v>
      </c>
      <c r="O1558" t="s">
        <v>61</v>
      </c>
      <c r="Q1558">
        <v>681741318</v>
      </c>
      <c r="R1558" t="s">
        <v>9535</v>
      </c>
      <c r="S1558" t="s">
        <v>63</v>
      </c>
      <c r="T1558" t="s">
        <v>4584</v>
      </c>
      <c r="U1558" t="s">
        <v>65</v>
      </c>
      <c r="W1558" s="26">
        <v>45552</v>
      </c>
      <c r="X1558" t="s">
        <v>61</v>
      </c>
      <c r="Y1558" t="s">
        <v>237</v>
      </c>
    </row>
    <row r="1559" spans="1:25" x14ac:dyDescent="0.25">
      <c r="A1559" t="s">
        <v>9536</v>
      </c>
      <c r="B1559">
        <v>11</v>
      </c>
      <c r="C1559">
        <v>78</v>
      </c>
      <c r="D1559">
        <v>9030</v>
      </c>
      <c r="E1559" t="s">
        <v>96</v>
      </c>
      <c r="F1559" t="s">
        <v>13</v>
      </c>
      <c r="G1559" t="s">
        <v>9537</v>
      </c>
      <c r="H1559" s="26">
        <v>19370</v>
      </c>
      <c r="I1559" t="s">
        <v>58</v>
      </c>
      <c r="J1559" t="s">
        <v>9538</v>
      </c>
      <c r="M1559">
        <v>78180</v>
      </c>
      <c r="N1559" t="s">
        <v>1162</v>
      </c>
      <c r="O1559" t="s">
        <v>61</v>
      </c>
      <c r="Q1559">
        <v>683886924</v>
      </c>
      <c r="R1559" t="s">
        <v>9539</v>
      </c>
      <c r="S1559" t="s">
        <v>63</v>
      </c>
      <c r="T1559" t="s">
        <v>4584</v>
      </c>
      <c r="U1559" t="s">
        <v>486</v>
      </c>
      <c r="W1559" s="26">
        <v>45552</v>
      </c>
      <c r="X1559" t="s">
        <v>61</v>
      </c>
      <c r="Y1559" t="s">
        <v>237</v>
      </c>
    </row>
    <row r="1560" spans="1:25" x14ac:dyDescent="0.25">
      <c r="A1560" t="s">
        <v>9540</v>
      </c>
      <c r="B1560">
        <v>11</v>
      </c>
      <c r="C1560">
        <v>78</v>
      </c>
      <c r="D1560">
        <v>9030</v>
      </c>
      <c r="E1560" t="s">
        <v>96</v>
      </c>
      <c r="F1560" t="s">
        <v>106</v>
      </c>
      <c r="G1560" t="s">
        <v>9541</v>
      </c>
      <c r="H1560" s="26">
        <v>15316</v>
      </c>
      <c r="I1560" t="s">
        <v>58</v>
      </c>
      <c r="J1560" t="s">
        <v>9542</v>
      </c>
      <c r="M1560">
        <v>78990</v>
      </c>
      <c r="N1560" t="s">
        <v>465</v>
      </c>
      <c r="O1560" t="s">
        <v>61</v>
      </c>
      <c r="P1560">
        <v>134829645</v>
      </c>
      <c r="Q1560">
        <v>618555573</v>
      </c>
      <c r="R1560" t="s">
        <v>9543</v>
      </c>
      <c r="S1560" t="s">
        <v>63</v>
      </c>
      <c r="T1560" t="s">
        <v>4584</v>
      </c>
      <c r="U1560" t="s">
        <v>65</v>
      </c>
      <c r="W1560" s="26">
        <v>45552</v>
      </c>
      <c r="X1560" t="s">
        <v>61</v>
      </c>
      <c r="Y1560" t="s">
        <v>237</v>
      </c>
    </row>
    <row r="1561" spans="1:25" x14ac:dyDescent="0.25">
      <c r="A1561" t="s">
        <v>9544</v>
      </c>
      <c r="B1561">
        <v>11</v>
      </c>
      <c r="C1561">
        <v>78</v>
      </c>
      <c r="D1561">
        <v>9030</v>
      </c>
      <c r="E1561" t="s">
        <v>96</v>
      </c>
      <c r="F1561" t="s">
        <v>555</v>
      </c>
      <c r="G1561" t="s">
        <v>9545</v>
      </c>
      <c r="H1561" s="26">
        <v>21068</v>
      </c>
      <c r="I1561" t="s">
        <v>58</v>
      </c>
      <c r="J1561" t="s">
        <v>9546</v>
      </c>
      <c r="M1561">
        <v>78610</v>
      </c>
      <c r="N1561" t="s">
        <v>9547</v>
      </c>
      <c r="O1561" t="s">
        <v>61</v>
      </c>
      <c r="P1561">
        <v>983660397</v>
      </c>
      <c r="Q1561">
        <v>650929204</v>
      </c>
      <c r="R1561" t="s">
        <v>9548</v>
      </c>
      <c r="S1561" t="s">
        <v>63</v>
      </c>
      <c r="T1561" t="s">
        <v>4584</v>
      </c>
      <c r="U1561" t="s">
        <v>65</v>
      </c>
      <c r="W1561" s="26">
        <v>45552</v>
      </c>
      <c r="X1561" t="s">
        <v>61</v>
      </c>
      <c r="Y1561" t="s">
        <v>237</v>
      </c>
    </row>
    <row r="1562" spans="1:25" x14ac:dyDescent="0.25">
      <c r="A1562" t="s">
        <v>9549</v>
      </c>
      <c r="B1562">
        <v>11</v>
      </c>
      <c r="C1562">
        <v>94</v>
      </c>
      <c r="D1562">
        <v>9031</v>
      </c>
      <c r="E1562" t="s">
        <v>7</v>
      </c>
      <c r="F1562" t="s">
        <v>551</v>
      </c>
      <c r="G1562" t="s">
        <v>9550</v>
      </c>
      <c r="H1562" s="26">
        <v>21483</v>
      </c>
      <c r="I1562" t="s">
        <v>58</v>
      </c>
      <c r="J1562" t="s">
        <v>9551</v>
      </c>
      <c r="M1562">
        <v>94220</v>
      </c>
      <c r="N1562" t="s">
        <v>889</v>
      </c>
      <c r="O1562" t="s">
        <v>61</v>
      </c>
      <c r="Q1562">
        <v>616557738</v>
      </c>
      <c r="R1562" t="s">
        <v>9552</v>
      </c>
      <c r="S1562" t="s">
        <v>63</v>
      </c>
      <c r="T1562" t="s">
        <v>4584</v>
      </c>
      <c r="U1562" t="s">
        <v>65</v>
      </c>
      <c r="W1562" s="26">
        <v>45553</v>
      </c>
      <c r="X1562" t="s">
        <v>61</v>
      </c>
      <c r="Y1562" t="s">
        <v>237</v>
      </c>
    </row>
    <row r="1563" spans="1:25" x14ac:dyDescent="0.25">
      <c r="A1563" t="s">
        <v>9553</v>
      </c>
      <c r="B1563">
        <v>11</v>
      </c>
      <c r="C1563">
        <v>92</v>
      </c>
      <c r="D1563">
        <v>9068</v>
      </c>
      <c r="E1563" t="s">
        <v>119</v>
      </c>
      <c r="F1563" t="s">
        <v>9554</v>
      </c>
      <c r="G1563" t="s">
        <v>9555</v>
      </c>
      <c r="H1563" s="26">
        <v>37328</v>
      </c>
      <c r="I1563" t="s">
        <v>58</v>
      </c>
      <c r="J1563" t="s">
        <v>9556</v>
      </c>
      <c r="M1563">
        <v>92320</v>
      </c>
      <c r="N1563" t="s">
        <v>228</v>
      </c>
      <c r="O1563" t="s">
        <v>61</v>
      </c>
      <c r="Q1563">
        <v>661452459</v>
      </c>
      <c r="R1563" t="s">
        <v>9557</v>
      </c>
      <c r="S1563" t="s">
        <v>63</v>
      </c>
      <c r="T1563" t="s">
        <v>4584</v>
      </c>
      <c r="U1563" t="s">
        <v>486</v>
      </c>
      <c r="W1563" s="26">
        <v>45553</v>
      </c>
      <c r="X1563" t="s">
        <v>61</v>
      </c>
      <c r="Y1563" t="s">
        <v>237</v>
      </c>
    </row>
    <row r="1564" spans="1:25" x14ac:dyDescent="0.25">
      <c r="A1564" t="s">
        <v>9558</v>
      </c>
      <c r="B1564">
        <v>11</v>
      </c>
      <c r="C1564">
        <v>95</v>
      </c>
      <c r="D1564">
        <v>9033</v>
      </c>
      <c r="E1564" t="s">
        <v>500</v>
      </c>
      <c r="F1564" t="s">
        <v>322</v>
      </c>
      <c r="G1564" t="s">
        <v>4077</v>
      </c>
      <c r="H1564" s="26">
        <v>34519</v>
      </c>
      <c r="I1564" t="s">
        <v>58</v>
      </c>
      <c r="J1564" t="s">
        <v>9559</v>
      </c>
      <c r="K1564" t="s">
        <v>9560</v>
      </c>
      <c r="M1564">
        <v>95500</v>
      </c>
      <c r="N1564" t="s">
        <v>2024</v>
      </c>
      <c r="O1564" t="s">
        <v>61</v>
      </c>
      <c r="Q1564">
        <v>769904076</v>
      </c>
      <c r="R1564" t="s">
        <v>9561</v>
      </c>
      <c r="S1564" t="s">
        <v>63</v>
      </c>
      <c r="T1564" t="s">
        <v>4584</v>
      </c>
      <c r="U1564" t="s">
        <v>8684</v>
      </c>
      <c r="W1564" s="26">
        <v>45553</v>
      </c>
      <c r="X1564" t="s">
        <v>61</v>
      </c>
      <c r="Y1564" t="s">
        <v>237</v>
      </c>
    </row>
    <row r="1565" spans="1:25" x14ac:dyDescent="0.25">
      <c r="A1565" t="s">
        <v>9562</v>
      </c>
      <c r="B1565">
        <v>11</v>
      </c>
      <c r="C1565">
        <v>75</v>
      </c>
      <c r="D1565">
        <v>9126</v>
      </c>
      <c r="E1565" t="s">
        <v>1818</v>
      </c>
      <c r="F1565" t="s">
        <v>9563</v>
      </c>
      <c r="G1565" t="s">
        <v>9564</v>
      </c>
      <c r="H1565" s="26">
        <v>32140</v>
      </c>
      <c r="I1565" t="s">
        <v>58</v>
      </c>
      <c r="J1565" t="s">
        <v>9565</v>
      </c>
      <c r="M1565">
        <v>75020</v>
      </c>
      <c r="N1565" t="s">
        <v>330</v>
      </c>
      <c r="O1565" t="s">
        <v>61</v>
      </c>
      <c r="R1565" t="s">
        <v>9566</v>
      </c>
      <c r="S1565" t="s">
        <v>63</v>
      </c>
      <c r="T1565" t="s">
        <v>4584</v>
      </c>
      <c r="U1565" t="s">
        <v>8684</v>
      </c>
      <c r="W1565" s="26">
        <v>45553</v>
      </c>
      <c r="X1565" t="s">
        <v>9567</v>
      </c>
      <c r="Y1565" t="s">
        <v>237</v>
      </c>
    </row>
    <row r="1566" spans="1:25" x14ac:dyDescent="0.25">
      <c r="A1566" t="s">
        <v>9568</v>
      </c>
      <c r="B1566">
        <v>11</v>
      </c>
      <c r="C1566">
        <v>78</v>
      </c>
      <c r="D1566">
        <v>9030</v>
      </c>
      <c r="E1566" t="s">
        <v>96</v>
      </c>
      <c r="F1566" t="s">
        <v>187</v>
      </c>
      <c r="G1566" t="s">
        <v>9569</v>
      </c>
      <c r="H1566" s="26">
        <v>17803</v>
      </c>
      <c r="I1566" t="s">
        <v>58</v>
      </c>
      <c r="J1566" t="s">
        <v>9570</v>
      </c>
      <c r="M1566">
        <v>91190</v>
      </c>
      <c r="N1566" t="s">
        <v>2312</v>
      </c>
      <c r="O1566" t="s">
        <v>61</v>
      </c>
      <c r="Q1566">
        <v>614233827</v>
      </c>
      <c r="R1566" t="s">
        <v>9571</v>
      </c>
      <c r="S1566" t="s">
        <v>63</v>
      </c>
      <c r="T1566" t="s">
        <v>4584</v>
      </c>
      <c r="U1566" t="s">
        <v>65</v>
      </c>
      <c r="W1566" s="26">
        <v>45554</v>
      </c>
      <c r="X1566" t="s">
        <v>61</v>
      </c>
      <c r="Y1566" t="s">
        <v>237</v>
      </c>
    </row>
    <row r="1567" spans="1:25" x14ac:dyDescent="0.25">
      <c r="A1567" t="s">
        <v>9572</v>
      </c>
      <c r="B1567">
        <v>11</v>
      </c>
      <c r="C1567">
        <v>91</v>
      </c>
      <c r="D1567">
        <v>9131</v>
      </c>
      <c r="E1567" t="s">
        <v>8686</v>
      </c>
      <c r="F1567" t="s">
        <v>9573</v>
      </c>
      <c r="G1567" t="s">
        <v>9574</v>
      </c>
      <c r="H1567" s="26">
        <v>22885</v>
      </c>
      <c r="I1567" t="s">
        <v>58</v>
      </c>
      <c r="J1567" t="s">
        <v>9575</v>
      </c>
      <c r="M1567">
        <v>91270</v>
      </c>
      <c r="N1567" t="s">
        <v>1412</v>
      </c>
      <c r="O1567" t="s">
        <v>61</v>
      </c>
      <c r="P1567">
        <v>651596667</v>
      </c>
      <c r="R1567" t="s">
        <v>9576</v>
      </c>
      <c r="S1567" t="s">
        <v>63</v>
      </c>
      <c r="T1567" t="s">
        <v>4584</v>
      </c>
      <c r="U1567" t="s">
        <v>65</v>
      </c>
      <c r="W1567" s="26">
        <v>45554</v>
      </c>
      <c r="X1567" t="s">
        <v>61</v>
      </c>
      <c r="Y1567" t="s">
        <v>237</v>
      </c>
    </row>
    <row r="1568" spans="1:25" x14ac:dyDescent="0.25">
      <c r="A1568" t="s">
        <v>9577</v>
      </c>
      <c r="B1568">
        <v>11</v>
      </c>
      <c r="C1568">
        <v>92</v>
      </c>
      <c r="D1568">
        <v>9065</v>
      </c>
      <c r="E1568" t="s">
        <v>426</v>
      </c>
      <c r="F1568" t="s">
        <v>9578</v>
      </c>
      <c r="G1568" t="s">
        <v>9579</v>
      </c>
      <c r="H1568" s="26">
        <v>32057</v>
      </c>
      <c r="I1568" t="s">
        <v>58</v>
      </c>
      <c r="J1568" t="s">
        <v>9580</v>
      </c>
      <c r="M1568">
        <v>91260</v>
      </c>
      <c r="N1568" t="s">
        <v>2638</v>
      </c>
      <c r="O1568" t="s">
        <v>61</v>
      </c>
      <c r="Q1568">
        <v>627740855</v>
      </c>
      <c r="R1568" t="s">
        <v>9581</v>
      </c>
      <c r="S1568" t="s">
        <v>63</v>
      </c>
      <c r="T1568" t="s">
        <v>4584</v>
      </c>
      <c r="U1568" t="s">
        <v>486</v>
      </c>
      <c r="W1568" s="26">
        <v>45554</v>
      </c>
      <c r="X1568" t="s">
        <v>3738</v>
      </c>
      <c r="Y1568" t="s">
        <v>237</v>
      </c>
    </row>
    <row r="1569" spans="1:25" x14ac:dyDescent="0.25">
      <c r="A1569" t="s">
        <v>9582</v>
      </c>
      <c r="B1569">
        <v>11</v>
      </c>
      <c r="C1569">
        <v>78</v>
      </c>
      <c r="D1569">
        <v>9052</v>
      </c>
      <c r="E1569" t="s">
        <v>337</v>
      </c>
      <c r="F1569" t="s">
        <v>1178</v>
      </c>
      <c r="G1569" t="s">
        <v>9583</v>
      </c>
      <c r="H1569" s="26">
        <v>21062</v>
      </c>
      <c r="I1569" t="s">
        <v>58</v>
      </c>
      <c r="J1569" t="s">
        <v>9584</v>
      </c>
      <c r="M1569">
        <v>78760</v>
      </c>
      <c r="N1569" t="s">
        <v>3037</v>
      </c>
      <c r="O1569" t="s">
        <v>61</v>
      </c>
      <c r="Q1569">
        <v>676336585</v>
      </c>
      <c r="R1569" t="s">
        <v>9585</v>
      </c>
      <c r="S1569" t="s">
        <v>63</v>
      </c>
      <c r="T1569" t="s">
        <v>4584</v>
      </c>
      <c r="U1569" t="s">
        <v>65</v>
      </c>
      <c r="W1569" s="26">
        <v>45554</v>
      </c>
      <c r="X1569" t="s">
        <v>61</v>
      </c>
      <c r="Y1569" t="s">
        <v>237</v>
      </c>
    </row>
    <row r="1570" spans="1:25" x14ac:dyDescent="0.25">
      <c r="A1570" t="s">
        <v>9586</v>
      </c>
      <c r="B1570">
        <v>11</v>
      </c>
      <c r="C1570">
        <v>78</v>
      </c>
      <c r="D1570">
        <v>9052</v>
      </c>
      <c r="E1570" t="s">
        <v>337</v>
      </c>
      <c r="F1570" t="s">
        <v>551</v>
      </c>
      <c r="G1570" t="s">
        <v>9587</v>
      </c>
      <c r="H1570" s="26">
        <v>22908</v>
      </c>
      <c r="I1570" t="s">
        <v>58</v>
      </c>
      <c r="J1570" t="s">
        <v>9588</v>
      </c>
      <c r="M1570">
        <v>78450</v>
      </c>
      <c r="N1570" t="s">
        <v>882</v>
      </c>
      <c r="O1570" t="s">
        <v>61</v>
      </c>
      <c r="P1570">
        <v>979649836</v>
      </c>
      <c r="R1570" t="s">
        <v>9589</v>
      </c>
      <c r="S1570" t="s">
        <v>63</v>
      </c>
      <c r="T1570" t="s">
        <v>4584</v>
      </c>
      <c r="U1570" t="s">
        <v>65</v>
      </c>
      <c r="W1570" s="26">
        <v>45554</v>
      </c>
      <c r="X1570" t="s">
        <v>61</v>
      </c>
      <c r="Y1570" t="s">
        <v>237</v>
      </c>
    </row>
    <row r="1571" spans="1:25" x14ac:dyDescent="0.25">
      <c r="A1571" t="s">
        <v>9590</v>
      </c>
      <c r="B1571">
        <v>11</v>
      </c>
      <c r="C1571">
        <v>78</v>
      </c>
      <c r="D1571">
        <v>9056</v>
      </c>
      <c r="E1571" t="s">
        <v>214</v>
      </c>
      <c r="F1571" t="s">
        <v>85</v>
      </c>
      <c r="G1571" t="s">
        <v>9591</v>
      </c>
      <c r="H1571" s="26">
        <v>21338</v>
      </c>
      <c r="I1571" t="s">
        <v>58</v>
      </c>
      <c r="J1571" t="s">
        <v>9592</v>
      </c>
      <c r="M1571">
        <v>78150</v>
      </c>
      <c r="N1571" t="s">
        <v>1262</v>
      </c>
      <c r="O1571" t="s">
        <v>61</v>
      </c>
      <c r="Q1571">
        <v>6744444953</v>
      </c>
      <c r="R1571" t="s">
        <v>9593</v>
      </c>
      <c r="S1571" t="s">
        <v>63</v>
      </c>
      <c r="T1571" t="s">
        <v>4584</v>
      </c>
      <c r="U1571" t="s">
        <v>65</v>
      </c>
      <c r="W1571" s="26">
        <v>45555</v>
      </c>
      <c r="X1571" t="s">
        <v>61</v>
      </c>
      <c r="Y1571" t="s">
        <v>237</v>
      </c>
    </row>
    <row r="1572" spans="1:25" x14ac:dyDescent="0.25">
      <c r="A1572" t="s">
        <v>9594</v>
      </c>
      <c r="B1572">
        <v>11</v>
      </c>
      <c r="C1572">
        <v>78</v>
      </c>
      <c r="D1572">
        <v>9056</v>
      </c>
      <c r="E1572" t="s">
        <v>214</v>
      </c>
      <c r="F1572" t="s">
        <v>9595</v>
      </c>
      <c r="G1572" t="s">
        <v>9596</v>
      </c>
      <c r="H1572" s="26">
        <v>19997</v>
      </c>
      <c r="I1572" t="s">
        <v>16</v>
      </c>
      <c r="J1572" t="s">
        <v>9597</v>
      </c>
      <c r="M1572">
        <v>78000</v>
      </c>
      <c r="N1572" t="s">
        <v>1334</v>
      </c>
      <c r="O1572" t="s">
        <v>61</v>
      </c>
      <c r="Q1572">
        <v>623223250</v>
      </c>
      <c r="R1572" t="s">
        <v>9598</v>
      </c>
      <c r="S1572" t="s">
        <v>63</v>
      </c>
      <c r="T1572" t="s">
        <v>4584</v>
      </c>
      <c r="U1572" t="s">
        <v>65</v>
      </c>
      <c r="W1572" s="26">
        <v>45555</v>
      </c>
      <c r="X1572" t="s">
        <v>61</v>
      </c>
      <c r="Y1572" t="s">
        <v>237</v>
      </c>
    </row>
    <row r="1573" spans="1:25" x14ac:dyDescent="0.25">
      <c r="A1573" t="s">
        <v>9599</v>
      </c>
      <c r="B1573">
        <v>11</v>
      </c>
      <c r="C1573">
        <v>91</v>
      </c>
      <c r="D1573">
        <v>9131</v>
      </c>
      <c r="E1573" t="s">
        <v>8686</v>
      </c>
      <c r="F1573" t="s">
        <v>1382</v>
      </c>
      <c r="G1573" t="s">
        <v>9600</v>
      </c>
      <c r="H1573" s="26">
        <v>24217</v>
      </c>
      <c r="I1573" t="s">
        <v>58</v>
      </c>
      <c r="J1573" t="s">
        <v>9601</v>
      </c>
      <c r="M1573">
        <v>91210</v>
      </c>
      <c r="N1573" t="s">
        <v>226</v>
      </c>
      <c r="O1573" t="s">
        <v>61</v>
      </c>
      <c r="Q1573">
        <v>661065325</v>
      </c>
      <c r="R1573" t="s">
        <v>9602</v>
      </c>
      <c r="S1573" t="s">
        <v>63</v>
      </c>
      <c r="T1573" t="s">
        <v>4584</v>
      </c>
      <c r="U1573" t="s">
        <v>65</v>
      </c>
      <c r="W1573" s="26">
        <v>45555</v>
      </c>
      <c r="X1573" t="s">
        <v>61</v>
      </c>
      <c r="Y1573" t="s">
        <v>237</v>
      </c>
    </row>
    <row r="1574" spans="1:25" x14ac:dyDescent="0.25">
      <c r="A1574" t="s">
        <v>9603</v>
      </c>
      <c r="B1574">
        <v>11</v>
      </c>
      <c r="C1574">
        <v>93</v>
      </c>
      <c r="D1574">
        <v>9122</v>
      </c>
      <c r="E1574" t="s">
        <v>1030</v>
      </c>
      <c r="F1574" t="s">
        <v>9604</v>
      </c>
      <c r="G1574" t="s">
        <v>9605</v>
      </c>
      <c r="H1574" s="26">
        <v>24401</v>
      </c>
      <c r="I1574" t="s">
        <v>58</v>
      </c>
      <c r="J1574" t="s">
        <v>9606</v>
      </c>
      <c r="M1574">
        <v>93220</v>
      </c>
      <c r="N1574" t="s">
        <v>662</v>
      </c>
      <c r="O1574" t="s">
        <v>61</v>
      </c>
      <c r="P1574">
        <v>619578480</v>
      </c>
      <c r="S1574" t="s">
        <v>63</v>
      </c>
      <c r="T1574" t="s">
        <v>4584</v>
      </c>
      <c r="U1574" t="s">
        <v>8684</v>
      </c>
      <c r="W1574" s="26">
        <v>45555</v>
      </c>
      <c r="X1574" t="s">
        <v>9607</v>
      </c>
      <c r="Y1574" t="s">
        <v>237</v>
      </c>
    </row>
    <row r="1575" spans="1:25" x14ac:dyDescent="0.25">
      <c r="A1575" t="s">
        <v>9608</v>
      </c>
      <c r="B1575">
        <v>11</v>
      </c>
      <c r="C1575">
        <v>94</v>
      </c>
      <c r="D1575">
        <v>9024</v>
      </c>
      <c r="E1575" t="s">
        <v>4</v>
      </c>
      <c r="F1575" t="s">
        <v>9609</v>
      </c>
      <c r="G1575" t="s">
        <v>9610</v>
      </c>
      <c r="H1575" s="26">
        <v>37122</v>
      </c>
      <c r="I1575" t="s">
        <v>58</v>
      </c>
      <c r="J1575" t="s">
        <v>9611</v>
      </c>
      <c r="M1575">
        <v>94170</v>
      </c>
      <c r="N1575" t="s">
        <v>3220</v>
      </c>
      <c r="O1575" t="s">
        <v>61</v>
      </c>
      <c r="Q1575">
        <v>775700633</v>
      </c>
      <c r="R1575" t="s">
        <v>9612</v>
      </c>
      <c r="S1575" t="s">
        <v>63</v>
      </c>
      <c r="T1575" t="s">
        <v>4584</v>
      </c>
      <c r="U1575" t="s">
        <v>8684</v>
      </c>
      <c r="W1575" s="26">
        <v>45555</v>
      </c>
      <c r="X1575" t="s">
        <v>61</v>
      </c>
      <c r="Y1575" t="s">
        <v>237</v>
      </c>
    </row>
    <row r="1576" spans="1:25" x14ac:dyDescent="0.25">
      <c r="A1576" t="s">
        <v>9613</v>
      </c>
      <c r="B1576">
        <v>11</v>
      </c>
      <c r="C1576">
        <v>75</v>
      </c>
      <c r="D1576">
        <v>9126</v>
      </c>
      <c r="E1576" t="s">
        <v>1818</v>
      </c>
      <c r="F1576" t="s">
        <v>9193</v>
      </c>
      <c r="G1576" t="s">
        <v>9614</v>
      </c>
      <c r="H1576" s="26">
        <v>34045</v>
      </c>
      <c r="I1576" t="s">
        <v>58</v>
      </c>
      <c r="J1576" t="s">
        <v>9615</v>
      </c>
      <c r="M1576">
        <v>75015</v>
      </c>
      <c r="N1576" t="s">
        <v>330</v>
      </c>
      <c r="O1576" t="s">
        <v>61</v>
      </c>
      <c r="R1576" t="s">
        <v>9616</v>
      </c>
      <c r="S1576" t="s">
        <v>63</v>
      </c>
      <c r="T1576" t="s">
        <v>4584</v>
      </c>
      <c r="U1576" t="s">
        <v>8684</v>
      </c>
      <c r="W1576" s="26">
        <v>45555</v>
      </c>
      <c r="X1576" t="s">
        <v>61</v>
      </c>
      <c r="Y1576" t="s">
        <v>237</v>
      </c>
    </row>
    <row r="1577" spans="1:25" x14ac:dyDescent="0.25">
      <c r="A1577" t="s">
        <v>9617</v>
      </c>
      <c r="B1577">
        <v>11</v>
      </c>
      <c r="C1577">
        <v>75</v>
      </c>
      <c r="D1577">
        <v>9126</v>
      </c>
      <c r="E1577" t="s">
        <v>1818</v>
      </c>
      <c r="F1577" t="s">
        <v>9618</v>
      </c>
      <c r="G1577" t="s">
        <v>9619</v>
      </c>
      <c r="H1577" s="26">
        <v>34668</v>
      </c>
      <c r="I1577" t="s">
        <v>16</v>
      </c>
      <c r="J1577" t="s">
        <v>9615</v>
      </c>
      <c r="M1577">
        <v>75015</v>
      </c>
      <c r="N1577" t="s">
        <v>330</v>
      </c>
      <c r="O1577" t="s">
        <v>61</v>
      </c>
      <c r="R1577" t="s">
        <v>9620</v>
      </c>
      <c r="S1577" t="s">
        <v>63</v>
      </c>
      <c r="T1577" t="s">
        <v>4584</v>
      </c>
      <c r="U1577" t="s">
        <v>8684</v>
      </c>
      <c r="W1577" s="26">
        <v>45555</v>
      </c>
      <c r="X1577" t="s">
        <v>2203</v>
      </c>
      <c r="Y1577" t="s">
        <v>237</v>
      </c>
    </row>
    <row r="1578" spans="1:25" x14ac:dyDescent="0.25">
      <c r="A1578" t="s">
        <v>9621</v>
      </c>
      <c r="B1578">
        <v>11</v>
      </c>
      <c r="C1578">
        <v>91</v>
      </c>
      <c r="D1578">
        <v>9095</v>
      </c>
      <c r="E1578" t="s">
        <v>113</v>
      </c>
      <c r="F1578" t="s">
        <v>187</v>
      </c>
      <c r="G1578" t="s">
        <v>9622</v>
      </c>
      <c r="H1578" s="26">
        <v>18033</v>
      </c>
      <c r="I1578" t="s">
        <v>58</v>
      </c>
      <c r="J1578" t="s">
        <v>9623</v>
      </c>
      <c r="M1578">
        <v>91310</v>
      </c>
      <c r="N1578" t="s">
        <v>1027</v>
      </c>
      <c r="O1578" t="s">
        <v>61</v>
      </c>
      <c r="Q1578">
        <v>622132490</v>
      </c>
      <c r="R1578" t="s">
        <v>9624</v>
      </c>
      <c r="S1578" t="s">
        <v>63</v>
      </c>
      <c r="T1578" t="s">
        <v>4584</v>
      </c>
      <c r="U1578" t="s">
        <v>65</v>
      </c>
      <c r="W1578" s="26">
        <v>45555</v>
      </c>
      <c r="X1578" t="s">
        <v>61</v>
      </c>
      <c r="Y1578" t="s">
        <v>237</v>
      </c>
    </row>
    <row r="1579" spans="1:25" x14ac:dyDescent="0.25">
      <c r="A1579" t="s">
        <v>9625</v>
      </c>
      <c r="B1579">
        <v>11</v>
      </c>
      <c r="C1579">
        <v>91</v>
      </c>
      <c r="D1579">
        <v>9095</v>
      </c>
      <c r="E1579" t="s">
        <v>113</v>
      </c>
      <c r="F1579" t="s">
        <v>143</v>
      </c>
      <c r="G1579" t="s">
        <v>9626</v>
      </c>
      <c r="H1579" s="26">
        <v>19888</v>
      </c>
      <c r="I1579" t="s">
        <v>58</v>
      </c>
      <c r="J1579" t="s">
        <v>9627</v>
      </c>
      <c r="M1579">
        <v>91620</v>
      </c>
      <c r="N1579" t="s">
        <v>4088</v>
      </c>
      <c r="O1579" t="s">
        <v>61</v>
      </c>
      <c r="Q1579">
        <v>769235215</v>
      </c>
      <c r="R1579" t="s">
        <v>9628</v>
      </c>
      <c r="S1579" t="s">
        <v>63</v>
      </c>
      <c r="T1579" t="s">
        <v>4584</v>
      </c>
      <c r="U1579" t="s">
        <v>65</v>
      </c>
      <c r="W1579" s="26">
        <v>45555</v>
      </c>
      <c r="X1579" t="s">
        <v>61</v>
      </c>
      <c r="Y1579" t="s">
        <v>237</v>
      </c>
    </row>
    <row r="1580" spans="1:25" x14ac:dyDescent="0.25">
      <c r="A1580" t="s">
        <v>9629</v>
      </c>
      <c r="B1580">
        <v>11</v>
      </c>
      <c r="C1580">
        <v>91</v>
      </c>
      <c r="D1580">
        <v>9095</v>
      </c>
      <c r="E1580" t="s">
        <v>113</v>
      </c>
      <c r="F1580" t="s">
        <v>9630</v>
      </c>
      <c r="G1580" t="s">
        <v>9631</v>
      </c>
      <c r="H1580" s="26">
        <v>24998</v>
      </c>
      <c r="I1580" t="s">
        <v>16</v>
      </c>
      <c r="J1580" t="s">
        <v>9632</v>
      </c>
      <c r="M1580">
        <v>91520</v>
      </c>
      <c r="N1580" t="s">
        <v>1590</v>
      </c>
      <c r="O1580" t="s">
        <v>61</v>
      </c>
      <c r="P1580">
        <v>164922965</v>
      </c>
      <c r="Q1580">
        <v>665024293</v>
      </c>
      <c r="R1580" t="s">
        <v>9633</v>
      </c>
      <c r="S1580" t="s">
        <v>63</v>
      </c>
      <c r="T1580" t="s">
        <v>4584</v>
      </c>
      <c r="U1580" t="s">
        <v>65</v>
      </c>
      <c r="W1580" s="26">
        <v>45555</v>
      </c>
      <c r="X1580" t="s">
        <v>61</v>
      </c>
      <c r="Y1580" t="s">
        <v>237</v>
      </c>
    </row>
    <row r="1581" spans="1:25" x14ac:dyDescent="0.25">
      <c r="A1581" t="s">
        <v>9634</v>
      </c>
      <c r="B1581">
        <v>11</v>
      </c>
      <c r="C1581">
        <v>91</v>
      </c>
      <c r="D1581">
        <v>9095</v>
      </c>
      <c r="E1581" t="s">
        <v>113</v>
      </c>
      <c r="F1581" t="s">
        <v>983</v>
      </c>
      <c r="G1581" t="s">
        <v>9635</v>
      </c>
      <c r="H1581" s="26">
        <v>23806</v>
      </c>
      <c r="I1581" t="s">
        <v>58</v>
      </c>
      <c r="J1581" t="s">
        <v>9636</v>
      </c>
      <c r="M1581">
        <v>91630</v>
      </c>
      <c r="N1581" t="s">
        <v>748</v>
      </c>
      <c r="O1581" t="s">
        <v>61</v>
      </c>
      <c r="Q1581">
        <v>608616959</v>
      </c>
      <c r="R1581" t="s">
        <v>9637</v>
      </c>
      <c r="S1581" t="s">
        <v>63</v>
      </c>
      <c r="T1581" t="s">
        <v>4584</v>
      </c>
      <c r="U1581" t="s">
        <v>65</v>
      </c>
      <c r="W1581" s="26">
        <v>45555</v>
      </c>
      <c r="X1581" t="s">
        <v>61</v>
      </c>
      <c r="Y1581" t="s">
        <v>237</v>
      </c>
    </row>
    <row r="1582" spans="1:25" x14ac:dyDescent="0.25">
      <c r="A1582" t="s">
        <v>9638</v>
      </c>
      <c r="B1582">
        <v>11</v>
      </c>
      <c r="C1582">
        <v>91</v>
      </c>
      <c r="D1582">
        <v>9095</v>
      </c>
      <c r="E1582" t="s">
        <v>113</v>
      </c>
      <c r="F1582" t="s">
        <v>187</v>
      </c>
      <c r="G1582" t="s">
        <v>9639</v>
      </c>
      <c r="H1582" s="26">
        <v>19933</v>
      </c>
      <c r="I1582" t="s">
        <v>58</v>
      </c>
      <c r="J1582" t="s">
        <v>9640</v>
      </c>
      <c r="M1582">
        <v>91650</v>
      </c>
      <c r="N1582" t="s">
        <v>986</v>
      </c>
      <c r="O1582" t="s">
        <v>61</v>
      </c>
      <c r="Q1582">
        <v>686925329</v>
      </c>
      <c r="R1582" t="s">
        <v>9641</v>
      </c>
      <c r="S1582" t="s">
        <v>63</v>
      </c>
      <c r="T1582" t="s">
        <v>4584</v>
      </c>
      <c r="U1582" t="s">
        <v>65</v>
      </c>
      <c r="W1582" s="26">
        <v>45555</v>
      </c>
      <c r="X1582" t="s">
        <v>61</v>
      </c>
      <c r="Y1582" t="s">
        <v>237</v>
      </c>
    </row>
    <row r="1583" spans="1:25" x14ac:dyDescent="0.25">
      <c r="A1583" t="s">
        <v>9642</v>
      </c>
      <c r="B1583">
        <v>11</v>
      </c>
      <c r="C1583">
        <v>91</v>
      </c>
      <c r="D1583">
        <v>9095</v>
      </c>
      <c r="E1583" t="s">
        <v>113</v>
      </c>
      <c r="F1583" t="s">
        <v>9643</v>
      </c>
      <c r="G1583" t="s">
        <v>9631</v>
      </c>
      <c r="H1583" s="26">
        <v>38003</v>
      </c>
      <c r="I1583" t="s">
        <v>16</v>
      </c>
      <c r="J1583" t="s">
        <v>9632</v>
      </c>
      <c r="M1583">
        <v>91520</v>
      </c>
      <c r="N1583" t="s">
        <v>1590</v>
      </c>
      <c r="O1583" t="s">
        <v>61</v>
      </c>
      <c r="P1583">
        <v>164922965</v>
      </c>
      <c r="Q1583">
        <v>768212714</v>
      </c>
      <c r="R1583" t="s">
        <v>9633</v>
      </c>
      <c r="S1583" t="s">
        <v>63</v>
      </c>
      <c r="T1583" t="s">
        <v>4616</v>
      </c>
      <c r="U1583" t="s">
        <v>65</v>
      </c>
      <c r="W1583" s="26">
        <v>45555</v>
      </c>
      <c r="X1583" t="s">
        <v>61</v>
      </c>
      <c r="Y1583" t="s">
        <v>237</v>
      </c>
    </row>
    <row r="1584" spans="1:25" x14ac:dyDescent="0.25">
      <c r="A1584" t="s">
        <v>9644</v>
      </c>
      <c r="B1584">
        <v>11</v>
      </c>
      <c r="C1584">
        <v>95</v>
      </c>
      <c r="D1584">
        <v>9010</v>
      </c>
      <c r="E1584" t="s">
        <v>6</v>
      </c>
      <c r="F1584" t="s">
        <v>9645</v>
      </c>
      <c r="G1584" t="s">
        <v>9646</v>
      </c>
      <c r="H1584" s="26">
        <v>33257</v>
      </c>
      <c r="I1584" t="s">
        <v>58</v>
      </c>
      <c r="J1584" t="s">
        <v>9647</v>
      </c>
      <c r="M1584">
        <v>95100</v>
      </c>
      <c r="N1584" t="s">
        <v>311</v>
      </c>
      <c r="O1584" t="s">
        <v>61</v>
      </c>
      <c r="Q1584">
        <v>659451649</v>
      </c>
      <c r="R1584" t="s">
        <v>9648</v>
      </c>
      <c r="S1584" t="s">
        <v>63</v>
      </c>
      <c r="T1584" t="s">
        <v>4584</v>
      </c>
      <c r="U1584" t="s">
        <v>8684</v>
      </c>
      <c r="W1584" s="26">
        <v>45555</v>
      </c>
      <c r="X1584" t="s">
        <v>61</v>
      </c>
      <c r="Y1584" t="s">
        <v>237</v>
      </c>
    </row>
    <row r="1585" spans="1:25" x14ac:dyDescent="0.25">
      <c r="A1585" t="s">
        <v>9649</v>
      </c>
      <c r="B1585">
        <v>11</v>
      </c>
      <c r="C1585">
        <v>91</v>
      </c>
      <c r="D1585">
        <v>9082</v>
      </c>
      <c r="E1585" t="s">
        <v>67</v>
      </c>
      <c r="F1585" t="s">
        <v>305</v>
      </c>
      <c r="G1585" t="s">
        <v>9650</v>
      </c>
      <c r="H1585" s="26">
        <v>23320</v>
      </c>
      <c r="I1585" t="s">
        <v>58</v>
      </c>
      <c r="J1585" t="s">
        <v>9651</v>
      </c>
      <c r="M1585">
        <v>91560</v>
      </c>
      <c r="N1585" t="s">
        <v>9652</v>
      </c>
      <c r="O1585" t="s">
        <v>61</v>
      </c>
      <c r="P1585">
        <v>169480732</v>
      </c>
      <c r="Q1585">
        <v>771761536</v>
      </c>
      <c r="R1585" t="s">
        <v>9653</v>
      </c>
      <c r="S1585" t="s">
        <v>63</v>
      </c>
      <c r="T1585" t="s">
        <v>4584</v>
      </c>
      <c r="U1585" t="s">
        <v>65</v>
      </c>
      <c r="W1585" s="26">
        <v>45555</v>
      </c>
      <c r="X1585" t="s">
        <v>61</v>
      </c>
      <c r="Y1585" t="s">
        <v>237</v>
      </c>
    </row>
    <row r="1586" spans="1:25" x14ac:dyDescent="0.25">
      <c r="A1586" t="s">
        <v>9654</v>
      </c>
      <c r="B1586">
        <v>11</v>
      </c>
      <c r="C1586">
        <v>75</v>
      </c>
      <c r="D1586">
        <v>9070</v>
      </c>
      <c r="E1586" t="s">
        <v>168</v>
      </c>
      <c r="F1586" t="s">
        <v>9655</v>
      </c>
      <c r="G1586" t="s">
        <v>2419</v>
      </c>
      <c r="H1586" s="26">
        <v>38638</v>
      </c>
      <c r="I1586" t="s">
        <v>16</v>
      </c>
      <c r="J1586" t="s">
        <v>9656</v>
      </c>
      <c r="M1586">
        <v>93130</v>
      </c>
      <c r="N1586" t="s">
        <v>330</v>
      </c>
      <c r="O1586" t="s">
        <v>61</v>
      </c>
      <c r="Q1586">
        <v>698366169</v>
      </c>
      <c r="R1586" t="s">
        <v>9657</v>
      </c>
      <c r="S1586" t="s">
        <v>237</v>
      </c>
      <c r="T1586" t="s">
        <v>4616</v>
      </c>
      <c r="U1586" t="s">
        <v>8684</v>
      </c>
      <c r="W1586" s="26">
        <v>45556</v>
      </c>
      <c r="X1586" t="s">
        <v>1300</v>
      </c>
      <c r="Y1586" t="s">
        <v>237</v>
      </c>
    </row>
    <row r="1587" spans="1:25" x14ac:dyDescent="0.25">
      <c r="A1587" t="s">
        <v>9658</v>
      </c>
      <c r="B1587">
        <v>11</v>
      </c>
      <c r="C1587">
        <v>75</v>
      </c>
      <c r="D1587">
        <v>9070</v>
      </c>
      <c r="E1587" t="s">
        <v>168</v>
      </c>
      <c r="F1587" t="s">
        <v>9659</v>
      </c>
      <c r="G1587" t="s">
        <v>9660</v>
      </c>
      <c r="H1587" s="26">
        <v>38364</v>
      </c>
      <c r="I1587" t="s">
        <v>58</v>
      </c>
      <c r="J1587" t="s">
        <v>9661</v>
      </c>
      <c r="M1587">
        <v>92160</v>
      </c>
      <c r="N1587" t="s">
        <v>1202</v>
      </c>
      <c r="O1587" t="s">
        <v>61</v>
      </c>
      <c r="Q1587">
        <v>781919450</v>
      </c>
      <c r="R1587" t="s">
        <v>9662</v>
      </c>
      <c r="S1587" t="s">
        <v>237</v>
      </c>
      <c r="T1587" t="s">
        <v>4616</v>
      </c>
      <c r="U1587" t="s">
        <v>8684</v>
      </c>
      <c r="W1587" s="26">
        <v>45556</v>
      </c>
      <c r="X1587" t="s">
        <v>9663</v>
      </c>
      <c r="Y1587" t="s">
        <v>237</v>
      </c>
    </row>
    <row r="1588" spans="1:25" x14ac:dyDescent="0.25">
      <c r="A1588" t="s">
        <v>9664</v>
      </c>
      <c r="B1588">
        <v>11</v>
      </c>
      <c r="C1588">
        <v>75</v>
      </c>
      <c r="D1588">
        <v>9070</v>
      </c>
      <c r="E1588" t="s">
        <v>168</v>
      </c>
      <c r="F1588" t="s">
        <v>4614</v>
      </c>
      <c r="G1588" t="s">
        <v>4614</v>
      </c>
      <c r="H1588" s="26">
        <v>34375</v>
      </c>
      <c r="I1588" t="s">
        <v>58</v>
      </c>
      <c r="J1588" t="s">
        <v>9665</v>
      </c>
      <c r="M1588">
        <v>94200</v>
      </c>
      <c r="N1588" t="s">
        <v>899</v>
      </c>
      <c r="O1588" t="s">
        <v>61</v>
      </c>
      <c r="Q1588">
        <v>668589882</v>
      </c>
      <c r="R1588" t="s">
        <v>9666</v>
      </c>
      <c r="S1588" t="s">
        <v>237</v>
      </c>
      <c r="T1588" t="s">
        <v>4584</v>
      </c>
      <c r="U1588" t="s">
        <v>8684</v>
      </c>
      <c r="W1588" s="26">
        <v>45556</v>
      </c>
      <c r="X1588" t="s">
        <v>1300</v>
      </c>
      <c r="Y1588" t="s">
        <v>237</v>
      </c>
    </row>
    <row r="1589" spans="1:25" x14ac:dyDescent="0.25">
      <c r="A1589" t="s">
        <v>9667</v>
      </c>
      <c r="B1589">
        <v>11</v>
      </c>
      <c r="C1589">
        <v>75</v>
      </c>
      <c r="D1589">
        <v>9070</v>
      </c>
      <c r="E1589" t="s">
        <v>168</v>
      </c>
      <c r="F1589" t="s">
        <v>9668</v>
      </c>
      <c r="G1589" t="s">
        <v>9669</v>
      </c>
      <c r="H1589" s="26">
        <v>36397</v>
      </c>
      <c r="I1589" t="s">
        <v>58</v>
      </c>
      <c r="J1589" t="s">
        <v>9670</v>
      </c>
      <c r="M1589">
        <v>75020</v>
      </c>
      <c r="N1589" t="s">
        <v>330</v>
      </c>
      <c r="O1589" t="s">
        <v>61</v>
      </c>
      <c r="Q1589">
        <v>785973041</v>
      </c>
      <c r="R1589" t="s">
        <v>9671</v>
      </c>
      <c r="S1589" t="s">
        <v>237</v>
      </c>
      <c r="T1589" t="s">
        <v>4584</v>
      </c>
      <c r="U1589" t="s">
        <v>8684</v>
      </c>
      <c r="W1589" s="26">
        <v>45556</v>
      </c>
      <c r="X1589" t="s">
        <v>61</v>
      </c>
      <c r="Y1589" t="s">
        <v>237</v>
      </c>
    </row>
    <row r="1590" spans="1:25" x14ac:dyDescent="0.25">
      <c r="A1590" t="s">
        <v>9672</v>
      </c>
      <c r="B1590">
        <v>11</v>
      </c>
      <c r="C1590">
        <v>75</v>
      </c>
      <c r="D1590">
        <v>9070</v>
      </c>
      <c r="E1590" t="s">
        <v>168</v>
      </c>
      <c r="F1590" t="s">
        <v>9673</v>
      </c>
      <c r="G1590" t="s">
        <v>9674</v>
      </c>
      <c r="H1590" s="26">
        <v>35376</v>
      </c>
      <c r="I1590" t="s">
        <v>16</v>
      </c>
      <c r="J1590" t="s">
        <v>9675</v>
      </c>
      <c r="M1590">
        <v>93110</v>
      </c>
      <c r="N1590" t="s">
        <v>556</v>
      </c>
      <c r="O1590" t="s">
        <v>61</v>
      </c>
      <c r="Q1590">
        <v>760779307</v>
      </c>
      <c r="R1590" t="s">
        <v>9676</v>
      </c>
      <c r="S1590" t="s">
        <v>237</v>
      </c>
      <c r="T1590" t="s">
        <v>4584</v>
      </c>
      <c r="U1590" t="s">
        <v>8684</v>
      </c>
      <c r="W1590" s="26">
        <v>45556</v>
      </c>
      <c r="X1590" t="s">
        <v>1300</v>
      </c>
      <c r="Y1590" t="s">
        <v>237</v>
      </c>
    </row>
    <row r="1591" spans="1:25" x14ac:dyDescent="0.25">
      <c r="A1591" t="s">
        <v>9677</v>
      </c>
      <c r="B1591">
        <v>11</v>
      </c>
      <c r="C1591">
        <v>95</v>
      </c>
      <c r="D1591">
        <v>9069</v>
      </c>
      <c r="E1591" t="s">
        <v>129</v>
      </c>
      <c r="F1591" t="s">
        <v>1202</v>
      </c>
      <c r="G1591" t="s">
        <v>9678</v>
      </c>
      <c r="H1591" s="26">
        <v>28146</v>
      </c>
      <c r="I1591" t="s">
        <v>58</v>
      </c>
      <c r="J1591" t="s">
        <v>9679</v>
      </c>
      <c r="M1591">
        <v>95150</v>
      </c>
      <c r="N1591" t="s">
        <v>82</v>
      </c>
      <c r="O1591" t="s">
        <v>61</v>
      </c>
      <c r="Q1591">
        <v>762636542</v>
      </c>
      <c r="R1591" t="s">
        <v>9680</v>
      </c>
      <c r="S1591" t="s">
        <v>63</v>
      </c>
      <c r="T1591" t="s">
        <v>4584</v>
      </c>
      <c r="U1591" t="s">
        <v>8684</v>
      </c>
      <c r="W1591" s="26">
        <v>45556</v>
      </c>
      <c r="X1591" t="s">
        <v>61</v>
      </c>
      <c r="Y1591" t="s">
        <v>237</v>
      </c>
    </row>
    <row r="1592" spans="1:25" x14ac:dyDescent="0.25">
      <c r="A1592" t="s">
        <v>9681</v>
      </c>
      <c r="B1592">
        <v>11</v>
      </c>
      <c r="C1592">
        <v>92</v>
      </c>
      <c r="D1592">
        <v>9065</v>
      </c>
      <c r="E1592" t="s">
        <v>426</v>
      </c>
      <c r="F1592" t="s">
        <v>3736</v>
      </c>
      <c r="G1592" t="s">
        <v>9682</v>
      </c>
      <c r="H1592" s="26">
        <v>34201</v>
      </c>
      <c r="I1592" t="s">
        <v>58</v>
      </c>
      <c r="J1592" t="s">
        <v>9683</v>
      </c>
      <c r="M1592">
        <v>94230</v>
      </c>
      <c r="N1592" t="s">
        <v>1236</v>
      </c>
      <c r="O1592" t="s">
        <v>61</v>
      </c>
      <c r="Q1592">
        <v>611785449</v>
      </c>
      <c r="R1592" t="s">
        <v>9684</v>
      </c>
      <c r="S1592" t="s">
        <v>63</v>
      </c>
      <c r="T1592" t="s">
        <v>4584</v>
      </c>
      <c r="U1592" t="s">
        <v>486</v>
      </c>
      <c r="W1592" s="26">
        <v>45557</v>
      </c>
      <c r="X1592" t="s">
        <v>2726</v>
      </c>
      <c r="Y1592" t="s">
        <v>237</v>
      </c>
    </row>
    <row r="1593" spans="1:25" x14ac:dyDescent="0.25">
      <c r="A1593" t="s">
        <v>9685</v>
      </c>
      <c r="B1593">
        <v>11</v>
      </c>
      <c r="C1593">
        <v>92</v>
      </c>
      <c r="D1593">
        <v>9065</v>
      </c>
      <c r="E1593" t="s">
        <v>426</v>
      </c>
      <c r="F1593" t="s">
        <v>555</v>
      </c>
      <c r="G1593" t="s">
        <v>9686</v>
      </c>
      <c r="H1593" s="26">
        <v>23490</v>
      </c>
      <c r="I1593" t="s">
        <v>58</v>
      </c>
      <c r="J1593" t="s">
        <v>9687</v>
      </c>
      <c r="M1593">
        <v>91170</v>
      </c>
      <c r="N1593" t="s">
        <v>1836</v>
      </c>
      <c r="O1593" t="s">
        <v>61</v>
      </c>
      <c r="Q1593">
        <v>689155045</v>
      </c>
      <c r="R1593" t="s">
        <v>9688</v>
      </c>
      <c r="S1593" t="s">
        <v>63</v>
      </c>
      <c r="T1593" t="s">
        <v>4584</v>
      </c>
      <c r="U1593" t="s">
        <v>486</v>
      </c>
      <c r="W1593" s="26">
        <v>45557</v>
      </c>
      <c r="X1593" t="s">
        <v>61</v>
      </c>
      <c r="Y1593" t="s">
        <v>237</v>
      </c>
    </row>
    <row r="1594" spans="1:25" x14ac:dyDescent="0.25">
      <c r="A1594" t="s">
        <v>9689</v>
      </c>
      <c r="B1594">
        <v>11</v>
      </c>
      <c r="C1594">
        <v>75</v>
      </c>
      <c r="D1594">
        <v>9070</v>
      </c>
      <c r="E1594" t="s">
        <v>168</v>
      </c>
      <c r="F1594" t="s">
        <v>9690</v>
      </c>
      <c r="G1594" t="s">
        <v>2069</v>
      </c>
      <c r="H1594" s="26">
        <v>35056</v>
      </c>
      <c r="I1594" t="s">
        <v>58</v>
      </c>
      <c r="J1594" t="s">
        <v>9691</v>
      </c>
      <c r="M1594">
        <v>75012</v>
      </c>
      <c r="N1594" t="s">
        <v>330</v>
      </c>
      <c r="O1594" t="s">
        <v>61</v>
      </c>
      <c r="Q1594">
        <v>628516824</v>
      </c>
      <c r="R1594" t="s">
        <v>9692</v>
      </c>
      <c r="S1594" t="s">
        <v>237</v>
      </c>
      <c r="T1594" t="s">
        <v>4584</v>
      </c>
      <c r="U1594" t="s">
        <v>8684</v>
      </c>
      <c r="W1594" s="26">
        <v>45557</v>
      </c>
      <c r="X1594" t="s">
        <v>4929</v>
      </c>
      <c r="Y1594" t="s">
        <v>237</v>
      </c>
    </row>
    <row r="1595" spans="1:25" x14ac:dyDescent="0.25">
      <c r="A1595" t="s">
        <v>9693</v>
      </c>
      <c r="B1595">
        <v>11</v>
      </c>
      <c r="C1595">
        <v>78</v>
      </c>
      <c r="D1595">
        <v>9056</v>
      </c>
      <c r="E1595" t="s">
        <v>214</v>
      </c>
      <c r="F1595" t="s">
        <v>2921</v>
      </c>
      <c r="G1595" t="s">
        <v>9694</v>
      </c>
      <c r="H1595" s="26">
        <v>21314</v>
      </c>
      <c r="I1595" t="s">
        <v>58</v>
      </c>
      <c r="J1595" t="s">
        <v>9695</v>
      </c>
      <c r="M1595">
        <v>78000</v>
      </c>
      <c r="N1595" t="s">
        <v>1334</v>
      </c>
      <c r="O1595" t="s">
        <v>61</v>
      </c>
      <c r="Q1595">
        <v>620911431</v>
      </c>
      <c r="R1595" t="s">
        <v>9696</v>
      </c>
      <c r="S1595" t="s">
        <v>63</v>
      </c>
      <c r="T1595" t="s">
        <v>4584</v>
      </c>
      <c r="U1595" t="s">
        <v>65</v>
      </c>
      <c r="W1595" s="26">
        <v>45558</v>
      </c>
      <c r="X1595" t="s">
        <v>61</v>
      </c>
      <c r="Y1595" t="s">
        <v>237</v>
      </c>
    </row>
    <row r="1596" spans="1:25" x14ac:dyDescent="0.25">
      <c r="A1596" t="s">
        <v>9697</v>
      </c>
      <c r="B1596">
        <v>11</v>
      </c>
      <c r="C1596">
        <v>94</v>
      </c>
      <c r="D1596">
        <v>9045</v>
      </c>
      <c r="E1596" t="s">
        <v>1234</v>
      </c>
      <c r="F1596" t="s">
        <v>137</v>
      </c>
      <c r="G1596" t="s">
        <v>9698</v>
      </c>
      <c r="H1596" s="26">
        <v>31812</v>
      </c>
      <c r="I1596" t="s">
        <v>58</v>
      </c>
      <c r="J1596" t="s">
        <v>9699</v>
      </c>
      <c r="M1596">
        <v>94800</v>
      </c>
      <c r="N1596" t="s">
        <v>1227</v>
      </c>
      <c r="O1596" t="s">
        <v>61</v>
      </c>
      <c r="Q1596">
        <v>622897520</v>
      </c>
      <c r="R1596" t="s">
        <v>9700</v>
      </c>
      <c r="S1596" t="s">
        <v>63</v>
      </c>
      <c r="T1596" t="s">
        <v>4584</v>
      </c>
      <c r="U1596" t="s">
        <v>8684</v>
      </c>
      <c r="W1596" s="26">
        <v>45558</v>
      </c>
      <c r="X1596" t="s">
        <v>61</v>
      </c>
      <c r="Y1596" t="s">
        <v>237</v>
      </c>
    </row>
    <row r="1597" spans="1:25" x14ac:dyDescent="0.25">
      <c r="A1597" t="s">
        <v>9701</v>
      </c>
      <c r="B1597">
        <v>11</v>
      </c>
      <c r="C1597">
        <v>92</v>
      </c>
      <c r="D1597">
        <v>9088</v>
      </c>
      <c r="E1597" t="s">
        <v>1</v>
      </c>
      <c r="F1597" t="s">
        <v>160</v>
      </c>
      <c r="G1597" t="s">
        <v>9702</v>
      </c>
      <c r="H1597" s="26">
        <v>23107</v>
      </c>
      <c r="I1597" t="s">
        <v>58</v>
      </c>
      <c r="J1597" t="s">
        <v>9703</v>
      </c>
      <c r="M1597">
        <v>92300</v>
      </c>
      <c r="N1597" t="s">
        <v>1229</v>
      </c>
      <c r="O1597" t="s">
        <v>61</v>
      </c>
      <c r="Q1597">
        <v>671528008</v>
      </c>
      <c r="R1597" t="s">
        <v>9704</v>
      </c>
      <c r="S1597" t="s">
        <v>63</v>
      </c>
      <c r="T1597" t="s">
        <v>4584</v>
      </c>
      <c r="U1597" t="s">
        <v>65</v>
      </c>
      <c r="W1597" s="26">
        <v>45558</v>
      </c>
      <c r="X1597" t="s">
        <v>61</v>
      </c>
      <c r="Y1597" t="s">
        <v>237</v>
      </c>
    </row>
    <row r="1598" spans="1:25" x14ac:dyDescent="0.25">
      <c r="A1598" t="s">
        <v>9705</v>
      </c>
      <c r="B1598">
        <v>11</v>
      </c>
      <c r="C1598">
        <v>92</v>
      </c>
      <c r="D1598">
        <v>9088</v>
      </c>
      <c r="E1598" t="s">
        <v>1</v>
      </c>
      <c r="F1598" t="s">
        <v>4936</v>
      </c>
      <c r="G1598" t="s">
        <v>9706</v>
      </c>
      <c r="H1598" s="26">
        <v>18647</v>
      </c>
      <c r="I1598" t="s">
        <v>58</v>
      </c>
      <c r="J1598" t="s">
        <v>9707</v>
      </c>
      <c r="M1598">
        <v>75013</v>
      </c>
      <c r="N1598" t="s">
        <v>330</v>
      </c>
      <c r="O1598" t="s">
        <v>61</v>
      </c>
      <c r="Q1598">
        <v>641328735</v>
      </c>
      <c r="R1598" t="s">
        <v>9708</v>
      </c>
      <c r="S1598" t="s">
        <v>63</v>
      </c>
      <c r="T1598" t="s">
        <v>4584</v>
      </c>
      <c r="U1598" t="s">
        <v>65</v>
      </c>
      <c r="W1598" s="26">
        <v>45558</v>
      </c>
      <c r="X1598" t="s">
        <v>3198</v>
      </c>
      <c r="Y1598" t="s">
        <v>237</v>
      </c>
    </row>
    <row r="1599" spans="1:25" x14ac:dyDescent="0.25">
      <c r="A1599" t="s">
        <v>9709</v>
      </c>
      <c r="B1599">
        <v>11</v>
      </c>
      <c r="C1599">
        <v>94</v>
      </c>
      <c r="D1599">
        <v>9031</v>
      </c>
      <c r="E1599" t="s">
        <v>7</v>
      </c>
      <c r="F1599" t="s">
        <v>85</v>
      </c>
      <c r="G1599" t="s">
        <v>9710</v>
      </c>
      <c r="H1599" s="26">
        <v>23141</v>
      </c>
      <c r="I1599" t="s">
        <v>58</v>
      </c>
      <c r="J1599" t="s">
        <v>9711</v>
      </c>
      <c r="M1599">
        <v>94700</v>
      </c>
      <c r="N1599" t="s">
        <v>163</v>
      </c>
      <c r="O1599" t="s">
        <v>61</v>
      </c>
      <c r="Q1599">
        <v>614311115</v>
      </c>
      <c r="R1599" t="s">
        <v>9712</v>
      </c>
      <c r="S1599" t="s">
        <v>63</v>
      </c>
      <c r="T1599" t="s">
        <v>4584</v>
      </c>
      <c r="U1599" t="s">
        <v>65</v>
      </c>
      <c r="W1599" s="26">
        <v>45558</v>
      </c>
      <c r="X1599" t="s">
        <v>61</v>
      </c>
      <c r="Y1599" t="s">
        <v>237</v>
      </c>
    </row>
    <row r="1600" spans="1:25" x14ac:dyDescent="0.25">
      <c r="A1600" t="s">
        <v>9713</v>
      </c>
      <c r="B1600">
        <v>11</v>
      </c>
      <c r="C1600">
        <v>92</v>
      </c>
      <c r="D1600">
        <v>9065</v>
      </c>
      <c r="E1600" t="s">
        <v>426</v>
      </c>
      <c r="F1600" t="s">
        <v>9714</v>
      </c>
      <c r="G1600" t="s">
        <v>9715</v>
      </c>
      <c r="H1600" s="26">
        <v>27625</v>
      </c>
      <c r="I1600" t="s">
        <v>58</v>
      </c>
      <c r="J1600" t="s">
        <v>9716</v>
      </c>
      <c r="M1600">
        <v>94310</v>
      </c>
      <c r="N1600" t="s">
        <v>900</v>
      </c>
      <c r="O1600" t="s">
        <v>61</v>
      </c>
      <c r="Q1600">
        <v>651578130</v>
      </c>
      <c r="R1600" t="s">
        <v>9717</v>
      </c>
      <c r="S1600" t="s">
        <v>63</v>
      </c>
      <c r="T1600" t="s">
        <v>4584</v>
      </c>
      <c r="U1600" t="s">
        <v>486</v>
      </c>
      <c r="W1600" s="26">
        <v>45559</v>
      </c>
      <c r="X1600" t="s">
        <v>61</v>
      </c>
      <c r="Y1600" t="s">
        <v>237</v>
      </c>
    </row>
    <row r="1601" spans="1:25" x14ac:dyDescent="0.25">
      <c r="A1601" t="s">
        <v>9718</v>
      </c>
      <c r="B1601">
        <v>11</v>
      </c>
      <c r="C1601">
        <v>91</v>
      </c>
      <c r="D1601">
        <v>9096</v>
      </c>
      <c r="E1601" t="s">
        <v>526</v>
      </c>
      <c r="F1601" t="s">
        <v>198</v>
      </c>
      <c r="G1601" t="s">
        <v>9719</v>
      </c>
      <c r="H1601" s="26">
        <v>28548</v>
      </c>
      <c r="I1601" t="s">
        <v>58</v>
      </c>
      <c r="J1601" t="s">
        <v>9720</v>
      </c>
      <c r="M1601">
        <v>91650</v>
      </c>
      <c r="N1601" t="s">
        <v>3932</v>
      </c>
      <c r="O1601" t="s">
        <v>61</v>
      </c>
      <c r="Q1601">
        <v>652093520</v>
      </c>
      <c r="R1601" t="s">
        <v>9721</v>
      </c>
      <c r="S1601" t="s">
        <v>63</v>
      </c>
      <c r="T1601" t="s">
        <v>4584</v>
      </c>
      <c r="U1601" t="s">
        <v>65</v>
      </c>
      <c r="W1601" s="26">
        <v>45559</v>
      </c>
      <c r="X1601" t="s">
        <v>61</v>
      </c>
      <c r="Y1601" t="s">
        <v>237</v>
      </c>
    </row>
    <row r="1602" spans="1:25" x14ac:dyDescent="0.25">
      <c r="A1602" t="s">
        <v>9722</v>
      </c>
      <c r="B1602">
        <v>11</v>
      </c>
      <c r="C1602">
        <v>91</v>
      </c>
      <c r="D1602">
        <v>9096</v>
      </c>
      <c r="E1602" t="s">
        <v>526</v>
      </c>
      <c r="F1602" t="s">
        <v>4843</v>
      </c>
      <c r="G1602" t="s">
        <v>9723</v>
      </c>
      <c r="H1602" s="26">
        <v>35963</v>
      </c>
      <c r="I1602" t="s">
        <v>58</v>
      </c>
      <c r="J1602" t="s">
        <v>9724</v>
      </c>
      <c r="M1602">
        <v>91580</v>
      </c>
      <c r="N1602" t="s">
        <v>1905</v>
      </c>
      <c r="O1602" t="s">
        <v>61</v>
      </c>
      <c r="Q1602">
        <v>663596324</v>
      </c>
      <c r="R1602" t="s">
        <v>9725</v>
      </c>
      <c r="S1602" t="s">
        <v>63</v>
      </c>
      <c r="T1602" t="s">
        <v>4584</v>
      </c>
      <c r="U1602" t="s">
        <v>486</v>
      </c>
      <c r="W1602" s="26">
        <v>45559</v>
      </c>
      <c r="X1602" t="s">
        <v>61</v>
      </c>
      <c r="Y1602" t="s">
        <v>237</v>
      </c>
    </row>
    <row r="1603" spans="1:25" x14ac:dyDescent="0.25">
      <c r="A1603" t="s">
        <v>9726</v>
      </c>
      <c r="B1603">
        <v>11</v>
      </c>
      <c r="C1603">
        <v>91</v>
      </c>
      <c r="D1603">
        <v>9096</v>
      </c>
      <c r="E1603" t="s">
        <v>526</v>
      </c>
      <c r="F1603" t="s">
        <v>9727</v>
      </c>
      <c r="G1603" t="s">
        <v>9728</v>
      </c>
      <c r="H1603" s="26">
        <v>35985</v>
      </c>
      <c r="I1603" t="s">
        <v>16</v>
      </c>
      <c r="J1603" t="s">
        <v>9724</v>
      </c>
      <c r="M1603">
        <v>91580</v>
      </c>
      <c r="N1603" t="s">
        <v>1905</v>
      </c>
      <c r="O1603" t="s">
        <v>61</v>
      </c>
      <c r="Q1603">
        <v>645123160</v>
      </c>
      <c r="R1603" t="s">
        <v>9729</v>
      </c>
      <c r="S1603" t="s">
        <v>63</v>
      </c>
      <c r="T1603" t="s">
        <v>4584</v>
      </c>
      <c r="U1603" t="s">
        <v>486</v>
      </c>
      <c r="W1603" s="26">
        <v>45559</v>
      </c>
      <c r="X1603" t="s">
        <v>61</v>
      </c>
      <c r="Y1603" t="s">
        <v>237</v>
      </c>
    </row>
    <row r="1604" spans="1:25" x14ac:dyDescent="0.25">
      <c r="A1604" t="s">
        <v>9730</v>
      </c>
      <c r="B1604">
        <v>11</v>
      </c>
      <c r="C1604">
        <v>93</v>
      </c>
      <c r="D1604">
        <v>9122</v>
      </c>
      <c r="E1604" t="s">
        <v>1030</v>
      </c>
      <c r="F1604" t="s">
        <v>555</v>
      </c>
      <c r="G1604" t="s">
        <v>9731</v>
      </c>
      <c r="H1604" s="26">
        <v>27499</v>
      </c>
      <c r="I1604" t="s">
        <v>58</v>
      </c>
      <c r="J1604" t="s">
        <v>9732</v>
      </c>
      <c r="M1604">
        <v>93220</v>
      </c>
      <c r="N1604" t="s">
        <v>662</v>
      </c>
      <c r="O1604" t="s">
        <v>61</v>
      </c>
      <c r="Q1604">
        <v>662778632</v>
      </c>
      <c r="R1604" t="s">
        <v>9733</v>
      </c>
      <c r="S1604" t="s">
        <v>63</v>
      </c>
      <c r="T1604" t="s">
        <v>4584</v>
      </c>
      <c r="U1604" t="s">
        <v>8684</v>
      </c>
      <c r="W1604" s="26">
        <v>45559</v>
      </c>
      <c r="X1604" t="s">
        <v>61</v>
      </c>
      <c r="Y1604" t="s">
        <v>237</v>
      </c>
    </row>
    <row r="1605" spans="1:25" x14ac:dyDescent="0.25">
      <c r="A1605" t="s">
        <v>9734</v>
      </c>
      <c r="B1605">
        <v>11</v>
      </c>
      <c r="C1605">
        <v>93</v>
      </c>
      <c r="D1605">
        <v>9122</v>
      </c>
      <c r="E1605" t="s">
        <v>1030</v>
      </c>
      <c r="F1605" t="s">
        <v>2054</v>
      </c>
      <c r="G1605" t="s">
        <v>9731</v>
      </c>
      <c r="H1605" s="26">
        <v>39920</v>
      </c>
      <c r="I1605" t="s">
        <v>58</v>
      </c>
      <c r="J1605" t="s">
        <v>9732</v>
      </c>
      <c r="M1605">
        <v>93220</v>
      </c>
      <c r="N1605" t="s">
        <v>662</v>
      </c>
      <c r="O1605" t="s">
        <v>61</v>
      </c>
      <c r="Q1605">
        <v>764012437</v>
      </c>
      <c r="R1605" t="s">
        <v>9735</v>
      </c>
      <c r="S1605" t="s">
        <v>63</v>
      </c>
      <c r="T1605" t="s">
        <v>4616</v>
      </c>
      <c r="U1605" t="s">
        <v>486</v>
      </c>
      <c r="W1605" s="26">
        <v>45559</v>
      </c>
      <c r="X1605" t="s">
        <v>61</v>
      </c>
      <c r="Y1605" t="s">
        <v>237</v>
      </c>
    </row>
    <row r="1606" spans="1:25" x14ac:dyDescent="0.25">
      <c r="A1606" t="s">
        <v>9736</v>
      </c>
      <c r="B1606">
        <v>11</v>
      </c>
      <c r="C1606">
        <v>95</v>
      </c>
      <c r="D1606">
        <v>9010</v>
      </c>
      <c r="E1606" t="s">
        <v>6</v>
      </c>
      <c r="F1606" t="s">
        <v>9737</v>
      </c>
      <c r="G1606" t="s">
        <v>9738</v>
      </c>
      <c r="H1606" s="26">
        <v>33305</v>
      </c>
      <c r="I1606" t="s">
        <v>58</v>
      </c>
      <c r="J1606" t="s">
        <v>9739</v>
      </c>
      <c r="M1606">
        <v>78500</v>
      </c>
      <c r="N1606" t="s">
        <v>109</v>
      </c>
      <c r="O1606" t="s">
        <v>61</v>
      </c>
      <c r="Q1606">
        <v>767717770</v>
      </c>
      <c r="R1606" t="s">
        <v>9740</v>
      </c>
      <c r="S1606" t="s">
        <v>63</v>
      </c>
      <c r="T1606" t="s">
        <v>4584</v>
      </c>
      <c r="U1606" t="s">
        <v>8684</v>
      </c>
      <c r="W1606" s="26">
        <v>45559</v>
      </c>
      <c r="X1606" t="s">
        <v>3895</v>
      </c>
      <c r="Y1606" t="s">
        <v>237</v>
      </c>
    </row>
    <row r="1607" spans="1:25" x14ac:dyDescent="0.25">
      <c r="A1607" t="s">
        <v>9741</v>
      </c>
      <c r="B1607">
        <v>11</v>
      </c>
      <c r="C1607">
        <v>77</v>
      </c>
      <c r="D1607">
        <v>9077</v>
      </c>
      <c r="E1607" t="s">
        <v>90</v>
      </c>
      <c r="F1607" t="s">
        <v>9742</v>
      </c>
      <c r="G1607" t="s">
        <v>9743</v>
      </c>
      <c r="H1607" s="26">
        <v>33617</v>
      </c>
      <c r="I1607" t="s">
        <v>58</v>
      </c>
      <c r="J1607" t="s">
        <v>9744</v>
      </c>
      <c r="M1607">
        <v>77120</v>
      </c>
      <c r="N1607" t="s">
        <v>803</v>
      </c>
      <c r="O1607" t="s">
        <v>61</v>
      </c>
      <c r="Q1607">
        <v>607275563</v>
      </c>
      <c r="R1607" t="s">
        <v>9745</v>
      </c>
      <c r="S1607" t="s">
        <v>63</v>
      </c>
      <c r="T1607" t="s">
        <v>4584</v>
      </c>
      <c r="U1607" t="s">
        <v>65</v>
      </c>
      <c r="W1607" s="26">
        <v>45560</v>
      </c>
      <c r="X1607" t="s">
        <v>61</v>
      </c>
      <c r="Y1607" t="s">
        <v>237</v>
      </c>
    </row>
    <row r="1608" spans="1:25" x14ac:dyDescent="0.25">
      <c r="A1608" t="s">
        <v>9746</v>
      </c>
      <c r="B1608">
        <v>11</v>
      </c>
      <c r="C1608">
        <v>92</v>
      </c>
      <c r="D1608">
        <v>9007</v>
      </c>
      <c r="E1608" t="s">
        <v>121</v>
      </c>
      <c r="F1608" t="s">
        <v>555</v>
      </c>
      <c r="G1608" t="s">
        <v>9747</v>
      </c>
      <c r="H1608" s="26">
        <v>21031</v>
      </c>
      <c r="I1608" t="s">
        <v>58</v>
      </c>
      <c r="J1608" t="s">
        <v>9748</v>
      </c>
      <c r="M1608">
        <v>92270</v>
      </c>
      <c r="N1608" t="s">
        <v>796</v>
      </c>
      <c r="O1608" t="s">
        <v>61</v>
      </c>
      <c r="S1608" t="s">
        <v>63</v>
      </c>
      <c r="T1608" t="s">
        <v>4584</v>
      </c>
      <c r="U1608" t="s">
        <v>65</v>
      </c>
      <c r="W1608" s="26">
        <v>45560</v>
      </c>
      <c r="X1608" t="s">
        <v>61</v>
      </c>
      <c r="Y1608" t="s">
        <v>237</v>
      </c>
    </row>
    <row r="1609" spans="1:25" x14ac:dyDescent="0.25">
      <c r="A1609" t="s">
        <v>9749</v>
      </c>
      <c r="B1609">
        <v>11</v>
      </c>
      <c r="C1609">
        <v>92</v>
      </c>
      <c r="D1609">
        <v>9007</v>
      </c>
      <c r="E1609" t="s">
        <v>121</v>
      </c>
      <c r="F1609" t="s">
        <v>2391</v>
      </c>
      <c r="G1609" t="s">
        <v>9750</v>
      </c>
      <c r="H1609" s="26">
        <v>22451</v>
      </c>
      <c r="I1609" t="s">
        <v>16</v>
      </c>
      <c r="J1609" t="s">
        <v>9748</v>
      </c>
      <c r="M1609">
        <v>92270</v>
      </c>
      <c r="N1609" t="s">
        <v>796</v>
      </c>
      <c r="O1609" t="s">
        <v>61</v>
      </c>
      <c r="S1609" t="s">
        <v>63</v>
      </c>
      <c r="T1609" t="s">
        <v>4584</v>
      </c>
      <c r="U1609" t="s">
        <v>65</v>
      </c>
      <c r="W1609" s="26">
        <v>45560</v>
      </c>
      <c r="X1609" t="s">
        <v>61</v>
      </c>
      <c r="Y1609" t="s">
        <v>237</v>
      </c>
    </row>
    <row r="1610" spans="1:25" x14ac:dyDescent="0.25">
      <c r="A1610" t="s">
        <v>9751</v>
      </c>
      <c r="B1610">
        <v>11</v>
      </c>
      <c r="C1610">
        <v>91</v>
      </c>
      <c r="D1610">
        <v>9009</v>
      </c>
      <c r="E1610" t="s">
        <v>159</v>
      </c>
      <c r="F1610" t="s">
        <v>312</v>
      </c>
      <c r="G1610" t="s">
        <v>4077</v>
      </c>
      <c r="H1610" s="26">
        <v>21886</v>
      </c>
      <c r="I1610" t="s">
        <v>58</v>
      </c>
      <c r="J1610" t="s">
        <v>9752</v>
      </c>
      <c r="M1610">
        <v>91600</v>
      </c>
      <c r="N1610" t="s">
        <v>1680</v>
      </c>
      <c r="O1610" t="s">
        <v>61</v>
      </c>
      <c r="Q1610">
        <v>607170019</v>
      </c>
      <c r="R1610" t="s">
        <v>9753</v>
      </c>
      <c r="S1610" t="s">
        <v>63</v>
      </c>
      <c r="T1610" t="s">
        <v>4584</v>
      </c>
      <c r="U1610" t="s">
        <v>65</v>
      </c>
      <c r="W1610" s="26">
        <v>45560</v>
      </c>
      <c r="X1610" t="s">
        <v>61</v>
      </c>
      <c r="Y1610" t="s">
        <v>237</v>
      </c>
    </row>
    <row r="1611" spans="1:25" x14ac:dyDescent="0.25">
      <c r="A1611" t="s">
        <v>9754</v>
      </c>
      <c r="B1611">
        <v>11</v>
      </c>
      <c r="C1611">
        <v>95</v>
      </c>
      <c r="D1611">
        <v>9069</v>
      </c>
      <c r="E1611" t="s">
        <v>129</v>
      </c>
      <c r="F1611" t="s">
        <v>2802</v>
      </c>
      <c r="G1611" t="s">
        <v>9755</v>
      </c>
      <c r="H1611" s="26">
        <v>42627</v>
      </c>
      <c r="I1611" t="s">
        <v>58</v>
      </c>
      <c r="J1611" t="s">
        <v>9756</v>
      </c>
      <c r="K1611" t="s">
        <v>4708</v>
      </c>
      <c r="M1611">
        <v>95130</v>
      </c>
      <c r="N1611" t="s">
        <v>878</v>
      </c>
      <c r="O1611" t="s">
        <v>61</v>
      </c>
      <c r="P1611">
        <v>134159464</v>
      </c>
      <c r="Q1611">
        <v>661843894</v>
      </c>
      <c r="S1611" t="s">
        <v>63</v>
      </c>
      <c r="T1611" t="s">
        <v>4616</v>
      </c>
      <c r="U1611" t="s">
        <v>8684</v>
      </c>
      <c r="W1611" s="26">
        <v>45560</v>
      </c>
      <c r="X1611" t="s">
        <v>61</v>
      </c>
      <c r="Y1611" t="s">
        <v>237</v>
      </c>
    </row>
    <row r="1612" spans="1:25" x14ac:dyDescent="0.25">
      <c r="A1612" t="s">
        <v>9757</v>
      </c>
      <c r="B1612">
        <v>11</v>
      </c>
      <c r="C1612">
        <v>91</v>
      </c>
      <c r="D1612">
        <v>9095</v>
      </c>
      <c r="E1612" t="s">
        <v>113</v>
      </c>
      <c r="F1612" t="s">
        <v>289</v>
      </c>
      <c r="G1612" t="s">
        <v>9758</v>
      </c>
      <c r="H1612" s="26">
        <v>19250</v>
      </c>
      <c r="I1612" t="s">
        <v>58</v>
      </c>
      <c r="J1612" t="s">
        <v>9759</v>
      </c>
      <c r="M1612">
        <v>91240</v>
      </c>
      <c r="N1612" t="s">
        <v>4674</v>
      </c>
      <c r="O1612" t="s">
        <v>61</v>
      </c>
      <c r="Q1612">
        <v>672145871</v>
      </c>
      <c r="R1612" t="s">
        <v>9760</v>
      </c>
      <c r="S1612" t="s">
        <v>63</v>
      </c>
      <c r="T1612" t="s">
        <v>4584</v>
      </c>
      <c r="U1612" t="s">
        <v>65</v>
      </c>
      <c r="W1612" s="26">
        <v>45561</v>
      </c>
      <c r="X1612" t="s">
        <v>61</v>
      </c>
      <c r="Y1612" t="s">
        <v>237</v>
      </c>
    </row>
    <row r="1613" spans="1:25" x14ac:dyDescent="0.25">
      <c r="A1613" t="s">
        <v>9761</v>
      </c>
      <c r="B1613">
        <v>11</v>
      </c>
      <c r="C1613">
        <v>92</v>
      </c>
      <c r="D1613">
        <v>9017</v>
      </c>
      <c r="E1613" t="s">
        <v>211</v>
      </c>
      <c r="F1613" t="s">
        <v>9762</v>
      </c>
      <c r="G1613" t="s">
        <v>9763</v>
      </c>
      <c r="H1613" s="26">
        <v>26359</v>
      </c>
      <c r="I1613" t="s">
        <v>58</v>
      </c>
      <c r="J1613" t="s">
        <v>1669</v>
      </c>
      <c r="M1613">
        <v>92400</v>
      </c>
      <c r="N1613" t="s">
        <v>478</v>
      </c>
      <c r="O1613" t="s">
        <v>61</v>
      </c>
      <c r="P1613">
        <v>684585563</v>
      </c>
      <c r="R1613" t="s">
        <v>1670</v>
      </c>
      <c r="S1613" t="s">
        <v>63</v>
      </c>
      <c r="T1613" t="s">
        <v>4584</v>
      </c>
      <c r="U1613" t="s">
        <v>65</v>
      </c>
      <c r="W1613" s="26">
        <v>45561</v>
      </c>
      <c r="X1613" t="s">
        <v>61</v>
      </c>
      <c r="Y1613" t="s">
        <v>237</v>
      </c>
    </row>
    <row r="1614" spans="1:25" x14ac:dyDescent="0.25">
      <c r="A1614" t="s">
        <v>9764</v>
      </c>
      <c r="B1614">
        <v>11</v>
      </c>
      <c r="C1614">
        <v>92</v>
      </c>
      <c r="D1614">
        <v>9017</v>
      </c>
      <c r="E1614" t="s">
        <v>211</v>
      </c>
      <c r="F1614" t="s">
        <v>9765</v>
      </c>
      <c r="G1614" t="s">
        <v>9766</v>
      </c>
      <c r="H1614" s="26">
        <v>33797</v>
      </c>
      <c r="I1614" t="s">
        <v>58</v>
      </c>
      <c r="J1614" t="s">
        <v>1669</v>
      </c>
      <c r="K1614" t="s">
        <v>9767</v>
      </c>
      <c r="M1614">
        <v>92400</v>
      </c>
      <c r="N1614" t="s">
        <v>478</v>
      </c>
      <c r="O1614" t="s">
        <v>61</v>
      </c>
      <c r="P1614">
        <v>684585563</v>
      </c>
      <c r="R1614" t="s">
        <v>1670</v>
      </c>
      <c r="S1614" t="s">
        <v>63</v>
      </c>
      <c r="T1614" t="s">
        <v>4584</v>
      </c>
      <c r="U1614" t="s">
        <v>65</v>
      </c>
      <c r="W1614" s="26">
        <v>45561</v>
      </c>
      <c r="X1614" t="s">
        <v>61</v>
      </c>
      <c r="Y1614" t="s">
        <v>237</v>
      </c>
    </row>
    <row r="1615" spans="1:25" x14ac:dyDescent="0.25">
      <c r="A1615" t="s">
        <v>9768</v>
      </c>
      <c r="B1615">
        <v>11</v>
      </c>
      <c r="C1615">
        <v>92</v>
      </c>
      <c r="D1615">
        <v>9017</v>
      </c>
      <c r="E1615" t="s">
        <v>211</v>
      </c>
      <c r="F1615" t="s">
        <v>312</v>
      </c>
      <c r="G1615" t="s">
        <v>9769</v>
      </c>
      <c r="H1615" s="26">
        <v>24207</v>
      </c>
      <c r="I1615" t="s">
        <v>58</v>
      </c>
      <c r="J1615" t="s">
        <v>1669</v>
      </c>
      <c r="M1615">
        <v>92400</v>
      </c>
      <c r="N1615" t="s">
        <v>478</v>
      </c>
      <c r="O1615" t="s">
        <v>61</v>
      </c>
      <c r="P1615">
        <v>684585563</v>
      </c>
      <c r="R1615" t="s">
        <v>1670</v>
      </c>
      <c r="S1615" t="s">
        <v>63</v>
      </c>
      <c r="T1615" t="s">
        <v>4584</v>
      </c>
      <c r="U1615" t="s">
        <v>65</v>
      </c>
      <c r="W1615" s="26">
        <v>45561</v>
      </c>
      <c r="X1615" t="s">
        <v>61</v>
      </c>
      <c r="Y1615" t="s">
        <v>237</v>
      </c>
    </row>
    <row r="1616" spans="1:25" x14ac:dyDescent="0.25">
      <c r="A1616" t="s">
        <v>9770</v>
      </c>
      <c r="B1616">
        <v>11</v>
      </c>
      <c r="C1616">
        <v>92</v>
      </c>
      <c r="D1616">
        <v>9017</v>
      </c>
      <c r="E1616" t="s">
        <v>211</v>
      </c>
      <c r="F1616" t="s">
        <v>472</v>
      </c>
      <c r="G1616" t="s">
        <v>9771</v>
      </c>
      <c r="H1616" s="26">
        <v>32365</v>
      </c>
      <c r="I1616" t="s">
        <v>58</v>
      </c>
      <c r="J1616" t="s">
        <v>1669</v>
      </c>
      <c r="K1616" t="s">
        <v>9767</v>
      </c>
      <c r="M1616">
        <v>92400</v>
      </c>
      <c r="N1616" t="s">
        <v>478</v>
      </c>
      <c r="O1616" t="s">
        <v>61</v>
      </c>
      <c r="P1616">
        <v>684585563</v>
      </c>
      <c r="R1616" t="s">
        <v>1670</v>
      </c>
      <c r="S1616" t="s">
        <v>63</v>
      </c>
      <c r="T1616" t="s">
        <v>4584</v>
      </c>
      <c r="U1616" t="s">
        <v>65</v>
      </c>
      <c r="W1616" s="26">
        <v>45561</v>
      </c>
      <c r="X1616" t="s">
        <v>61</v>
      </c>
      <c r="Y1616" t="s">
        <v>237</v>
      </c>
    </row>
    <row r="1617" spans="1:25" x14ac:dyDescent="0.25">
      <c r="A1617" t="s">
        <v>9772</v>
      </c>
      <c r="B1617">
        <v>11</v>
      </c>
      <c r="C1617">
        <v>92</v>
      </c>
      <c r="D1617">
        <v>9017</v>
      </c>
      <c r="E1617" t="s">
        <v>211</v>
      </c>
      <c r="F1617" t="s">
        <v>1099</v>
      </c>
      <c r="G1617" t="s">
        <v>9773</v>
      </c>
      <c r="H1617" s="26">
        <v>22974</v>
      </c>
      <c r="I1617" t="s">
        <v>58</v>
      </c>
      <c r="J1617" t="s">
        <v>1669</v>
      </c>
      <c r="K1617" t="s">
        <v>9767</v>
      </c>
      <c r="M1617">
        <v>92400</v>
      </c>
      <c r="N1617" t="s">
        <v>478</v>
      </c>
      <c r="O1617" t="s">
        <v>61</v>
      </c>
      <c r="P1617">
        <v>684585563</v>
      </c>
      <c r="R1617" t="s">
        <v>1670</v>
      </c>
      <c r="S1617" t="s">
        <v>63</v>
      </c>
      <c r="T1617" t="s">
        <v>4584</v>
      </c>
      <c r="U1617" t="s">
        <v>65</v>
      </c>
      <c r="W1617" s="26">
        <v>45561</v>
      </c>
      <c r="X1617" t="s">
        <v>61</v>
      </c>
      <c r="Y1617" t="s">
        <v>237</v>
      </c>
    </row>
    <row r="1618" spans="1:25" x14ac:dyDescent="0.25">
      <c r="A1618" t="s">
        <v>9774</v>
      </c>
      <c r="B1618">
        <v>11</v>
      </c>
      <c r="C1618">
        <v>92</v>
      </c>
      <c r="D1618">
        <v>9017</v>
      </c>
      <c r="E1618" t="s">
        <v>211</v>
      </c>
      <c r="F1618" t="s">
        <v>9775</v>
      </c>
      <c r="G1618" t="s">
        <v>9776</v>
      </c>
      <c r="H1618" s="26">
        <v>27595</v>
      </c>
      <c r="I1618" t="s">
        <v>58</v>
      </c>
      <c r="J1618" t="s">
        <v>1669</v>
      </c>
      <c r="M1618">
        <v>92400</v>
      </c>
      <c r="N1618" t="s">
        <v>478</v>
      </c>
      <c r="O1618" t="s">
        <v>61</v>
      </c>
      <c r="P1618">
        <v>684585563</v>
      </c>
      <c r="S1618" t="s">
        <v>63</v>
      </c>
      <c r="T1618" t="s">
        <v>4584</v>
      </c>
      <c r="U1618" t="s">
        <v>65</v>
      </c>
      <c r="W1618" s="26">
        <v>45561</v>
      </c>
      <c r="X1618" t="s">
        <v>61</v>
      </c>
      <c r="Y1618" t="s">
        <v>237</v>
      </c>
    </row>
    <row r="1619" spans="1:25" x14ac:dyDescent="0.25">
      <c r="A1619" t="s">
        <v>9777</v>
      </c>
      <c r="B1619">
        <v>11</v>
      </c>
      <c r="C1619">
        <v>91</v>
      </c>
      <c r="D1619">
        <v>9096</v>
      </c>
      <c r="E1619" t="s">
        <v>526</v>
      </c>
      <c r="F1619" t="s">
        <v>2925</v>
      </c>
      <c r="G1619" t="s">
        <v>9778</v>
      </c>
      <c r="H1619" s="26">
        <v>35953</v>
      </c>
      <c r="I1619" t="s">
        <v>58</v>
      </c>
      <c r="J1619" t="s">
        <v>9779</v>
      </c>
      <c r="M1619">
        <v>91580</v>
      </c>
      <c r="N1619" t="s">
        <v>528</v>
      </c>
      <c r="O1619" t="s">
        <v>61</v>
      </c>
      <c r="Q1619">
        <v>664678931</v>
      </c>
      <c r="R1619" t="s">
        <v>9780</v>
      </c>
      <c r="S1619" t="s">
        <v>63</v>
      </c>
      <c r="T1619" t="s">
        <v>4584</v>
      </c>
      <c r="U1619" t="s">
        <v>486</v>
      </c>
      <c r="W1619" s="26">
        <v>45561</v>
      </c>
      <c r="X1619" t="s">
        <v>61</v>
      </c>
      <c r="Y1619" t="s">
        <v>237</v>
      </c>
    </row>
    <row r="1620" spans="1:25" x14ac:dyDescent="0.25">
      <c r="A1620" t="s">
        <v>9781</v>
      </c>
      <c r="B1620">
        <v>11</v>
      </c>
      <c r="C1620">
        <v>78</v>
      </c>
      <c r="D1620">
        <v>9038</v>
      </c>
      <c r="E1620" t="s">
        <v>484</v>
      </c>
      <c r="F1620" t="s">
        <v>85</v>
      </c>
      <c r="G1620" t="s">
        <v>9782</v>
      </c>
      <c r="H1620" s="26">
        <v>20644</v>
      </c>
      <c r="I1620" t="s">
        <v>58</v>
      </c>
      <c r="J1620" t="s">
        <v>9783</v>
      </c>
      <c r="M1620">
        <v>95490</v>
      </c>
      <c r="N1620" t="s">
        <v>9784</v>
      </c>
      <c r="O1620" t="s">
        <v>61</v>
      </c>
      <c r="P1620">
        <v>681927885</v>
      </c>
      <c r="R1620" t="s">
        <v>9785</v>
      </c>
      <c r="S1620" t="s">
        <v>63</v>
      </c>
      <c r="T1620" t="s">
        <v>4584</v>
      </c>
      <c r="U1620" t="s">
        <v>65</v>
      </c>
      <c r="W1620" s="26">
        <v>45561</v>
      </c>
      <c r="X1620" t="s">
        <v>61</v>
      </c>
      <c r="Y1620" t="s">
        <v>237</v>
      </c>
    </row>
    <row r="1621" spans="1:25" x14ac:dyDescent="0.25">
      <c r="A1621" t="s">
        <v>9786</v>
      </c>
      <c r="B1621">
        <v>11</v>
      </c>
      <c r="C1621">
        <v>91</v>
      </c>
      <c r="D1621">
        <v>9096</v>
      </c>
      <c r="E1621" t="s">
        <v>526</v>
      </c>
      <c r="F1621" t="s">
        <v>448</v>
      </c>
      <c r="G1621" t="s">
        <v>9787</v>
      </c>
      <c r="H1621" s="26">
        <v>36432</v>
      </c>
      <c r="I1621" t="s">
        <v>58</v>
      </c>
      <c r="J1621" t="s">
        <v>9788</v>
      </c>
      <c r="M1621">
        <v>91580</v>
      </c>
      <c r="N1621" t="s">
        <v>528</v>
      </c>
      <c r="O1621" t="s">
        <v>61</v>
      </c>
      <c r="Q1621">
        <v>633803752</v>
      </c>
      <c r="R1621" t="s">
        <v>9789</v>
      </c>
      <c r="S1621" t="s">
        <v>63</v>
      </c>
      <c r="T1621" t="s">
        <v>4584</v>
      </c>
      <c r="U1621" t="s">
        <v>486</v>
      </c>
      <c r="W1621" s="26">
        <v>45561</v>
      </c>
      <c r="X1621" t="s">
        <v>61</v>
      </c>
      <c r="Y1621" t="s">
        <v>237</v>
      </c>
    </row>
    <row r="1622" spans="1:25" x14ac:dyDescent="0.25">
      <c r="A1622" t="s">
        <v>9790</v>
      </c>
      <c r="B1622">
        <v>11</v>
      </c>
      <c r="C1622">
        <v>91</v>
      </c>
      <c r="D1622">
        <v>9096</v>
      </c>
      <c r="E1622" t="s">
        <v>526</v>
      </c>
      <c r="F1622" t="s">
        <v>9791</v>
      </c>
      <c r="G1622" t="s">
        <v>3866</v>
      </c>
      <c r="H1622" s="26">
        <v>25483</v>
      </c>
      <c r="I1622" t="s">
        <v>58</v>
      </c>
      <c r="J1622" t="s">
        <v>9792</v>
      </c>
      <c r="M1622">
        <v>91580</v>
      </c>
      <c r="N1622" t="s">
        <v>9793</v>
      </c>
      <c r="O1622" t="s">
        <v>61</v>
      </c>
      <c r="Q1622">
        <v>681206359</v>
      </c>
      <c r="R1622" t="s">
        <v>9794</v>
      </c>
      <c r="S1622" t="s">
        <v>63</v>
      </c>
      <c r="T1622" t="s">
        <v>4584</v>
      </c>
      <c r="U1622" t="s">
        <v>486</v>
      </c>
      <c r="W1622" s="26">
        <v>45561</v>
      </c>
      <c r="X1622" t="s">
        <v>61</v>
      </c>
      <c r="Y1622" t="s">
        <v>237</v>
      </c>
    </row>
    <row r="1623" spans="1:25" x14ac:dyDescent="0.25">
      <c r="A1623" t="s">
        <v>9795</v>
      </c>
      <c r="B1623">
        <v>11</v>
      </c>
      <c r="C1623">
        <v>95</v>
      </c>
      <c r="D1623">
        <v>9069</v>
      </c>
      <c r="E1623" t="s">
        <v>129</v>
      </c>
      <c r="F1623" t="s">
        <v>782</v>
      </c>
      <c r="G1623" t="s">
        <v>4174</v>
      </c>
      <c r="H1623" s="26">
        <v>18265</v>
      </c>
      <c r="I1623" t="s">
        <v>58</v>
      </c>
      <c r="J1623" t="s">
        <v>9796</v>
      </c>
      <c r="M1623">
        <v>95130</v>
      </c>
      <c r="N1623" t="s">
        <v>878</v>
      </c>
      <c r="O1623" t="s">
        <v>61</v>
      </c>
      <c r="P1623">
        <v>134154506</v>
      </c>
      <c r="Q1623">
        <v>686881657</v>
      </c>
      <c r="R1623" t="s">
        <v>9797</v>
      </c>
      <c r="S1623" t="s">
        <v>63</v>
      </c>
      <c r="T1623" t="s">
        <v>4584</v>
      </c>
      <c r="U1623" t="s">
        <v>65</v>
      </c>
      <c r="W1623" s="26">
        <v>45562</v>
      </c>
      <c r="X1623" t="s">
        <v>61</v>
      </c>
      <c r="Y1623" t="s">
        <v>237</v>
      </c>
    </row>
    <row r="1624" spans="1:25" x14ac:dyDescent="0.25">
      <c r="A1624" t="s">
        <v>9798</v>
      </c>
      <c r="B1624">
        <v>11</v>
      </c>
      <c r="C1624">
        <v>94</v>
      </c>
      <c r="D1624">
        <v>9024</v>
      </c>
      <c r="E1624" t="s">
        <v>4</v>
      </c>
      <c r="F1624" t="s">
        <v>9799</v>
      </c>
      <c r="G1624" t="s">
        <v>769</v>
      </c>
      <c r="H1624" s="26">
        <v>37930</v>
      </c>
      <c r="I1624" t="s">
        <v>58</v>
      </c>
      <c r="J1624" t="s">
        <v>11373</v>
      </c>
      <c r="M1624">
        <v>94170</v>
      </c>
      <c r="N1624" t="s">
        <v>11374</v>
      </c>
      <c r="O1624" t="s">
        <v>61</v>
      </c>
      <c r="Q1624">
        <v>668463507</v>
      </c>
      <c r="R1624" t="s">
        <v>11375</v>
      </c>
      <c r="S1624" t="s">
        <v>237</v>
      </c>
      <c r="T1624" t="s">
        <v>4616</v>
      </c>
      <c r="U1624" t="s">
        <v>8684</v>
      </c>
      <c r="W1624" s="26">
        <v>45562</v>
      </c>
      <c r="X1624" t="s">
        <v>61</v>
      </c>
      <c r="Y1624" t="s">
        <v>237</v>
      </c>
    </row>
    <row r="1625" spans="1:25" x14ac:dyDescent="0.25">
      <c r="A1625" t="s">
        <v>9800</v>
      </c>
      <c r="B1625">
        <v>11</v>
      </c>
      <c r="C1625">
        <v>94</v>
      </c>
      <c r="D1625">
        <v>9024</v>
      </c>
      <c r="E1625" t="s">
        <v>4</v>
      </c>
      <c r="F1625" t="s">
        <v>160</v>
      </c>
      <c r="G1625" t="s">
        <v>9801</v>
      </c>
      <c r="H1625" s="26">
        <v>21446</v>
      </c>
      <c r="I1625" t="s">
        <v>58</v>
      </c>
      <c r="J1625" t="s">
        <v>9802</v>
      </c>
      <c r="M1625">
        <v>94210</v>
      </c>
      <c r="N1625" t="s">
        <v>971</v>
      </c>
      <c r="O1625" t="s">
        <v>61</v>
      </c>
      <c r="Q1625">
        <v>686533130</v>
      </c>
      <c r="R1625" t="s">
        <v>9803</v>
      </c>
      <c r="S1625" t="s">
        <v>63</v>
      </c>
      <c r="T1625" t="s">
        <v>4584</v>
      </c>
      <c r="U1625" t="s">
        <v>65</v>
      </c>
      <c r="W1625" s="26">
        <v>45562</v>
      </c>
      <c r="X1625" t="s">
        <v>61</v>
      </c>
      <c r="Y1625" t="s">
        <v>237</v>
      </c>
    </row>
    <row r="1626" spans="1:25" x14ac:dyDescent="0.25">
      <c r="A1626" t="s">
        <v>9804</v>
      </c>
      <c r="B1626">
        <v>11</v>
      </c>
      <c r="C1626">
        <v>77</v>
      </c>
      <c r="D1626">
        <v>9021</v>
      </c>
      <c r="E1626" t="s">
        <v>229</v>
      </c>
      <c r="F1626" t="s">
        <v>9805</v>
      </c>
      <c r="G1626" t="s">
        <v>9806</v>
      </c>
      <c r="H1626" s="26">
        <v>40186</v>
      </c>
      <c r="I1626" t="s">
        <v>16</v>
      </c>
      <c r="J1626" t="s">
        <v>9807</v>
      </c>
      <c r="M1626">
        <v>77210</v>
      </c>
      <c r="N1626" t="s">
        <v>391</v>
      </c>
      <c r="O1626" t="s">
        <v>61</v>
      </c>
      <c r="S1626" t="s">
        <v>63</v>
      </c>
      <c r="T1626" t="s">
        <v>4616</v>
      </c>
      <c r="U1626" t="s">
        <v>65</v>
      </c>
      <c r="W1626" s="26">
        <v>45562</v>
      </c>
      <c r="X1626" t="s">
        <v>61</v>
      </c>
      <c r="Y1626" t="s">
        <v>237</v>
      </c>
    </row>
    <row r="1627" spans="1:25" x14ac:dyDescent="0.25">
      <c r="A1627" t="s">
        <v>9808</v>
      </c>
      <c r="B1627">
        <v>11</v>
      </c>
      <c r="C1627">
        <v>77</v>
      </c>
      <c r="D1627">
        <v>9021</v>
      </c>
      <c r="E1627" t="s">
        <v>229</v>
      </c>
      <c r="F1627" t="s">
        <v>9809</v>
      </c>
      <c r="G1627" t="s">
        <v>9806</v>
      </c>
      <c r="H1627" s="26">
        <v>40797</v>
      </c>
      <c r="I1627" t="s">
        <v>16</v>
      </c>
      <c r="J1627" t="s">
        <v>9807</v>
      </c>
      <c r="M1627">
        <v>77210</v>
      </c>
      <c r="N1627" t="s">
        <v>391</v>
      </c>
      <c r="O1627" t="s">
        <v>61</v>
      </c>
      <c r="S1627" t="s">
        <v>63</v>
      </c>
      <c r="T1627" t="s">
        <v>4616</v>
      </c>
      <c r="U1627" t="s">
        <v>65</v>
      </c>
      <c r="W1627" s="26">
        <v>45562</v>
      </c>
      <c r="X1627" t="s">
        <v>61</v>
      </c>
      <c r="Y1627" t="s">
        <v>237</v>
      </c>
    </row>
    <row r="1628" spans="1:25" x14ac:dyDescent="0.25">
      <c r="A1628" t="s">
        <v>9810</v>
      </c>
      <c r="B1628">
        <v>11</v>
      </c>
      <c r="C1628">
        <v>95</v>
      </c>
      <c r="D1628">
        <v>9061</v>
      </c>
      <c r="E1628" t="s">
        <v>360</v>
      </c>
      <c r="F1628" t="s">
        <v>13</v>
      </c>
      <c r="G1628" t="s">
        <v>9811</v>
      </c>
      <c r="H1628" s="26">
        <v>19304</v>
      </c>
      <c r="I1628" t="s">
        <v>58</v>
      </c>
      <c r="J1628" t="s">
        <v>9812</v>
      </c>
      <c r="M1628">
        <v>95640</v>
      </c>
      <c r="N1628" t="s">
        <v>2901</v>
      </c>
      <c r="O1628" t="s">
        <v>61</v>
      </c>
      <c r="Q1628">
        <v>767413902</v>
      </c>
      <c r="R1628" t="s">
        <v>9813</v>
      </c>
      <c r="S1628" t="s">
        <v>63</v>
      </c>
      <c r="T1628" t="s">
        <v>4584</v>
      </c>
      <c r="U1628" t="s">
        <v>65</v>
      </c>
      <c r="W1628" s="26">
        <v>45562</v>
      </c>
      <c r="X1628" t="s">
        <v>61</v>
      </c>
      <c r="Y1628" t="s">
        <v>237</v>
      </c>
    </row>
    <row r="1629" spans="1:25" x14ac:dyDescent="0.25">
      <c r="A1629" t="s">
        <v>9814</v>
      </c>
      <c r="B1629">
        <v>11</v>
      </c>
      <c r="C1629">
        <v>78</v>
      </c>
      <c r="D1629">
        <v>9030</v>
      </c>
      <c r="E1629" t="s">
        <v>96</v>
      </c>
      <c r="F1629" t="s">
        <v>820</v>
      </c>
      <c r="G1629" t="s">
        <v>694</v>
      </c>
      <c r="H1629" s="26">
        <v>33389</v>
      </c>
      <c r="I1629" t="s">
        <v>58</v>
      </c>
      <c r="J1629" t="s">
        <v>9815</v>
      </c>
      <c r="M1629">
        <v>78114</v>
      </c>
      <c r="N1629" t="s">
        <v>263</v>
      </c>
      <c r="O1629" t="s">
        <v>61</v>
      </c>
      <c r="Q1629">
        <v>667312373</v>
      </c>
      <c r="R1629" t="s">
        <v>9816</v>
      </c>
      <c r="S1629" t="s">
        <v>63</v>
      </c>
      <c r="T1629" t="s">
        <v>4584</v>
      </c>
      <c r="U1629" t="s">
        <v>486</v>
      </c>
      <c r="W1629" s="26">
        <v>45563</v>
      </c>
      <c r="X1629" t="s">
        <v>61</v>
      </c>
      <c r="Y1629" t="s">
        <v>237</v>
      </c>
    </row>
    <row r="1630" spans="1:25" x14ac:dyDescent="0.25">
      <c r="A1630" t="s">
        <v>9817</v>
      </c>
      <c r="B1630">
        <v>11</v>
      </c>
      <c r="C1630">
        <v>93</v>
      </c>
      <c r="D1630">
        <v>9122</v>
      </c>
      <c r="E1630" t="s">
        <v>1030</v>
      </c>
      <c r="F1630" t="s">
        <v>9818</v>
      </c>
      <c r="G1630" t="s">
        <v>2487</v>
      </c>
      <c r="H1630" s="26">
        <v>22894</v>
      </c>
      <c r="I1630" t="s">
        <v>16</v>
      </c>
      <c r="J1630" t="s">
        <v>9819</v>
      </c>
      <c r="M1630">
        <v>77500</v>
      </c>
      <c r="N1630" t="s">
        <v>637</v>
      </c>
      <c r="O1630" t="s">
        <v>61</v>
      </c>
      <c r="Q1630">
        <v>671106578</v>
      </c>
      <c r="R1630" t="s">
        <v>9820</v>
      </c>
      <c r="S1630" t="s">
        <v>63</v>
      </c>
      <c r="T1630" t="s">
        <v>4584</v>
      </c>
      <c r="U1630" t="s">
        <v>8684</v>
      </c>
      <c r="W1630" s="26">
        <v>45563</v>
      </c>
      <c r="X1630" t="s">
        <v>61</v>
      </c>
      <c r="Y1630" t="s">
        <v>237</v>
      </c>
    </row>
    <row r="1631" spans="1:25" x14ac:dyDescent="0.25">
      <c r="A1631" t="s">
        <v>9821</v>
      </c>
      <c r="B1631">
        <v>11</v>
      </c>
      <c r="C1631">
        <v>75</v>
      </c>
      <c r="D1631">
        <v>9070</v>
      </c>
      <c r="E1631" t="s">
        <v>168</v>
      </c>
      <c r="F1631" t="s">
        <v>1178</v>
      </c>
      <c r="G1631" t="s">
        <v>8854</v>
      </c>
      <c r="H1631" s="26">
        <v>41298</v>
      </c>
      <c r="I1631" t="s">
        <v>58</v>
      </c>
      <c r="J1631" t="s">
        <v>8855</v>
      </c>
      <c r="M1631">
        <v>93270</v>
      </c>
      <c r="N1631" t="s">
        <v>2129</v>
      </c>
      <c r="O1631" t="s">
        <v>61</v>
      </c>
      <c r="Q1631">
        <v>608061452</v>
      </c>
      <c r="R1631" t="s">
        <v>9822</v>
      </c>
      <c r="S1631" t="s">
        <v>63</v>
      </c>
      <c r="T1631" t="s">
        <v>4616</v>
      </c>
      <c r="U1631" t="s">
        <v>8684</v>
      </c>
      <c r="W1631" s="26">
        <v>45564</v>
      </c>
      <c r="X1631" t="s">
        <v>61</v>
      </c>
      <c r="Y1631" t="s">
        <v>237</v>
      </c>
    </row>
    <row r="1632" spans="1:25" x14ac:dyDescent="0.25">
      <c r="A1632" t="s">
        <v>9823</v>
      </c>
      <c r="B1632">
        <v>11</v>
      </c>
      <c r="C1632">
        <v>92</v>
      </c>
      <c r="D1632">
        <v>9065</v>
      </c>
      <c r="E1632" t="s">
        <v>426</v>
      </c>
      <c r="F1632" t="s">
        <v>9824</v>
      </c>
      <c r="G1632" t="s">
        <v>9825</v>
      </c>
      <c r="H1632" s="26">
        <v>30213</v>
      </c>
      <c r="I1632" t="s">
        <v>58</v>
      </c>
      <c r="J1632" t="s">
        <v>9826</v>
      </c>
      <c r="M1632">
        <v>78110</v>
      </c>
      <c r="N1632" t="s">
        <v>2422</v>
      </c>
      <c r="O1632" t="s">
        <v>61</v>
      </c>
      <c r="Q1632">
        <v>630099814</v>
      </c>
      <c r="R1632" t="s">
        <v>9827</v>
      </c>
      <c r="S1632" t="s">
        <v>63</v>
      </c>
      <c r="T1632" t="s">
        <v>4584</v>
      </c>
      <c r="U1632" t="s">
        <v>8684</v>
      </c>
      <c r="W1632" s="26">
        <v>45564</v>
      </c>
      <c r="X1632" t="s">
        <v>61</v>
      </c>
      <c r="Y1632" t="s">
        <v>237</v>
      </c>
    </row>
    <row r="1633" spans="1:25" x14ac:dyDescent="0.25">
      <c r="A1633" t="s">
        <v>9828</v>
      </c>
      <c r="B1633">
        <v>11</v>
      </c>
      <c r="C1633">
        <v>75</v>
      </c>
      <c r="D1633">
        <v>9070</v>
      </c>
      <c r="E1633" t="s">
        <v>168</v>
      </c>
      <c r="F1633" t="s">
        <v>4445</v>
      </c>
      <c r="G1633" t="s">
        <v>9829</v>
      </c>
      <c r="H1633" s="26">
        <v>30469</v>
      </c>
      <c r="I1633" t="s">
        <v>58</v>
      </c>
      <c r="J1633" t="s">
        <v>9830</v>
      </c>
      <c r="M1633">
        <v>75020</v>
      </c>
      <c r="N1633" t="s">
        <v>330</v>
      </c>
      <c r="O1633" t="s">
        <v>61</v>
      </c>
      <c r="Q1633">
        <v>670062551</v>
      </c>
      <c r="R1633" t="s">
        <v>9831</v>
      </c>
      <c r="S1633" t="s">
        <v>237</v>
      </c>
      <c r="T1633" t="s">
        <v>4584</v>
      </c>
      <c r="U1633" t="s">
        <v>8684</v>
      </c>
      <c r="W1633" s="26">
        <v>45565</v>
      </c>
      <c r="X1633" t="s">
        <v>61</v>
      </c>
      <c r="Y1633" t="s">
        <v>237</v>
      </c>
    </row>
    <row r="1634" spans="1:25" x14ac:dyDescent="0.25">
      <c r="A1634" t="s">
        <v>9832</v>
      </c>
      <c r="B1634">
        <v>11</v>
      </c>
      <c r="C1634">
        <v>92</v>
      </c>
      <c r="D1634">
        <v>9068</v>
      </c>
      <c r="E1634" t="s">
        <v>119</v>
      </c>
      <c r="F1634" t="s">
        <v>4557</v>
      </c>
      <c r="G1634" t="s">
        <v>9833</v>
      </c>
      <c r="H1634" s="26">
        <v>37887</v>
      </c>
      <c r="I1634" t="s">
        <v>58</v>
      </c>
      <c r="J1634" t="s">
        <v>9834</v>
      </c>
      <c r="M1634">
        <v>92320</v>
      </c>
      <c r="N1634" t="s">
        <v>228</v>
      </c>
      <c r="O1634" t="s">
        <v>61</v>
      </c>
      <c r="Q1634">
        <v>629985559</v>
      </c>
      <c r="R1634" t="s">
        <v>9835</v>
      </c>
      <c r="S1634" t="s">
        <v>63</v>
      </c>
      <c r="T1634" t="s">
        <v>4616</v>
      </c>
      <c r="U1634" t="s">
        <v>486</v>
      </c>
      <c r="W1634" s="26">
        <v>45565</v>
      </c>
      <c r="X1634" t="s">
        <v>61</v>
      </c>
      <c r="Y1634" t="s">
        <v>237</v>
      </c>
    </row>
    <row r="1635" spans="1:25" x14ac:dyDescent="0.25">
      <c r="A1635" t="s">
        <v>9836</v>
      </c>
      <c r="B1635">
        <v>11</v>
      </c>
      <c r="C1635">
        <v>92</v>
      </c>
      <c r="D1635">
        <v>9068</v>
      </c>
      <c r="E1635" t="s">
        <v>119</v>
      </c>
      <c r="F1635" t="s">
        <v>2812</v>
      </c>
      <c r="G1635" t="s">
        <v>9837</v>
      </c>
      <c r="H1635" s="26">
        <v>26418</v>
      </c>
      <c r="I1635" t="s">
        <v>58</v>
      </c>
      <c r="J1635" t="s">
        <v>9838</v>
      </c>
      <c r="M1635">
        <v>75014</v>
      </c>
      <c r="N1635" t="s">
        <v>330</v>
      </c>
      <c r="O1635" t="s">
        <v>61</v>
      </c>
      <c r="Q1635">
        <v>662648981</v>
      </c>
      <c r="R1635" t="s">
        <v>9839</v>
      </c>
      <c r="S1635" t="s">
        <v>63</v>
      </c>
      <c r="T1635" t="s">
        <v>4584</v>
      </c>
      <c r="U1635" t="s">
        <v>486</v>
      </c>
      <c r="W1635" s="26">
        <v>45565</v>
      </c>
      <c r="X1635" t="s">
        <v>61</v>
      </c>
      <c r="Y1635" t="s">
        <v>237</v>
      </c>
    </row>
    <row r="1636" spans="1:25" x14ac:dyDescent="0.25">
      <c r="A1636" t="s">
        <v>9840</v>
      </c>
      <c r="B1636">
        <v>11</v>
      </c>
      <c r="C1636">
        <v>92</v>
      </c>
      <c r="D1636">
        <v>9065</v>
      </c>
      <c r="E1636" t="s">
        <v>426</v>
      </c>
      <c r="F1636" t="s">
        <v>1933</v>
      </c>
      <c r="G1636" t="s">
        <v>2419</v>
      </c>
      <c r="H1636" s="26">
        <v>27225</v>
      </c>
      <c r="I1636" t="s">
        <v>58</v>
      </c>
      <c r="J1636" t="s">
        <v>9841</v>
      </c>
      <c r="M1636">
        <v>94340</v>
      </c>
      <c r="N1636" t="s">
        <v>1504</v>
      </c>
      <c r="O1636" t="s">
        <v>61</v>
      </c>
      <c r="Q1636">
        <v>629580638</v>
      </c>
      <c r="R1636" t="s">
        <v>9842</v>
      </c>
      <c r="S1636" t="s">
        <v>63</v>
      </c>
      <c r="T1636" t="s">
        <v>4584</v>
      </c>
      <c r="U1636" t="s">
        <v>8684</v>
      </c>
      <c r="W1636" s="26">
        <v>45566</v>
      </c>
      <c r="X1636" t="s">
        <v>61</v>
      </c>
      <c r="Y1636" t="s">
        <v>237</v>
      </c>
    </row>
    <row r="1637" spans="1:25" x14ac:dyDescent="0.25">
      <c r="A1637" t="s">
        <v>9843</v>
      </c>
      <c r="B1637">
        <v>11</v>
      </c>
      <c r="C1637">
        <v>94</v>
      </c>
      <c r="D1637">
        <v>9024</v>
      </c>
      <c r="E1637" t="s">
        <v>4</v>
      </c>
      <c r="F1637" t="s">
        <v>820</v>
      </c>
      <c r="G1637" t="s">
        <v>9844</v>
      </c>
      <c r="H1637" s="26">
        <v>26598</v>
      </c>
      <c r="I1637" t="s">
        <v>58</v>
      </c>
      <c r="J1637" t="s">
        <v>9845</v>
      </c>
      <c r="M1637">
        <v>94210</v>
      </c>
      <c r="N1637" t="s">
        <v>1323</v>
      </c>
      <c r="O1637" t="s">
        <v>61</v>
      </c>
      <c r="P1637">
        <v>950096371</v>
      </c>
      <c r="Q1637">
        <v>632426516</v>
      </c>
      <c r="R1637" t="s">
        <v>9846</v>
      </c>
      <c r="S1637" t="s">
        <v>63</v>
      </c>
      <c r="T1637" t="s">
        <v>4584</v>
      </c>
      <c r="U1637" t="s">
        <v>65</v>
      </c>
      <c r="W1637" s="26">
        <v>45566</v>
      </c>
      <c r="X1637" t="s">
        <v>61</v>
      </c>
      <c r="Y1637" t="s">
        <v>237</v>
      </c>
    </row>
    <row r="1638" spans="1:25" x14ac:dyDescent="0.25">
      <c r="A1638" t="s">
        <v>9847</v>
      </c>
      <c r="B1638">
        <v>11</v>
      </c>
      <c r="C1638">
        <v>77</v>
      </c>
      <c r="D1638">
        <v>9040</v>
      </c>
      <c r="E1638" t="s">
        <v>612</v>
      </c>
      <c r="F1638" t="s">
        <v>85</v>
      </c>
      <c r="G1638" t="s">
        <v>1748</v>
      </c>
      <c r="H1638" s="26">
        <v>25378</v>
      </c>
      <c r="I1638" t="s">
        <v>58</v>
      </c>
      <c r="J1638" t="s">
        <v>9848</v>
      </c>
      <c r="M1638">
        <v>77850</v>
      </c>
      <c r="N1638" t="s">
        <v>4190</v>
      </c>
      <c r="O1638" t="s">
        <v>61</v>
      </c>
      <c r="P1638">
        <v>164238905</v>
      </c>
      <c r="Q1638">
        <v>610762229</v>
      </c>
      <c r="S1638" t="s">
        <v>63</v>
      </c>
      <c r="T1638" t="s">
        <v>4584</v>
      </c>
      <c r="U1638" t="s">
        <v>65</v>
      </c>
      <c r="W1638" s="26">
        <v>45566</v>
      </c>
      <c r="X1638" t="s">
        <v>61</v>
      </c>
      <c r="Y1638" t="s">
        <v>237</v>
      </c>
    </row>
    <row r="1639" spans="1:25" x14ac:dyDescent="0.25">
      <c r="A1639" t="s">
        <v>9849</v>
      </c>
      <c r="B1639">
        <v>11</v>
      </c>
      <c r="C1639">
        <v>94</v>
      </c>
      <c r="D1639">
        <v>9024</v>
      </c>
      <c r="E1639" t="s">
        <v>4</v>
      </c>
      <c r="F1639" t="s">
        <v>2880</v>
      </c>
      <c r="G1639" t="s">
        <v>9850</v>
      </c>
      <c r="H1639" s="26">
        <v>37651</v>
      </c>
      <c r="I1639" t="s">
        <v>58</v>
      </c>
      <c r="J1639" t="s">
        <v>2127</v>
      </c>
      <c r="M1639">
        <v>94100</v>
      </c>
      <c r="N1639" t="s">
        <v>971</v>
      </c>
      <c r="O1639" t="s">
        <v>61</v>
      </c>
      <c r="Q1639">
        <v>621454760</v>
      </c>
      <c r="R1639" t="s">
        <v>9851</v>
      </c>
      <c r="S1639" t="s">
        <v>63</v>
      </c>
      <c r="T1639" t="s">
        <v>4584</v>
      </c>
      <c r="U1639" t="s">
        <v>8684</v>
      </c>
      <c r="W1639" s="26">
        <v>45566</v>
      </c>
      <c r="X1639" t="s">
        <v>61</v>
      </c>
      <c r="Y1639" t="s">
        <v>237</v>
      </c>
    </row>
    <row r="1640" spans="1:25" x14ac:dyDescent="0.25">
      <c r="A1640" t="s">
        <v>9852</v>
      </c>
      <c r="B1640">
        <v>11</v>
      </c>
      <c r="C1640">
        <v>94</v>
      </c>
      <c r="D1640">
        <v>9024</v>
      </c>
      <c r="E1640" t="s">
        <v>4</v>
      </c>
      <c r="F1640" t="s">
        <v>927</v>
      </c>
      <c r="G1640" t="s">
        <v>9853</v>
      </c>
      <c r="H1640" s="26">
        <v>22683</v>
      </c>
      <c r="I1640" t="s">
        <v>58</v>
      </c>
      <c r="J1640" t="s">
        <v>9854</v>
      </c>
      <c r="M1640">
        <v>94210</v>
      </c>
      <c r="N1640" t="s">
        <v>4209</v>
      </c>
      <c r="O1640" t="s">
        <v>61</v>
      </c>
      <c r="Q1640">
        <v>630316327</v>
      </c>
      <c r="R1640" t="s">
        <v>9855</v>
      </c>
      <c r="S1640" t="s">
        <v>63</v>
      </c>
      <c r="T1640" t="s">
        <v>4584</v>
      </c>
      <c r="U1640" t="s">
        <v>65</v>
      </c>
      <c r="W1640" s="26">
        <v>45566</v>
      </c>
      <c r="X1640" t="s">
        <v>61</v>
      </c>
      <c r="Y1640" t="s">
        <v>237</v>
      </c>
    </row>
    <row r="1641" spans="1:25" x14ac:dyDescent="0.25">
      <c r="A1641" t="s">
        <v>9856</v>
      </c>
      <c r="B1641">
        <v>11</v>
      </c>
      <c r="C1641">
        <v>91</v>
      </c>
      <c r="D1641">
        <v>9096</v>
      </c>
      <c r="E1641" t="s">
        <v>526</v>
      </c>
      <c r="F1641" t="s">
        <v>1883</v>
      </c>
      <c r="G1641" t="s">
        <v>3624</v>
      </c>
      <c r="H1641" s="26">
        <v>19947</v>
      </c>
      <c r="I1641" t="s">
        <v>58</v>
      </c>
      <c r="J1641" t="s">
        <v>9857</v>
      </c>
      <c r="M1641">
        <v>91490</v>
      </c>
      <c r="N1641" t="s">
        <v>2918</v>
      </c>
      <c r="O1641" t="s">
        <v>61</v>
      </c>
      <c r="P1641">
        <v>954761321</v>
      </c>
      <c r="Q1641">
        <v>646216044</v>
      </c>
      <c r="R1641" t="s">
        <v>9858</v>
      </c>
      <c r="S1641" t="s">
        <v>63</v>
      </c>
      <c r="T1641" t="s">
        <v>4584</v>
      </c>
      <c r="U1641" t="s">
        <v>65</v>
      </c>
      <c r="W1641" s="26">
        <v>45567</v>
      </c>
      <c r="X1641" t="s">
        <v>61</v>
      </c>
      <c r="Y1641" t="s">
        <v>237</v>
      </c>
    </row>
    <row r="1642" spans="1:25" x14ac:dyDescent="0.25">
      <c r="A1642" t="s">
        <v>10042</v>
      </c>
      <c r="B1642">
        <v>11</v>
      </c>
      <c r="C1642">
        <v>95</v>
      </c>
      <c r="D1642">
        <v>9069</v>
      </c>
      <c r="E1642" t="s">
        <v>129</v>
      </c>
      <c r="F1642" t="s">
        <v>85</v>
      </c>
      <c r="G1642" t="s">
        <v>10043</v>
      </c>
      <c r="H1642" s="26">
        <v>22281</v>
      </c>
      <c r="I1642" t="s">
        <v>58</v>
      </c>
      <c r="J1642" t="s">
        <v>10044</v>
      </c>
      <c r="M1642">
        <v>95600</v>
      </c>
      <c r="N1642" t="s">
        <v>185</v>
      </c>
      <c r="O1642" t="s">
        <v>61</v>
      </c>
      <c r="P1642">
        <v>139594467</v>
      </c>
      <c r="Q1642">
        <v>650050168</v>
      </c>
      <c r="R1642" t="s">
        <v>10045</v>
      </c>
      <c r="S1642" t="s">
        <v>63</v>
      </c>
      <c r="T1642" t="s">
        <v>4584</v>
      </c>
      <c r="U1642" t="s">
        <v>65</v>
      </c>
      <c r="W1642" s="26">
        <v>45567</v>
      </c>
      <c r="X1642" t="s">
        <v>61</v>
      </c>
      <c r="Y1642" t="s">
        <v>237</v>
      </c>
    </row>
    <row r="1643" spans="1:25" x14ac:dyDescent="0.25">
      <c r="A1643" t="s">
        <v>10149</v>
      </c>
      <c r="B1643">
        <v>11</v>
      </c>
      <c r="C1643">
        <v>78</v>
      </c>
      <c r="D1643">
        <v>9056</v>
      </c>
      <c r="E1643" t="s">
        <v>214</v>
      </c>
      <c r="F1643" t="s">
        <v>1005</v>
      </c>
      <c r="G1643" t="s">
        <v>10150</v>
      </c>
      <c r="H1643" s="26">
        <v>29024</v>
      </c>
      <c r="I1643" t="s">
        <v>58</v>
      </c>
      <c r="J1643" t="s">
        <v>10151</v>
      </c>
      <c r="M1643">
        <v>78000</v>
      </c>
      <c r="N1643" t="s">
        <v>1334</v>
      </c>
      <c r="O1643" t="s">
        <v>61</v>
      </c>
      <c r="Q1643">
        <v>677111019</v>
      </c>
      <c r="R1643" t="s">
        <v>10152</v>
      </c>
      <c r="S1643" t="s">
        <v>63</v>
      </c>
      <c r="T1643" t="s">
        <v>4584</v>
      </c>
      <c r="U1643" t="s">
        <v>65</v>
      </c>
      <c r="W1643" s="26">
        <v>45568</v>
      </c>
      <c r="X1643" t="s">
        <v>61</v>
      </c>
      <c r="Y1643" t="s">
        <v>237</v>
      </c>
    </row>
    <row r="1644" spans="1:25" x14ac:dyDescent="0.25">
      <c r="A1644" t="s">
        <v>9900</v>
      </c>
      <c r="B1644">
        <v>11</v>
      </c>
      <c r="C1644">
        <v>91</v>
      </c>
      <c r="D1644">
        <v>9025</v>
      </c>
      <c r="E1644" t="s">
        <v>188</v>
      </c>
      <c r="F1644" t="s">
        <v>9902</v>
      </c>
      <c r="G1644" t="s">
        <v>9901</v>
      </c>
      <c r="H1644" s="26">
        <v>34065</v>
      </c>
      <c r="I1644" t="s">
        <v>58</v>
      </c>
      <c r="J1644" t="s">
        <v>9903</v>
      </c>
      <c r="M1644">
        <v>44200</v>
      </c>
      <c r="N1644" t="s">
        <v>9904</v>
      </c>
      <c r="O1644" t="s">
        <v>61</v>
      </c>
      <c r="Q1644">
        <v>611466249</v>
      </c>
      <c r="R1644" t="s">
        <v>9905</v>
      </c>
      <c r="S1644" t="s">
        <v>63</v>
      </c>
      <c r="T1644" t="s">
        <v>4584</v>
      </c>
      <c r="U1644" t="s">
        <v>486</v>
      </c>
      <c r="W1644" s="26">
        <v>45568</v>
      </c>
      <c r="X1644" t="s">
        <v>2726</v>
      </c>
      <c r="Y1644" t="s">
        <v>237</v>
      </c>
    </row>
    <row r="1645" spans="1:25" x14ac:dyDescent="0.25">
      <c r="A1645" t="s">
        <v>9937</v>
      </c>
      <c r="B1645">
        <v>11</v>
      </c>
      <c r="C1645">
        <v>91</v>
      </c>
      <c r="D1645">
        <v>9082</v>
      </c>
      <c r="E1645" t="s">
        <v>67</v>
      </c>
      <c r="F1645" t="s">
        <v>887</v>
      </c>
      <c r="G1645" t="s">
        <v>9938</v>
      </c>
      <c r="H1645" s="26">
        <v>28785</v>
      </c>
      <c r="I1645" t="s">
        <v>58</v>
      </c>
      <c r="J1645" t="s">
        <v>10251</v>
      </c>
      <c r="M1645">
        <v>77380</v>
      </c>
      <c r="N1645" t="s">
        <v>2448</v>
      </c>
      <c r="O1645" t="s">
        <v>61</v>
      </c>
      <c r="Q1645">
        <v>652185569</v>
      </c>
      <c r="R1645" t="s">
        <v>9939</v>
      </c>
      <c r="S1645" t="s">
        <v>63</v>
      </c>
      <c r="T1645" t="s">
        <v>4584</v>
      </c>
      <c r="U1645" t="s">
        <v>486</v>
      </c>
      <c r="W1645" s="26">
        <v>45568</v>
      </c>
      <c r="X1645" t="s">
        <v>61</v>
      </c>
      <c r="Y1645" t="s">
        <v>237</v>
      </c>
    </row>
    <row r="1646" spans="1:25" x14ac:dyDescent="0.25">
      <c r="A1646" t="s">
        <v>10096</v>
      </c>
      <c r="B1646">
        <v>11</v>
      </c>
      <c r="C1646">
        <v>91</v>
      </c>
      <c r="D1646">
        <v>9082</v>
      </c>
      <c r="E1646" t="s">
        <v>67</v>
      </c>
      <c r="F1646" t="s">
        <v>820</v>
      </c>
      <c r="G1646" t="s">
        <v>10097</v>
      </c>
      <c r="H1646" s="26">
        <v>25544</v>
      </c>
      <c r="I1646" t="s">
        <v>58</v>
      </c>
      <c r="J1646" t="s">
        <v>10098</v>
      </c>
      <c r="M1646">
        <v>91270</v>
      </c>
      <c r="N1646" t="s">
        <v>9136</v>
      </c>
      <c r="O1646" t="s">
        <v>61</v>
      </c>
      <c r="Q1646">
        <v>660768400</v>
      </c>
      <c r="R1646" t="s">
        <v>10099</v>
      </c>
      <c r="S1646" t="s">
        <v>63</v>
      </c>
      <c r="T1646" t="s">
        <v>4584</v>
      </c>
      <c r="U1646" t="s">
        <v>486</v>
      </c>
      <c r="W1646" s="26">
        <v>45568</v>
      </c>
      <c r="X1646" t="s">
        <v>61</v>
      </c>
      <c r="Y1646" t="s">
        <v>237</v>
      </c>
    </row>
    <row r="1647" spans="1:25" x14ac:dyDescent="0.25">
      <c r="A1647" t="s">
        <v>10075</v>
      </c>
      <c r="B1647">
        <v>11</v>
      </c>
      <c r="C1647">
        <v>91</v>
      </c>
      <c r="D1647">
        <v>9064</v>
      </c>
      <c r="E1647" t="s">
        <v>266</v>
      </c>
      <c r="F1647" t="s">
        <v>137</v>
      </c>
      <c r="G1647" t="s">
        <v>10076</v>
      </c>
      <c r="H1647" s="26">
        <v>22720</v>
      </c>
      <c r="I1647" t="s">
        <v>58</v>
      </c>
      <c r="J1647" t="s">
        <v>10077</v>
      </c>
      <c r="M1647">
        <v>91460</v>
      </c>
      <c r="N1647" t="s">
        <v>2622</v>
      </c>
      <c r="O1647" t="s">
        <v>61</v>
      </c>
      <c r="Q1647">
        <v>610450198</v>
      </c>
      <c r="R1647" t="s">
        <v>10078</v>
      </c>
      <c r="S1647" t="s">
        <v>63</v>
      </c>
      <c r="T1647" t="s">
        <v>4584</v>
      </c>
      <c r="U1647" t="s">
        <v>65</v>
      </c>
      <c r="W1647" s="26">
        <v>45569</v>
      </c>
      <c r="X1647" t="s">
        <v>61</v>
      </c>
      <c r="Y1647" t="s">
        <v>237</v>
      </c>
    </row>
    <row r="1648" spans="1:25" x14ac:dyDescent="0.25">
      <c r="A1648" t="s">
        <v>9911</v>
      </c>
      <c r="B1648">
        <v>11</v>
      </c>
      <c r="C1648">
        <v>95</v>
      </c>
      <c r="D1648">
        <v>9069</v>
      </c>
      <c r="E1648" t="s">
        <v>129</v>
      </c>
      <c r="F1648" t="s">
        <v>4962</v>
      </c>
      <c r="G1648" t="s">
        <v>9912</v>
      </c>
      <c r="H1648" s="26">
        <v>36337</v>
      </c>
      <c r="I1648" t="s">
        <v>58</v>
      </c>
      <c r="J1648" t="s">
        <v>9913</v>
      </c>
      <c r="M1648">
        <v>95130</v>
      </c>
      <c r="N1648" t="s">
        <v>878</v>
      </c>
      <c r="O1648" t="s">
        <v>61</v>
      </c>
      <c r="Q1648">
        <v>787886885</v>
      </c>
      <c r="R1648" t="s">
        <v>9914</v>
      </c>
      <c r="S1648" t="s">
        <v>63</v>
      </c>
      <c r="T1648" t="s">
        <v>4584</v>
      </c>
      <c r="U1648" t="s">
        <v>8684</v>
      </c>
      <c r="W1648" s="26">
        <v>45569</v>
      </c>
      <c r="X1648" t="s">
        <v>61</v>
      </c>
      <c r="Y1648" t="s">
        <v>237</v>
      </c>
    </row>
    <row r="1649" spans="1:25" x14ac:dyDescent="0.25">
      <c r="A1649" t="s">
        <v>9972</v>
      </c>
      <c r="B1649">
        <v>11</v>
      </c>
      <c r="C1649">
        <v>94</v>
      </c>
      <c r="D1649">
        <v>9031</v>
      </c>
      <c r="E1649" t="s">
        <v>7</v>
      </c>
      <c r="F1649" t="s">
        <v>9974</v>
      </c>
      <c r="G1649" t="s">
        <v>9973</v>
      </c>
      <c r="H1649" s="26">
        <v>32911</v>
      </c>
      <c r="I1649" t="s">
        <v>16</v>
      </c>
      <c r="J1649" t="s">
        <v>9975</v>
      </c>
      <c r="M1649">
        <v>94700</v>
      </c>
      <c r="N1649" t="s">
        <v>163</v>
      </c>
      <c r="O1649" t="s">
        <v>61</v>
      </c>
      <c r="Q1649">
        <v>770248057</v>
      </c>
      <c r="R1649" t="s">
        <v>9976</v>
      </c>
      <c r="S1649" t="s">
        <v>63</v>
      </c>
      <c r="T1649" t="s">
        <v>4584</v>
      </c>
      <c r="U1649" t="s">
        <v>65</v>
      </c>
      <c r="W1649" s="26">
        <v>45570</v>
      </c>
      <c r="X1649" t="s">
        <v>61</v>
      </c>
      <c r="Y1649" t="s">
        <v>237</v>
      </c>
    </row>
    <row r="1650" spans="1:25" x14ac:dyDescent="0.25">
      <c r="A1650" t="s">
        <v>10062</v>
      </c>
      <c r="B1650">
        <v>11</v>
      </c>
      <c r="C1650">
        <v>94</v>
      </c>
      <c r="D1650">
        <v>9031</v>
      </c>
      <c r="E1650" t="s">
        <v>7</v>
      </c>
      <c r="F1650" t="s">
        <v>1019</v>
      </c>
      <c r="G1650" t="s">
        <v>10063</v>
      </c>
      <c r="H1650" s="26">
        <v>17989</v>
      </c>
      <c r="I1650" t="s">
        <v>58</v>
      </c>
      <c r="J1650" t="s">
        <v>10064</v>
      </c>
      <c r="M1650">
        <v>94700</v>
      </c>
      <c r="N1650" t="s">
        <v>163</v>
      </c>
      <c r="O1650" t="s">
        <v>61</v>
      </c>
      <c r="Q1650">
        <v>660289629</v>
      </c>
      <c r="R1650" t="s">
        <v>10065</v>
      </c>
      <c r="S1650" t="s">
        <v>63</v>
      </c>
      <c r="T1650" t="s">
        <v>4584</v>
      </c>
      <c r="U1650" t="s">
        <v>65</v>
      </c>
      <c r="W1650" s="26">
        <v>45570</v>
      </c>
      <c r="X1650" t="s">
        <v>61</v>
      </c>
      <c r="Y1650" t="s">
        <v>237</v>
      </c>
    </row>
    <row r="1651" spans="1:25" x14ac:dyDescent="0.25">
      <c r="A1651" t="s">
        <v>9934</v>
      </c>
      <c r="B1651">
        <v>11</v>
      </c>
      <c r="C1651">
        <v>95</v>
      </c>
      <c r="D1651">
        <v>9069</v>
      </c>
      <c r="E1651" t="s">
        <v>129</v>
      </c>
      <c r="F1651" t="s">
        <v>4915</v>
      </c>
      <c r="G1651" t="s">
        <v>9935</v>
      </c>
      <c r="H1651" s="26">
        <v>30322</v>
      </c>
      <c r="I1651" t="s">
        <v>58</v>
      </c>
      <c r="J1651" t="s">
        <v>9936</v>
      </c>
      <c r="M1651">
        <v>95390</v>
      </c>
      <c r="N1651" t="s">
        <v>2761</v>
      </c>
      <c r="O1651" t="s">
        <v>61</v>
      </c>
      <c r="Q1651">
        <v>613065085</v>
      </c>
      <c r="S1651" t="s">
        <v>63</v>
      </c>
      <c r="T1651" t="s">
        <v>4584</v>
      </c>
      <c r="U1651" t="s">
        <v>8684</v>
      </c>
      <c r="W1651" s="26">
        <v>45570</v>
      </c>
      <c r="X1651" t="s">
        <v>61</v>
      </c>
      <c r="Y1651" t="s">
        <v>237</v>
      </c>
    </row>
    <row r="1652" spans="1:25" x14ac:dyDescent="0.25">
      <c r="A1652" t="s">
        <v>10037</v>
      </c>
      <c r="B1652">
        <v>11</v>
      </c>
      <c r="C1652">
        <v>77</v>
      </c>
      <c r="D1652">
        <v>9105</v>
      </c>
      <c r="E1652" t="s">
        <v>124</v>
      </c>
      <c r="F1652" t="s">
        <v>10039</v>
      </c>
      <c r="G1652" t="s">
        <v>10038</v>
      </c>
      <c r="H1652" s="26">
        <v>12247</v>
      </c>
      <c r="I1652" t="s">
        <v>58</v>
      </c>
      <c r="J1652" t="s">
        <v>10040</v>
      </c>
      <c r="M1652">
        <v>77000</v>
      </c>
      <c r="N1652" t="s">
        <v>190</v>
      </c>
      <c r="O1652" t="s">
        <v>61</v>
      </c>
      <c r="Q1652">
        <v>632507685</v>
      </c>
      <c r="R1652" t="s">
        <v>10041</v>
      </c>
      <c r="S1652" t="s">
        <v>63</v>
      </c>
      <c r="T1652" t="s">
        <v>4584</v>
      </c>
      <c r="U1652" t="s">
        <v>65</v>
      </c>
      <c r="W1652" s="26">
        <v>45570</v>
      </c>
      <c r="X1652" t="s">
        <v>61</v>
      </c>
      <c r="Y1652" t="s">
        <v>237</v>
      </c>
    </row>
    <row r="1653" spans="1:25" x14ac:dyDescent="0.25">
      <c r="A1653" t="s">
        <v>9982</v>
      </c>
      <c r="B1653">
        <v>11</v>
      </c>
      <c r="C1653">
        <v>91</v>
      </c>
      <c r="D1653">
        <v>9025</v>
      </c>
      <c r="E1653" t="s">
        <v>188</v>
      </c>
      <c r="F1653" t="s">
        <v>9984</v>
      </c>
      <c r="G1653" t="s">
        <v>9983</v>
      </c>
      <c r="H1653" s="26">
        <v>32043</v>
      </c>
      <c r="I1653" t="s">
        <v>58</v>
      </c>
      <c r="J1653" t="s">
        <v>9985</v>
      </c>
      <c r="M1653">
        <v>91100</v>
      </c>
      <c r="N1653" t="s">
        <v>1427</v>
      </c>
      <c r="O1653" t="s">
        <v>61</v>
      </c>
      <c r="Q1653">
        <v>698323815</v>
      </c>
      <c r="R1653" t="s">
        <v>9986</v>
      </c>
      <c r="S1653" t="s">
        <v>63</v>
      </c>
      <c r="T1653" t="s">
        <v>4584</v>
      </c>
      <c r="U1653" t="s">
        <v>486</v>
      </c>
      <c r="W1653" s="26">
        <v>45570</v>
      </c>
      <c r="X1653" t="s">
        <v>61</v>
      </c>
      <c r="Y1653" t="s">
        <v>237</v>
      </c>
    </row>
    <row r="1654" spans="1:25" x14ac:dyDescent="0.25">
      <c r="A1654" t="s">
        <v>10142</v>
      </c>
      <c r="B1654">
        <v>11</v>
      </c>
      <c r="C1654">
        <v>92</v>
      </c>
      <c r="D1654">
        <v>9088</v>
      </c>
      <c r="E1654" t="s">
        <v>1</v>
      </c>
      <c r="F1654" t="s">
        <v>782</v>
      </c>
      <c r="G1654" t="s">
        <v>3267</v>
      </c>
      <c r="H1654" s="26">
        <v>18524</v>
      </c>
      <c r="I1654" t="s">
        <v>58</v>
      </c>
      <c r="J1654" t="s">
        <v>10143</v>
      </c>
      <c r="M1654">
        <v>92350</v>
      </c>
      <c r="N1654" t="s">
        <v>1394</v>
      </c>
      <c r="O1654" t="s">
        <v>61</v>
      </c>
      <c r="Q1654">
        <v>684802823</v>
      </c>
      <c r="R1654" t="s">
        <v>10144</v>
      </c>
      <c r="S1654" t="s">
        <v>63</v>
      </c>
      <c r="T1654" t="s">
        <v>4584</v>
      </c>
      <c r="U1654" t="s">
        <v>65</v>
      </c>
      <c r="W1654" s="26">
        <v>45571</v>
      </c>
      <c r="X1654" t="s">
        <v>61</v>
      </c>
      <c r="Y1654" t="s">
        <v>237</v>
      </c>
    </row>
    <row r="1655" spans="1:25" x14ac:dyDescent="0.25">
      <c r="A1655" t="s">
        <v>10072</v>
      </c>
      <c r="B1655">
        <v>11</v>
      </c>
      <c r="C1655">
        <v>92</v>
      </c>
      <c r="D1655">
        <v>9088</v>
      </c>
      <c r="E1655" t="s">
        <v>1</v>
      </c>
      <c r="F1655" t="s">
        <v>137</v>
      </c>
      <c r="G1655" t="s">
        <v>10073</v>
      </c>
      <c r="H1655" s="26">
        <v>18930</v>
      </c>
      <c r="I1655" t="s">
        <v>58</v>
      </c>
      <c r="J1655" t="s">
        <v>10074</v>
      </c>
      <c r="M1655">
        <v>75017</v>
      </c>
      <c r="N1655" t="s">
        <v>330</v>
      </c>
      <c r="O1655" t="s">
        <v>61</v>
      </c>
      <c r="Q1655">
        <v>677177731</v>
      </c>
      <c r="R1655" t="s">
        <v>10990</v>
      </c>
      <c r="S1655" t="s">
        <v>63</v>
      </c>
      <c r="T1655" t="s">
        <v>4584</v>
      </c>
      <c r="U1655" t="s">
        <v>65</v>
      </c>
      <c r="W1655" s="26">
        <v>45571</v>
      </c>
      <c r="X1655" t="s">
        <v>61</v>
      </c>
      <c r="Y1655" t="s">
        <v>237</v>
      </c>
    </row>
    <row r="1656" spans="1:25" x14ac:dyDescent="0.25">
      <c r="A1656" t="s">
        <v>10013</v>
      </c>
      <c r="B1656">
        <v>11</v>
      </c>
      <c r="C1656">
        <v>92</v>
      </c>
      <c r="D1656">
        <v>9088</v>
      </c>
      <c r="E1656" t="s">
        <v>1</v>
      </c>
      <c r="F1656" t="s">
        <v>91</v>
      </c>
      <c r="G1656" t="s">
        <v>10014</v>
      </c>
      <c r="H1656" s="26">
        <v>18818</v>
      </c>
      <c r="I1656" t="s">
        <v>58</v>
      </c>
      <c r="J1656" t="s">
        <v>10015</v>
      </c>
      <c r="M1656">
        <v>93400</v>
      </c>
      <c r="N1656" t="s">
        <v>9980</v>
      </c>
      <c r="O1656" t="s">
        <v>61</v>
      </c>
      <c r="Q1656">
        <v>681418463</v>
      </c>
      <c r="R1656" t="s">
        <v>10016</v>
      </c>
      <c r="S1656" t="s">
        <v>63</v>
      </c>
      <c r="T1656" t="s">
        <v>4584</v>
      </c>
      <c r="U1656" t="s">
        <v>65</v>
      </c>
      <c r="W1656" s="26">
        <v>45571</v>
      </c>
      <c r="X1656" t="s">
        <v>61</v>
      </c>
      <c r="Y1656" t="s">
        <v>237</v>
      </c>
    </row>
    <row r="1657" spans="1:25" x14ac:dyDescent="0.25">
      <c r="A1657" t="s">
        <v>10202</v>
      </c>
      <c r="B1657">
        <v>11</v>
      </c>
      <c r="C1657">
        <v>92</v>
      </c>
      <c r="D1657">
        <v>9088</v>
      </c>
      <c r="E1657" t="s">
        <v>1</v>
      </c>
      <c r="F1657" t="s">
        <v>183</v>
      </c>
      <c r="G1657" t="s">
        <v>10203</v>
      </c>
      <c r="H1657" s="26">
        <v>19031</v>
      </c>
      <c r="I1657" t="s">
        <v>58</v>
      </c>
      <c r="J1657" t="s">
        <v>10204</v>
      </c>
      <c r="M1657">
        <v>75008</v>
      </c>
      <c r="N1657" t="s">
        <v>330</v>
      </c>
      <c r="O1657" t="s">
        <v>61</v>
      </c>
      <c r="Q1657">
        <v>660841860</v>
      </c>
      <c r="R1657" t="s">
        <v>10205</v>
      </c>
      <c r="S1657" t="s">
        <v>63</v>
      </c>
      <c r="T1657" t="s">
        <v>4584</v>
      </c>
      <c r="U1657" t="s">
        <v>65</v>
      </c>
      <c r="W1657" s="26">
        <v>45571</v>
      </c>
      <c r="X1657" t="s">
        <v>61</v>
      </c>
      <c r="Y1657" t="s">
        <v>237</v>
      </c>
    </row>
    <row r="1658" spans="1:25" x14ac:dyDescent="0.25">
      <c r="A1658" t="s">
        <v>10017</v>
      </c>
      <c r="B1658">
        <v>11</v>
      </c>
      <c r="C1658">
        <v>78</v>
      </c>
      <c r="D1658">
        <v>9030</v>
      </c>
      <c r="E1658" t="s">
        <v>96</v>
      </c>
      <c r="F1658" t="s">
        <v>4625</v>
      </c>
      <c r="G1658" t="s">
        <v>10018</v>
      </c>
      <c r="H1658" s="26">
        <v>34025</v>
      </c>
      <c r="I1658" t="s">
        <v>58</v>
      </c>
      <c r="J1658" t="s">
        <v>10019</v>
      </c>
      <c r="M1658">
        <v>78330</v>
      </c>
      <c r="N1658" t="s">
        <v>1205</v>
      </c>
      <c r="O1658" t="s">
        <v>61</v>
      </c>
      <c r="Q1658">
        <v>612122019</v>
      </c>
      <c r="R1658" t="s">
        <v>10020</v>
      </c>
      <c r="S1658" t="s">
        <v>63</v>
      </c>
      <c r="T1658" t="s">
        <v>4584</v>
      </c>
      <c r="U1658" t="s">
        <v>486</v>
      </c>
      <c r="W1658" s="26">
        <v>45571</v>
      </c>
      <c r="X1658" t="s">
        <v>61</v>
      </c>
      <c r="Y1658" t="s">
        <v>237</v>
      </c>
    </row>
    <row r="1659" spans="1:25" x14ac:dyDescent="0.25">
      <c r="A1659" t="s">
        <v>10252</v>
      </c>
      <c r="B1659">
        <v>11</v>
      </c>
      <c r="C1659">
        <v>91</v>
      </c>
      <c r="D1659">
        <v>9082</v>
      </c>
      <c r="E1659" t="s">
        <v>67</v>
      </c>
      <c r="F1659" t="s">
        <v>10253</v>
      </c>
      <c r="G1659" t="s">
        <v>10254</v>
      </c>
      <c r="H1659" s="26">
        <v>29129</v>
      </c>
      <c r="I1659" t="s">
        <v>58</v>
      </c>
      <c r="J1659" t="s">
        <v>10255</v>
      </c>
      <c r="M1659">
        <v>91270</v>
      </c>
      <c r="N1659" t="s">
        <v>9136</v>
      </c>
      <c r="O1659" t="s">
        <v>61</v>
      </c>
      <c r="Q1659">
        <v>612636595</v>
      </c>
      <c r="R1659" t="s">
        <v>10256</v>
      </c>
      <c r="S1659" t="s">
        <v>63</v>
      </c>
      <c r="T1659" t="s">
        <v>4584</v>
      </c>
      <c r="U1659" t="s">
        <v>486</v>
      </c>
      <c r="W1659" s="26">
        <v>45572</v>
      </c>
      <c r="X1659" t="s">
        <v>61</v>
      </c>
      <c r="Y1659" t="s">
        <v>237</v>
      </c>
    </row>
    <row r="1660" spans="1:25" x14ac:dyDescent="0.25">
      <c r="A1660" t="s">
        <v>10257</v>
      </c>
      <c r="B1660">
        <v>11</v>
      </c>
      <c r="C1660">
        <v>94</v>
      </c>
      <c r="D1660">
        <v>9024</v>
      </c>
      <c r="E1660" t="s">
        <v>4</v>
      </c>
      <c r="F1660" t="s">
        <v>189</v>
      </c>
      <c r="G1660" t="s">
        <v>10258</v>
      </c>
      <c r="H1660" s="26">
        <v>20890</v>
      </c>
      <c r="I1660" t="s">
        <v>58</v>
      </c>
      <c r="J1660" t="s">
        <v>10259</v>
      </c>
      <c r="M1660">
        <v>94100</v>
      </c>
      <c r="N1660" t="s">
        <v>971</v>
      </c>
      <c r="O1660" t="s">
        <v>61</v>
      </c>
      <c r="Q1660">
        <v>631913164</v>
      </c>
      <c r="R1660" t="s">
        <v>10260</v>
      </c>
      <c r="S1660" t="s">
        <v>63</v>
      </c>
      <c r="T1660" t="s">
        <v>4584</v>
      </c>
      <c r="U1660" t="s">
        <v>65</v>
      </c>
      <c r="W1660" s="26">
        <v>45572</v>
      </c>
      <c r="X1660" t="s">
        <v>61</v>
      </c>
      <c r="Y1660" t="s">
        <v>237</v>
      </c>
    </row>
    <row r="1661" spans="1:25" x14ac:dyDescent="0.25">
      <c r="A1661" t="s">
        <v>10991</v>
      </c>
      <c r="B1661">
        <v>11</v>
      </c>
      <c r="C1661">
        <v>92</v>
      </c>
      <c r="D1661">
        <v>9088</v>
      </c>
      <c r="E1661" t="s">
        <v>1</v>
      </c>
      <c r="F1661" t="s">
        <v>10992</v>
      </c>
      <c r="G1661" t="s">
        <v>10993</v>
      </c>
      <c r="H1661" s="26">
        <v>39641</v>
      </c>
      <c r="I1661" t="s">
        <v>16</v>
      </c>
      <c r="J1661" t="s">
        <v>10994</v>
      </c>
      <c r="M1661">
        <v>92110</v>
      </c>
      <c r="N1661" t="s">
        <v>135</v>
      </c>
      <c r="O1661" t="s">
        <v>61</v>
      </c>
      <c r="Q1661">
        <v>623223284</v>
      </c>
      <c r="R1661" t="s">
        <v>10995</v>
      </c>
      <c r="S1661" t="s">
        <v>63</v>
      </c>
      <c r="T1661" t="s">
        <v>4616</v>
      </c>
      <c r="U1661" t="s">
        <v>65</v>
      </c>
      <c r="W1661" s="26">
        <v>45573</v>
      </c>
      <c r="X1661" t="s">
        <v>61</v>
      </c>
      <c r="Y1661" t="s">
        <v>237</v>
      </c>
    </row>
    <row r="1662" spans="1:25" x14ac:dyDescent="0.25">
      <c r="A1662" t="s">
        <v>10996</v>
      </c>
      <c r="B1662">
        <v>11</v>
      </c>
      <c r="C1662">
        <v>94</v>
      </c>
      <c r="D1662">
        <v>9031</v>
      </c>
      <c r="E1662" t="s">
        <v>7</v>
      </c>
      <c r="F1662" t="s">
        <v>312</v>
      </c>
      <c r="G1662" t="s">
        <v>10997</v>
      </c>
      <c r="H1662" s="26">
        <v>21246</v>
      </c>
      <c r="I1662" t="s">
        <v>58</v>
      </c>
      <c r="J1662" t="s">
        <v>10998</v>
      </c>
      <c r="M1662">
        <v>94140</v>
      </c>
      <c r="N1662" t="s">
        <v>10709</v>
      </c>
      <c r="O1662" t="s">
        <v>61</v>
      </c>
      <c r="Q1662">
        <v>678225810</v>
      </c>
      <c r="R1662" t="s">
        <v>10999</v>
      </c>
      <c r="S1662" t="s">
        <v>63</v>
      </c>
      <c r="T1662" t="s">
        <v>4584</v>
      </c>
      <c r="U1662" t="s">
        <v>65</v>
      </c>
      <c r="W1662" s="26">
        <v>45573</v>
      </c>
      <c r="X1662" t="s">
        <v>61</v>
      </c>
      <c r="Y1662" t="s">
        <v>237</v>
      </c>
    </row>
    <row r="1663" spans="1:25" x14ac:dyDescent="0.25">
      <c r="A1663" t="s">
        <v>11000</v>
      </c>
      <c r="B1663">
        <v>11</v>
      </c>
      <c r="C1663">
        <v>94</v>
      </c>
      <c r="D1663">
        <v>9045</v>
      </c>
      <c r="E1663" t="s">
        <v>1234</v>
      </c>
      <c r="F1663" t="s">
        <v>312</v>
      </c>
      <c r="G1663" t="s">
        <v>4018</v>
      </c>
      <c r="H1663" s="26">
        <v>30701</v>
      </c>
      <c r="I1663" t="s">
        <v>58</v>
      </c>
      <c r="J1663" t="s">
        <v>11001</v>
      </c>
      <c r="M1663">
        <v>75013</v>
      </c>
      <c r="N1663" t="s">
        <v>330</v>
      </c>
      <c r="O1663" t="s">
        <v>61</v>
      </c>
      <c r="Q1663">
        <v>687746764</v>
      </c>
      <c r="R1663" t="s">
        <v>11002</v>
      </c>
      <c r="S1663" t="s">
        <v>63</v>
      </c>
      <c r="T1663" t="s">
        <v>4584</v>
      </c>
      <c r="U1663" t="s">
        <v>8684</v>
      </c>
      <c r="W1663" s="26">
        <v>45573</v>
      </c>
      <c r="X1663" t="s">
        <v>61</v>
      </c>
      <c r="Y1663" t="s">
        <v>237</v>
      </c>
    </row>
    <row r="1664" spans="1:25" x14ac:dyDescent="0.25">
      <c r="A1664" t="s">
        <v>11003</v>
      </c>
      <c r="B1664">
        <v>11</v>
      </c>
      <c r="C1664">
        <v>92</v>
      </c>
      <c r="D1664">
        <v>9007</v>
      </c>
      <c r="E1664" t="s">
        <v>121</v>
      </c>
      <c r="F1664" t="s">
        <v>12</v>
      </c>
      <c r="G1664" t="s">
        <v>11004</v>
      </c>
      <c r="H1664" s="26">
        <v>33364</v>
      </c>
      <c r="I1664" t="s">
        <v>58</v>
      </c>
      <c r="J1664" t="s">
        <v>11005</v>
      </c>
      <c r="M1664">
        <v>92270</v>
      </c>
      <c r="N1664" t="s">
        <v>796</v>
      </c>
      <c r="O1664" t="s">
        <v>61</v>
      </c>
      <c r="R1664" t="s">
        <v>11006</v>
      </c>
      <c r="S1664" t="s">
        <v>63</v>
      </c>
      <c r="T1664" t="s">
        <v>4584</v>
      </c>
      <c r="U1664" t="s">
        <v>486</v>
      </c>
      <c r="W1664" s="26">
        <v>45574</v>
      </c>
      <c r="X1664" t="s">
        <v>61</v>
      </c>
      <c r="Y1664" t="s">
        <v>237</v>
      </c>
    </row>
    <row r="1665" spans="1:25" x14ac:dyDescent="0.25">
      <c r="A1665" t="s">
        <v>11007</v>
      </c>
      <c r="B1665">
        <v>11</v>
      </c>
      <c r="C1665">
        <v>91</v>
      </c>
      <c r="D1665">
        <v>9096</v>
      </c>
      <c r="E1665" t="s">
        <v>526</v>
      </c>
      <c r="F1665" t="s">
        <v>137</v>
      </c>
      <c r="G1665" t="s">
        <v>8701</v>
      </c>
      <c r="H1665" s="26">
        <v>21588</v>
      </c>
      <c r="I1665" t="s">
        <v>58</v>
      </c>
      <c r="J1665" t="s">
        <v>11008</v>
      </c>
      <c r="M1665">
        <v>91580</v>
      </c>
      <c r="N1665" t="s">
        <v>528</v>
      </c>
      <c r="O1665" t="s">
        <v>61</v>
      </c>
      <c r="Q1665">
        <v>782819756</v>
      </c>
      <c r="R1665" t="s">
        <v>11009</v>
      </c>
      <c r="S1665" t="s">
        <v>63</v>
      </c>
      <c r="T1665" t="s">
        <v>4584</v>
      </c>
      <c r="U1665" t="s">
        <v>486</v>
      </c>
      <c r="W1665" s="26">
        <v>45574</v>
      </c>
      <c r="X1665" t="s">
        <v>61</v>
      </c>
      <c r="Y1665" t="s">
        <v>237</v>
      </c>
    </row>
    <row r="1666" spans="1:25" x14ac:dyDescent="0.25">
      <c r="A1666" t="s">
        <v>11010</v>
      </c>
      <c r="B1666">
        <v>11</v>
      </c>
      <c r="C1666">
        <v>91</v>
      </c>
      <c r="D1666">
        <v>9096</v>
      </c>
      <c r="E1666" t="s">
        <v>526</v>
      </c>
      <c r="F1666" t="s">
        <v>11011</v>
      </c>
      <c r="G1666" t="s">
        <v>11012</v>
      </c>
      <c r="H1666" s="26">
        <v>37643</v>
      </c>
      <c r="I1666" t="s">
        <v>58</v>
      </c>
      <c r="J1666" t="s">
        <v>11013</v>
      </c>
      <c r="M1666">
        <v>91580</v>
      </c>
      <c r="N1666" t="s">
        <v>528</v>
      </c>
      <c r="O1666" t="s">
        <v>61</v>
      </c>
      <c r="Q1666">
        <v>787479615</v>
      </c>
      <c r="R1666" t="s">
        <v>11014</v>
      </c>
      <c r="S1666" t="s">
        <v>63</v>
      </c>
      <c r="T1666" t="s">
        <v>4584</v>
      </c>
      <c r="U1666" t="s">
        <v>486</v>
      </c>
      <c r="W1666" s="26">
        <v>45574</v>
      </c>
      <c r="X1666" t="s">
        <v>61</v>
      </c>
      <c r="Y1666" t="s">
        <v>237</v>
      </c>
    </row>
    <row r="1667" spans="1:25" x14ac:dyDescent="0.25">
      <c r="A1667" t="s">
        <v>11015</v>
      </c>
      <c r="B1667">
        <v>11</v>
      </c>
      <c r="C1667">
        <v>91</v>
      </c>
      <c r="D1667">
        <v>9096</v>
      </c>
      <c r="E1667" t="s">
        <v>526</v>
      </c>
      <c r="F1667" t="s">
        <v>3716</v>
      </c>
      <c r="G1667" t="s">
        <v>11016</v>
      </c>
      <c r="H1667" s="26">
        <v>31793</v>
      </c>
      <c r="I1667" t="s">
        <v>58</v>
      </c>
      <c r="J1667" t="s">
        <v>11017</v>
      </c>
      <c r="M1667">
        <v>78730</v>
      </c>
      <c r="N1667" t="s">
        <v>11018</v>
      </c>
      <c r="O1667" t="s">
        <v>61</v>
      </c>
      <c r="Q1667">
        <v>614823432</v>
      </c>
      <c r="R1667" t="s">
        <v>11019</v>
      </c>
      <c r="S1667" t="s">
        <v>63</v>
      </c>
      <c r="T1667" t="s">
        <v>4584</v>
      </c>
      <c r="U1667" t="s">
        <v>486</v>
      </c>
      <c r="W1667" s="26">
        <v>45574</v>
      </c>
      <c r="X1667" t="s">
        <v>61</v>
      </c>
      <c r="Y1667" t="s">
        <v>237</v>
      </c>
    </row>
    <row r="1668" spans="1:25" x14ac:dyDescent="0.25">
      <c r="A1668" t="s">
        <v>11020</v>
      </c>
      <c r="B1668">
        <v>11</v>
      </c>
      <c r="C1668">
        <v>92</v>
      </c>
      <c r="D1668">
        <v>9065</v>
      </c>
      <c r="E1668" t="s">
        <v>426</v>
      </c>
      <c r="F1668" t="s">
        <v>687</v>
      </c>
      <c r="G1668" t="s">
        <v>11021</v>
      </c>
      <c r="H1668" s="26">
        <v>34859</v>
      </c>
      <c r="I1668" t="s">
        <v>58</v>
      </c>
      <c r="J1668" t="s">
        <v>11022</v>
      </c>
      <c r="M1668">
        <v>91000</v>
      </c>
      <c r="N1668" t="s">
        <v>743</v>
      </c>
      <c r="O1668" t="s">
        <v>61</v>
      </c>
      <c r="Q1668">
        <v>635907065</v>
      </c>
      <c r="R1668" t="s">
        <v>11023</v>
      </c>
      <c r="S1668" t="s">
        <v>63</v>
      </c>
      <c r="T1668" t="s">
        <v>4584</v>
      </c>
      <c r="U1668" t="s">
        <v>486</v>
      </c>
      <c r="W1668" s="26">
        <v>45574</v>
      </c>
      <c r="X1668" t="s">
        <v>61</v>
      </c>
      <c r="Y1668" t="s">
        <v>237</v>
      </c>
    </row>
    <row r="1669" spans="1:25" x14ac:dyDescent="0.25">
      <c r="A1669" t="s">
        <v>11024</v>
      </c>
      <c r="B1669">
        <v>11</v>
      </c>
      <c r="C1669">
        <v>92</v>
      </c>
      <c r="D1669">
        <v>9065</v>
      </c>
      <c r="E1669" t="s">
        <v>426</v>
      </c>
      <c r="F1669" t="s">
        <v>4661</v>
      </c>
      <c r="G1669" t="s">
        <v>11025</v>
      </c>
      <c r="H1669" s="26">
        <v>30073</v>
      </c>
      <c r="I1669" t="s">
        <v>58</v>
      </c>
      <c r="J1669" t="s">
        <v>11026</v>
      </c>
      <c r="M1669">
        <v>77400</v>
      </c>
      <c r="N1669" t="s">
        <v>843</v>
      </c>
      <c r="O1669" t="s">
        <v>61</v>
      </c>
      <c r="Q1669">
        <v>674208672</v>
      </c>
      <c r="R1669" t="s">
        <v>11027</v>
      </c>
      <c r="S1669" t="s">
        <v>63</v>
      </c>
      <c r="T1669" t="s">
        <v>4584</v>
      </c>
      <c r="U1669" t="s">
        <v>486</v>
      </c>
      <c r="W1669" s="26">
        <v>45574</v>
      </c>
      <c r="X1669" t="s">
        <v>61</v>
      </c>
      <c r="Y1669" t="s">
        <v>237</v>
      </c>
    </row>
    <row r="1670" spans="1:25" x14ac:dyDescent="0.25">
      <c r="A1670" t="s">
        <v>11028</v>
      </c>
      <c r="B1670">
        <v>11</v>
      </c>
      <c r="C1670">
        <v>78</v>
      </c>
      <c r="D1670">
        <v>9056</v>
      </c>
      <c r="E1670" t="s">
        <v>214</v>
      </c>
      <c r="F1670" t="s">
        <v>11029</v>
      </c>
      <c r="G1670" t="s">
        <v>11030</v>
      </c>
      <c r="H1670" s="26">
        <v>25605</v>
      </c>
      <c r="I1670" t="s">
        <v>58</v>
      </c>
      <c r="J1670" t="s">
        <v>11031</v>
      </c>
      <c r="M1670">
        <v>78000</v>
      </c>
      <c r="N1670" t="s">
        <v>1334</v>
      </c>
      <c r="O1670" t="s">
        <v>61</v>
      </c>
      <c r="Q1670">
        <v>686256185</v>
      </c>
      <c r="S1670" t="s">
        <v>63</v>
      </c>
      <c r="T1670" t="s">
        <v>4584</v>
      </c>
      <c r="U1670" t="s">
        <v>65</v>
      </c>
      <c r="W1670" s="26">
        <v>45575</v>
      </c>
      <c r="X1670" t="s">
        <v>61</v>
      </c>
      <c r="Y1670" t="s">
        <v>237</v>
      </c>
    </row>
    <row r="1671" spans="1:25" x14ac:dyDescent="0.25">
      <c r="A1671" t="s">
        <v>11032</v>
      </c>
      <c r="B1671">
        <v>11</v>
      </c>
      <c r="C1671">
        <v>78</v>
      </c>
      <c r="D1671">
        <v>9056</v>
      </c>
      <c r="E1671" t="s">
        <v>214</v>
      </c>
      <c r="F1671" t="s">
        <v>11033</v>
      </c>
      <c r="G1671" t="s">
        <v>11030</v>
      </c>
      <c r="H1671" s="26">
        <v>38832</v>
      </c>
      <c r="I1671" t="s">
        <v>58</v>
      </c>
      <c r="J1671" t="s">
        <v>11031</v>
      </c>
      <c r="M1671">
        <v>78000</v>
      </c>
      <c r="N1671" t="s">
        <v>1334</v>
      </c>
      <c r="O1671" t="s">
        <v>61</v>
      </c>
      <c r="Q1671">
        <v>652429271</v>
      </c>
      <c r="R1671" t="s">
        <v>11034</v>
      </c>
      <c r="S1671" t="s">
        <v>63</v>
      </c>
      <c r="T1671" t="s">
        <v>4616</v>
      </c>
      <c r="U1671" t="s">
        <v>65</v>
      </c>
      <c r="W1671" s="26">
        <v>45575</v>
      </c>
      <c r="X1671" t="s">
        <v>61</v>
      </c>
      <c r="Y1671" t="s">
        <v>237</v>
      </c>
    </row>
    <row r="1672" spans="1:25" x14ac:dyDescent="0.25">
      <c r="A1672" t="s">
        <v>11035</v>
      </c>
      <c r="B1672">
        <v>11</v>
      </c>
      <c r="C1672">
        <v>94</v>
      </c>
      <c r="D1672">
        <v>9024</v>
      </c>
      <c r="E1672" t="s">
        <v>4</v>
      </c>
      <c r="F1672" t="s">
        <v>2391</v>
      </c>
      <c r="G1672" t="s">
        <v>10258</v>
      </c>
      <c r="H1672" s="26">
        <v>22344</v>
      </c>
      <c r="I1672" t="s">
        <v>16</v>
      </c>
      <c r="J1672" t="s">
        <v>10259</v>
      </c>
      <c r="M1672">
        <v>94100</v>
      </c>
      <c r="N1672" t="s">
        <v>971</v>
      </c>
      <c r="O1672" t="s">
        <v>61</v>
      </c>
      <c r="Q1672">
        <v>681372421</v>
      </c>
      <c r="R1672" t="s">
        <v>11036</v>
      </c>
      <c r="S1672" t="s">
        <v>63</v>
      </c>
      <c r="T1672" t="s">
        <v>4584</v>
      </c>
      <c r="U1672" t="s">
        <v>65</v>
      </c>
      <c r="W1672" s="26">
        <v>45575</v>
      </c>
      <c r="X1672" t="s">
        <v>61</v>
      </c>
      <c r="Y1672" t="s">
        <v>237</v>
      </c>
    </row>
    <row r="1673" spans="1:25" x14ac:dyDescent="0.25">
      <c r="A1673" t="s">
        <v>11037</v>
      </c>
      <c r="B1673">
        <v>11</v>
      </c>
      <c r="C1673">
        <v>91</v>
      </c>
      <c r="D1673">
        <v>9096</v>
      </c>
      <c r="E1673" t="s">
        <v>526</v>
      </c>
      <c r="F1673" t="s">
        <v>916</v>
      </c>
      <c r="G1673" t="s">
        <v>11038</v>
      </c>
      <c r="H1673" s="26">
        <v>26682</v>
      </c>
      <c r="I1673" t="s">
        <v>58</v>
      </c>
      <c r="J1673" t="s">
        <v>11039</v>
      </c>
      <c r="M1673">
        <v>91730</v>
      </c>
      <c r="N1673" t="s">
        <v>11040</v>
      </c>
      <c r="O1673" t="s">
        <v>61</v>
      </c>
      <c r="Q1673">
        <v>605049913</v>
      </c>
      <c r="R1673" t="s">
        <v>11041</v>
      </c>
      <c r="S1673" t="s">
        <v>63</v>
      </c>
      <c r="T1673" t="s">
        <v>4584</v>
      </c>
      <c r="U1673" t="s">
        <v>486</v>
      </c>
      <c r="W1673" s="26">
        <v>45575</v>
      </c>
      <c r="X1673" t="s">
        <v>61</v>
      </c>
      <c r="Y1673" t="s">
        <v>237</v>
      </c>
    </row>
    <row r="1674" spans="1:25" x14ac:dyDescent="0.25">
      <c r="A1674" t="s">
        <v>11042</v>
      </c>
      <c r="B1674">
        <v>11</v>
      </c>
      <c r="C1674">
        <v>77</v>
      </c>
      <c r="D1674">
        <v>9026</v>
      </c>
      <c r="E1674" t="s">
        <v>508</v>
      </c>
      <c r="F1674" t="s">
        <v>1178</v>
      </c>
      <c r="G1674" t="s">
        <v>11043</v>
      </c>
      <c r="H1674" s="26">
        <v>24826</v>
      </c>
      <c r="I1674" t="s">
        <v>58</v>
      </c>
      <c r="J1674" t="s">
        <v>11044</v>
      </c>
      <c r="M1674">
        <v>77170</v>
      </c>
      <c r="N1674" t="s">
        <v>281</v>
      </c>
      <c r="O1674" t="s">
        <v>61</v>
      </c>
      <c r="R1674" t="s">
        <v>11045</v>
      </c>
      <c r="S1674" t="s">
        <v>237</v>
      </c>
      <c r="T1674" t="s">
        <v>4584</v>
      </c>
      <c r="U1674" t="s">
        <v>65</v>
      </c>
      <c r="W1674" s="26">
        <v>45576</v>
      </c>
      <c r="X1674" t="s">
        <v>61</v>
      </c>
      <c r="Y1674" t="s">
        <v>237</v>
      </c>
    </row>
    <row r="1675" spans="1:25" x14ac:dyDescent="0.25">
      <c r="A1675" t="s">
        <v>11046</v>
      </c>
      <c r="B1675">
        <v>11</v>
      </c>
      <c r="C1675">
        <v>92</v>
      </c>
      <c r="D1675">
        <v>9065</v>
      </c>
      <c r="E1675" t="s">
        <v>426</v>
      </c>
      <c r="F1675" t="s">
        <v>11047</v>
      </c>
      <c r="G1675" t="s">
        <v>11048</v>
      </c>
      <c r="H1675" s="26">
        <v>31251</v>
      </c>
      <c r="I1675" t="s">
        <v>58</v>
      </c>
      <c r="J1675" t="s">
        <v>11049</v>
      </c>
      <c r="M1675">
        <v>91420</v>
      </c>
      <c r="N1675" t="s">
        <v>1675</v>
      </c>
      <c r="O1675" t="s">
        <v>61</v>
      </c>
      <c r="Q1675">
        <v>637672284</v>
      </c>
      <c r="R1675" t="s">
        <v>11050</v>
      </c>
      <c r="S1675" t="s">
        <v>63</v>
      </c>
      <c r="T1675" t="s">
        <v>4584</v>
      </c>
      <c r="U1675" t="s">
        <v>486</v>
      </c>
      <c r="W1675" s="26">
        <v>45576</v>
      </c>
      <c r="X1675" t="s">
        <v>61</v>
      </c>
      <c r="Y1675" t="s">
        <v>237</v>
      </c>
    </row>
    <row r="1676" spans="1:25" x14ac:dyDescent="0.25">
      <c r="A1676" t="s">
        <v>11051</v>
      </c>
      <c r="B1676">
        <v>11</v>
      </c>
      <c r="C1676">
        <v>92</v>
      </c>
      <c r="D1676">
        <v>9065</v>
      </c>
      <c r="E1676" t="s">
        <v>426</v>
      </c>
      <c r="F1676" t="s">
        <v>11052</v>
      </c>
      <c r="G1676" t="s">
        <v>11053</v>
      </c>
      <c r="H1676" s="26">
        <v>30555</v>
      </c>
      <c r="I1676" t="s">
        <v>58</v>
      </c>
      <c r="J1676" t="s">
        <v>9403</v>
      </c>
      <c r="M1676">
        <v>91170</v>
      </c>
      <c r="N1676" t="s">
        <v>1836</v>
      </c>
      <c r="O1676" t="s">
        <v>61</v>
      </c>
      <c r="Q1676">
        <v>769622808</v>
      </c>
      <c r="R1676" t="s">
        <v>11054</v>
      </c>
      <c r="S1676" t="s">
        <v>63</v>
      </c>
      <c r="T1676" t="s">
        <v>4584</v>
      </c>
      <c r="U1676" t="s">
        <v>486</v>
      </c>
      <c r="W1676" s="26">
        <v>45576</v>
      </c>
      <c r="X1676" t="s">
        <v>61</v>
      </c>
      <c r="Y1676" t="s">
        <v>237</v>
      </c>
    </row>
    <row r="1677" spans="1:25" x14ac:dyDescent="0.25">
      <c r="A1677" t="s">
        <v>11055</v>
      </c>
      <c r="B1677">
        <v>11</v>
      </c>
      <c r="C1677">
        <v>91</v>
      </c>
      <c r="D1677">
        <v>9096</v>
      </c>
      <c r="E1677" t="s">
        <v>526</v>
      </c>
      <c r="F1677" t="s">
        <v>100</v>
      </c>
      <c r="G1677" t="s">
        <v>11056</v>
      </c>
      <c r="H1677" s="26">
        <v>23263</v>
      </c>
      <c r="I1677" t="s">
        <v>58</v>
      </c>
      <c r="J1677" t="s">
        <v>11057</v>
      </c>
      <c r="M1677">
        <v>91580</v>
      </c>
      <c r="N1677" t="s">
        <v>528</v>
      </c>
      <c r="O1677" t="s">
        <v>61</v>
      </c>
      <c r="Q1677">
        <v>624255204</v>
      </c>
      <c r="R1677" t="s">
        <v>11058</v>
      </c>
      <c r="S1677" t="s">
        <v>63</v>
      </c>
      <c r="T1677" t="s">
        <v>4584</v>
      </c>
      <c r="U1677" t="s">
        <v>65</v>
      </c>
      <c r="W1677" s="26">
        <v>45577</v>
      </c>
      <c r="X1677" t="s">
        <v>61</v>
      </c>
      <c r="Y1677" t="s">
        <v>237</v>
      </c>
    </row>
    <row r="1678" spans="1:25" x14ac:dyDescent="0.25">
      <c r="A1678" t="s">
        <v>11059</v>
      </c>
      <c r="B1678">
        <v>11</v>
      </c>
      <c r="C1678">
        <v>91</v>
      </c>
      <c r="D1678">
        <v>9096</v>
      </c>
      <c r="E1678" t="s">
        <v>526</v>
      </c>
      <c r="F1678" t="s">
        <v>289</v>
      </c>
      <c r="G1678" t="s">
        <v>11060</v>
      </c>
      <c r="H1678" s="26">
        <v>20754</v>
      </c>
      <c r="I1678" t="s">
        <v>58</v>
      </c>
      <c r="J1678" t="s">
        <v>11061</v>
      </c>
      <c r="M1678">
        <v>91580</v>
      </c>
      <c r="N1678" t="s">
        <v>528</v>
      </c>
      <c r="O1678" t="s">
        <v>61</v>
      </c>
      <c r="Q1678">
        <v>621116610</v>
      </c>
      <c r="R1678" t="s">
        <v>11062</v>
      </c>
      <c r="S1678" t="s">
        <v>63</v>
      </c>
      <c r="T1678" t="s">
        <v>4584</v>
      </c>
      <c r="U1678" t="s">
        <v>65</v>
      </c>
      <c r="W1678" s="26">
        <v>45577</v>
      </c>
      <c r="X1678" t="s">
        <v>61</v>
      </c>
      <c r="Y1678" t="s">
        <v>237</v>
      </c>
    </row>
    <row r="1679" spans="1:25" x14ac:dyDescent="0.25">
      <c r="A1679" t="s">
        <v>11063</v>
      </c>
      <c r="B1679">
        <v>11</v>
      </c>
      <c r="C1679">
        <v>91</v>
      </c>
      <c r="D1679">
        <v>9025</v>
      </c>
      <c r="E1679" t="s">
        <v>188</v>
      </c>
      <c r="F1679" t="s">
        <v>1782</v>
      </c>
      <c r="G1679" t="s">
        <v>11064</v>
      </c>
      <c r="H1679" s="26">
        <v>28135</v>
      </c>
      <c r="I1679" t="s">
        <v>16</v>
      </c>
      <c r="J1679" t="s">
        <v>11065</v>
      </c>
      <c r="M1679">
        <v>91100</v>
      </c>
      <c r="N1679" t="s">
        <v>1427</v>
      </c>
      <c r="O1679" t="s">
        <v>61</v>
      </c>
      <c r="Q1679">
        <v>781245653</v>
      </c>
      <c r="R1679" t="s">
        <v>11066</v>
      </c>
      <c r="S1679" t="s">
        <v>63</v>
      </c>
      <c r="T1679" t="s">
        <v>4584</v>
      </c>
      <c r="U1679" t="s">
        <v>486</v>
      </c>
      <c r="W1679" s="26">
        <v>45577</v>
      </c>
      <c r="X1679" t="s">
        <v>4153</v>
      </c>
      <c r="Y1679" t="s">
        <v>237</v>
      </c>
    </row>
    <row r="1680" spans="1:25" x14ac:dyDescent="0.25">
      <c r="A1680" t="s">
        <v>11067</v>
      </c>
      <c r="B1680">
        <v>11</v>
      </c>
      <c r="C1680">
        <v>91</v>
      </c>
      <c r="D1680">
        <v>9025</v>
      </c>
      <c r="E1680" t="s">
        <v>188</v>
      </c>
      <c r="F1680" t="s">
        <v>11068</v>
      </c>
      <c r="G1680" t="s">
        <v>11069</v>
      </c>
      <c r="H1680" s="26">
        <v>42675</v>
      </c>
      <c r="I1680" t="s">
        <v>16</v>
      </c>
      <c r="J1680" t="s">
        <v>11065</v>
      </c>
      <c r="M1680">
        <v>91100</v>
      </c>
      <c r="N1680" t="s">
        <v>1427</v>
      </c>
      <c r="O1680" t="s">
        <v>61</v>
      </c>
      <c r="S1680" t="s">
        <v>63</v>
      </c>
      <c r="T1680" t="s">
        <v>4616</v>
      </c>
      <c r="U1680" t="s">
        <v>486</v>
      </c>
      <c r="W1680" s="26">
        <v>45577</v>
      </c>
      <c r="X1680" t="s">
        <v>61</v>
      </c>
      <c r="Y1680" t="s">
        <v>237</v>
      </c>
    </row>
    <row r="1681" spans="1:25" x14ac:dyDescent="0.25">
      <c r="A1681" t="s">
        <v>11070</v>
      </c>
      <c r="B1681">
        <v>11</v>
      </c>
      <c r="C1681">
        <v>78</v>
      </c>
      <c r="D1681">
        <v>9016</v>
      </c>
      <c r="E1681" t="s">
        <v>362</v>
      </c>
      <c r="F1681" t="s">
        <v>629</v>
      </c>
      <c r="G1681" t="s">
        <v>11071</v>
      </c>
      <c r="H1681" s="26">
        <v>37144</v>
      </c>
      <c r="I1681" t="s">
        <v>58</v>
      </c>
      <c r="J1681" t="s">
        <v>11072</v>
      </c>
      <c r="M1681">
        <v>78440</v>
      </c>
      <c r="N1681" t="s">
        <v>11073</v>
      </c>
      <c r="O1681" t="s">
        <v>61</v>
      </c>
      <c r="Q1681">
        <v>651422593</v>
      </c>
      <c r="R1681" t="s">
        <v>11074</v>
      </c>
      <c r="S1681" t="s">
        <v>63</v>
      </c>
      <c r="T1681" t="s">
        <v>4584</v>
      </c>
      <c r="U1681" t="s">
        <v>65</v>
      </c>
      <c r="W1681" s="26">
        <v>45579</v>
      </c>
      <c r="X1681" t="s">
        <v>61</v>
      </c>
      <c r="Y1681" t="s">
        <v>237</v>
      </c>
    </row>
    <row r="1682" spans="1:25" x14ac:dyDescent="0.25">
      <c r="A1682" t="s">
        <v>11075</v>
      </c>
      <c r="B1682">
        <v>11</v>
      </c>
      <c r="C1682">
        <v>92</v>
      </c>
      <c r="D1682">
        <v>9068</v>
      </c>
      <c r="E1682" t="s">
        <v>119</v>
      </c>
      <c r="F1682" t="s">
        <v>11076</v>
      </c>
      <c r="G1682" t="s">
        <v>11077</v>
      </c>
      <c r="H1682" s="26">
        <v>42696</v>
      </c>
      <c r="I1682" t="s">
        <v>16</v>
      </c>
      <c r="J1682" t="s">
        <v>10972</v>
      </c>
      <c r="M1682">
        <v>92320</v>
      </c>
      <c r="N1682" t="s">
        <v>228</v>
      </c>
      <c r="O1682" t="s">
        <v>61</v>
      </c>
      <c r="Q1682">
        <v>751416890</v>
      </c>
      <c r="R1682" t="s">
        <v>10973</v>
      </c>
      <c r="S1682" t="s">
        <v>63</v>
      </c>
      <c r="T1682" t="s">
        <v>4616</v>
      </c>
      <c r="U1682" t="s">
        <v>65</v>
      </c>
      <c r="W1682" s="26">
        <v>45579</v>
      </c>
      <c r="X1682" t="s">
        <v>61</v>
      </c>
      <c r="Y1682" t="s">
        <v>237</v>
      </c>
    </row>
    <row r="1683" spans="1:25" x14ac:dyDescent="0.25">
      <c r="A1683" t="s">
        <v>11078</v>
      </c>
      <c r="B1683">
        <v>11</v>
      </c>
      <c r="C1683">
        <v>77</v>
      </c>
      <c r="D1683">
        <v>9049</v>
      </c>
      <c r="E1683" t="s">
        <v>902</v>
      </c>
      <c r="F1683" t="s">
        <v>11079</v>
      </c>
      <c r="G1683" t="s">
        <v>11080</v>
      </c>
      <c r="H1683" s="26">
        <v>23313</v>
      </c>
      <c r="I1683" t="s">
        <v>16</v>
      </c>
      <c r="J1683" t="s">
        <v>10748</v>
      </c>
      <c r="M1683">
        <v>77260</v>
      </c>
      <c r="N1683" t="s">
        <v>5212</v>
      </c>
      <c r="O1683" t="s">
        <v>61</v>
      </c>
      <c r="P1683">
        <v>676339514</v>
      </c>
      <c r="R1683" t="s">
        <v>11081</v>
      </c>
      <c r="S1683" t="s">
        <v>63</v>
      </c>
      <c r="T1683" t="s">
        <v>4584</v>
      </c>
      <c r="U1683" t="s">
        <v>65</v>
      </c>
      <c r="W1683" s="26">
        <v>45579</v>
      </c>
      <c r="X1683" t="s">
        <v>61</v>
      </c>
      <c r="Y1683" t="s">
        <v>237</v>
      </c>
    </row>
    <row r="1684" spans="1:25" x14ac:dyDescent="0.25">
      <c r="A1684" t="s">
        <v>11082</v>
      </c>
      <c r="B1684">
        <v>11</v>
      </c>
      <c r="C1684">
        <v>77</v>
      </c>
      <c r="D1684">
        <v>9049</v>
      </c>
      <c r="E1684" t="s">
        <v>902</v>
      </c>
      <c r="F1684" t="s">
        <v>11083</v>
      </c>
      <c r="G1684" t="s">
        <v>11084</v>
      </c>
      <c r="H1684" s="26">
        <v>22918</v>
      </c>
      <c r="I1684" t="s">
        <v>16</v>
      </c>
      <c r="J1684" t="s">
        <v>11085</v>
      </c>
      <c r="M1684">
        <v>77730</v>
      </c>
      <c r="N1684" t="s">
        <v>1827</v>
      </c>
      <c r="O1684" t="s">
        <v>61</v>
      </c>
      <c r="Q1684">
        <v>680025077</v>
      </c>
      <c r="R1684" t="s">
        <v>11376</v>
      </c>
      <c r="S1684" t="s">
        <v>63</v>
      </c>
      <c r="T1684" t="s">
        <v>4584</v>
      </c>
      <c r="U1684" t="s">
        <v>65</v>
      </c>
      <c r="W1684" s="26">
        <v>45579</v>
      </c>
      <c r="X1684" t="s">
        <v>61</v>
      </c>
      <c r="Y1684" t="s">
        <v>237</v>
      </c>
    </row>
    <row r="1685" spans="1:25" x14ac:dyDescent="0.25">
      <c r="A1685" t="s">
        <v>11086</v>
      </c>
      <c r="B1685">
        <v>11</v>
      </c>
      <c r="C1685">
        <v>78</v>
      </c>
      <c r="D1685">
        <v>9056</v>
      </c>
      <c r="E1685" t="s">
        <v>214</v>
      </c>
      <c r="F1685" t="s">
        <v>289</v>
      </c>
      <c r="G1685" t="s">
        <v>11087</v>
      </c>
      <c r="H1685" s="26">
        <v>21690</v>
      </c>
      <c r="I1685" t="s">
        <v>58</v>
      </c>
      <c r="J1685" t="s">
        <v>11088</v>
      </c>
      <c r="M1685">
        <v>78000</v>
      </c>
      <c r="N1685" t="s">
        <v>1334</v>
      </c>
      <c r="O1685" t="s">
        <v>61</v>
      </c>
      <c r="Q1685">
        <v>626115728</v>
      </c>
      <c r="R1685" t="s">
        <v>11089</v>
      </c>
      <c r="S1685" t="s">
        <v>63</v>
      </c>
      <c r="T1685" t="s">
        <v>4584</v>
      </c>
      <c r="U1685" t="s">
        <v>65</v>
      </c>
      <c r="W1685" s="26">
        <v>45580</v>
      </c>
      <c r="X1685" t="s">
        <v>61</v>
      </c>
      <c r="Y1685" t="s">
        <v>237</v>
      </c>
    </row>
    <row r="1686" spans="1:25" x14ac:dyDescent="0.25">
      <c r="A1686" t="s">
        <v>11090</v>
      </c>
      <c r="B1686">
        <v>11</v>
      </c>
      <c r="C1686">
        <v>77</v>
      </c>
      <c r="D1686">
        <v>9021</v>
      </c>
      <c r="E1686" t="s">
        <v>229</v>
      </c>
      <c r="F1686" t="s">
        <v>100</v>
      </c>
      <c r="G1686" t="s">
        <v>11091</v>
      </c>
      <c r="H1686" s="26">
        <v>17843</v>
      </c>
      <c r="I1686" t="s">
        <v>58</v>
      </c>
      <c r="J1686" t="s">
        <v>11092</v>
      </c>
      <c r="M1686">
        <v>77300</v>
      </c>
      <c r="N1686" t="s">
        <v>1022</v>
      </c>
      <c r="O1686" t="s">
        <v>61</v>
      </c>
      <c r="S1686" t="s">
        <v>237</v>
      </c>
      <c r="T1686" t="s">
        <v>4584</v>
      </c>
      <c r="U1686" t="s">
        <v>65</v>
      </c>
      <c r="W1686" s="26">
        <v>45580</v>
      </c>
      <c r="X1686" t="s">
        <v>61</v>
      </c>
      <c r="Y1686" t="s">
        <v>63</v>
      </c>
    </row>
    <row r="1687" spans="1:25" x14ac:dyDescent="0.25">
      <c r="A1687" t="s">
        <v>11093</v>
      </c>
      <c r="B1687">
        <v>11</v>
      </c>
      <c r="C1687">
        <v>92</v>
      </c>
      <c r="D1687">
        <v>9065</v>
      </c>
      <c r="E1687" t="s">
        <v>426</v>
      </c>
      <c r="F1687" t="s">
        <v>11094</v>
      </c>
      <c r="G1687" t="s">
        <v>11095</v>
      </c>
      <c r="H1687" s="26">
        <v>35211</v>
      </c>
      <c r="I1687" t="s">
        <v>58</v>
      </c>
      <c r="J1687" t="s">
        <v>11096</v>
      </c>
      <c r="M1687">
        <v>94110</v>
      </c>
      <c r="N1687" t="s">
        <v>9501</v>
      </c>
      <c r="O1687" t="s">
        <v>61</v>
      </c>
      <c r="Q1687">
        <v>769357303</v>
      </c>
      <c r="R1687" t="s">
        <v>11097</v>
      </c>
      <c r="S1687" t="s">
        <v>63</v>
      </c>
      <c r="T1687" t="s">
        <v>4584</v>
      </c>
      <c r="U1687" t="s">
        <v>486</v>
      </c>
      <c r="W1687" s="26">
        <v>45580</v>
      </c>
      <c r="X1687" t="s">
        <v>2726</v>
      </c>
      <c r="Y1687" t="s">
        <v>237</v>
      </c>
    </row>
    <row r="1688" spans="1:25" x14ac:dyDescent="0.25">
      <c r="A1688" t="s">
        <v>11098</v>
      </c>
      <c r="B1688">
        <v>11</v>
      </c>
      <c r="C1688">
        <v>92</v>
      </c>
      <c r="D1688">
        <v>9065</v>
      </c>
      <c r="E1688" t="s">
        <v>426</v>
      </c>
      <c r="F1688" t="s">
        <v>11099</v>
      </c>
      <c r="G1688" t="s">
        <v>11100</v>
      </c>
      <c r="H1688" s="26">
        <v>34360</v>
      </c>
      <c r="I1688" t="s">
        <v>58</v>
      </c>
      <c r="J1688" t="s">
        <v>11101</v>
      </c>
      <c r="M1688">
        <v>94230</v>
      </c>
      <c r="N1688" t="s">
        <v>1236</v>
      </c>
      <c r="O1688" t="s">
        <v>61</v>
      </c>
      <c r="Q1688">
        <v>664388438</v>
      </c>
      <c r="R1688" t="s">
        <v>11102</v>
      </c>
      <c r="S1688" t="s">
        <v>63</v>
      </c>
      <c r="T1688" t="s">
        <v>4584</v>
      </c>
      <c r="U1688" t="s">
        <v>486</v>
      </c>
      <c r="W1688" s="26">
        <v>45580</v>
      </c>
      <c r="X1688" t="s">
        <v>2726</v>
      </c>
      <c r="Y1688" t="s">
        <v>237</v>
      </c>
    </row>
    <row r="1689" spans="1:25" x14ac:dyDescent="0.25">
      <c r="A1689" t="s">
        <v>11103</v>
      </c>
      <c r="B1689">
        <v>11</v>
      </c>
      <c r="C1689">
        <v>95</v>
      </c>
      <c r="D1689">
        <v>9033</v>
      </c>
      <c r="E1689" t="s">
        <v>500</v>
      </c>
      <c r="F1689" t="s">
        <v>723</v>
      </c>
      <c r="G1689" t="s">
        <v>11104</v>
      </c>
      <c r="H1689" s="26">
        <v>34954</v>
      </c>
      <c r="I1689" t="s">
        <v>58</v>
      </c>
      <c r="J1689" t="s">
        <v>11105</v>
      </c>
      <c r="M1689">
        <v>95500</v>
      </c>
      <c r="N1689" t="s">
        <v>2024</v>
      </c>
      <c r="O1689" t="s">
        <v>61</v>
      </c>
      <c r="Q1689">
        <v>643414129</v>
      </c>
      <c r="R1689" t="s">
        <v>11106</v>
      </c>
      <c r="S1689" t="s">
        <v>63</v>
      </c>
      <c r="T1689" t="s">
        <v>4584</v>
      </c>
      <c r="U1689" t="s">
        <v>8684</v>
      </c>
      <c r="W1689" s="26">
        <v>45580</v>
      </c>
      <c r="X1689" t="s">
        <v>61</v>
      </c>
      <c r="Y1689" t="s">
        <v>237</v>
      </c>
    </row>
    <row r="1690" spans="1:25" x14ac:dyDescent="0.25">
      <c r="A1690" t="s">
        <v>11107</v>
      </c>
      <c r="B1690">
        <v>11</v>
      </c>
      <c r="C1690">
        <v>94</v>
      </c>
      <c r="D1690">
        <v>9024</v>
      </c>
      <c r="E1690" t="s">
        <v>4</v>
      </c>
      <c r="F1690" t="s">
        <v>187</v>
      </c>
      <c r="G1690" t="s">
        <v>11108</v>
      </c>
      <c r="H1690" s="26">
        <v>16566</v>
      </c>
      <c r="I1690" t="s">
        <v>58</v>
      </c>
      <c r="J1690" t="s">
        <v>11109</v>
      </c>
      <c r="M1690">
        <v>94100</v>
      </c>
      <c r="N1690" t="s">
        <v>971</v>
      </c>
      <c r="O1690" t="s">
        <v>61</v>
      </c>
      <c r="Q1690">
        <v>660698828</v>
      </c>
      <c r="R1690" t="s">
        <v>11110</v>
      </c>
      <c r="S1690" t="s">
        <v>63</v>
      </c>
      <c r="T1690" t="s">
        <v>4584</v>
      </c>
      <c r="U1690" t="s">
        <v>65</v>
      </c>
      <c r="W1690" s="26">
        <v>45581</v>
      </c>
      <c r="X1690" t="s">
        <v>61</v>
      </c>
      <c r="Y1690" t="s">
        <v>237</v>
      </c>
    </row>
    <row r="1691" spans="1:25" x14ac:dyDescent="0.25">
      <c r="A1691" t="s">
        <v>11111</v>
      </c>
      <c r="B1691">
        <v>11</v>
      </c>
      <c r="C1691">
        <v>91</v>
      </c>
      <c r="D1691">
        <v>9095</v>
      </c>
      <c r="E1691" t="s">
        <v>113</v>
      </c>
      <c r="F1691" t="s">
        <v>143</v>
      </c>
      <c r="G1691" t="s">
        <v>11112</v>
      </c>
      <c r="H1691" s="26">
        <v>21360</v>
      </c>
      <c r="I1691" t="s">
        <v>58</v>
      </c>
      <c r="J1691" t="s">
        <v>11113</v>
      </c>
      <c r="M1691">
        <v>91650</v>
      </c>
      <c r="N1691" t="s">
        <v>3932</v>
      </c>
      <c r="O1691" t="s">
        <v>61</v>
      </c>
      <c r="Q1691">
        <v>659912853</v>
      </c>
      <c r="R1691" t="s">
        <v>11377</v>
      </c>
      <c r="S1691" t="s">
        <v>63</v>
      </c>
      <c r="T1691" t="s">
        <v>4584</v>
      </c>
      <c r="U1691" t="s">
        <v>65</v>
      </c>
      <c r="W1691" s="26">
        <v>45581</v>
      </c>
      <c r="X1691" t="s">
        <v>61</v>
      </c>
      <c r="Y1691" t="s">
        <v>237</v>
      </c>
    </row>
    <row r="1692" spans="1:25" x14ac:dyDescent="0.25">
      <c r="A1692" t="s">
        <v>11114</v>
      </c>
      <c r="B1692">
        <v>11</v>
      </c>
      <c r="C1692">
        <v>95</v>
      </c>
      <c r="D1692">
        <v>9010</v>
      </c>
      <c r="E1692" t="s">
        <v>6</v>
      </c>
      <c r="F1692" t="s">
        <v>11115</v>
      </c>
      <c r="G1692" t="s">
        <v>11116</v>
      </c>
      <c r="H1692" s="26">
        <v>34715</v>
      </c>
      <c r="I1692" t="s">
        <v>58</v>
      </c>
      <c r="J1692" t="s">
        <v>11117</v>
      </c>
      <c r="K1692" t="s">
        <v>11118</v>
      </c>
      <c r="M1692">
        <v>92400</v>
      </c>
      <c r="N1692" t="s">
        <v>478</v>
      </c>
      <c r="O1692" t="s">
        <v>61</v>
      </c>
      <c r="Q1692">
        <v>769415743</v>
      </c>
      <c r="R1692" t="s">
        <v>11119</v>
      </c>
      <c r="S1692" t="s">
        <v>63</v>
      </c>
      <c r="T1692" t="s">
        <v>4584</v>
      </c>
      <c r="U1692" t="s">
        <v>486</v>
      </c>
      <c r="W1692" s="26">
        <v>45581</v>
      </c>
      <c r="X1692" t="s">
        <v>2726</v>
      </c>
      <c r="Y1692" t="s">
        <v>237</v>
      </c>
    </row>
    <row r="1693" spans="1:25" x14ac:dyDescent="0.25">
      <c r="A1693" t="s">
        <v>11120</v>
      </c>
      <c r="B1693">
        <v>11</v>
      </c>
      <c r="C1693">
        <v>95</v>
      </c>
      <c r="D1693">
        <v>9010</v>
      </c>
      <c r="E1693" t="s">
        <v>6</v>
      </c>
      <c r="F1693" t="s">
        <v>11121</v>
      </c>
      <c r="G1693" t="s">
        <v>11122</v>
      </c>
      <c r="H1693" s="26">
        <v>37233</v>
      </c>
      <c r="I1693" t="s">
        <v>58</v>
      </c>
      <c r="J1693" t="s">
        <v>11123</v>
      </c>
      <c r="M1693">
        <v>95100</v>
      </c>
      <c r="N1693" t="s">
        <v>77</v>
      </c>
      <c r="O1693" t="s">
        <v>61</v>
      </c>
      <c r="Q1693">
        <v>685944785</v>
      </c>
      <c r="R1693" t="s">
        <v>11124</v>
      </c>
      <c r="S1693" t="s">
        <v>63</v>
      </c>
      <c r="T1693" t="s">
        <v>4584</v>
      </c>
      <c r="U1693" t="s">
        <v>1636</v>
      </c>
      <c r="W1693" s="26">
        <v>45581</v>
      </c>
      <c r="X1693" t="s">
        <v>1300</v>
      </c>
      <c r="Y1693" t="s">
        <v>237</v>
      </c>
    </row>
    <row r="1694" spans="1:25" x14ac:dyDescent="0.25">
      <c r="A1694" t="s">
        <v>11125</v>
      </c>
      <c r="B1694">
        <v>11</v>
      </c>
      <c r="C1694">
        <v>77</v>
      </c>
      <c r="D1694">
        <v>9059</v>
      </c>
      <c r="E1694" t="s">
        <v>197</v>
      </c>
      <c r="F1694" t="s">
        <v>457</v>
      </c>
      <c r="G1694" t="s">
        <v>11126</v>
      </c>
      <c r="H1694" s="26">
        <v>25113</v>
      </c>
      <c r="I1694" t="s">
        <v>58</v>
      </c>
      <c r="J1694" t="s">
        <v>11127</v>
      </c>
      <c r="M1694">
        <v>77184</v>
      </c>
      <c r="N1694" t="s">
        <v>11128</v>
      </c>
      <c r="O1694" t="s">
        <v>61</v>
      </c>
      <c r="R1694" t="s">
        <v>11129</v>
      </c>
      <c r="S1694" t="s">
        <v>63</v>
      </c>
      <c r="T1694" t="s">
        <v>4584</v>
      </c>
      <c r="U1694" t="s">
        <v>65</v>
      </c>
      <c r="W1694" s="26">
        <v>45582</v>
      </c>
      <c r="X1694" t="s">
        <v>61</v>
      </c>
      <c r="Y1694" t="s">
        <v>237</v>
      </c>
    </row>
    <row r="1695" spans="1:25" x14ac:dyDescent="0.25">
      <c r="A1695" t="s">
        <v>11130</v>
      </c>
      <c r="B1695">
        <v>11</v>
      </c>
      <c r="C1695">
        <v>77</v>
      </c>
      <c r="D1695">
        <v>9077</v>
      </c>
      <c r="E1695" t="s">
        <v>90</v>
      </c>
      <c r="F1695" t="s">
        <v>11131</v>
      </c>
      <c r="G1695" t="s">
        <v>11132</v>
      </c>
      <c r="H1695" s="26">
        <v>21032</v>
      </c>
      <c r="I1695" t="s">
        <v>58</v>
      </c>
      <c r="J1695" t="s">
        <v>11133</v>
      </c>
      <c r="M1695">
        <v>77450</v>
      </c>
      <c r="N1695" t="s">
        <v>1291</v>
      </c>
      <c r="O1695" t="s">
        <v>61</v>
      </c>
      <c r="Q1695">
        <v>645865843</v>
      </c>
      <c r="R1695" t="s">
        <v>11134</v>
      </c>
      <c r="S1695" t="s">
        <v>63</v>
      </c>
      <c r="T1695" t="s">
        <v>4584</v>
      </c>
      <c r="U1695" t="s">
        <v>65</v>
      </c>
      <c r="W1695" s="26">
        <v>45582</v>
      </c>
      <c r="X1695" t="s">
        <v>61</v>
      </c>
      <c r="Y1695" t="s">
        <v>237</v>
      </c>
    </row>
    <row r="1696" spans="1:25" x14ac:dyDescent="0.25">
      <c r="A1696" t="s">
        <v>11135</v>
      </c>
      <c r="B1696">
        <v>11</v>
      </c>
      <c r="C1696">
        <v>77</v>
      </c>
      <c r="D1696">
        <v>9049</v>
      </c>
      <c r="E1696" t="s">
        <v>902</v>
      </c>
      <c r="F1696" t="s">
        <v>10768</v>
      </c>
      <c r="G1696" t="s">
        <v>11136</v>
      </c>
      <c r="H1696" s="26">
        <v>24927</v>
      </c>
      <c r="I1696" t="s">
        <v>16</v>
      </c>
      <c r="J1696" t="s">
        <v>11137</v>
      </c>
      <c r="M1696">
        <v>77260</v>
      </c>
      <c r="N1696" t="s">
        <v>823</v>
      </c>
      <c r="O1696" t="s">
        <v>61</v>
      </c>
      <c r="Q1696">
        <v>662254065</v>
      </c>
      <c r="R1696" t="s">
        <v>11138</v>
      </c>
      <c r="S1696" t="s">
        <v>63</v>
      </c>
      <c r="T1696" t="s">
        <v>4584</v>
      </c>
      <c r="U1696" t="s">
        <v>65</v>
      </c>
      <c r="W1696" s="26">
        <v>45582</v>
      </c>
      <c r="X1696" t="s">
        <v>61</v>
      </c>
      <c r="Y1696" t="s">
        <v>237</v>
      </c>
    </row>
    <row r="1697" spans="1:25" x14ac:dyDescent="0.25">
      <c r="A1697" t="s">
        <v>11139</v>
      </c>
      <c r="B1697">
        <v>11</v>
      </c>
      <c r="C1697">
        <v>78</v>
      </c>
      <c r="D1697">
        <v>9056</v>
      </c>
      <c r="E1697" t="s">
        <v>214</v>
      </c>
      <c r="F1697" t="s">
        <v>11140</v>
      </c>
      <c r="G1697" t="s">
        <v>11141</v>
      </c>
      <c r="H1697" s="26">
        <v>38632</v>
      </c>
      <c r="I1697" t="s">
        <v>58</v>
      </c>
      <c r="J1697" t="s">
        <v>11142</v>
      </c>
      <c r="M1697">
        <v>87210</v>
      </c>
      <c r="N1697" t="s">
        <v>11143</v>
      </c>
      <c r="O1697" t="s">
        <v>61</v>
      </c>
      <c r="Q1697">
        <v>684751596</v>
      </c>
      <c r="R1697" t="s">
        <v>11144</v>
      </c>
      <c r="S1697" t="s">
        <v>237</v>
      </c>
      <c r="T1697" t="s">
        <v>4616</v>
      </c>
      <c r="U1697" t="s">
        <v>65</v>
      </c>
      <c r="W1697" s="26">
        <v>45582</v>
      </c>
      <c r="X1697" t="s">
        <v>61</v>
      </c>
      <c r="Y1697" t="s">
        <v>237</v>
      </c>
    </row>
    <row r="1698" spans="1:25" x14ac:dyDescent="0.25">
      <c r="A1698" t="s">
        <v>11378</v>
      </c>
      <c r="B1698">
        <v>11</v>
      </c>
      <c r="C1698">
        <v>78</v>
      </c>
      <c r="D1698">
        <v>9056</v>
      </c>
      <c r="E1698" t="s">
        <v>214</v>
      </c>
      <c r="F1698" t="s">
        <v>4548</v>
      </c>
      <c r="G1698" t="s">
        <v>11199</v>
      </c>
      <c r="H1698" s="26">
        <v>38920</v>
      </c>
      <c r="I1698" t="s">
        <v>58</v>
      </c>
      <c r="J1698" t="s">
        <v>11379</v>
      </c>
      <c r="M1698">
        <v>92270</v>
      </c>
      <c r="N1698" t="s">
        <v>796</v>
      </c>
      <c r="O1698" t="s">
        <v>61</v>
      </c>
      <c r="Q1698">
        <v>662406915</v>
      </c>
      <c r="R1698" t="s">
        <v>11380</v>
      </c>
      <c r="S1698" t="s">
        <v>237</v>
      </c>
      <c r="T1698" t="s">
        <v>4616</v>
      </c>
      <c r="U1698" t="s">
        <v>65</v>
      </c>
      <c r="W1698" s="26">
        <v>45585</v>
      </c>
      <c r="X1698" t="s">
        <v>61</v>
      </c>
      <c r="Y1698" t="s">
        <v>237</v>
      </c>
    </row>
    <row r="1699" spans="1:25" x14ac:dyDescent="0.25">
      <c r="A1699" t="s">
        <v>11381</v>
      </c>
      <c r="B1699">
        <v>11</v>
      </c>
      <c r="C1699">
        <v>78</v>
      </c>
      <c r="D1699">
        <v>9056</v>
      </c>
      <c r="E1699" t="s">
        <v>214</v>
      </c>
      <c r="F1699" t="s">
        <v>1459</v>
      </c>
      <c r="G1699" t="s">
        <v>3309</v>
      </c>
      <c r="H1699" s="26">
        <v>38441</v>
      </c>
      <c r="I1699" t="s">
        <v>58</v>
      </c>
      <c r="J1699" t="s">
        <v>11382</v>
      </c>
      <c r="M1699">
        <v>6230</v>
      </c>
      <c r="N1699" t="s">
        <v>11383</v>
      </c>
      <c r="O1699" t="s">
        <v>61</v>
      </c>
      <c r="R1699" t="s">
        <v>11384</v>
      </c>
      <c r="S1699" t="s">
        <v>237</v>
      </c>
      <c r="T1699" t="s">
        <v>4616</v>
      </c>
      <c r="U1699" t="s">
        <v>65</v>
      </c>
      <c r="W1699" s="26">
        <v>45585</v>
      </c>
      <c r="X1699" t="s">
        <v>61</v>
      </c>
      <c r="Y1699" t="s">
        <v>237</v>
      </c>
    </row>
    <row r="1700" spans="1:25" x14ac:dyDescent="0.25">
      <c r="A1700" t="s">
        <v>11385</v>
      </c>
      <c r="B1700">
        <v>11</v>
      </c>
      <c r="C1700">
        <v>78</v>
      </c>
      <c r="D1700">
        <v>9056</v>
      </c>
      <c r="E1700" t="s">
        <v>214</v>
      </c>
      <c r="F1700" t="s">
        <v>1005</v>
      </c>
      <c r="G1700" t="s">
        <v>11386</v>
      </c>
      <c r="H1700" s="26">
        <v>38516</v>
      </c>
      <c r="I1700" t="s">
        <v>58</v>
      </c>
      <c r="J1700" t="s">
        <v>11387</v>
      </c>
      <c r="M1700">
        <v>78000</v>
      </c>
      <c r="N1700" t="s">
        <v>1334</v>
      </c>
      <c r="O1700" t="s">
        <v>61</v>
      </c>
      <c r="Q1700">
        <v>648229293</v>
      </c>
      <c r="R1700" t="s">
        <v>11388</v>
      </c>
      <c r="S1700" t="s">
        <v>237</v>
      </c>
      <c r="T1700" t="s">
        <v>4616</v>
      </c>
      <c r="U1700" t="s">
        <v>65</v>
      </c>
      <c r="W1700" s="26">
        <v>45585</v>
      </c>
      <c r="X1700" t="s">
        <v>61</v>
      </c>
      <c r="Y1700" t="s">
        <v>237</v>
      </c>
    </row>
    <row r="1701" spans="1:25" x14ac:dyDescent="0.25">
      <c r="A1701" t="s">
        <v>11389</v>
      </c>
      <c r="B1701">
        <v>11</v>
      </c>
      <c r="C1701">
        <v>78</v>
      </c>
      <c r="D1701">
        <v>9056</v>
      </c>
      <c r="E1701" t="s">
        <v>214</v>
      </c>
      <c r="F1701" t="s">
        <v>11390</v>
      </c>
      <c r="G1701" t="s">
        <v>11391</v>
      </c>
      <c r="H1701" s="26">
        <v>38968</v>
      </c>
      <c r="I1701" t="s">
        <v>58</v>
      </c>
      <c r="J1701" t="s">
        <v>11392</v>
      </c>
      <c r="M1701">
        <v>80100</v>
      </c>
      <c r="N1701" t="s">
        <v>11393</v>
      </c>
      <c r="O1701" t="s">
        <v>61</v>
      </c>
      <c r="Q1701">
        <v>769241273</v>
      </c>
      <c r="R1701" t="s">
        <v>11394</v>
      </c>
      <c r="S1701" t="s">
        <v>237</v>
      </c>
      <c r="T1701" t="s">
        <v>4616</v>
      </c>
      <c r="U1701" t="s">
        <v>65</v>
      </c>
      <c r="W1701" s="26">
        <v>45585</v>
      </c>
      <c r="X1701" t="s">
        <v>61</v>
      </c>
      <c r="Y1701" t="s">
        <v>237</v>
      </c>
    </row>
    <row r="1702" spans="1:25" x14ac:dyDescent="0.25">
      <c r="A1702" t="s">
        <v>11395</v>
      </c>
      <c r="B1702">
        <v>11</v>
      </c>
      <c r="C1702">
        <v>78</v>
      </c>
      <c r="D1702">
        <v>9056</v>
      </c>
      <c r="E1702" t="s">
        <v>214</v>
      </c>
      <c r="F1702" t="s">
        <v>1459</v>
      </c>
      <c r="G1702" t="s">
        <v>11396</v>
      </c>
      <c r="H1702" s="26">
        <v>38564</v>
      </c>
      <c r="I1702" t="s">
        <v>58</v>
      </c>
      <c r="J1702" t="s">
        <v>11397</v>
      </c>
      <c r="M1702">
        <v>6650</v>
      </c>
      <c r="N1702" t="s">
        <v>11398</v>
      </c>
      <c r="O1702" t="s">
        <v>61</v>
      </c>
      <c r="Q1702">
        <v>768467286</v>
      </c>
      <c r="R1702" t="s">
        <v>11399</v>
      </c>
      <c r="S1702" t="s">
        <v>237</v>
      </c>
      <c r="T1702" t="s">
        <v>4616</v>
      </c>
      <c r="U1702" t="s">
        <v>65</v>
      </c>
      <c r="W1702" s="26">
        <v>45585</v>
      </c>
      <c r="X1702" t="s">
        <v>61</v>
      </c>
      <c r="Y1702" t="s">
        <v>237</v>
      </c>
    </row>
    <row r="1703" spans="1:25" x14ac:dyDescent="0.25">
      <c r="A1703" t="s">
        <v>11400</v>
      </c>
      <c r="B1703">
        <v>11</v>
      </c>
      <c r="C1703">
        <v>78</v>
      </c>
      <c r="D1703">
        <v>9056</v>
      </c>
      <c r="E1703" t="s">
        <v>214</v>
      </c>
      <c r="F1703" t="s">
        <v>11401</v>
      </c>
      <c r="G1703" t="s">
        <v>11402</v>
      </c>
      <c r="H1703" s="26">
        <v>38571</v>
      </c>
      <c r="I1703" t="s">
        <v>58</v>
      </c>
      <c r="J1703" t="s">
        <v>11403</v>
      </c>
      <c r="M1703">
        <v>30133</v>
      </c>
      <c r="N1703" t="s">
        <v>11404</v>
      </c>
      <c r="O1703" t="s">
        <v>61</v>
      </c>
      <c r="Q1703">
        <v>675728951</v>
      </c>
      <c r="R1703" t="s">
        <v>11405</v>
      </c>
      <c r="S1703" t="s">
        <v>237</v>
      </c>
      <c r="T1703" t="s">
        <v>4616</v>
      </c>
      <c r="U1703" t="s">
        <v>65</v>
      </c>
      <c r="W1703" s="26">
        <v>45585</v>
      </c>
      <c r="X1703" t="s">
        <v>61</v>
      </c>
      <c r="Y1703" t="s">
        <v>237</v>
      </c>
    </row>
    <row r="1704" spans="1:25" x14ac:dyDescent="0.25">
      <c r="A1704" t="s">
        <v>11406</v>
      </c>
      <c r="B1704">
        <v>11</v>
      </c>
      <c r="C1704">
        <v>78</v>
      </c>
      <c r="D1704">
        <v>9056</v>
      </c>
      <c r="E1704" t="s">
        <v>214</v>
      </c>
      <c r="F1704" t="s">
        <v>10853</v>
      </c>
      <c r="G1704" t="s">
        <v>11407</v>
      </c>
      <c r="H1704" s="26">
        <v>38796</v>
      </c>
      <c r="I1704" t="s">
        <v>58</v>
      </c>
      <c r="J1704" t="s">
        <v>11408</v>
      </c>
      <c r="M1704">
        <v>13006</v>
      </c>
      <c r="N1704" t="s">
        <v>11409</v>
      </c>
      <c r="O1704" t="s">
        <v>61</v>
      </c>
      <c r="Q1704">
        <v>620472791</v>
      </c>
      <c r="R1704" t="s">
        <v>11410</v>
      </c>
      <c r="S1704" t="s">
        <v>237</v>
      </c>
      <c r="T1704" t="s">
        <v>4616</v>
      </c>
      <c r="U1704" t="s">
        <v>65</v>
      </c>
      <c r="W1704" s="26">
        <v>45585</v>
      </c>
      <c r="X1704" t="s">
        <v>61</v>
      </c>
      <c r="Y1704" t="s">
        <v>237</v>
      </c>
    </row>
    <row r="1705" spans="1:25" x14ac:dyDescent="0.25">
      <c r="A1705" t="s">
        <v>11411</v>
      </c>
      <c r="B1705">
        <v>11</v>
      </c>
      <c r="C1705">
        <v>78</v>
      </c>
      <c r="D1705">
        <v>9056</v>
      </c>
      <c r="E1705" t="s">
        <v>214</v>
      </c>
      <c r="F1705" t="s">
        <v>3659</v>
      </c>
      <c r="G1705" t="s">
        <v>11412</v>
      </c>
      <c r="H1705" s="26">
        <v>38542</v>
      </c>
      <c r="I1705" t="s">
        <v>58</v>
      </c>
      <c r="J1705" t="s">
        <v>11413</v>
      </c>
      <c r="M1705">
        <v>78112</v>
      </c>
      <c r="N1705" t="s">
        <v>2390</v>
      </c>
      <c r="O1705" t="s">
        <v>61</v>
      </c>
      <c r="Q1705">
        <v>767120122</v>
      </c>
      <c r="R1705" t="s">
        <v>11414</v>
      </c>
      <c r="S1705" t="s">
        <v>237</v>
      </c>
      <c r="T1705" t="s">
        <v>4616</v>
      </c>
      <c r="U1705" t="s">
        <v>65</v>
      </c>
      <c r="W1705" s="26">
        <v>45585</v>
      </c>
      <c r="X1705" t="s">
        <v>61</v>
      </c>
      <c r="Y1705" t="s">
        <v>237</v>
      </c>
    </row>
    <row r="1706" spans="1:25" x14ac:dyDescent="0.25">
      <c r="A1706" t="s">
        <v>11415</v>
      </c>
      <c r="B1706">
        <v>11</v>
      </c>
      <c r="C1706">
        <v>78</v>
      </c>
      <c r="D1706">
        <v>9056</v>
      </c>
      <c r="E1706" t="s">
        <v>214</v>
      </c>
      <c r="F1706" t="s">
        <v>1070</v>
      </c>
      <c r="G1706" t="s">
        <v>11416</v>
      </c>
      <c r="H1706" s="26">
        <v>39053</v>
      </c>
      <c r="I1706" t="s">
        <v>58</v>
      </c>
      <c r="J1706" t="s">
        <v>11417</v>
      </c>
      <c r="M1706">
        <v>75016</v>
      </c>
      <c r="N1706" t="s">
        <v>330</v>
      </c>
      <c r="O1706" t="s">
        <v>61</v>
      </c>
      <c r="Q1706">
        <v>764247772</v>
      </c>
      <c r="R1706" t="s">
        <v>11418</v>
      </c>
      <c r="S1706" t="s">
        <v>237</v>
      </c>
      <c r="T1706" t="s">
        <v>4616</v>
      </c>
      <c r="U1706" t="s">
        <v>65</v>
      </c>
      <c r="W1706" s="26">
        <v>45585</v>
      </c>
      <c r="X1706" t="s">
        <v>61</v>
      </c>
      <c r="Y1706" t="s">
        <v>237</v>
      </c>
    </row>
    <row r="1707" spans="1:25" x14ac:dyDescent="0.25">
      <c r="A1707" t="s">
        <v>11419</v>
      </c>
      <c r="B1707">
        <v>11</v>
      </c>
      <c r="C1707">
        <v>78</v>
      </c>
      <c r="D1707">
        <v>9056</v>
      </c>
      <c r="E1707" t="s">
        <v>214</v>
      </c>
      <c r="F1707" t="s">
        <v>4279</v>
      </c>
      <c r="G1707" t="s">
        <v>1094</v>
      </c>
      <c r="H1707" s="26">
        <v>38645</v>
      </c>
      <c r="I1707" t="s">
        <v>58</v>
      </c>
      <c r="J1707" t="s">
        <v>11420</v>
      </c>
      <c r="M1707">
        <v>6320</v>
      </c>
      <c r="N1707" t="s">
        <v>11421</v>
      </c>
      <c r="O1707" t="s">
        <v>61</v>
      </c>
      <c r="Q1707">
        <v>649514847</v>
      </c>
      <c r="R1707" t="s">
        <v>11422</v>
      </c>
      <c r="S1707" t="s">
        <v>237</v>
      </c>
      <c r="T1707" t="s">
        <v>4616</v>
      </c>
      <c r="U1707" t="s">
        <v>65</v>
      </c>
      <c r="W1707" s="26">
        <v>45585</v>
      </c>
      <c r="X1707" t="s">
        <v>61</v>
      </c>
      <c r="Y1707" t="s">
        <v>237</v>
      </c>
    </row>
    <row r="1708" spans="1:25" x14ac:dyDescent="0.25">
      <c r="A1708" t="s">
        <v>11423</v>
      </c>
      <c r="B1708">
        <v>11</v>
      </c>
      <c r="C1708">
        <v>78</v>
      </c>
      <c r="D1708">
        <v>9056</v>
      </c>
      <c r="E1708" t="s">
        <v>214</v>
      </c>
      <c r="F1708" t="s">
        <v>10320</v>
      </c>
      <c r="G1708" t="s">
        <v>11424</v>
      </c>
      <c r="H1708" s="26">
        <v>38621</v>
      </c>
      <c r="I1708" t="s">
        <v>58</v>
      </c>
      <c r="J1708" t="s">
        <v>11425</v>
      </c>
      <c r="M1708">
        <v>78150</v>
      </c>
      <c r="N1708" t="s">
        <v>1846</v>
      </c>
      <c r="O1708" t="s">
        <v>61</v>
      </c>
      <c r="Q1708">
        <v>623388996</v>
      </c>
      <c r="R1708" t="s">
        <v>11426</v>
      </c>
      <c r="S1708" t="s">
        <v>237</v>
      </c>
      <c r="T1708" t="s">
        <v>4616</v>
      </c>
      <c r="U1708" t="s">
        <v>65</v>
      </c>
      <c r="W1708" s="26">
        <v>45585</v>
      </c>
      <c r="X1708" t="s">
        <v>61</v>
      </c>
      <c r="Y1708" t="s">
        <v>237</v>
      </c>
    </row>
    <row r="1709" spans="1:25" x14ac:dyDescent="0.25">
      <c r="A1709" t="s">
        <v>11427</v>
      </c>
      <c r="B1709">
        <v>11</v>
      </c>
      <c r="C1709">
        <v>78</v>
      </c>
      <c r="D1709">
        <v>9056</v>
      </c>
      <c r="E1709" t="s">
        <v>214</v>
      </c>
      <c r="F1709" t="s">
        <v>9554</v>
      </c>
      <c r="G1709" t="s">
        <v>11428</v>
      </c>
      <c r="H1709" s="26">
        <v>38726</v>
      </c>
      <c r="I1709" t="s">
        <v>58</v>
      </c>
      <c r="J1709" t="s">
        <v>11429</v>
      </c>
      <c r="M1709">
        <v>13009</v>
      </c>
      <c r="N1709" t="s">
        <v>11409</v>
      </c>
      <c r="O1709" t="s">
        <v>61</v>
      </c>
      <c r="Q1709">
        <v>615032249</v>
      </c>
      <c r="R1709" t="s">
        <v>11430</v>
      </c>
      <c r="S1709" t="s">
        <v>237</v>
      </c>
      <c r="T1709" t="s">
        <v>4616</v>
      </c>
      <c r="U1709" t="s">
        <v>65</v>
      </c>
      <c r="W1709" s="26">
        <v>45585</v>
      </c>
      <c r="X1709" t="s">
        <v>61</v>
      </c>
      <c r="Y1709" t="s">
        <v>237</v>
      </c>
    </row>
    <row r="1710" spans="1:25" x14ac:dyDescent="0.25">
      <c r="A1710" t="s">
        <v>11431</v>
      </c>
      <c r="B1710">
        <v>11</v>
      </c>
      <c r="C1710">
        <v>78</v>
      </c>
      <c r="D1710">
        <v>9056</v>
      </c>
      <c r="E1710" t="s">
        <v>214</v>
      </c>
      <c r="F1710" t="s">
        <v>11432</v>
      </c>
      <c r="G1710" t="s">
        <v>11433</v>
      </c>
      <c r="H1710" s="26">
        <v>38534</v>
      </c>
      <c r="I1710" t="s">
        <v>58</v>
      </c>
      <c r="J1710" t="s">
        <v>11434</v>
      </c>
      <c r="M1710">
        <v>69007</v>
      </c>
      <c r="N1710" t="s">
        <v>11435</v>
      </c>
      <c r="O1710" t="s">
        <v>61</v>
      </c>
      <c r="Q1710">
        <v>615120420</v>
      </c>
      <c r="R1710" t="s">
        <v>11436</v>
      </c>
      <c r="S1710" t="s">
        <v>237</v>
      </c>
      <c r="T1710" t="s">
        <v>4616</v>
      </c>
      <c r="U1710" t="s">
        <v>65</v>
      </c>
      <c r="W1710" s="26">
        <v>45585</v>
      </c>
      <c r="X1710" t="s">
        <v>61</v>
      </c>
      <c r="Y1710" t="s">
        <v>237</v>
      </c>
    </row>
    <row r="1711" spans="1:25" x14ac:dyDescent="0.25">
      <c r="A1711" t="s">
        <v>11437</v>
      </c>
      <c r="B1711">
        <v>11</v>
      </c>
      <c r="C1711">
        <v>93</v>
      </c>
      <c r="D1711">
        <v>9060</v>
      </c>
      <c r="E1711" t="s">
        <v>203</v>
      </c>
      <c r="F1711" t="s">
        <v>85</v>
      </c>
      <c r="G1711" t="s">
        <v>11438</v>
      </c>
      <c r="H1711" s="26">
        <v>22433</v>
      </c>
      <c r="I1711" t="s">
        <v>58</v>
      </c>
      <c r="J1711" t="s">
        <v>11439</v>
      </c>
      <c r="M1711">
        <v>94100</v>
      </c>
      <c r="N1711" t="s">
        <v>971</v>
      </c>
      <c r="O1711" t="s">
        <v>61</v>
      </c>
      <c r="Q1711">
        <v>683491777</v>
      </c>
      <c r="R1711" t="s">
        <v>11440</v>
      </c>
      <c r="S1711" t="s">
        <v>63</v>
      </c>
      <c r="T1711" t="s">
        <v>4584</v>
      </c>
      <c r="U1711" t="s">
        <v>65</v>
      </c>
      <c r="W1711" s="26">
        <v>45585</v>
      </c>
      <c r="X1711" t="s">
        <v>61</v>
      </c>
      <c r="Y1711" t="s">
        <v>237</v>
      </c>
    </row>
    <row r="1712" spans="1:25" x14ac:dyDescent="0.25">
      <c r="A1712" t="s">
        <v>11441</v>
      </c>
      <c r="B1712">
        <v>11</v>
      </c>
      <c r="C1712">
        <v>93</v>
      </c>
      <c r="D1712">
        <v>9060</v>
      </c>
      <c r="E1712" t="s">
        <v>203</v>
      </c>
      <c r="F1712" t="s">
        <v>13</v>
      </c>
      <c r="G1712" t="s">
        <v>11442</v>
      </c>
      <c r="H1712" s="26">
        <v>23036</v>
      </c>
      <c r="I1712" t="s">
        <v>58</v>
      </c>
      <c r="J1712" t="s">
        <v>11443</v>
      </c>
      <c r="M1712">
        <v>93600</v>
      </c>
      <c r="N1712" t="s">
        <v>1558</v>
      </c>
      <c r="O1712" t="s">
        <v>61</v>
      </c>
      <c r="Q1712">
        <v>608351883</v>
      </c>
      <c r="S1712" t="s">
        <v>63</v>
      </c>
      <c r="T1712" t="s">
        <v>4584</v>
      </c>
      <c r="U1712" t="s">
        <v>65</v>
      </c>
      <c r="W1712" s="26">
        <v>45585</v>
      </c>
      <c r="X1712" t="s">
        <v>61</v>
      </c>
      <c r="Y1712" t="s">
        <v>237</v>
      </c>
    </row>
    <row r="1713" spans="1:25" x14ac:dyDescent="0.25">
      <c r="A1713" t="s">
        <v>11444</v>
      </c>
      <c r="B1713">
        <v>11</v>
      </c>
      <c r="C1713">
        <v>93</v>
      </c>
      <c r="D1713">
        <v>9060</v>
      </c>
      <c r="E1713" t="s">
        <v>203</v>
      </c>
      <c r="F1713" t="s">
        <v>10930</v>
      </c>
      <c r="G1713" t="s">
        <v>11445</v>
      </c>
      <c r="H1713" s="26">
        <v>19726</v>
      </c>
      <c r="I1713" t="s">
        <v>16</v>
      </c>
      <c r="J1713" t="s">
        <v>11446</v>
      </c>
      <c r="M1713">
        <v>93190</v>
      </c>
      <c r="N1713" t="s">
        <v>205</v>
      </c>
      <c r="O1713" t="s">
        <v>61</v>
      </c>
      <c r="Q1713">
        <v>660779058</v>
      </c>
      <c r="S1713" t="s">
        <v>63</v>
      </c>
      <c r="T1713" t="s">
        <v>4584</v>
      </c>
      <c r="U1713" t="s">
        <v>65</v>
      </c>
      <c r="W1713" s="26">
        <v>45585</v>
      </c>
      <c r="X1713" t="s">
        <v>61</v>
      </c>
      <c r="Y1713" t="s">
        <v>237</v>
      </c>
    </row>
    <row r="1714" spans="1:25" x14ac:dyDescent="0.25">
      <c r="A1714" t="s">
        <v>11447</v>
      </c>
      <c r="B1714">
        <v>11</v>
      </c>
      <c r="C1714">
        <v>92</v>
      </c>
      <c r="D1714">
        <v>9017</v>
      </c>
      <c r="E1714" t="s">
        <v>211</v>
      </c>
      <c r="F1714" t="s">
        <v>1512</v>
      </c>
      <c r="G1714" t="s">
        <v>11448</v>
      </c>
      <c r="H1714" s="26">
        <v>32755</v>
      </c>
      <c r="I1714" t="s">
        <v>58</v>
      </c>
      <c r="J1714" t="s">
        <v>11449</v>
      </c>
      <c r="M1714">
        <v>92400</v>
      </c>
      <c r="N1714" t="s">
        <v>11450</v>
      </c>
      <c r="O1714" t="s">
        <v>61</v>
      </c>
      <c r="R1714" t="s">
        <v>11451</v>
      </c>
      <c r="S1714" t="s">
        <v>63</v>
      </c>
      <c r="T1714" t="s">
        <v>4584</v>
      </c>
      <c r="U1714" t="s">
        <v>65</v>
      </c>
      <c r="W1714" s="26">
        <v>45585</v>
      </c>
      <c r="X1714" t="s">
        <v>61</v>
      </c>
      <c r="Y1714" t="s">
        <v>237</v>
      </c>
    </row>
    <row r="1715" spans="1:25" x14ac:dyDescent="0.25">
      <c r="A1715" t="s">
        <v>11452</v>
      </c>
      <c r="B1715">
        <v>11</v>
      </c>
      <c r="C1715">
        <v>94</v>
      </c>
      <c r="D1715">
        <v>9045</v>
      </c>
      <c r="E1715" t="s">
        <v>1234</v>
      </c>
      <c r="F1715" t="s">
        <v>11453</v>
      </c>
      <c r="G1715" t="s">
        <v>11454</v>
      </c>
      <c r="H1715" s="26">
        <v>35067</v>
      </c>
      <c r="I1715" t="s">
        <v>58</v>
      </c>
      <c r="J1715" t="s">
        <v>11455</v>
      </c>
      <c r="M1715">
        <v>92360</v>
      </c>
      <c r="N1715" t="s">
        <v>3986</v>
      </c>
      <c r="O1715" t="s">
        <v>61</v>
      </c>
      <c r="Q1715">
        <v>665976956</v>
      </c>
      <c r="R1715" t="s">
        <v>11456</v>
      </c>
      <c r="S1715" t="s">
        <v>63</v>
      </c>
      <c r="T1715" t="s">
        <v>4584</v>
      </c>
      <c r="U1715" t="s">
        <v>8684</v>
      </c>
      <c r="W1715" s="26">
        <v>45585</v>
      </c>
      <c r="X1715" t="s">
        <v>61</v>
      </c>
      <c r="Y1715" t="s">
        <v>237</v>
      </c>
    </row>
    <row r="1716" spans="1:25" x14ac:dyDescent="0.25">
      <c r="A1716" t="s">
        <v>11457</v>
      </c>
      <c r="B1716">
        <v>11</v>
      </c>
      <c r="C1716">
        <v>92</v>
      </c>
      <c r="D1716">
        <v>9017</v>
      </c>
      <c r="E1716" t="s">
        <v>211</v>
      </c>
      <c r="F1716" t="s">
        <v>297</v>
      </c>
      <c r="G1716" t="s">
        <v>11458</v>
      </c>
      <c r="H1716" s="26">
        <v>23437</v>
      </c>
      <c r="I1716" t="s">
        <v>58</v>
      </c>
      <c r="J1716" t="s">
        <v>1669</v>
      </c>
      <c r="M1716">
        <v>92400</v>
      </c>
      <c r="N1716" t="s">
        <v>478</v>
      </c>
      <c r="O1716" t="s">
        <v>61</v>
      </c>
      <c r="R1716" t="s">
        <v>1670</v>
      </c>
      <c r="S1716" t="s">
        <v>237</v>
      </c>
      <c r="T1716" t="s">
        <v>4584</v>
      </c>
      <c r="U1716" t="s">
        <v>65</v>
      </c>
      <c r="W1716" s="26">
        <v>45585</v>
      </c>
      <c r="X1716" t="s">
        <v>61</v>
      </c>
      <c r="Y1716" t="s">
        <v>237</v>
      </c>
    </row>
    <row r="1717" spans="1:25" x14ac:dyDescent="0.25">
      <c r="A1717" t="s">
        <v>11459</v>
      </c>
      <c r="B1717">
        <v>11</v>
      </c>
      <c r="C1717">
        <v>94</v>
      </c>
      <c r="D1717">
        <v>9024</v>
      </c>
      <c r="E1717" t="s">
        <v>4</v>
      </c>
      <c r="F1717" t="s">
        <v>11460</v>
      </c>
      <c r="G1717" t="s">
        <v>11461</v>
      </c>
      <c r="H1717" s="26">
        <v>31804</v>
      </c>
      <c r="I1717" t="s">
        <v>58</v>
      </c>
      <c r="J1717" t="s">
        <v>11462</v>
      </c>
      <c r="M1717">
        <v>77600</v>
      </c>
      <c r="N1717" t="s">
        <v>1293</v>
      </c>
      <c r="O1717" t="s">
        <v>61</v>
      </c>
      <c r="Q1717">
        <v>640406978</v>
      </c>
      <c r="R1717" t="s">
        <v>11463</v>
      </c>
      <c r="S1717" t="s">
        <v>63</v>
      </c>
      <c r="T1717" t="s">
        <v>4584</v>
      </c>
      <c r="U1717" t="s">
        <v>8684</v>
      </c>
      <c r="W1717" s="26">
        <v>45586</v>
      </c>
      <c r="X1717" t="s">
        <v>61</v>
      </c>
      <c r="Y1717" t="s">
        <v>237</v>
      </c>
    </row>
    <row r="1718" spans="1:25" x14ac:dyDescent="0.25">
      <c r="A1718" t="s">
        <v>11464</v>
      </c>
      <c r="B1718">
        <v>11</v>
      </c>
      <c r="C1718">
        <v>92</v>
      </c>
      <c r="D1718">
        <v>9032</v>
      </c>
      <c r="E1718" t="s">
        <v>102</v>
      </c>
      <c r="F1718" t="s">
        <v>10528</v>
      </c>
      <c r="G1718" t="s">
        <v>472</v>
      </c>
      <c r="H1718" s="26">
        <v>24921</v>
      </c>
      <c r="I1718" t="s">
        <v>58</v>
      </c>
      <c r="J1718" t="s">
        <v>11465</v>
      </c>
      <c r="M1718">
        <v>92140</v>
      </c>
      <c r="N1718" t="s">
        <v>1380</v>
      </c>
      <c r="O1718" t="s">
        <v>61</v>
      </c>
      <c r="Q1718">
        <v>625356457</v>
      </c>
      <c r="R1718" t="s">
        <v>11466</v>
      </c>
      <c r="S1718" t="s">
        <v>63</v>
      </c>
      <c r="T1718" t="s">
        <v>4584</v>
      </c>
      <c r="U1718" t="s">
        <v>65</v>
      </c>
      <c r="W1718" s="26">
        <v>45587</v>
      </c>
      <c r="X1718" t="s">
        <v>61</v>
      </c>
      <c r="Y1718" t="s">
        <v>237</v>
      </c>
    </row>
    <row r="1719" spans="1:25" x14ac:dyDescent="0.25">
      <c r="A1719" t="s">
        <v>11467</v>
      </c>
      <c r="B1719">
        <v>11</v>
      </c>
      <c r="C1719">
        <v>92</v>
      </c>
      <c r="D1719">
        <v>9032</v>
      </c>
      <c r="E1719" t="s">
        <v>102</v>
      </c>
      <c r="F1719" t="s">
        <v>11468</v>
      </c>
      <c r="G1719" t="s">
        <v>472</v>
      </c>
      <c r="H1719" s="26">
        <v>40183</v>
      </c>
      <c r="I1719" t="s">
        <v>58</v>
      </c>
      <c r="J1719" t="s">
        <v>11465</v>
      </c>
      <c r="M1719">
        <v>92140</v>
      </c>
      <c r="N1719" t="s">
        <v>1380</v>
      </c>
      <c r="O1719" t="s">
        <v>61</v>
      </c>
      <c r="Q1719">
        <v>749495298</v>
      </c>
      <c r="R1719" t="s">
        <v>11469</v>
      </c>
      <c r="S1719" t="s">
        <v>63</v>
      </c>
      <c r="T1719" t="s">
        <v>4616</v>
      </c>
      <c r="U1719" t="s">
        <v>65</v>
      </c>
      <c r="W1719" s="26">
        <v>45587</v>
      </c>
      <c r="X1719" t="s">
        <v>61</v>
      </c>
      <c r="Y1719" t="s">
        <v>237</v>
      </c>
    </row>
    <row r="1720" spans="1:25" x14ac:dyDescent="0.25">
      <c r="A1720" t="s">
        <v>11470</v>
      </c>
      <c r="B1720">
        <v>11</v>
      </c>
      <c r="C1720">
        <v>92</v>
      </c>
      <c r="D1720">
        <v>9032</v>
      </c>
      <c r="E1720" t="s">
        <v>102</v>
      </c>
      <c r="F1720" t="s">
        <v>327</v>
      </c>
      <c r="G1720" t="s">
        <v>11471</v>
      </c>
      <c r="H1720" s="26">
        <v>22332</v>
      </c>
      <c r="I1720" t="s">
        <v>58</v>
      </c>
      <c r="J1720" t="s">
        <v>11472</v>
      </c>
      <c r="M1720">
        <v>92140</v>
      </c>
      <c r="N1720" t="s">
        <v>1380</v>
      </c>
      <c r="O1720" t="s">
        <v>61</v>
      </c>
      <c r="Q1720">
        <v>632083150</v>
      </c>
      <c r="R1720" t="s">
        <v>11473</v>
      </c>
      <c r="S1720" t="s">
        <v>63</v>
      </c>
      <c r="T1720" t="s">
        <v>4584</v>
      </c>
      <c r="U1720" t="s">
        <v>65</v>
      </c>
      <c r="W1720" s="26">
        <v>45587</v>
      </c>
      <c r="X1720" t="s">
        <v>61</v>
      </c>
      <c r="Y1720" t="s">
        <v>237</v>
      </c>
    </row>
    <row r="1721" spans="1:25" x14ac:dyDescent="0.25">
      <c r="A1721" t="s">
        <v>11474</v>
      </c>
      <c r="B1721">
        <v>11</v>
      </c>
      <c r="C1721">
        <v>95</v>
      </c>
      <c r="D1721">
        <v>9010</v>
      </c>
      <c r="E1721" t="s">
        <v>6</v>
      </c>
      <c r="F1721" t="s">
        <v>3736</v>
      </c>
      <c r="G1721" t="s">
        <v>11475</v>
      </c>
      <c r="H1721" s="26">
        <v>31238</v>
      </c>
      <c r="I1721" t="s">
        <v>58</v>
      </c>
      <c r="J1721" t="s">
        <v>11476</v>
      </c>
      <c r="M1721">
        <v>78420</v>
      </c>
      <c r="N1721" t="s">
        <v>3666</v>
      </c>
      <c r="O1721" t="s">
        <v>61</v>
      </c>
      <c r="Q1721">
        <v>605619601</v>
      </c>
      <c r="R1721" t="s">
        <v>11477</v>
      </c>
      <c r="S1721" t="s">
        <v>63</v>
      </c>
      <c r="T1721" t="s">
        <v>4584</v>
      </c>
      <c r="U1721" t="s">
        <v>486</v>
      </c>
      <c r="W1721" s="26">
        <v>45588</v>
      </c>
      <c r="X1721" t="s">
        <v>2726</v>
      </c>
      <c r="Y1721" t="s">
        <v>237</v>
      </c>
    </row>
    <row r="1722" spans="1:25" x14ac:dyDescent="0.25">
      <c r="A1722" t="s">
        <v>11478</v>
      </c>
      <c r="B1722">
        <v>11</v>
      </c>
      <c r="C1722">
        <v>95</v>
      </c>
      <c r="D1722">
        <v>9010</v>
      </c>
      <c r="E1722" t="s">
        <v>6</v>
      </c>
      <c r="F1722" t="s">
        <v>11479</v>
      </c>
      <c r="G1722" t="s">
        <v>11480</v>
      </c>
      <c r="H1722" s="26">
        <v>29440</v>
      </c>
      <c r="I1722" t="s">
        <v>58</v>
      </c>
      <c r="J1722" t="s">
        <v>11481</v>
      </c>
      <c r="M1722">
        <v>78240</v>
      </c>
      <c r="N1722" t="s">
        <v>3666</v>
      </c>
      <c r="O1722" t="s">
        <v>61</v>
      </c>
      <c r="Q1722">
        <v>660045022</v>
      </c>
      <c r="R1722" t="s">
        <v>11482</v>
      </c>
      <c r="S1722" t="s">
        <v>63</v>
      </c>
      <c r="T1722" t="s">
        <v>4584</v>
      </c>
      <c r="U1722" t="s">
        <v>486</v>
      </c>
      <c r="W1722" s="26">
        <v>45588</v>
      </c>
      <c r="X1722" t="s">
        <v>61</v>
      </c>
      <c r="Y1722" t="s">
        <v>237</v>
      </c>
    </row>
    <row r="1723" spans="1:25" x14ac:dyDescent="0.25">
      <c r="A1723" t="s">
        <v>11483</v>
      </c>
      <c r="B1723">
        <v>11</v>
      </c>
      <c r="C1723">
        <v>92</v>
      </c>
      <c r="D1723">
        <v>9088</v>
      </c>
      <c r="E1723" t="s">
        <v>1</v>
      </c>
      <c r="F1723" t="s">
        <v>4121</v>
      </c>
      <c r="G1723" t="s">
        <v>11484</v>
      </c>
      <c r="H1723" s="26">
        <v>34243</v>
      </c>
      <c r="I1723" t="s">
        <v>16</v>
      </c>
      <c r="J1723" t="s">
        <v>11485</v>
      </c>
      <c r="M1723">
        <v>92110</v>
      </c>
      <c r="N1723" t="s">
        <v>135</v>
      </c>
      <c r="O1723" t="s">
        <v>61</v>
      </c>
      <c r="Q1723">
        <v>635108980</v>
      </c>
      <c r="R1723" t="s">
        <v>11486</v>
      </c>
      <c r="S1723" t="s">
        <v>63</v>
      </c>
      <c r="T1723" t="s">
        <v>4584</v>
      </c>
      <c r="U1723" t="s">
        <v>65</v>
      </c>
      <c r="W1723" s="26">
        <v>45589</v>
      </c>
      <c r="X1723" t="s">
        <v>61</v>
      </c>
      <c r="Y1723" t="s">
        <v>237</v>
      </c>
    </row>
    <row r="1724" spans="1:25" x14ac:dyDescent="0.25">
      <c r="A1724" t="s">
        <v>11487</v>
      </c>
      <c r="B1724">
        <v>11</v>
      </c>
      <c r="C1724">
        <v>94</v>
      </c>
      <c r="D1724">
        <v>9024</v>
      </c>
      <c r="E1724" t="s">
        <v>4</v>
      </c>
      <c r="F1724" t="s">
        <v>11488</v>
      </c>
      <c r="G1724" t="s">
        <v>11489</v>
      </c>
      <c r="H1724" s="26">
        <v>21902</v>
      </c>
      <c r="I1724" t="s">
        <v>58</v>
      </c>
      <c r="J1724" t="s">
        <v>11490</v>
      </c>
      <c r="M1724">
        <v>94100</v>
      </c>
      <c r="N1724" t="s">
        <v>971</v>
      </c>
      <c r="O1724" t="s">
        <v>61</v>
      </c>
      <c r="Q1724">
        <v>612464587</v>
      </c>
      <c r="R1724" t="s">
        <v>11491</v>
      </c>
      <c r="S1724" t="s">
        <v>63</v>
      </c>
      <c r="T1724" t="s">
        <v>4584</v>
      </c>
      <c r="U1724" t="s">
        <v>8684</v>
      </c>
      <c r="W1724" s="26">
        <v>45589</v>
      </c>
      <c r="X1724" t="s">
        <v>61</v>
      </c>
      <c r="Y1724" t="s">
        <v>237</v>
      </c>
    </row>
    <row r="1725" spans="1:25" x14ac:dyDescent="0.25">
      <c r="A1725" t="s">
        <v>11492</v>
      </c>
      <c r="B1725">
        <v>11</v>
      </c>
      <c r="C1725">
        <v>91</v>
      </c>
      <c r="D1725">
        <v>9064</v>
      </c>
      <c r="E1725" t="s">
        <v>266</v>
      </c>
      <c r="F1725" t="s">
        <v>11493</v>
      </c>
      <c r="G1725" t="s">
        <v>11494</v>
      </c>
      <c r="H1725" s="26">
        <v>29285</v>
      </c>
      <c r="I1725" t="s">
        <v>58</v>
      </c>
      <c r="J1725" t="s">
        <v>11495</v>
      </c>
      <c r="M1725">
        <v>91400</v>
      </c>
      <c r="N1725" t="s">
        <v>463</v>
      </c>
      <c r="O1725" t="s">
        <v>61</v>
      </c>
      <c r="Q1725">
        <v>612968888</v>
      </c>
      <c r="R1725" t="s">
        <v>11496</v>
      </c>
      <c r="S1725" t="s">
        <v>63</v>
      </c>
      <c r="T1725" t="s">
        <v>4584</v>
      </c>
      <c r="U1725" t="s">
        <v>65</v>
      </c>
      <c r="W1725" s="26">
        <v>45590</v>
      </c>
      <c r="X1725" t="s">
        <v>61</v>
      </c>
      <c r="Y1725" t="s">
        <v>237</v>
      </c>
    </row>
    <row r="1726" spans="1:25" x14ac:dyDescent="0.25">
      <c r="A1726" t="s">
        <v>11497</v>
      </c>
      <c r="B1726">
        <v>11</v>
      </c>
      <c r="C1726">
        <v>94</v>
      </c>
      <c r="D1726">
        <v>9024</v>
      </c>
      <c r="E1726" t="s">
        <v>4</v>
      </c>
      <c r="F1726" t="s">
        <v>11498</v>
      </c>
      <c r="G1726" t="s">
        <v>11499</v>
      </c>
      <c r="H1726" s="26">
        <v>19915</v>
      </c>
      <c r="I1726" t="s">
        <v>58</v>
      </c>
      <c r="J1726" t="s">
        <v>11500</v>
      </c>
      <c r="M1726">
        <v>92160</v>
      </c>
      <c r="N1726" t="s">
        <v>320</v>
      </c>
      <c r="O1726" t="s">
        <v>61</v>
      </c>
      <c r="Q1726">
        <v>634621838</v>
      </c>
      <c r="R1726" t="s">
        <v>11501</v>
      </c>
      <c r="S1726" t="s">
        <v>63</v>
      </c>
      <c r="T1726" t="s">
        <v>4584</v>
      </c>
      <c r="U1726" t="s">
        <v>8684</v>
      </c>
      <c r="W1726" s="26">
        <v>45590</v>
      </c>
      <c r="X1726" t="s">
        <v>61</v>
      </c>
      <c r="Y1726" t="s">
        <v>237</v>
      </c>
    </row>
    <row r="1727" spans="1:25" x14ac:dyDescent="0.25">
      <c r="A1727" t="s">
        <v>11502</v>
      </c>
      <c r="B1727">
        <v>11</v>
      </c>
      <c r="C1727">
        <v>94</v>
      </c>
      <c r="D1727">
        <v>9031</v>
      </c>
      <c r="E1727" t="s">
        <v>7</v>
      </c>
      <c r="F1727" t="s">
        <v>68</v>
      </c>
      <c r="G1727" t="s">
        <v>11503</v>
      </c>
      <c r="H1727" s="26">
        <v>22602</v>
      </c>
      <c r="I1727" t="s">
        <v>58</v>
      </c>
      <c r="J1727" t="s">
        <v>11504</v>
      </c>
      <c r="M1727">
        <v>94400</v>
      </c>
      <c r="N1727" t="s">
        <v>406</v>
      </c>
      <c r="O1727" t="s">
        <v>61</v>
      </c>
      <c r="Q1727">
        <v>638438662</v>
      </c>
      <c r="R1727" t="s">
        <v>11505</v>
      </c>
      <c r="S1727" t="s">
        <v>63</v>
      </c>
      <c r="T1727" t="s">
        <v>4584</v>
      </c>
      <c r="U1727" t="s">
        <v>65</v>
      </c>
      <c r="W1727" s="26">
        <v>45590</v>
      </c>
      <c r="X1727" t="s">
        <v>61</v>
      </c>
      <c r="Y1727" t="s">
        <v>237</v>
      </c>
    </row>
    <row r="1728" spans="1:25" x14ac:dyDescent="0.25">
      <c r="A1728" t="s">
        <v>11506</v>
      </c>
      <c r="B1728">
        <v>11</v>
      </c>
      <c r="C1728">
        <v>92</v>
      </c>
      <c r="D1728">
        <v>9065</v>
      </c>
      <c r="E1728" t="s">
        <v>426</v>
      </c>
      <c r="F1728" t="s">
        <v>11507</v>
      </c>
      <c r="G1728" t="s">
        <v>11508</v>
      </c>
      <c r="H1728" s="26">
        <v>25423</v>
      </c>
      <c r="I1728" t="s">
        <v>58</v>
      </c>
      <c r="J1728" t="s">
        <v>11509</v>
      </c>
      <c r="M1728">
        <v>91430</v>
      </c>
      <c r="N1728" t="s">
        <v>599</v>
      </c>
      <c r="O1728" t="s">
        <v>61</v>
      </c>
      <c r="Q1728">
        <v>630126010</v>
      </c>
      <c r="R1728" t="s">
        <v>11510</v>
      </c>
      <c r="S1728" t="s">
        <v>63</v>
      </c>
      <c r="T1728" t="s">
        <v>4584</v>
      </c>
      <c r="U1728" t="s">
        <v>486</v>
      </c>
      <c r="W1728" s="26">
        <v>45591</v>
      </c>
      <c r="X1728" t="s">
        <v>61</v>
      </c>
      <c r="Y1728" t="s">
        <v>237</v>
      </c>
    </row>
  </sheetData>
  <sheetProtection algorithmName="SHA-512" hashValue="MSfkpV9/pIbkok2r8nm4AH8IgeFqzvbi99XeuslHiIHFJ8XrNojE3GiR3V+iHXKTafZSnwEAufX6qVMGVhphqQ==" saltValue="dFxBwG5ix6VseabPwXndzA==" spinCount="100000" sheet="1" objects="1" scenarios="1"/>
  <hyperlinks>
    <hyperlink ref="R85" r:id="rId1" display="abela.jean-louis@neuf.fr" xr:uid="{B4D96608-F472-4F4B-B863-E48620841D6D}"/>
  </hyperlinks>
  <pageMargins left="0.7" right="0.7" top="0.75" bottom="0.75" header="0.3" footer="0.3"/>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7D26-AFF8-4B1B-9659-BAB2CEFEB0FE}">
  <sheetPr codeName="Feuil8"/>
  <dimension ref="A1:PG146"/>
  <sheetViews>
    <sheetView topLeftCell="A81" workbookViewId="0">
      <selection activeCell="AJ101" sqref="AJ101"/>
    </sheetView>
  </sheetViews>
  <sheetFormatPr baseColWidth="10" defaultRowHeight="15" x14ac:dyDescent="0.25"/>
  <cols>
    <col min="1" max="1" width="16.5703125" bestFit="1" customWidth="1"/>
    <col min="2" max="2" width="10.85546875" customWidth="1"/>
    <col min="3" max="3" width="12.5703125" customWidth="1"/>
    <col min="4" max="4" width="21.7109375" bestFit="1" customWidth="1"/>
    <col min="5" max="5" width="10.140625" bestFit="1" customWidth="1"/>
    <col min="6" max="6" width="16.85546875" bestFit="1" customWidth="1"/>
    <col min="7" max="7" width="10.7109375" customWidth="1"/>
    <col min="8" max="8" width="8.5703125" customWidth="1"/>
    <col min="9" max="9" width="7.42578125" customWidth="1"/>
    <col min="10" max="10" width="10.7109375" customWidth="1"/>
    <col min="11" max="13" width="8.5703125" bestFit="1" customWidth="1"/>
    <col min="14" max="14" width="13.140625" bestFit="1" customWidth="1"/>
    <col min="15" max="16" width="6" customWidth="1"/>
    <col min="17" max="19" width="5.42578125" customWidth="1"/>
    <col min="20" max="20" width="25.42578125" bestFit="1" customWidth="1"/>
    <col min="21" max="26" width="10.7109375" customWidth="1"/>
    <col min="27" max="31" width="11.7109375" customWidth="1"/>
    <col min="32" max="32" width="13.28515625" customWidth="1"/>
    <col min="33" max="116" width="11.7109375" customWidth="1"/>
    <col min="117" max="382" width="12.7109375" customWidth="1"/>
  </cols>
  <sheetData>
    <row r="1" spans="1:423" ht="15.75" thickBot="1" x14ac:dyDescent="0.3">
      <c r="A1" s="262" t="s">
        <v>5502</v>
      </c>
      <c r="B1" s="124" t="s">
        <v>5512</v>
      </c>
      <c r="C1" s="124" t="s">
        <v>5513</v>
      </c>
      <c r="D1" s="124" t="s">
        <v>8496</v>
      </c>
      <c r="E1" s="124" t="s">
        <v>9864</v>
      </c>
      <c r="F1" s="124" t="s">
        <v>5514</v>
      </c>
      <c r="G1" s="124" t="s">
        <v>5515</v>
      </c>
      <c r="H1" s="124" t="s">
        <v>5516</v>
      </c>
      <c r="I1" s="124" t="s">
        <v>5517</v>
      </c>
      <c r="J1" s="125" t="s">
        <v>5518</v>
      </c>
      <c r="K1" t="s">
        <v>8132</v>
      </c>
      <c r="L1" s="22" t="s">
        <v>5533</v>
      </c>
      <c r="M1" s="23" t="s">
        <v>5534</v>
      </c>
      <c r="N1" s="24" t="s">
        <v>5535</v>
      </c>
      <c r="O1" s="329" t="s">
        <v>8653</v>
      </c>
      <c r="P1" s="329" t="s">
        <v>8654</v>
      </c>
      <c r="Q1" s="329" t="s">
        <v>8655</v>
      </c>
      <c r="R1" s="22" t="s">
        <v>5536</v>
      </c>
      <c r="S1" s="23" t="s">
        <v>5537</v>
      </c>
      <c r="T1" s="24" t="s">
        <v>5538</v>
      </c>
      <c r="U1" t="s">
        <v>8133</v>
      </c>
      <c r="V1" t="s">
        <v>8134</v>
      </c>
      <c r="W1" t="s">
        <v>8135</v>
      </c>
      <c r="X1" t="s">
        <v>8136</v>
      </c>
      <c r="Y1" t="s">
        <v>8137</v>
      </c>
      <c r="Z1" t="s">
        <v>8138</v>
      </c>
      <c r="AA1" t="s">
        <v>8139</v>
      </c>
      <c r="AB1" t="s">
        <v>8140</v>
      </c>
      <c r="AC1" t="s">
        <v>8141</v>
      </c>
      <c r="AD1" t="s">
        <v>8142</v>
      </c>
      <c r="AE1" t="s">
        <v>8143</v>
      </c>
      <c r="AF1" t="s">
        <v>8144</v>
      </c>
      <c r="AG1" t="s">
        <v>8145</v>
      </c>
      <c r="AH1" t="s">
        <v>8146</v>
      </c>
      <c r="AI1" t="s">
        <v>8147</v>
      </c>
      <c r="AJ1" t="s">
        <v>8148</v>
      </c>
      <c r="AK1" t="s">
        <v>8149</v>
      </c>
      <c r="AL1" t="s">
        <v>8150</v>
      </c>
      <c r="AM1" t="s">
        <v>8151</v>
      </c>
      <c r="AN1" t="s">
        <v>8152</v>
      </c>
      <c r="AO1" t="s">
        <v>8153</v>
      </c>
      <c r="AP1" t="s">
        <v>8154</v>
      </c>
      <c r="AQ1" t="s">
        <v>8155</v>
      </c>
      <c r="AR1" t="s">
        <v>8156</v>
      </c>
      <c r="AS1" t="s">
        <v>8157</v>
      </c>
      <c r="AT1" t="s">
        <v>8158</v>
      </c>
      <c r="AU1" t="s">
        <v>8159</v>
      </c>
      <c r="AV1" t="s">
        <v>8160</v>
      </c>
      <c r="AW1" t="s">
        <v>8161</v>
      </c>
      <c r="AX1" t="s">
        <v>8162</v>
      </c>
      <c r="AY1" t="s">
        <v>8163</v>
      </c>
      <c r="AZ1" t="s">
        <v>8164</v>
      </c>
      <c r="BA1" t="s">
        <v>8165</v>
      </c>
      <c r="BB1" t="s">
        <v>8166</v>
      </c>
      <c r="BC1" t="s">
        <v>8167</v>
      </c>
      <c r="BD1" t="s">
        <v>8168</v>
      </c>
      <c r="BE1" t="s">
        <v>8169</v>
      </c>
      <c r="BF1" t="s">
        <v>8170</v>
      </c>
      <c r="BG1" t="s">
        <v>8171</v>
      </c>
      <c r="BH1" t="s">
        <v>8172</v>
      </c>
      <c r="BI1" t="s">
        <v>8173</v>
      </c>
      <c r="BJ1" t="s">
        <v>8174</v>
      </c>
      <c r="BK1" t="s">
        <v>8175</v>
      </c>
      <c r="BL1" t="s">
        <v>8176</v>
      </c>
      <c r="BM1" t="s">
        <v>8177</v>
      </c>
      <c r="BN1" t="s">
        <v>8178</v>
      </c>
      <c r="BO1" t="s">
        <v>8179</v>
      </c>
      <c r="BP1" t="s">
        <v>8180</v>
      </c>
      <c r="BQ1" t="s">
        <v>8181</v>
      </c>
      <c r="BR1" t="s">
        <v>8182</v>
      </c>
      <c r="BS1" t="s">
        <v>8183</v>
      </c>
      <c r="BT1" t="s">
        <v>8184</v>
      </c>
      <c r="BU1" t="s">
        <v>8185</v>
      </c>
      <c r="BV1" t="s">
        <v>8186</v>
      </c>
      <c r="BW1" t="s">
        <v>8187</v>
      </c>
      <c r="BX1" t="s">
        <v>8188</v>
      </c>
      <c r="BY1" t="s">
        <v>8189</v>
      </c>
      <c r="BZ1" t="s">
        <v>8190</v>
      </c>
      <c r="CA1" t="s">
        <v>8191</v>
      </c>
      <c r="CB1" t="s">
        <v>8192</v>
      </c>
      <c r="CC1" t="s">
        <v>8193</v>
      </c>
      <c r="CD1" t="s">
        <v>8194</v>
      </c>
      <c r="CE1" t="s">
        <v>8195</v>
      </c>
      <c r="CF1" t="s">
        <v>8196</v>
      </c>
      <c r="CG1" t="s">
        <v>8197</v>
      </c>
      <c r="CH1" t="s">
        <v>8198</v>
      </c>
      <c r="CI1" t="s">
        <v>8199</v>
      </c>
      <c r="CJ1" t="s">
        <v>8200</v>
      </c>
      <c r="CK1" t="s">
        <v>8201</v>
      </c>
      <c r="CL1" t="s">
        <v>8202</v>
      </c>
      <c r="CM1" t="s">
        <v>8203</v>
      </c>
      <c r="CN1" t="s">
        <v>8204</v>
      </c>
      <c r="CO1" t="s">
        <v>8205</v>
      </c>
      <c r="CP1" t="s">
        <v>8206</v>
      </c>
      <c r="CQ1" t="s">
        <v>8207</v>
      </c>
      <c r="CR1" t="s">
        <v>8208</v>
      </c>
      <c r="CS1" t="s">
        <v>8209</v>
      </c>
      <c r="CT1" t="s">
        <v>8210</v>
      </c>
      <c r="CU1" t="s">
        <v>8211</v>
      </c>
      <c r="CV1" t="s">
        <v>8212</v>
      </c>
      <c r="CW1" t="s">
        <v>8213</v>
      </c>
      <c r="CX1" t="s">
        <v>8214</v>
      </c>
      <c r="CY1" t="s">
        <v>8215</v>
      </c>
      <c r="CZ1" t="s">
        <v>8216</v>
      </c>
      <c r="DA1" t="s">
        <v>8217</v>
      </c>
      <c r="DB1" t="s">
        <v>8218</v>
      </c>
      <c r="DC1" t="s">
        <v>8219</v>
      </c>
      <c r="DD1" t="s">
        <v>8220</v>
      </c>
      <c r="DE1" t="s">
        <v>8221</v>
      </c>
      <c r="DF1" t="s">
        <v>8222</v>
      </c>
      <c r="DG1" t="s">
        <v>8223</v>
      </c>
      <c r="DH1" t="s">
        <v>8224</v>
      </c>
      <c r="DI1" t="s">
        <v>8225</v>
      </c>
      <c r="DJ1" t="s">
        <v>8226</v>
      </c>
      <c r="DK1" t="s">
        <v>8227</v>
      </c>
      <c r="DL1" t="s">
        <v>8228</v>
      </c>
      <c r="DM1" t="s">
        <v>8229</v>
      </c>
      <c r="DN1" t="s">
        <v>8230</v>
      </c>
      <c r="DO1" t="s">
        <v>8231</v>
      </c>
      <c r="DP1" t="s">
        <v>8232</v>
      </c>
      <c r="DQ1" t="s">
        <v>8233</v>
      </c>
      <c r="DR1" t="s">
        <v>8234</v>
      </c>
      <c r="DS1" t="s">
        <v>8235</v>
      </c>
      <c r="DT1" t="s">
        <v>8236</v>
      </c>
      <c r="DU1" t="s">
        <v>8237</v>
      </c>
      <c r="DV1" t="s">
        <v>8238</v>
      </c>
      <c r="DW1" t="s">
        <v>8239</v>
      </c>
      <c r="DX1" t="s">
        <v>8240</v>
      </c>
      <c r="DY1" t="s">
        <v>8241</v>
      </c>
      <c r="DZ1" t="s">
        <v>8242</v>
      </c>
      <c r="EA1" t="s">
        <v>8243</v>
      </c>
      <c r="EB1" t="s">
        <v>8244</v>
      </c>
      <c r="EC1" t="s">
        <v>8245</v>
      </c>
      <c r="ED1" t="s">
        <v>8246</v>
      </c>
      <c r="EE1" t="s">
        <v>8247</v>
      </c>
      <c r="EF1" t="s">
        <v>8248</v>
      </c>
      <c r="EG1" t="s">
        <v>8249</v>
      </c>
      <c r="EH1" t="s">
        <v>8250</v>
      </c>
      <c r="EI1" t="s">
        <v>8251</v>
      </c>
      <c r="EJ1" t="s">
        <v>8252</v>
      </c>
      <c r="EK1" t="s">
        <v>8253</v>
      </c>
      <c r="EL1" t="s">
        <v>8254</v>
      </c>
      <c r="EM1" t="s">
        <v>8255</v>
      </c>
      <c r="EN1" t="s">
        <v>8256</v>
      </c>
      <c r="EO1" t="s">
        <v>8257</v>
      </c>
      <c r="EP1" t="s">
        <v>8258</v>
      </c>
      <c r="EQ1" t="s">
        <v>8259</v>
      </c>
      <c r="ER1" t="s">
        <v>8260</v>
      </c>
      <c r="ES1" t="s">
        <v>8261</v>
      </c>
      <c r="ET1" t="s">
        <v>8262</v>
      </c>
      <c r="EU1" t="s">
        <v>8263</v>
      </c>
      <c r="EV1" t="s">
        <v>8264</v>
      </c>
      <c r="EW1" t="s">
        <v>8265</v>
      </c>
      <c r="EX1" t="s">
        <v>8266</v>
      </c>
      <c r="EY1" t="s">
        <v>8267</v>
      </c>
      <c r="EZ1" t="s">
        <v>8268</v>
      </c>
      <c r="FA1" t="s">
        <v>8269</v>
      </c>
      <c r="FB1" t="s">
        <v>8270</v>
      </c>
      <c r="FC1" t="s">
        <v>8271</v>
      </c>
      <c r="FD1" t="s">
        <v>8272</v>
      </c>
      <c r="FE1" t="s">
        <v>8273</v>
      </c>
      <c r="FF1" t="s">
        <v>8274</v>
      </c>
      <c r="FG1" t="s">
        <v>8275</v>
      </c>
      <c r="FH1" t="s">
        <v>8276</v>
      </c>
      <c r="FI1" t="s">
        <v>8277</v>
      </c>
      <c r="FJ1" t="s">
        <v>8278</v>
      </c>
      <c r="FK1" t="s">
        <v>8279</v>
      </c>
      <c r="FL1" t="s">
        <v>8280</v>
      </c>
      <c r="FM1" t="s">
        <v>8281</v>
      </c>
      <c r="FN1" t="s">
        <v>8282</v>
      </c>
      <c r="FO1" t="s">
        <v>8283</v>
      </c>
      <c r="FP1" t="s">
        <v>8284</v>
      </c>
      <c r="FQ1" t="s">
        <v>8285</v>
      </c>
      <c r="FR1" t="s">
        <v>8286</v>
      </c>
      <c r="FS1" t="s">
        <v>8287</v>
      </c>
      <c r="FT1" t="s">
        <v>8288</v>
      </c>
      <c r="FU1" t="s">
        <v>8289</v>
      </c>
      <c r="FV1" t="s">
        <v>8290</v>
      </c>
      <c r="FW1" t="s">
        <v>8291</v>
      </c>
      <c r="FX1" t="s">
        <v>8292</v>
      </c>
      <c r="FY1" t="s">
        <v>8293</v>
      </c>
      <c r="FZ1" t="s">
        <v>8294</v>
      </c>
      <c r="GA1" t="s">
        <v>8295</v>
      </c>
      <c r="GB1" t="s">
        <v>8296</v>
      </c>
      <c r="GC1" t="s">
        <v>8297</v>
      </c>
      <c r="GD1" t="s">
        <v>8298</v>
      </c>
      <c r="GE1" t="s">
        <v>8299</v>
      </c>
      <c r="GF1" t="s">
        <v>8300</v>
      </c>
      <c r="GG1" t="s">
        <v>8301</v>
      </c>
      <c r="GH1" t="s">
        <v>8302</v>
      </c>
      <c r="GI1" t="s">
        <v>8303</v>
      </c>
      <c r="GJ1" t="s">
        <v>8304</v>
      </c>
      <c r="GK1" t="s">
        <v>8305</v>
      </c>
      <c r="GL1" t="s">
        <v>8306</v>
      </c>
      <c r="GM1" t="s">
        <v>8307</v>
      </c>
      <c r="GN1" t="s">
        <v>8308</v>
      </c>
      <c r="GO1" t="s">
        <v>8309</v>
      </c>
      <c r="GP1" t="s">
        <v>8310</v>
      </c>
      <c r="GQ1" t="s">
        <v>8311</v>
      </c>
      <c r="GR1" t="s">
        <v>8312</v>
      </c>
      <c r="GS1" t="s">
        <v>8313</v>
      </c>
      <c r="GT1" t="s">
        <v>8314</v>
      </c>
      <c r="GU1" t="s">
        <v>8315</v>
      </c>
      <c r="GV1" t="s">
        <v>8316</v>
      </c>
      <c r="GW1" t="s">
        <v>8317</v>
      </c>
      <c r="GX1" t="s">
        <v>8318</v>
      </c>
      <c r="GY1" t="s">
        <v>8319</v>
      </c>
      <c r="GZ1" t="s">
        <v>8320</v>
      </c>
      <c r="HA1" t="s">
        <v>8321</v>
      </c>
      <c r="HB1" t="s">
        <v>8322</v>
      </c>
      <c r="HC1" t="s">
        <v>8323</v>
      </c>
      <c r="HD1" t="s">
        <v>8324</v>
      </c>
      <c r="HE1" t="s">
        <v>8325</v>
      </c>
      <c r="HF1" t="s">
        <v>8326</v>
      </c>
      <c r="HG1" t="s">
        <v>8327</v>
      </c>
      <c r="HH1" t="s">
        <v>8328</v>
      </c>
      <c r="HI1" t="s">
        <v>8329</v>
      </c>
      <c r="HJ1" t="s">
        <v>8330</v>
      </c>
      <c r="HK1" t="s">
        <v>8331</v>
      </c>
      <c r="HL1" t="s">
        <v>8332</v>
      </c>
      <c r="HM1" t="s">
        <v>8333</v>
      </c>
      <c r="HN1" t="s">
        <v>8334</v>
      </c>
      <c r="HO1" t="s">
        <v>8335</v>
      </c>
      <c r="HP1" t="s">
        <v>8336</v>
      </c>
      <c r="HQ1" t="s">
        <v>8337</v>
      </c>
      <c r="HR1" t="s">
        <v>8338</v>
      </c>
      <c r="HS1" t="s">
        <v>8339</v>
      </c>
      <c r="HT1" t="s">
        <v>8340</v>
      </c>
      <c r="HU1" t="s">
        <v>8341</v>
      </c>
      <c r="HV1" t="s">
        <v>8342</v>
      </c>
      <c r="HW1" t="s">
        <v>8343</v>
      </c>
      <c r="HX1" t="s">
        <v>8344</v>
      </c>
      <c r="HY1" t="s">
        <v>8345</v>
      </c>
      <c r="HZ1" t="s">
        <v>8346</v>
      </c>
      <c r="IA1" t="s">
        <v>8347</v>
      </c>
      <c r="IB1" t="s">
        <v>8348</v>
      </c>
      <c r="IC1" t="s">
        <v>8349</v>
      </c>
      <c r="ID1" t="s">
        <v>8350</v>
      </c>
      <c r="IE1" t="s">
        <v>8351</v>
      </c>
      <c r="IF1" t="s">
        <v>8352</v>
      </c>
      <c r="IG1" t="s">
        <v>8353</v>
      </c>
      <c r="IH1" t="s">
        <v>8354</v>
      </c>
      <c r="II1" t="s">
        <v>8355</v>
      </c>
      <c r="IJ1" t="s">
        <v>8356</v>
      </c>
      <c r="IK1" t="s">
        <v>8357</v>
      </c>
      <c r="IL1" t="s">
        <v>8358</v>
      </c>
      <c r="IM1" t="s">
        <v>8359</v>
      </c>
      <c r="IN1" t="s">
        <v>8360</v>
      </c>
      <c r="IO1" t="s">
        <v>8361</v>
      </c>
      <c r="IP1" t="s">
        <v>8362</v>
      </c>
      <c r="IQ1" t="s">
        <v>8363</v>
      </c>
      <c r="IR1" t="s">
        <v>8364</v>
      </c>
      <c r="IS1" t="s">
        <v>8365</v>
      </c>
      <c r="IT1" t="s">
        <v>8366</v>
      </c>
      <c r="IU1" t="s">
        <v>8367</v>
      </c>
      <c r="IV1" t="s">
        <v>8368</v>
      </c>
      <c r="IW1" t="s">
        <v>8369</v>
      </c>
      <c r="IX1" t="s">
        <v>8370</v>
      </c>
      <c r="IY1" t="s">
        <v>8371</v>
      </c>
      <c r="IZ1" t="s">
        <v>8372</v>
      </c>
      <c r="JA1" t="s">
        <v>8373</v>
      </c>
      <c r="JB1" t="s">
        <v>8374</v>
      </c>
      <c r="JC1" t="s">
        <v>8375</v>
      </c>
      <c r="JD1" t="s">
        <v>8376</v>
      </c>
      <c r="JE1" t="s">
        <v>8377</v>
      </c>
      <c r="JF1" t="s">
        <v>8378</v>
      </c>
      <c r="JG1" t="s">
        <v>8379</v>
      </c>
      <c r="JH1" t="s">
        <v>8380</v>
      </c>
      <c r="JI1" t="s">
        <v>8381</v>
      </c>
      <c r="JJ1" t="s">
        <v>8382</v>
      </c>
      <c r="JK1" t="s">
        <v>8383</v>
      </c>
      <c r="JL1" t="s">
        <v>8384</v>
      </c>
      <c r="JM1" t="s">
        <v>8385</v>
      </c>
      <c r="JN1" t="s">
        <v>8386</v>
      </c>
      <c r="JO1" t="s">
        <v>8387</v>
      </c>
      <c r="JP1" t="s">
        <v>8388</v>
      </c>
      <c r="JQ1" t="s">
        <v>8389</v>
      </c>
      <c r="JR1" t="s">
        <v>8390</v>
      </c>
      <c r="JS1" t="s">
        <v>8391</v>
      </c>
      <c r="JT1" t="s">
        <v>8392</v>
      </c>
      <c r="JU1" t="s">
        <v>8393</v>
      </c>
      <c r="JV1" t="s">
        <v>8394</v>
      </c>
      <c r="JW1" t="s">
        <v>8395</v>
      </c>
      <c r="JX1" t="s">
        <v>8396</v>
      </c>
      <c r="JY1" t="s">
        <v>8397</v>
      </c>
      <c r="JZ1" t="s">
        <v>8398</v>
      </c>
      <c r="KA1" t="s">
        <v>8399</v>
      </c>
      <c r="KB1" t="s">
        <v>8400</v>
      </c>
      <c r="KC1" t="s">
        <v>8401</v>
      </c>
      <c r="KD1" t="s">
        <v>8402</v>
      </c>
      <c r="KE1" t="s">
        <v>8403</v>
      </c>
      <c r="KF1" t="s">
        <v>8404</v>
      </c>
      <c r="KG1" t="s">
        <v>8405</v>
      </c>
      <c r="KH1" t="s">
        <v>8406</v>
      </c>
      <c r="KI1" t="s">
        <v>8407</v>
      </c>
      <c r="KJ1" t="s">
        <v>8408</v>
      </c>
      <c r="KK1" t="s">
        <v>8409</v>
      </c>
      <c r="KL1" t="s">
        <v>8410</v>
      </c>
      <c r="KM1" t="s">
        <v>8411</v>
      </c>
      <c r="KN1" t="s">
        <v>8412</v>
      </c>
      <c r="KO1" t="s">
        <v>8413</v>
      </c>
      <c r="KP1" t="s">
        <v>8414</v>
      </c>
      <c r="KQ1" t="s">
        <v>8415</v>
      </c>
      <c r="KR1" t="s">
        <v>8416</v>
      </c>
      <c r="KS1" t="s">
        <v>8417</v>
      </c>
      <c r="KT1" t="s">
        <v>8418</v>
      </c>
      <c r="KU1" t="s">
        <v>8419</v>
      </c>
      <c r="KV1" t="s">
        <v>8420</v>
      </c>
      <c r="KW1" t="s">
        <v>8421</v>
      </c>
      <c r="KX1" t="s">
        <v>8422</v>
      </c>
      <c r="KY1" t="s">
        <v>8423</v>
      </c>
      <c r="KZ1" t="s">
        <v>8424</v>
      </c>
      <c r="LA1" t="s">
        <v>8425</v>
      </c>
      <c r="LB1" t="s">
        <v>8426</v>
      </c>
      <c r="LC1" t="s">
        <v>8427</v>
      </c>
      <c r="LD1" t="s">
        <v>8428</v>
      </c>
      <c r="LE1" t="s">
        <v>8429</v>
      </c>
      <c r="LF1" t="s">
        <v>8430</v>
      </c>
      <c r="LG1" t="s">
        <v>8431</v>
      </c>
      <c r="LH1" t="s">
        <v>8432</v>
      </c>
      <c r="LI1" t="s">
        <v>8433</v>
      </c>
      <c r="LJ1" t="s">
        <v>8434</v>
      </c>
      <c r="LK1" t="s">
        <v>8435</v>
      </c>
      <c r="LL1" t="s">
        <v>8436</v>
      </c>
      <c r="LM1" t="s">
        <v>8437</v>
      </c>
      <c r="LN1" t="s">
        <v>8438</v>
      </c>
      <c r="LO1" t="s">
        <v>8439</v>
      </c>
      <c r="LP1" t="s">
        <v>8440</v>
      </c>
      <c r="LQ1" t="s">
        <v>8441</v>
      </c>
      <c r="LR1" t="s">
        <v>8442</v>
      </c>
      <c r="LS1" t="s">
        <v>8443</v>
      </c>
      <c r="LT1" t="s">
        <v>8444</v>
      </c>
      <c r="LU1" t="s">
        <v>8445</v>
      </c>
      <c r="LV1" t="s">
        <v>8446</v>
      </c>
      <c r="LW1" t="s">
        <v>8447</v>
      </c>
      <c r="LX1" t="s">
        <v>8448</v>
      </c>
      <c r="LY1" t="s">
        <v>8449</v>
      </c>
      <c r="LZ1" t="s">
        <v>8450</v>
      </c>
      <c r="MA1" t="s">
        <v>8451</v>
      </c>
      <c r="MB1" t="s">
        <v>8452</v>
      </c>
      <c r="MC1" t="s">
        <v>8453</v>
      </c>
      <c r="MD1" t="s">
        <v>8454</v>
      </c>
      <c r="ME1" t="s">
        <v>8455</v>
      </c>
      <c r="MF1" t="s">
        <v>8456</v>
      </c>
      <c r="MG1" t="s">
        <v>8457</v>
      </c>
      <c r="MH1" t="s">
        <v>8458</v>
      </c>
      <c r="MI1" t="s">
        <v>8459</v>
      </c>
      <c r="MJ1" t="s">
        <v>8460</v>
      </c>
      <c r="MK1" t="s">
        <v>8461</v>
      </c>
      <c r="ML1" t="s">
        <v>8462</v>
      </c>
      <c r="MM1" t="s">
        <v>8463</v>
      </c>
      <c r="MN1" t="s">
        <v>8464</v>
      </c>
      <c r="MO1" t="s">
        <v>8465</v>
      </c>
      <c r="MP1" t="s">
        <v>8466</v>
      </c>
      <c r="MQ1" t="s">
        <v>8467</v>
      </c>
      <c r="MR1" t="s">
        <v>8468</v>
      </c>
      <c r="MS1" t="s">
        <v>8469</v>
      </c>
      <c r="MT1" t="s">
        <v>8470</v>
      </c>
      <c r="MU1" t="s">
        <v>8471</v>
      </c>
      <c r="MV1" t="s">
        <v>8472</v>
      </c>
      <c r="MW1" t="s">
        <v>8473</v>
      </c>
      <c r="MX1" t="s">
        <v>8474</v>
      </c>
      <c r="MY1" t="s">
        <v>8475</v>
      </c>
      <c r="MZ1" t="s">
        <v>8476</v>
      </c>
      <c r="NA1" t="s">
        <v>8477</v>
      </c>
      <c r="NB1" t="s">
        <v>8478</v>
      </c>
      <c r="NC1" t="s">
        <v>8479</v>
      </c>
      <c r="ND1" t="s">
        <v>8480</v>
      </c>
      <c r="NE1" t="s">
        <v>8481</v>
      </c>
      <c r="NF1" t="s">
        <v>8482</v>
      </c>
      <c r="NG1" t="s">
        <v>8483</v>
      </c>
      <c r="NH1" t="s">
        <v>8484</v>
      </c>
      <c r="NI1" t="s">
        <v>8485</v>
      </c>
      <c r="NJ1" t="s">
        <v>8486</v>
      </c>
      <c r="NK1" t="s">
        <v>8487</v>
      </c>
      <c r="NL1" t="s">
        <v>8488</v>
      </c>
      <c r="NM1" t="s">
        <v>8489</v>
      </c>
      <c r="NN1" t="s">
        <v>8490</v>
      </c>
      <c r="NO1" t="s">
        <v>8491</v>
      </c>
      <c r="NP1" t="s">
        <v>8492</v>
      </c>
      <c r="NQ1" t="s">
        <v>8493</v>
      </c>
      <c r="NR1" t="s">
        <v>8494</v>
      </c>
      <c r="NS1" t="s">
        <v>8495</v>
      </c>
      <c r="NT1" t="s">
        <v>8652</v>
      </c>
      <c r="NU1" t="s">
        <v>8651</v>
      </c>
      <c r="NV1" t="s">
        <v>8650</v>
      </c>
      <c r="NW1" t="s">
        <v>8649</v>
      </c>
      <c r="NX1" t="s">
        <v>8648</v>
      </c>
      <c r="NY1" t="s">
        <v>8647</v>
      </c>
      <c r="NZ1" t="s">
        <v>8646</v>
      </c>
      <c r="OA1" t="s">
        <v>8645</v>
      </c>
      <c r="OB1" t="s">
        <v>8644</v>
      </c>
      <c r="OC1" t="s">
        <v>8643</v>
      </c>
      <c r="OD1" t="s">
        <v>8642</v>
      </c>
      <c r="OE1" t="s">
        <v>8641</v>
      </c>
      <c r="OF1" t="s">
        <v>8640</v>
      </c>
      <c r="OG1" t="s">
        <v>8639</v>
      </c>
      <c r="OH1" t="s">
        <v>8638</v>
      </c>
      <c r="OI1" t="s">
        <v>8637</v>
      </c>
      <c r="OJ1" t="s">
        <v>8636</v>
      </c>
      <c r="OK1" t="s">
        <v>8635</v>
      </c>
      <c r="OL1" t="s">
        <v>8634</v>
      </c>
      <c r="OM1" t="s">
        <v>8633</v>
      </c>
      <c r="ON1" t="s">
        <v>8632</v>
      </c>
      <c r="OO1" t="s">
        <v>8631</v>
      </c>
      <c r="OP1" t="s">
        <v>8630</v>
      </c>
      <c r="OQ1" t="s">
        <v>8629</v>
      </c>
      <c r="OR1" t="s">
        <v>8628</v>
      </c>
      <c r="OS1" t="s">
        <v>8627</v>
      </c>
      <c r="OT1" t="s">
        <v>8626</v>
      </c>
      <c r="OU1" t="s">
        <v>8625</v>
      </c>
      <c r="OV1" t="s">
        <v>8624</v>
      </c>
      <c r="OW1" t="s">
        <v>8623</v>
      </c>
      <c r="OX1" t="s">
        <v>8622</v>
      </c>
      <c r="OY1" t="s">
        <v>8621</v>
      </c>
      <c r="OZ1" t="s">
        <v>8620</v>
      </c>
      <c r="PA1" t="s">
        <v>8619</v>
      </c>
      <c r="PB1" t="s">
        <v>8618</v>
      </c>
      <c r="PC1" t="s">
        <v>8617</v>
      </c>
      <c r="PD1" t="s">
        <v>8616</v>
      </c>
      <c r="PE1" t="s">
        <v>8615</v>
      </c>
      <c r="PF1" t="s">
        <v>8614</v>
      </c>
      <c r="PG1" t="s">
        <v>8613</v>
      </c>
    </row>
    <row r="2" spans="1:423" x14ac:dyDescent="0.25">
      <c r="A2" s="14" t="s">
        <v>5509</v>
      </c>
      <c r="B2" s="19" t="s">
        <v>24</v>
      </c>
      <c r="C2" s="19" t="str">
        <f t="shared" ref="C2:C36" si="0">LEFT(A2)&amp;B2</f>
        <v>LN1</v>
      </c>
      <c r="D2" s="15" t="str">
        <f t="shared" ref="D2:D36" si="1">A2&amp;" "&amp;B2</f>
        <v>Libre N1</v>
      </c>
      <c r="E2" s="15" t="s">
        <v>9865</v>
      </c>
      <c r="F2" s="19" t="s">
        <v>5452</v>
      </c>
      <c r="G2" s="19">
        <v>300</v>
      </c>
      <c r="H2" s="19">
        <v>20</v>
      </c>
      <c r="I2" s="126">
        <v>3.1</v>
      </c>
      <c r="J2" s="19" t="s">
        <v>5510</v>
      </c>
      <c r="K2" s="279"/>
      <c r="L2" s="14">
        <v>10</v>
      </c>
      <c r="M2" s="19">
        <v>10</v>
      </c>
      <c r="N2" s="20">
        <v>29.998999999999999</v>
      </c>
      <c r="O2" s="268">
        <v>1</v>
      </c>
      <c r="P2" s="330">
        <v>1</v>
      </c>
      <c r="Q2" s="334">
        <v>2</v>
      </c>
      <c r="R2" s="263"/>
      <c r="S2" s="19"/>
      <c r="T2" s="20"/>
      <c r="U2" t="s">
        <v>5523</v>
      </c>
      <c r="V2" s="17">
        <v>0</v>
      </c>
      <c r="W2" s="17">
        <f>IF(Distances[[#This Row],[Colonne4]]=$G2,V2,Distances[[#This Row],[Colonne4]]+1)</f>
        <v>1</v>
      </c>
      <c r="X2" s="17">
        <f>IF(Distances[[#This Row],[Colonne5]]=$G2,W2,Distances[[#This Row],[Colonne5]]+1)</f>
        <v>2</v>
      </c>
      <c r="Y2" s="17">
        <f>IF(Distances[[#This Row],[Colonne6]]=$G2,X2,Distances[[#This Row],[Colonne6]]+1)</f>
        <v>3</v>
      </c>
      <c r="Z2" s="17">
        <f>IF(Distances[[#This Row],[Colonne7]]=$G2,Y2,Distances[[#This Row],[Colonne7]]+1)</f>
        <v>4</v>
      </c>
      <c r="AA2" s="17">
        <f>IF(Distances[[#This Row],[Colonne8]]=$G2,Z2,Distances[[#This Row],[Colonne8]]+1)</f>
        <v>5</v>
      </c>
      <c r="AB2" s="17">
        <f>IF(Distances[[#This Row],[Colonne9]]=$G2,AA2,Distances[[#This Row],[Colonne9]]+1)</f>
        <v>6</v>
      </c>
      <c r="AC2" s="17">
        <f>IF(Distances[[#This Row],[Colonne10]]=$G2,AB2,Distances[[#This Row],[Colonne10]]+1)</f>
        <v>7</v>
      </c>
      <c r="AD2" s="17">
        <f>IF(Distances[[#This Row],[Colonne11]]=$G2,AC2,Distances[[#This Row],[Colonne11]]+1)</f>
        <v>8</v>
      </c>
      <c r="AE2" s="17">
        <f>IF(Distances[[#This Row],[Colonne12]]=$G2,AD2,Distances[[#This Row],[Colonne12]]+1)</f>
        <v>9</v>
      </c>
      <c r="AF2" s="17">
        <f>IF(Distances[[#This Row],[Colonne13]]=$G2,AE2,Distances[[#This Row],[Colonne13]]+1)</f>
        <v>10</v>
      </c>
      <c r="AG2" s="17">
        <f>IF(Distances[[#This Row],[Colonne14]]=$G2,AF2,Distances[[#This Row],[Colonne14]]+1)</f>
        <v>11</v>
      </c>
      <c r="AH2" s="17">
        <f>IF(Distances[[#This Row],[Colonne15]]=$G2,AG2,Distances[[#This Row],[Colonne15]]+1)</f>
        <v>12</v>
      </c>
      <c r="AI2" s="17">
        <f>IF(Distances[[#This Row],[Colonne16]]=$G2,AH2,Distances[[#This Row],[Colonne16]]+1)</f>
        <v>13</v>
      </c>
      <c r="AJ2" s="17">
        <f>IF(Distances[[#This Row],[Colonne17]]=$G2,AI2,Distances[[#This Row],[Colonne17]]+1)</f>
        <v>14</v>
      </c>
      <c r="AK2" s="17">
        <f>IF(Distances[[#This Row],[Colonne18]]=$G2,AJ2,Distances[[#This Row],[Colonne18]]+1)</f>
        <v>15</v>
      </c>
      <c r="AL2" s="17">
        <f>IF(Distances[[#This Row],[Colonne19]]=$G2,AK2,Distances[[#This Row],[Colonne19]]+1)</f>
        <v>16</v>
      </c>
      <c r="AM2" s="17">
        <f>IF(Distances[[#This Row],[Colonne20]]=$G2,AL2,Distances[[#This Row],[Colonne20]]+1)</f>
        <v>17</v>
      </c>
      <c r="AN2" s="17">
        <f>IF(Distances[[#This Row],[Colonne21]]=$G2,AM2,Distances[[#This Row],[Colonne21]]+1)</f>
        <v>18</v>
      </c>
      <c r="AO2" s="17">
        <f>IF(Distances[[#This Row],[Colonne22]]=$G2,AN2,Distances[[#This Row],[Colonne22]]+1)</f>
        <v>19</v>
      </c>
      <c r="AP2" s="17">
        <f>IF(Distances[[#This Row],[Colonne23]]=$G2,AO2,Distances[[#This Row],[Colonne23]]+1)</f>
        <v>20</v>
      </c>
      <c r="AQ2" s="17">
        <f>IF(Distances[[#This Row],[Colonne24]]=$G2,AP2,Distances[[#This Row],[Colonne24]]+1)</f>
        <v>21</v>
      </c>
      <c r="AR2" s="17">
        <f>IF(Distances[[#This Row],[Colonne25]]=$G2,AQ2,Distances[[#This Row],[Colonne25]]+1)</f>
        <v>22</v>
      </c>
      <c r="AS2" s="17">
        <f>IF(Distances[[#This Row],[Colonne26]]=$G2,AR2,Distances[[#This Row],[Colonne26]]+1)</f>
        <v>23</v>
      </c>
      <c r="AT2" s="17">
        <f>IF(Distances[[#This Row],[Colonne27]]=$G2,AS2,Distances[[#This Row],[Colonne27]]+1)</f>
        <v>24</v>
      </c>
      <c r="AU2" s="17">
        <f>IF(Distances[[#This Row],[Colonne28]]=$G2,AT2,Distances[[#This Row],[Colonne28]]+1)</f>
        <v>25</v>
      </c>
      <c r="AV2" s="17">
        <f>IF(Distances[[#This Row],[Colonne29]]=$G2,AU2,Distances[[#This Row],[Colonne29]]+1)</f>
        <v>26</v>
      </c>
      <c r="AW2" s="17">
        <f>IF(Distances[[#This Row],[Colonne30]]=$G2,AV2,Distances[[#This Row],[Colonne30]]+1)</f>
        <v>27</v>
      </c>
      <c r="AX2" s="17">
        <f>IF(Distances[[#This Row],[Colonne31]]=$G2,AW2,Distances[[#This Row],[Colonne31]]+1)</f>
        <v>28</v>
      </c>
      <c r="AY2" s="17">
        <f>IF(Distances[[#This Row],[Colonne32]]=$G2,AX2,Distances[[#This Row],[Colonne32]]+1)</f>
        <v>29</v>
      </c>
      <c r="AZ2" s="17">
        <f>IF(Distances[[#This Row],[Colonne33]]=$G2,AY2,Distances[[#This Row],[Colonne33]]+1)</f>
        <v>30</v>
      </c>
      <c r="BA2" s="17">
        <f>IF(Distances[[#This Row],[Colonne34]]=$G2,AZ2,Distances[[#This Row],[Colonne34]]+1)</f>
        <v>31</v>
      </c>
      <c r="BB2" s="17">
        <f>IF(Distances[[#This Row],[Colonne35]]=$G2,BA2,Distances[[#This Row],[Colonne35]]+1)</f>
        <v>32</v>
      </c>
      <c r="BC2" s="17">
        <f>IF(Distances[[#This Row],[Colonne36]]=$G2,BB2,Distances[[#This Row],[Colonne36]]+1)</f>
        <v>33</v>
      </c>
      <c r="BD2" s="17">
        <f>IF(Distances[[#This Row],[Colonne37]]=$G2,BC2,Distances[[#This Row],[Colonne37]]+1)</f>
        <v>34</v>
      </c>
      <c r="BE2" s="17">
        <f>IF(Distances[[#This Row],[Colonne38]]=$G2,BD2,Distances[[#This Row],[Colonne38]]+1)</f>
        <v>35</v>
      </c>
      <c r="BF2" s="17">
        <f>IF(Distances[[#This Row],[Colonne39]]=$G2,BE2,Distances[[#This Row],[Colonne39]]+1)</f>
        <v>36</v>
      </c>
      <c r="BG2" s="17">
        <f>IF(Distances[[#This Row],[Colonne40]]=$G2,BF2,Distances[[#This Row],[Colonne40]]+1)</f>
        <v>37</v>
      </c>
      <c r="BH2" s="17">
        <f>IF(Distances[[#This Row],[Colonne41]]=$G2,BG2,Distances[[#This Row],[Colonne41]]+1)</f>
        <v>38</v>
      </c>
      <c r="BI2" s="17">
        <f>IF(Distances[[#This Row],[Colonne42]]=$G2,BH2,Distances[[#This Row],[Colonne42]]+1)</f>
        <v>39</v>
      </c>
      <c r="BJ2" s="17">
        <f>IF(Distances[[#This Row],[Colonne43]]=$G2,BI2,Distances[[#This Row],[Colonne43]]+1)</f>
        <v>40</v>
      </c>
      <c r="BK2" s="17">
        <f>IF(Distances[[#This Row],[Colonne44]]=$G2,BJ2,Distances[[#This Row],[Colonne44]]+1)</f>
        <v>41</v>
      </c>
      <c r="BL2" s="17">
        <f>IF(Distances[[#This Row],[Colonne45]]=$G2,BK2,Distances[[#This Row],[Colonne45]]+1)</f>
        <v>42</v>
      </c>
      <c r="BM2" s="17">
        <f>IF(Distances[[#This Row],[Colonne46]]=$G2,BL2,Distances[[#This Row],[Colonne46]]+1)</f>
        <v>43</v>
      </c>
      <c r="BN2" s="17">
        <f>IF(Distances[[#This Row],[Colonne47]]=$G2,BM2,Distances[[#This Row],[Colonne47]]+1)</f>
        <v>44</v>
      </c>
      <c r="BO2" s="17">
        <f>IF(Distances[[#This Row],[Colonne48]]=$G2,BN2,Distances[[#This Row],[Colonne48]]+1)</f>
        <v>45</v>
      </c>
      <c r="BP2" s="17">
        <f>IF(Distances[[#This Row],[Colonne49]]=$G2,BO2,Distances[[#This Row],[Colonne49]]+1)</f>
        <v>46</v>
      </c>
      <c r="BQ2" s="17">
        <f>IF(Distances[[#This Row],[Colonne50]]=$G2,BP2,Distances[[#This Row],[Colonne50]]+1)</f>
        <v>47</v>
      </c>
      <c r="BR2" s="17">
        <f>IF(Distances[[#This Row],[Colonne51]]=$G2,BQ2,Distances[[#This Row],[Colonne51]]+1)</f>
        <v>48</v>
      </c>
      <c r="BS2" s="17">
        <f>IF(Distances[[#This Row],[Colonne52]]=$G2,BR2,Distances[[#This Row],[Colonne52]]+1)</f>
        <v>49</v>
      </c>
      <c r="BT2" s="17">
        <f>IF(Distances[[#This Row],[Colonne53]]=$G2,BS2,Distances[[#This Row],[Colonne53]]+1)</f>
        <v>50</v>
      </c>
      <c r="BU2" s="17">
        <f>IF(Distances[[#This Row],[Colonne54]]=$G2,BT2,Distances[[#This Row],[Colonne54]]+1)</f>
        <v>51</v>
      </c>
      <c r="BV2" s="17">
        <f>IF(Distances[[#This Row],[Colonne55]]=$G2,BU2,Distances[[#This Row],[Colonne55]]+1)</f>
        <v>52</v>
      </c>
      <c r="BW2" s="17">
        <f>IF(Distances[[#This Row],[Colonne56]]=$G2,BV2,Distances[[#This Row],[Colonne56]]+1)</f>
        <v>53</v>
      </c>
      <c r="BX2" s="17">
        <f>IF(Distances[[#This Row],[Colonne57]]=$G2,BW2,Distances[[#This Row],[Colonne57]]+1)</f>
        <v>54</v>
      </c>
      <c r="BY2" s="17">
        <f>IF(Distances[[#This Row],[Colonne58]]=$G2,BX2,Distances[[#This Row],[Colonne58]]+1)</f>
        <v>55</v>
      </c>
      <c r="BZ2" s="17">
        <f>IF(Distances[[#This Row],[Colonne59]]=$G2,BY2,Distances[[#This Row],[Colonne59]]+1)</f>
        <v>56</v>
      </c>
      <c r="CA2" s="17">
        <f>IF(Distances[[#This Row],[Colonne60]]=$G2,BZ2,Distances[[#This Row],[Colonne60]]+1)</f>
        <v>57</v>
      </c>
      <c r="CB2" s="17">
        <f>IF(Distances[[#This Row],[Colonne61]]=$G2,CA2,Distances[[#This Row],[Colonne61]]+1)</f>
        <v>58</v>
      </c>
      <c r="CC2" s="17">
        <f>IF(Distances[[#This Row],[Colonne62]]=$G2,CB2,Distances[[#This Row],[Colonne62]]+1)</f>
        <v>59</v>
      </c>
      <c r="CD2" s="17">
        <f>IF(Distances[[#This Row],[Colonne63]]=$G2,CC2,Distances[[#This Row],[Colonne63]]+1)</f>
        <v>60</v>
      </c>
      <c r="CE2" s="17">
        <f>IF(Distances[[#This Row],[Colonne64]]=$G2,CD2,Distances[[#This Row],[Colonne64]]+1)</f>
        <v>61</v>
      </c>
      <c r="CF2" s="17">
        <f>IF(Distances[[#This Row],[Colonne65]]=$G2,CE2,Distances[[#This Row],[Colonne65]]+1)</f>
        <v>62</v>
      </c>
      <c r="CG2" s="17">
        <f>IF(Distances[[#This Row],[Colonne66]]=$G2,CF2,Distances[[#This Row],[Colonne66]]+1)</f>
        <v>63</v>
      </c>
      <c r="CH2" s="17">
        <f>IF(Distances[[#This Row],[Colonne67]]=$G2,CG2,Distances[[#This Row],[Colonne67]]+1)</f>
        <v>64</v>
      </c>
      <c r="CI2" s="17">
        <f>IF(Distances[[#This Row],[Colonne68]]=$G2,CH2,Distances[[#This Row],[Colonne68]]+1)</f>
        <v>65</v>
      </c>
      <c r="CJ2" s="17">
        <f>IF(Distances[[#This Row],[Colonne69]]=$G2,CI2,Distances[[#This Row],[Colonne69]]+1)</f>
        <v>66</v>
      </c>
      <c r="CK2" s="17">
        <f>IF(Distances[[#This Row],[Colonne70]]=$G2,CJ2,Distances[[#This Row],[Colonne70]]+1)</f>
        <v>67</v>
      </c>
      <c r="CL2" s="17">
        <f>IF(Distances[[#This Row],[Colonne71]]=$G2,CK2,Distances[[#This Row],[Colonne71]]+1)</f>
        <v>68</v>
      </c>
      <c r="CM2" s="17">
        <f>IF(Distances[[#This Row],[Colonne72]]=$G2,CL2,Distances[[#This Row],[Colonne72]]+1)</f>
        <v>69</v>
      </c>
      <c r="CN2" s="17">
        <f>IF(Distances[[#This Row],[Colonne73]]=$G2,CM2,Distances[[#This Row],[Colonne73]]+1)</f>
        <v>70</v>
      </c>
      <c r="CO2" s="17">
        <f>IF(Distances[[#This Row],[Colonne74]]=$G2,CN2,Distances[[#This Row],[Colonne74]]+1)</f>
        <v>71</v>
      </c>
      <c r="CP2" s="17">
        <f>IF(Distances[[#This Row],[Colonne75]]=$G2,CO2,Distances[[#This Row],[Colonne75]]+1)</f>
        <v>72</v>
      </c>
      <c r="CQ2" s="17">
        <f>IF(Distances[[#This Row],[Colonne76]]=$G2,CP2,Distances[[#This Row],[Colonne76]]+1)</f>
        <v>73</v>
      </c>
      <c r="CR2" s="17">
        <f>IF(Distances[[#This Row],[Colonne77]]=$G2,CQ2,Distances[[#This Row],[Colonne77]]+1)</f>
        <v>74</v>
      </c>
      <c r="CS2" s="17">
        <f>IF(Distances[[#This Row],[Colonne78]]=$G2,CR2,Distances[[#This Row],[Colonne78]]+1)</f>
        <v>75</v>
      </c>
      <c r="CT2" s="17">
        <f>IF(Distances[[#This Row],[Colonne79]]=$G2,CS2,Distances[[#This Row],[Colonne79]]+1)</f>
        <v>76</v>
      </c>
      <c r="CU2" s="17">
        <f>IF(Distances[[#This Row],[Colonne80]]=$G2,CT2,Distances[[#This Row],[Colonne80]]+1)</f>
        <v>77</v>
      </c>
      <c r="CV2" s="17">
        <f>IF(Distances[[#This Row],[Colonne81]]=$G2,CU2,Distances[[#This Row],[Colonne81]]+1)</f>
        <v>78</v>
      </c>
      <c r="CW2" s="17">
        <f>IF(Distances[[#This Row],[Colonne82]]=$G2,CV2,Distances[[#This Row],[Colonne82]]+1)</f>
        <v>79</v>
      </c>
      <c r="CX2" s="17">
        <f>IF(Distances[[#This Row],[Colonne83]]=$G2,CW2,Distances[[#This Row],[Colonne83]]+1)</f>
        <v>80</v>
      </c>
      <c r="CY2" s="17">
        <f>IF(Distances[[#This Row],[Colonne84]]=$G2,CX2,Distances[[#This Row],[Colonne84]]+1)</f>
        <v>81</v>
      </c>
      <c r="CZ2" s="17">
        <f>IF(Distances[[#This Row],[Colonne85]]=$G2,CY2,Distances[[#This Row],[Colonne85]]+1)</f>
        <v>82</v>
      </c>
      <c r="DA2" s="17">
        <f>IF(Distances[[#This Row],[Colonne86]]=$G2,CZ2,Distances[[#This Row],[Colonne86]]+1)</f>
        <v>83</v>
      </c>
      <c r="DB2" s="17">
        <f>IF(Distances[[#This Row],[Colonne87]]=$G2,DA2,Distances[[#This Row],[Colonne87]]+1)</f>
        <v>84</v>
      </c>
      <c r="DC2" s="17">
        <f>IF(Distances[[#This Row],[Colonne88]]=$G2,DB2,Distances[[#This Row],[Colonne88]]+1)</f>
        <v>85</v>
      </c>
      <c r="DD2" s="17">
        <f>IF(Distances[[#This Row],[Colonne89]]=$G2,DC2,Distances[[#This Row],[Colonne89]]+1)</f>
        <v>86</v>
      </c>
      <c r="DE2" s="17">
        <f>IF(Distances[[#This Row],[Colonne90]]=$G2,DD2,Distances[[#This Row],[Colonne90]]+1)</f>
        <v>87</v>
      </c>
      <c r="DF2" s="17">
        <f>IF(Distances[[#This Row],[Colonne91]]=$G2,DE2,Distances[[#This Row],[Colonne91]]+1)</f>
        <v>88</v>
      </c>
      <c r="DG2" s="17">
        <f>IF(Distances[[#This Row],[Colonne92]]=$G2,DF2,Distances[[#This Row],[Colonne92]]+1)</f>
        <v>89</v>
      </c>
      <c r="DH2" s="17">
        <f>IF(Distances[[#This Row],[Colonne93]]=$G2,DG2,Distances[[#This Row],[Colonne93]]+1)</f>
        <v>90</v>
      </c>
      <c r="DI2" s="17">
        <f>IF(Distances[[#This Row],[Colonne94]]=$G2,DH2,Distances[[#This Row],[Colonne94]]+1)</f>
        <v>91</v>
      </c>
      <c r="DJ2" s="17">
        <f>IF(Distances[[#This Row],[Colonne95]]=$G2,DI2,Distances[[#This Row],[Colonne95]]+1)</f>
        <v>92</v>
      </c>
      <c r="DK2" s="17">
        <f>IF(Distances[[#This Row],[Colonne96]]=$G2,DJ2,Distances[[#This Row],[Colonne96]]+1)</f>
        <v>93</v>
      </c>
      <c r="DL2" s="17">
        <f>IF(Distances[[#This Row],[Colonne97]]=$G2,DK2,Distances[[#This Row],[Colonne97]]+1)</f>
        <v>94</v>
      </c>
      <c r="DM2" s="17">
        <f>IF(Distances[[#This Row],[Colonne98]]=$G2,DL2,Distances[[#This Row],[Colonne98]]+1)</f>
        <v>95</v>
      </c>
      <c r="DN2" s="17">
        <f>IF(Distances[[#This Row],[Colonne99]]=$G2,DM2,Distances[[#This Row],[Colonne99]]+1)</f>
        <v>96</v>
      </c>
      <c r="DO2" s="17">
        <f>IF(Distances[[#This Row],[Colonne100]]=$G2,DN2,Distances[[#This Row],[Colonne100]]+1)</f>
        <v>97</v>
      </c>
      <c r="DP2" s="17">
        <f>IF(Distances[[#This Row],[Colonne101]]=$G2,DO2,Distances[[#This Row],[Colonne101]]+1)</f>
        <v>98</v>
      </c>
      <c r="DQ2" s="17">
        <f>IF(Distances[[#This Row],[Colonne102]]=$G2,DP2,Distances[[#This Row],[Colonne102]]+1)</f>
        <v>99</v>
      </c>
      <c r="DR2" s="17">
        <f>IF(Distances[[#This Row],[Colonne103]]=$G2,DQ2,Distances[[#This Row],[Colonne103]]+1)</f>
        <v>100</v>
      </c>
      <c r="DS2" s="17">
        <f>IF(Distances[[#This Row],[Colonne104]]=$G2,DR2,Distances[[#This Row],[Colonne104]]+1)</f>
        <v>101</v>
      </c>
      <c r="DT2" s="17">
        <f>IF(Distances[[#This Row],[Colonne105]]=$G2,DS2,Distances[[#This Row],[Colonne105]]+1)</f>
        <v>102</v>
      </c>
      <c r="DU2" s="17">
        <f>IF(Distances[[#This Row],[Colonne106]]=$G2,DT2,Distances[[#This Row],[Colonne106]]+1)</f>
        <v>103</v>
      </c>
      <c r="DV2" s="17">
        <f>IF(Distances[[#This Row],[Colonne107]]=$G2,DU2,Distances[[#This Row],[Colonne107]]+1)</f>
        <v>104</v>
      </c>
      <c r="DW2" s="17">
        <f>IF(Distances[[#This Row],[Colonne108]]=$G2,DV2,Distances[[#This Row],[Colonne108]]+1)</f>
        <v>105</v>
      </c>
      <c r="DX2" s="17">
        <f>IF(Distances[[#This Row],[Colonne109]]=$G2,DW2,Distances[[#This Row],[Colonne109]]+1)</f>
        <v>106</v>
      </c>
      <c r="DY2" s="17">
        <f>IF(Distances[[#This Row],[Colonne110]]=$G2,DX2,Distances[[#This Row],[Colonne110]]+1)</f>
        <v>107</v>
      </c>
      <c r="DZ2" s="17">
        <f>IF(Distances[[#This Row],[Colonne111]]=$G2,DY2,Distances[[#This Row],[Colonne111]]+1)</f>
        <v>108</v>
      </c>
      <c r="EA2" s="17">
        <f>IF(Distances[[#This Row],[Colonne112]]=$G2,DZ2,Distances[[#This Row],[Colonne112]]+1)</f>
        <v>109</v>
      </c>
      <c r="EB2" s="17">
        <f>IF(Distances[[#This Row],[Colonne113]]=$G2,EA2,Distances[[#This Row],[Colonne113]]+1)</f>
        <v>110</v>
      </c>
      <c r="EC2" s="17">
        <f>IF(Distances[[#This Row],[Colonne114]]=$G2,EB2,Distances[[#This Row],[Colonne114]]+1)</f>
        <v>111</v>
      </c>
      <c r="ED2" s="17">
        <f>IF(Distances[[#This Row],[Colonne115]]=$G2,EC2,Distances[[#This Row],[Colonne115]]+1)</f>
        <v>112</v>
      </c>
      <c r="EE2" s="17">
        <f>IF(Distances[[#This Row],[Colonne116]]=$G2,ED2,Distances[[#This Row],[Colonne116]]+1)</f>
        <v>113</v>
      </c>
      <c r="EF2" s="17">
        <f>IF(Distances[[#This Row],[Colonne117]]=$G2,EE2,Distances[[#This Row],[Colonne117]]+1)</f>
        <v>114</v>
      </c>
      <c r="EG2" s="17">
        <f>IF(Distances[[#This Row],[Colonne118]]=$G2,EF2,Distances[[#This Row],[Colonne118]]+1)</f>
        <v>115</v>
      </c>
      <c r="EH2" s="17">
        <f>IF(Distances[[#This Row],[Colonne119]]=$G2,EG2,Distances[[#This Row],[Colonne119]]+1)</f>
        <v>116</v>
      </c>
      <c r="EI2" s="17">
        <f>IF(Distances[[#This Row],[Colonne120]]=$G2,EH2,Distances[[#This Row],[Colonne120]]+1)</f>
        <v>117</v>
      </c>
      <c r="EJ2" s="17">
        <f>IF(Distances[[#This Row],[Colonne121]]=$G2,EI2,Distances[[#This Row],[Colonne121]]+1)</f>
        <v>118</v>
      </c>
      <c r="EK2" s="17">
        <f>IF(Distances[[#This Row],[Colonne122]]=$G2,EJ2,Distances[[#This Row],[Colonne122]]+1)</f>
        <v>119</v>
      </c>
      <c r="EL2" s="17">
        <f>IF(Distances[[#This Row],[Colonne123]]=$G2,EK2,Distances[[#This Row],[Colonne123]]+1)</f>
        <v>120</v>
      </c>
      <c r="EM2" s="17">
        <f>IF(Distances[[#This Row],[Colonne124]]=$G2,EL2,Distances[[#This Row],[Colonne124]]+1)</f>
        <v>121</v>
      </c>
      <c r="EN2" s="17">
        <f>IF(Distances[[#This Row],[Colonne125]]=$G2,EM2,Distances[[#This Row],[Colonne125]]+1)</f>
        <v>122</v>
      </c>
      <c r="EO2" s="17">
        <f>IF(Distances[[#This Row],[Colonne126]]=$G2,EN2,Distances[[#This Row],[Colonne126]]+1)</f>
        <v>123</v>
      </c>
      <c r="EP2" s="17">
        <f>IF(Distances[[#This Row],[Colonne127]]=$G2,EO2,Distances[[#This Row],[Colonne127]]+1)</f>
        <v>124</v>
      </c>
      <c r="EQ2" s="17">
        <f>IF(Distances[[#This Row],[Colonne128]]=$G2,EP2,Distances[[#This Row],[Colonne128]]+1)</f>
        <v>125</v>
      </c>
      <c r="ER2" s="17">
        <f>IF(Distances[[#This Row],[Colonne129]]=$G2,EQ2,Distances[[#This Row],[Colonne129]]+1)</f>
        <v>126</v>
      </c>
      <c r="ES2" s="17">
        <f>IF(Distances[[#This Row],[Colonne130]]=$G2,ER2,Distances[[#This Row],[Colonne130]]+1)</f>
        <v>127</v>
      </c>
      <c r="ET2" s="17">
        <f>IF(Distances[[#This Row],[Colonne131]]=$G2,ES2,Distances[[#This Row],[Colonne131]]+1)</f>
        <v>128</v>
      </c>
      <c r="EU2" s="17">
        <f>IF(Distances[[#This Row],[Colonne132]]=$G2,ET2,Distances[[#This Row],[Colonne132]]+1)</f>
        <v>129</v>
      </c>
      <c r="EV2" s="17">
        <f>IF(Distances[[#This Row],[Colonne133]]=$G2,EU2,Distances[[#This Row],[Colonne133]]+1)</f>
        <v>130</v>
      </c>
      <c r="EW2" s="17">
        <f>IF(Distances[[#This Row],[Colonne134]]=$G2,EV2,Distances[[#This Row],[Colonne134]]+1)</f>
        <v>131</v>
      </c>
      <c r="EX2" s="17">
        <f>IF(Distances[[#This Row],[Colonne135]]=$G2,EW2,Distances[[#This Row],[Colonne135]]+1)</f>
        <v>132</v>
      </c>
      <c r="EY2" s="17">
        <f>IF(Distances[[#This Row],[Colonne136]]=$G2,EX2,Distances[[#This Row],[Colonne136]]+1)</f>
        <v>133</v>
      </c>
      <c r="EZ2" s="17">
        <f>IF(Distances[[#This Row],[Colonne137]]=$G2,EY2,Distances[[#This Row],[Colonne137]]+1)</f>
        <v>134</v>
      </c>
      <c r="FA2" s="17">
        <f>IF(Distances[[#This Row],[Colonne138]]=$G2,EZ2,Distances[[#This Row],[Colonne138]]+1)</f>
        <v>135</v>
      </c>
      <c r="FB2" s="17">
        <f>IF(Distances[[#This Row],[Colonne139]]=$G2,FA2,Distances[[#This Row],[Colonne139]]+1)</f>
        <v>136</v>
      </c>
      <c r="FC2" s="17">
        <f>IF(Distances[[#This Row],[Colonne140]]=$G2,FB2,Distances[[#This Row],[Colonne140]]+1)</f>
        <v>137</v>
      </c>
      <c r="FD2" s="17">
        <f>IF(Distances[[#This Row],[Colonne141]]=$G2,FC2,Distances[[#This Row],[Colonne141]]+1)</f>
        <v>138</v>
      </c>
      <c r="FE2" s="17">
        <f>IF(Distances[[#This Row],[Colonne142]]=$G2,FD2,Distances[[#This Row],[Colonne142]]+1)</f>
        <v>139</v>
      </c>
      <c r="FF2" s="17">
        <f>IF(Distances[[#This Row],[Colonne143]]=$G2,FE2,Distances[[#This Row],[Colonne143]]+1)</f>
        <v>140</v>
      </c>
      <c r="FG2" s="17">
        <f>IF(Distances[[#This Row],[Colonne144]]=$G2,FF2,Distances[[#This Row],[Colonne144]]+1)</f>
        <v>141</v>
      </c>
      <c r="FH2" s="17">
        <f>IF(Distances[[#This Row],[Colonne145]]=$G2,FG2,Distances[[#This Row],[Colonne145]]+1)</f>
        <v>142</v>
      </c>
      <c r="FI2" s="17">
        <f>IF(Distances[[#This Row],[Colonne146]]=$G2,FH2,Distances[[#This Row],[Colonne146]]+1)</f>
        <v>143</v>
      </c>
      <c r="FJ2" s="17">
        <f>IF(Distances[[#This Row],[Colonne147]]=$G2,FI2,Distances[[#This Row],[Colonne147]]+1)</f>
        <v>144</v>
      </c>
      <c r="FK2" s="17">
        <f>IF(Distances[[#This Row],[Colonne148]]=$G2,FJ2,Distances[[#This Row],[Colonne148]]+1)</f>
        <v>145</v>
      </c>
      <c r="FL2" s="17">
        <f>IF(Distances[[#This Row],[Colonne149]]=$G2,FK2,Distances[[#This Row],[Colonne149]]+1)</f>
        <v>146</v>
      </c>
      <c r="FM2" s="17">
        <f>IF(Distances[[#This Row],[Colonne150]]=$G2,FL2,Distances[[#This Row],[Colonne150]]+1)</f>
        <v>147</v>
      </c>
      <c r="FN2" s="17">
        <f>IF(Distances[[#This Row],[Colonne151]]=$G2,FM2,Distances[[#This Row],[Colonne151]]+1)</f>
        <v>148</v>
      </c>
      <c r="FO2" s="17">
        <f>IF(Distances[[#This Row],[Colonne152]]=$G2,FN2,Distances[[#This Row],[Colonne152]]+1)</f>
        <v>149</v>
      </c>
      <c r="FP2" s="17">
        <f>IF(Distances[[#This Row],[Colonne153]]=$G2,FO2,Distances[[#This Row],[Colonne153]]+1)</f>
        <v>150</v>
      </c>
      <c r="FQ2" s="17">
        <f>IF(Distances[[#This Row],[Colonne154]]=$G2,FP2,Distances[[#This Row],[Colonne154]]+1)</f>
        <v>151</v>
      </c>
      <c r="FR2" s="17">
        <f>IF(Distances[[#This Row],[Colonne155]]=$G2,FQ2,Distances[[#This Row],[Colonne155]]+1)</f>
        <v>152</v>
      </c>
      <c r="FS2" s="17">
        <f>IF(Distances[[#This Row],[Colonne156]]=$G2,FR2,Distances[[#This Row],[Colonne156]]+1)</f>
        <v>153</v>
      </c>
      <c r="FT2" s="17">
        <f>IF(Distances[[#This Row],[Colonne157]]=$G2,FS2,Distances[[#This Row],[Colonne157]]+1)</f>
        <v>154</v>
      </c>
      <c r="FU2" s="17">
        <f>IF(Distances[[#This Row],[Colonne158]]=$G2,FT2,Distances[[#This Row],[Colonne158]]+1)</f>
        <v>155</v>
      </c>
      <c r="FV2" s="17">
        <f>IF(Distances[[#This Row],[Colonne159]]=$G2,FU2,Distances[[#This Row],[Colonne159]]+1)</f>
        <v>156</v>
      </c>
      <c r="FW2" s="17">
        <f>IF(Distances[[#This Row],[Colonne160]]=$G2,FV2,Distances[[#This Row],[Colonne160]]+1)</f>
        <v>157</v>
      </c>
      <c r="FX2" s="17">
        <f>IF(Distances[[#This Row],[Colonne161]]=$G2,FW2,Distances[[#This Row],[Colonne161]]+1)</f>
        <v>158</v>
      </c>
      <c r="FY2" s="17">
        <f>IF(Distances[[#This Row],[Colonne162]]=$G2,FX2,Distances[[#This Row],[Colonne162]]+1)</f>
        <v>159</v>
      </c>
      <c r="FZ2" s="17">
        <f>IF(Distances[[#This Row],[Colonne163]]=$G2,FY2,Distances[[#This Row],[Colonne163]]+1)</f>
        <v>160</v>
      </c>
      <c r="GA2" s="17">
        <f>IF(Distances[[#This Row],[Colonne164]]=$G2,FZ2,Distances[[#This Row],[Colonne164]]+1)</f>
        <v>161</v>
      </c>
      <c r="GB2" s="17">
        <f>IF(Distances[[#This Row],[Colonne165]]=$G2,GA2,Distances[[#This Row],[Colonne165]]+1)</f>
        <v>162</v>
      </c>
      <c r="GC2" s="17">
        <f>IF(Distances[[#This Row],[Colonne166]]=$G2,GB2,Distances[[#This Row],[Colonne166]]+1)</f>
        <v>163</v>
      </c>
      <c r="GD2" s="17">
        <f>IF(Distances[[#This Row],[Colonne167]]=$G2,GC2,Distances[[#This Row],[Colonne167]]+1)</f>
        <v>164</v>
      </c>
      <c r="GE2" s="17">
        <f>IF(Distances[[#This Row],[Colonne168]]=$G2,GD2,Distances[[#This Row],[Colonne168]]+1)</f>
        <v>165</v>
      </c>
      <c r="GF2" s="17">
        <f>IF(Distances[[#This Row],[Colonne169]]=$G2,GE2,Distances[[#This Row],[Colonne169]]+1)</f>
        <v>166</v>
      </c>
      <c r="GG2" s="17">
        <f>IF(Distances[[#This Row],[Colonne170]]=$G2,GF2,Distances[[#This Row],[Colonne170]]+1)</f>
        <v>167</v>
      </c>
      <c r="GH2" s="17">
        <f>IF(Distances[[#This Row],[Colonne171]]=$G2,GG2,Distances[[#This Row],[Colonne171]]+1)</f>
        <v>168</v>
      </c>
      <c r="GI2" s="17">
        <f>IF(Distances[[#This Row],[Colonne172]]=$G2,GH2,Distances[[#This Row],[Colonne172]]+1)</f>
        <v>169</v>
      </c>
      <c r="GJ2" s="17">
        <f>IF(Distances[[#This Row],[Colonne173]]=$G2,GI2,Distances[[#This Row],[Colonne173]]+1)</f>
        <v>170</v>
      </c>
      <c r="GK2" s="17">
        <f>IF(Distances[[#This Row],[Colonne174]]=$G2,GJ2,Distances[[#This Row],[Colonne174]]+1)</f>
        <v>171</v>
      </c>
      <c r="GL2" s="17">
        <f>IF(Distances[[#This Row],[Colonne175]]=$G2,GK2,Distances[[#This Row],[Colonne175]]+1)</f>
        <v>172</v>
      </c>
      <c r="GM2" s="17">
        <f>IF(Distances[[#This Row],[Colonne176]]=$G2,GL2,Distances[[#This Row],[Colonne176]]+1)</f>
        <v>173</v>
      </c>
      <c r="GN2" s="17">
        <f>IF(Distances[[#This Row],[Colonne177]]=$G2,GM2,Distances[[#This Row],[Colonne177]]+1)</f>
        <v>174</v>
      </c>
      <c r="GO2" s="17">
        <f>IF(Distances[[#This Row],[Colonne178]]=$G2,GN2,Distances[[#This Row],[Colonne178]]+1)</f>
        <v>175</v>
      </c>
      <c r="GP2" s="17">
        <f>IF(Distances[[#This Row],[Colonne179]]=$G2,GO2,Distances[[#This Row],[Colonne179]]+1)</f>
        <v>176</v>
      </c>
      <c r="GQ2" s="17">
        <f>IF(Distances[[#This Row],[Colonne180]]=$G2,GP2,Distances[[#This Row],[Colonne180]]+1)</f>
        <v>177</v>
      </c>
      <c r="GR2" s="17">
        <f>IF(Distances[[#This Row],[Colonne181]]=$G2,GQ2,Distances[[#This Row],[Colonne181]]+1)</f>
        <v>178</v>
      </c>
      <c r="GS2" s="17">
        <f>IF(Distances[[#This Row],[Colonne182]]=$G2,GR2,Distances[[#This Row],[Colonne182]]+1)</f>
        <v>179</v>
      </c>
      <c r="GT2" s="17">
        <f>IF(Distances[[#This Row],[Colonne183]]=$G2,GS2,Distances[[#This Row],[Colonne183]]+1)</f>
        <v>180</v>
      </c>
      <c r="GU2" s="17">
        <f>IF(Distances[[#This Row],[Colonne184]]=$G2,GT2,Distances[[#This Row],[Colonne184]]+1)</f>
        <v>181</v>
      </c>
      <c r="GV2" s="17">
        <f>IF(Distances[[#This Row],[Colonne185]]=$G2,GU2,Distances[[#This Row],[Colonne185]]+1)</f>
        <v>182</v>
      </c>
      <c r="GW2" s="17">
        <f>IF(Distances[[#This Row],[Colonne186]]=$G2,GV2,Distances[[#This Row],[Colonne186]]+1)</f>
        <v>183</v>
      </c>
      <c r="GX2" s="17">
        <f>IF(Distances[[#This Row],[Colonne187]]=$G2,GW2,Distances[[#This Row],[Colonne187]]+1)</f>
        <v>184</v>
      </c>
      <c r="GY2" s="17">
        <f>IF(Distances[[#This Row],[Colonne188]]=$G2,GX2,Distances[[#This Row],[Colonne188]]+1)</f>
        <v>185</v>
      </c>
      <c r="GZ2" s="17">
        <f>IF(Distances[[#This Row],[Colonne189]]=$G2,GY2,Distances[[#This Row],[Colonne189]]+1)</f>
        <v>186</v>
      </c>
      <c r="HA2" s="17">
        <f>IF(Distances[[#This Row],[Colonne190]]=$G2,GZ2,Distances[[#This Row],[Colonne190]]+1)</f>
        <v>187</v>
      </c>
      <c r="HB2" s="17">
        <f>IF(Distances[[#This Row],[Colonne191]]=$G2,HA2,Distances[[#This Row],[Colonne191]]+1)</f>
        <v>188</v>
      </c>
      <c r="HC2" s="17">
        <f>IF(Distances[[#This Row],[Colonne192]]=$G2,HB2,Distances[[#This Row],[Colonne192]]+1)</f>
        <v>189</v>
      </c>
      <c r="HD2" s="17">
        <f>IF(Distances[[#This Row],[Colonne193]]=$G2,HC2,Distances[[#This Row],[Colonne193]]+1)</f>
        <v>190</v>
      </c>
      <c r="HE2" s="17">
        <f>IF(Distances[[#This Row],[Colonne194]]=$G2,HD2,Distances[[#This Row],[Colonne194]]+1)</f>
        <v>191</v>
      </c>
      <c r="HF2" s="17">
        <f>IF(Distances[[#This Row],[Colonne195]]=$G2,HE2,Distances[[#This Row],[Colonne195]]+1)</f>
        <v>192</v>
      </c>
      <c r="HG2" s="17">
        <f>IF(Distances[[#This Row],[Colonne196]]=$G2,HF2,Distances[[#This Row],[Colonne196]]+1)</f>
        <v>193</v>
      </c>
      <c r="HH2" s="17">
        <f>IF(Distances[[#This Row],[Colonne197]]=$G2,HG2,Distances[[#This Row],[Colonne197]]+1)</f>
        <v>194</v>
      </c>
      <c r="HI2" s="17">
        <f>IF(Distances[[#This Row],[Colonne198]]=$G2,HH2,Distances[[#This Row],[Colonne198]]+1)</f>
        <v>195</v>
      </c>
      <c r="HJ2" s="17">
        <f>IF(Distances[[#This Row],[Colonne199]]=$G2,HI2,Distances[[#This Row],[Colonne199]]+1)</f>
        <v>196</v>
      </c>
      <c r="HK2" s="17">
        <f>IF(Distances[[#This Row],[Colonne200]]=$G2,HJ2,Distances[[#This Row],[Colonne200]]+1)</f>
        <v>197</v>
      </c>
      <c r="HL2" s="17">
        <f>IF(Distances[[#This Row],[Colonne201]]=$G2,HK2,Distances[[#This Row],[Colonne201]]+1)</f>
        <v>198</v>
      </c>
      <c r="HM2" s="17">
        <f>IF(Distances[[#This Row],[Colonne202]]=$G2,HL2,Distances[[#This Row],[Colonne202]]+1)</f>
        <v>199</v>
      </c>
      <c r="HN2" s="17">
        <f>IF(Distances[[#This Row],[Colonne203]]=$G2,HM2,Distances[[#This Row],[Colonne203]]+1)</f>
        <v>200</v>
      </c>
      <c r="HO2" s="17">
        <f>IF(Distances[[#This Row],[Colonne204]]=$G2,HN2,Distances[[#This Row],[Colonne204]]+1)</f>
        <v>201</v>
      </c>
      <c r="HP2" s="17">
        <f>IF(Distances[[#This Row],[Colonne205]]=$G2,HO2,Distances[[#This Row],[Colonne205]]+1)</f>
        <v>202</v>
      </c>
      <c r="HQ2" s="17">
        <f>IF(Distances[[#This Row],[Colonne206]]=$G2,HP2,Distances[[#This Row],[Colonne206]]+1)</f>
        <v>203</v>
      </c>
      <c r="HR2" s="17">
        <f>IF(Distances[[#This Row],[Colonne207]]=$G2,HQ2,Distances[[#This Row],[Colonne207]]+1)</f>
        <v>204</v>
      </c>
      <c r="HS2" s="17">
        <f>IF(Distances[[#This Row],[Colonne208]]=$G2,HR2,Distances[[#This Row],[Colonne208]]+1)</f>
        <v>205</v>
      </c>
      <c r="HT2" s="17">
        <f>IF(Distances[[#This Row],[Colonne209]]=$G2,HS2,Distances[[#This Row],[Colonne209]]+1)</f>
        <v>206</v>
      </c>
      <c r="HU2" s="17">
        <f>IF(Distances[[#This Row],[Colonne210]]=$G2,HT2,Distances[[#This Row],[Colonne210]]+1)</f>
        <v>207</v>
      </c>
      <c r="HV2" s="17">
        <f>IF(Distances[[#This Row],[Colonne211]]=$G2,HU2,Distances[[#This Row],[Colonne211]]+1)</f>
        <v>208</v>
      </c>
      <c r="HW2" s="17">
        <f>IF(Distances[[#This Row],[Colonne212]]=$G2,HV2,Distances[[#This Row],[Colonne212]]+1)</f>
        <v>209</v>
      </c>
      <c r="HX2" s="17">
        <f>IF(Distances[[#This Row],[Colonne213]]=$G2,HW2,Distances[[#This Row],[Colonne213]]+1)</f>
        <v>210</v>
      </c>
      <c r="HY2" s="17">
        <f>IF(Distances[[#This Row],[Colonne214]]=$G2,HX2,Distances[[#This Row],[Colonne214]]+1)</f>
        <v>211</v>
      </c>
      <c r="HZ2" s="17">
        <f>IF(Distances[[#This Row],[Colonne215]]=$G2,HY2,Distances[[#This Row],[Colonne215]]+1)</f>
        <v>212</v>
      </c>
      <c r="IA2" s="17">
        <f>IF(Distances[[#This Row],[Colonne216]]=$G2,HZ2,Distances[[#This Row],[Colonne216]]+1)</f>
        <v>213</v>
      </c>
      <c r="IB2" s="17">
        <f>IF(Distances[[#This Row],[Colonne217]]=$G2,IA2,Distances[[#This Row],[Colonne217]]+1)</f>
        <v>214</v>
      </c>
      <c r="IC2" s="17">
        <f>IF(Distances[[#This Row],[Colonne218]]=$G2,IB2,Distances[[#This Row],[Colonne218]]+1)</f>
        <v>215</v>
      </c>
      <c r="ID2" s="17">
        <f>IF(Distances[[#This Row],[Colonne219]]=$G2,IC2,Distances[[#This Row],[Colonne219]]+1)</f>
        <v>216</v>
      </c>
      <c r="IE2" s="17">
        <f>IF(Distances[[#This Row],[Colonne220]]=$G2,ID2,Distances[[#This Row],[Colonne220]]+1)</f>
        <v>217</v>
      </c>
      <c r="IF2" s="17">
        <f>IF(Distances[[#This Row],[Colonne221]]=$G2,IE2,Distances[[#This Row],[Colonne221]]+1)</f>
        <v>218</v>
      </c>
      <c r="IG2" s="17">
        <f>IF(Distances[[#This Row],[Colonne222]]=$G2,IF2,Distances[[#This Row],[Colonne222]]+1)</f>
        <v>219</v>
      </c>
      <c r="IH2" s="17">
        <f>IF(Distances[[#This Row],[Colonne223]]=$G2,IG2,Distances[[#This Row],[Colonne223]]+1)</f>
        <v>220</v>
      </c>
      <c r="II2" s="17">
        <f>IF(Distances[[#This Row],[Colonne224]]=$G2,IH2,Distances[[#This Row],[Colonne224]]+1)</f>
        <v>221</v>
      </c>
      <c r="IJ2" s="17">
        <f>IF(Distances[[#This Row],[Colonne225]]=$G2,II2,Distances[[#This Row],[Colonne225]]+1)</f>
        <v>222</v>
      </c>
      <c r="IK2" s="17">
        <f>IF(Distances[[#This Row],[Colonne226]]=$G2,IJ2,Distances[[#This Row],[Colonne226]]+1)</f>
        <v>223</v>
      </c>
      <c r="IL2" s="17">
        <f>IF(Distances[[#This Row],[Colonne227]]=$G2,IK2,Distances[[#This Row],[Colonne227]]+1)</f>
        <v>224</v>
      </c>
      <c r="IM2" s="17">
        <f>IF(Distances[[#This Row],[Colonne228]]=$G2,IL2,Distances[[#This Row],[Colonne228]]+1)</f>
        <v>225</v>
      </c>
      <c r="IN2" s="17">
        <f>IF(Distances[[#This Row],[Colonne229]]=$G2,IM2,Distances[[#This Row],[Colonne229]]+1)</f>
        <v>226</v>
      </c>
      <c r="IO2" s="17">
        <f>IF(Distances[[#This Row],[Colonne230]]=$G2,IN2,Distances[[#This Row],[Colonne230]]+1)</f>
        <v>227</v>
      </c>
      <c r="IP2" s="17">
        <f>IF(Distances[[#This Row],[Colonne231]]=$G2,IO2,Distances[[#This Row],[Colonne231]]+1)</f>
        <v>228</v>
      </c>
      <c r="IQ2" s="17">
        <f>IF(Distances[[#This Row],[Colonne232]]=$G2,IP2,Distances[[#This Row],[Colonne232]]+1)</f>
        <v>229</v>
      </c>
      <c r="IR2" s="17">
        <f>IF(Distances[[#This Row],[Colonne233]]=$G2,IQ2,Distances[[#This Row],[Colonne233]]+1)</f>
        <v>230</v>
      </c>
      <c r="IS2" s="17">
        <f>IF(Distances[[#This Row],[Colonne234]]=$G2,IR2,Distances[[#This Row],[Colonne234]]+1)</f>
        <v>231</v>
      </c>
      <c r="IT2" s="17">
        <f>IF(Distances[[#This Row],[Colonne235]]=$G2,IS2,Distances[[#This Row],[Colonne235]]+1)</f>
        <v>232</v>
      </c>
      <c r="IU2" s="17">
        <f>IF(Distances[[#This Row],[Colonne236]]=$G2,IT2,Distances[[#This Row],[Colonne236]]+1)</f>
        <v>233</v>
      </c>
      <c r="IV2" s="17">
        <f>IF(Distances[[#This Row],[Colonne237]]=$G2,IU2,Distances[[#This Row],[Colonne237]]+1)</f>
        <v>234</v>
      </c>
      <c r="IW2" s="17">
        <f>IF(Distances[[#This Row],[Colonne238]]=$G2,IV2,Distances[[#This Row],[Colonne238]]+1)</f>
        <v>235</v>
      </c>
      <c r="IX2" s="17">
        <f>IF(Distances[[#This Row],[Colonne239]]=$G2,IW2,Distances[[#This Row],[Colonne239]]+1)</f>
        <v>236</v>
      </c>
      <c r="IY2" s="17">
        <f>IF(Distances[[#This Row],[Colonne240]]=$G2,IX2,Distances[[#This Row],[Colonne240]]+1)</f>
        <v>237</v>
      </c>
      <c r="IZ2" s="17">
        <f>IF(Distances[[#This Row],[Colonne241]]=$G2,IY2,Distances[[#This Row],[Colonne241]]+1)</f>
        <v>238</v>
      </c>
      <c r="JA2" s="17">
        <f>IF(Distances[[#This Row],[Colonne242]]=$G2,IZ2,Distances[[#This Row],[Colonne242]]+1)</f>
        <v>239</v>
      </c>
      <c r="JB2" s="17">
        <f>IF(Distances[[#This Row],[Colonne243]]=$G2,JA2,Distances[[#This Row],[Colonne243]]+1)</f>
        <v>240</v>
      </c>
      <c r="JC2" s="17">
        <f>IF(Distances[[#This Row],[Colonne244]]=$G2,JB2,Distances[[#This Row],[Colonne244]]+1)</f>
        <v>241</v>
      </c>
      <c r="JD2" s="17">
        <f>IF(Distances[[#This Row],[Colonne245]]=$G2,JC2,Distances[[#This Row],[Colonne245]]+1)</f>
        <v>242</v>
      </c>
      <c r="JE2" s="17">
        <f>IF(Distances[[#This Row],[Colonne246]]=$G2,JD2,Distances[[#This Row],[Colonne246]]+1)</f>
        <v>243</v>
      </c>
      <c r="JF2" s="17">
        <f>IF(Distances[[#This Row],[Colonne247]]=$G2,JE2,Distances[[#This Row],[Colonne247]]+1)</f>
        <v>244</v>
      </c>
      <c r="JG2" s="17">
        <f>IF(Distances[[#This Row],[Colonne248]]=$G2,JF2,Distances[[#This Row],[Colonne248]]+1)</f>
        <v>245</v>
      </c>
      <c r="JH2" s="17">
        <f>IF(Distances[[#This Row],[Colonne249]]=$G2,JG2,Distances[[#This Row],[Colonne249]]+1)</f>
        <v>246</v>
      </c>
      <c r="JI2" s="17">
        <f>IF(Distances[[#This Row],[Colonne250]]=$G2,JH2,Distances[[#This Row],[Colonne250]]+1)</f>
        <v>247</v>
      </c>
      <c r="JJ2" s="17">
        <f>IF(Distances[[#This Row],[Colonne251]]=$G2,JI2,Distances[[#This Row],[Colonne251]]+1)</f>
        <v>248</v>
      </c>
      <c r="JK2" s="17">
        <f>IF(Distances[[#This Row],[Colonne252]]=$G2,JJ2,Distances[[#This Row],[Colonne252]]+1)</f>
        <v>249</v>
      </c>
      <c r="JL2" s="17">
        <f>IF(Distances[[#This Row],[Colonne253]]=$G2,JK2,Distances[[#This Row],[Colonne253]]+1)</f>
        <v>250</v>
      </c>
      <c r="JM2" s="17">
        <f>IF(Distances[[#This Row],[Colonne254]]=$G2,JL2,Distances[[#This Row],[Colonne254]]+1)</f>
        <v>251</v>
      </c>
      <c r="JN2" s="17">
        <f>IF(Distances[[#This Row],[Colonne255]]=$G2,JM2,Distances[[#This Row],[Colonne255]]+1)</f>
        <v>252</v>
      </c>
      <c r="JO2" s="17">
        <f>IF(Distances[[#This Row],[Colonne256]]=$G2,JN2,Distances[[#This Row],[Colonne256]]+1)</f>
        <v>253</v>
      </c>
      <c r="JP2" s="17">
        <f>IF(Distances[[#This Row],[Colonne257]]=$G2,JO2,Distances[[#This Row],[Colonne257]]+1)</f>
        <v>254</v>
      </c>
      <c r="JQ2" s="17">
        <f>IF(Distances[[#This Row],[Colonne258]]=$G2,JP2,Distances[[#This Row],[Colonne258]]+1)</f>
        <v>255</v>
      </c>
      <c r="JR2" s="17">
        <f>IF(Distances[[#This Row],[Colonne259]]=$G2,JQ2,Distances[[#This Row],[Colonne259]]+1)</f>
        <v>256</v>
      </c>
      <c r="JS2" s="17">
        <f>IF(Distances[[#This Row],[Colonne260]]=$G2,JR2,Distances[[#This Row],[Colonne260]]+1)</f>
        <v>257</v>
      </c>
      <c r="JT2" s="17">
        <f>IF(Distances[[#This Row],[Colonne261]]=$G2,JS2,Distances[[#This Row],[Colonne261]]+1)</f>
        <v>258</v>
      </c>
      <c r="JU2" s="17">
        <f>IF(Distances[[#This Row],[Colonne262]]=$G2,JT2,Distances[[#This Row],[Colonne262]]+1)</f>
        <v>259</v>
      </c>
      <c r="JV2" s="17">
        <f>IF(Distances[[#This Row],[Colonne263]]=$G2,JU2,Distances[[#This Row],[Colonne263]]+1)</f>
        <v>260</v>
      </c>
      <c r="JW2" s="17">
        <f>IF(Distances[[#This Row],[Colonne264]]=$G2,JV2,Distances[[#This Row],[Colonne264]]+1)</f>
        <v>261</v>
      </c>
      <c r="JX2" s="17">
        <f>IF(Distances[[#This Row],[Colonne265]]=$G2,JW2,Distances[[#This Row],[Colonne265]]+1)</f>
        <v>262</v>
      </c>
      <c r="JY2" s="17">
        <f>IF(Distances[[#This Row],[Colonne266]]=$G2,JX2,Distances[[#This Row],[Colonne266]]+1)</f>
        <v>263</v>
      </c>
      <c r="JZ2" s="17">
        <f>IF(Distances[[#This Row],[Colonne267]]=$G2,JY2,Distances[[#This Row],[Colonne267]]+1)</f>
        <v>264</v>
      </c>
      <c r="KA2" s="17">
        <f>IF(Distances[[#This Row],[Colonne268]]=$G2,JZ2,Distances[[#This Row],[Colonne268]]+1)</f>
        <v>265</v>
      </c>
      <c r="KB2" s="17">
        <f>IF(Distances[[#This Row],[Colonne269]]=$G2,KA2,Distances[[#This Row],[Colonne269]]+1)</f>
        <v>266</v>
      </c>
      <c r="KC2" s="17">
        <f>IF(Distances[[#This Row],[Colonne270]]=$G2,KB2,Distances[[#This Row],[Colonne270]]+1)</f>
        <v>267</v>
      </c>
      <c r="KD2" s="17">
        <f>IF(Distances[[#This Row],[Colonne271]]=$G2,KC2,Distances[[#This Row],[Colonne271]]+1)</f>
        <v>268</v>
      </c>
      <c r="KE2" s="17">
        <f>IF(Distances[[#This Row],[Colonne272]]=$G2,KD2,Distances[[#This Row],[Colonne272]]+1)</f>
        <v>269</v>
      </c>
      <c r="KF2" s="17">
        <f>IF(Distances[[#This Row],[Colonne273]]=$G2,KE2,Distances[[#This Row],[Colonne273]]+1)</f>
        <v>270</v>
      </c>
      <c r="KG2" s="17">
        <f>IF(Distances[[#This Row],[Colonne274]]=$G2,KF2,Distances[[#This Row],[Colonne274]]+1)</f>
        <v>271</v>
      </c>
      <c r="KH2" s="17">
        <f>IF(Distances[[#This Row],[Colonne275]]=$G2,KG2,Distances[[#This Row],[Colonne275]]+1)</f>
        <v>272</v>
      </c>
      <c r="KI2" s="17">
        <f>IF(Distances[[#This Row],[Colonne276]]=$G2,KH2,Distances[[#This Row],[Colonne276]]+1)</f>
        <v>273</v>
      </c>
      <c r="KJ2" s="17">
        <f>IF(Distances[[#This Row],[Colonne277]]=$G2,KI2,Distances[[#This Row],[Colonne277]]+1)</f>
        <v>274</v>
      </c>
      <c r="KK2" s="17">
        <f>IF(Distances[[#This Row],[Colonne278]]=$G2,KJ2,Distances[[#This Row],[Colonne278]]+1)</f>
        <v>275</v>
      </c>
      <c r="KL2" s="17">
        <f>IF(Distances[[#This Row],[Colonne279]]=$G2,KK2,Distances[[#This Row],[Colonne279]]+1)</f>
        <v>276</v>
      </c>
      <c r="KM2" s="17">
        <f>IF(Distances[[#This Row],[Colonne280]]=$G2,KL2,Distances[[#This Row],[Colonne280]]+1)</f>
        <v>277</v>
      </c>
      <c r="KN2" s="17">
        <f>IF(Distances[[#This Row],[Colonne281]]=$G2,KM2,Distances[[#This Row],[Colonne281]]+1)</f>
        <v>278</v>
      </c>
      <c r="KO2" s="17">
        <f>IF(Distances[[#This Row],[Colonne282]]=$G2,KN2,Distances[[#This Row],[Colonne282]]+1)</f>
        <v>279</v>
      </c>
      <c r="KP2" s="17">
        <f>IF(Distances[[#This Row],[Colonne283]]=$G2,KO2,Distances[[#This Row],[Colonne283]]+1)</f>
        <v>280</v>
      </c>
      <c r="KQ2" s="17">
        <f>IF(Distances[[#This Row],[Colonne284]]=$G2,KP2,Distances[[#This Row],[Colonne284]]+1)</f>
        <v>281</v>
      </c>
      <c r="KR2" s="17">
        <f>IF(Distances[[#This Row],[Colonne285]]=$G2,KQ2,Distances[[#This Row],[Colonne285]]+1)</f>
        <v>282</v>
      </c>
      <c r="KS2" s="17">
        <f>IF(Distances[[#This Row],[Colonne286]]=$G2,KR2,Distances[[#This Row],[Colonne286]]+1)</f>
        <v>283</v>
      </c>
      <c r="KT2" s="17">
        <f>IF(Distances[[#This Row],[Colonne287]]=$G2,KS2,Distances[[#This Row],[Colonne287]]+1)</f>
        <v>284</v>
      </c>
      <c r="KU2" s="17">
        <f>IF(Distances[[#This Row],[Colonne288]]=$G2,KT2,Distances[[#This Row],[Colonne288]]+1)</f>
        <v>285</v>
      </c>
      <c r="KV2" s="17">
        <f>IF(Distances[[#This Row],[Colonne289]]=$G2,KU2,Distances[[#This Row],[Colonne289]]+1)</f>
        <v>286</v>
      </c>
      <c r="KW2" s="17">
        <f>IF(Distances[[#This Row],[Colonne290]]=$G2,KV2,Distances[[#This Row],[Colonne290]]+1)</f>
        <v>287</v>
      </c>
      <c r="KX2" s="17">
        <f>IF(Distances[[#This Row],[Colonne291]]=$G2,KW2,Distances[[#This Row],[Colonne291]]+1)</f>
        <v>288</v>
      </c>
      <c r="KY2" s="17">
        <f>IF(Distances[[#This Row],[Colonne292]]=$G2,KX2,Distances[[#This Row],[Colonne292]]+1)</f>
        <v>289</v>
      </c>
      <c r="KZ2" s="17">
        <f>IF(Distances[[#This Row],[Colonne293]]=$G2,KY2,Distances[[#This Row],[Colonne293]]+1)</f>
        <v>290</v>
      </c>
      <c r="LA2" s="17">
        <f>IF(Distances[[#This Row],[Colonne294]]=$G2,KZ2,Distances[[#This Row],[Colonne294]]+1)</f>
        <v>291</v>
      </c>
      <c r="LB2" s="17">
        <f>IF(Distances[[#This Row],[Colonne295]]=$G2,LA2,Distances[[#This Row],[Colonne295]]+1)</f>
        <v>292</v>
      </c>
      <c r="LC2" s="17">
        <f>IF(Distances[[#This Row],[Colonne296]]=$G2,LB2,Distances[[#This Row],[Colonne296]]+1)</f>
        <v>293</v>
      </c>
      <c r="LD2" s="17">
        <f>IF(Distances[[#This Row],[Colonne297]]=$G2,LC2,Distances[[#This Row],[Colonne297]]+1)</f>
        <v>294</v>
      </c>
      <c r="LE2" s="17">
        <f>IF(Distances[[#This Row],[Colonne298]]=$G2,LD2,Distances[[#This Row],[Colonne298]]+1)</f>
        <v>295</v>
      </c>
      <c r="LF2" s="17">
        <f>IF(Distances[[#This Row],[Colonne299]]=$G2,LE2,Distances[[#This Row],[Colonne299]]+1)</f>
        <v>296</v>
      </c>
      <c r="LG2" s="17">
        <f>IF(Distances[[#This Row],[Colonne300]]=$G2,LF2,Distances[[#This Row],[Colonne300]]+1)</f>
        <v>297</v>
      </c>
      <c r="LH2" s="17">
        <f>IF(Distances[[#This Row],[Colonne301]]=$G2,LG2,Distances[[#This Row],[Colonne301]]+1)</f>
        <v>298</v>
      </c>
      <c r="LI2" s="17">
        <f>IF(Distances[[#This Row],[Colonne302]]=$G2,LH2,Distances[[#This Row],[Colonne302]]+1)</f>
        <v>299</v>
      </c>
      <c r="LJ2" s="17">
        <f>IF(Distances[[#This Row],[Colonne303]]=$G2,LI2,Distances[[#This Row],[Colonne303]]+1)</f>
        <v>300</v>
      </c>
      <c r="LK2" s="51"/>
      <c r="LL2" s="17">
        <f>IF(LK2=$H2,LK2,LK2+1)</f>
        <v>1</v>
      </c>
      <c r="LM2" s="17">
        <f t="shared" ref="LM2:NX2" si="2">IF(LL2=$H2,LL2,LL2+1)</f>
        <v>2</v>
      </c>
      <c r="LN2" s="17">
        <f t="shared" si="2"/>
        <v>3</v>
      </c>
      <c r="LO2" s="17">
        <f t="shared" si="2"/>
        <v>4</v>
      </c>
      <c r="LP2" s="17">
        <f t="shared" si="2"/>
        <v>5</v>
      </c>
      <c r="LQ2" s="17">
        <f t="shared" si="2"/>
        <v>6</v>
      </c>
      <c r="LR2" s="17">
        <f t="shared" si="2"/>
        <v>7</v>
      </c>
      <c r="LS2" s="17">
        <f t="shared" si="2"/>
        <v>8</v>
      </c>
      <c r="LT2" s="17">
        <f t="shared" si="2"/>
        <v>9</v>
      </c>
      <c r="LU2" s="17">
        <f t="shared" si="2"/>
        <v>10</v>
      </c>
      <c r="LV2" s="17">
        <f t="shared" si="2"/>
        <v>11</v>
      </c>
      <c r="LW2" s="17">
        <f t="shared" si="2"/>
        <v>12</v>
      </c>
      <c r="LX2" s="17">
        <f t="shared" si="2"/>
        <v>13</v>
      </c>
      <c r="LY2" s="17">
        <f t="shared" si="2"/>
        <v>14</v>
      </c>
      <c r="LZ2" s="17">
        <f t="shared" si="2"/>
        <v>15</v>
      </c>
      <c r="MA2" s="17">
        <f t="shared" si="2"/>
        <v>16</v>
      </c>
      <c r="MB2" s="17">
        <f t="shared" si="2"/>
        <v>17</v>
      </c>
      <c r="MC2" s="17">
        <f t="shared" si="2"/>
        <v>18</v>
      </c>
      <c r="MD2" s="17">
        <f t="shared" si="2"/>
        <v>19</v>
      </c>
      <c r="ME2" s="17">
        <f t="shared" si="2"/>
        <v>20</v>
      </c>
      <c r="MF2" s="17">
        <f t="shared" si="2"/>
        <v>20</v>
      </c>
      <c r="MG2" s="17">
        <f t="shared" si="2"/>
        <v>20</v>
      </c>
      <c r="MH2" s="17">
        <f t="shared" si="2"/>
        <v>20</v>
      </c>
      <c r="MI2" s="17">
        <f t="shared" si="2"/>
        <v>20</v>
      </c>
      <c r="MJ2" s="17">
        <f t="shared" si="2"/>
        <v>20</v>
      </c>
      <c r="MK2" s="17">
        <f t="shared" si="2"/>
        <v>20</v>
      </c>
      <c r="ML2" s="17">
        <f t="shared" si="2"/>
        <v>20</v>
      </c>
      <c r="MM2" s="17">
        <f t="shared" si="2"/>
        <v>20</v>
      </c>
      <c r="MN2" s="17">
        <f t="shared" si="2"/>
        <v>20</v>
      </c>
      <c r="MO2" s="17">
        <f t="shared" si="2"/>
        <v>20</v>
      </c>
      <c r="MP2" s="17">
        <f t="shared" si="2"/>
        <v>20</v>
      </c>
      <c r="MQ2" s="17">
        <f t="shared" si="2"/>
        <v>20</v>
      </c>
      <c r="MR2" s="17">
        <f t="shared" si="2"/>
        <v>20</v>
      </c>
      <c r="MS2" s="17">
        <f t="shared" si="2"/>
        <v>20</v>
      </c>
      <c r="MT2" s="17">
        <f t="shared" si="2"/>
        <v>20</v>
      </c>
      <c r="MU2" s="17">
        <f t="shared" si="2"/>
        <v>20</v>
      </c>
      <c r="MV2" s="17">
        <f t="shared" si="2"/>
        <v>20</v>
      </c>
      <c r="MW2" s="17">
        <f t="shared" si="2"/>
        <v>20</v>
      </c>
      <c r="MX2" s="17">
        <f t="shared" si="2"/>
        <v>20</v>
      </c>
      <c r="MY2" s="17">
        <f t="shared" si="2"/>
        <v>20</v>
      </c>
      <c r="MZ2" s="17">
        <f t="shared" si="2"/>
        <v>20</v>
      </c>
      <c r="NA2" s="17">
        <f t="shared" si="2"/>
        <v>20</v>
      </c>
      <c r="NB2" s="17">
        <f t="shared" si="2"/>
        <v>20</v>
      </c>
      <c r="NC2" s="17">
        <f t="shared" si="2"/>
        <v>20</v>
      </c>
      <c r="ND2" s="17">
        <f t="shared" si="2"/>
        <v>20</v>
      </c>
      <c r="NE2" s="17">
        <f t="shared" si="2"/>
        <v>20</v>
      </c>
      <c r="NF2" s="17">
        <f t="shared" si="2"/>
        <v>20</v>
      </c>
      <c r="NG2" s="17">
        <f t="shared" si="2"/>
        <v>20</v>
      </c>
      <c r="NH2" s="17">
        <f t="shared" si="2"/>
        <v>20</v>
      </c>
      <c r="NI2" s="17">
        <f t="shared" si="2"/>
        <v>20</v>
      </c>
      <c r="NJ2" s="17">
        <f t="shared" si="2"/>
        <v>20</v>
      </c>
      <c r="NK2" s="17">
        <f t="shared" si="2"/>
        <v>20</v>
      </c>
      <c r="NL2" s="17">
        <f t="shared" si="2"/>
        <v>20</v>
      </c>
      <c r="NM2" s="17">
        <f t="shared" si="2"/>
        <v>20</v>
      </c>
      <c r="NN2" s="17">
        <f t="shared" si="2"/>
        <v>20</v>
      </c>
      <c r="NO2" s="17">
        <f t="shared" si="2"/>
        <v>20</v>
      </c>
      <c r="NP2" s="17">
        <f t="shared" si="2"/>
        <v>20</v>
      </c>
      <c r="NQ2" s="17">
        <f t="shared" si="2"/>
        <v>20</v>
      </c>
      <c r="NR2" s="17">
        <f t="shared" si="2"/>
        <v>20</v>
      </c>
      <c r="NS2" s="17">
        <f t="shared" si="2"/>
        <v>20</v>
      </c>
      <c r="NT2" s="17">
        <f t="shared" si="2"/>
        <v>20</v>
      </c>
      <c r="NU2" s="17">
        <f t="shared" si="2"/>
        <v>20</v>
      </c>
      <c r="NV2" s="17">
        <f t="shared" si="2"/>
        <v>20</v>
      </c>
      <c r="NW2" s="17">
        <f t="shared" si="2"/>
        <v>20</v>
      </c>
      <c r="NX2" s="17">
        <f t="shared" si="2"/>
        <v>20</v>
      </c>
      <c r="NY2" s="17">
        <f t="shared" ref="NY2:PG2" si="3">IF(NX2=$H2,NX2,NX2+1)</f>
        <v>20</v>
      </c>
      <c r="NZ2" s="17">
        <f t="shared" si="3"/>
        <v>20</v>
      </c>
      <c r="OA2" s="17">
        <f t="shared" si="3"/>
        <v>20</v>
      </c>
      <c r="OB2" s="17">
        <f t="shared" si="3"/>
        <v>20</v>
      </c>
      <c r="OC2" s="17">
        <f t="shared" si="3"/>
        <v>20</v>
      </c>
      <c r="OD2" s="17">
        <f t="shared" si="3"/>
        <v>20</v>
      </c>
      <c r="OE2" s="17">
        <f t="shared" si="3"/>
        <v>20</v>
      </c>
      <c r="OF2" s="17">
        <f t="shared" si="3"/>
        <v>20</v>
      </c>
      <c r="OG2" s="17">
        <f t="shared" si="3"/>
        <v>20</v>
      </c>
      <c r="OH2" s="17">
        <f t="shared" si="3"/>
        <v>20</v>
      </c>
      <c r="OI2" s="17">
        <f t="shared" si="3"/>
        <v>20</v>
      </c>
      <c r="OJ2" s="17">
        <f t="shared" si="3"/>
        <v>20</v>
      </c>
      <c r="OK2" s="17">
        <f t="shared" si="3"/>
        <v>20</v>
      </c>
      <c r="OL2" s="17">
        <f t="shared" si="3"/>
        <v>20</v>
      </c>
      <c r="OM2" s="17">
        <f t="shared" si="3"/>
        <v>20</v>
      </c>
      <c r="ON2" s="17">
        <f t="shared" si="3"/>
        <v>20</v>
      </c>
      <c r="OO2" s="17">
        <f t="shared" si="3"/>
        <v>20</v>
      </c>
      <c r="OP2" s="17">
        <f t="shared" si="3"/>
        <v>20</v>
      </c>
      <c r="OQ2" s="17">
        <f t="shared" si="3"/>
        <v>20</v>
      </c>
      <c r="OR2" s="17">
        <f t="shared" si="3"/>
        <v>20</v>
      </c>
      <c r="OS2" s="17">
        <f t="shared" si="3"/>
        <v>20</v>
      </c>
      <c r="OT2" s="17">
        <f t="shared" si="3"/>
        <v>20</v>
      </c>
      <c r="OU2" s="17">
        <f t="shared" si="3"/>
        <v>20</v>
      </c>
      <c r="OV2" s="17">
        <f t="shared" si="3"/>
        <v>20</v>
      </c>
      <c r="OW2" s="17">
        <f t="shared" si="3"/>
        <v>20</v>
      </c>
      <c r="OX2" s="17">
        <f t="shared" si="3"/>
        <v>20</v>
      </c>
      <c r="OY2" s="17">
        <f t="shared" si="3"/>
        <v>20</v>
      </c>
      <c r="OZ2" s="17">
        <f t="shared" si="3"/>
        <v>20</v>
      </c>
      <c r="PA2" s="17">
        <f t="shared" si="3"/>
        <v>20</v>
      </c>
      <c r="PB2" s="17">
        <f t="shared" si="3"/>
        <v>20</v>
      </c>
      <c r="PC2" s="17">
        <f t="shared" si="3"/>
        <v>20</v>
      </c>
      <c r="PD2" s="17">
        <f t="shared" si="3"/>
        <v>20</v>
      </c>
      <c r="PE2" s="17">
        <f t="shared" si="3"/>
        <v>20</v>
      </c>
      <c r="PF2" s="17">
        <f t="shared" si="3"/>
        <v>20</v>
      </c>
      <c r="PG2" s="17">
        <f t="shared" si="3"/>
        <v>20</v>
      </c>
    </row>
    <row r="3" spans="1:423" x14ac:dyDescent="0.25">
      <c r="A3" s="8" t="s">
        <v>5509</v>
      </c>
      <c r="B3" s="9" t="s">
        <v>26</v>
      </c>
      <c r="C3" s="9" t="str">
        <f t="shared" si="0"/>
        <v>LN3</v>
      </c>
      <c r="D3" s="1" t="str">
        <f t="shared" si="1"/>
        <v>Libre N3</v>
      </c>
      <c r="E3" s="1" t="s">
        <v>15</v>
      </c>
      <c r="F3" s="9" t="s">
        <v>5452</v>
      </c>
      <c r="G3" s="9">
        <v>200</v>
      </c>
      <c r="H3" s="9">
        <v>30</v>
      </c>
      <c r="I3" s="127">
        <v>2.8</v>
      </c>
      <c r="J3" s="9" t="s">
        <v>5510</v>
      </c>
      <c r="K3" s="280"/>
      <c r="L3" s="8">
        <v>6</v>
      </c>
      <c r="M3" s="9">
        <v>6</v>
      </c>
      <c r="N3" s="10">
        <v>12.499000000000001</v>
      </c>
      <c r="O3" s="269"/>
      <c r="P3" s="331"/>
      <c r="Q3" s="335"/>
      <c r="R3" s="128">
        <v>1</v>
      </c>
      <c r="S3" s="9">
        <v>1</v>
      </c>
      <c r="T3" s="10">
        <v>2</v>
      </c>
      <c r="U3" t="s">
        <v>5523</v>
      </c>
      <c r="V3" s="17">
        <v>0</v>
      </c>
      <c r="W3" s="17">
        <f>IF(Distances[[#This Row],[Colonne4]]=$G3,V3,Distances[[#This Row],[Colonne4]]+1)</f>
        <v>1</v>
      </c>
      <c r="X3" s="17">
        <f>IF(Distances[[#This Row],[Colonne5]]=$G3,W3,Distances[[#This Row],[Colonne5]]+1)</f>
        <v>2</v>
      </c>
      <c r="Y3" s="17">
        <f>IF(Distances[[#This Row],[Colonne6]]=$G3,X3,Distances[[#This Row],[Colonne6]]+1)</f>
        <v>3</v>
      </c>
      <c r="Z3" s="17">
        <f>IF(Distances[[#This Row],[Colonne7]]=$G3,Y3,Distances[[#This Row],[Colonne7]]+1)</f>
        <v>4</v>
      </c>
      <c r="AA3" s="17">
        <f>IF(Distances[[#This Row],[Colonne8]]=$G3,Z3,Distances[[#This Row],[Colonne8]]+1)</f>
        <v>5</v>
      </c>
      <c r="AB3" s="17">
        <f>IF(Distances[[#This Row],[Colonne9]]=$G3,AA3,Distances[[#This Row],[Colonne9]]+1)</f>
        <v>6</v>
      </c>
      <c r="AC3" s="17">
        <f>IF(Distances[[#This Row],[Colonne10]]=$G3,AB3,Distances[[#This Row],[Colonne10]]+1)</f>
        <v>7</v>
      </c>
      <c r="AD3" s="17">
        <f>IF(Distances[[#This Row],[Colonne11]]=$G3,AC3,Distances[[#This Row],[Colonne11]]+1)</f>
        <v>8</v>
      </c>
      <c r="AE3" s="17">
        <f>IF(Distances[[#This Row],[Colonne12]]=$G3,AD3,Distances[[#This Row],[Colonne12]]+1)</f>
        <v>9</v>
      </c>
      <c r="AF3" s="17">
        <f>IF(Distances[[#This Row],[Colonne13]]=$G3,AE3,Distances[[#This Row],[Colonne13]]+1)</f>
        <v>10</v>
      </c>
      <c r="AG3" s="17">
        <f>IF(Distances[[#This Row],[Colonne14]]=$G3,AF3,Distances[[#This Row],[Colonne14]]+1)</f>
        <v>11</v>
      </c>
      <c r="AH3" s="17">
        <f>IF(Distances[[#This Row],[Colonne15]]=$G3,AG3,Distances[[#This Row],[Colonne15]]+1)</f>
        <v>12</v>
      </c>
      <c r="AI3" s="17">
        <f>IF(Distances[[#This Row],[Colonne16]]=$G3,AH3,Distances[[#This Row],[Colonne16]]+1)</f>
        <v>13</v>
      </c>
      <c r="AJ3" s="17">
        <f>IF(Distances[[#This Row],[Colonne17]]=$G3,AI3,Distances[[#This Row],[Colonne17]]+1)</f>
        <v>14</v>
      </c>
      <c r="AK3" s="17">
        <f>IF(Distances[[#This Row],[Colonne18]]=$G3,AJ3,Distances[[#This Row],[Colonne18]]+1)</f>
        <v>15</v>
      </c>
      <c r="AL3" s="17">
        <f>IF(Distances[[#This Row],[Colonne19]]=$G3,AK3,Distances[[#This Row],[Colonne19]]+1)</f>
        <v>16</v>
      </c>
      <c r="AM3" s="17">
        <f>IF(Distances[[#This Row],[Colonne20]]=$G3,AL3,Distances[[#This Row],[Colonne20]]+1)</f>
        <v>17</v>
      </c>
      <c r="AN3" s="17">
        <f>IF(Distances[[#This Row],[Colonne21]]=$G3,AM3,Distances[[#This Row],[Colonne21]]+1)</f>
        <v>18</v>
      </c>
      <c r="AO3" s="17">
        <f>IF(Distances[[#This Row],[Colonne22]]=$G3,AN3,Distances[[#This Row],[Colonne22]]+1)</f>
        <v>19</v>
      </c>
      <c r="AP3" s="17">
        <f>IF(Distances[[#This Row],[Colonne23]]=$G3,AO3,Distances[[#This Row],[Colonne23]]+1)</f>
        <v>20</v>
      </c>
      <c r="AQ3" s="17">
        <f>IF(Distances[[#This Row],[Colonne24]]=$G3,AP3,Distances[[#This Row],[Colonne24]]+1)</f>
        <v>21</v>
      </c>
      <c r="AR3" s="17">
        <f>IF(Distances[[#This Row],[Colonne25]]=$G3,AQ3,Distances[[#This Row],[Colonne25]]+1)</f>
        <v>22</v>
      </c>
      <c r="AS3" s="17">
        <f>IF(Distances[[#This Row],[Colonne26]]=$G3,AR3,Distances[[#This Row],[Colonne26]]+1)</f>
        <v>23</v>
      </c>
      <c r="AT3" s="17">
        <f>IF(Distances[[#This Row],[Colonne27]]=$G3,AS3,Distances[[#This Row],[Colonne27]]+1)</f>
        <v>24</v>
      </c>
      <c r="AU3" s="17">
        <f>IF(Distances[[#This Row],[Colonne28]]=$G3,AT3,Distances[[#This Row],[Colonne28]]+1)</f>
        <v>25</v>
      </c>
      <c r="AV3" s="17">
        <f>IF(Distances[[#This Row],[Colonne29]]=$G3,AU3,Distances[[#This Row],[Colonne29]]+1)</f>
        <v>26</v>
      </c>
      <c r="AW3" s="17">
        <f>IF(Distances[[#This Row],[Colonne30]]=$G3,AV3,Distances[[#This Row],[Colonne30]]+1)</f>
        <v>27</v>
      </c>
      <c r="AX3" s="17">
        <f>IF(Distances[[#This Row],[Colonne31]]=$G3,AW3,Distances[[#This Row],[Colonne31]]+1)</f>
        <v>28</v>
      </c>
      <c r="AY3" s="17">
        <f>IF(Distances[[#This Row],[Colonne32]]=$G3,AX3,Distances[[#This Row],[Colonne32]]+1)</f>
        <v>29</v>
      </c>
      <c r="AZ3" s="17">
        <f>IF(Distances[[#This Row],[Colonne33]]=$G3,AY3,Distances[[#This Row],[Colonne33]]+1)</f>
        <v>30</v>
      </c>
      <c r="BA3" s="17">
        <f>IF(Distances[[#This Row],[Colonne34]]=$G3,AZ3,Distances[[#This Row],[Colonne34]]+1)</f>
        <v>31</v>
      </c>
      <c r="BB3" s="17">
        <f>IF(Distances[[#This Row],[Colonne35]]=$G3,BA3,Distances[[#This Row],[Colonne35]]+1)</f>
        <v>32</v>
      </c>
      <c r="BC3" s="17">
        <f>IF(Distances[[#This Row],[Colonne36]]=$G3,BB3,Distances[[#This Row],[Colonne36]]+1)</f>
        <v>33</v>
      </c>
      <c r="BD3" s="17">
        <f>IF(Distances[[#This Row],[Colonne37]]=$G3,BC3,Distances[[#This Row],[Colonne37]]+1)</f>
        <v>34</v>
      </c>
      <c r="BE3" s="17">
        <f>IF(Distances[[#This Row],[Colonne38]]=$G3,BD3,Distances[[#This Row],[Colonne38]]+1)</f>
        <v>35</v>
      </c>
      <c r="BF3" s="17">
        <f>IF(Distances[[#This Row],[Colonne39]]=$G3,BE3,Distances[[#This Row],[Colonne39]]+1)</f>
        <v>36</v>
      </c>
      <c r="BG3" s="17">
        <f>IF(Distances[[#This Row],[Colonne40]]=$G3,BF3,Distances[[#This Row],[Colonne40]]+1)</f>
        <v>37</v>
      </c>
      <c r="BH3" s="17">
        <f>IF(Distances[[#This Row],[Colonne41]]=$G3,BG3,Distances[[#This Row],[Colonne41]]+1)</f>
        <v>38</v>
      </c>
      <c r="BI3" s="17">
        <f>IF(Distances[[#This Row],[Colonne42]]=$G3,BH3,Distances[[#This Row],[Colonne42]]+1)</f>
        <v>39</v>
      </c>
      <c r="BJ3" s="17">
        <f>IF(Distances[[#This Row],[Colonne43]]=$G3,BI3,Distances[[#This Row],[Colonne43]]+1)</f>
        <v>40</v>
      </c>
      <c r="BK3" s="17">
        <f>IF(Distances[[#This Row],[Colonne44]]=$G3,BJ3,Distances[[#This Row],[Colonne44]]+1)</f>
        <v>41</v>
      </c>
      <c r="BL3" s="17">
        <f>IF(Distances[[#This Row],[Colonne45]]=$G3,BK3,Distances[[#This Row],[Colonne45]]+1)</f>
        <v>42</v>
      </c>
      <c r="BM3" s="17">
        <f>IF(Distances[[#This Row],[Colonne46]]=$G3,BL3,Distances[[#This Row],[Colonne46]]+1)</f>
        <v>43</v>
      </c>
      <c r="BN3" s="17">
        <f>IF(Distances[[#This Row],[Colonne47]]=$G3,BM3,Distances[[#This Row],[Colonne47]]+1)</f>
        <v>44</v>
      </c>
      <c r="BO3" s="17">
        <f>IF(Distances[[#This Row],[Colonne48]]=$G3,BN3,Distances[[#This Row],[Colonne48]]+1)</f>
        <v>45</v>
      </c>
      <c r="BP3" s="17">
        <f>IF(Distances[[#This Row],[Colonne49]]=$G3,BO3,Distances[[#This Row],[Colonne49]]+1)</f>
        <v>46</v>
      </c>
      <c r="BQ3" s="17">
        <f>IF(Distances[[#This Row],[Colonne50]]=$G3,BP3,Distances[[#This Row],[Colonne50]]+1)</f>
        <v>47</v>
      </c>
      <c r="BR3" s="17">
        <f>IF(Distances[[#This Row],[Colonne51]]=$G3,BQ3,Distances[[#This Row],[Colonne51]]+1)</f>
        <v>48</v>
      </c>
      <c r="BS3" s="17">
        <f>IF(Distances[[#This Row],[Colonne52]]=$G3,BR3,Distances[[#This Row],[Colonne52]]+1)</f>
        <v>49</v>
      </c>
      <c r="BT3" s="17">
        <f>IF(Distances[[#This Row],[Colonne53]]=$G3,BS3,Distances[[#This Row],[Colonne53]]+1)</f>
        <v>50</v>
      </c>
      <c r="BU3" s="17">
        <f>IF(Distances[[#This Row],[Colonne54]]=$G3,BT3,Distances[[#This Row],[Colonne54]]+1)</f>
        <v>51</v>
      </c>
      <c r="BV3" s="17">
        <f>IF(Distances[[#This Row],[Colonne55]]=$G3,BU3,Distances[[#This Row],[Colonne55]]+1)</f>
        <v>52</v>
      </c>
      <c r="BW3" s="17">
        <f>IF(Distances[[#This Row],[Colonne56]]=$G3,BV3,Distances[[#This Row],[Colonne56]]+1)</f>
        <v>53</v>
      </c>
      <c r="BX3" s="17">
        <f>IF(Distances[[#This Row],[Colonne57]]=$G3,BW3,Distances[[#This Row],[Colonne57]]+1)</f>
        <v>54</v>
      </c>
      <c r="BY3" s="17">
        <f>IF(Distances[[#This Row],[Colonne58]]=$G3,BX3,Distances[[#This Row],[Colonne58]]+1)</f>
        <v>55</v>
      </c>
      <c r="BZ3" s="17">
        <f>IF(Distances[[#This Row],[Colonne59]]=$G3,BY3,Distances[[#This Row],[Colonne59]]+1)</f>
        <v>56</v>
      </c>
      <c r="CA3" s="17">
        <f>IF(Distances[[#This Row],[Colonne60]]=$G3,BZ3,Distances[[#This Row],[Colonne60]]+1)</f>
        <v>57</v>
      </c>
      <c r="CB3" s="17">
        <f>IF(Distances[[#This Row],[Colonne61]]=$G3,CA3,Distances[[#This Row],[Colonne61]]+1)</f>
        <v>58</v>
      </c>
      <c r="CC3" s="17">
        <f>IF(Distances[[#This Row],[Colonne62]]=$G3,CB3,Distances[[#This Row],[Colonne62]]+1)</f>
        <v>59</v>
      </c>
      <c r="CD3" s="17">
        <f>IF(Distances[[#This Row],[Colonne63]]=$G3,CC3,Distances[[#This Row],[Colonne63]]+1)</f>
        <v>60</v>
      </c>
      <c r="CE3" s="17">
        <f>IF(Distances[[#This Row],[Colonne64]]=$G3,CD3,Distances[[#This Row],[Colonne64]]+1)</f>
        <v>61</v>
      </c>
      <c r="CF3" s="17">
        <f>IF(Distances[[#This Row],[Colonne65]]=$G3,CE3,Distances[[#This Row],[Colonne65]]+1)</f>
        <v>62</v>
      </c>
      <c r="CG3" s="17">
        <f>IF(Distances[[#This Row],[Colonne66]]=$G3,CF3,Distances[[#This Row],[Colonne66]]+1)</f>
        <v>63</v>
      </c>
      <c r="CH3" s="17">
        <f>IF(Distances[[#This Row],[Colonne67]]=$G3,CG3,Distances[[#This Row],[Colonne67]]+1)</f>
        <v>64</v>
      </c>
      <c r="CI3" s="17">
        <f>IF(Distances[[#This Row],[Colonne68]]=$G3,CH3,Distances[[#This Row],[Colonne68]]+1)</f>
        <v>65</v>
      </c>
      <c r="CJ3" s="17">
        <f>IF(Distances[[#This Row],[Colonne69]]=$G3,CI3,Distances[[#This Row],[Colonne69]]+1)</f>
        <v>66</v>
      </c>
      <c r="CK3" s="17">
        <f>IF(Distances[[#This Row],[Colonne70]]=$G3,CJ3,Distances[[#This Row],[Colonne70]]+1)</f>
        <v>67</v>
      </c>
      <c r="CL3" s="17">
        <f>IF(Distances[[#This Row],[Colonne71]]=$G3,CK3,Distances[[#This Row],[Colonne71]]+1)</f>
        <v>68</v>
      </c>
      <c r="CM3" s="17">
        <f>IF(Distances[[#This Row],[Colonne72]]=$G3,CL3,Distances[[#This Row],[Colonne72]]+1)</f>
        <v>69</v>
      </c>
      <c r="CN3" s="17">
        <f>IF(Distances[[#This Row],[Colonne73]]=$G3,CM3,Distances[[#This Row],[Colonne73]]+1)</f>
        <v>70</v>
      </c>
      <c r="CO3" s="17">
        <f>IF(Distances[[#This Row],[Colonne74]]=$G3,CN3,Distances[[#This Row],[Colonne74]]+1)</f>
        <v>71</v>
      </c>
      <c r="CP3" s="17">
        <f>IF(Distances[[#This Row],[Colonne75]]=$G3,CO3,Distances[[#This Row],[Colonne75]]+1)</f>
        <v>72</v>
      </c>
      <c r="CQ3" s="17">
        <f>IF(Distances[[#This Row],[Colonne76]]=$G3,CP3,Distances[[#This Row],[Colonne76]]+1)</f>
        <v>73</v>
      </c>
      <c r="CR3" s="17">
        <f>IF(Distances[[#This Row],[Colonne77]]=$G3,CQ3,Distances[[#This Row],[Colonne77]]+1)</f>
        <v>74</v>
      </c>
      <c r="CS3" s="17">
        <f>IF(Distances[[#This Row],[Colonne78]]=$G3,CR3,Distances[[#This Row],[Colonne78]]+1)</f>
        <v>75</v>
      </c>
      <c r="CT3" s="17">
        <f>IF(Distances[[#This Row],[Colonne79]]=$G3,CS3,Distances[[#This Row],[Colonne79]]+1)</f>
        <v>76</v>
      </c>
      <c r="CU3" s="17">
        <f>IF(Distances[[#This Row],[Colonne80]]=$G3,CT3,Distances[[#This Row],[Colonne80]]+1)</f>
        <v>77</v>
      </c>
      <c r="CV3" s="17">
        <f>IF(Distances[[#This Row],[Colonne81]]=$G3,CU3,Distances[[#This Row],[Colonne81]]+1)</f>
        <v>78</v>
      </c>
      <c r="CW3" s="17">
        <f>IF(Distances[[#This Row],[Colonne82]]=$G3,CV3,Distances[[#This Row],[Colonne82]]+1)</f>
        <v>79</v>
      </c>
      <c r="CX3" s="17">
        <f>IF(Distances[[#This Row],[Colonne83]]=$G3,CW3,Distances[[#This Row],[Colonne83]]+1)</f>
        <v>80</v>
      </c>
      <c r="CY3" s="17">
        <f>IF(Distances[[#This Row],[Colonne84]]=$G3,CX3,Distances[[#This Row],[Colonne84]]+1)</f>
        <v>81</v>
      </c>
      <c r="CZ3" s="17">
        <f>IF(Distances[[#This Row],[Colonne85]]=$G3,CY3,Distances[[#This Row],[Colonne85]]+1)</f>
        <v>82</v>
      </c>
      <c r="DA3" s="17">
        <f>IF(Distances[[#This Row],[Colonne86]]=$G3,CZ3,Distances[[#This Row],[Colonne86]]+1)</f>
        <v>83</v>
      </c>
      <c r="DB3" s="17">
        <f>IF(Distances[[#This Row],[Colonne87]]=$G3,DA3,Distances[[#This Row],[Colonne87]]+1)</f>
        <v>84</v>
      </c>
      <c r="DC3" s="17">
        <f>IF(Distances[[#This Row],[Colonne88]]=$G3,DB3,Distances[[#This Row],[Colonne88]]+1)</f>
        <v>85</v>
      </c>
      <c r="DD3" s="17">
        <f>IF(Distances[[#This Row],[Colonne89]]=$G3,DC3,Distances[[#This Row],[Colonne89]]+1)</f>
        <v>86</v>
      </c>
      <c r="DE3" s="17">
        <f>IF(Distances[[#This Row],[Colonne90]]=$G3,DD3,Distances[[#This Row],[Colonne90]]+1)</f>
        <v>87</v>
      </c>
      <c r="DF3" s="17">
        <f>IF(Distances[[#This Row],[Colonne91]]=$G3,DE3,Distances[[#This Row],[Colonne91]]+1)</f>
        <v>88</v>
      </c>
      <c r="DG3" s="17">
        <f>IF(Distances[[#This Row],[Colonne92]]=$G3,DF3,Distances[[#This Row],[Colonne92]]+1)</f>
        <v>89</v>
      </c>
      <c r="DH3" s="17">
        <f>IF(Distances[[#This Row],[Colonne93]]=$G3,DG3,Distances[[#This Row],[Colonne93]]+1)</f>
        <v>90</v>
      </c>
      <c r="DI3" s="17">
        <f>IF(Distances[[#This Row],[Colonne94]]=$G3,DH3,Distances[[#This Row],[Colonne94]]+1)</f>
        <v>91</v>
      </c>
      <c r="DJ3" s="17">
        <f>IF(Distances[[#This Row],[Colonne95]]=$G3,DI3,Distances[[#This Row],[Colonne95]]+1)</f>
        <v>92</v>
      </c>
      <c r="DK3" s="17">
        <f>IF(Distances[[#This Row],[Colonne96]]=$G3,DJ3,Distances[[#This Row],[Colonne96]]+1)</f>
        <v>93</v>
      </c>
      <c r="DL3" s="17">
        <f>IF(Distances[[#This Row],[Colonne97]]=$G3,DK3,Distances[[#This Row],[Colonne97]]+1)</f>
        <v>94</v>
      </c>
      <c r="DM3" s="17">
        <f>IF(Distances[[#This Row],[Colonne98]]=$G3,DL3,Distances[[#This Row],[Colonne98]]+1)</f>
        <v>95</v>
      </c>
      <c r="DN3" s="17">
        <f>IF(Distances[[#This Row],[Colonne99]]=$G3,DM3,Distances[[#This Row],[Colonne99]]+1)</f>
        <v>96</v>
      </c>
      <c r="DO3" s="17">
        <f>IF(Distances[[#This Row],[Colonne100]]=$G3,DN3,Distances[[#This Row],[Colonne100]]+1)</f>
        <v>97</v>
      </c>
      <c r="DP3" s="17">
        <f>IF(Distances[[#This Row],[Colonne101]]=$G3,DO3,Distances[[#This Row],[Colonne101]]+1)</f>
        <v>98</v>
      </c>
      <c r="DQ3" s="17">
        <f>IF(Distances[[#This Row],[Colonne102]]=$G3,DP3,Distances[[#This Row],[Colonne102]]+1)</f>
        <v>99</v>
      </c>
      <c r="DR3" s="17">
        <f>IF(Distances[[#This Row],[Colonne103]]=$G3,DQ3,Distances[[#This Row],[Colonne103]]+1)</f>
        <v>100</v>
      </c>
      <c r="DS3" s="17">
        <f>IF(Distances[[#This Row],[Colonne104]]=$G3,DR3,Distances[[#This Row],[Colonne104]]+1)</f>
        <v>101</v>
      </c>
      <c r="DT3" s="17">
        <f>IF(Distances[[#This Row],[Colonne105]]=$G3,DS3,Distances[[#This Row],[Colonne105]]+1)</f>
        <v>102</v>
      </c>
      <c r="DU3" s="17">
        <f>IF(Distances[[#This Row],[Colonne106]]=$G3,DT3,Distances[[#This Row],[Colonne106]]+1)</f>
        <v>103</v>
      </c>
      <c r="DV3" s="17">
        <f>IF(Distances[[#This Row],[Colonne107]]=$G3,DU3,Distances[[#This Row],[Colonne107]]+1)</f>
        <v>104</v>
      </c>
      <c r="DW3" s="17">
        <f>IF(Distances[[#This Row],[Colonne108]]=$G3,DV3,Distances[[#This Row],[Colonne108]]+1)</f>
        <v>105</v>
      </c>
      <c r="DX3" s="17">
        <f>IF(Distances[[#This Row],[Colonne109]]=$G3,DW3,Distances[[#This Row],[Colonne109]]+1)</f>
        <v>106</v>
      </c>
      <c r="DY3" s="17">
        <f>IF(Distances[[#This Row],[Colonne110]]=$G3,DX3,Distances[[#This Row],[Colonne110]]+1)</f>
        <v>107</v>
      </c>
      <c r="DZ3" s="17">
        <f>IF(Distances[[#This Row],[Colonne111]]=$G3,DY3,Distances[[#This Row],[Colonne111]]+1)</f>
        <v>108</v>
      </c>
      <c r="EA3" s="17">
        <f>IF(Distances[[#This Row],[Colonne112]]=$G3,DZ3,Distances[[#This Row],[Colonne112]]+1)</f>
        <v>109</v>
      </c>
      <c r="EB3" s="17">
        <f>IF(Distances[[#This Row],[Colonne113]]=$G3,EA3,Distances[[#This Row],[Colonne113]]+1)</f>
        <v>110</v>
      </c>
      <c r="EC3" s="17">
        <f>IF(Distances[[#This Row],[Colonne114]]=$G3,EB3,Distances[[#This Row],[Colonne114]]+1)</f>
        <v>111</v>
      </c>
      <c r="ED3" s="17">
        <f>IF(Distances[[#This Row],[Colonne115]]=$G3,EC3,Distances[[#This Row],[Colonne115]]+1)</f>
        <v>112</v>
      </c>
      <c r="EE3" s="17">
        <f>IF(Distances[[#This Row],[Colonne116]]=$G3,ED3,Distances[[#This Row],[Colonne116]]+1)</f>
        <v>113</v>
      </c>
      <c r="EF3" s="17">
        <f>IF(Distances[[#This Row],[Colonne117]]=$G3,EE3,Distances[[#This Row],[Colonne117]]+1)</f>
        <v>114</v>
      </c>
      <c r="EG3" s="17">
        <f>IF(Distances[[#This Row],[Colonne118]]=$G3,EF3,Distances[[#This Row],[Colonne118]]+1)</f>
        <v>115</v>
      </c>
      <c r="EH3" s="17">
        <f>IF(Distances[[#This Row],[Colonne119]]=$G3,EG3,Distances[[#This Row],[Colonne119]]+1)</f>
        <v>116</v>
      </c>
      <c r="EI3" s="17">
        <f>IF(Distances[[#This Row],[Colonne120]]=$G3,EH3,Distances[[#This Row],[Colonne120]]+1)</f>
        <v>117</v>
      </c>
      <c r="EJ3" s="17">
        <f>IF(Distances[[#This Row],[Colonne121]]=$G3,EI3,Distances[[#This Row],[Colonne121]]+1)</f>
        <v>118</v>
      </c>
      <c r="EK3" s="17">
        <f>IF(Distances[[#This Row],[Colonne122]]=$G3,EJ3,Distances[[#This Row],[Colonne122]]+1)</f>
        <v>119</v>
      </c>
      <c r="EL3" s="17">
        <f>IF(Distances[[#This Row],[Colonne123]]=$G3,EK3,Distances[[#This Row],[Colonne123]]+1)</f>
        <v>120</v>
      </c>
      <c r="EM3" s="17">
        <f>IF(Distances[[#This Row],[Colonne124]]=$G3,EL3,Distances[[#This Row],[Colonne124]]+1)</f>
        <v>121</v>
      </c>
      <c r="EN3" s="17">
        <f>IF(Distances[[#This Row],[Colonne125]]=$G3,EM3,Distances[[#This Row],[Colonne125]]+1)</f>
        <v>122</v>
      </c>
      <c r="EO3" s="17">
        <f>IF(Distances[[#This Row],[Colonne126]]=$G3,EN3,Distances[[#This Row],[Colonne126]]+1)</f>
        <v>123</v>
      </c>
      <c r="EP3" s="17">
        <f>IF(Distances[[#This Row],[Colonne127]]=$G3,EO3,Distances[[#This Row],[Colonne127]]+1)</f>
        <v>124</v>
      </c>
      <c r="EQ3" s="17">
        <f>IF(Distances[[#This Row],[Colonne128]]=$G3,EP3,Distances[[#This Row],[Colonne128]]+1)</f>
        <v>125</v>
      </c>
      <c r="ER3" s="17">
        <f>IF(Distances[[#This Row],[Colonne129]]=$G3,EQ3,Distances[[#This Row],[Colonne129]]+1)</f>
        <v>126</v>
      </c>
      <c r="ES3" s="17">
        <f>IF(Distances[[#This Row],[Colonne130]]=$G3,ER3,Distances[[#This Row],[Colonne130]]+1)</f>
        <v>127</v>
      </c>
      <c r="ET3" s="17">
        <f>IF(Distances[[#This Row],[Colonne131]]=$G3,ES3,Distances[[#This Row],[Colonne131]]+1)</f>
        <v>128</v>
      </c>
      <c r="EU3" s="17">
        <f>IF(Distances[[#This Row],[Colonne132]]=$G3,ET3,Distances[[#This Row],[Colonne132]]+1)</f>
        <v>129</v>
      </c>
      <c r="EV3" s="17">
        <f>IF(Distances[[#This Row],[Colonne133]]=$G3,EU3,Distances[[#This Row],[Colonne133]]+1)</f>
        <v>130</v>
      </c>
      <c r="EW3" s="17">
        <f>IF(Distances[[#This Row],[Colonne134]]=$G3,EV3,Distances[[#This Row],[Colonne134]]+1)</f>
        <v>131</v>
      </c>
      <c r="EX3" s="17">
        <f>IF(Distances[[#This Row],[Colonne135]]=$G3,EW3,Distances[[#This Row],[Colonne135]]+1)</f>
        <v>132</v>
      </c>
      <c r="EY3" s="17">
        <f>IF(Distances[[#This Row],[Colonne136]]=$G3,EX3,Distances[[#This Row],[Colonne136]]+1)</f>
        <v>133</v>
      </c>
      <c r="EZ3" s="17">
        <f>IF(Distances[[#This Row],[Colonne137]]=$G3,EY3,Distances[[#This Row],[Colonne137]]+1)</f>
        <v>134</v>
      </c>
      <c r="FA3" s="17">
        <f>IF(Distances[[#This Row],[Colonne138]]=$G3,EZ3,Distances[[#This Row],[Colonne138]]+1)</f>
        <v>135</v>
      </c>
      <c r="FB3" s="17">
        <f>IF(Distances[[#This Row],[Colonne139]]=$G3,FA3,Distances[[#This Row],[Colonne139]]+1)</f>
        <v>136</v>
      </c>
      <c r="FC3" s="17">
        <f>IF(Distances[[#This Row],[Colonne140]]=$G3,FB3,Distances[[#This Row],[Colonne140]]+1)</f>
        <v>137</v>
      </c>
      <c r="FD3" s="17">
        <f>IF(Distances[[#This Row],[Colonne141]]=$G3,FC3,Distances[[#This Row],[Colonne141]]+1)</f>
        <v>138</v>
      </c>
      <c r="FE3" s="17">
        <f>IF(Distances[[#This Row],[Colonne142]]=$G3,FD3,Distances[[#This Row],[Colonne142]]+1)</f>
        <v>139</v>
      </c>
      <c r="FF3" s="17">
        <f>IF(Distances[[#This Row],[Colonne143]]=$G3,FE3,Distances[[#This Row],[Colonne143]]+1)</f>
        <v>140</v>
      </c>
      <c r="FG3" s="17">
        <f>IF(Distances[[#This Row],[Colonne144]]=$G3,FF3,Distances[[#This Row],[Colonne144]]+1)</f>
        <v>141</v>
      </c>
      <c r="FH3" s="17">
        <f>IF(Distances[[#This Row],[Colonne145]]=$G3,FG3,Distances[[#This Row],[Colonne145]]+1)</f>
        <v>142</v>
      </c>
      <c r="FI3" s="17">
        <f>IF(Distances[[#This Row],[Colonne146]]=$G3,FH3,Distances[[#This Row],[Colonne146]]+1)</f>
        <v>143</v>
      </c>
      <c r="FJ3" s="17">
        <f>IF(Distances[[#This Row],[Colonne147]]=$G3,FI3,Distances[[#This Row],[Colonne147]]+1)</f>
        <v>144</v>
      </c>
      <c r="FK3" s="17">
        <f>IF(Distances[[#This Row],[Colonne148]]=$G3,FJ3,Distances[[#This Row],[Colonne148]]+1)</f>
        <v>145</v>
      </c>
      <c r="FL3" s="17">
        <f>IF(Distances[[#This Row],[Colonne149]]=$G3,FK3,Distances[[#This Row],[Colonne149]]+1)</f>
        <v>146</v>
      </c>
      <c r="FM3" s="17">
        <f>IF(Distances[[#This Row],[Colonne150]]=$G3,FL3,Distances[[#This Row],[Colonne150]]+1)</f>
        <v>147</v>
      </c>
      <c r="FN3" s="17">
        <f>IF(Distances[[#This Row],[Colonne151]]=$G3,FM3,Distances[[#This Row],[Colonne151]]+1)</f>
        <v>148</v>
      </c>
      <c r="FO3" s="17">
        <f>IF(Distances[[#This Row],[Colonne152]]=$G3,FN3,Distances[[#This Row],[Colonne152]]+1)</f>
        <v>149</v>
      </c>
      <c r="FP3" s="17">
        <f>IF(Distances[[#This Row],[Colonne153]]=$G3,FO3,Distances[[#This Row],[Colonne153]]+1)</f>
        <v>150</v>
      </c>
      <c r="FQ3" s="17">
        <f>IF(Distances[[#This Row],[Colonne154]]=$G3,FP3,Distances[[#This Row],[Colonne154]]+1)</f>
        <v>151</v>
      </c>
      <c r="FR3" s="17">
        <f>IF(Distances[[#This Row],[Colonne155]]=$G3,FQ3,Distances[[#This Row],[Colonne155]]+1)</f>
        <v>152</v>
      </c>
      <c r="FS3" s="17">
        <f>IF(Distances[[#This Row],[Colonne156]]=$G3,FR3,Distances[[#This Row],[Colonne156]]+1)</f>
        <v>153</v>
      </c>
      <c r="FT3" s="17">
        <f>IF(Distances[[#This Row],[Colonne157]]=$G3,FS3,Distances[[#This Row],[Colonne157]]+1)</f>
        <v>154</v>
      </c>
      <c r="FU3" s="17">
        <f>IF(Distances[[#This Row],[Colonne158]]=$G3,FT3,Distances[[#This Row],[Colonne158]]+1)</f>
        <v>155</v>
      </c>
      <c r="FV3" s="17">
        <f>IF(Distances[[#This Row],[Colonne159]]=$G3,FU3,Distances[[#This Row],[Colonne159]]+1)</f>
        <v>156</v>
      </c>
      <c r="FW3" s="17">
        <f>IF(Distances[[#This Row],[Colonne160]]=$G3,FV3,Distances[[#This Row],[Colonne160]]+1)</f>
        <v>157</v>
      </c>
      <c r="FX3" s="17">
        <f>IF(Distances[[#This Row],[Colonne161]]=$G3,FW3,Distances[[#This Row],[Colonne161]]+1)</f>
        <v>158</v>
      </c>
      <c r="FY3" s="17">
        <f>IF(Distances[[#This Row],[Colonne162]]=$G3,FX3,Distances[[#This Row],[Colonne162]]+1)</f>
        <v>159</v>
      </c>
      <c r="FZ3" s="17">
        <f>IF(Distances[[#This Row],[Colonne163]]=$G3,FY3,Distances[[#This Row],[Colonne163]]+1)</f>
        <v>160</v>
      </c>
      <c r="GA3" s="17">
        <f>IF(Distances[[#This Row],[Colonne164]]=$G3,FZ3,Distances[[#This Row],[Colonne164]]+1)</f>
        <v>161</v>
      </c>
      <c r="GB3" s="17">
        <f>IF(Distances[[#This Row],[Colonne165]]=$G3,GA3,Distances[[#This Row],[Colonne165]]+1)</f>
        <v>162</v>
      </c>
      <c r="GC3" s="17">
        <f>IF(Distances[[#This Row],[Colonne166]]=$G3,GB3,Distances[[#This Row],[Colonne166]]+1)</f>
        <v>163</v>
      </c>
      <c r="GD3" s="17">
        <f>IF(Distances[[#This Row],[Colonne167]]=$G3,GC3,Distances[[#This Row],[Colonne167]]+1)</f>
        <v>164</v>
      </c>
      <c r="GE3" s="17">
        <f>IF(Distances[[#This Row],[Colonne168]]=$G3,GD3,Distances[[#This Row],[Colonne168]]+1)</f>
        <v>165</v>
      </c>
      <c r="GF3" s="17">
        <f>IF(Distances[[#This Row],[Colonne169]]=$G3,GE3,Distances[[#This Row],[Colonne169]]+1)</f>
        <v>166</v>
      </c>
      <c r="GG3" s="17">
        <f>IF(Distances[[#This Row],[Colonne170]]=$G3,GF3,Distances[[#This Row],[Colonne170]]+1)</f>
        <v>167</v>
      </c>
      <c r="GH3" s="17">
        <f>IF(Distances[[#This Row],[Colonne171]]=$G3,GG3,Distances[[#This Row],[Colonne171]]+1)</f>
        <v>168</v>
      </c>
      <c r="GI3" s="17">
        <f>IF(Distances[[#This Row],[Colonne172]]=$G3,GH3,Distances[[#This Row],[Colonne172]]+1)</f>
        <v>169</v>
      </c>
      <c r="GJ3" s="17">
        <f>IF(Distances[[#This Row],[Colonne173]]=$G3,GI3,Distances[[#This Row],[Colonne173]]+1)</f>
        <v>170</v>
      </c>
      <c r="GK3" s="17">
        <f>IF(Distances[[#This Row],[Colonne174]]=$G3,GJ3,Distances[[#This Row],[Colonne174]]+1)</f>
        <v>171</v>
      </c>
      <c r="GL3" s="17">
        <f>IF(Distances[[#This Row],[Colonne175]]=$G3,GK3,Distances[[#This Row],[Colonne175]]+1)</f>
        <v>172</v>
      </c>
      <c r="GM3" s="17">
        <f>IF(Distances[[#This Row],[Colonne176]]=$G3,GL3,Distances[[#This Row],[Colonne176]]+1)</f>
        <v>173</v>
      </c>
      <c r="GN3" s="17">
        <f>IF(Distances[[#This Row],[Colonne177]]=$G3,GM3,Distances[[#This Row],[Colonne177]]+1)</f>
        <v>174</v>
      </c>
      <c r="GO3" s="17">
        <f>IF(Distances[[#This Row],[Colonne178]]=$G3,GN3,Distances[[#This Row],[Colonne178]]+1)</f>
        <v>175</v>
      </c>
      <c r="GP3" s="17">
        <f>IF(Distances[[#This Row],[Colonne179]]=$G3,GO3,Distances[[#This Row],[Colonne179]]+1)</f>
        <v>176</v>
      </c>
      <c r="GQ3" s="17">
        <f>IF(Distances[[#This Row],[Colonne180]]=$G3,GP3,Distances[[#This Row],[Colonne180]]+1)</f>
        <v>177</v>
      </c>
      <c r="GR3" s="17">
        <f>IF(Distances[[#This Row],[Colonne181]]=$G3,GQ3,Distances[[#This Row],[Colonne181]]+1)</f>
        <v>178</v>
      </c>
      <c r="GS3" s="17">
        <f>IF(Distances[[#This Row],[Colonne182]]=$G3,GR3,Distances[[#This Row],[Colonne182]]+1)</f>
        <v>179</v>
      </c>
      <c r="GT3" s="17">
        <f>IF(Distances[[#This Row],[Colonne183]]=$G3,GS3,Distances[[#This Row],[Colonne183]]+1)</f>
        <v>180</v>
      </c>
      <c r="GU3" s="17">
        <f>IF(Distances[[#This Row],[Colonne184]]=$G3,GT3,Distances[[#This Row],[Colonne184]]+1)</f>
        <v>181</v>
      </c>
      <c r="GV3" s="17">
        <f>IF(Distances[[#This Row],[Colonne185]]=$G3,GU3,Distances[[#This Row],[Colonne185]]+1)</f>
        <v>182</v>
      </c>
      <c r="GW3" s="17">
        <f>IF(Distances[[#This Row],[Colonne186]]=$G3,GV3,Distances[[#This Row],[Colonne186]]+1)</f>
        <v>183</v>
      </c>
      <c r="GX3" s="17">
        <f>IF(Distances[[#This Row],[Colonne187]]=$G3,GW3,Distances[[#This Row],[Colonne187]]+1)</f>
        <v>184</v>
      </c>
      <c r="GY3" s="17">
        <f>IF(Distances[[#This Row],[Colonne188]]=$G3,GX3,Distances[[#This Row],[Colonne188]]+1)</f>
        <v>185</v>
      </c>
      <c r="GZ3" s="17">
        <f>IF(Distances[[#This Row],[Colonne189]]=$G3,GY3,Distances[[#This Row],[Colonne189]]+1)</f>
        <v>186</v>
      </c>
      <c r="HA3" s="17">
        <f>IF(Distances[[#This Row],[Colonne190]]=$G3,GZ3,Distances[[#This Row],[Colonne190]]+1)</f>
        <v>187</v>
      </c>
      <c r="HB3" s="17">
        <f>IF(Distances[[#This Row],[Colonne191]]=$G3,HA3,Distances[[#This Row],[Colonne191]]+1)</f>
        <v>188</v>
      </c>
      <c r="HC3" s="17">
        <f>IF(Distances[[#This Row],[Colonne192]]=$G3,HB3,Distances[[#This Row],[Colonne192]]+1)</f>
        <v>189</v>
      </c>
      <c r="HD3" s="17">
        <f>IF(Distances[[#This Row],[Colonne193]]=$G3,HC3,Distances[[#This Row],[Colonne193]]+1)</f>
        <v>190</v>
      </c>
      <c r="HE3" s="17">
        <f>IF(Distances[[#This Row],[Colonne194]]=$G3,HD3,Distances[[#This Row],[Colonne194]]+1)</f>
        <v>191</v>
      </c>
      <c r="HF3" s="17">
        <f>IF(Distances[[#This Row],[Colonne195]]=$G3,HE3,Distances[[#This Row],[Colonne195]]+1)</f>
        <v>192</v>
      </c>
      <c r="HG3" s="17">
        <f>IF(Distances[[#This Row],[Colonne196]]=$G3,HF3,Distances[[#This Row],[Colonne196]]+1)</f>
        <v>193</v>
      </c>
      <c r="HH3" s="17">
        <f>IF(Distances[[#This Row],[Colonne197]]=$G3,HG3,Distances[[#This Row],[Colonne197]]+1)</f>
        <v>194</v>
      </c>
      <c r="HI3" s="17">
        <f>IF(Distances[[#This Row],[Colonne198]]=$G3,HH3,Distances[[#This Row],[Colonne198]]+1)</f>
        <v>195</v>
      </c>
      <c r="HJ3" s="17">
        <f>IF(Distances[[#This Row],[Colonne199]]=$G3,HI3,Distances[[#This Row],[Colonne199]]+1)</f>
        <v>196</v>
      </c>
      <c r="HK3" s="17">
        <f>IF(Distances[[#This Row],[Colonne200]]=$G3,HJ3,Distances[[#This Row],[Colonne200]]+1)</f>
        <v>197</v>
      </c>
      <c r="HL3" s="17">
        <f>IF(Distances[[#This Row],[Colonne201]]=$G3,HK3,Distances[[#This Row],[Colonne201]]+1)</f>
        <v>198</v>
      </c>
      <c r="HM3" s="17">
        <f>IF(Distances[[#This Row],[Colonne202]]=$G3,HL3,Distances[[#This Row],[Colonne202]]+1)</f>
        <v>199</v>
      </c>
      <c r="HN3" s="17">
        <f>IF(Distances[[#This Row],[Colonne203]]=$G3,HM3,Distances[[#This Row],[Colonne203]]+1)</f>
        <v>200</v>
      </c>
      <c r="HO3" s="17">
        <f>IF(Distances[[#This Row],[Colonne204]]=$G3,HN3,Distances[[#This Row],[Colonne204]]+1)</f>
        <v>200</v>
      </c>
      <c r="HP3" s="17">
        <f>IF(Distances[[#This Row],[Colonne205]]=$G3,HO3,Distances[[#This Row],[Colonne205]]+1)</f>
        <v>200</v>
      </c>
      <c r="HQ3" s="17">
        <f>IF(Distances[[#This Row],[Colonne206]]=$G3,HP3,Distances[[#This Row],[Colonne206]]+1)</f>
        <v>200</v>
      </c>
      <c r="HR3" s="17">
        <f>IF(Distances[[#This Row],[Colonne207]]=$G3,HQ3,Distances[[#This Row],[Colonne207]]+1)</f>
        <v>200</v>
      </c>
      <c r="HS3" s="17">
        <f>IF(Distances[[#This Row],[Colonne208]]=$G3,HR3,Distances[[#This Row],[Colonne208]]+1)</f>
        <v>200</v>
      </c>
      <c r="HT3" s="17">
        <f>IF(Distances[[#This Row],[Colonne209]]=$G3,HS3,Distances[[#This Row],[Colonne209]]+1)</f>
        <v>200</v>
      </c>
      <c r="HU3" s="17">
        <f>IF(Distances[[#This Row],[Colonne210]]=$G3,HT3,Distances[[#This Row],[Colonne210]]+1)</f>
        <v>200</v>
      </c>
      <c r="HV3" s="17">
        <f>IF(Distances[[#This Row],[Colonne211]]=$G3,HU3,Distances[[#This Row],[Colonne211]]+1)</f>
        <v>200</v>
      </c>
      <c r="HW3" s="17">
        <f>IF(Distances[[#This Row],[Colonne212]]=$G3,HV3,Distances[[#This Row],[Colonne212]]+1)</f>
        <v>200</v>
      </c>
      <c r="HX3" s="17">
        <f>IF(Distances[[#This Row],[Colonne213]]=$G3,HW3,Distances[[#This Row],[Colonne213]]+1)</f>
        <v>200</v>
      </c>
      <c r="HY3" s="17">
        <f>IF(Distances[[#This Row],[Colonne214]]=$G3,HX3,Distances[[#This Row],[Colonne214]]+1)</f>
        <v>200</v>
      </c>
      <c r="HZ3" s="17">
        <f>IF(Distances[[#This Row],[Colonne215]]=$G3,HY3,Distances[[#This Row],[Colonne215]]+1)</f>
        <v>200</v>
      </c>
      <c r="IA3" s="17">
        <f>IF(Distances[[#This Row],[Colonne216]]=$G3,HZ3,Distances[[#This Row],[Colonne216]]+1)</f>
        <v>200</v>
      </c>
      <c r="IB3" s="17">
        <f>IF(Distances[[#This Row],[Colonne217]]=$G3,IA3,Distances[[#This Row],[Colonne217]]+1)</f>
        <v>200</v>
      </c>
      <c r="IC3" s="17">
        <f>IF(Distances[[#This Row],[Colonne218]]=$G3,IB3,Distances[[#This Row],[Colonne218]]+1)</f>
        <v>200</v>
      </c>
      <c r="ID3" s="17">
        <f>IF(Distances[[#This Row],[Colonne219]]=$G3,IC3,Distances[[#This Row],[Colonne219]]+1)</f>
        <v>200</v>
      </c>
      <c r="IE3" s="17">
        <f>IF(Distances[[#This Row],[Colonne220]]=$G3,ID3,Distances[[#This Row],[Colonne220]]+1)</f>
        <v>200</v>
      </c>
      <c r="IF3" s="17">
        <f>IF(Distances[[#This Row],[Colonne221]]=$G3,IE3,Distances[[#This Row],[Colonne221]]+1)</f>
        <v>200</v>
      </c>
      <c r="IG3" s="17">
        <f>IF(Distances[[#This Row],[Colonne222]]=$G3,IF3,Distances[[#This Row],[Colonne222]]+1)</f>
        <v>200</v>
      </c>
      <c r="IH3" s="17">
        <f>IF(Distances[[#This Row],[Colonne223]]=$G3,IG3,Distances[[#This Row],[Colonne223]]+1)</f>
        <v>200</v>
      </c>
      <c r="II3" s="17">
        <f>IF(Distances[[#This Row],[Colonne224]]=$G3,IH3,Distances[[#This Row],[Colonne224]]+1)</f>
        <v>200</v>
      </c>
      <c r="IJ3" s="17">
        <f>IF(Distances[[#This Row],[Colonne225]]=$G3,II3,Distances[[#This Row],[Colonne225]]+1)</f>
        <v>200</v>
      </c>
      <c r="IK3" s="17">
        <f>IF(Distances[[#This Row],[Colonne226]]=$G3,IJ3,Distances[[#This Row],[Colonne226]]+1)</f>
        <v>200</v>
      </c>
      <c r="IL3" s="17">
        <f>IF(Distances[[#This Row],[Colonne227]]=$G3,IK3,Distances[[#This Row],[Colonne227]]+1)</f>
        <v>200</v>
      </c>
      <c r="IM3" s="17">
        <f>IF(Distances[[#This Row],[Colonne228]]=$G3,IL3,Distances[[#This Row],[Colonne228]]+1)</f>
        <v>200</v>
      </c>
      <c r="IN3" s="17">
        <f>IF(Distances[[#This Row],[Colonne229]]=$G3,IM3,Distances[[#This Row],[Colonne229]]+1)</f>
        <v>200</v>
      </c>
      <c r="IO3" s="17">
        <f>IF(Distances[[#This Row],[Colonne230]]=$G3,IN3,Distances[[#This Row],[Colonne230]]+1)</f>
        <v>200</v>
      </c>
      <c r="IP3" s="17">
        <f>IF(Distances[[#This Row],[Colonne231]]=$G3,IO3,Distances[[#This Row],[Colonne231]]+1)</f>
        <v>200</v>
      </c>
      <c r="IQ3" s="17">
        <f>IF(Distances[[#This Row],[Colonne232]]=$G3,IP3,Distances[[#This Row],[Colonne232]]+1)</f>
        <v>200</v>
      </c>
      <c r="IR3" s="17">
        <f>IF(Distances[[#This Row],[Colonne233]]=$G3,IQ3,Distances[[#This Row],[Colonne233]]+1)</f>
        <v>200</v>
      </c>
      <c r="IS3" s="17">
        <f>IF(Distances[[#This Row],[Colonne234]]=$G3,IR3,Distances[[#This Row],[Colonne234]]+1)</f>
        <v>200</v>
      </c>
      <c r="IT3" s="17">
        <f>IF(Distances[[#This Row],[Colonne235]]=$G3,IS3,Distances[[#This Row],[Colonne235]]+1)</f>
        <v>200</v>
      </c>
      <c r="IU3" s="17">
        <f>IF(Distances[[#This Row],[Colonne236]]=$G3,IT3,Distances[[#This Row],[Colonne236]]+1)</f>
        <v>200</v>
      </c>
      <c r="IV3" s="17">
        <f>IF(Distances[[#This Row],[Colonne237]]=$G3,IU3,Distances[[#This Row],[Colonne237]]+1)</f>
        <v>200</v>
      </c>
      <c r="IW3" s="17">
        <f>IF(Distances[[#This Row],[Colonne238]]=$G3,IV3,Distances[[#This Row],[Colonne238]]+1)</f>
        <v>200</v>
      </c>
      <c r="IX3" s="17">
        <f>IF(Distances[[#This Row],[Colonne239]]=$G3,IW3,Distances[[#This Row],[Colonne239]]+1)</f>
        <v>200</v>
      </c>
      <c r="IY3" s="17">
        <f>IF(Distances[[#This Row],[Colonne240]]=$G3,IX3,Distances[[#This Row],[Colonne240]]+1)</f>
        <v>200</v>
      </c>
      <c r="IZ3" s="17">
        <f>IF(Distances[[#This Row],[Colonne241]]=$G3,IY3,Distances[[#This Row],[Colonne241]]+1)</f>
        <v>200</v>
      </c>
      <c r="JA3" s="17">
        <f>IF(Distances[[#This Row],[Colonne242]]=$G3,IZ3,Distances[[#This Row],[Colonne242]]+1)</f>
        <v>200</v>
      </c>
      <c r="JB3" s="17">
        <f>IF(Distances[[#This Row],[Colonne243]]=$G3,JA3,Distances[[#This Row],[Colonne243]]+1)</f>
        <v>200</v>
      </c>
      <c r="JC3" s="17">
        <f>IF(Distances[[#This Row],[Colonne244]]=$G3,JB3,Distances[[#This Row],[Colonne244]]+1)</f>
        <v>200</v>
      </c>
      <c r="JD3" s="17">
        <f>IF(Distances[[#This Row],[Colonne245]]=$G3,JC3,Distances[[#This Row],[Colonne245]]+1)</f>
        <v>200</v>
      </c>
      <c r="JE3" s="17">
        <f>IF(Distances[[#This Row],[Colonne246]]=$G3,JD3,Distances[[#This Row],[Colonne246]]+1)</f>
        <v>200</v>
      </c>
      <c r="JF3" s="17">
        <f>IF(Distances[[#This Row],[Colonne247]]=$G3,JE3,Distances[[#This Row],[Colonne247]]+1)</f>
        <v>200</v>
      </c>
      <c r="JG3" s="17">
        <f>IF(Distances[[#This Row],[Colonne248]]=$G3,JF3,Distances[[#This Row],[Colonne248]]+1)</f>
        <v>200</v>
      </c>
      <c r="JH3" s="17">
        <f>IF(Distances[[#This Row],[Colonne249]]=$G3,JG3,Distances[[#This Row],[Colonne249]]+1)</f>
        <v>200</v>
      </c>
      <c r="JI3" s="17">
        <f>IF(Distances[[#This Row],[Colonne250]]=$G3,JH3,Distances[[#This Row],[Colonne250]]+1)</f>
        <v>200</v>
      </c>
      <c r="JJ3" s="17">
        <f>IF(Distances[[#This Row],[Colonne251]]=$G3,JI3,Distances[[#This Row],[Colonne251]]+1)</f>
        <v>200</v>
      </c>
      <c r="JK3" s="17">
        <f>IF(Distances[[#This Row],[Colonne252]]=$G3,JJ3,Distances[[#This Row],[Colonne252]]+1)</f>
        <v>200</v>
      </c>
      <c r="JL3" s="17">
        <f>IF(Distances[[#This Row],[Colonne253]]=$G3,JK3,Distances[[#This Row],[Colonne253]]+1)</f>
        <v>200</v>
      </c>
      <c r="JM3" s="17">
        <f>IF(Distances[[#This Row],[Colonne254]]=$G3,JL3,Distances[[#This Row],[Colonne254]]+1)</f>
        <v>200</v>
      </c>
      <c r="JN3" s="17">
        <f>IF(Distances[[#This Row],[Colonne255]]=$G3,JM3,Distances[[#This Row],[Colonne255]]+1)</f>
        <v>200</v>
      </c>
      <c r="JO3" s="17">
        <f>IF(Distances[[#This Row],[Colonne256]]=$G3,JN3,Distances[[#This Row],[Colonne256]]+1)</f>
        <v>200</v>
      </c>
      <c r="JP3" s="17">
        <f>IF(Distances[[#This Row],[Colonne257]]=$G3,JO3,Distances[[#This Row],[Colonne257]]+1)</f>
        <v>200</v>
      </c>
      <c r="JQ3" s="17">
        <f>IF(Distances[[#This Row],[Colonne258]]=$G3,JP3,Distances[[#This Row],[Colonne258]]+1)</f>
        <v>200</v>
      </c>
      <c r="JR3" s="17">
        <f>IF(Distances[[#This Row],[Colonne259]]=$G3,JQ3,Distances[[#This Row],[Colonne259]]+1)</f>
        <v>200</v>
      </c>
      <c r="JS3" s="17">
        <f>IF(Distances[[#This Row],[Colonne260]]=$G3,JR3,Distances[[#This Row],[Colonne260]]+1)</f>
        <v>200</v>
      </c>
      <c r="JT3" s="17">
        <f>IF(Distances[[#This Row],[Colonne261]]=$G3,JS3,Distances[[#This Row],[Colonne261]]+1)</f>
        <v>200</v>
      </c>
      <c r="JU3" s="17">
        <f>IF(Distances[[#This Row],[Colonne262]]=$G3,JT3,Distances[[#This Row],[Colonne262]]+1)</f>
        <v>200</v>
      </c>
      <c r="JV3" s="17">
        <f>IF(Distances[[#This Row],[Colonne263]]=$G3,JU3,Distances[[#This Row],[Colonne263]]+1)</f>
        <v>200</v>
      </c>
      <c r="JW3" s="17">
        <f>IF(Distances[[#This Row],[Colonne264]]=$G3,JV3,Distances[[#This Row],[Colonne264]]+1)</f>
        <v>200</v>
      </c>
      <c r="JX3" s="17">
        <f>IF(Distances[[#This Row],[Colonne265]]=$G3,JW3,Distances[[#This Row],[Colonne265]]+1)</f>
        <v>200</v>
      </c>
      <c r="JY3" s="17">
        <f>IF(Distances[[#This Row],[Colonne266]]=$G3,JX3,Distances[[#This Row],[Colonne266]]+1)</f>
        <v>200</v>
      </c>
      <c r="JZ3" s="17">
        <f>IF(Distances[[#This Row],[Colonne267]]=$G3,JY3,Distances[[#This Row],[Colonne267]]+1)</f>
        <v>200</v>
      </c>
      <c r="KA3" s="17">
        <f>IF(Distances[[#This Row],[Colonne268]]=$G3,JZ3,Distances[[#This Row],[Colonne268]]+1)</f>
        <v>200</v>
      </c>
      <c r="KB3" s="17">
        <f>IF(Distances[[#This Row],[Colonne269]]=$G3,KA3,Distances[[#This Row],[Colonne269]]+1)</f>
        <v>200</v>
      </c>
      <c r="KC3" s="17">
        <f>IF(Distances[[#This Row],[Colonne270]]=$G3,KB3,Distances[[#This Row],[Colonne270]]+1)</f>
        <v>200</v>
      </c>
      <c r="KD3" s="17">
        <f>IF(Distances[[#This Row],[Colonne271]]=$G3,KC3,Distances[[#This Row],[Colonne271]]+1)</f>
        <v>200</v>
      </c>
      <c r="KE3" s="17">
        <f>IF(Distances[[#This Row],[Colonne272]]=$G3,KD3,Distances[[#This Row],[Colonne272]]+1)</f>
        <v>200</v>
      </c>
      <c r="KF3" s="17">
        <f>IF(Distances[[#This Row],[Colonne273]]=$G3,KE3,Distances[[#This Row],[Colonne273]]+1)</f>
        <v>200</v>
      </c>
      <c r="KG3" s="17">
        <f>IF(Distances[[#This Row],[Colonne274]]=$G3,KF3,Distances[[#This Row],[Colonne274]]+1)</f>
        <v>200</v>
      </c>
      <c r="KH3" s="17">
        <f>IF(Distances[[#This Row],[Colonne275]]=$G3,KG3,Distances[[#This Row],[Colonne275]]+1)</f>
        <v>200</v>
      </c>
      <c r="KI3" s="17">
        <f>IF(Distances[[#This Row],[Colonne276]]=$G3,KH3,Distances[[#This Row],[Colonne276]]+1)</f>
        <v>200</v>
      </c>
      <c r="KJ3" s="17">
        <f>IF(Distances[[#This Row],[Colonne277]]=$G3,KI3,Distances[[#This Row],[Colonne277]]+1)</f>
        <v>200</v>
      </c>
      <c r="KK3" s="17">
        <f>IF(Distances[[#This Row],[Colonne278]]=$G3,KJ3,Distances[[#This Row],[Colonne278]]+1)</f>
        <v>200</v>
      </c>
      <c r="KL3" s="17">
        <f>IF(Distances[[#This Row],[Colonne279]]=$G3,KK3,Distances[[#This Row],[Colonne279]]+1)</f>
        <v>200</v>
      </c>
      <c r="KM3" s="17">
        <f>IF(Distances[[#This Row],[Colonne280]]=$G3,KL3,Distances[[#This Row],[Colonne280]]+1)</f>
        <v>200</v>
      </c>
      <c r="KN3" s="17">
        <f>IF(Distances[[#This Row],[Colonne281]]=$G3,KM3,Distances[[#This Row],[Colonne281]]+1)</f>
        <v>200</v>
      </c>
      <c r="KO3" s="17">
        <f>IF(Distances[[#This Row],[Colonne282]]=$G3,KN3,Distances[[#This Row],[Colonne282]]+1)</f>
        <v>200</v>
      </c>
      <c r="KP3" s="17">
        <f>IF(Distances[[#This Row],[Colonne283]]=$G3,KO3,Distances[[#This Row],[Colonne283]]+1)</f>
        <v>200</v>
      </c>
      <c r="KQ3" s="17">
        <f>IF(Distances[[#This Row],[Colonne284]]=$G3,KP3,Distances[[#This Row],[Colonne284]]+1)</f>
        <v>200</v>
      </c>
      <c r="KR3" s="17">
        <f>IF(Distances[[#This Row],[Colonne285]]=$G3,KQ3,Distances[[#This Row],[Colonne285]]+1)</f>
        <v>200</v>
      </c>
      <c r="KS3" s="17">
        <f>IF(Distances[[#This Row],[Colonne286]]=$G3,KR3,Distances[[#This Row],[Colonne286]]+1)</f>
        <v>200</v>
      </c>
      <c r="KT3" s="17">
        <f>IF(Distances[[#This Row],[Colonne287]]=$G3,KS3,Distances[[#This Row],[Colonne287]]+1)</f>
        <v>200</v>
      </c>
      <c r="KU3" s="17">
        <f>IF(Distances[[#This Row],[Colonne288]]=$G3,KT3,Distances[[#This Row],[Colonne288]]+1)</f>
        <v>200</v>
      </c>
      <c r="KV3" s="17">
        <f>IF(Distances[[#This Row],[Colonne289]]=$G3,KU3,Distances[[#This Row],[Colonne289]]+1)</f>
        <v>200</v>
      </c>
      <c r="KW3" s="17">
        <f>IF(Distances[[#This Row],[Colonne290]]=$G3,KV3,Distances[[#This Row],[Colonne290]]+1)</f>
        <v>200</v>
      </c>
      <c r="KX3" s="17">
        <f>IF(Distances[[#This Row],[Colonne291]]=$G3,KW3,Distances[[#This Row],[Colonne291]]+1)</f>
        <v>200</v>
      </c>
      <c r="KY3" s="17">
        <f>IF(Distances[[#This Row],[Colonne292]]=$G3,KX3,Distances[[#This Row],[Colonne292]]+1)</f>
        <v>200</v>
      </c>
      <c r="KZ3" s="17">
        <f>IF(Distances[[#This Row],[Colonne293]]=$G3,KY3,Distances[[#This Row],[Colonne293]]+1)</f>
        <v>200</v>
      </c>
      <c r="LA3" s="17">
        <f>IF(Distances[[#This Row],[Colonne294]]=$G3,KZ3,Distances[[#This Row],[Colonne294]]+1)</f>
        <v>200</v>
      </c>
      <c r="LB3" s="17">
        <f>IF(Distances[[#This Row],[Colonne295]]=$G3,LA3,Distances[[#This Row],[Colonne295]]+1)</f>
        <v>200</v>
      </c>
      <c r="LC3" s="17">
        <f>IF(Distances[[#This Row],[Colonne296]]=$G3,LB3,Distances[[#This Row],[Colonne296]]+1)</f>
        <v>200</v>
      </c>
      <c r="LD3" s="17">
        <f>IF(Distances[[#This Row],[Colonne297]]=$G3,LC3,Distances[[#This Row],[Colonne297]]+1)</f>
        <v>200</v>
      </c>
      <c r="LE3" s="17">
        <f>IF(Distances[[#This Row],[Colonne298]]=$G3,LD3,Distances[[#This Row],[Colonne298]]+1)</f>
        <v>200</v>
      </c>
      <c r="LF3" s="17">
        <f>IF(Distances[[#This Row],[Colonne299]]=$G3,LE3,Distances[[#This Row],[Colonne299]]+1)</f>
        <v>200</v>
      </c>
      <c r="LG3" s="17">
        <f>IF(Distances[[#This Row],[Colonne300]]=$G3,LF3,Distances[[#This Row],[Colonne300]]+1)</f>
        <v>200</v>
      </c>
      <c r="LH3" s="17">
        <f>IF(Distances[[#This Row],[Colonne301]]=$G3,LG3,Distances[[#This Row],[Colonne301]]+1)</f>
        <v>200</v>
      </c>
      <c r="LI3" s="17">
        <f>IF(Distances[[#This Row],[Colonne302]]=$G3,LH3,Distances[[#This Row],[Colonne302]]+1)</f>
        <v>200</v>
      </c>
      <c r="LJ3" s="17">
        <f>IF(Distances[[#This Row],[Colonne303]]=$G3,LI3,Distances[[#This Row],[Colonne303]]+1)</f>
        <v>200</v>
      </c>
      <c r="LK3" s="51"/>
      <c r="LL3" s="17">
        <f t="shared" ref="LL3:NW3" si="4">IF(LK3=$H3,LK3,LK3+1)</f>
        <v>1</v>
      </c>
      <c r="LM3" s="17">
        <f t="shared" si="4"/>
        <v>2</v>
      </c>
      <c r="LN3" s="17">
        <f t="shared" si="4"/>
        <v>3</v>
      </c>
      <c r="LO3" s="17">
        <f t="shared" si="4"/>
        <v>4</v>
      </c>
      <c r="LP3" s="17">
        <f t="shared" si="4"/>
        <v>5</v>
      </c>
      <c r="LQ3" s="17">
        <f t="shared" si="4"/>
        <v>6</v>
      </c>
      <c r="LR3" s="17">
        <f t="shared" si="4"/>
        <v>7</v>
      </c>
      <c r="LS3" s="17">
        <f t="shared" si="4"/>
        <v>8</v>
      </c>
      <c r="LT3" s="17">
        <f t="shared" si="4"/>
        <v>9</v>
      </c>
      <c r="LU3" s="17">
        <f t="shared" si="4"/>
        <v>10</v>
      </c>
      <c r="LV3" s="17">
        <f t="shared" si="4"/>
        <v>11</v>
      </c>
      <c r="LW3" s="17">
        <f t="shared" si="4"/>
        <v>12</v>
      </c>
      <c r="LX3" s="17">
        <f t="shared" si="4"/>
        <v>13</v>
      </c>
      <c r="LY3" s="17">
        <f t="shared" si="4"/>
        <v>14</v>
      </c>
      <c r="LZ3" s="17">
        <f t="shared" si="4"/>
        <v>15</v>
      </c>
      <c r="MA3" s="17">
        <f t="shared" si="4"/>
        <v>16</v>
      </c>
      <c r="MB3" s="17">
        <f t="shared" si="4"/>
        <v>17</v>
      </c>
      <c r="MC3" s="17">
        <f t="shared" si="4"/>
        <v>18</v>
      </c>
      <c r="MD3" s="17">
        <f t="shared" si="4"/>
        <v>19</v>
      </c>
      <c r="ME3" s="17">
        <f t="shared" si="4"/>
        <v>20</v>
      </c>
      <c r="MF3" s="17">
        <f t="shared" si="4"/>
        <v>21</v>
      </c>
      <c r="MG3" s="17">
        <f t="shared" si="4"/>
        <v>22</v>
      </c>
      <c r="MH3" s="17">
        <f t="shared" si="4"/>
        <v>23</v>
      </c>
      <c r="MI3" s="17">
        <f t="shared" si="4"/>
        <v>24</v>
      </c>
      <c r="MJ3" s="17">
        <f t="shared" si="4"/>
        <v>25</v>
      </c>
      <c r="MK3" s="17">
        <f t="shared" si="4"/>
        <v>26</v>
      </c>
      <c r="ML3" s="17">
        <f t="shared" si="4"/>
        <v>27</v>
      </c>
      <c r="MM3" s="17">
        <f t="shared" si="4"/>
        <v>28</v>
      </c>
      <c r="MN3" s="17">
        <f t="shared" si="4"/>
        <v>29</v>
      </c>
      <c r="MO3" s="17">
        <f t="shared" si="4"/>
        <v>30</v>
      </c>
      <c r="MP3" s="17">
        <f t="shared" si="4"/>
        <v>30</v>
      </c>
      <c r="MQ3" s="17">
        <f t="shared" si="4"/>
        <v>30</v>
      </c>
      <c r="MR3" s="17">
        <f t="shared" si="4"/>
        <v>30</v>
      </c>
      <c r="MS3" s="17">
        <f t="shared" si="4"/>
        <v>30</v>
      </c>
      <c r="MT3" s="17">
        <f t="shared" si="4"/>
        <v>30</v>
      </c>
      <c r="MU3" s="17">
        <f t="shared" si="4"/>
        <v>30</v>
      </c>
      <c r="MV3" s="17">
        <f t="shared" si="4"/>
        <v>30</v>
      </c>
      <c r="MW3" s="17">
        <f t="shared" si="4"/>
        <v>30</v>
      </c>
      <c r="MX3" s="17">
        <f t="shared" si="4"/>
        <v>30</v>
      </c>
      <c r="MY3" s="17">
        <f t="shared" si="4"/>
        <v>30</v>
      </c>
      <c r="MZ3" s="17">
        <f t="shared" si="4"/>
        <v>30</v>
      </c>
      <c r="NA3" s="17">
        <f t="shared" si="4"/>
        <v>30</v>
      </c>
      <c r="NB3" s="17">
        <f t="shared" si="4"/>
        <v>30</v>
      </c>
      <c r="NC3" s="17">
        <f t="shared" si="4"/>
        <v>30</v>
      </c>
      <c r="ND3" s="17">
        <f t="shared" si="4"/>
        <v>30</v>
      </c>
      <c r="NE3" s="17">
        <f t="shared" si="4"/>
        <v>30</v>
      </c>
      <c r="NF3" s="17">
        <f t="shared" si="4"/>
        <v>30</v>
      </c>
      <c r="NG3" s="17">
        <f t="shared" si="4"/>
        <v>30</v>
      </c>
      <c r="NH3" s="17">
        <f t="shared" si="4"/>
        <v>30</v>
      </c>
      <c r="NI3" s="17">
        <f t="shared" si="4"/>
        <v>30</v>
      </c>
      <c r="NJ3" s="17">
        <f t="shared" si="4"/>
        <v>30</v>
      </c>
      <c r="NK3" s="17">
        <f t="shared" si="4"/>
        <v>30</v>
      </c>
      <c r="NL3" s="17">
        <f t="shared" si="4"/>
        <v>30</v>
      </c>
      <c r="NM3" s="17">
        <f t="shared" si="4"/>
        <v>30</v>
      </c>
      <c r="NN3" s="17">
        <f t="shared" si="4"/>
        <v>30</v>
      </c>
      <c r="NO3" s="17">
        <f t="shared" si="4"/>
        <v>30</v>
      </c>
      <c r="NP3" s="17">
        <f t="shared" si="4"/>
        <v>30</v>
      </c>
      <c r="NQ3" s="17">
        <f t="shared" si="4"/>
        <v>30</v>
      </c>
      <c r="NR3" s="17">
        <f t="shared" si="4"/>
        <v>30</v>
      </c>
      <c r="NS3" s="17">
        <f t="shared" si="4"/>
        <v>30</v>
      </c>
      <c r="NT3" s="17">
        <f t="shared" si="4"/>
        <v>30</v>
      </c>
      <c r="NU3" s="17">
        <f t="shared" si="4"/>
        <v>30</v>
      </c>
      <c r="NV3" s="17">
        <f t="shared" si="4"/>
        <v>30</v>
      </c>
      <c r="NW3" s="17">
        <f t="shared" si="4"/>
        <v>30</v>
      </c>
      <c r="NX3" s="17">
        <f t="shared" ref="NX3:PG3" si="5">IF(NW3=$H3,NW3,NW3+1)</f>
        <v>30</v>
      </c>
      <c r="NY3" s="17">
        <f t="shared" si="5"/>
        <v>30</v>
      </c>
      <c r="NZ3" s="17">
        <f t="shared" si="5"/>
        <v>30</v>
      </c>
      <c r="OA3" s="17">
        <f t="shared" si="5"/>
        <v>30</v>
      </c>
      <c r="OB3" s="17">
        <f t="shared" si="5"/>
        <v>30</v>
      </c>
      <c r="OC3" s="17">
        <f t="shared" si="5"/>
        <v>30</v>
      </c>
      <c r="OD3" s="17">
        <f t="shared" si="5"/>
        <v>30</v>
      </c>
      <c r="OE3" s="17">
        <f t="shared" si="5"/>
        <v>30</v>
      </c>
      <c r="OF3" s="17">
        <f t="shared" si="5"/>
        <v>30</v>
      </c>
      <c r="OG3" s="17">
        <f t="shared" si="5"/>
        <v>30</v>
      </c>
      <c r="OH3" s="17">
        <f t="shared" si="5"/>
        <v>30</v>
      </c>
      <c r="OI3" s="17">
        <f t="shared" si="5"/>
        <v>30</v>
      </c>
      <c r="OJ3" s="17">
        <f t="shared" si="5"/>
        <v>30</v>
      </c>
      <c r="OK3" s="17">
        <f t="shared" si="5"/>
        <v>30</v>
      </c>
      <c r="OL3" s="17">
        <f t="shared" si="5"/>
        <v>30</v>
      </c>
      <c r="OM3" s="17">
        <f t="shared" si="5"/>
        <v>30</v>
      </c>
      <c r="ON3" s="17">
        <f t="shared" si="5"/>
        <v>30</v>
      </c>
      <c r="OO3" s="17">
        <f t="shared" si="5"/>
        <v>30</v>
      </c>
      <c r="OP3" s="17">
        <f t="shared" si="5"/>
        <v>30</v>
      </c>
      <c r="OQ3" s="17">
        <f t="shared" si="5"/>
        <v>30</v>
      </c>
      <c r="OR3" s="17">
        <f t="shared" si="5"/>
        <v>30</v>
      </c>
      <c r="OS3" s="17">
        <f t="shared" si="5"/>
        <v>30</v>
      </c>
      <c r="OT3" s="17">
        <f t="shared" si="5"/>
        <v>30</v>
      </c>
      <c r="OU3" s="17">
        <f t="shared" si="5"/>
        <v>30</v>
      </c>
      <c r="OV3" s="17">
        <f t="shared" si="5"/>
        <v>30</v>
      </c>
      <c r="OW3" s="17">
        <f t="shared" si="5"/>
        <v>30</v>
      </c>
      <c r="OX3" s="17">
        <f t="shared" si="5"/>
        <v>30</v>
      </c>
      <c r="OY3" s="17">
        <f t="shared" si="5"/>
        <v>30</v>
      </c>
      <c r="OZ3" s="17">
        <f t="shared" si="5"/>
        <v>30</v>
      </c>
      <c r="PA3" s="17">
        <f t="shared" si="5"/>
        <v>30</v>
      </c>
      <c r="PB3" s="17">
        <f t="shared" si="5"/>
        <v>30</v>
      </c>
      <c r="PC3" s="17">
        <f t="shared" si="5"/>
        <v>30</v>
      </c>
      <c r="PD3" s="17">
        <f t="shared" si="5"/>
        <v>30</v>
      </c>
      <c r="PE3" s="17">
        <f t="shared" si="5"/>
        <v>30</v>
      </c>
      <c r="PF3" s="17">
        <f t="shared" si="5"/>
        <v>30</v>
      </c>
      <c r="PG3" s="17">
        <f t="shared" si="5"/>
        <v>30</v>
      </c>
    </row>
    <row r="4" spans="1:423" x14ac:dyDescent="0.25">
      <c r="A4" s="8" t="s">
        <v>5509</v>
      </c>
      <c r="B4" s="9" t="s">
        <v>8501</v>
      </c>
      <c r="C4" s="9" t="str">
        <f>LEFT(A4)&amp;B4</f>
        <v>LN3 LBIF</v>
      </c>
      <c r="D4" s="1" t="str">
        <f>A4&amp;" "&amp;B4</f>
        <v>Libre N3 LBIF</v>
      </c>
      <c r="E4" s="1" t="s">
        <v>18</v>
      </c>
      <c r="F4" s="9" t="s">
        <v>5452</v>
      </c>
      <c r="G4" s="9">
        <v>200</v>
      </c>
      <c r="H4" s="9">
        <v>25</v>
      </c>
      <c r="I4" s="127">
        <v>2.8</v>
      </c>
      <c r="J4" s="9" t="s">
        <v>5510</v>
      </c>
      <c r="K4" s="10"/>
      <c r="L4" s="8">
        <v>6</v>
      </c>
      <c r="M4" s="9"/>
      <c r="N4" s="10">
        <v>12.499000000000001</v>
      </c>
      <c r="O4" s="269"/>
      <c r="P4" s="331"/>
      <c r="Q4" s="335"/>
      <c r="R4" s="8"/>
      <c r="S4" s="9"/>
      <c r="T4" s="10"/>
      <c r="U4" t="s">
        <v>5523</v>
      </c>
      <c r="V4" s="17">
        <v>0</v>
      </c>
      <c r="W4" s="17">
        <f>IF(Distances[[#This Row],[Colonne4]]=$G4,V4,Distances[[#This Row],[Colonne4]]+1)</f>
        <v>1</v>
      </c>
      <c r="X4" s="17">
        <f>IF(Distances[[#This Row],[Colonne5]]=$G4,W4,Distances[[#This Row],[Colonne5]]+1)</f>
        <v>2</v>
      </c>
      <c r="Y4" s="17">
        <f>IF(Distances[[#This Row],[Colonne6]]=$G4,X4,Distances[[#This Row],[Colonne6]]+1)</f>
        <v>3</v>
      </c>
      <c r="Z4" s="17">
        <f>IF(Distances[[#This Row],[Colonne7]]=$G4,Y4,Distances[[#This Row],[Colonne7]]+1)</f>
        <v>4</v>
      </c>
      <c r="AA4" s="17">
        <f>IF(Distances[[#This Row],[Colonne8]]=$G4,Z4,Distances[[#This Row],[Colonne8]]+1)</f>
        <v>5</v>
      </c>
      <c r="AB4" s="17">
        <f>IF(Distances[[#This Row],[Colonne9]]=$G4,AA4,Distances[[#This Row],[Colonne9]]+1)</f>
        <v>6</v>
      </c>
      <c r="AC4" s="17">
        <f>IF(Distances[[#This Row],[Colonne10]]=$G4,AB4,Distances[[#This Row],[Colonne10]]+1)</f>
        <v>7</v>
      </c>
      <c r="AD4" s="17">
        <f>IF(Distances[[#This Row],[Colonne11]]=$G4,AC4,Distances[[#This Row],[Colonne11]]+1)</f>
        <v>8</v>
      </c>
      <c r="AE4" s="17">
        <f>IF(Distances[[#This Row],[Colonne12]]=$G4,AD4,Distances[[#This Row],[Colonne12]]+1)</f>
        <v>9</v>
      </c>
      <c r="AF4" s="17">
        <f>IF(Distances[[#This Row],[Colonne13]]=$G4,AE4,Distances[[#This Row],[Colonne13]]+1)</f>
        <v>10</v>
      </c>
      <c r="AG4" s="17">
        <f>IF(Distances[[#This Row],[Colonne14]]=$G4,AF4,Distances[[#This Row],[Colonne14]]+1)</f>
        <v>11</v>
      </c>
      <c r="AH4" s="17">
        <f>IF(Distances[[#This Row],[Colonne15]]=$G4,AG4,Distances[[#This Row],[Colonne15]]+1)</f>
        <v>12</v>
      </c>
      <c r="AI4" s="17">
        <f>IF(Distances[[#This Row],[Colonne16]]=$G4,AH4,Distances[[#This Row],[Colonne16]]+1)</f>
        <v>13</v>
      </c>
      <c r="AJ4" s="17">
        <f>IF(Distances[[#This Row],[Colonne17]]=$G4,AI4,Distances[[#This Row],[Colonne17]]+1)</f>
        <v>14</v>
      </c>
      <c r="AK4" s="17">
        <f>IF(Distances[[#This Row],[Colonne18]]=$G4,AJ4,Distances[[#This Row],[Colonne18]]+1)</f>
        <v>15</v>
      </c>
      <c r="AL4" s="17">
        <f>IF(Distances[[#This Row],[Colonne19]]=$G4,AK4,Distances[[#This Row],[Colonne19]]+1)</f>
        <v>16</v>
      </c>
      <c r="AM4" s="17">
        <f>IF(Distances[[#This Row],[Colonne20]]=$G4,AL4,Distances[[#This Row],[Colonne20]]+1)</f>
        <v>17</v>
      </c>
      <c r="AN4" s="17">
        <f>IF(Distances[[#This Row],[Colonne21]]=$G4,AM4,Distances[[#This Row],[Colonne21]]+1)</f>
        <v>18</v>
      </c>
      <c r="AO4" s="17">
        <f>IF(Distances[[#This Row],[Colonne22]]=$G4,AN4,Distances[[#This Row],[Colonne22]]+1)</f>
        <v>19</v>
      </c>
      <c r="AP4" s="17">
        <f>IF(Distances[[#This Row],[Colonne23]]=$G4,AO4,Distances[[#This Row],[Colonne23]]+1)</f>
        <v>20</v>
      </c>
      <c r="AQ4" s="17">
        <f>IF(Distances[[#This Row],[Colonne24]]=$G4,AP4,Distances[[#This Row],[Colonne24]]+1)</f>
        <v>21</v>
      </c>
      <c r="AR4" s="17">
        <f>IF(Distances[[#This Row],[Colonne25]]=$G4,AQ4,Distances[[#This Row],[Colonne25]]+1)</f>
        <v>22</v>
      </c>
      <c r="AS4" s="17">
        <f>IF(Distances[[#This Row],[Colonne26]]=$G4,AR4,Distances[[#This Row],[Colonne26]]+1)</f>
        <v>23</v>
      </c>
      <c r="AT4" s="17">
        <f>IF(Distances[[#This Row],[Colonne27]]=$G4,AS4,Distances[[#This Row],[Colonne27]]+1)</f>
        <v>24</v>
      </c>
      <c r="AU4" s="17">
        <f>IF(Distances[[#This Row],[Colonne28]]=$G4,AT4,Distances[[#This Row],[Colonne28]]+1)</f>
        <v>25</v>
      </c>
      <c r="AV4" s="17">
        <f>IF(Distances[[#This Row],[Colonne29]]=$G4,AU4,Distances[[#This Row],[Colonne29]]+1)</f>
        <v>26</v>
      </c>
      <c r="AW4" s="17">
        <f>IF(Distances[[#This Row],[Colonne30]]=$G4,AV4,Distances[[#This Row],[Colonne30]]+1)</f>
        <v>27</v>
      </c>
      <c r="AX4" s="17">
        <f>IF(Distances[[#This Row],[Colonne31]]=$G4,AW4,Distances[[#This Row],[Colonne31]]+1)</f>
        <v>28</v>
      </c>
      <c r="AY4" s="17">
        <f>IF(Distances[[#This Row],[Colonne32]]=$G4,AX4,Distances[[#This Row],[Colonne32]]+1)</f>
        <v>29</v>
      </c>
      <c r="AZ4" s="17">
        <f>IF(Distances[[#This Row],[Colonne33]]=$G4,AY4,Distances[[#This Row],[Colonne33]]+1)</f>
        <v>30</v>
      </c>
      <c r="BA4" s="17">
        <f>IF(Distances[[#This Row],[Colonne34]]=$G4,AZ4,Distances[[#This Row],[Colonne34]]+1)</f>
        <v>31</v>
      </c>
      <c r="BB4" s="17">
        <f>IF(Distances[[#This Row],[Colonne35]]=$G4,BA4,Distances[[#This Row],[Colonne35]]+1)</f>
        <v>32</v>
      </c>
      <c r="BC4" s="17">
        <f>IF(Distances[[#This Row],[Colonne36]]=$G4,BB4,Distances[[#This Row],[Colonne36]]+1)</f>
        <v>33</v>
      </c>
      <c r="BD4" s="17">
        <f>IF(Distances[[#This Row],[Colonne37]]=$G4,BC4,Distances[[#This Row],[Colonne37]]+1)</f>
        <v>34</v>
      </c>
      <c r="BE4" s="17">
        <f>IF(Distances[[#This Row],[Colonne38]]=$G4,BD4,Distances[[#This Row],[Colonne38]]+1)</f>
        <v>35</v>
      </c>
      <c r="BF4" s="17">
        <f>IF(Distances[[#This Row],[Colonne39]]=$G4,BE4,Distances[[#This Row],[Colonne39]]+1)</f>
        <v>36</v>
      </c>
      <c r="BG4" s="17">
        <f>IF(Distances[[#This Row],[Colonne40]]=$G4,BF4,Distances[[#This Row],[Colonne40]]+1)</f>
        <v>37</v>
      </c>
      <c r="BH4" s="17">
        <f>IF(Distances[[#This Row],[Colonne41]]=$G4,BG4,Distances[[#This Row],[Colonne41]]+1)</f>
        <v>38</v>
      </c>
      <c r="BI4" s="17">
        <f>IF(Distances[[#This Row],[Colonne42]]=$G4,BH4,Distances[[#This Row],[Colonne42]]+1)</f>
        <v>39</v>
      </c>
      <c r="BJ4" s="17">
        <f>IF(Distances[[#This Row],[Colonne43]]=$G4,BI4,Distances[[#This Row],[Colonne43]]+1)</f>
        <v>40</v>
      </c>
      <c r="BK4" s="17">
        <f>IF(Distances[[#This Row],[Colonne44]]=$G4,BJ4,Distances[[#This Row],[Colonne44]]+1)</f>
        <v>41</v>
      </c>
      <c r="BL4" s="17">
        <f>IF(Distances[[#This Row],[Colonne45]]=$G4,BK4,Distances[[#This Row],[Colonne45]]+1)</f>
        <v>42</v>
      </c>
      <c r="BM4" s="17">
        <f>IF(Distances[[#This Row],[Colonne46]]=$G4,BL4,Distances[[#This Row],[Colonne46]]+1)</f>
        <v>43</v>
      </c>
      <c r="BN4" s="17">
        <f>IF(Distances[[#This Row],[Colonne47]]=$G4,BM4,Distances[[#This Row],[Colonne47]]+1)</f>
        <v>44</v>
      </c>
      <c r="BO4" s="17">
        <f>IF(Distances[[#This Row],[Colonne48]]=$G4,BN4,Distances[[#This Row],[Colonne48]]+1)</f>
        <v>45</v>
      </c>
      <c r="BP4" s="17">
        <f>IF(Distances[[#This Row],[Colonne49]]=$G4,BO4,Distances[[#This Row],[Colonne49]]+1)</f>
        <v>46</v>
      </c>
      <c r="BQ4" s="17">
        <f>IF(Distances[[#This Row],[Colonne50]]=$G4,BP4,Distances[[#This Row],[Colonne50]]+1)</f>
        <v>47</v>
      </c>
      <c r="BR4" s="17">
        <f>IF(Distances[[#This Row],[Colonne51]]=$G4,BQ4,Distances[[#This Row],[Colonne51]]+1)</f>
        <v>48</v>
      </c>
      <c r="BS4" s="17">
        <f>IF(Distances[[#This Row],[Colonne52]]=$G4,BR4,Distances[[#This Row],[Colonne52]]+1)</f>
        <v>49</v>
      </c>
      <c r="BT4" s="17">
        <f>IF(Distances[[#This Row],[Colonne53]]=$G4,BS4,Distances[[#This Row],[Colonne53]]+1)</f>
        <v>50</v>
      </c>
      <c r="BU4" s="17">
        <f>IF(Distances[[#This Row],[Colonne54]]=$G4,BT4,Distances[[#This Row],[Colonne54]]+1)</f>
        <v>51</v>
      </c>
      <c r="BV4" s="17">
        <f>IF(Distances[[#This Row],[Colonne55]]=$G4,BU4,Distances[[#This Row],[Colonne55]]+1)</f>
        <v>52</v>
      </c>
      <c r="BW4" s="17">
        <f>IF(Distances[[#This Row],[Colonne56]]=$G4,BV4,Distances[[#This Row],[Colonne56]]+1)</f>
        <v>53</v>
      </c>
      <c r="BX4" s="17">
        <f>IF(Distances[[#This Row],[Colonne57]]=$G4,BW4,Distances[[#This Row],[Colonne57]]+1)</f>
        <v>54</v>
      </c>
      <c r="BY4" s="17">
        <f>IF(Distances[[#This Row],[Colonne58]]=$G4,BX4,Distances[[#This Row],[Colonne58]]+1)</f>
        <v>55</v>
      </c>
      <c r="BZ4" s="17">
        <f>IF(Distances[[#This Row],[Colonne59]]=$G4,BY4,Distances[[#This Row],[Colonne59]]+1)</f>
        <v>56</v>
      </c>
      <c r="CA4" s="17">
        <f>IF(Distances[[#This Row],[Colonne60]]=$G4,BZ4,Distances[[#This Row],[Colonne60]]+1)</f>
        <v>57</v>
      </c>
      <c r="CB4" s="17">
        <f>IF(Distances[[#This Row],[Colonne61]]=$G4,CA4,Distances[[#This Row],[Colonne61]]+1)</f>
        <v>58</v>
      </c>
      <c r="CC4" s="17">
        <f>IF(Distances[[#This Row],[Colonne62]]=$G4,CB4,Distances[[#This Row],[Colonne62]]+1)</f>
        <v>59</v>
      </c>
      <c r="CD4" s="17">
        <f>IF(Distances[[#This Row],[Colonne63]]=$G4,CC4,Distances[[#This Row],[Colonne63]]+1)</f>
        <v>60</v>
      </c>
      <c r="CE4" s="17">
        <f>IF(Distances[[#This Row],[Colonne64]]=$G4,CD4,Distances[[#This Row],[Colonne64]]+1)</f>
        <v>61</v>
      </c>
      <c r="CF4" s="17">
        <f>IF(Distances[[#This Row],[Colonne65]]=$G4,CE4,Distances[[#This Row],[Colonne65]]+1)</f>
        <v>62</v>
      </c>
      <c r="CG4" s="17">
        <f>IF(Distances[[#This Row],[Colonne66]]=$G4,CF4,Distances[[#This Row],[Colonne66]]+1)</f>
        <v>63</v>
      </c>
      <c r="CH4" s="17">
        <f>IF(Distances[[#This Row],[Colonne67]]=$G4,CG4,Distances[[#This Row],[Colonne67]]+1)</f>
        <v>64</v>
      </c>
      <c r="CI4" s="17">
        <f>IF(Distances[[#This Row],[Colonne68]]=$G4,CH4,Distances[[#This Row],[Colonne68]]+1)</f>
        <v>65</v>
      </c>
      <c r="CJ4" s="17">
        <f>IF(Distances[[#This Row],[Colonne69]]=$G4,CI4,Distances[[#This Row],[Colonne69]]+1)</f>
        <v>66</v>
      </c>
      <c r="CK4" s="17">
        <f>IF(Distances[[#This Row],[Colonne70]]=$G4,CJ4,Distances[[#This Row],[Colonne70]]+1)</f>
        <v>67</v>
      </c>
      <c r="CL4" s="17">
        <f>IF(Distances[[#This Row],[Colonne71]]=$G4,CK4,Distances[[#This Row],[Colonne71]]+1)</f>
        <v>68</v>
      </c>
      <c r="CM4" s="17">
        <f>IF(Distances[[#This Row],[Colonne72]]=$G4,CL4,Distances[[#This Row],[Colonne72]]+1)</f>
        <v>69</v>
      </c>
      <c r="CN4" s="17">
        <f>IF(Distances[[#This Row],[Colonne73]]=$G4,CM4,Distances[[#This Row],[Colonne73]]+1)</f>
        <v>70</v>
      </c>
      <c r="CO4" s="17">
        <f>IF(Distances[[#This Row],[Colonne74]]=$G4,CN4,Distances[[#This Row],[Colonne74]]+1)</f>
        <v>71</v>
      </c>
      <c r="CP4" s="17">
        <f>IF(Distances[[#This Row],[Colonne75]]=$G4,CO4,Distances[[#This Row],[Colonne75]]+1)</f>
        <v>72</v>
      </c>
      <c r="CQ4" s="17">
        <f>IF(Distances[[#This Row],[Colonne76]]=$G4,CP4,Distances[[#This Row],[Colonne76]]+1)</f>
        <v>73</v>
      </c>
      <c r="CR4" s="17">
        <f>IF(Distances[[#This Row],[Colonne77]]=$G4,CQ4,Distances[[#This Row],[Colonne77]]+1)</f>
        <v>74</v>
      </c>
      <c r="CS4" s="17">
        <f>IF(Distances[[#This Row],[Colonne78]]=$G4,CR4,Distances[[#This Row],[Colonne78]]+1)</f>
        <v>75</v>
      </c>
      <c r="CT4" s="17">
        <f>IF(Distances[[#This Row],[Colonne79]]=$G4,CS4,Distances[[#This Row],[Colonne79]]+1)</f>
        <v>76</v>
      </c>
      <c r="CU4" s="17">
        <f>IF(Distances[[#This Row],[Colonne80]]=$G4,CT4,Distances[[#This Row],[Colonne80]]+1)</f>
        <v>77</v>
      </c>
      <c r="CV4" s="17">
        <f>IF(Distances[[#This Row],[Colonne81]]=$G4,CU4,Distances[[#This Row],[Colonne81]]+1)</f>
        <v>78</v>
      </c>
      <c r="CW4" s="17">
        <f>IF(Distances[[#This Row],[Colonne82]]=$G4,CV4,Distances[[#This Row],[Colonne82]]+1)</f>
        <v>79</v>
      </c>
      <c r="CX4" s="17">
        <f>IF(Distances[[#This Row],[Colonne83]]=$G4,CW4,Distances[[#This Row],[Colonne83]]+1)</f>
        <v>80</v>
      </c>
      <c r="CY4" s="17">
        <f>IF(Distances[[#This Row],[Colonne84]]=$G4,CX4,Distances[[#This Row],[Colonne84]]+1)</f>
        <v>81</v>
      </c>
      <c r="CZ4" s="17">
        <f>IF(Distances[[#This Row],[Colonne85]]=$G4,CY4,Distances[[#This Row],[Colonne85]]+1)</f>
        <v>82</v>
      </c>
      <c r="DA4" s="17">
        <f>IF(Distances[[#This Row],[Colonne86]]=$G4,CZ4,Distances[[#This Row],[Colonne86]]+1)</f>
        <v>83</v>
      </c>
      <c r="DB4" s="17">
        <f>IF(Distances[[#This Row],[Colonne87]]=$G4,DA4,Distances[[#This Row],[Colonne87]]+1)</f>
        <v>84</v>
      </c>
      <c r="DC4" s="17">
        <f>IF(Distances[[#This Row],[Colonne88]]=$G4,DB4,Distances[[#This Row],[Colonne88]]+1)</f>
        <v>85</v>
      </c>
      <c r="DD4" s="17">
        <f>IF(Distances[[#This Row],[Colonne89]]=$G4,DC4,Distances[[#This Row],[Colonne89]]+1)</f>
        <v>86</v>
      </c>
      <c r="DE4" s="17">
        <f>IF(Distances[[#This Row],[Colonne90]]=$G4,DD4,Distances[[#This Row],[Colonne90]]+1)</f>
        <v>87</v>
      </c>
      <c r="DF4" s="17">
        <f>IF(Distances[[#This Row],[Colonne91]]=$G4,DE4,Distances[[#This Row],[Colonne91]]+1)</f>
        <v>88</v>
      </c>
      <c r="DG4" s="17">
        <f>IF(Distances[[#This Row],[Colonne92]]=$G4,DF4,Distances[[#This Row],[Colonne92]]+1)</f>
        <v>89</v>
      </c>
      <c r="DH4" s="17">
        <f>IF(Distances[[#This Row],[Colonne93]]=$G4,DG4,Distances[[#This Row],[Colonne93]]+1)</f>
        <v>90</v>
      </c>
      <c r="DI4" s="17">
        <f>IF(Distances[[#This Row],[Colonne94]]=$G4,DH4,Distances[[#This Row],[Colonne94]]+1)</f>
        <v>91</v>
      </c>
      <c r="DJ4" s="17">
        <f>IF(Distances[[#This Row],[Colonne95]]=$G4,DI4,Distances[[#This Row],[Colonne95]]+1)</f>
        <v>92</v>
      </c>
      <c r="DK4" s="17">
        <f>IF(Distances[[#This Row],[Colonne96]]=$G4,DJ4,Distances[[#This Row],[Colonne96]]+1)</f>
        <v>93</v>
      </c>
      <c r="DL4" s="17">
        <f>IF(Distances[[#This Row],[Colonne97]]=$G4,DK4,Distances[[#This Row],[Colonne97]]+1)</f>
        <v>94</v>
      </c>
      <c r="DM4" s="17">
        <f>IF(Distances[[#This Row],[Colonne98]]=$G4,DL4,Distances[[#This Row],[Colonne98]]+1)</f>
        <v>95</v>
      </c>
      <c r="DN4" s="17">
        <f>IF(Distances[[#This Row],[Colonne99]]=$G4,DM4,Distances[[#This Row],[Colonne99]]+1)</f>
        <v>96</v>
      </c>
      <c r="DO4" s="17">
        <f>IF(Distances[[#This Row],[Colonne100]]=$G4,DN4,Distances[[#This Row],[Colonne100]]+1)</f>
        <v>97</v>
      </c>
      <c r="DP4" s="17">
        <f>IF(Distances[[#This Row],[Colonne101]]=$G4,DO4,Distances[[#This Row],[Colonne101]]+1)</f>
        <v>98</v>
      </c>
      <c r="DQ4" s="17">
        <f>IF(Distances[[#This Row],[Colonne102]]=$G4,DP4,Distances[[#This Row],[Colonne102]]+1)</f>
        <v>99</v>
      </c>
      <c r="DR4" s="17">
        <f>IF(Distances[[#This Row],[Colonne103]]=$G4,DQ4,Distances[[#This Row],[Colonne103]]+1)</f>
        <v>100</v>
      </c>
      <c r="DS4" s="17">
        <f>IF(Distances[[#This Row],[Colonne104]]=$G4,DR4,Distances[[#This Row],[Colonne104]]+1)</f>
        <v>101</v>
      </c>
      <c r="DT4" s="17">
        <f>IF(Distances[[#This Row],[Colonne105]]=$G4,DS4,Distances[[#This Row],[Colonne105]]+1)</f>
        <v>102</v>
      </c>
      <c r="DU4" s="17">
        <f>IF(Distances[[#This Row],[Colonne106]]=$G4,DT4,Distances[[#This Row],[Colonne106]]+1)</f>
        <v>103</v>
      </c>
      <c r="DV4" s="17">
        <f>IF(Distances[[#This Row],[Colonne107]]=$G4,DU4,Distances[[#This Row],[Colonne107]]+1)</f>
        <v>104</v>
      </c>
      <c r="DW4" s="17">
        <f>IF(Distances[[#This Row],[Colonne108]]=$G4,DV4,Distances[[#This Row],[Colonne108]]+1)</f>
        <v>105</v>
      </c>
      <c r="DX4" s="17">
        <f>IF(Distances[[#This Row],[Colonne109]]=$G4,DW4,Distances[[#This Row],[Colonne109]]+1)</f>
        <v>106</v>
      </c>
      <c r="DY4" s="17">
        <f>IF(Distances[[#This Row],[Colonne110]]=$G4,DX4,Distances[[#This Row],[Colonne110]]+1)</f>
        <v>107</v>
      </c>
      <c r="DZ4" s="17">
        <f>IF(Distances[[#This Row],[Colonne111]]=$G4,DY4,Distances[[#This Row],[Colonne111]]+1)</f>
        <v>108</v>
      </c>
      <c r="EA4" s="17">
        <f>IF(Distances[[#This Row],[Colonne112]]=$G4,DZ4,Distances[[#This Row],[Colonne112]]+1)</f>
        <v>109</v>
      </c>
      <c r="EB4" s="17">
        <f>IF(Distances[[#This Row],[Colonne113]]=$G4,EA4,Distances[[#This Row],[Colonne113]]+1)</f>
        <v>110</v>
      </c>
      <c r="EC4" s="17">
        <f>IF(Distances[[#This Row],[Colonne114]]=$G4,EB4,Distances[[#This Row],[Colonne114]]+1)</f>
        <v>111</v>
      </c>
      <c r="ED4" s="17">
        <f>IF(Distances[[#This Row],[Colonne115]]=$G4,EC4,Distances[[#This Row],[Colonne115]]+1)</f>
        <v>112</v>
      </c>
      <c r="EE4" s="17">
        <f>IF(Distances[[#This Row],[Colonne116]]=$G4,ED4,Distances[[#This Row],[Colonne116]]+1)</f>
        <v>113</v>
      </c>
      <c r="EF4" s="17">
        <f>IF(Distances[[#This Row],[Colonne117]]=$G4,EE4,Distances[[#This Row],[Colonne117]]+1)</f>
        <v>114</v>
      </c>
      <c r="EG4" s="17">
        <f>IF(Distances[[#This Row],[Colonne118]]=$G4,EF4,Distances[[#This Row],[Colonne118]]+1)</f>
        <v>115</v>
      </c>
      <c r="EH4" s="17">
        <f>IF(Distances[[#This Row],[Colonne119]]=$G4,EG4,Distances[[#This Row],[Colonne119]]+1)</f>
        <v>116</v>
      </c>
      <c r="EI4" s="17">
        <f>IF(Distances[[#This Row],[Colonne120]]=$G4,EH4,Distances[[#This Row],[Colonne120]]+1)</f>
        <v>117</v>
      </c>
      <c r="EJ4" s="17">
        <f>IF(Distances[[#This Row],[Colonne121]]=$G4,EI4,Distances[[#This Row],[Colonne121]]+1)</f>
        <v>118</v>
      </c>
      <c r="EK4" s="17">
        <f>IF(Distances[[#This Row],[Colonne122]]=$G4,EJ4,Distances[[#This Row],[Colonne122]]+1)</f>
        <v>119</v>
      </c>
      <c r="EL4" s="17">
        <f>IF(Distances[[#This Row],[Colonne123]]=$G4,EK4,Distances[[#This Row],[Colonne123]]+1)</f>
        <v>120</v>
      </c>
      <c r="EM4" s="17">
        <f>IF(Distances[[#This Row],[Colonne124]]=$G4,EL4,Distances[[#This Row],[Colonne124]]+1)</f>
        <v>121</v>
      </c>
      <c r="EN4" s="17">
        <f>IF(Distances[[#This Row],[Colonne125]]=$G4,EM4,Distances[[#This Row],[Colonne125]]+1)</f>
        <v>122</v>
      </c>
      <c r="EO4" s="17">
        <f>IF(Distances[[#This Row],[Colonne126]]=$G4,EN4,Distances[[#This Row],[Colonne126]]+1)</f>
        <v>123</v>
      </c>
      <c r="EP4" s="17">
        <f>IF(Distances[[#This Row],[Colonne127]]=$G4,EO4,Distances[[#This Row],[Colonne127]]+1)</f>
        <v>124</v>
      </c>
      <c r="EQ4" s="17">
        <f>IF(Distances[[#This Row],[Colonne128]]=$G4,EP4,Distances[[#This Row],[Colonne128]]+1)</f>
        <v>125</v>
      </c>
      <c r="ER4" s="17">
        <f>IF(Distances[[#This Row],[Colonne129]]=$G4,EQ4,Distances[[#This Row],[Colonne129]]+1)</f>
        <v>126</v>
      </c>
      <c r="ES4" s="17">
        <f>IF(Distances[[#This Row],[Colonne130]]=$G4,ER4,Distances[[#This Row],[Colonne130]]+1)</f>
        <v>127</v>
      </c>
      <c r="ET4" s="17">
        <f>IF(Distances[[#This Row],[Colonne131]]=$G4,ES4,Distances[[#This Row],[Colonne131]]+1)</f>
        <v>128</v>
      </c>
      <c r="EU4" s="17">
        <f>IF(Distances[[#This Row],[Colonne132]]=$G4,ET4,Distances[[#This Row],[Colonne132]]+1)</f>
        <v>129</v>
      </c>
      <c r="EV4" s="17">
        <f>IF(Distances[[#This Row],[Colonne133]]=$G4,EU4,Distances[[#This Row],[Colonne133]]+1)</f>
        <v>130</v>
      </c>
      <c r="EW4" s="17">
        <f>IF(Distances[[#This Row],[Colonne134]]=$G4,EV4,Distances[[#This Row],[Colonne134]]+1)</f>
        <v>131</v>
      </c>
      <c r="EX4" s="17">
        <f>IF(Distances[[#This Row],[Colonne135]]=$G4,EW4,Distances[[#This Row],[Colonne135]]+1)</f>
        <v>132</v>
      </c>
      <c r="EY4" s="17">
        <f>IF(Distances[[#This Row],[Colonne136]]=$G4,EX4,Distances[[#This Row],[Colonne136]]+1)</f>
        <v>133</v>
      </c>
      <c r="EZ4" s="17">
        <f>IF(Distances[[#This Row],[Colonne137]]=$G4,EY4,Distances[[#This Row],[Colonne137]]+1)</f>
        <v>134</v>
      </c>
      <c r="FA4" s="17">
        <f>IF(Distances[[#This Row],[Colonne138]]=$G4,EZ4,Distances[[#This Row],[Colonne138]]+1)</f>
        <v>135</v>
      </c>
      <c r="FB4" s="17">
        <f>IF(Distances[[#This Row],[Colonne139]]=$G4,FA4,Distances[[#This Row],[Colonne139]]+1)</f>
        <v>136</v>
      </c>
      <c r="FC4" s="17">
        <f>IF(Distances[[#This Row],[Colonne140]]=$G4,FB4,Distances[[#This Row],[Colonne140]]+1)</f>
        <v>137</v>
      </c>
      <c r="FD4" s="17">
        <f>IF(Distances[[#This Row],[Colonne141]]=$G4,FC4,Distances[[#This Row],[Colonne141]]+1)</f>
        <v>138</v>
      </c>
      <c r="FE4" s="17">
        <f>IF(Distances[[#This Row],[Colonne142]]=$G4,FD4,Distances[[#This Row],[Colonne142]]+1)</f>
        <v>139</v>
      </c>
      <c r="FF4" s="17">
        <f>IF(Distances[[#This Row],[Colonne143]]=$G4,FE4,Distances[[#This Row],[Colonne143]]+1)</f>
        <v>140</v>
      </c>
      <c r="FG4" s="17">
        <f>IF(Distances[[#This Row],[Colonne144]]=$G4,FF4,Distances[[#This Row],[Colonne144]]+1)</f>
        <v>141</v>
      </c>
      <c r="FH4" s="17">
        <f>IF(Distances[[#This Row],[Colonne145]]=$G4,FG4,Distances[[#This Row],[Colonne145]]+1)</f>
        <v>142</v>
      </c>
      <c r="FI4" s="17">
        <f>IF(Distances[[#This Row],[Colonne146]]=$G4,FH4,Distances[[#This Row],[Colonne146]]+1)</f>
        <v>143</v>
      </c>
      <c r="FJ4" s="17">
        <f>IF(Distances[[#This Row],[Colonne147]]=$G4,FI4,Distances[[#This Row],[Colonne147]]+1)</f>
        <v>144</v>
      </c>
      <c r="FK4" s="17">
        <f>IF(Distances[[#This Row],[Colonne148]]=$G4,FJ4,Distances[[#This Row],[Colonne148]]+1)</f>
        <v>145</v>
      </c>
      <c r="FL4" s="17">
        <f>IF(Distances[[#This Row],[Colonne149]]=$G4,FK4,Distances[[#This Row],[Colonne149]]+1)</f>
        <v>146</v>
      </c>
      <c r="FM4" s="17">
        <f>IF(Distances[[#This Row],[Colonne150]]=$G4,FL4,Distances[[#This Row],[Colonne150]]+1)</f>
        <v>147</v>
      </c>
      <c r="FN4" s="17">
        <f>IF(Distances[[#This Row],[Colonne151]]=$G4,FM4,Distances[[#This Row],[Colonne151]]+1)</f>
        <v>148</v>
      </c>
      <c r="FO4" s="17">
        <f>IF(Distances[[#This Row],[Colonne152]]=$G4,FN4,Distances[[#This Row],[Colonne152]]+1)</f>
        <v>149</v>
      </c>
      <c r="FP4" s="17">
        <f>IF(Distances[[#This Row],[Colonne153]]=$G4,FO4,Distances[[#This Row],[Colonne153]]+1)</f>
        <v>150</v>
      </c>
      <c r="FQ4" s="17">
        <f>IF(Distances[[#This Row],[Colonne154]]=$G4,FP4,Distances[[#This Row],[Colonne154]]+1)</f>
        <v>151</v>
      </c>
      <c r="FR4" s="17">
        <f>IF(Distances[[#This Row],[Colonne155]]=$G4,FQ4,Distances[[#This Row],[Colonne155]]+1)</f>
        <v>152</v>
      </c>
      <c r="FS4" s="17">
        <f>IF(Distances[[#This Row],[Colonne156]]=$G4,FR4,Distances[[#This Row],[Colonne156]]+1)</f>
        <v>153</v>
      </c>
      <c r="FT4" s="17">
        <f>IF(Distances[[#This Row],[Colonne157]]=$G4,FS4,Distances[[#This Row],[Colonne157]]+1)</f>
        <v>154</v>
      </c>
      <c r="FU4" s="17">
        <f>IF(Distances[[#This Row],[Colonne158]]=$G4,FT4,Distances[[#This Row],[Colonne158]]+1)</f>
        <v>155</v>
      </c>
      <c r="FV4" s="17">
        <f>IF(Distances[[#This Row],[Colonne159]]=$G4,FU4,Distances[[#This Row],[Colonne159]]+1)</f>
        <v>156</v>
      </c>
      <c r="FW4" s="17">
        <f>IF(Distances[[#This Row],[Colonne160]]=$G4,FV4,Distances[[#This Row],[Colonne160]]+1)</f>
        <v>157</v>
      </c>
      <c r="FX4" s="17">
        <f>IF(Distances[[#This Row],[Colonne161]]=$G4,FW4,Distances[[#This Row],[Colonne161]]+1)</f>
        <v>158</v>
      </c>
      <c r="FY4" s="17">
        <f>IF(Distances[[#This Row],[Colonne162]]=$G4,FX4,Distances[[#This Row],[Colonne162]]+1)</f>
        <v>159</v>
      </c>
      <c r="FZ4" s="17">
        <f>IF(Distances[[#This Row],[Colonne163]]=$G4,FY4,Distances[[#This Row],[Colonne163]]+1)</f>
        <v>160</v>
      </c>
      <c r="GA4" s="17">
        <f>IF(Distances[[#This Row],[Colonne164]]=$G4,FZ4,Distances[[#This Row],[Colonne164]]+1)</f>
        <v>161</v>
      </c>
      <c r="GB4" s="17">
        <f>IF(Distances[[#This Row],[Colonne165]]=$G4,GA4,Distances[[#This Row],[Colonne165]]+1)</f>
        <v>162</v>
      </c>
      <c r="GC4" s="17">
        <f>IF(Distances[[#This Row],[Colonne166]]=$G4,GB4,Distances[[#This Row],[Colonne166]]+1)</f>
        <v>163</v>
      </c>
      <c r="GD4" s="17">
        <f>IF(Distances[[#This Row],[Colonne167]]=$G4,GC4,Distances[[#This Row],[Colonne167]]+1)</f>
        <v>164</v>
      </c>
      <c r="GE4" s="17">
        <f>IF(Distances[[#This Row],[Colonne168]]=$G4,GD4,Distances[[#This Row],[Colonne168]]+1)</f>
        <v>165</v>
      </c>
      <c r="GF4" s="17">
        <f>IF(Distances[[#This Row],[Colonne169]]=$G4,GE4,Distances[[#This Row],[Colonne169]]+1)</f>
        <v>166</v>
      </c>
      <c r="GG4" s="17">
        <f>IF(Distances[[#This Row],[Colonne170]]=$G4,GF4,Distances[[#This Row],[Colonne170]]+1)</f>
        <v>167</v>
      </c>
      <c r="GH4" s="17">
        <f>IF(Distances[[#This Row],[Colonne171]]=$G4,GG4,Distances[[#This Row],[Colonne171]]+1)</f>
        <v>168</v>
      </c>
      <c r="GI4" s="17">
        <f>IF(Distances[[#This Row],[Colonne172]]=$G4,GH4,Distances[[#This Row],[Colonne172]]+1)</f>
        <v>169</v>
      </c>
      <c r="GJ4" s="17">
        <f>IF(Distances[[#This Row],[Colonne173]]=$G4,GI4,Distances[[#This Row],[Colonne173]]+1)</f>
        <v>170</v>
      </c>
      <c r="GK4" s="17">
        <f>IF(Distances[[#This Row],[Colonne174]]=$G4,GJ4,Distances[[#This Row],[Colonne174]]+1)</f>
        <v>171</v>
      </c>
      <c r="GL4" s="17">
        <f>IF(Distances[[#This Row],[Colonne175]]=$G4,GK4,Distances[[#This Row],[Colonne175]]+1)</f>
        <v>172</v>
      </c>
      <c r="GM4" s="17">
        <f>IF(Distances[[#This Row],[Colonne176]]=$G4,GL4,Distances[[#This Row],[Colonne176]]+1)</f>
        <v>173</v>
      </c>
      <c r="GN4" s="17">
        <f>IF(Distances[[#This Row],[Colonne177]]=$G4,GM4,Distances[[#This Row],[Colonne177]]+1)</f>
        <v>174</v>
      </c>
      <c r="GO4" s="17">
        <f>IF(Distances[[#This Row],[Colonne178]]=$G4,GN4,Distances[[#This Row],[Colonne178]]+1)</f>
        <v>175</v>
      </c>
      <c r="GP4" s="17">
        <f>IF(Distances[[#This Row],[Colonne179]]=$G4,GO4,Distances[[#This Row],[Colonne179]]+1)</f>
        <v>176</v>
      </c>
      <c r="GQ4" s="17">
        <f>IF(Distances[[#This Row],[Colonne180]]=$G4,GP4,Distances[[#This Row],[Colonne180]]+1)</f>
        <v>177</v>
      </c>
      <c r="GR4" s="17">
        <f>IF(Distances[[#This Row],[Colonne181]]=$G4,GQ4,Distances[[#This Row],[Colonne181]]+1)</f>
        <v>178</v>
      </c>
      <c r="GS4" s="17">
        <f>IF(Distances[[#This Row],[Colonne182]]=$G4,GR4,Distances[[#This Row],[Colonne182]]+1)</f>
        <v>179</v>
      </c>
      <c r="GT4" s="17">
        <f>IF(Distances[[#This Row],[Colonne183]]=$G4,GS4,Distances[[#This Row],[Colonne183]]+1)</f>
        <v>180</v>
      </c>
      <c r="GU4" s="17">
        <f>IF(Distances[[#This Row],[Colonne184]]=$G4,GT4,Distances[[#This Row],[Colonne184]]+1)</f>
        <v>181</v>
      </c>
      <c r="GV4" s="17">
        <f>IF(Distances[[#This Row],[Colonne185]]=$G4,GU4,Distances[[#This Row],[Colonne185]]+1)</f>
        <v>182</v>
      </c>
      <c r="GW4" s="17">
        <f>IF(Distances[[#This Row],[Colonne186]]=$G4,GV4,Distances[[#This Row],[Colonne186]]+1)</f>
        <v>183</v>
      </c>
      <c r="GX4" s="17">
        <f>IF(Distances[[#This Row],[Colonne187]]=$G4,GW4,Distances[[#This Row],[Colonne187]]+1)</f>
        <v>184</v>
      </c>
      <c r="GY4" s="17">
        <f>IF(Distances[[#This Row],[Colonne188]]=$G4,GX4,Distances[[#This Row],[Colonne188]]+1)</f>
        <v>185</v>
      </c>
      <c r="GZ4" s="17">
        <f>IF(Distances[[#This Row],[Colonne189]]=$G4,GY4,Distances[[#This Row],[Colonne189]]+1)</f>
        <v>186</v>
      </c>
      <c r="HA4" s="17">
        <f>IF(Distances[[#This Row],[Colonne190]]=$G4,GZ4,Distances[[#This Row],[Colonne190]]+1)</f>
        <v>187</v>
      </c>
      <c r="HB4" s="17">
        <f>IF(Distances[[#This Row],[Colonne191]]=$G4,HA4,Distances[[#This Row],[Colonne191]]+1)</f>
        <v>188</v>
      </c>
      <c r="HC4" s="17">
        <f>IF(Distances[[#This Row],[Colonne192]]=$G4,HB4,Distances[[#This Row],[Colonne192]]+1)</f>
        <v>189</v>
      </c>
      <c r="HD4" s="17">
        <f>IF(Distances[[#This Row],[Colonne193]]=$G4,HC4,Distances[[#This Row],[Colonne193]]+1)</f>
        <v>190</v>
      </c>
      <c r="HE4" s="17">
        <f>IF(Distances[[#This Row],[Colonne194]]=$G4,HD4,Distances[[#This Row],[Colonne194]]+1)</f>
        <v>191</v>
      </c>
      <c r="HF4" s="17">
        <f>IF(Distances[[#This Row],[Colonne195]]=$G4,HE4,Distances[[#This Row],[Colonne195]]+1)</f>
        <v>192</v>
      </c>
      <c r="HG4" s="17">
        <f>IF(Distances[[#This Row],[Colonne196]]=$G4,HF4,Distances[[#This Row],[Colonne196]]+1)</f>
        <v>193</v>
      </c>
      <c r="HH4" s="17">
        <f>IF(Distances[[#This Row],[Colonne197]]=$G4,HG4,Distances[[#This Row],[Colonne197]]+1)</f>
        <v>194</v>
      </c>
      <c r="HI4" s="17">
        <f>IF(Distances[[#This Row],[Colonne198]]=$G4,HH4,Distances[[#This Row],[Colonne198]]+1)</f>
        <v>195</v>
      </c>
      <c r="HJ4" s="17">
        <f>IF(Distances[[#This Row],[Colonne199]]=$G4,HI4,Distances[[#This Row],[Colonne199]]+1)</f>
        <v>196</v>
      </c>
      <c r="HK4" s="17">
        <f>IF(Distances[[#This Row],[Colonne200]]=$G4,HJ4,Distances[[#This Row],[Colonne200]]+1)</f>
        <v>197</v>
      </c>
      <c r="HL4" s="17">
        <f>IF(Distances[[#This Row],[Colonne201]]=$G4,HK4,Distances[[#This Row],[Colonne201]]+1)</f>
        <v>198</v>
      </c>
      <c r="HM4" s="17">
        <f>IF(Distances[[#This Row],[Colonne202]]=$G4,HL4,Distances[[#This Row],[Colonne202]]+1)</f>
        <v>199</v>
      </c>
      <c r="HN4" s="17">
        <f>IF(Distances[[#This Row],[Colonne203]]=$G4,HM4,Distances[[#This Row],[Colonne203]]+1)</f>
        <v>200</v>
      </c>
      <c r="HO4" s="17">
        <f>IF(Distances[[#This Row],[Colonne204]]=$G4,HN4,Distances[[#This Row],[Colonne204]]+1)</f>
        <v>200</v>
      </c>
      <c r="HP4" s="17">
        <f>IF(Distances[[#This Row],[Colonne205]]=$G4,HO4,Distances[[#This Row],[Colonne205]]+1)</f>
        <v>200</v>
      </c>
      <c r="HQ4" s="17">
        <f>IF(Distances[[#This Row],[Colonne206]]=$G4,HP4,Distances[[#This Row],[Colonne206]]+1)</f>
        <v>200</v>
      </c>
      <c r="HR4" s="17">
        <f>IF(Distances[[#This Row],[Colonne207]]=$G4,HQ4,Distances[[#This Row],[Colonne207]]+1)</f>
        <v>200</v>
      </c>
      <c r="HS4" s="17">
        <f>IF(Distances[[#This Row],[Colonne208]]=$G4,HR4,Distances[[#This Row],[Colonne208]]+1)</f>
        <v>200</v>
      </c>
      <c r="HT4" s="17">
        <f>IF(Distances[[#This Row],[Colonne209]]=$G4,HS4,Distances[[#This Row],[Colonne209]]+1)</f>
        <v>200</v>
      </c>
      <c r="HU4" s="17">
        <f>IF(Distances[[#This Row],[Colonne210]]=$G4,HT4,Distances[[#This Row],[Colonne210]]+1)</f>
        <v>200</v>
      </c>
      <c r="HV4" s="17">
        <f>IF(Distances[[#This Row],[Colonne211]]=$G4,HU4,Distances[[#This Row],[Colonne211]]+1)</f>
        <v>200</v>
      </c>
      <c r="HW4" s="17">
        <f>IF(Distances[[#This Row],[Colonne212]]=$G4,HV4,Distances[[#This Row],[Colonne212]]+1)</f>
        <v>200</v>
      </c>
      <c r="HX4" s="17">
        <f>IF(Distances[[#This Row],[Colonne213]]=$G4,HW4,Distances[[#This Row],[Colonne213]]+1)</f>
        <v>200</v>
      </c>
      <c r="HY4" s="17">
        <f>IF(Distances[[#This Row],[Colonne214]]=$G4,HX4,Distances[[#This Row],[Colonne214]]+1)</f>
        <v>200</v>
      </c>
      <c r="HZ4" s="17">
        <f>IF(Distances[[#This Row],[Colonne215]]=$G4,HY4,Distances[[#This Row],[Colonne215]]+1)</f>
        <v>200</v>
      </c>
      <c r="IA4" s="17">
        <f>IF(Distances[[#This Row],[Colonne216]]=$G4,HZ4,Distances[[#This Row],[Colonne216]]+1)</f>
        <v>200</v>
      </c>
      <c r="IB4" s="17">
        <f>IF(Distances[[#This Row],[Colonne217]]=$G4,IA4,Distances[[#This Row],[Colonne217]]+1)</f>
        <v>200</v>
      </c>
      <c r="IC4" s="17">
        <f>IF(Distances[[#This Row],[Colonne218]]=$G4,IB4,Distances[[#This Row],[Colonne218]]+1)</f>
        <v>200</v>
      </c>
      <c r="ID4" s="17">
        <f>IF(Distances[[#This Row],[Colonne219]]=$G4,IC4,Distances[[#This Row],[Colonne219]]+1)</f>
        <v>200</v>
      </c>
      <c r="IE4" s="17">
        <f>IF(Distances[[#This Row],[Colonne220]]=$G4,ID4,Distances[[#This Row],[Colonne220]]+1)</f>
        <v>200</v>
      </c>
      <c r="IF4" s="17">
        <f>IF(Distances[[#This Row],[Colonne221]]=$G4,IE4,Distances[[#This Row],[Colonne221]]+1)</f>
        <v>200</v>
      </c>
      <c r="IG4" s="17">
        <f>IF(Distances[[#This Row],[Colonne222]]=$G4,IF4,Distances[[#This Row],[Colonne222]]+1)</f>
        <v>200</v>
      </c>
      <c r="IH4" s="17">
        <f>IF(Distances[[#This Row],[Colonne223]]=$G4,IG4,Distances[[#This Row],[Colonne223]]+1)</f>
        <v>200</v>
      </c>
      <c r="II4" s="17">
        <f>IF(Distances[[#This Row],[Colonne224]]=$G4,IH4,Distances[[#This Row],[Colonne224]]+1)</f>
        <v>200</v>
      </c>
      <c r="IJ4" s="17">
        <f>IF(Distances[[#This Row],[Colonne225]]=$G4,II4,Distances[[#This Row],[Colonne225]]+1)</f>
        <v>200</v>
      </c>
      <c r="IK4" s="17">
        <f>IF(Distances[[#This Row],[Colonne226]]=$G4,IJ4,Distances[[#This Row],[Colonne226]]+1)</f>
        <v>200</v>
      </c>
      <c r="IL4" s="17">
        <f>IF(Distances[[#This Row],[Colonne227]]=$G4,IK4,Distances[[#This Row],[Colonne227]]+1)</f>
        <v>200</v>
      </c>
      <c r="IM4" s="17">
        <f>IF(Distances[[#This Row],[Colonne228]]=$G4,IL4,Distances[[#This Row],[Colonne228]]+1)</f>
        <v>200</v>
      </c>
      <c r="IN4" s="17">
        <f>IF(Distances[[#This Row],[Colonne229]]=$G4,IM4,Distances[[#This Row],[Colonne229]]+1)</f>
        <v>200</v>
      </c>
      <c r="IO4" s="17">
        <f>IF(Distances[[#This Row],[Colonne230]]=$G4,IN4,Distances[[#This Row],[Colonne230]]+1)</f>
        <v>200</v>
      </c>
      <c r="IP4" s="17">
        <f>IF(Distances[[#This Row],[Colonne231]]=$G4,IO4,Distances[[#This Row],[Colonne231]]+1)</f>
        <v>200</v>
      </c>
      <c r="IQ4" s="17">
        <f>IF(Distances[[#This Row],[Colonne232]]=$G4,IP4,Distances[[#This Row],[Colonne232]]+1)</f>
        <v>200</v>
      </c>
      <c r="IR4" s="17">
        <f>IF(Distances[[#This Row],[Colonne233]]=$G4,IQ4,Distances[[#This Row],[Colonne233]]+1)</f>
        <v>200</v>
      </c>
      <c r="IS4" s="17">
        <f>IF(Distances[[#This Row],[Colonne234]]=$G4,IR4,Distances[[#This Row],[Colonne234]]+1)</f>
        <v>200</v>
      </c>
      <c r="IT4" s="17">
        <f>IF(Distances[[#This Row],[Colonne235]]=$G4,IS4,Distances[[#This Row],[Colonne235]]+1)</f>
        <v>200</v>
      </c>
      <c r="IU4" s="17">
        <f>IF(Distances[[#This Row],[Colonne236]]=$G4,IT4,Distances[[#This Row],[Colonne236]]+1)</f>
        <v>200</v>
      </c>
      <c r="IV4" s="17">
        <f>IF(Distances[[#This Row],[Colonne237]]=$G4,IU4,Distances[[#This Row],[Colonne237]]+1)</f>
        <v>200</v>
      </c>
      <c r="IW4" s="17">
        <f>IF(Distances[[#This Row],[Colonne238]]=$G4,IV4,Distances[[#This Row],[Colonne238]]+1)</f>
        <v>200</v>
      </c>
      <c r="IX4" s="17">
        <f>IF(Distances[[#This Row],[Colonne239]]=$G4,IW4,Distances[[#This Row],[Colonne239]]+1)</f>
        <v>200</v>
      </c>
      <c r="IY4" s="17">
        <f>IF(Distances[[#This Row],[Colonne240]]=$G4,IX4,Distances[[#This Row],[Colonne240]]+1)</f>
        <v>200</v>
      </c>
      <c r="IZ4" s="17">
        <f>IF(Distances[[#This Row],[Colonne241]]=$G4,IY4,Distances[[#This Row],[Colonne241]]+1)</f>
        <v>200</v>
      </c>
      <c r="JA4" s="17">
        <f>IF(Distances[[#This Row],[Colonne242]]=$G4,IZ4,Distances[[#This Row],[Colonne242]]+1)</f>
        <v>200</v>
      </c>
      <c r="JB4" s="17">
        <f>IF(Distances[[#This Row],[Colonne243]]=$G4,JA4,Distances[[#This Row],[Colonne243]]+1)</f>
        <v>200</v>
      </c>
      <c r="JC4" s="17">
        <f>IF(Distances[[#This Row],[Colonne244]]=$G4,JB4,Distances[[#This Row],[Colonne244]]+1)</f>
        <v>200</v>
      </c>
      <c r="JD4" s="17">
        <f>IF(Distances[[#This Row],[Colonne245]]=$G4,JC4,Distances[[#This Row],[Colonne245]]+1)</f>
        <v>200</v>
      </c>
      <c r="JE4" s="17">
        <f>IF(Distances[[#This Row],[Colonne246]]=$G4,JD4,Distances[[#This Row],[Colonne246]]+1)</f>
        <v>200</v>
      </c>
      <c r="JF4" s="17">
        <f>IF(Distances[[#This Row],[Colonne247]]=$G4,JE4,Distances[[#This Row],[Colonne247]]+1)</f>
        <v>200</v>
      </c>
      <c r="JG4" s="17">
        <f>IF(Distances[[#This Row],[Colonne248]]=$G4,JF4,Distances[[#This Row],[Colonne248]]+1)</f>
        <v>200</v>
      </c>
      <c r="JH4" s="17">
        <f>IF(Distances[[#This Row],[Colonne249]]=$G4,JG4,Distances[[#This Row],[Colonne249]]+1)</f>
        <v>200</v>
      </c>
      <c r="JI4" s="17">
        <f>IF(Distances[[#This Row],[Colonne250]]=$G4,JH4,Distances[[#This Row],[Colonne250]]+1)</f>
        <v>200</v>
      </c>
      <c r="JJ4" s="17">
        <f>IF(Distances[[#This Row],[Colonne251]]=$G4,JI4,Distances[[#This Row],[Colonne251]]+1)</f>
        <v>200</v>
      </c>
      <c r="JK4" s="17">
        <f>IF(Distances[[#This Row],[Colonne252]]=$G4,JJ4,Distances[[#This Row],[Colonne252]]+1)</f>
        <v>200</v>
      </c>
      <c r="JL4" s="17">
        <f>IF(Distances[[#This Row],[Colonne253]]=$G4,JK4,Distances[[#This Row],[Colonne253]]+1)</f>
        <v>200</v>
      </c>
      <c r="JM4" s="17">
        <f>IF(Distances[[#This Row],[Colonne254]]=$G4,JL4,Distances[[#This Row],[Colonne254]]+1)</f>
        <v>200</v>
      </c>
      <c r="JN4" s="17">
        <f>IF(Distances[[#This Row],[Colonne255]]=$G4,JM4,Distances[[#This Row],[Colonne255]]+1)</f>
        <v>200</v>
      </c>
      <c r="JO4" s="17">
        <f>IF(Distances[[#This Row],[Colonne256]]=$G4,JN4,Distances[[#This Row],[Colonne256]]+1)</f>
        <v>200</v>
      </c>
      <c r="JP4" s="17">
        <f>IF(Distances[[#This Row],[Colonne257]]=$G4,JO4,Distances[[#This Row],[Colonne257]]+1)</f>
        <v>200</v>
      </c>
      <c r="JQ4" s="17">
        <f>IF(Distances[[#This Row],[Colonne258]]=$G4,JP4,Distances[[#This Row],[Colonne258]]+1)</f>
        <v>200</v>
      </c>
      <c r="JR4" s="17">
        <f>IF(Distances[[#This Row],[Colonne259]]=$G4,JQ4,Distances[[#This Row],[Colonne259]]+1)</f>
        <v>200</v>
      </c>
      <c r="JS4" s="17">
        <f>IF(Distances[[#This Row],[Colonne260]]=$G4,JR4,Distances[[#This Row],[Colonne260]]+1)</f>
        <v>200</v>
      </c>
      <c r="JT4" s="17">
        <f>IF(Distances[[#This Row],[Colonne261]]=$G4,JS4,Distances[[#This Row],[Colonne261]]+1)</f>
        <v>200</v>
      </c>
      <c r="JU4" s="17">
        <f>IF(Distances[[#This Row],[Colonne262]]=$G4,JT4,Distances[[#This Row],[Colonne262]]+1)</f>
        <v>200</v>
      </c>
      <c r="JV4" s="17">
        <f>IF(Distances[[#This Row],[Colonne263]]=$G4,JU4,Distances[[#This Row],[Colonne263]]+1)</f>
        <v>200</v>
      </c>
      <c r="JW4" s="17">
        <f>IF(Distances[[#This Row],[Colonne264]]=$G4,JV4,Distances[[#This Row],[Colonne264]]+1)</f>
        <v>200</v>
      </c>
      <c r="JX4" s="17">
        <f>IF(Distances[[#This Row],[Colonne265]]=$G4,JW4,Distances[[#This Row],[Colonne265]]+1)</f>
        <v>200</v>
      </c>
      <c r="JY4" s="17">
        <f>IF(Distances[[#This Row],[Colonne266]]=$G4,JX4,Distances[[#This Row],[Colonne266]]+1)</f>
        <v>200</v>
      </c>
      <c r="JZ4" s="17">
        <f>IF(Distances[[#This Row],[Colonne267]]=$G4,JY4,Distances[[#This Row],[Colonne267]]+1)</f>
        <v>200</v>
      </c>
      <c r="KA4" s="17">
        <f>IF(Distances[[#This Row],[Colonne268]]=$G4,JZ4,Distances[[#This Row],[Colonne268]]+1)</f>
        <v>200</v>
      </c>
      <c r="KB4" s="17">
        <f>IF(Distances[[#This Row],[Colonne269]]=$G4,KA4,Distances[[#This Row],[Colonne269]]+1)</f>
        <v>200</v>
      </c>
      <c r="KC4" s="17">
        <f>IF(Distances[[#This Row],[Colonne270]]=$G4,KB4,Distances[[#This Row],[Colonne270]]+1)</f>
        <v>200</v>
      </c>
      <c r="KD4" s="17">
        <f>IF(Distances[[#This Row],[Colonne271]]=$G4,KC4,Distances[[#This Row],[Colonne271]]+1)</f>
        <v>200</v>
      </c>
      <c r="KE4" s="17">
        <f>IF(Distances[[#This Row],[Colonne272]]=$G4,KD4,Distances[[#This Row],[Colonne272]]+1)</f>
        <v>200</v>
      </c>
      <c r="KF4" s="17">
        <f>IF(Distances[[#This Row],[Colonne273]]=$G4,KE4,Distances[[#This Row],[Colonne273]]+1)</f>
        <v>200</v>
      </c>
      <c r="KG4" s="17">
        <f>IF(Distances[[#This Row],[Colonne274]]=$G4,KF4,Distances[[#This Row],[Colonne274]]+1)</f>
        <v>200</v>
      </c>
      <c r="KH4" s="17">
        <f>IF(Distances[[#This Row],[Colonne275]]=$G4,KG4,Distances[[#This Row],[Colonne275]]+1)</f>
        <v>200</v>
      </c>
      <c r="KI4" s="17">
        <f>IF(Distances[[#This Row],[Colonne276]]=$G4,KH4,Distances[[#This Row],[Colonne276]]+1)</f>
        <v>200</v>
      </c>
      <c r="KJ4" s="17">
        <f>IF(Distances[[#This Row],[Colonne277]]=$G4,KI4,Distances[[#This Row],[Colonne277]]+1)</f>
        <v>200</v>
      </c>
      <c r="KK4" s="17">
        <f>IF(Distances[[#This Row],[Colonne278]]=$G4,KJ4,Distances[[#This Row],[Colonne278]]+1)</f>
        <v>200</v>
      </c>
      <c r="KL4" s="17">
        <f>IF(Distances[[#This Row],[Colonne279]]=$G4,KK4,Distances[[#This Row],[Colonne279]]+1)</f>
        <v>200</v>
      </c>
      <c r="KM4" s="17">
        <f>IF(Distances[[#This Row],[Colonne280]]=$G4,KL4,Distances[[#This Row],[Colonne280]]+1)</f>
        <v>200</v>
      </c>
      <c r="KN4" s="17">
        <f>IF(Distances[[#This Row],[Colonne281]]=$G4,KM4,Distances[[#This Row],[Colonne281]]+1)</f>
        <v>200</v>
      </c>
      <c r="KO4" s="17">
        <f>IF(Distances[[#This Row],[Colonne282]]=$G4,KN4,Distances[[#This Row],[Colonne282]]+1)</f>
        <v>200</v>
      </c>
      <c r="KP4" s="17">
        <f>IF(Distances[[#This Row],[Colonne283]]=$G4,KO4,Distances[[#This Row],[Colonne283]]+1)</f>
        <v>200</v>
      </c>
      <c r="KQ4" s="17">
        <f>IF(Distances[[#This Row],[Colonne284]]=$G4,KP4,Distances[[#This Row],[Colonne284]]+1)</f>
        <v>200</v>
      </c>
      <c r="KR4" s="17">
        <f>IF(Distances[[#This Row],[Colonne285]]=$G4,KQ4,Distances[[#This Row],[Colonne285]]+1)</f>
        <v>200</v>
      </c>
      <c r="KS4" s="17">
        <f>IF(Distances[[#This Row],[Colonne286]]=$G4,KR4,Distances[[#This Row],[Colonne286]]+1)</f>
        <v>200</v>
      </c>
      <c r="KT4" s="17">
        <f>IF(Distances[[#This Row],[Colonne287]]=$G4,KS4,Distances[[#This Row],[Colonne287]]+1)</f>
        <v>200</v>
      </c>
      <c r="KU4" s="17">
        <f>IF(Distances[[#This Row],[Colonne288]]=$G4,KT4,Distances[[#This Row],[Colonne288]]+1)</f>
        <v>200</v>
      </c>
      <c r="KV4" s="17">
        <f>IF(Distances[[#This Row],[Colonne289]]=$G4,KU4,Distances[[#This Row],[Colonne289]]+1)</f>
        <v>200</v>
      </c>
      <c r="KW4" s="17">
        <f>IF(Distances[[#This Row],[Colonne290]]=$G4,KV4,Distances[[#This Row],[Colonne290]]+1)</f>
        <v>200</v>
      </c>
      <c r="KX4" s="17">
        <f>IF(Distances[[#This Row],[Colonne291]]=$G4,KW4,Distances[[#This Row],[Colonne291]]+1)</f>
        <v>200</v>
      </c>
      <c r="KY4" s="17">
        <f>IF(Distances[[#This Row],[Colonne292]]=$G4,KX4,Distances[[#This Row],[Colonne292]]+1)</f>
        <v>200</v>
      </c>
      <c r="KZ4" s="17">
        <f>IF(Distances[[#This Row],[Colonne293]]=$G4,KY4,Distances[[#This Row],[Colonne293]]+1)</f>
        <v>200</v>
      </c>
      <c r="LA4" s="17">
        <f>IF(Distances[[#This Row],[Colonne294]]=$G4,KZ4,Distances[[#This Row],[Colonne294]]+1)</f>
        <v>200</v>
      </c>
      <c r="LB4" s="17">
        <f>IF(Distances[[#This Row],[Colonne295]]=$G4,LA4,Distances[[#This Row],[Colonne295]]+1)</f>
        <v>200</v>
      </c>
      <c r="LC4" s="17">
        <f>IF(Distances[[#This Row],[Colonne296]]=$G4,LB4,Distances[[#This Row],[Colonne296]]+1)</f>
        <v>200</v>
      </c>
      <c r="LD4" s="17">
        <f>IF(Distances[[#This Row],[Colonne297]]=$G4,LC4,Distances[[#This Row],[Colonne297]]+1)</f>
        <v>200</v>
      </c>
      <c r="LE4" s="17">
        <f>IF(Distances[[#This Row],[Colonne298]]=$G4,LD4,Distances[[#This Row],[Colonne298]]+1)</f>
        <v>200</v>
      </c>
      <c r="LF4" s="17">
        <f>IF(Distances[[#This Row],[Colonne299]]=$G4,LE4,Distances[[#This Row],[Colonne299]]+1)</f>
        <v>200</v>
      </c>
      <c r="LG4" s="17">
        <f>IF(Distances[[#This Row],[Colonne300]]=$G4,LF4,Distances[[#This Row],[Colonne300]]+1)</f>
        <v>200</v>
      </c>
      <c r="LH4" s="17">
        <f>IF(Distances[[#This Row],[Colonne301]]=$G4,LG4,Distances[[#This Row],[Colonne301]]+1)</f>
        <v>200</v>
      </c>
      <c r="LI4" s="17">
        <f>IF(Distances[[#This Row],[Colonne302]]=$G4,LH4,Distances[[#This Row],[Colonne302]]+1)</f>
        <v>200</v>
      </c>
      <c r="LJ4" s="17">
        <f>IF(Distances[[#This Row],[Colonne303]]=$G4,LI4,Distances[[#This Row],[Colonne303]]+1)</f>
        <v>200</v>
      </c>
      <c r="LK4" s="51"/>
      <c r="LL4" s="17">
        <f t="shared" ref="LL4:NW4" si="6">IF(LK4=$H4,LK4,LK4+1)</f>
        <v>1</v>
      </c>
      <c r="LM4" s="17">
        <f t="shared" si="6"/>
        <v>2</v>
      </c>
      <c r="LN4" s="17">
        <f t="shared" si="6"/>
        <v>3</v>
      </c>
      <c r="LO4" s="17">
        <f t="shared" si="6"/>
        <v>4</v>
      </c>
      <c r="LP4" s="17">
        <f t="shared" si="6"/>
        <v>5</v>
      </c>
      <c r="LQ4" s="17">
        <f t="shared" si="6"/>
        <v>6</v>
      </c>
      <c r="LR4" s="17">
        <f t="shared" si="6"/>
        <v>7</v>
      </c>
      <c r="LS4" s="17">
        <f t="shared" si="6"/>
        <v>8</v>
      </c>
      <c r="LT4" s="17">
        <f t="shared" si="6"/>
        <v>9</v>
      </c>
      <c r="LU4" s="17">
        <f t="shared" si="6"/>
        <v>10</v>
      </c>
      <c r="LV4" s="17">
        <f t="shared" si="6"/>
        <v>11</v>
      </c>
      <c r="LW4" s="17">
        <f t="shared" si="6"/>
        <v>12</v>
      </c>
      <c r="LX4" s="17">
        <f t="shared" si="6"/>
        <v>13</v>
      </c>
      <c r="LY4" s="17">
        <f t="shared" si="6"/>
        <v>14</v>
      </c>
      <c r="LZ4" s="17">
        <f t="shared" si="6"/>
        <v>15</v>
      </c>
      <c r="MA4" s="17">
        <f t="shared" si="6"/>
        <v>16</v>
      </c>
      <c r="MB4" s="17">
        <f t="shared" si="6"/>
        <v>17</v>
      </c>
      <c r="MC4" s="17">
        <f t="shared" si="6"/>
        <v>18</v>
      </c>
      <c r="MD4" s="17">
        <f t="shared" si="6"/>
        <v>19</v>
      </c>
      <c r="ME4" s="17">
        <f t="shared" si="6"/>
        <v>20</v>
      </c>
      <c r="MF4" s="17">
        <f t="shared" si="6"/>
        <v>21</v>
      </c>
      <c r="MG4" s="17">
        <f t="shared" si="6"/>
        <v>22</v>
      </c>
      <c r="MH4" s="17">
        <f t="shared" si="6"/>
        <v>23</v>
      </c>
      <c r="MI4" s="17">
        <f t="shared" si="6"/>
        <v>24</v>
      </c>
      <c r="MJ4" s="17">
        <f t="shared" si="6"/>
        <v>25</v>
      </c>
      <c r="MK4" s="17">
        <f t="shared" si="6"/>
        <v>25</v>
      </c>
      <c r="ML4" s="17">
        <f t="shared" si="6"/>
        <v>25</v>
      </c>
      <c r="MM4" s="17">
        <f t="shared" si="6"/>
        <v>25</v>
      </c>
      <c r="MN4" s="17">
        <f t="shared" si="6"/>
        <v>25</v>
      </c>
      <c r="MO4" s="17">
        <f t="shared" si="6"/>
        <v>25</v>
      </c>
      <c r="MP4" s="17">
        <f t="shared" si="6"/>
        <v>25</v>
      </c>
      <c r="MQ4" s="17">
        <f t="shared" si="6"/>
        <v>25</v>
      </c>
      <c r="MR4" s="17">
        <f t="shared" si="6"/>
        <v>25</v>
      </c>
      <c r="MS4" s="17">
        <f t="shared" si="6"/>
        <v>25</v>
      </c>
      <c r="MT4" s="17">
        <f t="shared" si="6"/>
        <v>25</v>
      </c>
      <c r="MU4" s="17">
        <f t="shared" si="6"/>
        <v>25</v>
      </c>
      <c r="MV4" s="17">
        <f t="shared" si="6"/>
        <v>25</v>
      </c>
      <c r="MW4" s="17">
        <f t="shared" si="6"/>
        <v>25</v>
      </c>
      <c r="MX4" s="17">
        <f t="shared" si="6"/>
        <v>25</v>
      </c>
      <c r="MY4" s="17">
        <f t="shared" si="6"/>
        <v>25</v>
      </c>
      <c r="MZ4" s="17">
        <f t="shared" si="6"/>
        <v>25</v>
      </c>
      <c r="NA4" s="17">
        <f t="shared" si="6"/>
        <v>25</v>
      </c>
      <c r="NB4" s="17">
        <f t="shared" si="6"/>
        <v>25</v>
      </c>
      <c r="NC4" s="17">
        <f t="shared" si="6"/>
        <v>25</v>
      </c>
      <c r="ND4" s="17">
        <f t="shared" si="6"/>
        <v>25</v>
      </c>
      <c r="NE4" s="17">
        <f t="shared" si="6"/>
        <v>25</v>
      </c>
      <c r="NF4" s="17">
        <f t="shared" si="6"/>
        <v>25</v>
      </c>
      <c r="NG4" s="17">
        <f t="shared" si="6"/>
        <v>25</v>
      </c>
      <c r="NH4" s="17">
        <f t="shared" si="6"/>
        <v>25</v>
      </c>
      <c r="NI4" s="17">
        <f t="shared" si="6"/>
        <v>25</v>
      </c>
      <c r="NJ4" s="17">
        <f t="shared" si="6"/>
        <v>25</v>
      </c>
      <c r="NK4" s="17">
        <f t="shared" si="6"/>
        <v>25</v>
      </c>
      <c r="NL4" s="17">
        <f t="shared" si="6"/>
        <v>25</v>
      </c>
      <c r="NM4" s="17">
        <f t="shared" si="6"/>
        <v>25</v>
      </c>
      <c r="NN4" s="17">
        <f t="shared" si="6"/>
        <v>25</v>
      </c>
      <c r="NO4" s="17">
        <f t="shared" si="6"/>
        <v>25</v>
      </c>
      <c r="NP4" s="17">
        <f t="shared" si="6"/>
        <v>25</v>
      </c>
      <c r="NQ4" s="17">
        <f t="shared" si="6"/>
        <v>25</v>
      </c>
      <c r="NR4" s="17">
        <f t="shared" si="6"/>
        <v>25</v>
      </c>
      <c r="NS4" s="17">
        <f t="shared" si="6"/>
        <v>25</v>
      </c>
      <c r="NT4" s="17">
        <f t="shared" si="6"/>
        <v>25</v>
      </c>
      <c r="NU4" s="17">
        <f t="shared" si="6"/>
        <v>25</v>
      </c>
      <c r="NV4" s="17">
        <f t="shared" si="6"/>
        <v>25</v>
      </c>
      <c r="NW4" s="17">
        <f t="shared" si="6"/>
        <v>25</v>
      </c>
      <c r="NX4" s="17">
        <f t="shared" ref="NX4:PG4" si="7">IF(NW4=$H4,NW4,NW4+1)</f>
        <v>25</v>
      </c>
      <c r="NY4" s="17">
        <f t="shared" si="7"/>
        <v>25</v>
      </c>
      <c r="NZ4" s="17">
        <f t="shared" si="7"/>
        <v>25</v>
      </c>
      <c r="OA4" s="17">
        <f t="shared" si="7"/>
        <v>25</v>
      </c>
      <c r="OB4" s="17">
        <f t="shared" si="7"/>
        <v>25</v>
      </c>
      <c r="OC4" s="17">
        <f t="shared" si="7"/>
        <v>25</v>
      </c>
      <c r="OD4" s="17">
        <f t="shared" si="7"/>
        <v>25</v>
      </c>
      <c r="OE4" s="17">
        <f t="shared" si="7"/>
        <v>25</v>
      </c>
      <c r="OF4" s="17">
        <f t="shared" si="7"/>
        <v>25</v>
      </c>
      <c r="OG4" s="17">
        <f t="shared" si="7"/>
        <v>25</v>
      </c>
      <c r="OH4" s="17">
        <f t="shared" si="7"/>
        <v>25</v>
      </c>
      <c r="OI4" s="17">
        <f t="shared" si="7"/>
        <v>25</v>
      </c>
      <c r="OJ4" s="17">
        <f t="shared" si="7"/>
        <v>25</v>
      </c>
      <c r="OK4" s="17">
        <f t="shared" si="7"/>
        <v>25</v>
      </c>
      <c r="OL4" s="17">
        <f t="shared" si="7"/>
        <v>25</v>
      </c>
      <c r="OM4" s="17">
        <f t="shared" si="7"/>
        <v>25</v>
      </c>
      <c r="ON4" s="17">
        <f t="shared" si="7"/>
        <v>25</v>
      </c>
      <c r="OO4" s="17">
        <f t="shared" si="7"/>
        <v>25</v>
      </c>
      <c r="OP4" s="17">
        <f t="shared" si="7"/>
        <v>25</v>
      </c>
      <c r="OQ4" s="17">
        <f t="shared" si="7"/>
        <v>25</v>
      </c>
      <c r="OR4" s="17">
        <f t="shared" si="7"/>
        <v>25</v>
      </c>
      <c r="OS4" s="17">
        <f t="shared" si="7"/>
        <v>25</v>
      </c>
      <c r="OT4" s="17">
        <f t="shared" si="7"/>
        <v>25</v>
      </c>
      <c r="OU4" s="17">
        <f t="shared" si="7"/>
        <v>25</v>
      </c>
      <c r="OV4" s="17">
        <f t="shared" si="7"/>
        <v>25</v>
      </c>
      <c r="OW4" s="17">
        <f t="shared" si="7"/>
        <v>25</v>
      </c>
      <c r="OX4" s="17">
        <f t="shared" si="7"/>
        <v>25</v>
      </c>
      <c r="OY4" s="17">
        <f t="shared" si="7"/>
        <v>25</v>
      </c>
      <c r="OZ4" s="17">
        <f t="shared" si="7"/>
        <v>25</v>
      </c>
      <c r="PA4" s="17">
        <f t="shared" si="7"/>
        <v>25</v>
      </c>
      <c r="PB4" s="17">
        <f t="shared" si="7"/>
        <v>25</v>
      </c>
      <c r="PC4" s="17">
        <f t="shared" si="7"/>
        <v>25</v>
      </c>
      <c r="PD4" s="17">
        <f t="shared" si="7"/>
        <v>25</v>
      </c>
      <c r="PE4" s="17">
        <f t="shared" si="7"/>
        <v>25</v>
      </c>
      <c r="PF4" s="17">
        <f t="shared" si="7"/>
        <v>25</v>
      </c>
      <c r="PG4" s="17">
        <f t="shared" si="7"/>
        <v>25</v>
      </c>
    </row>
    <row r="5" spans="1:423" x14ac:dyDescent="0.25">
      <c r="A5" s="8" t="s">
        <v>5509</v>
      </c>
      <c r="B5" s="9" t="s">
        <v>5503</v>
      </c>
      <c r="C5" s="9" t="str">
        <f t="shared" si="0"/>
        <v>LR1</v>
      </c>
      <c r="D5" s="1" t="str">
        <f t="shared" si="1"/>
        <v>Libre R1</v>
      </c>
      <c r="E5" s="1" t="s">
        <v>15</v>
      </c>
      <c r="F5" s="9" t="s">
        <v>5452</v>
      </c>
      <c r="G5" s="9">
        <v>150</v>
      </c>
      <c r="H5" s="9">
        <v>35</v>
      </c>
      <c r="I5" s="127">
        <v>2.8</v>
      </c>
      <c r="J5" s="9" t="s">
        <v>5511</v>
      </c>
      <c r="K5" s="280"/>
      <c r="L5" s="8">
        <v>4</v>
      </c>
      <c r="M5" s="9">
        <v>6</v>
      </c>
      <c r="N5" s="10">
        <v>5.9989999999999997</v>
      </c>
      <c r="O5" s="269"/>
      <c r="P5" s="331"/>
      <c r="Q5" s="335"/>
      <c r="R5" s="128">
        <v>1</v>
      </c>
      <c r="S5" s="9">
        <v>1</v>
      </c>
      <c r="T5" s="10">
        <v>2</v>
      </c>
      <c r="U5" t="s">
        <v>5523</v>
      </c>
      <c r="V5" s="17">
        <v>0</v>
      </c>
      <c r="W5" s="17">
        <f>IF(Distances[[#This Row],[Colonne4]]=$G5,V5,Distances[[#This Row],[Colonne4]]+1)</f>
        <v>1</v>
      </c>
      <c r="X5" s="17">
        <f>IF(Distances[[#This Row],[Colonne5]]=$G5,W5,Distances[[#This Row],[Colonne5]]+1)</f>
        <v>2</v>
      </c>
      <c r="Y5" s="17">
        <f>IF(Distances[[#This Row],[Colonne6]]=$G5,X5,Distances[[#This Row],[Colonne6]]+1)</f>
        <v>3</v>
      </c>
      <c r="Z5" s="17">
        <f>IF(Distances[[#This Row],[Colonne7]]=$G5,Y5,Distances[[#This Row],[Colonne7]]+1)</f>
        <v>4</v>
      </c>
      <c r="AA5" s="17">
        <f>IF(Distances[[#This Row],[Colonne8]]=$G5,Z5,Distances[[#This Row],[Colonne8]]+1)</f>
        <v>5</v>
      </c>
      <c r="AB5" s="17">
        <f>IF(Distances[[#This Row],[Colonne9]]=$G5,AA5,Distances[[#This Row],[Colonne9]]+1)</f>
        <v>6</v>
      </c>
      <c r="AC5" s="17">
        <f>IF(Distances[[#This Row],[Colonne10]]=$G5,AB5,Distances[[#This Row],[Colonne10]]+1)</f>
        <v>7</v>
      </c>
      <c r="AD5" s="17">
        <f>IF(Distances[[#This Row],[Colonne11]]=$G5,AC5,Distances[[#This Row],[Colonne11]]+1)</f>
        <v>8</v>
      </c>
      <c r="AE5" s="17">
        <f>IF(Distances[[#This Row],[Colonne12]]=$G5,AD5,Distances[[#This Row],[Colonne12]]+1)</f>
        <v>9</v>
      </c>
      <c r="AF5" s="17">
        <f>IF(Distances[[#This Row],[Colonne13]]=$G5,AE5,Distances[[#This Row],[Colonne13]]+1)</f>
        <v>10</v>
      </c>
      <c r="AG5" s="17">
        <f>IF(Distances[[#This Row],[Colonne14]]=$G5,AF5,Distances[[#This Row],[Colonne14]]+1)</f>
        <v>11</v>
      </c>
      <c r="AH5" s="17">
        <f>IF(Distances[[#This Row],[Colonne15]]=$G5,AG5,Distances[[#This Row],[Colonne15]]+1)</f>
        <v>12</v>
      </c>
      <c r="AI5" s="17">
        <f>IF(Distances[[#This Row],[Colonne16]]=$G5,AH5,Distances[[#This Row],[Colonne16]]+1)</f>
        <v>13</v>
      </c>
      <c r="AJ5" s="17">
        <f>IF(Distances[[#This Row],[Colonne17]]=$G5,AI5,Distances[[#This Row],[Colonne17]]+1)</f>
        <v>14</v>
      </c>
      <c r="AK5" s="17">
        <f>IF(Distances[[#This Row],[Colonne18]]=$G5,AJ5,Distances[[#This Row],[Colonne18]]+1)</f>
        <v>15</v>
      </c>
      <c r="AL5" s="17">
        <f>IF(Distances[[#This Row],[Colonne19]]=$G5,AK5,Distances[[#This Row],[Colonne19]]+1)</f>
        <v>16</v>
      </c>
      <c r="AM5" s="17">
        <f>IF(Distances[[#This Row],[Colonne20]]=$G5,AL5,Distances[[#This Row],[Colonne20]]+1)</f>
        <v>17</v>
      </c>
      <c r="AN5" s="17">
        <f>IF(Distances[[#This Row],[Colonne21]]=$G5,AM5,Distances[[#This Row],[Colonne21]]+1)</f>
        <v>18</v>
      </c>
      <c r="AO5" s="17">
        <f>IF(Distances[[#This Row],[Colonne22]]=$G5,AN5,Distances[[#This Row],[Colonne22]]+1)</f>
        <v>19</v>
      </c>
      <c r="AP5" s="17">
        <f>IF(Distances[[#This Row],[Colonne23]]=$G5,AO5,Distances[[#This Row],[Colonne23]]+1)</f>
        <v>20</v>
      </c>
      <c r="AQ5" s="17">
        <f>IF(Distances[[#This Row],[Colonne24]]=$G5,AP5,Distances[[#This Row],[Colonne24]]+1)</f>
        <v>21</v>
      </c>
      <c r="AR5" s="17">
        <f>IF(Distances[[#This Row],[Colonne25]]=$G5,AQ5,Distances[[#This Row],[Colonne25]]+1)</f>
        <v>22</v>
      </c>
      <c r="AS5" s="17">
        <f>IF(Distances[[#This Row],[Colonne26]]=$G5,AR5,Distances[[#This Row],[Colonne26]]+1)</f>
        <v>23</v>
      </c>
      <c r="AT5" s="17">
        <f>IF(Distances[[#This Row],[Colonne27]]=$G5,AS5,Distances[[#This Row],[Colonne27]]+1)</f>
        <v>24</v>
      </c>
      <c r="AU5" s="17">
        <f>IF(Distances[[#This Row],[Colonne28]]=$G5,AT5,Distances[[#This Row],[Colonne28]]+1)</f>
        <v>25</v>
      </c>
      <c r="AV5" s="17">
        <f>IF(Distances[[#This Row],[Colonne29]]=$G5,AU5,Distances[[#This Row],[Colonne29]]+1)</f>
        <v>26</v>
      </c>
      <c r="AW5" s="17">
        <f>IF(Distances[[#This Row],[Colonne30]]=$G5,AV5,Distances[[#This Row],[Colonne30]]+1)</f>
        <v>27</v>
      </c>
      <c r="AX5" s="17">
        <f>IF(Distances[[#This Row],[Colonne31]]=$G5,AW5,Distances[[#This Row],[Colonne31]]+1)</f>
        <v>28</v>
      </c>
      <c r="AY5" s="17">
        <f>IF(Distances[[#This Row],[Colonne32]]=$G5,AX5,Distances[[#This Row],[Colonne32]]+1)</f>
        <v>29</v>
      </c>
      <c r="AZ5" s="17">
        <f>IF(Distances[[#This Row],[Colonne33]]=$G5,AY5,Distances[[#This Row],[Colonne33]]+1)</f>
        <v>30</v>
      </c>
      <c r="BA5" s="17">
        <f>IF(Distances[[#This Row],[Colonne34]]=$G5,AZ5,Distances[[#This Row],[Colonne34]]+1)</f>
        <v>31</v>
      </c>
      <c r="BB5" s="17">
        <f>IF(Distances[[#This Row],[Colonne35]]=$G5,BA5,Distances[[#This Row],[Colonne35]]+1)</f>
        <v>32</v>
      </c>
      <c r="BC5" s="17">
        <f>IF(Distances[[#This Row],[Colonne36]]=$G5,BB5,Distances[[#This Row],[Colonne36]]+1)</f>
        <v>33</v>
      </c>
      <c r="BD5" s="17">
        <f>IF(Distances[[#This Row],[Colonne37]]=$G5,BC5,Distances[[#This Row],[Colonne37]]+1)</f>
        <v>34</v>
      </c>
      <c r="BE5" s="17">
        <f>IF(Distances[[#This Row],[Colonne38]]=$G5,BD5,Distances[[#This Row],[Colonne38]]+1)</f>
        <v>35</v>
      </c>
      <c r="BF5" s="17">
        <f>IF(Distances[[#This Row],[Colonne39]]=$G5,BE5,Distances[[#This Row],[Colonne39]]+1)</f>
        <v>36</v>
      </c>
      <c r="BG5" s="17">
        <f>IF(Distances[[#This Row],[Colonne40]]=$G5,BF5,Distances[[#This Row],[Colonne40]]+1)</f>
        <v>37</v>
      </c>
      <c r="BH5" s="17">
        <f>IF(Distances[[#This Row],[Colonne41]]=$G5,BG5,Distances[[#This Row],[Colonne41]]+1)</f>
        <v>38</v>
      </c>
      <c r="BI5" s="17">
        <f>IF(Distances[[#This Row],[Colonne42]]=$G5,BH5,Distances[[#This Row],[Colonne42]]+1)</f>
        <v>39</v>
      </c>
      <c r="BJ5" s="17">
        <f>IF(Distances[[#This Row],[Colonne43]]=$G5,BI5,Distances[[#This Row],[Colonne43]]+1)</f>
        <v>40</v>
      </c>
      <c r="BK5" s="17">
        <f>IF(Distances[[#This Row],[Colonne44]]=$G5,BJ5,Distances[[#This Row],[Colonne44]]+1)</f>
        <v>41</v>
      </c>
      <c r="BL5" s="17">
        <f>IF(Distances[[#This Row],[Colonne45]]=$G5,BK5,Distances[[#This Row],[Colonne45]]+1)</f>
        <v>42</v>
      </c>
      <c r="BM5" s="17">
        <f>IF(Distances[[#This Row],[Colonne46]]=$G5,BL5,Distances[[#This Row],[Colonne46]]+1)</f>
        <v>43</v>
      </c>
      <c r="BN5" s="17">
        <f>IF(Distances[[#This Row],[Colonne47]]=$G5,BM5,Distances[[#This Row],[Colonne47]]+1)</f>
        <v>44</v>
      </c>
      <c r="BO5" s="17">
        <f>IF(Distances[[#This Row],[Colonne48]]=$G5,BN5,Distances[[#This Row],[Colonne48]]+1)</f>
        <v>45</v>
      </c>
      <c r="BP5" s="17">
        <f>IF(Distances[[#This Row],[Colonne49]]=$G5,BO5,Distances[[#This Row],[Colonne49]]+1)</f>
        <v>46</v>
      </c>
      <c r="BQ5" s="17">
        <f>IF(Distances[[#This Row],[Colonne50]]=$G5,BP5,Distances[[#This Row],[Colonne50]]+1)</f>
        <v>47</v>
      </c>
      <c r="BR5" s="17">
        <f>IF(Distances[[#This Row],[Colonne51]]=$G5,BQ5,Distances[[#This Row],[Colonne51]]+1)</f>
        <v>48</v>
      </c>
      <c r="BS5" s="17">
        <f>IF(Distances[[#This Row],[Colonne52]]=$G5,BR5,Distances[[#This Row],[Colonne52]]+1)</f>
        <v>49</v>
      </c>
      <c r="BT5" s="17">
        <f>IF(Distances[[#This Row],[Colonne53]]=$G5,BS5,Distances[[#This Row],[Colonne53]]+1)</f>
        <v>50</v>
      </c>
      <c r="BU5" s="17">
        <f>IF(Distances[[#This Row],[Colonne54]]=$G5,BT5,Distances[[#This Row],[Colonne54]]+1)</f>
        <v>51</v>
      </c>
      <c r="BV5" s="17">
        <f>IF(Distances[[#This Row],[Colonne55]]=$G5,BU5,Distances[[#This Row],[Colonne55]]+1)</f>
        <v>52</v>
      </c>
      <c r="BW5" s="17">
        <f>IF(Distances[[#This Row],[Colonne56]]=$G5,BV5,Distances[[#This Row],[Colonne56]]+1)</f>
        <v>53</v>
      </c>
      <c r="BX5" s="17">
        <f>IF(Distances[[#This Row],[Colonne57]]=$G5,BW5,Distances[[#This Row],[Colonne57]]+1)</f>
        <v>54</v>
      </c>
      <c r="BY5" s="17">
        <f>IF(Distances[[#This Row],[Colonne58]]=$G5,BX5,Distances[[#This Row],[Colonne58]]+1)</f>
        <v>55</v>
      </c>
      <c r="BZ5" s="17">
        <f>IF(Distances[[#This Row],[Colonne59]]=$G5,BY5,Distances[[#This Row],[Colonne59]]+1)</f>
        <v>56</v>
      </c>
      <c r="CA5" s="17">
        <f>IF(Distances[[#This Row],[Colonne60]]=$G5,BZ5,Distances[[#This Row],[Colonne60]]+1)</f>
        <v>57</v>
      </c>
      <c r="CB5" s="17">
        <f>IF(Distances[[#This Row],[Colonne61]]=$G5,CA5,Distances[[#This Row],[Colonne61]]+1)</f>
        <v>58</v>
      </c>
      <c r="CC5" s="17">
        <f>IF(Distances[[#This Row],[Colonne62]]=$G5,CB5,Distances[[#This Row],[Colonne62]]+1)</f>
        <v>59</v>
      </c>
      <c r="CD5" s="17">
        <f>IF(Distances[[#This Row],[Colonne63]]=$G5,CC5,Distances[[#This Row],[Colonne63]]+1)</f>
        <v>60</v>
      </c>
      <c r="CE5" s="17">
        <f>IF(Distances[[#This Row],[Colonne64]]=$G5,CD5,Distances[[#This Row],[Colonne64]]+1)</f>
        <v>61</v>
      </c>
      <c r="CF5" s="17">
        <f>IF(Distances[[#This Row],[Colonne65]]=$G5,CE5,Distances[[#This Row],[Colonne65]]+1)</f>
        <v>62</v>
      </c>
      <c r="CG5" s="17">
        <f>IF(Distances[[#This Row],[Colonne66]]=$G5,CF5,Distances[[#This Row],[Colonne66]]+1)</f>
        <v>63</v>
      </c>
      <c r="CH5" s="17">
        <f>IF(Distances[[#This Row],[Colonne67]]=$G5,CG5,Distances[[#This Row],[Colonne67]]+1)</f>
        <v>64</v>
      </c>
      <c r="CI5" s="17">
        <f>IF(Distances[[#This Row],[Colonne68]]=$G5,CH5,Distances[[#This Row],[Colonne68]]+1)</f>
        <v>65</v>
      </c>
      <c r="CJ5" s="17">
        <f>IF(Distances[[#This Row],[Colonne69]]=$G5,CI5,Distances[[#This Row],[Colonne69]]+1)</f>
        <v>66</v>
      </c>
      <c r="CK5" s="17">
        <f>IF(Distances[[#This Row],[Colonne70]]=$G5,CJ5,Distances[[#This Row],[Colonne70]]+1)</f>
        <v>67</v>
      </c>
      <c r="CL5" s="17">
        <f>IF(Distances[[#This Row],[Colonne71]]=$G5,CK5,Distances[[#This Row],[Colonne71]]+1)</f>
        <v>68</v>
      </c>
      <c r="CM5" s="17">
        <f>IF(Distances[[#This Row],[Colonne72]]=$G5,CL5,Distances[[#This Row],[Colonne72]]+1)</f>
        <v>69</v>
      </c>
      <c r="CN5" s="17">
        <f>IF(Distances[[#This Row],[Colonne73]]=$G5,CM5,Distances[[#This Row],[Colonne73]]+1)</f>
        <v>70</v>
      </c>
      <c r="CO5" s="17">
        <f>IF(Distances[[#This Row],[Colonne74]]=$G5,CN5,Distances[[#This Row],[Colonne74]]+1)</f>
        <v>71</v>
      </c>
      <c r="CP5" s="17">
        <f>IF(Distances[[#This Row],[Colonne75]]=$G5,CO5,Distances[[#This Row],[Colonne75]]+1)</f>
        <v>72</v>
      </c>
      <c r="CQ5" s="17">
        <f>IF(Distances[[#This Row],[Colonne76]]=$G5,CP5,Distances[[#This Row],[Colonne76]]+1)</f>
        <v>73</v>
      </c>
      <c r="CR5" s="17">
        <f>IF(Distances[[#This Row],[Colonne77]]=$G5,CQ5,Distances[[#This Row],[Colonne77]]+1)</f>
        <v>74</v>
      </c>
      <c r="CS5" s="17">
        <f>IF(Distances[[#This Row],[Colonne78]]=$G5,CR5,Distances[[#This Row],[Colonne78]]+1)</f>
        <v>75</v>
      </c>
      <c r="CT5" s="17">
        <f>IF(Distances[[#This Row],[Colonne79]]=$G5,CS5,Distances[[#This Row],[Colonne79]]+1)</f>
        <v>76</v>
      </c>
      <c r="CU5" s="17">
        <f>IF(Distances[[#This Row],[Colonne80]]=$G5,CT5,Distances[[#This Row],[Colonne80]]+1)</f>
        <v>77</v>
      </c>
      <c r="CV5" s="17">
        <f>IF(Distances[[#This Row],[Colonne81]]=$G5,CU5,Distances[[#This Row],[Colonne81]]+1)</f>
        <v>78</v>
      </c>
      <c r="CW5" s="17">
        <f>IF(Distances[[#This Row],[Colonne82]]=$G5,CV5,Distances[[#This Row],[Colonne82]]+1)</f>
        <v>79</v>
      </c>
      <c r="CX5" s="17">
        <f>IF(Distances[[#This Row],[Colonne83]]=$G5,CW5,Distances[[#This Row],[Colonne83]]+1)</f>
        <v>80</v>
      </c>
      <c r="CY5" s="17">
        <f>IF(Distances[[#This Row],[Colonne84]]=$G5,CX5,Distances[[#This Row],[Colonne84]]+1)</f>
        <v>81</v>
      </c>
      <c r="CZ5" s="17">
        <f>IF(Distances[[#This Row],[Colonne85]]=$G5,CY5,Distances[[#This Row],[Colonne85]]+1)</f>
        <v>82</v>
      </c>
      <c r="DA5" s="17">
        <f>IF(Distances[[#This Row],[Colonne86]]=$G5,CZ5,Distances[[#This Row],[Colonne86]]+1)</f>
        <v>83</v>
      </c>
      <c r="DB5" s="17">
        <f>IF(Distances[[#This Row],[Colonne87]]=$G5,DA5,Distances[[#This Row],[Colonne87]]+1)</f>
        <v>84</v>
      </c>
      <c r="DC5" s="17">
        <f>IF(Distances[[#This Row],[Colonne88]]=$G5,DB5,Distances[[#This Row],[Colonne88]]+1)</f>
        <v>85</v>
      </c>
      <c r="DD5" s="17">
        <f>IF(Distances[[#This Row],[Colonne89]]=$G5,DC5,Distances[[#This Row],[Colonne89]]+1)</f>
        <v>86</v>
      </c>
      <c r="DE5" s="17">
        <f>IF(Distances[[#This Row],[Colonne90]]=$G5,DD5,Distances[[#This Row],[Colonne90]]+1)</f>
        <v>87</v>
      </c>
      <c r="DF5" s="17">
        <f>IF(Distances[[#This Row],[Colonne91]]=$G5,DE5,Distances[[#This Row],[Colonne91]]+1)</f>
        <v>88</v>
      </c>
      <c r="DG5" s="17">
        <f>IF(Distances[[#This Row],[Colonne92]]=$G5,DF5,Distances[[#This Row],[Colonne92]]+1)</f>
        <v>89</v>
      </c>
      <c r="DH5" s="17">
        <f>IF(Distances[[#This Row],[Colonne93]]=$G5,DG5,Distances[[#This Row],[Colonne93]]+1)</f>
        <v>90</v>
      </c>
      <c r="DI5" s="17">
        <f>IF(Distances[[#This Row],[Colonne94]]=$G5,DH5,Distances[[#This Row],[Colonne94]]+1)</f>
        <v>91</v>
      </c>
      <c r="DJ5" s="17">
        <f>IF(Distances[[#This Row],[Colonne95]]=$G5,DI5,Distances[[#This Row],[Colonne95]]+1)</f>
        <v>92</v>
      </c>
      <c r="DK5" s="17">
        <f>IF(Distances[[#This Row],[Colonne96]]=$G5,DJ5,Distances[[#This Row],[Colonne96]]+1)</f>
        <v>93</v>
      </c>
      <c r="DL5" s="17">
        <f>IF(Distances[[#This Row],[Colonne97]]=$G5,DK5,Distances[[#This Row],[Colonne97]]+1)</f>
        <v>94</v>
      </c>
      <c r="DM5" s="17">
        <f>IF(Distances[[#This Row],[Colonne98]]=$G5,DL5,Distances[[#This Row],[Colonne98]]+1)</f>
        <v>95</v>
      </c>
      <c r="DN5" s="17">
        <f>IF(Distances[[#This Row],[Colonne99]]=$G5,DM5,Distances[[#This Row],[Colonne99]]+1)</f>
        <v>96</v>
      </c>
      <c r="DO5" s="17">
        <f>IF(Distances[[#This Row],[Colonne100]]=$G5,DN5,Distances[[#This Row],[Colonne100]]+1)</f>
        <v>97</v>
      </c>
      <c r="DP5" s="17">
        <f>IF(Distances[[#This Row],[Colonne101]]=$G5,DO5,Distances[[#This Row],[Colonne101]]+1)</f>
        <v>98</v>
      </c>
      <c r="DQ5" s="17">
        <f>IF(Distances[[#This Row],[Colonne102]]=$G5,DP5,Distances[[#This Row],[Colonne102]]+1)</f>
        <v>99</v>
      </c>
      <c r="DR5" s="17">
        <f>IF(Distances[[#This Row],[Colonne103]]=$G5,DQ5,Distances[[#This Row],[Colonne103]]+1)</f>
        <v>100</v>
      </c>
      <c r="DS5" s="17">
        <f>IF(Distances[[#This Row],[Colonne104]]=$G5,DR5,Distances[[#This Row],[Colonne104]]+1)</f>
        <v>101</v>
      </c>
      <c r="DT5" s="17">
        <f>IF(Distances[[#This Row],[Colonne105]]=$G5,DS5,Distances[[#This Row],[Colonne105]]+1)</f>
        <v>102</v>
      </c>
      <c r="DU5" s="17">
        <f>IF(Distances[[#This Row],[Colonne106]]=$G5,DT5,Distances[[#This Row],[Colonne106]]+1)</f>
        <v>103</v>
      </c>
      <c r="DV5" s="17">
        <f>IF(Distances[[#This Row],[Colonne107]]=$G5,DU5,Distances[[#This Row],[Colonne107]]+1)</f>
        <v>104</v>
      </c>
      <c r="DW5" s="17">
        <f>IF(Distances[[#This Row],[Colonne108]]=$G5,DV5,Distances[[#This Row],[Colonne108]]+1)</f>
        <v>105</v>
      </c>
      <c r="DX5" s="17">
        <f>IF(Distances[[#This Row],[Colonne109]]=$G5,DW5,Distances[[#This Row],[Colonne109]]+1)</f>
        <v>106</v>
      </c>
      <c r="DY5" s="17">
        <f>IF(Distances[[#This Row],[Colonne110]]=$G5,DX5,Distances[[#This Row],[Colonne110]]+1)</f>
        <v>107</v>
      </c>
      <c r="DZ5" s="17">
        <f>IF(Distances[[#This Row],[Colonne111]]=$G5,DY5,Distances[[#This Row],[Colonne111]]+1)</f>
        <v>108</v>
      </c>
      <c r="EA5" s="17">
        <f>IF(Distances[[#This Row],[Colonne112]]=$G5,DZ5,Distances[[#This Row],[Colonne112]]+1)</f>
        <v>109</v>
      </c>
      <c r="EB5" s="17">
        <f>IF(Distances[[#This Row],[Colonne113]]=$G5,EA5,Distances[[#This Row],[Colonne113]]+1)</f>
        <v>110</v>
      </c>
      <c r="EC5" s="17">
        <f>IF(Distances[[#This Row],[Colonne114]]=$G5,EB5,Distances[[#This Row],[Colonne114]]+1)</f>
        <v>111</v>
      </c>
      <c r="ED5" s="17">
        <f>IF(Distances[[#This Row],[Colonne115]]=$G5,EC5,Distances[[#This Row],[Colonne115]]+1)</f>
        <v>112</v>
      </c>
      <c r="EE5" s="17">
        <f>IF(Distances[[#This Row],[Colonne116]]=$G5,ED5,Distances[[#This Row],[Colonne116]]+1)</f>
        <v>113</v>
      </c>
      <c r="EF5" s="17">
        <f>IF(Distances[[#This Row],[Colonne117]]=$G5,EE5,Distances[[#This Row],[Colonne117]]+1)</f>
        <v>114</v>
      </c>
      <c r="EG5" s="17">
        <f>IF(Distances[[#This Row],[Colonne118]]=$G5,EF5,Distances[[#This Row],[Colonne118]]+1)</f>
        <v>115</v>
      </c>
      <c r="EH5" s="17">
        <f>IF(Distances[[#This Row],[Colonne119]]=$G5,EG5,Distances[[#This Row],[Colonne119]]+1)</f>
        <v>116</v>
      </c>
      <c r="EI5" s="17">
        <f>IF(Distances[[#This Row],[Colonne120]]=$G5,EH5,Distances[[#This Row],[Colonne120]]+1)</f>
        <v>117</v>
      </c>
      <c r="EJ5" s="17">
        <f>IF(Distances[[#This Row],[Colonne121]]=$G5,EI5,Distances[[#This Row],[Colonne121]]+1)</f>
        <v>118</v>
      </c>
      <c r="EK5" s="17">
        <f>IF(Distances[[#This Row],[Colonne122]]=$G5,EJ5,Distances[[#This Row],[Colonne122]]+1)</f>
        <v>119</v>
      </c>
      <c r="EL5" s="17">
        <f>IF(Distances[[#This Row],[Colonne123]]=$G5,EK5,Distances[[#This Row],[Colonne123]]+1)</f>
        <v>120</v>
      </c>
      <c r="EM5" s="17">
        <f>IF(Distances[[#This Row],[Colonne124]]=$G5,EL5,Distances[[#This Row],[Colonne124]]+1)</f>
        <v>121</v>
      </c>
      <c r="EN5" s="17">
        <f>IF(Distances[[#This Row],[Colonne125]]=$G5,EM5,Distances[[#This Row],[Colonne125]]+1)</f>
        <v>122</v>
      </c>
      <c r="EO5" s="17">
        <f>IF(Distances[[#This Row],[Colonne126]]=$G5,EN5,Distances[[#This Row],[Colonne126]]+1)</f>
        <v>123</v>
      </c>
      <c r="EP5" s="17">
        <f>IF(Distances[[#This Row],[Colonne127]]=$G5,EO5,Distances[[#This Row],[Colonne127]]+1)</f>
        <v>124</v>
      </c>
      <c r="EQ5" s="17">
        <f>IF(Distances[[#This Row],[Colonne128]]=$G5,EP5,Distances[[#This Row],[Colonne128]]+1)</f>
        <v>125</v>
      </c>
      <c r="ER5" s="17">
        <f>IF(Distances[[#This Row],[Colonne129]]=$G5,EQ5,Distances[[#This Row],[Colonne129]]+1)</f>
        <v>126</v>
      </c>
      <c r="ES5" s="17">
        <f>IF(Distances[[#This Row],[Colonne130]]=$G5,ER5,Distances[[#This Row],[Colonne130]]+1)</f>
        <v>127</v>
      </c>
      <c r="ET5" s="17">
        <f>IF(Distances[[#This Row],[Colonne131]]=$G5,ES5,Distances[[#This Row],[Colonne131]]+1)</f>
        <v>128</v>
      </c>
      <c r="EU5" s="17">
        <f>IF(Distances[[#This Row],[Colonne132]]=$G5,ET5,Distances[[#This Row],[Colonne132]]+1)</f>
        <v>129</v>
      </c>
      <c r="EV5" s="17">
        <f>IF(Distances[[#This Row],[Colonne133]]=$G5,EU5,Distances[[#This Row],[Colonne133]]+1)</f>
        <v>130</v>
      </c>
      <c r="EW5" s="17">
        <f>IF(Distances[[#This Row],[Colonne134]]=$G5,EV5,Distances[[#This Row],[Colonne134]]+1)</f>
        <v>131</v>
      </c>
      <c r="EX5" s="17">
        <f>IF(Distances[[#This Row],[Colonne135]]=$G5,EW5,Distances[[#This Row],[Colonne135]]+1)</f>
        <v>132</v>
      </c>
      <c r="EY5" s="17">
        <f>IF(Distances[[#This Row],[Colonne136]]=$G5,EX5,Distances[[#This Row],[Colonne136]]+1)</f>
        <v>133</v>
      </c>
      <c r="EZ5" s="17">
        <f>IF(Distances[[#This Row],[Colonne137]]=$G5,EY5,Distances[[#This Row],[Colonne137]]+1)</f>
        <v>134</v>
      </c>
      <c r="FA5" s="17">
        <f>IF(Distances[[#This Row],[Colonne138]]=$G5,EZ5,Distances[[#This Row],[Colonne138]]+1)</f>
        <v>135</v>
      </c>
      <c r="FB5" s="17">
        <f>IF(Distances[[#This Row],[Colonne139]]=$G5,FA5,Distances[[#This Row],[Colonne139]]+1)</f>
        <v>136</v>
      </c>
      <c r="FC5" s="17">
        <f>IF(Distances[[#This Row],[Colonne140]]=$G5,FB5,Distances[[#This Row],[Colonne140]]+1)</f>
        <v>137</v>
      </c>
      <c r="FD5" s="17">
        <f>IF(Distances[[#This Row],[Colonne141]]=$G5,FC5,Distances[[#This Row],[Colonne141]]+1)</f>
        <v>138</v>
      </c>
      <c r="FE5" s="17">
        <f>IF(Distances[[#This Row],[Colonne142]]=$G5,FD5,Distances[[#This Row],[Colonne142]]+1)</f>
        <v>139</v>
      </c>
      <c r="FF5" s="17">
        <f>IF(Distances[[#This Row],[Colonne143]]=$G5,FE5,Distances[[#This Row],[Colonne143]]+1)</f>
        <v>140</v>
      </c>
      <c r="FG5" s="17">
        <f>IF(Distances[[#This Row],[Colonne144]]=$G5,FF5,Distances[[#This Row],[Colonne144]]+1)</f>
        <v>141</v>
      </c>
      <c r="FH5" s="17">
        <f>IF(Distances[[#This Row],[Colonne145]]=$G5,FG5,Distances[[#This Row],[Colonne145]]+1)</f>
        <v>142</v>
      </c>
      <c r="FI5" s="17">
        <f>IF(Distances[[#This Row],[Colonne146]]=$G5,FH5,Distances[[#This Row],[Colonne146]]+1)</f>
        <v>143</v>
      </c>
      <c r="FJ5" s="17">
        <f>IF(Distances[[#This Row],[Colonne147]]=$G5,FI5,Distances[[#This Row],[Colonne147]]+1)</f>
        <v>144</v>
      </c>
      <c r="FK5" s="17">
        <f>IF(Distances[[#This Row],[Colonne148]]=$G5,FJ5,Distances[[#This Row],[Colonne148]]+1)</f>
        <v>145</v>
      </c>
      <c r="FL5" s="17">
        <f>IF(Distances[[#This Row],[Colonne149]]=$G5,FK5,Distances[[#This Row],[Colonne149]]+1)</f>
        <v>146</v>
      </c>
      <c r="FM5" s="17">
        <f>IF(Distances[[#This Row],[Colonne150]]=$G5,FL5,Distances[[#This Row],[Colonne150]]+1)</f>
        <v>147</v>
      </c>
      <c r="FN5" s="17">
        <f>IF(Distances[[#This Row],[Colonne151]]=$G5,FM5,Distances[[#This Row],[Colonne151]]+1)</f>
        <v>148</v>
      </c>
      <c r="FO5" s="17">
        <f>IF(Distances[[#This Row],[Colonne152]]=$G5,FN5,Distances[[#This Row],[Colonne152]]+1)</f>
        <v>149</v>
      </c>
      <c r="FP5" s="17">
        <f>IF(Distances[[#This Row],[Colonne153]]=$G5,FO5,Distances[[#This Row],[Colonne153]]+1)</f>
        <v>150</v>
      </c>
      <c r="FQ5" s="17">
        <f>IF(Distances[[#This Row],[Colonne154]]=$G5,FP5,Distances[[#This Row],[Colonne154]]+1)</f>
        <v>150</v>
      </c>
      <c r="FR5" s="17">
        <f>IF(Distances[[#This Row],[Colonne155]]=$G5,FQ5,Distances[[#This Row],[Colonne155]]+1)</f>
        <v>150</v>
      </c>
      <c r="FS5" s="17">
        <f>IF(Distances[[#This Row],[Colonne156]]=$G5,FR5,Distances[[#This Row],[Colonne156]]+1)</f>
        <v>150</v>
      </c>
      <c r="FT5" s="17">
        <f>IF(Distances[[#This Row],[Colonne157]]=$G5,FS5,Distances[[#This Row],[Colonne157]]+1)</f>
        <v>150</v>
      </c>
      <c r="FU5" s="17">
        <f>IF(Distances[[#This Row],[Colonne158]]=$G5,FT5,Distances[[#This Row],[Colonne158]]+1)</f>
        <v>150</v>
      </c>
      <c r="FV5" s="17">
        <f>IF(Distances[[#This Row],[Colonne159]]=$G5,FU5,Distances[[#This Row],[Colonne159]]+1)</f>
        <v>150</v>
      </c>
      <c r="FW5" s="17">
        <f>IF(Distances[[#This Row],[Colonne160]]=$G5,FV5,Distances[[#This Row],[Colonne160]]+1)</f>
        <v>150</v>
      </c>
      <c r="FX5" s="17">
        <f>IF(Distances[[#This Row],[Colonne161]]=$G5,FW5,Distances[[#This Row],[Colonne161]]+1)</f>
        <v>150</v>
      </c>
      <c r="FY5" s="17">
        <f>IF(Distances[[#This Row],[Colonne162]]=$G5,FX5,Distances[[#This Row],[Colonne162]]+1)</f>
        <v>150</v>
      </c>
      <c r="FZ5" s="17">
        <f>IF(Distances[[#This Row],[Colonne163]]=$G5,FY5,Distances[[#This Row],[Colonne163]]+1)</f>
        <v>150</v>
      </c>
      <c r="GA5" s="17">
        <f>IF(Distances[[#This Row],[Colonne164]]=$G5,FZ5,Distances[[#This Row],[Colonne164]]+1)</f>
        <v>150</v>
      </c>
      <c r="GB5" s="17">
        <f>IF(Distances[[#This Row],[Colonne165]]=$G5,GA5,Distances[[#This Row],[Colonne165]]+1)</f>
        <v>150</v>
      </c>
      <c r="GC5" s="17">
        <f>IF(Distances[[#This Row],[Colonne166]]=$G5,GB5,Distances[[#This Row],[Colonne166]]+1)</f>
        <v>150</v>
      </c>
      <c r="GD5" s="17">
        <f>IF(Distances[[#This Row],[Colonne167]]=$G5,GC5,Distances[[#This Row],[Colonne167]]+1)</f>
        <v>150</v>
      </c>
      <c r="GE5" s="17">
        <f>IF(Distances[[#This Row],[Colonne168]]=$G5,GD5,Distances[[#This Row],[Colonne168]]+1)</f>
        <v>150</v>
      </c>
      <c r="GF5" s="17">
        <f>IF(Distances[[#This Row],[Colonne169]]=$G5,GE5,Distances[[#This Row],[Colonne169]]+1)</f>
        <v>150</v>
      </c>
      <c r="GG5" s="17">
        <f>IF(Distances[[#This Row],[Colonne170]]=$G5,GF5,Distances[[#This Row],[Colonne170]]+1)</f>
        <v>150</v>
      </c>
      <c r="GH5" s="17">
        <f>IF(Distances[[#This Row],[Colonne171]]=$G5,GG5,Distances[[#This Row],[Colonne171]]+1)</f>
        <v>150</v>
      </c>
      <c r="GI5" s="17">
        <f>IF(Distances[[#This Row],[Colonne172]]=$G5,GH5,Distances[[#This Row],[Colonne172]]+1)</f>
        <v>150</v>
      </c>
      <c r="GJ5" s="17">
        <f>IF(Distances[[#This Row],[Colonne173]]=$G5,GI5,Distances[[#This Row],[Colonne173]]+1)</f>
        <v>150</v>
      </c>
      <c r="GK5" s="17">
        <f>IF(Distances[[#This Row],[Colonne174]]=$G5,GJ5,Distances[[#This Row],[Colonne174]]+1)</f>
        <v>150</v>
      </c>
      <c r="GL5" s="17">
        <f>IF(Distances[[#This Row],[Colonne175]]=$G5,GK5,Distances[[#This Row],[Colonne175]]+1)</f>
        <v>150</v>
      </c>
      <c r="GM5" s="17">
        <f>IF(Distances[[#This Row],[Colonne176]]=$G5,GL5,Distances[[#This Row],[Colonne176]]+1)</f>
        <v>150</v>
      </c>
      <c r="GN5" s="17">
        <f>IF(Distances[[#This Row],[Colonne177]]=$G5,GM5,Distances[[#This Row],[Colonne177]]+1)</f>
        <v>150</v>
      </c>
      <c r="GO5" s="17">
        <f>IF(Distances[[#This Row],[Colonne178]]=$G5,GN5,Distances[[#This Row],[Colonne178]]+1)</f>
        <v>150</v>
      </c>
      <c r="GP5" s="17">
        <f>IF(Distances[[#This Row],[Colonne179]]=$G5,GO5,Distances[[#This Row],[Colonne179]]+1)</f>
        <v>150</v>
      </c>
      <c r="GQ5" s="17">
        <f>IF(Distances[[#This Row],[Colonne180]]=$G5,GP5,Distances[[#This Row],[Colonne180]]+1)</f>
        <v>150</v>
      </c>
      <c r="GR5" s="17">
        <f>IF(Distances[[#This Row],[Colonne181]]=$G5,GQ5,Distances[[#This Row],[Colonne181]]+1)</f>
        <v>150</v>
      </c>
      <c r="GS5" s="17">
        <f>IF(Distances[[#This Row],[Colonne182]]=$G5,GR5,Distances[[#This Row],[Colonne182]]+1)</f>
        <v>150</v>
      </c>
      <c r="GT5" s="17">
        <f>IF(Distances[[#This Row],[Colonne183]]=$G5,GS5,Distances[[#This Row],[Colonne183]]+1)</f>
        <v>150</v>
      </c>
      <c r="GU5" s="17">
        <f>IF(Distances[[#This Row],[Colonne184]]=$G5,GT5,Distances[[#This Row],[Colonne184]]+1)</f>
        <v>150</v>
      </c>
      <c r="GV5" s="17">
        <f>IF(Distances[[#This Row],[Colonne185]]=$G5,GU5,Distances[[#This Row],[Colonne185]]+1)</f>
        <v>150</v>
      </c>
      <c r="GW5" s="17">
        <f>IF(Distances[[#This Row],[Colonne186]]=$G5,GV5,Distances[[#This Row],[Colonne186]]+1)</f>
        <v>150</v>
      </c>
      <c r="GX5" s="17">
        <f>IF(Distances[[#This Row],[Colonne187]]=$G5,GW5,Distances[[#This Row],[Colonne187]]+1)</f>
        <v>150</v>
      </c>
      <c r="GY5" s="17">
        <f>IF(Distances[[#This Row],[Colonne188]]=$G5,GX5,Distances[[#This Row],[Colonne188]]+1)</f>
        <v>150</v>
      </c>
      <c r="GZ5" s="17">
        <f>IF(Distances[[#This Row],[Colonne189]]=$G5,GY5,Distances[[#This Row],[Colonne189]]+1)</f>
        <v>150</v>
      </c>
      <c r="HA5" s="17">
        <f>IF(Distances[[#This Row],[Colonne190]]=$G5,GZ5,Distances[[#This Row],[Colonne190]]+1)</f>
        <v>150</v>
      </c>
      <c r="HB5" s="17">
        <f>IF(Distances[[#This Row],[Colonne191]]=$G5,HA5,Distances[[#This Row],[Colonne191]]+1)</f>
        <v>150</v>
      </c>
      <c r="HC5" s="17">
        <f>IF(Distances[[#This Row],[Colonne192]]=$G5,HB5,Distances[[#This Row],[Colonne192]]+1)</f>
        <v>150</v>
      </c>
      <c r="HD5" s="17">
        <f>IF(Distances[[#This Row],[Colonne193]]=$G5,HC5,Distances[[#This Row],[Colonne193]]+1)</f>
        <v>150</v>
      </c>
      <c r="HE5" s="17">
        <f>IF(Distances[[#This Row],[Colonne194]]=$G5,HD5,Distances[[#This Row],[Colonne194]]+1)</f>
        <v>150</v>
      </c>
      <c r="HF5" s="17">
        <f>IF(Distances[[#This Row],[Colonne195]]=$G5,HE5,Distances[[#This Row],[Colonne195]]+1)</f>
        <v>150</v>
      </c>
      <c r="HG5" s="17">
        <f>IF(Distances[[#This Row],[Colonne196]]=$G5,HF5,Distances[[#This Row],[Colonne196]]+1)</f>
        <v>150</v>
      </c>
      <c r="HH5" s="17">
        <f>IF(Distances[[#This Row],[Colonne197]]=$G5,HG5,Distances[[#This Row],[Colonne197]]+1)</f>
        <v>150</v>
      </c>
      <c r="HI5" s="17">
        <f>IF(Distances[[#This Row],[Colonne198]]=$G5,HH5,Distances[[#This Row],[Colonne198]]+1)</f>
        <v>150</v>
      </c>
      <c r="HJ5" s="17">
        <f>IF(Distances[[#This Row],[Colonne199]]=$G5,HI5,Distances[[#This Row],[Colonne199]]+1)</f>
        <v>150</v>
      </c>
      <c r="HK5" s="17">
        <f>IF(Distances[[#This Row],[Colonne200]]=$G5,HJ5,Distances[[#This Row],[Colonne200]]+1)</f>
        <v>150</v>
      </c>
      <c r="HL5" s="17">
        <f>IF(Distances[[#This Row],[Colonne201]]=$G5,HK5,Distances[[#This Row],[Colonne201]]+1)</f>
        <v>150</v>
      </c>
      <c r="HM5" s="17">
        <f>IF(Distances[[#This Row],[Colonne202]]=$G5,HL5,Distances[[#This Row],[Colonne202]]+1)</f>
        <v>150</v>
      </c>
      <c r="HN5" s="17">
        <f>IF(Distances[[#This Row],[Colonne203]]=$G5,HM5,Distances[[#This Row],[Colonne203]]+1)</f>
        <v>150</v>
      </c>
      <c r="HO5" s="17">
        <f>IF(Distances[[#This Row],[Colonne204]]=$G5,HN5,Distances[[#This Row],[Colonne204]]+1)</f>
        <v>150</v>
      </c>
      <c r="HP5" s="17">
        <f>IF(Distances[[#This Row],[Colonne205]]=$G5,HO5,Distances[[#This Row],[Colonne205]]+1)</f>
        <v>150</v>
      </c>
      <c r="HQ5" s="17">
        <f>IF(Distances[[#This Row],[Colonne206]]=$G5,HP5,Distances[[#This Row],[Colonne206]]+1)</f>
        <v>150</v>
      </c>
      <c r="HR5" s="17">
        <f>IF(Distances[[#This Row],[Colonne207]]=$G5,HQ5,Distances[[#This Row],[Colonne207]]+1)</f>
        <v>150</v>
      </c>
      <c r="HS5" s="17">
        <f>IF(Distances[[#This Row],[Colonne208]]=$G5,HR5,Distances[[#This Row],[Colonne208]]+1)</f>
        <v>150</v>
      </c>
      <c r="HT5" s="17">
        <f>IF(Distances[[#This Row],[Colonne209]]=$G5,HS5,Distances[[#This Row],[Colonne209]]+1)</f>
        <v>150</v>
      </c>
      <c r="HU5" s="17">
        <f>IF(Distances[[#This Row],[Colonne210]]=$G5,HT5,Distances[[#This Row],[Colonne210]]+1)</f>
        <v>150</v>
      </c>
      <c r="HV5" s="17">
        <f>IF(Distances[[#This Row],[Colonne211]]=$G5,HU5,Distances[[#This Row],[Colonne211]]+1)</f>
        <v>150</v>
      </c>
      <c r="HW5" s="17">
        <f>IF(Distances[[#This Row],[Colonne212]]=$G5,HV5,Distances[[#This Row],[Colonne212]]+1)</f>
        <v>150</v>
      </c>
      <c r="HX5" s="17">
        <f>IF(Distances[[#This Row],[Colonne213]]=$G5,HW5,Distances[[#This Row],[Colonne213]]+1)</f>
        <v>150</v>
      </c>
      <c r="HY5" s="17">
        <f>IF(Distances[[#This Row],[Colonne214]]=$G5,HX5,Distances[[#This Row],[Colonne214]]+1)</f>
        <v>150</v>
      </c>
      <c r="HZ5" s="17">
        <f>IF(Distances[[#This Row],[Colonne215]]=$G5,HY5,Distances[[#This Row],[Colonne215]]+1)</f>
        <v>150</v>
      </c>
      <c r="IA5" s="17">
        <f>IF(Distances[[#This Row],[Colonne216]]=$G5,HZ5,Distances[[#This Row],[Colonne216]]+1)</f>
        <v>150</v>
      </c>
      <c r="IB5" s="17">
        <f>IF(Distances[[#This Row],[Colonne217]]=$G5,IA5,Distances[[#This Row],[Colonne217]]+1)</f>
        <v>150</v>
      </c>
      <c r="IC5" s="17">
        <f>IF(Distances[[#This Row],[Colonne218]]=$G5,IB5,Distances[[#This Row],[Colonne218]]+1)</f>
        <v>150</v>
      </c>
      <c r="ID5" s="17">
        <f>IF(Distances[[#This Row],[Colonne219]]=$G5,IC5,Distances[[#This Row],[Colonne219]]+1)</f>
        <v>150</v>
      </c>
      <c r="IE5" s="17">
        <f>IF(Distances[[#This Row],[Colonne220]]=$G5,ID5,Distances[[#This Row],[Colonne220]]+1)</f>
        <v>150</v>
      </c>
      <c r="IF5" s="17">
        <f>IF(Distances[[#This Row],[Colonne221]]=$G5,IE5,Distances[[#This Row],[Colonne221]]+1)</f>
        <v>150</v>
      </c>
      <c r="IG5" s="17">
        <f>IF(Distances[[#This Row],[Colonne222]]=$G5,IF5,Distances[[#This Row],[Colonne222]]+1)</f>
        <v>150</v>
      </c>
      <c r="IH5" s="17">
        <f>IF(Distances[[#This Row],[Colonne223]]=$G5,IG5,Distances[[#This Row],[Colonne223]]+1)</f>
        <v>150</v>
      </c>
      <c r="II5" s="17">
        <f>IF(Distances[[#This Row],[Colonne224]]=$G5,IH5,Distances[[#This Row],[Colonne224]]+1)</f>
        <v>150</v>
      </c>
      <c r="IJ5" s="17">
        <f>IF(Distances[[#This Row],[Colonne225]]=$G5,II5,Distances[[#This Row],[Colonne225]]+1)</f>
        <v>150</v>
      </c>
      <c r="IK5" s="17">
        <f>IF(Distances[[#This Row],[Colonne226]]=$G5,IJ5,Distances[[#This Row],[Colonne226]]+1)</f>
        <v>150</v>
      </c>
      <c r="IL5" s="17">
        <f>IF(Distances[[#This Row],[Colonne227]]=$G5,IK5,Distances[[#This Row],[Colonne227]]+1)</f>
        <v>150</v>
      </c>
      <c r="IM5" s="17">
        <f>IF(Distances[[#This Row],[Colonne228]]=$G5,IL5,Distances[[#This Row],[Colonne228]]+1)</f>
        <v>150</v>
      </c>
      <c r="IN5" s="17">
        <f>IF(Distances[[#This Row],[Colonne229]]=$G5,IM5,Distances[[#This Row],[Colonne229]]+1)</f>
        <v>150</v>
      </c>
      <c r="IO5" s="17">
        <f>IF(Distances[[#This Row],[Colonne230]]=$G5,IN5,Distances[[#This Row],[Colonne230]]+1)</f>
        <v>150</v>
      </c>
      <c r="IP5" s="17">
        <f>IF(Distances[[#This Row],[Colonne231]]=$G5,IO5,Distances[[#This Row],[Colonne231]]+1)</f>
        <v>150</v>
      </c>
      <c r="IQ5" s="17">
        <f>IF(Distances[[#This Row],[Colonne232]]=$G5,IP5,Distances[[#This Row],[Colonne232]]+1)</f>
        <v>150</v>
      </c>
      <c r="IR5" s="17">
        <f>IF(Distances[[#This Row],[Colonne233]]=$G5,IQ5,Distances[[#This Row],[Colonne233]]+1)</f>
        <v>150</v>
      </c>
      <c r="IS5" s="17">
        <f>IF(Distances[[#This Row],[Colonne234]]=$G5,IR5,Distances[[#This Row],[Colonne234]]+1)</f>
        <v>150</v>
      </c>
      <c r="IT5" s="17">
        <f>IF(Distances[[#This Row],[Colonne235]]=$G5,IS5,Distances[[#This Row],[Colonne235]]+1)</f>
        <v>150</v>
      </c>
      <c r="IU5" s="17">
        <f>IF(Distances[[#This Row],[Colonne236]]=$G5,IT5,Distances[[#This Row],[Colonne236]]+1)</f>
        <v>150</v>
      </c>
      <c r="IV5" s="17">
        <f>IF(Distances[[#This Row],[Colonne237]]=$G5,IU5,Distances[[#This Row],[Colonne237]]+1)</f>
        <v>150</v>
      </c>
      <c r="IW5" s="17">
        <f>IF(Distances[[#This Row],[Colonne238]]=$G5,IV5,Distances[[#This Row],[Colonne238]]+1)</f>
        <v>150</v>
      </c>
      <c r="IX5" s="17">
        <f>IF(Distances[[#This Row],[Colonne239]]=$G5,IW5,Distances[[#This Row],[Colonne239]]+1)</f>
        <v>150</v>
      </c>
      <c r="IY5" s="17">
        <f>IF(Distances[[#This Row],[Colonne240]]=$G5,IX5,Distances[[#This Row],[Colonne240]]+1)</f>
        <v>150</v>
      </c>
      <c r="IZ5" s="17">
        <f>IF(Distances[[#This Row],[Colonne241]]=$G5,IY5,Distances[[#This Row],[Colonne241]]+1)</f>
        <v>150</v>
      </c>
      <c r="JA5" s="17">
        <f>IF(Distances[[#This Row],[Colonne242]]=$G5,IZ5,Distances[[#This Row],[Colonne242]]+1)</f>
        <v>150</v>
      </c>
      <c r="JB5" s="17">
        <f>IF(Distances[[#This Row],[Colonne243]]=$G5,JA5,Distances[[#This Row],[Colonne243]]+1)</f>
        <v>150</v>
      </c>
      <c r="JC5" s="17">
        <f>IF(Distances[[#This Row],[Colonne244]]=$G5,JB5,Distances[[#This Row],[Colonne244]]+1)</f>
        <v>150</v>
      </c>
      <c r="JD5" s="17">
        <f>IF(Distances[[#This Row],[Colonne245]]=$G5,JC5,Distances[[#This Row],[Colonne245]]+1)</f>
        <v>150</v>
      </c>
      <c r="JE5" s="17">
        <f>IF(Distances[[#This Row],[Colonne246]]=$G5,JD5,Distances[[#This Row],[Colonne246]]+1)</f>
        <v>150</v>
      </c>
      <c r="JF5" s="17">
        <f>IF(Distances[[#This Row],[Colonne247]]=$G5,JE5,Distances[[#This Row],[Colonne247]]+1)</f>
        <v>150</v>
      </c>
      <c r="JG5" s="17">
        <f>IF(Distances[[#This Row],[Colonne248]]=$G5,JF5,Distances[[#This Row],[Colonne248]]+1)</f>
        <v>150</v>
      </c>
      <c r="JH5" s="17">
        <f>IF(Distances[[#This Row],[Colonne249]]=$G5,JG5,Distances[[#This Row],[Colonne249]]+1)</f>
        <v>150</v>
      </c>
      <c r="JI5" s="17">
        <f>IF(Distances[[#This Row],[Colonne250]]=$G5,JH5,Distances[[#This Row],[Colonne250]]+1)</f>
        <v>150</v>
      </c>
      <c r="JJ5" s="17">
        <f>IF(Distances[[#This Row],[Colonne251]]=$G5,JI5,Distances[[#This Row],[Colonne251]]+1)</f>
        <v>150</v>
      </c>
      <c r="JK5" s="17">
        <f>IF(Distances[[#This Row],[Colonne252]]=$G5,JJ5,Distances[[#This Row],[Colonne252]]+1)</f>
        <v>150</v>
      </c>
      <c r="JL5" s="17">
        <f>IF(Distances[[#This Row],[Colonne253]]=$G5,JK5,Distances[[#This Row],[Colonne253]]+1)</f>
        <v>150</v>
      </c>
      <c r="JM5" s="17">
        <f>IF(Distances[[#This Row],[Colonne254]]=$G5,JL5,Distances[[#This Row],[Colonne254]]+1)</f>
        <v>150</v>
      </c>
      <c r="JN5" s="17">
        <f>IF(Distances[[#This Row],[Colonne255]]=$G5,JM5,Distances[[#This Row],[Colonne255]]+1)</f>
        <v>150</v>
      </c>
      <c r="JO5" s="17">
        <f>IF(Distances[[#This Row],[Colonne256]]=$G5,JN5,Distances[[#This Row],[Colonne256]]+1)</f>
        <v>150</v>
      </c>
      <c r="JP5" s="17">
        <f>IF(Distances[[#This Row],[Colonne257]]=$G5,JO5,Distances[[#This Row],[Colonne257]]+1)</f>
        <v>150</v>
      </c>
      <c r="JQ5" s="17">
        <f>IF(Distances[[#This Row],[Colonne258]]=$G5,JP5,Distances[[#This Row],[Colonne258]]+1)</f>
        <v>150</v>
      </c>
      <c r="JR5" s="17">
        <f>IF(Distances[[#This Row],[Colonne259]]=$G5,JQ5,Distances[[#This Row],[Colonne259]]+1)</f>
        <v>150</v>
      </c>
      <c r="JS5" s="17">
        <f>IF(Distances[[#This Row],[Colonne260]]=$G5,JR5,Distances[[#This Row],[Colonne260]]+1)</f>
        <v>150</v>
      </c>
      <c r="JT5" s="17">
        <f>IF(Distances[[#This Row],[Colonne261]]=$G5,JS5,Distances[[#This Row],[Colonne261]]+1)</f>
        <v>150</v>
      </c>
      <c r="JU5" s="17">
        <f>IF(Distances[[#This Row],[Colonne262]]=$G5,JT5,Distances[[#This Row],[Colonne262]]+1)</f>
        <v>150</v>
      </c>
      <c r="JV5" s="17">
        <f>IF(Distances[[#This Row],[Colonne263]]=$G5,JU5,Distances[[#This Row],[Colonne263]]+1)</f>
        <v>150</v>
      </c>
      <c r="JW5" s="17">
        <f>IF(Distances[[#This Row],[Colonne264]]=$G5,JV5,Distances[[#This Row],[Colonne264]]+1)</f>
        <v>150</v>
      </c>
      <c r="JX5" s="17">
        <f>IF(Distances[[#This Row],[Colonne265]]=$G5,JW5,Distances[[#This Row],[Colonne265]]+1)</f>
        <v>150</v>
      </c>
      <c r="JY5" s="17">
        <f>IF(Distances[[#This Row],[Colonne266]]=$G5,JX5,Distances[[#This Row],[Colonne266]]+1)</f>
        <v>150</v>
      </c>
      <c r="JZ5" s="17">
        <f>IF(Distances[[#This Row],[Colonne267]]=$G5,JY5,Distances[[#This Row],[Colonne267]]+1)</f>
        <v>150</v>
      </c>
      <c r="KA5" s="17">
        <f>IF(Distances[[#This Row],[Colonne268]]=$G5,JZ5,Distances[[#This Row],[Colonne268]]+1)</f>
        <v>150</v>
      </c>
      <c r="KB5" s="17">
        <f>IF(Distances[[#This Row],[Colonne269]]=$G5,KA5,Distances[[#This Row],[Colonne269]]+1)</f>
        <v>150</v>
      </c>
      <c r="KC5" s="17">
        <f>IF(Distances[[#This Row],[Colonne270]]=$G5,KB5,Distances[[#This Row],[Colonne270]]+1)</f>
        <v>150</v>
      </c>
      <c r="KD5" s="17">
        <f>IF(Distances[[#This Row],[Colonne271]]=$G5,KC5,Distances[[#This Row],[Colonne271]]+1)</f>
        <v>150</v>
      </c>
      <c r="KE5" s="17">
        <f>IF(Distances[[#This Row],[Colonne272]]=$G5,KD5,Distances[[#This Row],[Colonne272]]+1)</f>
        <v>150</v>
      </c>
      <c r="KF5" s="17">
        <f>IF(Distances[[#This Row],[Colonne273]]=$G5,KE5,Distances[[#This Row],[Colonne273]]+1)</f>
        <v>150</v>
      </c>
      <c r="KG5" s="17">
        <f>IF(Distances[[#This Row],[Colonne274]]=$G5,KF5,Distances[[#This Row],[Colonne274]]+1)</f>
        <v>150</v>
      </c>
      <c r="KH5" s="17">
        <f>IF(Distances[[#This Row],[Colonne275]]=$G5,KG5,Distances[[#This Row],[Colonne275]]+1)</f>
        <v>150</v>
      </c>
      <c r="KI5" s="17">
        <f>IF(Distances[[#This Row],[Colonne276]]=$G5,KH5,Distances[[#This Row],[Colonne276]]+1)</f>
        <v>150</v>
      </c>
      <c r="KJ5" s="17">
        <f>IF(Distances[[#This Row],[Colonne277]]=$G5,KI5,Distances[[#This Row],[Colonne277]]+1)</f>
        <v>150</v>
      </c>
      <c r="KK5" s="17">
        <f>IF(Distances[[#This Row],[Colonne278]]=$G5,KJ5,Distances[[#This Row],[Colonne278]]+1)</f>
        <v>150</v>
      </c>
      <c r="KL5" s="17">
        <f>IF(Distances[[#This Row],[Colonne279]]=$G5,KK5,Distances[[#This Row],[Colonne279]]+1)</f>
        <v>150</v>
      </c>
      <c r="KM5" s="17">
        <f>IF(Distances[[#This Row],[Colonne280]]=$G5,KL5,Distances[[#This Row],[Colonne280]]+1)</f>
        <v>150</v>
      </c>
      <c r="KN5" s="17">
        <f>IF(Distances[[#This Row],[Colonne281]]=$G5,KM5,Distances[[#This Row],[Colonne281]]+1)</f>
        <v>150</v>
      </c>
      <c r="KO5" s="17">
        <f>IF(Distances[[#This Row],[Colonne282]]=$G5,KN5,Distances[[#This Row],[Colonne282]]+1)</f>
        <v>150</v>
      </c>
      <c r="KP5" s="17">
        <f>IF(Distances[[#This Row],[Colonne283]]=$G5,KO5,Distances[[#This Row],[Colonne283]]+1)</f>
        <v>150</v>
      </c>
      <c r="KQ5" s="17">
        <f>IF(Distances[[#This Row],[Colonne284]]=$G5,KP5,Distances[[#This Row],[Colonne284]]+1)</f>
        <v>150</v>
      </c>
      <c r="KR5" s="17">
        <f>IF(Distances[[#This Row],[Colonne285]]=$G5,KQ5,Distances[[#This Row],[Colonne285]]+1)</f>
        <v>150</v>
      </c>
      <c r="KS5" s="17">
        <f>IF(Distances[[#This Row],[Colonne286]]=$G5,KR5,Distances[[#This Row],[Colonne286]]+1)</f>
        <v>150</v>
      </c>
      <c r="KT5" s="17">
        <f>IF(Distances[[#This Row],[Colonne287]]=$G5,KS5,Distances[[#This Row],[Colonne287]]+1)</f>
        <v>150</v>
      </c>
      <c r="KU5" s="17">
        <f>IF(Distances[[#This Row],[Colonne288]]=$G5,KT5,Distances[[#This Row],[Colonne288]]+1)</f>
        <v>150</v>
      </c>
      <c r="KV5" s="17">
        <f>IF(Distances[[#This Row],[Colonne289]]=$G5,KU5,Distances[[#This Row],[Colonne289]]+1)</f>
        <v>150</v>
      </c>
      <c r="KW5" s="17">
        <f>IF(Distances[[#This Row],[Colonne290]]=$G5,KV5,Distances[[#This Row],[Colonne290]]+1)</f>
        <v>150</v>
      </c>
      <c r="KX5" s="17">
        <f>IF(Distances[[#This Row],[Colonne291]]=$G5,KW5,Distances[[#This Row],[Colonne291]]+1)</f>
        <v>150</v>
      </c>
      <c r="KY5" s="17">
        <f>IF(Distances[[#This Row],[Colonne292]]=$G5,KX5,Distances[[#This Row],[Colonne292]]+1)</f>
        <v>150</v>
      </c>
      <c r="KZ5" s="17">
        <f>IF(Distances[[#This Row],[Colonne293]]=$G5,KY5,Distances[[#This Row],[Colonne293]]+1)</f>
        <v>150</v>
      </c>
      <c r="LA5" s="17">
        <f>IF(Distances[[#This Row],[Colonne294]]=$G5,KZ5,Distances[[#This Row],[Colonne294]]+1)</f>
        <v>150</v>
      </c>
      <c r="LB5" s="17">
        <f>IF(Distances[[#This Row],[Colonne295]]=$G5,LA5,Distances[[#This Row],[Colonne295]]+1)</f>
        <v>150</v>
      </c>
      <c r="LC5" s="17">
        <f>IF(Distances[[#This Row],[Colonne296]]=$G5,LB5,Distances[[#This Row],[Colonne296]]+1)</f>
        <v>150</v>
      </c>
      <c r="LD5" s="17">
        <f>IF(Distances[[#This Row],[Colonne297]]=$G5,LC5,Distances[[#This Row],[Colonne297]]+1)</f>
        <v>150</v>
      </c>
      <c r="LE5" s="17">
        <f>IF(Distances[[#This Row],[Colonne298]]=$G5,LD5,Distances[[#This Row],[Colonne298]]+1)</f>
        <v>150</v>
      </c>
      <c r="LF5" s="17">
        <f>IF(Distances[[#This Row],[Colonne299]]=$G5,LE5,Distances[[#This Row],[Colonne299]]+1)</f>
        <v>150</v>
      </c>
      <c r="LG5" s="17">
        <f>IF(Distances[[#This Row],[Colonne300]]=$G5,LF5,Distances[[#This Row],[Colonne300]]+1)</f>
        <v>150</v>
      </c>
      <c r="LH5" s="17">
        <f>IF(Distances[[#This Row],[Colonne301]]=$G5,LG5,Distances[[#This Row],[Colonne301]]+1)</f>
        <v>150</v>
      </c>
      <c r="LI5" s="17">
        <f>IF(Distances[[#This Row],[Colonne302]]=$G5,LH5,Distances[[#This Row],[Colonne302]]+1)</f>
        <v>150</v>
      </c>
      <c r="LJ5" s="17">
        <f>IF(Distances[[#This Row],[Colonne303]]=$G5,LI5,Distances[[#This Row],[Colonne303]]+1)</f>
        <v>150</v>
      </c>
      <c r="LK5" s="51"/>
      <c r="LL5" s="17">
        <f t="shared" ref="LL5:NW5" si="8">IF(LK5=$H5,LK5,LK5+1)</f>
        <v>1</v>
      </c>
      <c r="LM5" s="17">
        <f t="shared" si="8"/>
        <v>2</v>
      </c>
      <c r="LN5" s="17">
        <f t="shared" si="8"/>
        <v>3</v>
      </c>
      <c r="LO5" s="17">
        <f t="shared" si="8"/>
        <v>4</v>
      </c>
      <c r="LP5" s="17">
        <f t="shared" si="8"/>
        <v>5</v>
      </c>
      <c r="LQ5" s="17">
        <f t="shared" si="8"/>
        <v>6</v>
      </c>
      <c r="LR5" s="17">
        <f t="shared" si="8"/>
        <v>7</v>
      </c>
      <c r="LS5" s="17">
        <f t="shared" si="8"/>
        <v>8</v>
      </c>
      <c r="LT5" s="17">
        <f t="shared" si="8"/>
        <v>9</v>
      </c>
      <c r="LU5" s="17">
        <f t="shared" si="8"/>
        <v>10</v>
      </c>
      <c r="LV5" s="17">
        <f t="shared" si="8"/>
        <v>11</v>
      </c>
      <c r="LW5" s="17">
        <f t="shared" si="8"/>
        <v>12</v>
      </c>
      <c r="LX5" s="17">
        <f t="shared" si="8"/>
        <v>13</v>
      </c>
      <c r="LY5" s="17">
        <f t="shared" si="8"/>
        <v>14</v>
      </c>
      <c r="LZ5" s="17">
        <f t="shared" si="8"/>
        <v>15</v>
      </c>
      <c r="MA5" s="17">
        <f t="shared" si="8"/>
        <v>16</v>
      </c>
      <c r="MB5" s="17">
        <f t="shared" si="8"/>
        <v>17</v>
      </c>
      <c r="MC5" s="17">
        <f t="shared" si="8"/>
        <v>18</v>
      </c>
      <c r="MD5" s="17">
        <f t="shared" si="8"/>
        <v>19</v>
      </c>
      <c r="ME5" s="17">
        <f t="shared" si="8"/>
        <v>20</v>
      </c>
      <c r="MF5" s="17">
        <f t="shared" si="8"/>
        <v>21</v>
      </c>
      <c r="MG5" s="17">
        <f t="shared" si="8"/>
        <v>22</v>
      </c>
      <c r="MH5" s="17">
        <f t="shared" si="8"/>
        <v>23</v>
      </c>
      <c r="MI5" s="17">
        <f t="shared" si="8"/>
        <v>24</v>
      </c>
      <c r="MJ5" s="17">
        <f t="shared" si="8"/>
        <v>25</v>
      </c>
      <c r="MK5" s="17">
        <f t="shared" si="8"/>
        <v>26</v>
      </c>
      <c r="ML5" s="17">
        <f t="shared" si="8"/>
        <v>27</v>
      </c>
      <c r="MM5" s="17">
        <f t="shared" si="8"/>
        <v>28</v>
      </c>
      <c r="MN5" s="17">
        <f t="shared" si="8"/>
        <v>29</v>
      </c>
      <c r="MO5" s="17">
        <f t="shared" si="8"/>
        <v>30</v>
      </c>
      <c r="MP5" s="17">
        <f t="shared" si="8"/>
        <v>31</v>
      </c>
      <c r="MQ5" s="17">
        <f t="shared" si="8"/>
        <v>32</v>
      </c>
      <c r="MR5" s="17">
        <f t="shared" si="8"/>
        <v>33</v>
      </c>
      <c r="MS5" s="17">
        <f t="shared" si="8"/>
        <v>34</v>
      </c>
      <c r="MT5" s="17">
        <f t="shared" si="8"/>
        <v>35</v>
      </c>
      <c r="MU5" s="17">
        <f t="shared" si="8"/>
        <v>35</v>
      </c>
      <c r="MV5" s="17">
        <f t="shared" si="8"/>
        <v>35</v>
      </c>
      <c r="MW5" s="17">
        <f t="shared" si="8"/>
        <v>35</v>
      </c>
      <c r="MX5" s="17">
        <f t="shared" si="8"/>
        <v>35</v>
      </c>
      <c r="MY5" s="17">
        <f t="shared" si="8"/>
        <v>35</v>
      </c>
      <c r="MZ5" s="17">
        <f t="shared" si="8"/>
        <v>35</v>
      </c>
      <c r="NA5" s="17">
        <f t="shared" si="8"/>
        <v>35</v>
      </c>
      <c r="NB5" s="17">
        <f t="shared" si="8"/>
        <v>35</v>
      </c>
      <c r="NC5" s="17">
        <f t="shared" si="8"/>
        <v>35</v>
      </c>
      <c r="ND5" s="17">
        <f t="shared" si="8"/>
        <v>35</v>
      </c>
      <c r="NE5" s="17">
        <f t="shared" si="8"/>
        <v>35</v>
      </c>
      <c r="NF5" s="17">
        <f t="shared" si="8"/>
        <v>35</v>
      </c>
      <c r="NG5" s="17">
        <f t="shared" si="8"/>
        <v>35</v>
      </c>
      <c r="NH5" s="17">
        <f t="shared" si="8"/>
        <v>35</v>
      </c>
      <c r="NI5" s="17">
        <f t="shared" si="8"/>
        <v>35</v>
      </c>
      <c r="NJ5" s="17">
        <f t="shared" si="8"/>
        <v>35</v>
      </c>
      <c r="NK5" s="17">
        <f t="shared" si="8"/>
        <v>35</v>
      </c>
      <c r="NL5" s="17">
        <f t="shared" si="8"/>
        <v>35</v>
      </c>
      <c r="NM5" s="17">
        <f t="shared" si="8"/>
        <v>35</v>
      </c>
      <c r="NN5" s="17">
        <f t="shared" si="8"/>
        <v>35</v>
      </c>
      <c r="NO5" s="17">
        <f t="shared" si="8"/>
        <v>35</v>
      </c>
      <c r="NP5" s="17">
        <f t="shared" si="8"/>
        <v>35</v>
      </c>
      <c r="NQ5" s="17">
        <f t="shared" si="8"/>
        <v>35</v>
      </c>
      <c r="NR5" s="17">
        <f t="shared" si="8"/>
        <v>35</v>
      </c>
      <c r="NS5" s="17">
        <f t="shared" si="8"/>
        <v>35</v>
      </c>
      <c r="NT5" s="17">
        <f t="shared" si="8"/>
        <v>35</v>
      </c>
      <c r="NU5" s="17">
        <f t="shared" si="8"/>
        <v>35</v>
      </c>
      <c r="NV5" s="17">
        <f t="shared" si="8"/>
        <v>35</v>
      </c>
      <c r="NW5" s="17">
        <f t="shared" si="8"/>
        <v>35</v>
      </c>
      <c r="NX5" s="17">
        <f t="shared" ref="NX5:PG5" si="9">IF(NW5=$H5,NW5,NW5+1)</f>
        <v>35</v>
      </c>
      <c r="NY5" s="17">
        <f t="shared" si="9"/>
        <v>35</v>
      </c>
      <c r="NZ5" s="17">
        <f t="shared" si="9"/>
        <v>35</v>
      </c>
      <c r="OA5" s="17">
        <f t="shared" si="9"/>
        <v>35</v>
      </c>
      <c r="OB5" s="17">
        <f t="shared" si="9"/>
        <v>35</v>
      </c>
      <c r="OC5" s="17">
        <f t="shared" si="9"/>
        <v>35</v>
      </c>
      <c r="OD5" s="17">
        <f t="shared" si="9"/>
        <v>35</v>
      </c>
      <c r="OE5" s="17">
        <f t="shared" si="9"/>
        <v>35</v>
      </c>
      <c r="OF5" s="17">
        <f t="shared" si="9"/>
        <v>35</v>
      </c>
      <c r="OG5" s="17">
        <f t="shared" si="9"/>
        <v>35</v>
      </c>
      <c r="OH5" s="17">
        <f t="shared" si="9"/>
        <v>35</v>
      </c>
      <c r="OI5" s="17">
        <f t="shared" si="9"/>
        <v>35</v>
      </c>
      <c r="OJ5" s="17">
        <f t="shared" si="9"/>
        <v>35</v>
      </c>
      <c r="OK5" s="17">
        <f t="shared" si="9"/>
        <v>35</v>
      </c>
      <c r="OL5" s="17">
        <f t="shared" si="9"/>
        <v>35</v>
      </c>
      <c r="OM5" s="17">
        <f t="shared" si="9"/>
        <v>35</v>
      </c>
      <c r="ON5" s="17">
        <f t="shared" si="9"/>
        <v>35</v>
      </c>
      <c r="OO5" s="17">
        <f t="shared" si="9"/>
        <v>35</v>
      </c>
      <c r="OP5" s="17">
        <f t="shared" si="9"/>
        <v>35</v>
      </c>
      <c r="OQ5" s="17">
        <f t="shared" si="9"/>
        <v>35</v>
      </c>
      <c r="OR5" s="17">
        <f t="shared" si="9"/>
        <v>35</v>
      </c>
      <c r="OS5" s="17">
        <f t="shared" si="9"/>
        <v>35</v>
      </c>
      <c r="OT5" s="17">
        <f t="shared" si="9"/>
        <v>35</v>
      </c>
      <c r="OU5" s="17">
        <f t="shared" si="9"/>
        <v>35</v>
      </c>
      <c r="OV5" s="17">
        <f t="shared" si="9"/>
        <v>35</v>
      </c>
      <c r="OW5" s="17">
        <f t="shared" si="9"/>
        <v>35</v>
      </c>
      <c r="OX5" s="17">
        <f t="shared" si="9"/>
        <v>35</v>
      </c>
      <c r="OY5" s="17">
        <f t="shared" si="9"/>
        <v>35</v>
      </c>
      <c r="OZ5" s="17">
        <f t="shared" si="9"/>
        <v>35</v>
      </c>
      <c r="PA5" s="17">
        <f t="shared" si="9"/>
        <v>35</v>
      </c>
      <c r="PB5" s="17">
        <f t="shared" si="9"/>
        <v>35</v>
      </c>
      <c r="PC5" s="17">
        <f t="shared" si="9"/>
        <v>35</v>
      </c>
      <c r="PD5" s="17">
        <f t="shared" si="9"/>
        <v>35</v>
      </c>
      <c r="PE5" s="17">
        <f t="shared" si="9"/>
        <v>35</v>
      </c>
      <c r="PF5" s="17">
        <f t="shared" si="9"/>
        <v>35</v>
      </c>
      <c r="PG5" s="17">
        <f t="shared" si="9"/>
        <v>35</v>
      </c>
    </row>
    <row r="6" spans="1:423" x14ac:dyDescent="0.25">
      <c r="A6" s="8" t="s">
        <v>5509</v>
      </c>
      <c r="B6" s="9" t="s">
        <v>8502</v>
      </c>
      <c r="C6" s="9" t="str">
        <f>LEFT(A6)&amp;B6</f>
        <v>LR1 LBIF</v>
      </c>
      <c r="D6" s="1" t="str">
        <f>A6&amp;" "&amp;B6</f>
        <v>Libre R1 LBIF</v>
      </c>
      <c r="E6" s="1" t="s">
        <v>18</v>
      </c>
      <c r="F6" s="9" t="s">
        <v>5452</v>
      </c>
      <c r="G6" s="9">
        <v>150</v>
      </c>
      <c r="H6" s="9">
        <v>30</v>
      </c>
      <c r="I6" s="127">
        <v>2.8</v>
      </c>
      <c r="J6" s="9" t="s">
        <v>5511</v>
      </c>
      <c r="K6" s="280"/>
      <c r="L6" s="8">
        <v>4</v>
      </c>
      <c r="M6" s="9"/>
      <c r="N6" s="10">
        <v>5.9989999999999997</v>
      </c>
      <c r="O6" s="269"/>
      <c r="P6" s="331"/>
      <c r="Q6" s="335"/>
      <c r="R6" s="8"/>
      <c r="S6" s="9"/>
      <c r="T6" s="10"/>
      <c r="U6" t="s">
        <v>5523</v>
      </c>
      <c r="V6" s="17">
        <v>0</v>
      </c>
      <c r="W6" s="17">
        <f>IF(Distances[[#This Row],[Colonne4]]=$G6,V6,Distances[[#This Row],[Colonne4]]+1)</f>
        <v>1</v>
      </c>
      <c r="X6" s="17">
        <f>IF(Distances[[#This Row],[Colonne5]]=$G6,W6,Distances[[#This Row],[Colonne5]]+1)</f>
        <v>2</v>
      </c>
      <c r="Y6" s="17">
        <f>IF(Distances[[#This Row],[Colonne6]]=$G6,X6,Distances[[#This Row],[Colonne6]]+1)</f>
        <v>3</v>
      </c>
      <c r="Z6" s="17">
        <f>IF(Distances[[#This Row],[Colonne7]]=$G6,Y6,Distances[[#This Row],[Colonne7]]+1)</f>
        <v>4</v>
      </c>
      <c r="AA6" s="17">
        <f>IF(Distances[[#This Row],[Colonne8]]=$G6,Z6,Distances[[#This Row],[Colonne8]]+1)</f>
        <v>5</v>
      </c>
      <c r="AB6" s="17">
        <f>IF(Distances[[#This Row],[Colonne9]]=$G6,AA6,Distances[[#This Row],[Colonne9]]+1)</f>
        <v>6</v>
      </c>
      <c r="AC6" s="17">
        <f>IF(Distances[[#This Row],[Colonne10]]=$G6,AB6,Distances[[#This Row],[Colonne10]]+1)</f>
        <v>7</v>
      </c>
      <c r="AD6" s="17">
        <f>IF(Distances[[#This Row],[Colonne11]]=$G6,AC6,Distances[[#This Row],[Colonne11]]+1)</f>
        <v>8</v>
      </c>
      <c r="AE6" s="17">
        <f>IF(Distances[[#This Row],[Colonne12]]=$G6,AD6,Distances[[#This Row],[Colonne12]]+1)</f>
        <v>9</v>
      </c>
      <c r="AF6" s="17">
        <f>IF(Distances[[#This Row],[Colonne13]]=$G6,AE6,Distances[[#This Row],[Colonne13]]+1)</f>
        <v>10</v>
      </c>
      <c r="AG6" s="17">
        <f>IF(Distances[[#This Row],[Colonne14]]=$G6,AF6,Distances[[#This Row],[Colonne14]]+1)</f>
        <v>11</v>
      </c>
      <c r="AH6" s="17">
        <f>IF(Distances[[#This Row],[Colonne15]]=$G6,AG6,Distances[[#This Row],[Colonne15]]+1)</f>
        <v>12</v>
      </c>
      <c r="AI6" s="17">
        <f>IF(Distances[[#This Row],[Colonne16]]=$G6,AH6,Distances[[#This Row],[Colonne16]]+1)</f>
        <v>13</v>
      </c>
      <c r="AJ6" s="17">
        <f>IF(Distances[[#This Row],[Colonne17]]=$G6,AI6,Distances[[#This Row],[Colonne17]]+1)</f>
        <v>14</v>
      </c>
      <c r="AK6" s="17">
        <f>IF(Distances[[#This Row],[Colonne18]]=$G6,AJ6,Distances[[#This Row],[Colonne18]]+1)</f>
        <v>15</v>
      </c>
      <c r="AL6" s="17">
        <f>IF(Distances[[#This Row],[Colonne19]]=$G6,AK6,Distances[[#This Row],[Colonne19]]+1)</f>
        <v>16</v>
      </c>
      <c r="AM6" s="17">
        <f>IF(Distances[[#This Row],[Colonne20]]=$G6,AL6,Distances[[#This Row],[Colonne20]]+1)</f>
        <v>17</v>
      </c>
      <c r="AN6" s="17">
        <f>IF(Distances[[#This Row],[Colonne21]]=$G6,AM6,Distances[[#This Row],[Colonne21]]+1)</f>
        <v>18</v>
      </c>
      <c r="AO6" s="17">
        <f>IF(Distances[[#This Row],[Colonne22]]=$G6,AN6,Distances[[#This Row],[Colonne22]]+1)</f>
        <v>19</v>
      </c>
      <c r="AP6" s="17">
        <f>IF(Distances[[#This Row],[Colonne23]]=$G6,AO6,Distances[[#This Row],[Colonne23]]+1)</f>
        <v>20</v>
      </c>
      <c r="AQ6" s="17">
        <f>IF(Distances[[#This Row],[Colonne24]]=$G6,AP6,Distances[[#This Row],[Colonne24]]+1)</f>
        <v>21</v>
      </c>
      <c r="AR6" s="17">
        <f>IF(Distances[[#This Row],[Colonne25]]=$G6,AQ6,Distances[[#This Row],[Colonne25]]+1)</f>
        <v>22</v>
      </c>
      <c r="AS6" s="17">
        <f>IF(Distances[[#This Row],[Colonne26]]=$G6,AR6,Distances[[#This Row],[Colonne26]]+1)</f>
        <v>23</v>
      </c>
      <c r="AT6" s="17">
        <f>IF(Distances[[#This Row],[Colonne27]]=$G6,AS6,Distances[[#This Row],[Colonne27]]+1)</f>
        <v>24</v>
      </c>
      <c r="AU6" s="17">
        <f>IF(Distances[[#This Row],[Colonne28]]=$G6,AT6,Distances[[#This Row],[Colonne28]]+1)</f>
        <v>25</v>
      </c>
      <c r="AV6" s="17">
        <f>IF(Distances[[#This Row],[Colonne29]]=$G6,AU6,Distances[[#This Row],[Colonne29]]+1)</f>
        <v>26</v>
      </c>
      <c r="AW6" s="17">
        <f>IF(Distances[[#This Row],[Colonne30]]=$G6,AV6,Distances[[#This Row],[Colonne30]]+1)</f>
        <v>27</v>
      </c>
      <c r="AX6" s="17">
        <f>IF(Distances[[#This Row],[Colonne31]]=$G6,AW6,Distances[[#This Row],[Colonne31]]+1)</f>
        <v>28</v>
      </c>
      <c r="AY6" s="17">
        <f>IF(Distances[[#This Row],[Colonne32]]=$G6,AX6,Distances[[#This Row],[Colonne32]]+1)</f>
        <v>29</v>
      </c>
      <c r="AZ6" s="17">
        <f>IF(Distances[[#This Row],[Colonne33]]=$G6,AY6,Distances[[#This Row],[Colonne33]]+1)</f>
        <v>30</v>
      </c>
      <c r="BA6" s="17">
        <f>IF(Distances[[#This Row],[Colonne34]]=$G6,AZ6,Distances[[#This Row],[Colonne34]]+1)</f>
        <v>31</v>
      </c>
      <c r="BB6" s="17">
        <f>IF(Distances[[#This Row],[Colonne35]]=$G6,BA6,Distances[[#This Row],[Colonne35]]+1)</f>
        <v>32</v>
      </c>
      <c r="BC6" s="17">
        <f>IF(Distances[[#This Row],[Colonne36]]=$G6,BB6,Distances[[#This Row],[Colonne36]]+1)</f>
        <v>33</v>
      </c>
      <c r="BD6" s="17">
        <f>IF(Distances[[#This Row],[Colonne37]]=$G6,BC6,Distances[[#This Row],[Colonne37]]+1)</f>
        <v>34</v>
      </c>
      <c r="BE6" s="17">
        <f>IF(Distances[[#This Row],[Colonne38]]=$G6,BD6,Distances[[#This Row],[Colonne38]]+1)</f>
        <v>35</v>
      </c>
      <c r="BF6" s="17">
        <f>IF(Distances[[#This Row],[Colonne39]]=$G6,BE6,Distances[[#This Row],[Colonne39]]+1)</f>
        <v>36</v>
      </c>
      <c r="BG6" s="17">
        <f>IF(Distances[[#This Row],[Colonne40]]=$G6,BF6,Distances[[#This Row],[Colonne40]]+1)</f>
        <v>37</v>
      </c>
      <c r="BH6" s="17">
        <f>IF(Distances[[#This Row],[Colonne41]]=$G6,BG6,Distances[[#This Row],[Colonne41]]+1)</f>
        <v>38</v>
      </c>
      <c r="BI6" s="17">
        <f>IF(Distances[[#This Row],[Colonne42]]=$G6,BH6,Distances[[#This Row],[Colonne42]]+1)</f>
        <v>39</v>
      </c>
      <c r="BJ6" s="17">
        <f>IF(Distances[[#This Row],[Colonne43]]=$G6,BI6,Distances[[#This Row],[Colonne43]]+1)</f>
        <v>40</v>
      </c>
      <c r="BK6" s="17">
        <f>IF(Distances[[#This Row],[Colonne44]]=$G6,BJ6,Distances[[#This Row],[Colonne44]]+1)</f>
        <v>41</v>
      </c>
      <c r="BL6" s="17">
        <f>IF(Distances[[#This Row],[Colonne45]]=$G6,BK6,Distances[[#This Row],[Colonne45]]+1)</f>
        <v>42</v>
      </c>
      <c r="BM6" s="17">
        <f>IF(Distances[[#This Row],[Colonne46]]=$G6,BL6,Distances[[#This Row],[Colonne46]]+1)</f>
        <v>43</v>
      </c>
      <c r="BN6" s="17">
        <f>IF(Distances[[#This Row],[Colonne47]]=$G6,BM6,Distances[[#This Row],[Colonne47]]+1)</f>
        <v>44</v>
      </c>
      <c r="BO6" s="17">
        <f>IF(Distances[[#This Row],[Colonne48]]=$G6,BN6,Distances[[#This Row],[Colonne48]]+1)</f>
        <v>45</v>
      </c>
      <c r="BP6" s="17">
        <f>IF(Distances[[#This Row],[Colonne49]]=$G6,BO6,Distances[[#This Row],[Colonne49]]+1)</f>
        <v>46</v>
      </c>
      <c r="BQ6" s="17">
        <f>IF(Distances[[#This Row],[Colonne50]]=$G6,BP6,Distances[[#This Row],[Colonne50]]+1)</f>
        <v>47</v>
      </c>
      <c r="BR6" s="17">
        <f>IF(Distances[[#This Row],[Colonne51]]=$G6,BQ6,Distances[[#This Row],[Colonne51]]+1)</f>
        <v>48</v>
      </c>
      <c r="BS6" s="17">
        <f>IF(Distances[[#This Row],[Colonne52]]=$G6,BR6,Distances[[#This Row],[Colonne52]]+1)</f>
        <v>49</v>
      </c>
      <c r="BT6" s="17">
        <f>IF(Distances[[#This Row],[Colonne53]]=$G6,BS6,Distances[[#This Row],[Colonne53]]+1)</f>
        <v>50</v>
      </c>
      <c r="BU6" s="17">
        <f>IF(Distances[[#This Row],[Colonne54]]=$G6,BT6,Distances[[#This Row],[Colonne54]]+1)</f>
        <v>51</v>
      </c>
      <c r="BV6" s="17">
        <f>IF(Distances[[#This Row],[Colonne55]]=$G6,BU6,Distances[[#This Row],[Colonne55]]+1)</f>
        <v>52</v>
      </c>
      <c r="BW6" s="17">
        <f>IF(Distances[[#This Row],[Colonne56]]=$G6,BV6,Distances[[#This Row],[Colonne56]]+1)</f>
        <v>53</v>
      </c>
      <c r="BX6" s="17">
        <f>IF(Distances[[#This Row],[Colonne57]]=$G6,BW6,Distances[[#This Row],[Colonne57]]+1)</f>
        <v>54</v>
      </c>
      <c r="BY6" s="17">
        <f>IF(Distances[[#This Row],[Colonne58]]=$G6,BX6,Distances[[#This Row],[Colonne58]]+1)</f>
        <v>55</v>
      </c>
      <c r="BZ6" s="17">
        <f>IF(Distances[[#This Row],[Colonne59]]=$G6,BY6,Distances[[#This Row],[Colonne59]]+1)</f>
        <v>56</v>
      </c>
      <c r="CA6" s="17">
        <f>IF(Distances[[#This Row],[Colonne60]]=$G6,BZ6,Distances[[#This Row],[Colonne60]]+1)</f>
        <v>57</v>
      </c>
      <c r="CB6" s="17">
        <f>IF(Distances[[#This Row],[Colonne61]]=$G6,CA6,Distances[[#This Row],[Colonne61]]+1)</f>
        <v>58</v>
      </c>
      <c r="CC6" s="17">
        <f>IF(Distances[[#This Row],[Colonne62]]=$G6,CB6,Distances[[#This Row],[Colonne62]]+1)</f>
        <v>59</v>
      </c>
      <c r="CD6" s="17">
        <f>IF(Distances[[#This Row],[Colonne63]]=$G6,CC6,Distances[[#This Row],[Colonne63]]+1)</f>
        <v>60</v>
      </c>
      <c r="CE6" s="17">
        <f>IF(Distances[[#This Row],[Colonne64]]=$G6,CD6,Distances[[#This Row],[Colonne64]]+1)</f>
        <v>61</v>
      </c>
      <c r="CF6" s="17">
        <f>IF(Distances[[#This Row],[Colonne65]]=$G6,CE6,Distances[[#This Row],[Colonne65]]+1)</f>
        <v>62</v>
      </c>
      <c r="CG6" s="17">
        <f>IF(Distances[[#This Row],[Colonne66]]=$G6,CF6,Distances[[#This Row],[Colonne66]]+1)</f>
        <v>63</v>
      </c>
      <c r="CH6" s="17">
        <f>IF(Distances[[#This Row],[Colonne67]]=$G6,CG6,Distances[[#This Row],[Colonne67]]+1)</f>
        <v>64</v>
      </c>
      <c r="CI6" s="17">
        <f>IF(Distances[[#This Row],[Colonne68]]=$G6,CH6,Distances[[#This Row],[Colonne68]]+1)</f>
        <v>65</v>
      </c>
      <c r="CJ6" s="17">
        <f>IF(Distances[[#This Row],[Colonne69]]=$G6,CI6,Distances[[#This Row],[Colonne69]]+1)</f>
        <v>66</v>
      </c>
      <c r="CK6" s="17">
        <f>IF(Distances[[#This Row],[Colonne70]]=$G6,CJ6,Distances[[#This Row],[Colonne70]]+1)</f>
        <v>67</v>
      </c>
      <c r="CL6" s="17">
        <f>IF(Distances[[#This Row],[Colonne71]]=$G6,CK6,Distances[[#This Row],[Colonne71]]+1)</f>
        <v>68</v>
      </c>
      <c r="CM6" s="17">
        <f>IF(Distances[[#This Row],[Colonne72]]=$G6,CL6,Distances[[#This Row],[Colonne72]]+1)</f>
        <v>69</v>
      </c>
      <c r="CN6" s="17">
        <f>IF(Distances[[#This Row],[Colonne73]]=$G6,CM6,Distances[[#This Row],[Colonne73]]+1)</f>
        <v>70</v>
      </c>
      <c r="CO6" s="17">
        <f>IF(Distances[[#This Row],[Colonne74]]=$G6,CN6,Distances[[#This Row],[Colonne74]]+1)</f>
        <v>71</v>
      </c>
      <c r="CP6" s="17">
        <f>IF(Distances[[#This Row],[Colonne75]]=$G6,CO6,Distances[[#This Row],[Colonne75]]+1)</f>
        <v>72</v>
      </c>
      <c r="CQ6" s="17">
        <f>IF(Distances[[#This Row],[Colonne76]]=$G6,CP6,Distances[[#This Row],[Colonne76]]+1)</f>
        <v>73</v>
      </c>
      <c r="CR6" s="17">
        <f>IF(Distances[[#This Row],[Colonne77]]=$G6,CQ6,Distances[[#This Row],[Colonne77]]+1)</f>
        <v>74</v>
      </c>
      <c r="CS6" s="17">
        <f>IF(Distances[[#This Row],[Colonne78]]=$G6,CR6,Distances[[#This Row],[Colonne78]]+1)</f>
        <v>75</v>
      </c>
      <c r="CT6" s="17">
        <f>IF(Distances[[#This Row],[Colonne79]]=$G6,CS6,Distances[[#This Row],[Colonne79]]+1)</f>
        <v>76</v>
      </c>
      <c r="CU6" s="17">
        <f>IF(Distances[[#This Row],[Colonne80]]=$G6,CT6,Distances[[#This Row],[Colonne80]]+1)</f>
        <v>77</v>
      </c>
      <c r="CV6" s="17">
        <f>IF(Distances[[#This Row],[Colonne81]]=$G6,CU6,Distances[[#This Row],[Colonne81]]+1)</f>
        <v>78</v>
      </c>
      <c r="CW6" s="17">
        <f>IF(Distances[[#This Row],[Colonne82]]=$G6,CV6,Distances[[#This Row],[Colonne82]]+1)</f>
        <v>79</v>
      </c>
      <c r="CX6" s="17">
        <f>IF(Distances[[#This Row],[Colonne83]]=$G6,CW6,Distances[[#This Row],[Colonne83]]+1)</f>
        <v>80</v>
      </c>
      <c r="CY6" s="17">
        <f>IF(Distances[[#This Row],[Colonne84]]=$G6,CX6,Distances[[#This Row],[Colonne84]]+1)</f>
        <v>81</v>
      </c>
      <c r="CZ6" s="17">
        <f>IF(Distances[[#This Row],[Colonne85]]=$G6,CY6,Distances[[#This Row],[Colonne85]]+1)</f>
        <v>82</v>
      </c>
      <c r="DA6" s="17">
        <f>IF(Distances[[#This Row],[Colonne86]]=$G6,CZ6,Distances[[#This Row],[Colonne86]]+1)</f>
        <v>83</v>
      </c>
      <c r="DB6" s="17">
        <f>IF(Distances[[#This Row],[Colonne87]]=$G6,DA6,Distances[[#This Row],[Colonne87]]+1)</f>
        <v>84</v>
      </c>
      <c r="DC6" s="17">
        <f>IF(Distances[[#This Row],[Colonne88]]=$G6,DB6,Distances[[#This Row],[Colonne88]]+1)</f>
        <v>85</v>
      </c>
      <c r="DD6" s="17">
        <f>IF(Distances[[#This Row],[Colonne89]]=$G6,DC6,Distances[[#This Row],[Colonne89]]+1)</f>
        <v>86</v>
      </c>
      <c r="DE6" s="17">
        <f>IF(Distances[[#This Row],[Colonne90]]=$G6,DD6,Distances[[#This Row],[Colonne90]]+1)</f>
        <v>87</v>
      </c>
      <c r="DF6" s="17">
        <f>IF(Distances[[#This Row],[Colonne91]]=$G6,DE6,Distances[[#This Row],[Colonne91]]+1)</f>
        <v>88</v>
      </c>
      <c r="DG6" s="17">
        <f>IF(Distances[[#This Row],[Colonne92]]=$G6,DF6,Distances[[#This Row],[Colonne92]]+1)</f>
        <v>89</v>
      </c>
      <c r="DH6" s="17">
        <f>IF(Distances[[#This Row],[Colonne93]]=$G6,DG6,Distances[[#This Row],[Colonne93]]+1)</f>
        <v>90</v>
      </c>
      <c r="DI6" s="17">
        <f>IF(Distances[[#This Row],[Colonne94]]=$G6,DH6,Distances[[#This Row],[Colonne94]]+1)</f>
        <v>91</v>
      </c>
      <c r="DJ6" s="17">
        <f>IF(Distances[[#This Row],[Colonne95]]=$G6,DI6,Distances[[#This Row],[Colonne95]]+1)</f>
        <v>92</v>
      </c>
      <c r="DK6" s="17">
        <f>IF(Distances[[#This Row],[Colonne96]]=$G6,DJ6,Distances[[#This Row],[Colonne96]]+1)</f>
        <v>93</v>
      </c>
      <c r="DL6" s="17">
        <f>IF(Distances[[#This Row],[Colonne97]]=$G6,DK6,Distances[[#This Row],[Colonne97]]+1)</f>
        <v>94</v>
      </c>
      <c r="DM6" s="17">
        <f>IF(Distances[[#This Row],[Colonne98]]=$G6,DL6,Distances[[#This Row],[Colonne98]]+1)</f>
        <v>95</v>
      </c>
      <c r="DN6" s="17">
        <f>IF(Distances[[#This Row],[Colonne99]]=$G6,DM6,Distances[[#This Row],[Colonne99]]+1)</f>
        <v>96</v>
      </c>
      <c r="DO6" s="17">
        <f>IF(Distances[[#This Row],[Colonne100]]=$G6,DN6,Distances[[#This Row],[Colonne100]]+1)</f>
        <v>97</v>
      </c>
      <c r="DP6" s="17">
        <f>IF(Distances[[#This Row],[Colonne101]]=$G6,DO6,Distances[[#This Row],[Colonne101]]+1)</f>
        <v>98</v>
      </c>
      <c r="DQ6" s="17">
        <f>IF(Distances[[#This Row],[Colonne102]]=$G6,DP6,Distances[[#This Row],[Colonne102]]+1)</f>
        <v>99</v>
      </c>
      <c r="DR6" s="17">
        <f>IF(Distances[[#This Row],[Colonne103]]=$G6,DQ6,Distances[[#This Row],[Colonne103]]+1)</f>
        <v>100</v>
      </c>
      <c r="DS6" s="17">
        <f>IF(Distances[[#This Row],[Colonne104]]=$G6,DR6,Distances[[#This Row],[Colonne104]]+1)</f>
        <v>101</v>
      </c>
      <c r="DT6" s="17">
        <f>IF(Distances[[#This Row],[Colonne105]]=$G6,DS6,Distances[[#This Row],[Colonne105]]+1)</f>
        <v>102</v>
      </c>
      <c r="DU6" s="17">
        <f>IF(Distances[[#This Row],[Colonne106]]=$G6,DT6,Distances[[#This Row],[Colonne106]]+1)</f>
        <v>103</v>
      </c>
      <c r="DV6" s="17">
        <f>IF(Distances[[#This Row],[Colonne107]]=$G6,DU6,Distances[[#This Row],[Colonne107]]+1)</f>
        <v>104</v>
      </c>
      <c r="DW6" s="17">
        <f>IF(Distances[[#This Row],[Colonne108]]=$G6,DV6,Distances[[#This Row],[Colonne108]]+1)</f>
        <v>105</v>
      </c>
      <c r="DX6" s="17">
        <f>IF(Distances[[#This Row],[Colonne109]]=$G6,DW6,Distances[[#This Row],[Colonne109]]+1)</f>
        <v>106</v>
      </c>
      <c r="DY6" s="17">
        <f>IF(Distances[[#This Row],[Colonne110]]=$G6,DX6,Distances[[#This Row],[Colonne110]]+1)</f>
        <v>107</v>
      </c>
      <c r="DZ6" s="17">
        <f>IF(Distances[[#This Row],[Colonne111]]=$G6,DY6,Distances[[#This Row],[Colonne111]]+1)</f>
        <v>108</v>
      </c>
      <c r="EA6" s="17">
        <f>IF(Distances[[#This Row],[Colonne112]]=$G6,DZ6,Distances[[#This Row],[Colonne112]]+1)</f>
        <v>109</v>
      </c>
      <c r="EB6" s="17">
        <f>IF(Distances[[#This Row],[Colonne113]]=$G6,EA6,Distances[[#This Row],[Colonne113]]+1)</f>
        <v>110</v>
      </c>
      <c r="EC6" s="17">
        <f>IF(Distances[[#This Row],[Colonne114]]=$G6,EB6,Distances[[#This Row],[Colonne114]]+1)</f>
        <v>111</v>
      </c>
      <c r="ED6" s="17">
        <f>IF(Distances[[#This Row],[Colonne115]]=$G6,EC6,Distances[[#This Row],[Colonne115]]+1)</f>
        <v>112</v>
      </c>
      <c r="EE6" s="17">
        <f>IF(Distances[[#This Row],[Colonne116]]=$G6,ED6,Distances[[#This Row],[Colonne116]]+1)</f>
        <v>113</v>
      </c>
      <c r="EF6" s="17">
        <f>IF(Distances[[#This Row],[Colonne117]]=$G6,EE6,Distances[[#This Row],[Colonne117]]+1)</f>
        <v>114</v>
      </c>
      <c r="EG6" s="17">
        <f>IF(Distances[[#This Row],[Colonne118]]=$G6,EF6,Distances[[#This Row],[Colonne118]]+1)</f>
        <v>115</v>
      </c>
      <c r="EH6" s="17">
        <f>IF(Distances[[#This Row],[Colonne119]]=$G6,EG6,Distances[[#This Row],[Colonne119]]+1)</f>
        <v>116</v>
      </c>
      <c r="EI6" s="17">
        <f>IF(Distances[[#This Row],[Colonne120]]=$G6,EH6,Distances[[#This Row],[Colonne120]]+1)</f>
        <v>117</v>
      </c>
      <c r="EJ6" s="17">
        <f>IF(Distances[[#This Row],[Colonne121]]=$G6,EI6,Distances[[#This Row],[Colonne121]]+1)</f>
        <v>118</v>
      </c>
      <c r="EK6" s="17">
        <f>IF(Distances[[#This Row],[Colonne122]]=$G6,EJ6,Distances[[#This Row],[Colonne122]]+1)</f>
        <v>119</v>
      </c>
      <c r="EL6" s="17">
        <f>IF(Distances[[#This Row],[Colonne123]]=$G6,EK6,Distances[[#This Row],[Colonne123]]+1)</f>
        <v>120</v>
      </c>
      <c r="EM6" s="17">
        <f>IF(Distances[[#This Row],[Colonne124]]=$G6,EL6,Distances[[#This Row],[Colonne124]]+1)</f>
        <v>121</v>
      </c>
      <c r="EN6" s="17">
        <f>IF(Distances[[#This Row],[Colonne125]]=$G6,EM6,Distances[[#This Row],[Colonne125]]+1)</f>
        <v>122</v>
      </c>
      <c r="EO6" s="17">
        <f>IF(Distances[[#This Row],[Colonne126]]=$G6,EN6,Distances[[#This Row],[Colonne126]]+1)</f>
        <v>123</v>
      </c>
      <c r="EP6" s="17">
        <f>IF(Distances[[#This Row],[Colonne127]]=$G6,EO6,Distances[[#This Row],[Colonne127]]+1)</f>
        <v>124</v>
      </c>
      <c r="EQ6" s="17">
        <f>IF(Distances[[#This Row],[Colonne128]]=$G6,EP6,Distances[[#This Row],[Colonne128]]+1)</f>
        <v>125</v>
      </c>
      <c r="ER6" s="17">
        <f>IF(Distances[[#This Row],[Colonne129]]=$G6,EQ6,Distances[[#This Row],[Colonne129]]+1)</f>
        <v>126</v>
      </c>
      <c r="ES6" s="17">
        <f>IF(Distances[[#This Row],[Colonne130]]=$G6,ER6,Distances[[#This Row],[Colonne130]]+1)</f>
        <v>127</v>
      </c>
      <c r="ET6" s="17">
        <f>IF(Distances[[#This Row],[Colonne131]]=$G6,ES6,Distances[[#This Row],[Colonne131]]+1)</f>
        <v>128</v>
      </c>
      <c r="EU6" s="17">
        <f>IF(Distances[[#This Row],[Colonne132]]=$G6,ET6,Distances[[#This Row],[Colonne132]]+1)</f>
        <v>129</v>
      </c>
      <c r="EV6" s="17">
        <f>IF(Distances[[#This Row],[Colonne133]]=$G6,EU6,Distances[[#This Row],[Colonne133]]+1)</f>
        <v>130</v>
      </c>
      <c r="EW6" s="17">
        <f>IF(Distances[[#This Row],[Colonne134]]=$G6,EV6,Distances[[#This Row],[Colonne134]]+1)</f>
        <v>131</v>
      </c>
      <c r="EX6" s="17">
        <f>IF(Distances[[#This Row],[Colonne135]]=$G6,EW6,Distances[[#This Row],[Colonne135]]+1)</f>
        <v>132</v>
      </c>
      <c r="EY6" s="17">
        <f>IF(Distances[[#This Row],[Colonne136]]=$G6,EX6,Distances[[#This Row],[Colonne136]]+1)</f>
        <v>133</v>
      </c>
      <c r="EZ6" s="17">
        <f>IF(Distances[[#This Row],[Colonne137]]=$G6,EY6,Distances[[#This Row],[Colonne137]]+1)</f>
        <v>134</v>
      </c>
      <c r="FA6" s="17">
        <f>IF(Distances[[#This Row],[Colonne138]]=$G6,EZ6,Distances[[#This Row],[Colonne138]]+1)</f>
        <v>135</v>
      </c>
      <c r="FB6" s="17">
        <f>IF(Distances[[#This Row],[Colonne139]]=$G6,FA6,Distances[[#This Row],[Colonne139]]+1)</f>
        <v>136</v>
      </c>
      <c r="FC6" s="17">
        <f>IF(Distances[[#This Row],[Colonne140]]=$G6,FB6,Distances[[#This Row],[Colonne140]]+1)</f>
        <v>137</v>
      </c>
      <c r="FD6" s="17">
        <f>IF(Distances[[#This Row],[Colonne141]]=$G6,FC6,Distances[[#This Row],[Colonne141]]+1)</f>
        <v>138</v>
      </c>
      <c r="FE6" s="17">
        <f>IF(Distances[[#This Row],[Colonne142]]=$G6,FD6,Distances[[#This Row],[Colonne142]]+1)</f>
        <v>139</v>
      </c>
      <c r="FF6" s="17">
        <f>IF(Distances[[#This Row],[Colonne143]]=$G6,FE6,Distances[[#This Row],[Colonne143]]+1)</f>
        <v>140</v>
      </c>
      <c r="FG6" s="17">
        <f>IF(Distances[[#This Row],[Colonne144]]=$G6,FF6,Distances[[#This Row],[Colonne144]]+1)</f>
        <v>141</v>
      </c>
      <c r="FH6" s="17">
        <f>IF(Distances[[#This Row],[Colonne145]]=$G6,FG6,Distances[[#This Row],[Colonne145]]+1)</f>
        <v>142</v>
      </c>
      <c r="FI6" s="17">
        <f>IF(Distances[[#This Row],[Colonne146]]=$G6,FH6,Distances[[#This Row],[Colonne146]]+1)</f>
        <v>143</v>
      </c>
      <c r="FJ6" s="17">
        <f>IF(Distances[[#This Row],[Colonne147]]=$G6,FI6,Distances[[#This Row],[Colonne147]]+1)</f>
        <v>144</v>
      </c>
      <c r="FK6" s="17">
        <f>IF(Distances[[#This Row],[Colonne148]]=$G6,FJ6,Distances[[#This Row],[Colonne148]]+1)</f>
        <v>145</v>
      </c>
      <c r="FL6" s="17">
        <f>IF(Distances[[#This Row],[Colonne149]]=$G6,FK6,Distances[[#This Row],[Colonne149]]+1)</f>
        <v>146</v>
      </c>
      <c r="FM6" s="17">
        <f>IF(Distances[[#This Row],[Colonne150]]=$G6,FL6,Distances[[#This Row],[Colonne150]]+1)</f>
        <v>147</v>
      </c>
      <c r="FN6" s="17">
        <f>IF(Distances[[#This Row],[Colonne151]]=$G6,FM6,Distances[[#This Row],[Colonne151]]+1)</f>
        <v>148</v>
      </c>
      <c r="FO6" s="17">
        <f>IF(Distances[[#This Row],[Colonne152]]=$G6,FN6,Distances[[#This Row],[Colonne152]]+1)</f>
        <v>149</v>
      </c>
      <c r="FP6" s="17">
        <f>IF(Distances[[#This Row],[Colonne153]]=$G6,FO6,Distances[[#This Row],[Colonne153]]+1)</f>
        <v>150</v>
      </c>
      <c r="FQ6" s="17">
        <f>IF(Distances[[#This Row],[Colonne154]]=$G6,FP6,Distances[[#This Row],[Colonne154]]+1)</f>
        <v>150</v>
      </c>
      <c r="FR6" s="17">
        <f>IF(Distances[[#This Row],[Colonne155]]=$G6,FQ6,Distances[[#This Row],[Colonne155]]+1)</f>
        <v>150</v>
      </c>
      <c r="FS6" s="17">
        <f>IF(Distances[[#This Row],[Colonne156]]=$G6,FR6,Distances[[#This Row],[Colonne156]]+1)</f>
        <v>150</v>
      </c>
      <c r="FT6" s="17">
        <f>IF(Distances[[#This Row],[Colonne157]]=$G6,FS6,Distances[[#This Row],[Colonne157]]+1)</f>
        <v>150</v>
      </c>
      <c r="FU6" s="17">
        <f>IF(Distances[[#This Row],[Colonne158]]=$G6,FT6,Distances[[#This Row],[Colonne158]]+1)</f>
        <v>150</v>
      </c>
      <c r="FV6" s="17">
        <f>IF(Distances[[#This Row],[Colonne159]]=$G6,FU6,Distances[[#This Row],[Colonne159]]+1)</f>
        <v>150</v>
      </c>
      <c r="FW6" s="17">
        <f>IF(Distances[[#This Row],[Colonne160]]=$G6,FV6,Distances[[#This Row],[Colonne160]]+1)</f>
        <v>150</v>
      </c>
      <c r="FX6" s="17">
        <f>IF(Distances[[#This Row],[Colonne161]]=$G6,FW6,Distances[[#This Row],[Colonne161]]+1)</f>
        <v>150</v>
      </c>
      <c r="FY6" s="17">
        <f>IF(Distances[[#This Row],[Colonne162]]=$G6,FX6,Distances[[#This Row],[Colonne162]]+1)</f>
        <v>150</v>
      </c>
      <c r="FZ6" s="17">
        <f>IF(Distances[[#This Row],[Colonne163]]=$G6,FY6,Distances[[#This Row],[Colonne163]]+1)</f>
        <v>150</v>
      </c>
      <c r="GA6" s="17">
        <f>IF(Distances[[#This Row],[Colonne164]]=$G6,FZ6,Distances[[#This Row],[Colonne164]]+1)</f>
        <v>150</v>
      </c>
      <c r="GB6" s="17">
        <f>IF(Distances[[#This Row],[Colonne165]]=$G6,GA6,Distances[[#This Row],[Colonne165]]+1)</f>
        <v>150</v>
      </c>
      <c r="GC6" s="17">
        <f>IF(Distances[[#This Row],[Colonne166]]=$G6,GB6,Distances[[#This Row],[Colonne166]]+1)</f>
        <v>150</v>
      </c>
      <c r="GD6" s="17">
        <f>IF(Distances[[#This Row],[Colonne167]]=$G6,GC6,Distances[[#This Row],[Colonne167]]+1)</f>
        <v>150</v>
      </c>
      <c r="GE6" s="17">
        <f>IF(Distances[[#This Row],[Colonne168]]=$G6,GD6,Distances[[#This Row],[Colonne168]]+1)</f>
        <v>150</v>
      </c>
      <c r="GF6" s="17">
        <f>IF(Distances[[#This Row],[Colonne169]]=$G6,GE6,Distances[[#This Row],[Colonne169]]+1)</f>
        <v>150</v>
      </c>
      <c r="GG6" s="17">
        <f>IF(Distances[[#This Row],[Colonne170]]=$G6,GF6,Distances[[#This Row],[Colonne170]]+1)</f>
        <v>150</v>
      </c>
      <c r="GH6" s="17">
        <f>IF(Distances[[#This Row],[Colonne171]]=$G6,GG6,Distances[[#This Row],[Colonne171]]+1)</f>
        <v>150</v>
      </c>
      <c r="GI6" s="17">
        <f>IF(Distances[[#This Row],[Colonne172]]=$G6,GH6,Distances[[#This Row],[Colonne172]]+1)</f>
        <v>150</v>
      </c>
      <c r="GJ6" s="17">
        <f>IF(Distances[[#This Row],[Colonne173]]=$G6,GI6,Distances[[#This Row],[Colonne173]]+1)</f>
        <v>150</v>
      </c>
      <c r="GK6" s="17">
        <f>IF(Distances[[#This Row],[Colonne174]]=$G6,GJ6,Distances[[#This Row],[Colonne174]]+1)</f>
        <v>150</v>
      </c>
      <c r="GL6" s="17">
        <f>IF(Distances[[#This Row],[Colonne175]]=$G6,GK6,Distances[[#This Row],[Colonne175]]+1)</f>
        <v>150</v>
      </c>
      <c r="GM6" s="17">
        <f>IF(Distances[[#This Row],[Colonne176]]=$G6,GL6,Distances[[#This Row],[Colonne176]]+1)</f>
        <v>150</v>
      </c>
      <c r="GN6" s="17">
        <f>IF(Distances[[#This Row],[Colonne177]]=$G6,GM6,Distances[[#This Row],[Colonne177]]+1)</f>
        <v>150</v>
      </c>
      <c r="GO6" s="17">
        <f>IF(Distances[[#This Row],[Colonne178]]=$G6,GN6,Distances[[#This Row],[Colonne178]]+1)</f>
        <v>150</v>
      </c>
      <c r="GP6" s="17">
        <f>IF(Distances[[#This Row],[Colonne179]]=$G6,GO6,Distances[[#This Row],[Colonne179]]+1)</f>
        <v>150</v>
      </c>
      <c r="GQ6" s="17">
        <f>IF(Distances[[#This Row],[Colonne180]]=$G6,GP6,Distances[[#This Row],[Colonne180]]+1)</f>
        <v>150</v>
      </c>
      <c r="GR6" s="17">
        <f>IF(Distances[[#This Row],[Colonne181]]=$G6,GQ6,Distances[[#This Row],[Colonne181]]+1)</f>
        <v>150</v>
      </c>
      <c r="GS6" s="17">
        <f>IF(Distances[[#This Row],[Colonne182]]=$G6,GR6,Distances[[#This Row],[Colonne182]]+1)</f>
        <v>150</v>
      </c>
      <c r="GT6" s="17">
        <f>IF(Distances[[#This Row],[Colonne183]]=$G6,GS6,Distances[[#This Row],[Colonne183]]+1)</f>
        <v>150</v>
      </c>
      <c r="GU6" s="17">
        <f>IF(Distances[[#This Row],[Colonne184]]=$G6,GT6,Distances[[#This Row],[Colonne184]]+1)</f>
        <v>150</v>
      </c>
      <c r="GV6" s="17">
        <f>IF(Distances[[#This Row],[Colonne185]]=$G6,GU6,Distances[[#This Row],[Colonne185]]+1)</f>
        <v>150</v>
      </c>
      <c r="GW6" s="17">
        <f>IF(Distances[[#This Row],[Colonne186]]=$G6,GV6,Distances[[#This Row],[Colonne186]]+1)</f>
        <v>150</v>
      </c>
      <c r="GX6" s="17">
        <f>IF(Distances[[#This Row],[Colonne187]]=$G6,GW6,Distances[[#This Row],[Colonne187]]+1)</f>
        <v>150</v>
      </c>
      <c r="GY6" s="17">
        <f>IF(Distances[[#This Row],[Colonne188]]=$G6,GX6,Distances[[#This Row],[Colonne188]]+1)</f>
        <v>150</v>
      </c>
      <c r="GZ6" s="17">
        <f>IF(Distances[[#This Row],[Colonne189]]=$G6,GY6,Distances[[#This Row],[Colonne189]]+1)</f>
        <v>150</v>
      </c>
      <c r="HA6" s="17">
        <f>IF(Distances[[#This Row],[Colonne190]]=$G6,GZ6,Distances[[#This Row],[Colonne190]]+1)</f>
        <v>150</v>
      </c>
      <c r="HB6" s="17">
        <f>IF(Distances[[#This Row],[Colonne191]]=$G6,HA6,Distances[[#This Row],[Colonne191]]+1)</f>
        <v>150</v>
      </c>
      <c r="HC6" s="17">
        <f>IF(Distances[[#This Row],[Colonne192]]=$G6,HB6,Distances[[#This Row],[Colonne192]]+1)</f>
        <v>150</v>
      </c>
      <c r="HD6" s="17">
        <f>IF(Distances[[#This Row],[Colonne193]]=$G6,HC6,Distances[[#This Row],[Colonne193]]+1)</f>
        <v>150</v>
      </c>
      <c r="HE6" s="17">
        <f>IF(Distances[[#This Row],[Colonne194]]=$G6,HD6,Distances[[#This Row],[Colonne194]]+1)</f>
        <v>150</v>
      </c>
      <c r="HF6" s="17">
        <f>IF(Distances[[#This Row],[Colonne195]]=$G6,HE6,Distances[[#This Row],[Colonne195]]+1)</f>
        <v>150</v>
      </c>
      <c r="HG6" s="17">
        <f>IF(Distances[[#This Row],[Colonne196]]=$G6,HF6,Distances[[#This Row],[Colonne196]]+1)</f>
        <v>150</v>
      </c>
      <c r="HH6" s="17">
        <f>IF(Distances[[#This Row],[Colonne197]]=$G6,HG6,Distances[[#This Row],[Colonne197]]+1)</f>
        <v>150</v>
      </c>
      <c r="HI6" s="17">
        <f>IF(Distances[[#This Row],[Colonne198]]=$G6,HH6,Distances[[#This Row],[Colonne198]]+1)</f>
        <v>150</v>
      </c>
      <c r="HJ6" s="17">
        <f>IF(Distances[[#This Row],[Colonne199]]=$G6,HI6,Distances[[#This Row],[Colonne199]]+1)</f>
        <v>150</v>
      </c>
      <c r="HK6" s="17">
        <f>IF(Distances[[#This Row],[Colonne200]]=$G6,HJ6,Distances[[#This Row],[Colonne200]]+1)</f>
        <v>150</v>
      </c>
      <c r="HL6" s="17">
        <f>IF(Distances[[#This Row],[Colonne201]]=$G6,HK6,Distances[[#This Row],[Colonne201]]+1)</f>
        <v>150</v>
      </c>
      <c r="HM6" s="17">
        <f>IF(Distances[[#This Row],[Colonne202]]=$G6,HL6,Distances[[#This Row],[Colonne202]]+1)</f>
        <v>150</v>
      </c>
      <c r="HN6" s="17">
        <f>IF(Distances[[#This Row],[Colonne203]]=$G6,HM6,Distances[[#This Row],[Colonne203]]+1)</f>
        <v>150</v>
      </c>
      <c r="HO6" s="17">
        <f>IF(Distances[[#This Row],[Colonne204]]=$G6,HN6,Distances[[#This Row],[Colonne204]]+1)</f>
        <v>150</v>
      </c>
      <c r="HP6" s="17">
        <f>IF(Distances[[#This Row],[Colonne205]]=$G6,HO6,Distances[[#This Row],[Colonne205]]+1)</f>
        <v>150</v>
      </c>
      <c r="HQ6" s="17">
        <f>IF(Distances[[#This Row],[Colonne206]]=$G6,HP6,Distances[[#This Row],[Colonne206]]+1)</f>
        <v>150</v>
      </c>
      <c r="HR6" s="17">
        <f>IF(Distances[[#This Row],[Colonne207]]=$G6,HQ6,Distances[[#This Row],[Colonne207]]+1)</f>
        <v>150</v>
      </c>
      <c r="HS6" s="17">
        <f>IF(Distances[[#This Row],[Colonne208]]=$G6,HR6,Distances[[#This Row],[Colonne208]]+1)</f>
        <v>150</v>
      </c>
      <c r="HT6" s="17">
        <f>IF(Distances[[#This Row],[Colonne209]]=$G6,HS6,Distances[[#This Row],[Colonne209]]+1)</f>
        <v>150</v>
      </c>
      <c r="HU6" s="17">
        <f>IF(Distances[[#This Row],[Colonne210]]=$G6,HT6,Distances[[#This Row],[Colonne210]]+1)</f>
        <v>150</v>
      </c>
      <c r="HV6" s="17">
        <f>IF(Distances[[#This Row],[Colonne211]]=$G6,HU6,Distances[[#This Row],[Colonne211]]+1)</f>
        <v>150</v>
      </c>
      <c r="HW6" s="17">
        <f>IF(Distances[[#This Row],[Colonne212]]=$G6,HV6,Distances[[#This Row],[Colonne212]]+1)</f>
        <v>150</v>
      </c>
      <c r="HX6" s="17">
        <f>IF(Distances[[#This Row],[Colonne213]]=$G6,HW6,Distances[[#This Row],[Colonne213]]+1)</f>
        <v>150</v>
      </c>
      <c r="HY6" s="17">
        <f>IF(Distances[[#This Row],[Colonne214]]=$G6,HX6,Distances[[#This Row],[Colonne214]]+1)</f>
        <v>150</v>
      </c>
      <c r="HZ6" s="17">
        <f>IF(Distances[[#This Row],[Colonne215]]=$G6,HY6,Distances[[#This Row],[Colonne215]]+1)</f>
        <v>150</v>
      </c>
      <c r="IA6" s="17">
        <f>IF(Distances[[#This Row],[Colonne216]]=$G6,HZ6,Distances[[#This Row],[Colonne216]]+1)</f>
        <v>150</v>
      </c>
      <c r="IB6" s="17">
        <f>IF(Distances[[#This Row],[Colonne217]]=$G6,IA6,Distances[[#This Row],[Colonne217]]+1)</f>
        <v>150</v>
      </c>
      <c r="IC6" s="17">
        <f>IF(Distances[[#This Row],[Colonne218]]=$G6,IB6,Distances[[#This Row],[Colonne218]]+1)</f>
        <v>150</v>
      </c>
      <c r="ID6" s="17">
        <f>IF(Distances[[#This Row],[Colonne219]]=$G6,IC6,Distances[[#This Row],[Colonne219]]+1)</f>
        <v>150</v>
      </c>
      <c r="IE6" s="17">
        <f>IF(Distances[[#This Row],[Colonne220]]=$G6,ID6,Distances[[#This Row],[Colonne220]]+1)</f>
        <v>150</v>
      </c>
      <c r="IF6" s="17">
        <f>IF(Distances[[#This Row],[Colonne221]]=$G6,IE6,Distances[[#This Row],[Colonne221]]+1)</f>
        <v>150</v>
      </c>
      <c r="IG6" s="17">
        <f>IF(Distances[[#This Row],[Colonne222]]=$G6,IF6,Distances[[#This Row],[Colonne222]]+1)</f>
        <v>150</v>
      </c>
      <c r="IH6" s="17">
        <f>IF(Distances[[#This Row],[Colonne223]]=$G6,IG6,Distances[[#This Row],[Colonne223]]+1)</f>
        <v>150</v>
      </c>
      <c r="II6" s="17">
        <f>IF(Distances[[#This Row],[Colonne224]]=$G6,IH6,Distances[[#This Row],[Colonne224]]+1)</f>
        <v>150</v>
      </c>
      <c r="IJ6" s="17">
        <f>IF(Distances[[#This Row],[Colonne225]]=$G6,II6,Distances[[#This Row],[Colonne225]]+1)</f>
        <v>150</v>
      </c>
      <c r="IK6" s="17">
        <f>IF(Distances[[#This Row],[Colonne226]]=$G6,IJ6,Distances[[#This Row],[Colonne226]]+1)</f>
        <v>150</v>
      </c>
      <c r="IL6" s="17">
        <f>IF(Distances[[#This Row],[Colonne227]]=$G6,IK6,Distances[[#This Row],[Colonne227]]+1)</f>
        <v>150</v>
      </c>
      <c r="IM6" s="17">
        <f>IF(Distances[[#This Row],[Colonne228]]=$G6,IL6,Distances[[#This Row],[Colonne228]]+1)</f>
        <v>150</v>
      </c>
      <c r="IN6" s="17">
        <f>IF(Distances[[#This Row],[Colonne229]]=$G6,IM6,Distances[[#This Row],[Colonne229]]+1)</f>
        <v>150</v>
      </c>
      <c r="IO6" s="17">
        <f>IF(Distances[[#This Row],[Colonne230]]=$G6,IN6,Distances[[#This Row],[Colonne230]]+1)</f>
        <v>150</v>
      </c>
      <c r="IP6" s="17">
        <f>IF(Distances[[#This Row],[Colonne231]]=$G6,IO6,Distances[[#This Row],[Colonne231]]+1)</f>
        <v>150</v>
      </c>
      <c r="IQ6" s="17">
        <f>IF(Distances[[#This Row],[Colonne232]]=$G6,IP6,Distances[[#This Row],[Colonne232]]+1)</f>
        <v>150</v>
      </c>
      <c r="IR6" s="17">
        <f>IF(Distances[[#This Row],[Colonne233]]=$G6,IQ6,Distances[[#This Row],[Colonne233]]+1)</f>
        <v>150</v>
      </c>
      <c r="IS6" s="17">
        <f>IF(Distances[[#This Row],[Colonne234]]=$G6,IR6,Distances[[#This Row],[Colonne234]]+1)</f>
        <v>150</v>
      </c>
      <c r="IT6" s="17">
        <f>IF(Distances[[#This Row],[Colonne235]]=$G6,IS6,Distances[[#This Row],[Colonne235]]+1)</f>
        <v>150</v>
      </c>
      <c r="IU6" s="17">
        <f>IF(Distances[[#This Row],[Colonne236]]=$G6,IT6,Distances[[#This Row],[Colonne236]]+1)</f>
        <v>150</v>
      </c>
      <c r="IV6" s="17">
        <f>IF(Distances[[#This Row],[Colonne237]]=$G6,IU6,Distances[[#This Row],[Colonne237]]+1)</f>
        <v>150</v>
      </c>
      <c r="IW6" s="17">
        <f>IF(Distances[[#This Row],[Colonne238]]=$G6,IV6,Distances[[#This Row],[Colonne238]]+1)</f>
        <v>150</v>
      </c>
      <c r="IX6" s="17">
        <f>IF(Distances[[#This Row],[Colonne239]]=$G6,IW6,Distances[[#This Row],[Colonne239]]+1)</f>
        <v>150</v>
      </c>
      <c r="IY6" s="17">
        <f>IF(Distances[[#This Row],[Colonne240]]=$G6,IX6,Distances[[#This Row],[Colonne240]]+1)</f>
        <v>150</v>
      </c>
      <c r="IZ6" s="17">
        <f>IF(Distances[[#This Row],[Colonne241]]=$G6,IY6,Distances[[#This Row],[Colonne241]]+1)</f>
        <v>150</v>
      </c>
      <c r="JA6" s="17">
        <f>IF(Distances[[#This Row],[Colonne242]]=$G6,IZ6,Distances[[#This Row],[Colonne242]]+1)</f>
        <v>150</v>
      </c>
      <c r="JB6" s="17">
        <f>IF(Distances[[#This Row],[Colonne243]]=$G6,JA6,Distances[[#This Row],[Colonne243]]+1)</f>
        <v>150</v>
      </c>
      <c r="JC6" s="17">
        <f>IF(Distances[[#This Row],[Colonne244]]=$G6,JB6,Distances[[#This Row],[Colonne244]]+1)</f>
        <v>150</v>
      </c>
      <c r="JD6" s="17">
        <f>IF(Distances[[#This Row],[Colonne245]]=$G6,JC6,Distances[[#This Row],[Colonne245]]+1)</f>
        <v>150</v>
      </c>
      <c r="JE6" s="17">
        <f>IF(Distances[[#This Row],[Colonne246]]=$G6,JD6,Distances[[#This Row],[Colonne246]]+1)</f>
        <v>150</v>
      </c>
      <c r="JF6" s="17">
        <f>IF(Distances[[#This Row],[Colonne247]]=$G6,JE6,Distances[[#This Row],[Colonne247]]+1)</f>
        <v>150</v>
      </c>
      <c r="JG6" s="17">
        <f>IF(Distances[[#This Row],[Colonne248]]=$G6,JF6,Distances[[#This Row],[Colonne248]]+1)</f>
        <v>150</v>
      </c>
      <c r="JH6" s="17">
        <f>IF(Distances[[#This Row],[Colonne249]]=$G6,JG6,Distances[[#This Row],[Colonne249]]+1)</f>
        <v>150</v>
      </c>
      <c r="JI6" s="17">
        <f>IF(Distances[[#This Row],[Colonne250]]=$G6,JH6,Distances[[#This Row],[Colonne250]]+1)</f>
        <v>150</v>
      </c>
      <c r="JJ6" s="17">
        <f>IF(Distances[[#This Row],[Colonne251]]=$G6,JI6,Distances[[#This Row],[Colonne251]]+1)</f>
        <v>150</v>
      </c>
      <c r="JK6" s="17">
        <f>IF(Distances[[#This Row],[Colonne252]]=$G6,JJ6,Distances[[#This Row],[Colonne252]]+1)</f>
        <v>150</v>
      </c>
      <c r="JL6" s="17">
        <f>IF(Distances[[#This Row],[Colonne253]]=$G6,JK6,Distances[[#This Row],[Colonne253]]+1)</f>
        <v>150</v>
      </c>
      <c r="JM6" s="17">
        <f>IF(Distances[[#This Row],[Colonne254]]=$G6,JL6,Distances[[#This Row],[Colonne254]]+1)</f>
        <v>150</v>
      </c>
      <c r="JN6" s="17">
        <f>IF(Distances[[#This Row],[Colonne255]]=$G6,JM6,Distances[[#This Row],[Colonne255]]+1)</f>
        <v>150</v>
      </c>
      <c r="JO6" s="17">
        <f>IF(Distances[[#This Row],[Colonne256]]=$G6,JN6,Distances[[#This Row],[Colonne256]]+1)</f>
        <v>150</v>
      </c>
      <c r="JP6" s="17">
        <f>IF(Distances[[#This Row],[Colonne257]]=$G6,JO6,Distances[[#This Row],[Colonne257]]+1)</f>
        <v>150</v>
      </c>
      <c r="JQ6" s="17">
        <f>IF(Distances[[#This Row],[Colonne258]]=$G6,JP6,Distances[[#This Row],[Colonne258]]+1)</f>
        <v>150</v>
      </c>
      <c r="JR6" s="17">
        <f>IF(Distances[[#This Row],[Colonne259]]=$G6,JQ6,Distances[[#This Row],[Colonne259]]+1)</f>
        <v>150</v>
      </c>
      <c r="JS6" s="17">
        <f>IF(Distances[[#This Row],[Colonne260]]=$G6,JR6,Distances[[#This Row],[Colonne260]]+1)</f>
        <v>150</v>
      </c>
      <c r="JT6" s="17">
        <f>IF(Distances[[#This Row],[Colonne261]]=$G6,JS6,Distances[[#This Row],[Colonne261]]+1)</f>
        <v>150</v>
      </c>
      <c r="JU6" s="17">
        <f>IF(Distances[[#This Row],[Colonne262]]=$G6,JT6,Distances[[#This Row],[Colonne262]]+1)</f>
        <v>150</v>
      </c>
      <c r="JV6" s="17">
        <f>IF(Distances[[#This Row],[Colonne263]]=$G6,JU6,Distances[[#This Row],[Colonne263]]+1)</f>
        <v>150</v>
      </c>
      <c r="JW6" s="17">
        <f>IF(Distances[[#This Row],[Colonne264]]=$G6,JV6,Distances[[#This Row],[Colonne264]]+1)</f>
        <v>150</v>
      </c>
      <c r="JX6" s="17">
        <f>IF(Distances[[#This Row],[Colonne265]]=$G6,JW6,Distances[[#This Row],[Colonne265]]+1)</f>
        <v>150</v>
      </c>
      <c r="JY6" s="17">
        <f>IF(Distances[[#This Row],[Colonne266]]=$G6,JX6,Distances[[#This Row],[Colonne266]]+1)</f>
        <v>150</v>
      </c>
      <c r="JZ6" s="17">
        <f>IF(Distances[[#This Row],[Colonne267]]=$G6,JY6,Distances[[#This Row],[Colonne267]]+1)</f>
        <v>150</v>
      </c>
      <c r="KA6" s="17">
        <f>IF(Distances[[#This Row],[Colonne268]]=$G6,JZ6,Distances[[#This Row],[Colonne268]]+1)</f>
        <v>150</v>
      </c>
      <c r="KB6" s="17">
        <f>IF(Distances[[#This Row],[Colonne269]]=$G6,KA6,Distances[[#This Row],[Colonne269]]+1)</f>
        <v>150</v>
      </c>
      <c r="KC6" s="17">
        <f>IF(Distances[[#This Row],[Colonne270]]=$G6,KB6,Distances[[#This Row],[Colonne270]]+1)</f>
        <v>150</v>
      </c>
      <c r="KD6" s="17">
        <f>IF(Distances[[#This Row],[Colonne271]]=$G6,KC6,Distances[[#This Row],[Colonne271]]+1)</f>
        <v>150</v>
      </c>
      <c r="KE6" s="17">
        <f>IF(Distances[[#This Row],[Colonne272]]=$G6,KD6,Distances[[#This Row],[Colonne272]]+1)</f>
        <v>150</v>
      </c>
      <c r="KF6" s="17">
        <f>IF(Distances[[#This Row],[Colonne273]]=$G6,KE6,Distances[[#This Row],[Colonne273]]+1)</f>
        <v>150</v>
      </c>
      <c r="KG6" s="17">
        <f>IF(Distances[[#This Row],[Colonne274]]=$G6,KF6,Distances[[#This Row],[Colonne274]]+1)</f>
        <v>150</v>
      </c>
      <c r="KH6" s="17">
        <f>IF(Distances[[#This Row],[Colonne275]]=$G6,KG6,Distances[[#This Row],[Colonne275]]+1)</f>
        <v>150</v>
      </c>
      <c r="KI6" s="17">
        <f>IF(Distances[[#This Row],[Colonne276]]=$G6,KH6,Distances[[#This Row],[Colonne276]]+1)</f>
        <v>150</v>
      </c>
      <c r="KJ6" s="17">
        <f>IF(Distances[[#This Row],[Colonne277]]=$G6,KI6,Distances[[#This Row],[Colonne277]]+1)</f>
        <v>150</v>
      </c>
      <c r="KK6" s="17">
        <f>IF(Distances[[#This Row],[Colonne278]]=$G6,KJ6,Distances[[#This Row],[Colonne278]]+1)</f>
        <v>150</v>
      </c>
      <c r="KL6" s="17">
        <f>IF(Distances[[#This Row],[Colonne279]]=$G6,KK6,Distances[[#This Row],[Colonne279]]+1)</f>
        <v>150</v>
      </c>
      <c r="KM6" s="17">
        <f>IF(Distances[[#This Row],[Colonne280]]=$G6,KL6,Distances[[#This Row],[Colonne280]]+1)</f>
        <v>150</v>
      </c>
      <c r="KN6" s="17">
        <f>IF(Distances[[#This Row],[Colonne281]]=$G6,KM6,Distances[[#This Row],[Colonne281]]+1)</f>
        <v>150</v>
      </c>
      <c r="KO6" s="17">
        <f>IF(Distances[[#This Row],[Colonne282]]=$G6,KN6,Distances[[#This Row],[Colonne282]]+1)</f>
        <v>150</v>
      </c>
      <c r="KP6" s="17">
        <f>IF(Distances[[#This Row],[Colonne283]]=$G6,KO6,Distances[[#This Row],[Colonne283]]+1)</f>
        <v>150</v>
      </c>
      <c r="KQ6" s="17">
        <f>IF(Distances[[#This Row],[Colonne284]]=$G6,KP6,Distances[[#This Row],[Colonne284]]+1)</f>
        <v>150</v>
      </c>
      <c r="KR6" s="17">
        <f>IF(Distances[[#This Row],[Colonne285]]=$G6,KQ6,Distances[[#This Row],[Colonne285]]+1)</f>
        <v>150</v>
      </c>
      <c r="KS6" s="17">
        <f>IF(Distances[[#This Row],[Colonne286]]=$G6,KR6,Distances[[#This Row],[Colonne286]]+1)</f>
        <v>150</v>
      </c>
      <c r="KT6" s="17">
        <f>IF(Distances[[#This Row],[Colonne287]]=$G6,KS6,Distances[[#This Row],[Colonne287]]+1)</f>
        <v>150</v>
      </c>
      <c r="KU6" s="17">
        <f>IF(Distances[[#This Row],[Colonne288]]=$G6,KT6,Distances[[#This Row],[Colonne288]]+1)</f>
        <v>150</v>
      </c>
      <c r="KV6" s="17">
        <f>IF(Distances[[#This Row],[Colonne289]]=$G6,KU6,Distances[[#This Row],[Colonne289]]+1)</f>
        <v>150</v>
      </c>
      <c r="KW6" s="17">
        <f>IF(Distances[[#This Row],[Colonne290]]=$G6,KV6,Distances[[#This Row],[Colonne290]]+1)</f>
        <v>150</v>
      </c>
      <c r="KX6" s="17">
        <f>IF(Distances[[#This Row],[Colonne291]]=$G6,KW6,Distances[[#This Row],[Colonne291]]+1)</f>
        <v>150</v>
      </c>
      <c r="KY6" s="17">
        <f>IF(Distances[[#This Row],[Colonne292]]=$G6,KX6,Distances[[#This Row],[Colonne292]]+1)</f>
        <v>150</v>
      </c>
      <c r="KZ6" s="17">
        <f>IF(Distances[[#This Row],[Colonne293]]=$G6,KY6,Distances[[#This Row],[Colonne293]]+1)</f>
        <v>150</v>
      </c>
      <c r="LA6" s="17">
        <f>IF(Distances[[#This Row],[Colonne294]]=$G6,KZ6,Distances[[#This Row],[Colonne294]]+1)</f>
        <v>150</v>
      </c>
      <c r="LB6" s="17">
        <f>IF(Distances[[#This Row],[Colonne295]]=$G6,LA6,Distances[[#This Row],[Colonne295]]+1)</f>
        <v>150</v>
      </c>
      <c r="LC6" s="17">
        <f>IF(Distances[[#This Row],[Colonne296]]=$G6,LB6,Distances[[#This Row],[Colonne296]]+1)</f>
        <v>150</v>
      </c>
      <c r="LD6" s="17">
        <f>IF(Distances[[#This Row],[Colonne297]]=$G6,LC6,Distances[[#This Row],[Colonne297]]+1)</f>
        <v>150</v>
      </c>
      <c r="LE6" s="17">
        <f>IF(Distances[[#This Row],[Colonne298]]=$G6,LD6,Distances[[#This Row],[Colonne298]]+1)</f>
        <v>150</v>
      </c>
      <c r="LF6" s="17">
        <f>IF(Distances[[#This Row],[Colonne299]]=$G6,LE6,Distances[[#This Row],[Colonne299]]+1)</f>
        <v>150</v>
      </c>
      <c r="LG6" s="17">
        <f>IF(Distances[[#This Row],[Colonne300]]=$G6,LF6,Distances[[#This Row],[Colonne300]]+1)</f>
        <v>150</v>
      </c>
      <c r="LH6" s="17">
        <f>IF(Distances[[#This Row],[Colonne301]]=$G6,LG6,Distances[[#This Row],[Colonne301]]+1)</f>
        <v>150</v>
      </c>
      <c r="LI6" s="17">
        <f>IF(Distances[[#This Row],[Colonne302]]=$G6,LH6,Distances[[#This Row],[Colonne302]]+1)</f>
        <v>150</v>
      </c>
      <c r="LJ6" s="17">
        <f>IF(Distances[[#This Row],[Colonne303]]=$G6,LI6,Distances[[#This Row],[Colonne303]]+1)</f>
        <v>150</v>
      </c>
      <c r="LK6" s="51"/>
      <c r="LL6" s="17">
        <f t="shared" ref="LL6:NW6" si="10">IF(LK6=$H6,LK6,LK6+1)</f>
        <v>1</v>
      </c>
      <c r="LM6" s="17">
        <f t="shared" si="10"/>
        <v>2</v>
      </c>
      <c r="LN6" s="17">
        <f t="shared" si="10"/>
        <v>3</v>
      </c>
      <c r="LO6" s="17">
        <f t="shared" si="10"/>
        <v>4</v>
      </c>
      <c r="LP6" s="17">
        <f t="shared" si="10"/>
        <v>5</v>
      </c>
      <c r="LQ6" s="17">
        <f t="shared" si="10"/>
        <v>6</v>
      </c>
      <c r="LR6" s="17">
        <f t="shared" si="10"/>
        <v>7</v>
      </c>
      <c r="LS6" s="17">
        <f t="shared" si="10"/>
        <v>8</v>
      </c>
      <c r="LT6" s="17">
        <f t="shared" si="10"/>
        <v>9</v>
      </c>
      <c r="LU6" s="17">
        <f t="shared" si="10"/>
        <v>10</v>
      </c>
      <c r="LV6" s="17">
        <f t="shared" si="10"/>
        <v>11</v>
      </c>
      <c r="LW6" s="17">
        <f t="shared" si="10"/>
        <v>12</v>
      </c>
      <c r="LX6" s="17">
        <f t="shared" si="10"/>
        <v>13</v>
      </c>
      <c r="LY6" s="17">
        <f t="shared" si="10"/>
        <v>14</v>
      </c>
      <c r="LZ6" s="17">
        <f t="shared" si="10"/>
        <v>15</v>
      </c>
      <c r="MA6" s="17">
        <f t="shared" si="10"/>
        <v>16</v>
      </c>
      <c r="MB6" s="17">
        <f t="shared" si="10"/>
        <v>17</v>
      </c>
      <c r="MC6" s="17">
        <f t="shared" si="10"/>
        <v>18</v>
      </c>
      <c r="MD6" s="17">
        <f t="shared" si="10"/>
        <v>19</v>
      </c>
      <c r="ME6" s="17">
        <f t="shared" si="10"/>
        <v>20</v>
      </c>
      <c r="MF6" s="17">
        <f t="shared" si="10"/>
        <v>21</v>
      </c>
      <c r="MG6" s="17">
        <f t="shared" si="10"/>
        <v>22</v>
      </c>
      <c r="MH6" s="17">
        <f t="shared" si="10"/>
        <v>23</v>
      </c>
      <c r="MI6" s="17">
        <f t="shared" si="10"/>
        <v>24</v>
      </c>
      <c r="MJ6" s="17">
        <f t="shared" si="10"/>
        <v>25</v>
      </c>
      <c r="MK6" s="17">
        <f t="shared" si="10"/>
        <v>26</v>
      </c>
      <c r="ML6" s="17">
        <f t="shared" si="10"/>
        <v>27</v>
      </c>
      <c r="MM6" s="17">
        <f t="shared" si="10"/>
        <v>28</v>
      </c>
      <c r="MN6" s="17">
        <f t="shared" si="10"/>
        <v>29</v>
      </c>
      <c r="MO6" s="17">
        <f t="shared" si="10"/>
        <v>30</v>
      </c>
      <c r="MP6" s="17">
        <f t="shared" si="10"/>
        <v>30</v>
      </c>
      <c r="MQ6" s="17">
        <f t="shared" si="10"/>
        <v>30</v>
      </c>
      <c r="MR6" s="17">
        <f t="shared" si="10"/>
        <v>30</v>
      </c>
      <c r="MS6" s="17">
        <f t="shared" si="10"/>
        <v>30</v>
      </c>
      <c r="MT6" s="17">
        <f t="shared" si="10"/>
        <v>30</v>
      </c>
      <c r="MU6" s="17">
        <f t="shared" si="10"/>
        <v>30</v>
      </c>
      <c r="MV6" s="17">
        <f t="shared" si="10"/>
        <v>30</v>
      </c>
      <c r="MW6" s="17">
        <f t="shared" si="10"/>
        <v>30</v>
      </c>
      <c r="MX6" s="17">
        <f t="shared" si="10"/>
        <v>30</v>
      </c>
      <c r="MY6" s="17">
        <f t="shared" si="10"/>
        <v>30</v>
      </c>
      <c r="MZ6" s="17">
        <f t="shared" si="10"/>
        <v>30</v>
      </c>
      <c r="NA6" s="17">
        <f t="shared" si="10"/>
        <v>30</v>
      </c>
      <c r="NB6" s="17">
        <f t="shared" si="10"/>
        <v>30</v>
      </c>
      <c r="NC6" s="17">
        <f t="shared" si="10"/>
        <v>30</v>
      </c>
      <c r="ND6" s="17">
        <f t="shared" si="10"/>
        <v>30</v>
      </c>
      <c r="NE6" s="17">
        <f t="shared" si="10"/>
        <v>30</v>
      </c>
      <c r="NF6" s="17">
        <f t="shared" si="10"/>
        <v>30</v>
      </c>
      <c r="NG6" s="17">
        <f t="shared" si="10"/>
        <v>30</v>
      </c>
      <c r="NH6" s="17">
        <f t="shared" si="10"/>
        <v>30</v>
      </c>
      <c r="NI6" s="17">
        <f t="shared" si="10"/>
        <v>30</v>
      </c>
      <c r="NJ6" s="17">
        <f t="shared" si="10"/>
        <v>30</v>
      </c>
      <c r="NK6" s="17">
        <f t="shared" si="10"/>
        <v>30</v>
      </c>
      <c r="NL6" s="17">
        <f t="shared" si="10"/>
        <v>30</v>
      </c>
      <c r="NM6" s="17">
        <f t="shared" si="10"/>
        <v>30</v>
      </c>
      <c r="NN6" s="17">
        <f t="shared" si="10"/>
        <v>30</v>
      </c>
      <c r="NO6" s="17">
        <f t="shared" si="10"/>
        <v>30</v>
      </c>
      <c r="NP6" s="17">
        <f t="shared" si="10"/>
        <v>30</v>
      </c>
      <c r="NQ6" s="17">
        <f t="shared" si="10"/>
        <v>30</v>
      </c>
      <c r="NR6" s="17">
        <f t="shared" si="10"/>
        <v>30</v>
      </c>
      <c r="NS6" s="17">
        <f t="shared" si="10"/>
        <v>30</v>
      </c>
      <c r="NT6" s="17">
        <f t="shared" si="10"/>
        <v>30</v>
      </c>
      <c r="NU6" s="17">
        <f t="shared" si="10"/>
        <v>30</v>
      </c>
      <c r="NV6" s="17">
        <f t="shared" si="10"/>
        <v>30</v>
      </c>
      <c r="NW6" s="17">
        <f t="shared" si="10"/>
        <v>30</v>
      </c>
      <c r="NX6" s="17">
        <f t="shared" ref="NX6:PG6" si="11">IF(NW6=$H6,NW6,NW6+1)</f>
        <v>30</v>
      </c>
      <c r="NY6" s="17">
        <f t="shared" si="11"/>
        <v>30</v>
      </c>
      <c r="NZ6" s="17">
        <f t="shared" si="11"/>
        <v>30</v>
      </c>
      <c r="OA6" s="17">
        <f t="shared" si="11"/>
        <v>30</v>
      </c>
      <c r="OB6" s="17">
        <f t="shared" si="11"/>
        <v>30</v>
      </c>
      <c r="OC6" s="17">
        <f t="shared" si="11"/>
        <v>30</v>
      </c>
      <c r="OD6" s="17">
        <f t="shared" si="11"/>
        <v>30</v>
      </c>
      <c r="OE6" s="17">
        <f t="shared" si="11"/>
        <v>30</v>
      </c>
      <c r="OF6" s="17">
        <f t="shared" si="11"/>
        <v>30</v>
      </c>
      <c r="OG6" s="17">
        <f t="shared" si="11"/>
        <v>30</v>
      </c>
      <c r="OH6" s="17">
        <f t="shared" si="11"/>
        <v>30</v>
      </c>
      <c r="OI6" s="17">
        <f t="shared" si="11"/>
        <v>30</v>
      </c>
      <c r="OJ6" s="17">
        <f t="shared" si="11"/>
        <v>30</v>
      </c>
      <c r="OK6" s="17">
        <f t="shared" si="11"/>
        <v>30</v>
      </c>
      <c r="OL6" s="17">
        <f t="shared" si="11"/>
        <v>30</v>
      </c>
      <c r="OM6" s="17">
        <f t="shared" si="11"/>
        <v>30</v>
      </c>
      <c r="ON6" s="17">
        <f t="shared" si="11"/>
        <v>30</v>
      </c>
      <c r="OO6" s="17">
        <f t="shared" si="11"/>
        <v>30</v>
      </c>
      <c r="OP6" s="17">
        <f t="shared" si="11"/>
        <v>30</v>
      </c>
      <c r="OQ6" s="17">
        <f t="shared" si="11"/>
        <v>30</v>
      </c>
      <c r="OR6" s="17">
        <f t="shared" si="11"/>
        <v>30</v>
      </c>
      <c r="OS6" s="17">
        <f t="shared" si="11"/>
        <v>30</v>
      </c>
      <c r="OT6" s="17">
        <f t="shared" si="11"/>
        <v>30</v>
      </c>
      <c r="OU6" s="17">
        <f t="shared" si="11"/>
        <v>30</v>
      </c>
      <c r="OV6" s="17">
        <f t="shared" si="11"/>
        <v>30</v>
      </c>
      <c r="OW6" s="17">
        <f t="shared" si="11"/>
        <v>30</v>
      </c>
      <c r="OX6" s="17">
        <f t="shared" si="11"/>
        <v>30</v>
      </c>
      <c r="OY6" s="17">
        <f t="shared" si="11"/>
        <v>30</v>
      </c>
      <c r="OZ6" s="17">
        <f t="shared" si="11"/>
        <v>30</v>
      </c>
      <c r="PA6" s="17">
        <f t="shared" si="11"/>
        <v>30</v>
      </c>
      <c r="PB6" s="17">
        <f t="shared" si="11"/>
        <v>30</v>
      </c>
      <c r="PC6" s="17">
        <f t="shared" si="11"/>
        <v>30</v>
      </c>
      <c r="PD6" s="17">
        <f t="shared" si="11"/>
        <v>30</v>
      </c>
      <c r="PE6" s="17">
        <f t="shared" si="11"/>
        <v>30</v>
      </c>
      <c r="PF6" s="17">
        <f t="shared" si="11"/>
        <v>30</v>
      </c>
      <c r="PG6" s="17">
        <f t="shared" si="11"/>
        <v>30</v>
      </c>
    </row>
    <row r="7" spans="1:423" x14ac:dyDescent="0.25">
      <c r="A7" s="8" t="s">
        <v>5509</v>
      </c>
      <c r="B7" s="9" t="s">
        <v>5504</v>
      </c>
      <c r="C7" s="9" t="str">
        <f t="shared" si="0"/>
        <v>LR2</v>
      </c>
      <c r="D7" s="1" t="str">
        <f t="shared" si="1"/>
        <v>Libre R2</v>
      </c>
      <c r="E7" s="1" t="s">
        <v>15</v>
      </c>
      <c r="F7" s="9" t="s">
        <v>5452</v>
      </c>
      <c r="G7" s="9">
        <v>100</v>
      </c>
      <c r="H7" s="9">
        <v>40</v>
      </c>
      <c r="I7" s="127">
        <v>2.8</v>
      </c>
      <c r="J7" s="9" t="s">
        <v>5511</v>
      </c>
      <c r="K7" s="280"/>
      <c r="L7" s="8">
        <v>2.2999999999999998</v>
      </c>
      <c r="M7" s="9">
        <v>2.2999999999999998</v>
      </c>
      <c r="N7" s="10">
        <v>3.9990000000000001</v>
      </c>
      <c r="O7" s="269"/>
      <c r="P7" s="331"/>
      <c r="Q7" s="335"/>
      <c r="R7" s="128">
        <v>1</v>
      </c>
      <c r="S7" s="9">
        <v>1</v>
      </c>
      <c r="T7" s="10">
        <v>2</v>
      </c>
      <c r="U7" t="s">
        <v>5523</v>
      </c>
      <c r="V7" s="17">
        <v>0</v>
      </c>
      <c r="W7" s="17">
        <f>IF(Distances[[#This Row],[Colonne4]]=$G7,V7,Distances[[#This Row],[Colonne4]]+1)</f>
        <v>1</v>
      </c>
      <c r="X7" s="17">
        <f>IF(Distances[[#This Row],[Colonne5]]=$G7,W7,Distances[[#This Row],[Colonne5]]+1)</f>
        <v>2</v>
      </c>
      <c r="Y7" s="17">
        <f>IF(Distances[[#This Row],[Colonne6]]=$G7,X7,Distances[[#This Row],[Colonne6]]+1)</f>
        <v>3</v>
      </c>
      <c r="Z7" s="17">
        <f>IF(Distances[[#This Row],[Colonne7]]=$G7,Y7,Distances[[#This Row],[Colonne7]]+1)</f>
        <v>4</v>
      </c>
      <c r="AA7" s="17">
        <f>IF(Distances[[#This Row],[Colonne8]]=$G7,Z7,Distances[[#This Row],[Colonne8]]+1)</f>
        <v>5</v>
      </c>
      <c r="AB7" s="17">
        <f>IF(Distances[[#This Row],[Colonne9]]=$G7,AA7,Distances[[#This Row],[Colonne9]]+1)</f>
        <v>6</v>
      </c>
      <c r="AC7" s="17">
        <f>IF(Distances[[#This Row],[Colonne10]]=$G7,AB7,Distances[[#This Row],[Colonne10]]+1)</f>
        <v>7</v>
      </c>
      <c r="AD7" s="17">
        <f>IF(Distances[[#This Row],[Colonne11]]=$G7,AC7,Distances[[#This Row],[Colonne11]]+1)</f>
        <v>8</v>
      </c>
      <c r="AE7" s="17">
        <f>IF(Distances[[#This Row],[Colonne12]]=$G7,AD7,Distances[[#This Row],[Colonne12]]+1)</f>
        <v>9</v>
      </c>
      <c r="AF7" s="17">
        <f>IF(Distances[[#This Row],[Colonne13]]=$G7,AE7,Distances[[#This Row],[Colonne13]]+1)</f>
        <v>10</v>
      </c>
      <c r="AG7" s="17">
        <f>IF(Distances[[#This Row],[Colonne14]]=$G7,AF7,Distances[[#This Row],[Colonne14]]+1)</f>
        <v>11</v>
      </c>
      <c r="AH7" s="17">
        <f>IF(Distances[[#This Row],[Colonne15]]=$G7,AG7,Distances[[#This Row],[Colonne15]]+1)</f>
        <v>12</v>
      </c>
      <c r="AI7" s="17">
        <f>IF(Distances[[#This Row],[Colonne16]]=$G7,AH7,Distances[[#This Row],[Colonne16]]+1)</f>
        <v>13</v>
      </c>
      <c r="AJ7" s="17">
        <f>IF(Distances[[#This Row],[Colonne17]]=$G7,AI7,Distances[[#This Row],[Colonne17]]+1)</f>
        <v>14</v>
      </c>
      <c r="AK7" s="17">
        <f>IF(Distances[[#This Row],[Colonne18]]=$G7,AJ7,Distances[[#This Row],[Colonne18]]+1)</f>
        <v>15</v>
      </c>
      <c r="AL7" s="17">
        <f>IF(Distances[[#This Row],[Colonne19]]=$G7,AK7,Distances[[#This Row],[Colonne19]]+1)</f>
        <v>16</v>
      </c>
      <c r="AM7" s="17">
        <f>IF(Distances[[#This Row],[Colonne20]]=$G7,AL7,Distances[[#This Row],[Colonne20]]+1)</f>
        <v>17</v>
      </c>
      <c r="AN7" s="17">
        <f>IF(Distances[[#This Row],[Colonne21]]=$G7,AM7,Distances[[#This Row],[Colonne21]]+1)</f>
        <v>18</v>
      </c>
      <c r="AO7" s="17">
        <f>IF(Distances[[#This Row],[Colonne22]]=$G7,AN7,Distances[[#This Row],[Colonne22]]+1)</f>
        <v>19</v>
      </c>
      <c r="AP7" s="17">
        <f>IF(Distances[[#This Row],[Colonne23]]=$G7,AO7,Distances[[#This Row],[Colonne23]]+1)</f>
        <v>20</v>
      </c>
      <c r="AQ7" s="17">
        <f>IF(Distances[[#This Row],[Colonne24]]=$G7,AP7,Distances[[#This Row],[Colonne24]]+1)</f>
        <v>21</v>
      </c>
      <c r="AR7" s="17">
        <f>IF(Distances[[#This Row],[Colonne25]]=$G7,AQ7,Distances[[#This Row],[Colonne25]]+1)</f>
        <v>22</v>
      </c>
      <c r="AS7" s="17">
        <f>IF(Distances[[#This Row],[Colonne26]]=$G7,AR7,Distances[[#This Row],[Colonne26]]+1)</f>
        <v>23</v>
      </c>
      <c r="AT7" s="17">
        <f>IF(Distances[[#This Row],[Colonne27]]=$G7,AS7,Distances[[#This Row],[Colonne27]]+1)</f>
        <v>24</v>
      </c>
      <c r="AU7" s="17">
        <f>IF(Distances[[#This Row],[Colonne28]]=$G7,AT7,Distances[[#This Row],[Colonne28]]+1)</f>
        <v>25</v>
      </c>
      <c r="AV7" s="17">
        <f>IF(Distances[[#This Row],[Colonne29]]=$G7,AU7,Distances[[#This Row],[Colonne29]]+1)</f>
        <v>26</v>
      </c>
      <c r="AW7" s="17">
        <f>IF(Distances[[#This Row],[Colonne30]]=$G7,AV7,Distances[[#This Row],[Colonne30]]+1)</f>
        <v>27</v>
      </c>
      <c r="AX7" s="17">
        <f>IF(Distances[[#This Row],[Colonne31]]=$G7,AW7,Distances[[#This Row],[Colonne31]]+1)</f>
        <v>28</v>
      </c>
      <c r="AY7" s="17">
        <f>IF(Distances[[#This Row],[Colonne32]]=$G7,AX7,Distances[[#This Row],[Colonne32]]+1)</f>
        <v>29</v>
      </c>
      <c r="AZ7" s="17">
        <f>IF(Distances[[#This Row],[Colonne33]]=$G7,AY7,Distances[[#This Row],[Colonne33]]+1)</f>
        <v>30</v>
      </c>
      <c r="BA7" s="17">
        <f>IF(Distances[[#This Row],[Colonne34]]=$G7,AZ7,Distances[[#This Row],[Colonne34]]+1)</f>
        <v>31</v>
      </c>
      <c r="BB7" s="17">
        <f>IF(Distances[[#This Row],[Colonne35]]=$G7,BA7,Distances[[#This Row],[Colonne35]]+1)</f>
        <v>32</v>
      </c>
      <c r="BC7" s="17">
        <f>IF(Distances[[#This Row],[Colonne36]]=$G7,BB7,Distances[[#This Row],[Colonne36]]+1)</f>
        <v>33</v>
      </c>
      <c r="BD7" s="17">
        <f>IF(Distances[[#This Row],[Colonne37]]=$G7,BC7,Distances[[#This Row],[Colonne37]]+1)</f>
        <v>34</v>
      </c>
      <c r="BE7" s="17">
        <f>IF(Distances[[#This Row],[Colonne38]]=$G7,BD7,Distances[[#This Row],[Colonne38]]+1)</f>
        <v>35</v>
      </c>
      <c r="BF7" s="17">
        <f>IF(Distances[[#This Row],[Colonne39]]=$G7,BE7,Distances[[#This Row],[Colonne39]]+1)</f>
        <v>36</v>
      </c>
      <c r="BG7" s="17">
        <f>IF(Distances[[#This Row],[Colonne40]]=$G7,BF7,Distances[[#This Row],[Colonne40]]+1)</f>
        <v>37</v>
      </c>
      <c r="BH7" s="17">
        <f>IF(Distances[[#This Row],[Colonne41]]=$G7,BG7,Distances[[#This Row],[Colonne41]]+1)</f>
        <v>38</v>
      </c>
      <c r="BI7" s="17">
        <f>IF(Distances[[#This Row],[Colonne42]]=$G7,BH7,Distances[[#This Row],[Colonne42]]+1)</f>
        <v>39</v>
      </c>
      <c r="BJ7" s="17">
        <f>IF(Distances[[#This Row],[Colonne43]]=$G7,BI7,Distances[[#This Row],[Colonne43]]+1)</f>
        <v>40</v>
      </c>
      <c r="BK7" s="17">
        <f>IF(Distances[[#This Row],[Colonne44]]=$G7,BJ7,Distances[[#This Row],[Colonne44]]+1)</f>
        <v>41</v>
      </c>
      <c r="BL7" s="17">
        <f>IF(Distances[[#This Row],[Colonne45]]=$G7,BK7,Distances[[#This Row],[Colonne45]]+1)</f>
        <v>42</v>
      </c>
      <c r="BM7" s="17">
        <f>IF(Distances[[#This Row],[Colonne46]]=$G7,BL7,Distances[[#This Row],[Colonne46]]+1)</f>
        <v>43</v>
      </c>
      <c r="BN7" s="17">
        <f>IF(Distances[[#This Row],[Colonne47]]=$G7,BM7,Distances[[#This Row],[Colonne47]]+1)</f>
        <v>44</v>
      </c>
      <c r="BO7" s="17">
        <f>IF(Distances[[#This Row],[Colonne48]]=$G7,BN7,Distances[[#This Row],[Colonne48]]+1)</f>
        <v>45</v>
      </c>
      <c r="BP7" s="17">
        <f>IF(Distances[[#This Row],[Colonne49]]=$G7,BO7,Distances[[#This Row],[Colonne49]]+1)</f>
        <v>46</v>
      </c>
      <c r="BQ7" s="17">
        <f>IF(Distances[[#This Row],[Colonne50]]=$G7,BP7,Distances[[#This Row],[Colonne50]]+1)</f>
        <v>47</v>
      </c>
      <c r="BR7" s="17">
        <f>IF(Distances[[#This Row],[Colonne51]]=$G7,BQ7,Distances[[#This Row],[Colonne51]]+1)</f>
        <v>48</v>
      </c>
      <c r="BS7" s="17">
        <f>IF(Distances[[#This Row],[Colonne52]]=$G7,BR7,Distances[[#This Row],[Colonne52]]+1)</f>
        <v>49</v>
      </c>
      <c r="BT7" s="17">
        <f>IF(Distances[[#This Row],[Colonne53]]=$G7,BS7,Distances[[#This Row],[Colonne53]]+1)</f>
        <v>50</v>
      </c>
      <c r="BU7" s="17">
        <f>IF(Distances[[#This Row],[Colonne54]]=$G7,BT7,Distances[[#This Row],[Colonne54]]+1)</f>
        <v>51</v>
      </c>
      <c r="BV7" s="17">
        <f>IF(Distances[[#This Row],[Colonne55]]=$G7,BU7,Distances[[#This Row],[Colonne55]]+1)</f>
        <v>52</v>
      </c>
      <c r="BW7" s="17">
        <f>IF(Distances[[#This Row],[Colonne56]]=$G7,BV7,Distances[[#This Row],[Colonne56]]+1)</f>
        <v>53</v>
      </c>
      <c r="BX7" s="17">
        <f>IF(Distances[[#This Row],[Colonne57]]=$G7,BW7,Distances[[#This Row],[Colonne57]]+1)</f>
        <v>54</v>
      </c>
      <c r="BY7" s="17">
        <f>IF(Distances[[#This Row],[Colonne58]]=$G7,BX7,Distances[[#This Row],[Colonne58]]+1)</f>
        <v>55</v>
      </c>
      <c r="BZ7" s="17">
        <f>IF(Distances[[#This Row],[Colonne59]]=$G7,BY7,Distances[[#This Row],[Colonne59]]+1)</f>
        <v>56</v>
      </c>
      <c r="CA7" s="17">
        <f>IF(Distances[[#This Row],[Colonne60]]=$G7,BZ7,Distances[[#This Row],[Colonne60]]+1)</f>
        <v>57</v>
      </c>
      <c r="CB7" s="17">
        <f>IF(Distances[[#This Row],[Colonne61]]=$G7,CA7,Distances[[#This Row],[Colonne61]]+1)</f>
        <v>58</v>
      </c>
      <c r="CC7" s="17">
        <f>IF(Distances[[#This Row],[Colonne62]]=$G7,CB7,Distances[[#This Row],[Colonne62]]+1)</f>
        <v>59</v>
      </c>
      <c r="CD7" s="17">
        <f>IF(Distances[[#This Row],[Colonne63]]=$G7,CC7,Distances[[#This Row],[Colonne63]]+1)</f>
        <v>60</v>
      </c>
      <c r="CE7" s="17">
        <f>IF(Distances[[#This Row],[Colonne64]]=$G7,CD7,Distances[[#This Row],[Colonne64]]+1)</f>
        <v>61</v>
      </c>
      <c r="CF7" s="17">
        <f>IF(Distances[[#This Row],[Colonne65]]=$G7,CE7,Distances[[#This Row],[Colonne65]]+1)</f>
        <v>62</v>
      </c>
      <c r="CG7" s="17">
        <f>IF(Distances[[#This Row],[Colonne66]]=$G7,CF7,Distances[[#This Row],[Colonne66]]+1)</f>
        <v>63</v>
      </c>
      <c r="CH7" s="17">
        <f>IF(Distances[[#This Row],[Colonne67]]=$G7,CG7,Distances[[#This Row],[Colonne67]]+1)</f>
        <v>64</v>
      </c>
      <c r="CI7" s="17">
        <f>IF(Distances[[#This Row],[Colonne68]]=$G7,CH7,Distances[[#This Row],[Colonne68]]+1)</f>
        <v>65</v>
      </c>
      <c r="CJ7" s="17">
        <f>IF(Distances[[#This Row],[Colonne69]]=$G7,CI7,Distances[[#This Row],[Colonne69]]+1)</f>
        <v>66</v>
      </c>
      <c r="CK7" s="17">
        <f>IF(Distances[[#This Row],[Colonne70]]=$G7,CJ7,Distances[[#This Row],[Colonne70]]+1)</f>
        <v>67</v>
      </c>
      <c r="CL7" s="17">
        <f>IF(Distances[[#This Row],[Colonne71]]=$G7,CK7,Distances[[#This Row],[Colonne71]]+1)</f>
        <v>68</v>
      </c>
      <c r="CM7" s="17">
        <f>IF(Distances[[#This Row],[Colonne72]]=$G7,CL7,Distances[[#This Row],[Colonne72]]+1)</f>
        <v>69</v>
      </c>
      <c r="CN7" s="17">
        <f>IF(Distances[[#This Row],[Colonne73]]=$G7,CM7,Distances[[#This Row],[Colonne73]]+1)</f>
        <v>70</v>
      </c>
      <c r="CO7" s="17">
        <f>IF(Distances[[#This Row],[Colonne74]]=$G7,CN7,Distances[[#This Row],[Colonne74]]+1)</f>
        <v>71</v>
      </c>
      <c r="CP7" s="17">
        <f>IF(Distances[[#This Row],[Colonne75]]=$G7,CO7,Distances[[#This Row],[Colonne75]]+1)</f>
        <v>72</v>
      </c>
      <c r="CQ7" s="17">
        <f>IF(Distances[[#This Row],[Colonne76]]=$G7,CP7,Distances[[#This Row],[Colonne76]]+1)</f>
        <v>73</v>
      </c>
      <c r="CR7" s="17">
        <f>IF(Distances[[#This Row],[Colonne77]]=$G7,CQ7,Distances[[#This Row],[Colonne77]]+1)</f>
        <v>74</v>
      </c>
      <c r="CS7" s="17">
        <f>IF(Distances[[#This Row],[Colonne78]]=$G7,CR7,Distances[[#This Row],[Colonne78]]+1)</f>
        <v>75</v>
      </c>
      <c r="CT7" s="17">
        <f>IF(Distances[[#This Row],[Colonne79]]=$G7,CS7,Distances[[#This Row],[Colonne79]]+1)</f>
        <v>76</v>
      </c>
      <c r="CU7" s="17">
        <f>IF(Distances[[#This Row],[Colonne80]]=$G7,CT7,Distances[[#This Row],[Colonne80]]+1)</f>
        <v>77</v>
      </c>
      <c r="CV7" s="17">
        <f>IF(Distances[[#This Row],[Colonne81]]=$G7,CU7,Distances[[#This Row],[Colonne81]]+1)</f>
        <v>78</v>
      </c>
      <c r="CW7" s="17">
        <f>IF(Distances[[#This Row],[Colonne82]]=$G7,CV7,Distances[[#This Row],[Colonne82]]+1)</f>
        <v>79</v>
      </c>
      <c r="CX7" s="17">
        <f>IF(Distances[[#This Row],[Colonne83]]=$G7,CW7,Distances[[#This Row],[Colonne83]]+1)</f>
        <v>80</v>
      </c>
      <c r="CY7" s="17">
        <f>IF(Distances[[#This Row],[Colonne84]]=$G7,CX7,Distances[[#This Row],[Colonne84]]+1)</f>
        <v>81</v>
      </c>
      <c r="CZ7" s="17">
        <f>IF(Distances[[#This Row],[Colonne85]]=$G7,CY7,Distances[[#This Row],[Colonne85]]+1)</f>
        <v>82</v>
      </c>
      <c r="DA7" s="17">
        <f>IF(Distances[[#This Row],[Colonne86]]=$G7,CZ7,Distances[[#This Row],[Colonne86]]+1)</f>
        <v>83</v>
      </c>
      <c r="DB7" s="17">
        <f>IF(Distances[[#This Row],[Colonne87]]=$G7,DA7,Distances[[#This Row],[Colonne87]]+1)</f>
        <v>84</v>
      </c>
      <c r="DC7" s="17">
        <f>IF(Distances[[#This Row],[Colonne88]]=$G7,DB7,Distances[[#This Row],[Colonne88]]+1)</f>
        <v>85</v>
      </c>
      <c r="DD7" s="17">
        <f>IF(Distances[[#This Row],[Colonne89]]=$G7,DC7,Distances[[#This Row],[Colonne89]]+1)</f>
        <v>86</v>
      </c>
      <c r="DE7" s="17">
        <f>IF(Distances[[#This Row],[Colonne90]]=$G7,DD7,Distances[[#This Row],[Colonne90]]+1)</f>
        <v>87</v>
      </c>
      <c r="DF7" s="17">
        <f>IF(Distances[[#This Row],[Colonne91]]=$G7,DE7,Distances[[#This Row],[Colonne91]]+1)</f>
        <v>88</v>
      </c>
      <c r="DG7" s="17">
        <f>IF(Distances[[#This Row],[Colonne92]]=$G7,DF7,Distances[[#This Row],[Colonne92]]+1)</f>
        <v>89</v>
      </c>
      <c r="DH7" s="17">
        <f>IF(Distances[[#This Row],[Colonne93]]=$G7,DG7,Distances[[#This Row],[Colonne93]]+1)</f>
        <v>90</v>
      </c>
      <c r="DI7" s="17">
        <f>IF(Distances[[#This Row],[Colonne94]]=$G7,DH7,Distances[[#This Row],[Colonne94]]+1)</f>
        <v>91</v>
      </c>
      <c r="DJ7" s="17">
        <f>IF(Distances[[#This Row],[Colonne95]]=$G7,DI7,Distances[[#This Row],[Colonne95]]+1)</f>
        <v>92</v>
      </c>
      <c r="DK7" s="17">
        <f>IF(Distances[[#This Row],[Colonne96]]=$G7,DJ7,Distances[[#This Row],[Colonne96]]+1)</f>
        <v>93</v>
      </c>
      <c r="DL7" s="17">
        <f>IF(Distances[[#This Row],[Colonne97]]=$G7,DK7,Distances[[#This Row],[Colonne97]]+1)</f>
        <v>94</v>
      </c>
      <c r="DM7" s="17">
        <f>IF(Distances[[#This Row],[Colonne98]]=$G7,DL7,Distances[[#This Row],[Colonne98]]+1)</f>
        <v>95</v>
      </c>
      <c r="DN7" s="17">
        <f>IF(Distances[[#This Row],[Colonne99]]=$G7,DM7,Distances[[#This Row],[Colonne99]]+1)</f>
        <v>96</v>
      </c>
      <c r="DO7" s="17">
        <f>IF(Distances[[#This Row],[Colonne100]]=$G7,DN7,Distances[[#This Row],[Colonne100]]+1)</f>
        <v>97</v>
      </c>
      <c r="DP7" s="17">
        <f>IF(Distances[[#This Row],[Colonne101]]=$G7,DO7,Distances[[#This Row],[Colonne101]]+1)</f>
        <v>98</v>
      </c>
      <c r="DQ7" s="17">
        <f>IF(Distances[[#This Row],[Colonne102]]=$G7,DP7,Distances[[#This Row],[Colonne102]]+1)</f>
        <v>99</v>
      </c>
      <c r="DR7" s="17">
        <f>IF(Distances[[#This Row],[Colonne103]]=$G7,DQ7,Distances[[#This Row],[Colonne103]]+1)</f>
        <v>100</v>
      </c>
      <c r="DS7" s="17">
        <f>IF(Distances[[#This Row],[Colonne104]]=$G7,DR7,Distances[[#This Row],[Colonne104]]+1)</f>
        <v>100</v>
      </c>
      <c r="DT7" s="17">
        <f>IF(Distances[[#This Row],[Colonne105]]=$G7,DS7,Distances[[#This Row],[Colonne105]]+1)</f>
        <v>100</v>
      </c>
      <c r="DU7" s="17">
        <f>IF(Distances[[#This Row],[Colonne106]]=$G7,DT7,Distances[[#This Row],[Colonne106]]+1)</f>
        <v>100</v>
      </c>
      <c r="DV7" s="17">
        <f>IF(Distances[[#This Row],[Colonne107]]=$G7,DU7,Distances[[#This Row],[Colonne107]]+1)</f>
        <v>100</v>
      </c>
      <c r="DW7" s="17">
        <f>IF(Distances[[#This Row],[Colonne108]]=$G7,DV7,Distances[[#This Row],[Colonne108]]+1)</f>
        <v>100</v>
      </c>
      <c r="DX7" s="17">
        <f>IF(Distances[[#This Row],[Colonne109]]=$G7,DW7,Distances[[#This Row],[Colonne109]]+1)</f>
        <v>100</v>
      </c>
      <c r="DY7" s="17">
        <f>IF(Distances[[#This Row],[Colonne110]]=$G7,DX7,Distances[[#This Row],[Colonne110]]+1)</f>
        <v>100</v>
      </c>
      <c r="DZ7" s="17">
        <f>IF(Distances[[#This Row],[Colonne111]]=$G7,DY7,Distances[[#This Row],[Colonne111]]+1)</f>
        <v>100</v>
      </c>
      <c r="EA7" s="17">
        <f>IF(Distances[[#This Row],[Colonne112]]=$G7,DZ7,Distances[[#This Row],[Colonne112]]+1)</f>
        <v>100</v>
      </c>
      <c r="EB7" s="17">
        <f>IF(Distances[[#This Row],[Colonne113]]=$G7,EA7,Distances[[#This Row],[Colonne113]]+1)</f>
        <v>100</v>
      </c>
      <c r="EC7" s="17">
        <f>IF(Distances[[#This Row],[Colonne114]]=$G7,EB7,Distances[[#This Row],[Colonne114]]+1)</f>
        <v>100</v>
      </c>
      <c r="ED7" s="17">
        <f>IF(Distances[[#This Row],[Colonne115]]=$G7,EC7,Distances[[#This Row],[Colonne115]]+1)</f>
        <v>100</v>
      </c>
      <c r="EE7" s="17">
        <f>IF(Distances[[#This Row],[Colonne116]]=$G7,ED7,Distances[[#This Row],[Colonne116]]+1)</f>
        <v>100</v>
      </c>
      <c r="EF7" s="17">
        <f>IF(Distances[[#This Row],[Colonne117]]=$G7,EE7,Distances[[#This Row],[Colonne117]]+1)</f>
        <v>100</v>
      </c>
      <c r="EG7" s="17">
        <f>IF(Distances[[#This Row],[Colonne118]]=$G7,EF7,Distances[[#This Row],[Colonne118]]+1)</f>
        <v>100</v>
      </c>
      <c r="EH7" s="17">
        <f>IF(Distances[[#This Row],[Colonne119]]=$G7,EG7,Distances[[#This Row],[Colonne119]]+1)</f>
        <v>100</v>
      </c>
      <c r="EI7" s="17">
        <f>IF(Distances[[#This Row],[Colonne120]]=$G7,EH7,Distances[[#This Row],[Colonne120]]+1)</f>
        <v>100</v>
      </c>
      <c r="EJ7" s="17">
        <f>IF(Distances[[#This Row],[Colonne121]]=$G7,EI7,Distances[[#This Row],[Colonne121]]+1)</f>
        <v>100</v>
      </c>
      <c r="EK7" s="17">
        <f>IF(Distances[[#This Row],[Colonne122]]=$G7,EJ7,Distances[[#This Row],[Colonne122]]+1)</f>
        <v>100</v>
      </c>
      <c r="EL7" s="17">
        <f>IF(Distances[[#This Row],[Colonne123]]=$G7,EK7,Distances[[#This Row],[Colonne123]]+1)</f>
        <v>100</v>
      </c>
      <c r="EM7" s="17">
        <f>IF(Distances[[#This Row],[Colonne124]]=$G7,EL7,Distances[[#This Row],[Colonne124]]+1)</f>
        <v>100</v>
      </c>
      <c r="EN7" s="17">
        <f>IF(Distances[[#This Row],[Colonne125]]=$G7,EM7,Distances[[#This Row],[Colonne125]]+1)</f>
        <v>100</v>
      </c>
      <c r="EO7" s="17">
        <f>IF(Distances[[#This Row],[Colonne126]]=$G7,EN7,Distances[[#This Row],[Colonne126]]+1)</f>
        <v>100</v>
      </c>
      <c r="EP7" s="17">
        <f>IF(Distances[[#This Row],[Colonne127]]=$G7,EO7,Distances[[#This Row],[Colonne127]]+1)</f>
        <v>100</v>
      </c>
      <c r="EQ7" s="17">
        <f>IF(Distances[[#This Row],[Colonne128]]=$G7,EP7,Distances[[#This Row],[Colonne128]]+1)</f>
        <v>100</v>
      </c>
      <c r="ER7" s="17">
        <f>IF(Distances[[#This Row],[Colonne129]]=$G7,EQ7,Distances[[#This Row],[Colonne129]]+1)</f>
        <v>100</v>
      </c>
      <c r="ES7" s="17">
        <f>IF(Distances[[#This Row],[Colonne130]]=$G7,ER7,Distances[[#This Row],[Colonne130]]+1)</f>
        <v>100</v>
      </c>
      <c r="ET7" s="17">
        <f>IF(Distances[[#This Row],[Colonne131]]=$G7,ES7,Distances[[#This Row],[Colonne131]]+1)</f>
        <v>100</v>
      </c>
      <c r="EU7" s="17">
        <f>IF(Distances[[#This Row],[Colonne132]]=$G7,ET7,Distances[[#This Row],[Colonne132]]+1)</f>
        <v>100</v>
      </c>
      <c r="EV7" s="17">
        <f>IF(Distances[[#This Row],[Colonne133]]=$G7,EU7,Distances[[#This Row],[Colonne133]]+1)</f>
        <v>100</v>
      </c>
      <c r="EW7" s="17">
        <f>IF(Distances[[#This Row],[Colonne134]]=$G7,EV7,Distances[[#This Row],[Colonne134]]+1)</f>
        <v>100</v>
      </c>
      <c r="EX7" s="17">
        <f>IF(Distances[[#This Row],[Colonne135]]=$G7,EW7,Distances[[#This Row],[Colonne135]]+1)</f>
        <v>100</v>
      </c>
      <c r="EY7" s="17">
        <f>IF(Distances[[#This Row],[Colonne136]]=$G7,EX7,Distances[[#This Row],[Colonne136]]+1)</f>
        <v>100</v>
      </c>
      <c r="EZ7" s="17">
        <f>IF(Distances[[#This Row],[Colonne137]]=$G7,EY7,Distances[[#This Row],[Colonne137]]+1)</f>
        <v>100</v>
      </c>
      <c r="FA7" s="17">
        <f>IF(Distances[[#This Row],[Colonne138]]=$G7,EZ7,Distances[[#This Row],[Colonne138]]+1)</f>
        <v>100</v>
      </c>
      <c r="FB7" s="17">
        <f>IF(Distances[[#This Row],[Colonne139]]=$G7,FA7,Distances[[#This Row],[Colonne139]]+1)</f>
        <v>100</v>
      </c>
      <c r="FC7" s="17">
        <f>IF(Distances[[#This Row],[Colonne140]]=$G7,FB7,Distances[[#This Row],[Colonne140]]+1)</f>
        <v>100</v>
      </c>
      <c r="FD7" s="17">
        <f>IF(Distances[[#This Row],[Colonne141]]=$G7,FC7,Distances[[#This Row],[Colonne141]]+1)</f>
        <v>100</v>
      </c>
      <c r="FE7" s="17">
        <f>IF(Distances[[#This Row],[Colonne142]]=$G7,FD7,Distances[[#This Row],[Colonne142]]+1)</f>
        <v>100</v>
      </c>
      <c r="FF7" s="17">
        <f>IF(Distances[[#This Row],[Colonne143]]=$G7,FE7,Distances[[#This Row],[Colonne143]]+1)</f>
        <v>100</v>
      </c>
      <c r="FG7" s="17">
        <f>IF(Distances[[#This Row],[Colonne144]]=$G7,FF7,Distances[[#This Row],[Colonne144]]+1)</f>
        <v>100</v>
      </c>
      <c r="FH7" s="17">
        <f>IF(Distances[[#This Row],[Colonne145]]=$G7,FG7,Distances[[#This Row],[Colonne145]]+1)</f>
        <v>100</v>
      </c>
      <c r="FI7" s="17">
        <f>IF(Distances[[#This Row],[Colonne146]]=$G7,FH7,Distances[[#This Row],[Colonne146]]+1)</f>
        <v>100</v>
      </c>
      <c r="FJ7" s="17">
        <f>IF(Distances[[#This Row],[Colonne147]]=$G7,FI7,Distances[[#This Row],[Colonne147]]+1)</f>
        <v>100</v>
      </c>
      <c r="FK7" s="17">
        <f>IF(Distances[[#This Row],[Colonne148]]=$G7,FJ7,Distances[[#This Row],[Colonne148]]+1)</f>
        <v>100</v>
      </c>
      <c r="FL7" s="17">
        <f>IF(Distances[[#This Row],[Colonne149]]=$G7,FK7,Distances[[#This Row],[Colonne149]]+1)</f>
        <v>100</v>
      </c>
      <c r="FM7" s="17">
        <f>IF(Distances[[#This Row],[Colonne150]]=$G7,FL7,Distances[[#This Row],[Colonne150]]+1)</f>
        <v>100</v>
      </c>
      <c r="FN7" s="17">
        <f>IF(Distances[[#This Row],[Colonne151]]=$G7,FM7,Distances[[#This Row],[Colonne151]]+1)</f>
        <v>100</v>
      </c>
      <c r="FO7" s="17">
        <f>IF(Distances[[#This Row],[Colonne152]]=$G7,FN7,Distances[[#This Row],[Colonne152]]+1)</f>
        <v>100</v>
      </c>
      <c r="FP7" s="17">
        <f>IF(Distances[[#This Row],[Colonne153]]=$G7,FO7,Distances[[#This Row],[Colonne153]]+1)</f>
        <v>100</v>
      </c>
      <c r="FQ7" s="17">
        <f>IF(Distances[[#This Row],[Colonne154]]=$G7,FP7,Distances[[#This Row],[Colonne154]]+1)</f>
        <v>100</v>
      </c>
      <c r="FR7" s="17">
        <f>IF(Distances[[#This Row],[Colonne155]]=$G7,FQ7,Distances[[#This Row],[Colonne155]]+1)</f>
        <v>100</v>
      </c>
      <c r="FS7" s="17">
        <f>IF(Distances[[#This Row],[Colonne156]]=$G7,FR7,Distances[[#This Row],[Colonne156]]+1)</f>
        <v>100</v>
      </c>
      <c r="FT7" s="17">
        <f>IF(Distances[[#This Row],[Colonne157]]=$G7,FS7,Distances[[#This Row],[Colonne157]]+1)</f>
        <v>100</v>
      </c>
      <c r="FU7" s="17">
        <f>IF(Distances[[#This Row],[Colonne158]]=$G7,FT7,Distances[[#This Row],[Colonne158]]+1)</f>
        <v>100</v>
      </c>
      <c r="FV7" s="17">
        <f>IF(Distances[[#This Row],[Colonne159]]=$G7,FU7,Distances[[#This Row],[Colonne159]]+1)</f>
        <v>100</v>
      </c>
      <c r="FW7" s="17">
        <f>IF(Distances[[#This Row],[Colonne160]]=$G7,FV7,Distances[[#This Row],[Colonne160]]+1)</f>
        <v>100</v>
      </c>
      <c r="FX7" s="17">
        <f>IF(Distances[[#This Row],[Colonne161]]=$G7,FW7,Distances[[#This Row],[Colonne161]]+1)</f>
        <v>100</v>
      </c>
      <c r="FY7" s="17">
        <f>IF(Distances[[#This Row],[Colonne162]]=$G7,FX7,Distances[[#This Row],[Colonne162]]+1)</f>
        <v>100</v>
      </c>
      <c r="FZ7" s="17">
        <f>IF(Distances[[#This Row],[Colonne163]]=$G7,FY7,Distances[[#This Row],[Colonne163]]+1)</f>
        <v>100</v>
      </c>
      <c r="GA7" s="17">
        <f>IF(Distances[[#This Row],[Colonne164]]=$G7,FZ7,Distances[[#This Row],[Colonne164]]+1)</f>
        <v>100</v>
      </c>
      <c r="GB7" s="17">
        <f>IF(Distances[[#This Row],[Colonne165]]=$G7,GA7,Distances[[#This Row],[Colonne165]]+1)</f>
        <v>100</v>
      </c>
      <c r="GC7" s="17">
        <f>IF(Distances[[#This Row],[Colonne166]]=$G7,GB7,Distances[[#This Row],[Colonne166]]+1)</f>
        <v>100</v>
      </c>
      <c r="GD7" s="17">
        <f>IF(Distances[[#This Row],[Colonne167]]=$G7,GC7,Distances[[#This Row],[Colonne167]]+1)</f>
        <v>100</v>
      </c>
      <c r="GE7" s="17">
        <f>IF(Distances[[#This Row],[Colonne168]]=$G7,GD7,Distances[[#This Row],[Colonne168]]+1)</f>
        <v>100</v>
      </c>
      <c r="GF7" s="17">
        <f>IF(Distances[[#This Row],[Colonne169]]=$G7,GE7,Distances[[#This Row],[Colonne169]]+1)</f>
        <v>100</v>
      </c>
      <c r="GG7" s="17">
        <f>IF(Distances[[#This Row],[Colonne170]]=$G7,GF7,Distances[[#This Row],[Colonne170]]+1)</f>
        <v>100</v>
      </c>
      <c r="GH7" s="17">
        <f>IF(Distances[[#This Row],[Colonne171]]=$G7,GG7,Distances[[#This Row],[Colonne171]]+1)</f>
        <v>100</v>
      </c>
      <c r="GI7" s="17">
        <f>IF(Distances[[#This Row],[Colonne172]]=$G7,GH7,Distances[[#This Row],[Colonne172]]+1)</f>
        <v>100</v>
      </c>
      <c r="GJ7" s="17">
        <f>IF(Distances[[#This Row],[Colonne173]]=$G7,GI7,Distances[[#This Row],[Colonne173]]+1)</f>
        <v>100</v>
      </c>
      <c r="GK7" s="17">
        <f>IF(Distances[[#This Row],[Colonne174]]=$G7,GJ7,Distances[[#This Row],[Colonne174]]+1)</f>
        <v>100</v>
      </c>
      <c r="GL7" s="17">
        <f>IF(Distances[[#This Row],[Colonne175]]=$G7,GK7,Distances[[#This Row],[Colonne175]]+1)</f>
        <v>100</v>
      </c>
      <c r="GM7" s="17">
        <f>IF(Distances[[#This Row],[Colonne176]]=$G7,GL7,Distances[[#This Row],[Colonne176]]+1)</f>
        <v>100</v>
      </c>
      <c r="GN7" s="17">
        <f>IF(Distances[[#This Row],[Colonne177]]=$G7,GM7,Distances[[#This Row],[Colonne177]]+1)</f>
        <v>100</v>
      </c>
      <c r="GO7" s="17">
        <f>IF(Distances[[#This Row],[Colonne178]]=$G7,GN7,Distances[[#This Row],[Colonne178]]+1)</f>
        <v>100</v>
      </c>
      <c r="GP7" s="17">
        <f>IF(Distances[[#This Row],[Colonne179]]=$G7,GO7,Distances[[#This Row],[Colonne179]]+1)</f>
        <v>100</v>
      </c>
      <c r="GQ7" s="17">
        <f>IF(Distances[[#This Row],[Colonne180]]=$G7,GP7,Distances[[#This Row],[Colonne180]]+1)</f>
        <v>100</v>
      </c>
      <c r="GR7" s="17">
        <f>IF(Distances[[#This Row],[Colonne181]]=$G7,GQ7,Distances[[#This Row],[Colonne181]]+1)</f>
        <v>100</v>
      </c>
      <c r="GS7" s="17">
        <f>IF(Distances[[#This Row],[Colonne182]]=$G7,GR7,Distances[[#This Row],[Colonne182]]+1)</f>
        <v>100</v>
      </c>
      <c r="GT7" s="17">
        <f>IF(Distances[[#This Row],[Colonne183]]=$G7,GS7,Distances[[#This Row],[Colonne183]]+1)</f>
        <v>100</v>
      </c>
      <c r="GU7" s="17">
        <f>IF(Distances[[#This Row],[Colonne184]]=$G7,GT7,Distances[[#This Row],[Colonne184]]+1)</f>
        <v>100</v>
      </c>
      <c r="GV7" s="17">
        <f>IF(Distances[[#This Row],[Colonne185]]=$G7,GU7,Distances[[#This Row],[Colonne185]]+1)</f>
        <v>100</v>
      </c>
      <c r="GW7" s="17">
        <f>IF(Distances[[#This Row],[Colonne186]]=$G7,GV7,Distances[[#This Row],[Colonne186]]+1)</f>
        <v>100</v>
      </c>
      <c r="GX7" s="17">
        <f>IF(Distances[[#This Row],[Colonne187]]=$G7,GW7,Distances[[#This Row],[Colonne187]]+1)</f>
        <v>100</v>
      </c>
      <c r="GY7" s="17">
        <f>IF(Distances[[#This Row],[Colonne188]]=$G7,GX7,Distances[[#This Row],[Colonne188]]+1)</f>
        <v>100</v>
      </c>
      <c r="GZ7" s="17">
        <f>IF(Distances[[#This Row],[Colonne189]]=$G7,GY7,Distances[[#This Row],[Colonne189]]+1)</f>
        <v>100</v>
      </c>
      <c r="HA7" s="17">
        <f>IF(Distances[[#This Row],[Colonne190]]=$G7,GZ7,Distances[[#This Row],[Colonne190]]+1)</f>
        <v>100</v>
      </c>
      <c r="HB7" s="17">
        <f>IF(Distances[[#This Row],[Colonne191]]=$G7,HA7,Distances[[#This Row],[Colonne191]]+1)</f>
        <v>100</v>
      </c>
      <c r="HC7" s="17">
        <f>IF(Distances[[#This Row],[Colonne192]]=$G7,HB7,Distances[[#This Row],[Colonne192]]+1)</f>
        <v>100</v>
      </c>
      <c r="HD7" s="17">
        <f>IF(Distances[[#This Row],[Colonne193]]=$G7,HC7,Distances[[#This Row],[Colonne193]]+1)</f>
        <v>100</v>
      </c>
      <c r="HE7" s="17">
        <f>IF(Distances[[#This Row],[Colonne194]]=$G7,HD7,Distances[[#This Row],[Colonne194]]+1)</f>
        <v>100</v>
      </c>
      <c r="HF7" s="17">
        <f>IF(Distances[[#This Row],[Colonne195]]=$G7,HE7,Distances[[#This Row],[Colonne195]]+1)</f>
        <v>100</v>
      </c>
      <c r="HG7" s="17">
        <f>IF(Distances[[#This Row],[Colonne196]]=$G7,HF7,Distances[[#This Row],[Colonne196]]+1)</f>
        <v>100</v>
      </c>
      <c r="HH7" s="17">
        <f>IF(Distances[[#This Row],[Colonne197]]=$G7,HG7,Distances[[#This Row],[Colonne197]]+1)</f>
        <v>100</v>
      </c>
      <c r="HI7" s="17">
        <f>IF(Distances[[#This Row],[Colonne198]]=$G7,HH7,Distances[[#This Row],[Colonne198]]+1)</f>
        <v>100</v>
      </c>
      <c r="HJ7" s="17">
        <f>IF(Distances[[#This Row],[Colonne199]]=$G7,HI7,Distances[[#This Row],[Colonne199]]+1)</f>
        <v>100</v>
      </c>
      <c r="HK7" s="17">
        <f>IF(Distances[[#This Row],[Colonne200]]=$G7,HJ7,Distances[[#This Row],[Colonne200]]+1)</f>
        <v>100</v>
      </c>
      <c r="HL7" s="17">
        <f>IF(Distances[[#This Row],[Colonne201]]=$G7,HK7,Distances[[#This Row],[Colonne201]]+1)</f>
        <v>100</v>
      </c>
      <c r="HM7" s="17">
        <f>IF(Distances[[#This Row],[Colonne202]]=$G7,HL7,Distances[[#This Row],[Colonne202]]+1)</f>
        <v>100</v>
      </c>
      <c r="HN7" s="17">
        <f>IF(Distances[[#This Row],[Colonne203]]=$G7,HM7,Distances[[#This Row],[Colonne203]]+1)</f>
        <v>100</v>
      </c>
      <c r="HO7" s="17">
        <f>IF(Distances[[#This Row],[Colonne204]]=$G7,HN7,Distances[[#This Row],[Colonne204]]+1)</f>
        <v>100</v>
      </c>
      <c r="HP7" s="17">
        <f>IF(Distances[[#This Row],[Colonne205]]=$G7,HO7,Distances[[#This Row],[Colonne205]]+1)</f>
        <v>100</v>
      </c>
      <c r="HQ7" s="17">
        <f>IF(Distances[[#This Row],[Colonne206]]=$G7,HP7,Distances[[#This Row],[Colonne206]]+1)</f>
        <v>100</v>
      </c>
      <c r="HR7" s="17">
        <f>IF(Distances[[#This Row],[Colonne207]]=$G7,HQ7,Distances[[#This Row],[Colonne207]]+1)</f>
        <v>100</v>
      </c>
      <c r="HS7" s="17">
        <f>IF(Distances[[#This Row],[Colonne208]]=$G7,HR7,Distances[[#This Row],[Colonne208]]+1)</f>
        <v>100</v>
      </c>
      <c r="HT7" s="17">
        <f>IF(Distances[[#This Row],[Colonne209]]=$G7,HS7,Distances[[#This Row],[Colonne209]]+1)</f>
        <v>100</v>
      </c>
      <c r="HU7" s="17">
        <f>IF(Distances[[#This Row],[Colonne210]]=$G7,HT7,Distances[[#This Row],[Colonne210]]+1)</f>
        <v>100</v>
      </c>
      <c r="HV7" s="17">
        <f>IF(Distances[[#This Row],[Colonne211]]=$G7,HU7,Distances[[#This Row],[Colonne211]]+1)</f>
        <v>100</v>
      </c>
      <c r="HW7" s="17">
        <f>IF(Distances[[#This Row],[Colonne212]]=$G7,HV7,Distances[[#This Row],[Colonne212]]+1)</f>
        <v>100</v>
      </c>
      <c r="HX7" s="17">
        <f>IF(Distances[[#This Row],[Colonne213]]=$G7,HW7,Distances[[#This Row],[Colonne213]]+1)</f>
        <v>100</v>
      </c>
      <c r="HY7" s="17">
        <f>IF(Distances[[#This Row],[Colonne214]]=$G7,HX7,Distances[[#This Row],[Colonne214]]+1)</f>
        <v>100</v>
      </c>
      <c r="HZ7" s="17">
        <f>IF(Distances[[#This Row],[Colonne215]]=$G7,HY7,Distances[[#This Row],[Colonne215]]+1)</f>
        <v>100</v>
      </c>
      <c r="IA7" s="17">
        <f>IF(Distances[[#This Row],[Colonne216]]=$G7,HZ7,Distances[[#This Row],[Colonne216]]+1)</f>
        <v>100</v>
      </c>
      <c r="IB7" s="17">
        <f>IF(Distances[[#This Row],[Colonne217]]=$G7,IA7,Distances[[#This Row],[Colonne217]]+1)</f>
        <v>100</v>
      </c>
      <c r="IC7" s="17">
        <f>IF(Distances[[#This Row],[Colonne218]]=$G7,IB7,Distances[[#This Row],[Colonne218]]+1)</f>
        <v>100</v>
      </c>
      <c r="ID7" s="17">
        <f>IF(Distances[[#This Row],[Colonne219]]=$G7,IC7,Distances[[#This Row],[Colonne219]]+1)</f>
        <v>100</v>
      </c>
      <c r="IE7" s="17">
        <f>IF(Distances[[#This Row],[Colonne220]]=$G7,ID7,Distances[[#This Row],[Colonne220]]+1)</f>
        <v>100</v>
      </c>
      <c r="IF7" s="17">
        <f>IF(Distances[[#This Row],[Colonne221]]=$G7,IE7,Distances[[#This Row],[Colonne221]]+1)</f>
        <v>100</v>
      </c>
      <c r="IG7" s="17">
        <f>IF(Distances[[#This Row],[Colonne222]]=$G7,IF7,Distances[[#This Row],[Colonne222]]+1)</f>
        <v>100</v>
      </c>
      <c r="IH7" s="17">
        <f>IF(Distances[[#This Row],[Colonne223]]=$G7,IG7,Distances[[#This Row],[Colonne223]]+1)</f>
        <v>100</v>
      </c>
      <c r="II7" s="17">
        <f>IF(Distances[[#This Row],[Colonne224]]=$G7,IH7,Distances[[#This Row],[Colonne224]]+1)</f>
        <v>100</v>
      </c>
      <c r="IJ7" s="17">
        <f>IF(Distances[[#This Row],[Colonne225]]=$G7,II7,Distances[[#This Row],[Colonne225]]+1)</f>
        <v>100</v>
      </c>
      <c r="IK7" s="17">
        <f>IF(Distances[[#This Row],[Colonne226]]=$G7,IJ7,Distances[[#This Row],[Colonne226]]+1)</f>
        <v>100</v>
      </c>
      <c r="IL7" s="17">
        <f>IF(Distances[[#This Row],[Colonne227]]=$G7,IK7,Distances[[#This Row],[Colonne227]]+1)</f>
        <v>100</v>
      </c>
      <c r="IM7" s="17">
        <f>IF(Distances[[#This Row],[Colonne228]]=$G7,IL7,Distances[[#This Row],[Colonne228]]+1)</f>
        <v>100</v>
      </c>
      <c r="IN7" s="17">
        <f>IF(Distances[[#This Row],[Colonne229]]=$G7,IM7,Distances[[#This Row],[Colonne229]]+1)</f>
        <v>100</v>
      </c>
      <c r="IO7" s="17">
        <f>IF(Distances[[#This Row],[Colonne230]]=$G7,IN7,Distances[[#This Row],[Colonne230]]+1)</f>
        <v>100</v>
      </c>
      <c r="IP7" s="17">
        <f>IF(Distances[[#This Row],[Colonne231]]=$G7,IO7,Distances[[#This Row],[Colonne231]]+1)</f>
        <v>100</v>
      </c>
      <c r="IQ7" s="17">
        <f>IF(Distances[[#This Row],[Colonne232]]=$G7,IP7,Distances[[#This Row],[Colonne232]]+1)</f>
        <v>100</v>
      </c>
      <c r="IR7" s="17">
        <f>IF(Distances[[#This Row],[Colonne233]]=$G7,IQ7,Distances[[#This Row],[Colonne233]]+1)</f>
        <v>100</v>
      </c>
      <c r="IS7" s="17">
        <f>IF(Distances[[#This Row],[Colonne234]]=$G7,IR7,Distances[[#This Row],[Colonne234]]+1)</f>
        <v>100</v>
      </c>
      <c r="IT7" s="17">
        <f>IF(Distances[[#This Row],[Colonne235]]=$G7,IS7,Distances[[#This Row],[Colonne235]]+1)</f>
        <v>100</v>
      </c>
      <c r="IU7" s="17">
        <f>IF(Distances[[#This Row],[Colonne236]]=$G7,IT7,Distances[[#This Row],[Colonne236]]+1)</f>
        <v>100</v>
      </c>
      <c r="IV7" s="17">
        <f>IF(Distances[[#This Row],[Colonne237]]=$G7,IU7,Distances[[#This Row],[Colonne237]]+1)</f>
        <v>100</v>
      </c>
      <c r="IW7" s="17">
        <f>IF(Distances[[#This Row],[Colonne238]]=$G7,IV7,Distances[[#This Row],[Colonne238]]+1)</f>
        <v>100</v>
      </c>
      <c r="IX7" s="17">
        <f>IF(Distances[[#This Row],[Colonne239]]=$G7,IW7,Distances[[#This Row],[Colonne239]]+1)</f>
        <v>100</v>
      </c>
      <c r="IY7" s="17">
        <f>IF(Distances[[#This Row],[Colonne240]]=$G7,IX7,Distances[[#This Row],[Colonne240]]+1)</f>
        <v>100</v>
      </c>
      <c r="IZ7" s="17">
        <f>IF(Distances[[#This Row],[Colonne241]]=$G7,IY7,Distances[[#This Row],[Colonne241]]+1)</f>
        <v>100</v>
      </c>
      <c r="JA7" s="17">
        <f>IF(Distances[[#This Row],[Colonne242]]=$G7,IZ7,Distances[[#This Row],[Colonne242]]+1)</f>
        <v>100</v>
      </c>
      <c r="JB7" s="17">
        <f>IF(Distances[[#This Row],[Colonne243]]=$G7,JA7,Distances[[#This Row],[Colonne243]]+1)</f>
        <v>100</v>
      </c>
      <c r="JC7" s="17">
        <f>IF(Distances[[#This Row],[Colonne244]]=$G7,JB7,Distances[[#This Row],[Colonne244]]+1)</f>
        <v>100</v>
      </c>
      <c r="JD7" s="17">
        <f>IF(Distances[[#This Row],[Colonne245]]=$G7,JC7,Distances[[#This Row],[Colonne245]]+1)</f>
        <v>100</v>
      </c>
      <c r="JE7" s="17">
        <f>IF(Distances[[#This Row],[Colonne246]]=$G7,JD7,Distances[[#This Row],[Colonne246]]+1)</f>
        <v>100</v>
      </c>
      <c r="JF7" s="17">
        <f>IF(Distances[[#This Row],[Colonne247]]=$G7,JE7,Distances[[#This Row],[Colonne247]]+1)</f>
        <v>100</v>
      </c>
      <c r="JG7" s="17">
        <f>IF(Distances[[#This Row],[Colonne248]]=$G7,JF7,Distances[[#This Row],[Colonne248]]+1)</f>
        <v>100</v>
      </c>
      <c r="JH7" s="17">
        <f>IF(Distances[[#This Row],[Colonne249]]=$G7,JG7,Distances[[#This Row],[Colonne249]]+1)</f>
        <v>100</v>
      </c>
      <c r="JI7" s="17">
        <f>IF(Distances[[#This Row],[Colonne250]]=$G7,JH7,Distances[[#This Row],[Colonne250]]+1)</f>
        <v>100</v>
      </c>
      <c r="JJ7" s="17">
        <f>IF(Distances[[#This Row],[Colonne251]]=$G7,JI7,Distances[[#This Row],[Colonne251]]+1)</f>
        <v>100</v>
      </c>
      <c r="JK7" s="17">
        <f>IF(Distances[[#This Row],[Colonne252]]=$G7,JJ7,Distances[[#This Row],[Colonne252]]+1)</f>
        <v>100</v>
      </c>
      <c r="JL7" s="17">
        <f>IF(Distances[[#This Row],[Colonne253]]=$G7,JK7,Distances[[#This Row],[Colonne253]]+1)</f>
        <v>100</v>
      </c>
      <c r="JM7" s="17">
        <f>IF(Distances[[#This Row],[Colonne254]]=$G7,JL7,Distances[[#This Row],[Colonne254]]+1)</f>
        <v>100</v>
      </c>
      <c r="JN7" s="17">
        <f>IF(Distances[[#This Row],[Colonne255]]=$G7,JM7,Distances[[#This Row],[Colonne255]]+1)</f>
        <v>100</v>
      </c>
      <c r="JO7" s="17">
        <f>IF(Distances[[#This Row],[Colonne256]]=$G7,JN7,Distances[[#This Row],[Colonne256]]+1)</f>
        <v>100</v>
      </c>
      <c r="JP7" s="17">
        <f>IF(Distances[[#This Row],[Colonne257]]=$G7,JO7,Distances[[#This Row],[Colonne257]]+1)</f>
        <v>100</v>
      </c>
      <c r="JQ7" s="17">
        <f>IF(Distances[[#This Row],[Colonne258]]=$G7,JP7,Distances[[#This Row],[Colonne258]]+1)</f>
        <v>100</v>
      </c>
      <c r="JR7" s="17">
        <f>IF(Distances[[#This Row],[Colonne259]]=$G7,JQ7,Distances[[#This Row],[Colonne259]]+1)</f>
        <v>100</v>
      </c>
      <c r="JS7" s="17">
        <f>IF(Distances[[#This Row],[Colonne260]]=$G7,JR7,Distances[[#This Row],[Colonne260]]+1)</f>
        <v>100</v>
      </c>
      <c r="JT7" s="17">
        <f>IF(Distances[[#This Row],[Colonne261]]=$G7,JS7,Distances[[#This Row],[Colonne261]]+1)</f>
        <v>100</v>
      </c>
      <c r="JU7" s="17">
        <f>IF(Distances[[#This Row],[Colonne262]]=$G7,JT7,Distances[[#This Row],[Colonne262]]+1)</f>
        <v>100</v>
      </c>
      <c r="JV7" s="17">
        <f>IF(Distances[[#This Row],[Colonne263]]=$G7,JU7,Distances[[#This Row],[Colonne263]]+1)</f>
        <v>100</v>
      </c>
      <c r="JW7" s="17">
        <f>IF(Distances[[#This Row],[Colonne264]]=$G7,JV7,Distances[[#This Row],[Colonne264]]+1)</f>
        <v>100</v>
      </c>
      <c r="JX7" s="17">
        <f>IF(Distances[[#This Row],[Colonne265]]=$G7,JW7,Distances[[#This Row],[Colonne265]]+1)</f>
        <v>100</v>
      </c>
      <c r="JY7" s="17">
        <f>IF(Distances[[#This Row],[Colonne266]]=$G7,JX7,Distances[[#This Row],[Colonne266]]+1)</f>
        <v>100</v>
      </c>
      <c r="JZ7" s="17">
        <f>IF(Distances[[#This Row],[Colonne267]]=$G7,JY7,Distances[[#This Row],[Colonne267]]+1)</f>
        <v>100</v>
      </c>
      <c r="KA7" s="17">
        <f>IF(Distances[[#This Row],[Colonne268]]=$G7,JZ7,Distances[[#This Row],[Colonne268]]+1)</f>
        <v>100</v>
      </c>
      <c r="KB7" s="17">
        <f>IF(Distances[[#This Row],[Colonne269]]=$G7,KA7,Distances[[#This Row],[Colonne269]]+1)</f>
        <v>100</v>
      </c>
      <c r="KC7" s="17">
        <f>IF(Distances[[#This Row],[Colonne270]]=$G7,KB7,Distances[[#This Row],[Colonne270]]+1)</f>
        <v>100</v>
      </c>
      <c r="KD7" s="17">
        <f>IF(Distances[[#This Row],[Colonne271]]=$G7,KC7,Distances[[#This Row],[Colonne271]]+1)</f>
        <v>100</v>
      </c>
      <c r="KE7" s="17">
        <f>IF(Distances[[#This Row],[Colonne272]]=$G7,KD7,Distances[[#This Row],[Colonne272]]+1)</f>
        <v>100</v>
      </c>
      <c r="KF7" s="17">
        <f>IF(Distances[[#This Row],[Colonne273]]=$G7,KE7,Distances[[#This Row],[Colonne273]]+1)</f>
        <v>100</v>
      </c>
      <c r="KG7" s="17">
        <f>IF(Distances[[#This Row],[Colonne274]]=$G7,KF7,Distances[[#This Row],[Colonne274]]+1)</f>
        <v>100</v>
      </c>
      <c r="KH7" s="17">
        <f>IF(Distances[[#This Row],[Colonne275]]=$G7,KG7,Distances[[#This Row],[Colonne275]]+1)</f>
        <v>100</v>
      </c>
      <c r="KI7" s="17">
        <f>IF(Distances[[#This Row],[Colonne276]]=$G7,KH7,Distances[[#This Row],[Colonne276]]+1)</f>
        <v>100</v>
      </c>
      <c r="KJ7" s="17">
        <f>IF(Distances[[#This Row],[Colonne277]]=$G7,KI7,Distances[[#This Row],[Colonne277]]+1)</f>
        <v>100</v>
      </c>
      <c r="KK7" s="17">
        <f>IF(Distances[[#This Row],[Colonne278]]=$G7,KJ7,Distances[[#This Row],[Colonne278]]+1)</f>
        <v>100</v>
      </c>
      <c r="KL7" s="17">
        <f>IF(Distances[[#This Row],[Colonne279]]=$G7,KK7,Distances[[#This Row],[Colonne279]]+1)</f>
        <v>100</v>
      </c>
      <c r="KM7" s="17">
        <f>IF(Distances[[#This Row],[Colonne280]]=$G7,KL7,Distances[[#This Row],[Colonne280]]+1)</f>
        <v>100</v>
      </c>
      <c r="KN7" s="17">
        <f>IF(Distances[[#This Row],[Colonne281]]=$G7,KM7,Distances[[#This Row],[Colonne281]]+1)</f>
        <v>100</v>
      </c>
      <c r="KO7" s="17">
        <f>IF(Distances[[#This Row],[Colonne282]]=$G7,KN7,Distances[[#This Row],[Colonne282]]+1)</f>
        <v>100</v>
      </c>
      <c r="KP7" s="17">
        <f>IF(Distances[[#This Row],[Colonne283]]=$G7,KO7,Distances[[#This Row],[Colonne283]]+1)</f>
        <v>100</v>
      </c>
      <c r="KQ7" s="17">
        <f>IF(Distances[[#This Row],[Colonne284]]=$G7,KP7,Distances[[#This Row],[Colonne284]]+1)</f>
        <v>100</v>
      </c>
      <c r="KR7" s="17">
        <f>IF(Distances[[#This Row],[Colonne285]]=$G7,KQ7,Distances[[#This Row],[Colonne285]]+1)</f>
        <v>100</v>
      </c>
      <c r="KS7" s="17">
        <f>IF(Distances[[#This Row],[Colonne286]]=$G7,KR7,Distances[[#This Row],[Colonne286]]+1)</f>
        <v>100</v>
      </c>
      <c r="KT7" s="17">
        <f>IF(Distances[[#This Row],[Colonne287]]=$G7,KS7,Distances[[#This Row],[Colonne287]]+1)</f>
        <v>100</v>
      </c>
      <c r="KU7" s="17">
        <f>IF(Distances[[#This Row],[Colonne288]]=$G7,KT7,Distances[[#This Row],[Colonne288]]+1)</f>
        <v>100</v>
      </c>
      <c r="KV7" s="17">
        <f>IF(Distances[[#This Row],[Colonne289]]=$G7,KU7,Distances[[#This Row],[Colonne289]]+1)</f>
        <v>100</v>
      </c>
      <c r="KW7" s="17">
        <f>IF(Distances[[#This Row],[Colonne290]]=$G7,KV7,Distances[[#This Row],[Colonne290]]+1)</f>
        <v>100</v>
      </c>
      <c r="KX7" s="17">
        <f>IF(Distances[[#This Row],[Colonne291]]=$G7,KW7,Distances[[#This Row],[Colonne291]]+1)</f>
        <v>100</v>
      </c>
      <c r="KY7" s="17">
        <f>IF(Distances[[#This Row],[Colonne292]]=$G7,KX7,Distances[[#This Row],[Colonne292]]+1)</f>
        <v>100</v>
      </c>
      <c r="KZ7" s="17">
        <f>IF(Distances[[#This Row],[Colonne293]]=$G7,KY7,Distances[[#This Row],[Colonne293]]+1)</f>
        <v>100</v>
      </c>
      <c r="LA7" s="17">
        <f>IF(Distances[[#This Row],[Colonne294]]=$G7,KZ7,Distances[[#This Row],[Colonne294]]+1)</f>
        <v>100</v>
      </c>
      <c r="LB7" s="17">
        <f>IF(Distances[[#This Row],[Colonne295]]=$G7,LA7,Distances[[#This Row],[Colonne295]]+1)</f>
        <v>100</v>
      </c>
      <c r="LC7" s="17">
        <f>IF(Distances[[#This Row],[Colonne296]]=$G7,LB7,Distances[[#This Row],[Colonne296]]+1)</f>
        <v>100</v>
      </c>
      <c r="LD7" s="17">
        <f>IF(Distances[[#This Row],[Colonne297]]=$G7,LC7,Distances[[#This Row],[Colonne297]]+1)</f>
        <v>100</v>
      </c>
      <c r="LE7" s="17">
        <f>IF(Distances[[#This Row],[Colonne298]]=$G7,LD7,Distances[[#This Row],[Colonne298]]+1)</f>
        <v>100</v>
      </c>
      <c r="LF7" s="17">
        <f>IF(Distances[[#This Row],[Colonne299]]=$G7,LE7,Distances[[#This Row],[Colonne299]]+1)</f>
        <v>100</v>
      </c>
      <c r="LG7" s="17">
        <f>IF(Distances[[#This Row],[Colonne300]]=$G7,LF7,Distances[[#This Row],[Colonne300]]+1)</f>
        <v>100</v>
      </c>
      <c r="LH7" s="17">
        <f>IF(Distances[[#This Row],[Colonne301]]=$G7,LG7,Distances[[#This Row],[Colonne301]]+1)</f>
        <v>100</v>
      </c>
      <c r="LI7" s="17">
        <f>IF(Distances[[#This Row],[Colonne302]]=$G7,LH7,Distances[[#This Row],[Colonne302]]+1)</f>
        <v>100</v>
      </c>
      <c r="LJ7" s="17">
        <f>IF(Distances[[#This Row],[Colonne303]]=$G7,LI7,Distances[[#This Row],[Colonne303]]+1)</f>
        <v>100</v>
      </c>
      <c r="LK7" s="51"/>
      <c r="LL7" s="17">
        <f t="shared" ref="LL7:NW7" si="12">IF(LK7=$H7,LK7,LK7+1)</f>
        <v>1</v>
      </c>
      <c r="LM7" s="17">
        <f t="shared" si="12"/>
        <v>2</v>
      </c>
      <c r="LN7" s="17">
        <f t="shared" si="12"/>
        <v>3</v>
      </c>
      <c r="LO7" s="17">
        <f t="shared" si="12"/>
        <v>4</v>
      </c>
      <c r="LP7" s="17">
        <f t="shared" si="12"/>
        <v>5</v>
      </c>
      <c r="LQ7" s="17">
        <f t="shared" si="12"/>
        <v>6</v>
      </c>
      <c r="LR7" s="17">
        <f t="shared" si="12"/>
        <v>7</v>
      </c>
      <c r="LS7" s="17">
        <f t="shared" si="12"/>
        <v>8</v>
      </c>
      <c r="LT7" s="17">
        <f t="shared" si="12"/>
        <v>9</v>
      </c>
      <c r="LU7" s="17">
        <f t="shared" si="12"/>
        <v>10</v>
      </c>
      <c r="LV7" s="17">
        <f t="shared" si="12"/>
        <v>11</v>
      </c>
      <c r="LW7" s="17">
        <f t="shared" si="12"/>
        <v>12</v>
      </c>
      <c r="LX7" s="17">
        <f t="shared" si="12"/>
        <v>13</v>
      </c>
      <c r="LY7" s="17">
        <f t="shared" si="12"/>
        <v>14</v>
      </c>
      <c r="LZ7" s="17">
        <f t="shared" si="12"/>
        <v>15</v>
      </c>
      <c r="MA7" s="17">
        <f t="shared" si="12"/>
        <v>16</v>
      </c>
      <c r="MB7" s="17">
        <f t="shared" si="12"/>
        <v>17</v>
      </c>
      <c r="MC7" s="17">
        <f t="shared" si="12"/>
        <v>18</v>
      </c>
      <c r="MD7" s="17">
        <f t="shared" si="12"/>
        <v>19</v>
      </c>
      <c r="ME7" s="17">
        <f t="shared" si="12"/>
        <v>20</v>
      </c>
      <c r="MF7" s="17">
        <f t="shared" si="12"/>
        <v>21</v>
      </c>
      <c r="MG7" s="17">
        <f t="shared" si="12"/>
        <v>22</v>
      </c>
      <c r="MH7" s="17">
        <f t="shared" si="12"/>
        <v>23</v>
      </c>
      <c r="MI7" s="17">
        <f t="shared" si="12"/>
        <v>24</v>
      </c>
      <c r="MJ7" s="17">
        <f t="shared" si="12"/>
        <v>25</v>
      </c>
      <c r="MK7" s="17">
        <f t="shared" si="12"/>
        <v>26</v>
      </c>
      <c r="ML7" s="17">
        <f t="shared" si="12"/>
        <v>27</v>
      </c>
      <c r="MM7" s="17">
        <f t="shared" si="12"/>
        <v>28</v>
      </c>
      <c r="MN7" s="17">
        <f t="shared" si="12"/>
        <v>29</v>
      </c>
      <c r="MO7" s="17">
        <f t="shared" si="12"/>
        <v>30</v>
      </c>
      <c r="MP7" s="17">
        <f t="shared" si="12"/>
        <v>31</v>
      </c>
      <c r="MQ7" s="17">
        <f t="shared" si="12"/>
        <v>32</v>
      </c>
      <c r="MR7" s="17">
        <f t="shared" si="12"/>
        <v>33</v>
      </c>
      <c r="MS7" s="17">
        <f t="shared" si="12"/>
        <v>34</v>
      </c>
      <c r="MT7" s="17">
        <f t="shared" si="12"/>
        <v>35</v>
      </c>
      <c r="MU7" s="17">
        <f t="shared" si="12"/>
        <v>36</v>
      </c>
      <c r="MV7" s="17">
        <f t="shared" si="12"/>
        <v>37</v>
      </c>
      <c r="MW7" s="17">
        <f t="shared" si="12"/>
        <v>38</v>
      </c>
      <c r="MX7" s="17">
        <f t="shared" si="12"/>
        <v>39</v>
      </c>
      <c r="MY7" s="17">
        <f t="shared" si="12"/>
        <v>40</v>
      </c>
      <c r="MZ7" s="17">
        <f t="shared" si="12"/>
        <v>40</v>
      </c>
      <c r="NA7" s="17">
        <f t="shared" si="12"/>
        <v>40</v>
      </c>
      <c r="NB7" s="17">
        <f t="shared" si="12"/>
        <v>40</v>
      </c>
      <c r="NC7" s="17">
        <f t="shared" si="12"/>
        <v>40</v>
      </c>
      <c r="ND7" s="17">
        <f t="shared" si="12"/>
        <v>40</v>
      </c>
      <c r="NE7" s="17">
        <f t="shared" si="12"/>
        <v>40</v>
      </c>
      <c r="NF7" s="17">
        <f t="shared" si="12"/>
        <v>40</v>
      </c>
      <c r="NG7" s="17">
        <f t="shared" si="12"/>
        <v>40</v>
      </c>
      <c r="NH7" s="17">
        <f t="shared" si="12"/>
        <v>40</v>
      </c>
      <c r="NI7" s="17">
        <f t="shared" si="12"/>
        <v>40</v>
      </c>
      <c r="NJ7" s="17">
        <f t="shared" si="12"/>
        <v>40</v>
      </c>
      <c r="NK7" s="17">
        <f t="shared" si="12"/>
        <v>40</v>
      </c>
      <c r="NL7" s="17">
        <f t="shared" si="12"/>
        <v>40</v>
      </c>
      <c r="NM7" s="17">
        <f t="shared" si="12"/>
        <v>40</v>
      </c>
      <c r="NN7" s="17">
        <f t="shared" si="12"/>
        <v>40</v>
      </c>
      <c r="NO7" s="17">
        <f t="shared" si="12"/>
        <v>40</v>
      </c>
      <c r="NP7" s="17">
        <f t="shared" si="12"/>
        <v>40</v>
      </c>
      <c r="NQ7" s="17">
        <f t="shared" si="12"/>
        <v>40</v>
      </c>
      <c r="NR7" s="17">
        <f t="shared" si="12"/>
        <v>40</v>
      </c>
      <c r="NS7" s="17">
        <f t="shared" si="12"/>
        <v>40</v>
      </c>
      <c r="NT7" s="17">
        <f t="shared" si="12"/>
        <v>40</v>
      </c>
      <c r="NU7" s="17">
        <f t="shared" si="12"/>
        <v>40</v>
      </c>
      <c r="NV7" s="17">
        <f t="shared" si="12"/>
        <v>40</v>
      </c>
      <c r="NW7" s="17">
        <f t="shared" si="12"/>
        <v>40</v>
      </c>
      <c r="NX7" s="17">
        <f t="shared" ref="NX7:PG7" si="13">IF(NW7=$H7,NW7,NW7+1)</f>
        <v>40</v>
      </c>
      <c r="NY7" s="17">
        <f t="shared" si="13"/>
        <v>40</v>
      </c>
      <c r="NZ7" s="17">
        <f t="shared" si="13"/>
        <v>40</v>
      </c>
      <c r="OA7" s="17">
        <f t="shared" si="13"/>
        <v>40</v>
      </c>
      <c r="OB7" s="17">
        <f t="shared" si="13"/>
        <v>40</v>
      </c>
      <c r="OC7" s="17">
        <f t="shared" si="13"/>
        <v>40</v>
      </c>
      <c r="OD7" s="17">
        <f t="shared" si="13"/>
        <v>40</v>
      </c>
      <c r="OE7" s="17">
        <f t="shared" si="13"/>
        <v>40</v>
      </c>
      <c r="OF7" s="17">
        <f t="shared" si="13"/>
        <v>40</v>
      </c>
      <c r="OG7" s="17">
        <f t="shared" si="13"/>
        <v>40</v>
      </c>
      <c r="OH7" s="17">
        <f t="shared" si="13"/>
        <v>40</v>
      </c>
      <c r="OI7" s="17">
        <f t="shared" si="13"/>
        <v>40</v>
      </c>
      <c r="OJ7" s="17">
        <f t="shared" si="13"/>
        <v>40</v>
      </c>
      <c r="OK7" s="17">
        <f t="shared" si="13"/>
        <v>40</v>
      </c>
      <c r="OL7" s="17">
        <f t="shared" si="13"/>
        <v>40</v>
      </c>
      <c r="OM7" s="17">
        <f t="shared" si="13"/>
        <v>40</v>
      </c>
      <c r="ON7" s="17">
        <f t="shared" si="13"/>
        <v>40</v>
      </c>
      <c r="OO7" s="17">
        <f t="shared" si="13"/>
        <v>40</v>
      </c>
      <c r="OP7" s="17">
        <f t="shared" si="13"/>
        <v>40</v>
      </c>
      <c r="OQ7" s="17">
        <f t="shared" si="13"/>
        <v>40</v>
      </c>
      <c r="OR7" s="17">
        <f t="shared" si="13"/>
        <v>40</v>
      </c>
      <c r="OS7" s="17">
        <f t="shared" si="13"/>
        <v>40</v>
      </c>
      <c r="OT7" s="17">
        <f t="shared" si="13"/>
        <v>40</v>
      </c>
      <c r="OU7" s="17">
        <f t="shared" si="13"/>
        <v>40</v>
      </c>
      <c r="OV7" s="17">
        <f t="shared" si="13"/>
        <v>40</v>
      </c>
      <c r="OW7" s="17">
        <f t="shared" si="13"/>
        <v>40</v>
      </c>
      <c r="OX7" s="17">
        <f t="shared" si="13"/>
        <v>40</v>
      </c>
      <c r="OY7" s="17">
        <f t="shared" si="13"/>
        <v>40</v>
      </c>
      <c r="OZ7" s="17">
        <f t="shared" si="13"/>
        <v>40</v>
      </c>
      <c r="PA7" s="17">
        <f t="shared" si="13"/>
        <v>40</v>
      </c>
      <c r="PB7" s="17">
        <f t="shared" si="13"/>
        <v>40</v>
      </c>
      <c r="PC7" s="17">
        <f t="shared" si="13"/>
        <v>40</v>
      </c>
      <c r="PD7" s="17">
        <f t="shared" si="13"/>
        <v>40</v>
      </c>
      <c r="PE7" s="17">
        <f t="shared" si="13"/>
        <v>40</v>
      </c>
      <c r="PF7" s="17">
        <f t="shared" si="13"/>
        <v>40</v>
      </c>
      <c r="PG7" s="17">
        <f t="shared" si="13"/>
        <v>40</v>
      </c>
    </row>
    <row r="8" spans="1:423" x14ac:dyDescent="0.25">
      <c r="A8" s="8" t="s">
        <v>5509</v>
      </c>
      <c r="B8" s="9" t="s">
        <v>8499</v>
      </c>
      <c r="C8" s="9" t="str">
        <f t="shared" si="0"/>
        <v>LR2 LBIF</v>
      </c>
      <c r="D8" s="1" t="str">
        <f t="shared" si="1"/>
        <v>Libre R2 LBIF</v>
      </c>
      <c r="E8" s="1" t="s">
        <v>18</v>
      </c>
      <c r="F8" s="9" t="s">
        <v>5452</v>
      </c>
      <c r="G8" s="9">
        <v>100</v>
      </c>
      <c r="H8" s="9">
        <v>30</v>
      </c>
      <c r="I8" s="127">
        <v>2.8</v>
      </c>
      <c r="J8" s="9" t="s">
        <v>5511</v>
      </c>
      <c r="K8" s="281"/>
      <c r="L8" s="8"/>
      <c r="M8" s="9"/>
      <c r="N8" s="10"/>
      <c r="O8" s="269"/>
      <c r="P8" s="331"/>
      <c r="Q8" s="335"/>
      <c r="R8" s="128"/>
      <c r="S8" s="9"/>
      <c r="T8" s="10"/>
      <c r="U8" t="s">
        <v>5523</v>
      </c>
      <c r="V8" s="17">
        <v>0</v>
      </c>
      <c r="W8" s="17">
        <f>IF(Distances[[#This Row],[Colonne4]]=$G8,V8,Distances[[#This Row],[Colonne4]]+1)</f>
        <v>1</v>
      </c>
      <c r="X8" s="17">
        <f>IF(Distances[[#This Row],[Colonne5]]=$G8,W8,Distances[[#This Row],[Colonne5]]+1)</f>
        <v>2</v>
      </c>
      <c r="Y8" s="17">
        <f>IF(Distances[[#This Row],[Colonne6]]=$G8,X8,Distances[[#This Row],[Colonne6]]+1)</f>
        <v>3</v>
      </c>
      <c r="Z8" s="17">
        <f>IF(Distances[[#This Row],[Colonne7]]=$G8,Y8,Distances[[#This Row],[Colonne7]]+1)</f>
        <v>4</v>
      </c>
      <c r="AA8" s="17">
        <f>IF(Distances[[#This Row],[Colonne8]]=$G8,Z8,Distances[[#This Row],[Colonne8]]+1)</f>
        <v>5</v>
      </c>
      <c r="AB8" s="17">
        <f>IF(Distances[[#This Row],[Colonne9]]=$G8,AA8,Distances[[#This Row],[Colonne9]]+1)</f>
        <v>6</v>
      </c>
      <c r="AC8" s="17">
        <f>IF(Distances[[#This Row],[Colonne10]]=$G8,AB8,Distances[[#This Row],[Colonne10]]+1)</f>
        <v>7</v>
      </c>
      <c r="AD8" s="17">
        <f>IF(Distances[[#This Row],[Colonne11]]=$G8,AC8,Distances[[#This Row],[Colonne11]]+1)</f>
        <v>8</v>
      </c>
      <c r="AE8" s="17">
        <f>IF(Distances[[#This Row],[Colonne12]]=$G8,AD8,Distances[[#This Row],[Colonne12]]+1)</f>
        <v>9</v>
      </c>
      <c r="AF8" s="17">
        <f>IF(Distances[[#This Row],[Colonne13]]=$G8,AE8,Distances[[#This Row],[Colonne13]]+1)</f>
        <v>10</v>
      </c>
      <c r="AG8" s="17">
        <f>IF(Distances[[#This Row],[Colonne14]]=$G8,AF8,Distances[[#This Row],[Colonne14]]+1)</f>
        <v>11</v>
      </c>
      <c r="AH8" s="17">
        <f>IF(Distances[[#This Row],[Colonne15]]=$G8,AG8,Distances[[#This Row],[Colonne15]]+1)</f>
        <v>12</v>
      </c>
      <c r="AI8" s="17">
        <f>IF(Distances[[#This Row],[Colonne16]]=$G8,AH8,Distances[[#This Row],[Colonne16]]+1)</f>
        <v>13</v>
      </c>
      <c r="AJ8" s="17">
        <f>IF(Distances[[#This Row],[Colonne17]]=$G8,AI8,Distances[[#This Row],[Colonne17]]+1)</f>
        <v>14</v>
      </c>
      <c r="AK8" s="17">
        <f>IF(Distances[[#This Row],[Colonne18]]=$G8,AJ8,Distances[[#This Row],[Colonne18]]+1)</f>
        <v>15</v>
      </c>
      <c r="AL8" s="17">
        <f>IF(Distances[[#This Row],[Colonne19]]=$G8,AK8,Distances[[#This Row],[Colonne19]]+1)</f>
        <v>16</v>
      </c>
      <c r="AM8" s="17">
        <f>IF(Distances[[#This Row],[Colonne20]]=$G8,AL8,Distances[[#This Row],[Colonne20]]+1)</f>
        <v>17</v>
      </c>
      <c r="AN8" s="17">
        <f>IF(Distances[[#This Row],[Colonne21]]=$G8,AM8,Distances[[#This Row],[Colonne21]]+1)</f>
        <v>18</v>
      </c>
      <c r="AO8" s="17">
        <f>IF(Distances[[#This Row],[Colonne22]]=$G8,AN8,Distances[[#This Row],[Colonne22]]+1)</f>
        <v>19</v>
      </c>
      <c r="AP8" s="17">
        <f>IF(Distances[[#This Row],[Colonne23]]=$G8,AO8,Distances[[#This Row],[Colonne23]]+1)</f>
        <v>20</v>
      </c>
      <c r="AQ8" s="17">
        <f>IF(Distances[[#This Row],[Colonne24]]=$G8,AP8,Distances[[#This Row],[Colonne24]]+1)</f>
        <v>21</v>
      </c>
      <c r="AR8" s="17">
        <f>IF(Distances[[#This Row],[Colonne25]]=$G8,AQ8,Distances[[#This Row],[Colonne25]]+1)</f>
        <v>22</v>
      </c>
      <c r="AS8" s="17">
        <f>IF(Distances[[#This Row],[Colonne26]]=$G8,AR8,Distances[[#This Row],[Colonne26]]+1)</f>
        <v>23</v>
      </c>
      <c r="AT8" s="17">
        <f>IF(Distances[[#This Row],[Colonne27]]=$G8,AS8,Distances[[#This Row],[Colonne27]]+1)</f>
        <v>24</v>
      </c>
      <c r="AU8" s="17">
        <f>IF(Distances[[#This Row],[Colonne28]]=$G8,AT8,Distances[[#This Row],[Colonne28]]+1)</f>
        <v>25</v>
      </c>
      <c r="AV8" s="17">
        <f>IF(Distances[[#This Row],[Colonne29]]=$G8,AU8,Distances[[#This Row],[Colonne29]]+1)</f>
        <v>26</v>
      </c>
      <c r="AW8" s="17">
        <f>IF(Distances[[#This Row],[Colonne30]]=$G8,AV8,Distances[[#This Row],[Colonne30]]+1)</f>
        <v>27</v>
      </c>
      <c r="AX8" s="17">
        <f>IF(Distances[[#This Row],[Colonne31]]=$G8,AW8,Distances[[#This Row],[Colonne31]]+1)</f>
        <v>28</v>
      </c>
      <c r="AY8" s="17">
        <f>IF(Distances[[#This Row],[Colonne32]]=$G8,AX8,Distances[[#This Row],[Colonne32]]+1)</f>
        <v>29</v>
      </c>
      <c r="AZ8" s="17">
        <f>IF(Distances[[#This Row],[Colonne33]]=$G8,AY8,Distances[[#This Row],[Colonne33]]+1)</f>
        <v>30</v>
      </c>
      <c r="BA8" s="17">
        <f>IF(Distances[[#This Row],[Colonne34]]=$G8,AZ8,Distances[[#This Row],[Colonne34]]+1)</f>
        <v>31</v>
      </c>
      <c r="BB8" s="17">
        <f>IF(Distances[[#This Row],[Colonne35]]=$G8,BA8,Distances[[#This Row],[Colonne35]]+1)</f>
        <v>32</v>
      </c>
      <c r="BC8" s="17">
        <f>IF(Distances[[#This Row],[Colonne36]]=$G8,BB8,Distances[[#This Row],[Colonne36]]+1)</f>
        <v>33</v>
      </c>
      <c r="BD8" s="17">
        <f>IF(Distances[[#This Row],[Colonne37]]=$G8,BC8,Distances[[#This Row],[Colonne37]]+1)</f>
        <v>34</v>
      </c>
      <c r="BE8" s="17">
        <f>IF(Distances[[#This Row],[Colonne38]]=$G8,BD8,Distances[[#This Row],[Colonne38]]+1)</f>
        <v>35</v>
      </c>
      <c r="BF8" s="17">
        <f>IF(Distances[[#This Row],[Colonne39]]=$G8,BE8,Distances[[#This Row],[Colonne39]]+1)</f>
        <v>36</v>
      </c>
      <c r="BG8" s="17">
        <f>IF(Distances[[#This Row],[Colonne40]]=$G8,BF8,Distances[[#This Row],[Colonne40]]+1)</f>
        <v>37</v>
      </c>
      <c r="BH8" s="17">
        <f>IF(Distances[[#This Row],[Colonne41]]=$G8,BG8,Distances[[#This Row],[Colonne41]]+1)</f>
        <v>38</v>
      </c>
      <c r="BI8" s="17">
        <f>IF(Distances[[#This Row],[Colonne42]]=$G8,BH8,Distances[[#This Row],[Colonne42]]+1)</f>
        <v>39</v>
      </c>
      <c r="BJ8" s="17">
        <f>IF(Distances[[#This Row],[Colonne43]]=$G8,BI8,Distances[[#This Row],[Colonne43]]+1)</f>
        <v>40</v>
      </c>
      <c r="BK8" s="17">
        <f>IF(Distances[[#This Row],[Colonne44]]=$G8,BJ8,Distances[[#This Row],[Colonne44]]+1)</f>
        <v>41</v>
      </c>
      <c r="BL8" s="17">
        <f>IF(Distances[[#This Row],[Colonne45]]=$G8,BK8,Distances[[#This Row],[Colonne45]]+1)</f>
        <v>42</v>
      </c>
      <c r="BM8" s="17">
        <f>IF(Distances[[#This Row],[Colonne46]]=$G8,BL8,Distances[[#This Row],[Colonne46]]+1)</f>
        <v>43</v>
      </c>
      <c r="BN8" s="17">
        <f>IF(Distances[[#This Row],[Colonne47]]=$G8,BM8,Distances[[#This Row],[Colonne47]]+1)</f>
        <v>44</v>
      </c>
      <c r="BO8" s="17">
        <f>IF(Distances[[#This Row],[Colonne48]]=$G8,BN8,Distances[[#This Row],[Colonne48]]+1)</f>
        <v>45</v>
      </c>
      <c r="BP8" s="17">
        <f>IF(Distances[[#This Row],[Colonne49]]=$G8,BO8,Distances[[#This Row],[Colonne49]]+1)</f>
        <v>46</v>
      </c>
      <c r="BQ8" s="17">
        <f>IF(Distances[[#This Row],[Colonne50]]=$G8,BP8,Distances[[#This Row],[Colonne50]]+1)</f>
        <v>47</v>
      </c>
      <c r="BR8" s="17">
        <f>IF(Distances[[#This Row],[Colonne51]]=$G8,BQ8,Distances[[#This Row],[Colonne51]]+1)</f>
        <v>48</v>
      </c>
      <c r="BS8" s="17">
        <f>IF(Distances[[#This Row],[Colonne52]]=$G8,BR8,Distances[[#This Row],[Colonne52]]+1)</f>
        <v>49</v>
      </c>
      <c r="BT8" s="17">
        <f>IF(Distances[[#This Row],[Colonne53]]=$G8,BS8,Distances[[#This Row],[Colonne53]]+1)</f>
        <v>50</v>
      </c>
      <c r="BU8" s="17">
        <f>IF(Distances[[#This Row],[Colonne54]]=$G8,BT8,Distances[[#This Row],[Colonne54]]+1)</f>
        <v>51</v>
      </c>
      <c r="BV8" s="17">
        <f>IF(Distances[[#This Row],[Colonne55]]=$G8,BU8,Distances[[#This Row],[Colonne55]]+1)</f>
        <v>52</v>
      </c>
      <c r="BW8" s="17">
        <f>IF(Distances[[#This Row],[Colonne56]]=$G8,BV8,Distances[[#This Row],[Colonne56]]+1)</f>
        <v>53</v>
      </c>
      <c r="BX8" s="17">
        <f>IF(Distances[[#This Row],[Colonne57]]=$G8,BW8,Distances[[#This Row],[Colonne57]]+1)</f>
        <v>54</v>
      </c>
      <c r="BY8" s="17">
        <f>IF(Distances[[#This Row],[Colonne58]]=$G8,BX8,Distances[[#This Row],[Colonne58]]+1)</f>
        <v>55</v>
      </c>
      <c r="BZ8" s="17">
        <f>IF(Distances[[#This Row],[Colonne59]]=$G8,BY8,Distances[[#This Row],[Colonne59]]+1)</f>
        <v>56</v>
      </c>
      <c r="CA8" s="17">
        <f>IF(Distances[[#This Row],[Colonne60]]=$G8,BZ8,Distances[[#This Row],[Colonne60]]+1)</f>
        <v>57</v>
      </c>
      <c r="CB8" s="17">
        <f>IF(Distances[[#This Row],[Colonne61]]=$G8,CA8,Distances[[#This Row],[Colonne61]]+1)</f>
        <v>58</v>
      </c>
      <c r="CC8" s="17">
        <f>IF(Distances[[#This Row],[Colonne62]]=$G8,CB8,Distances[[#This Row],[Colonne62]]+1)</f>
        <v>59</v>
      </c>
      <c r="CD8" s="17">
        <f>IF(Distances[[#This Row],[Colonne63]]=$G8,CC8,Distances[[#This Row],[Colonne63]]+1)</f>
        <v>60</v>
      </c>
      <c r="CE8" s="17">
        <f>IF(Distances[[#This Row],[Colonne64]]=$G8,CD8,Distances[[#This Row],[Colonne64]]+1)</f>
        <v>61</v>
      </c>
      <c r="CF8" s="17">
        <f>IF(Distances[[#This Row],[Colonne65]]=$G8,CE8,Distances[[#This Row],[Colonne65]]+1)</f>
        <v>62</v>
      </c>
      <c r="CG8" s="17">
        <f>IF(Distances[[#This Row],[Colonne66]]=$G8,CF8,Distances[[#This Row],[Colonne66]]+1)</f>
        <v>63</v>
      </c>
      <c r="CH8" s="17">
        <f>IF(Distances[[#This Row],[Colonne67]]=$G8,CG8,Distances[[#This Row],[Colonne67]]+1)</f>
        <v>64</v>
      </c>
      <c r="CI8" s="17">
        <f>IF(Distances[[#This Row],[Colonne68]]=$G8,CH8,Distances[[#This Row],[Colonne68]]+1)</f>
        <v>65</v>
      </c>
      <c r="CJ8" s="17">
        <f>IF(Distances[[#This Row],[Colonne69]]=$G8,CI8,Distances[[#This Row],[Colonne69]]+1)</f>
        <v>66</v>
      </c>
      <c r="CK8" s="17">
        <f>IF(Distances[[#This Row],[Colonne70]]=$G8,CJ8,Distances[[#This Row],[Colonne70]]+1)</f>
        <v>67</v>
      </c>
      <c r="CL8" s="17">
        <f>IF(Distances[[#This Row],[Colonne71]]=$G8,CK8,Distances[[#This Row],[Colonne71]]+1)</f>
        <v>68</v>
      </c>
      <c r="CM8" s="17">
        <f>IF(Distances[[#This Row],[Colonne72]]=$G8,CL8,Distances[[#This Row],[Colonne72]]+1)</f>
        <v>69</v>
      </c>
      <c r="CN8" s="17">
        <f>IF(Distances[[#This Row],[Colonne73]]=$G8,CM8,Distances[[#This Row],[Colonne73]]+1)</f>
        <v>70</v>
      </c>
      <c r="CO8" s="17">
        <f>IF(Distances[[#This Row],[Colonne74]]=$G8,CN8,Distances[[#This Row],[Colonne74]]+1)</f>
        <v>71</v>
      </c>
      <c r="CP8" s="17">
        <f>IF(Distances[[#This Row],[Colonne75]]=$G8,CO8,Distances[[#This Row],[Colonne75]]+1)</f>
        <v>72</v>
      </c>
      <c r="CQ8" s="17">
        <f>IF(Distances[[#This Row],[Colonne76]]=$G8,CP8,Distances[[#This Row],[Colonne76]]+1)</f>
        <v>73</v>
      </c>
      <c r="CR8" s="17">
        <f>IF(Distances[[#This Row],[Colonne77]]=$G8,CQ8,Distances[[#This Row],[Colonne77]]+1)</f>
        <v>74</v>
      </c>
      <c r="CS8" s="17">
        <f>IF(Distances[[#This Row],[Colonne78]]=$G8,CR8,Distances[[#This Row],[Colonne78]]+1)</f>
        <v>75</v>
      </c>
      <c r="CT8" s="17">
        <f>IF(Distances[[#This Row],[Colonne79]]=$G8,CS8,Distances[[#This Row],[Colonne79]]+1)</f>
        <v>76</v>
      </c>
      <c r="CU8" s="17">
        <f>IF(Distances[[#This Row],[Colonne80]]=$G8,CT8,Distances[[#This Row],[Colonne80]]+1)</f>
        <v>77</v>
      </c>
      <c r="CV8" s="17">
        <f>IF(Distances[[#This Row],[Colonne81]]=$G8,CU8,Distances[[#This Row],[Colonne81]]+1)</f>
        <v>78</v>
      </c>
      <c r="CW8" s="17">
        <f>IF(Distances[[#This Row],[Colonne82]]=$G8,CV8,Distances[[#This Row],[Colonne82]]+1)</f>
        <v>79</v>
      </c>
      <c r="CX8" s="17">
        <f>IF(Distances[[#This Row],[Colonne83]]=$G8,CW8,Distances[[#This Row],[Colonne83]]+1)</f>
        <v>80</v>
      </c>
      <c r="CY8" s="17">
        <f>IF(Distances[[#This Row],[Colonne84]]=$G8,CX8,Distances[[#This Row],[Colonne84]]+1)</f>
        <v>81</v>
      </c>
      <c r="CZ8" s="17">
        <f>IF(Distances[[#This Row],[Colonne85]]=$G8,CY8,Distances[[#This Row],[Colonne85]]+1)</f>
        <v>82</v>
      </c>
      <c r="DA8" s="17">
        <f>IF(Distances[[#This Row],[Colonne86]]=$G8,CZ8,Distances[[#This Row],[Colonne86]]+1)</f>
        <v>83</v>
      </c>
      <c r="DB8" s="17">
        <f>IF(Distances[[#This Row],[Colonne87]]=$G8,DA8,Distances[[#This Row],[Colonne87]]+1)</f>
        <v>84</v>
      </c>
      <c r="DC8" s="17">
        <f>IF(Distances[[#This Row],[Colonne88]]=$G8,DB8,Distances[[#This Row],[Colonne88]]+1)</f>
        <v>85</v>
      </c>
      <c r="DD8" s="17">
        <f>IF(Distances[[#This Row],[Colonne89]]=$G8,DC8,Distances[[#This Row],[Colonne89]]+1)</f>
        <v>86</v>
      </c>
      <c r="DE8" s="17">
        <f>IF(Distances[[#This Row],[Colonne90]]=$G8,DD8,Distances[[#This Row],[Colonne90]]+1)</f>
        <v>87</v>
      </c>
      <c r="DF8" s="17">
        <f>IF(Distances[[#This Row],[Colonne91]]=$G8,DE8,Distances[[#This Row],[Colonne91]]+1)</f>
        <v>88</v>
      </c>
      <c r="DG8" s="17">
        <f>IF(Distances[[#This Row],[Colonne92]]=$G8,DF8,Distances[[#This Row],[Colonne92]]+1)</f>
        <v>89</v>
      </c>
      <c r="DH8" s="17">
        <f>IF(Distances[[#This Row],[Colonne93]]=$G8,DG8,Distances[[#This Row],[Colonne93]]+1)</f>
        <v>90</v>
      </c>
      <c r="DI8" s="17">
        <f>IF(Distances[[#This Row],[Colonne94]]=$G8,DH8,Distances[[#This Row],[Colonne94]]+1)</f>
        <v>91</v>
      </c>
      <c r="DJ8" s="17">
        <f>IF(Distances[[#This Row],[Colonne95]]=$G8,DI8,Distances[[#This Row],[Colonne95]]+1)</f>
        <v>92</v>
      </c>
      <c r="DK8" s="17">
        <f>IF(Distances[[#This Row],[Colonne96]]=$G8,DJ8,Distances[[#This Row],[Colonne96]]+1)</f>
        <v>93</v>
      </c>
      <c r="DL8" s="17">
        <f>IF(Distances[[#This Row],[Colonne97]]=$G8,DK8,Distances[[#This Row],[Colonne97]]+1)</f>
        <v>94</v>
      </c>
      <c r="DM8" s="17">
        <f>IF(Distances[[#This Row],[Colonne98]]=$G8,DL8,Distances[[#This Row],[Colonne98]]+1)</f>
        <v>95</v>
      </c>
      <c r="DN8" s="17">
        <f>IF(Distances[[#This Row],[Colonne99]]=$G8,DM8,Distances[[#This Row],[Colonne99]]+1)</f>
        <v>96</v>
      </c>
      <c r="DO8" s="17">
        <f>IF(Distances[[#This Row],[Colonne100]]=$G8,DN8,Distances[[#This Row],[Colonne100]]+1)</f>
        <v>97</v>
      </c>
      <c r="DP8" s="17">
        <f>IF(Distances[[#This Row],[Colonne101]]=$G8,DO8,Distances[[#This Row],[Colonne101]]+1)</f>
        <v>98</v>
      </c>
      <c r="DQ8" s="17">
        <f>IF(Distances[[#This Row],[Colonne102]]=$G8,DP8,Distances[[#This Row],[Colonne102]]+1)</f>
        <v>99</v>
      </c>
      <c r="DR8" s="17">
        <f>IF(Distances[[#This Row],[Colonne103]]=$G8,DQ8,Distances[[#This Row],[Colonne103]]+1)</f>
        <v>100</v>
      </c>
      <c r="DS8" s="17">
        <f>IF(Distances[[#This Row],[Colonne104]]=$G8,DR8,Distances[[#This Row],[Colonne104]]+1)</f>
        <v>100</v>
      </c>
      <c r="DT8" s="17">
        <f>IF(Distances[[#This Row],[Colonne105]]=$G8,DS8,Distances[[#This Row],[Colonne105]]+1)</f>
        <v>100</v>
      </c>
      <c r="DU8" s="17">
        <f>IF(Distances[[#This Row],[Colonne106]]=$G8,DT8,Distances[[#This Row],[Colonne106]]+1)</f>
        <v>100</v>
      </c>
      <c r="DV8" s="17">
        <f>IF(Distances[[#This Row],[Colonne107]]=$G8,DU8,Distances[[#This Row],[Colonne107]]+1)</f>
        <v>100</v>
      </c>
      <c r="DW8" s="17">
        <f>IF(Distances[[#This Row],[Colonne108]]=$G8,DV8,Distances[[#This Row],[Colonne108]]+1)</f>
        <v>100</v>
      </c>
      <c r="DX8" s="17">
        <f>IF(Distances[[#This Row],[Colonne109]]=$G8,DW8,Distances[[#This Row],[Colonne109]]+1)</f>
        <v>100</v>
      </c>
      <c r="DY8" s="17">
        <f>IF(Distances[[#This Row],[Colonne110]]=$G8,DX8,Distances[[#This Row],[Colonne110]]+1)</f>
        <v>100</v>
      </c>
      <c r="DZ8" s="17">
        <f>IF(Distances[[#This Row],[Colonne111]]=$G8,DY8,Distances[[#This Row],[Colonne111]]+1)</f>
        <v>100</v>
      </c>
      <c r="EA8" s="17">
        <f>IF(Distances[[#This Row],[Colonne112]]=$G8,DZ8,Distances[[#This Row],[Colonne112]]+1)</f>
        <v>100</v>
      </c>
      <c r="EB8" s="17">
        <f>IF(Distances[[#This Row],[Colonne113]]=$G8,EA8,Distances[[#This Row],[Colonne113]]+1)</f>
        <v>100</v>
      </c>
      <c r="EC8" s="17">
        <f>IF(Distances[[#This Row],[Colonne114]]=$G8,EB8,Distances[[#This Row],[Colonne114]]+1)</f>
        <v>100</v>
      </c>
      <c r="ED8" s="17">
        <f>IF(Distances[[#This Row],[Colonne115]]=$G8,EC8,Distances[[#This Row],[Colonne115]]+1)</f>
        <v>100</v>
      </c>
      <c r="EE8" s="17">
        <f>IF(Distances[[#This Row],[Colonne116]]=$G8,ED8,Distances[[#This Row],[Colonne116]]+1)</f>
        <v>100</v>
      </c>
      <c r="EF8" s="17">
        <f>IF(Distances[[#This Row],[Colonne117]]=$G8,EE8,Distances[[#This Row],[Colonne117]]+1)</f>
        <v>100</v>
      </c>
      <c r="EG8" s="17">
        <f>IF(Distances[[#This Row],[Colonne118]]=$G8,EF8,Distances[[#This Row],[Colonne118]]+1)</f>
        <v>100</v>
      </c>
      <c r="EH8" s="17">
        <f>IF(Distances[[#This Row],[Colonne119]]=$G8,EG8,Distances[[#This Row],[Colonne119]]+1)</f>
        <v>100</v>
      </c>
      <c r="EI8" s="17">
        <f>IF(Distances[[#This Row],[Colonne120]]=$G8,EH8,Distances[[#This Row],[Colonne120]]+1)</f>
        <v>100</v>
      </c>
      <c r="EJ8" s="17">
        <f>IF(Distances[[#This Row],[Colonne121]]=$G8,EI8,Distances[[#This Row],[Colonne121]]+1)</f>
        <v>100</v>
      </c>
      <c r="EK8" s="17">
        <f>IF(Distances[[#This Row],[Colonne122]]=$G8,EJ8,Distances[[#This Row],[Colonne122]]+1)</f>
        <v>100</v>
      </c>
      <c r="EL8" s="17">
        <f>IF(Distances[[#This Row],[Colonne123]]=$G8,EK8,Distances[[#This Row],[Colonne123]]+1)</f>
        <v>100</v>
      </c>
      <c r="EM8" s="17">
        <f>IF(Distances[[#This Row],[Colonne124]]=$G8,EL8,Distances[[#This Row],[Colonne124]]+1)</f>
        <v>100</v>
      </c>
      <c r="EN8" s="17">
        <f>IF(Distances[[#This Row],[Colonne125]]=$G8,EM8,Distances[[#This Row],[Colonne125]]+1)</f>
        <v>100</v>
      </c>
      <c r="EO8" s="17">
        <f>IF(Distances[[#This Row],[Colonne126]]=$G8,EN8,Distances[[#This Row],[Colonne126]]+1)</f>
        <v>100</v>
      </c>
      <c r="EP8" s="17">
        <f>IF(Distances[[#This Row],[Colonne127]]=$G8,EO8,Distances[[#This Row],[Colonne127]]+1)</f>
        <v>100</v>
      </c>
      <c r="EQ8" s="17">
        <f>IF(Distances[[#This Row],[Colonne128]]=$G8,EP8,Distances[[#This Row],[Colonne128]]+1)</f>
        <v>100</v>
      </c>
      <c r="ER8" s="17">
        <f>IF(Distances[[#This Row],[Colonne129]]=$G8,EQ8,Distances[[#This Row],[Colonne129]]+1)</f>
        <v>100</v>
      </c>
      <c r="ES8" s="17">
        <f>IF(Distances[[#This Row],[Colonne130]]=$G8,ER8,Distances[[#This Row],[Colonne130]]+1)</f>
        <v>100</v>
      </c>
      <c r="ET8" s="17">
        <f>IF(Distances[[#This Row],[Colonne131]]=$G8,ES8,Distances[[#This Row],[Colonne131]]+1)</f>
        <v>100</v>
      </c>
      <c r="EU8" s="17">
        <f>IF(Distances[[#This Row],[Colonne132]]=$G8,ET8,Distances[[#This Row],[Colonne132]]+1)</f>
        <v>100</v>
      </c>
      <c r="EV8" s="17">
        <f>IF(Distances[[#This Row],[Colonne133]]=$G8,EU8,Distances[[#This Row],[Colonne133]]+1)</f>
        <v>100</v>
      </c>
      <c r="EW8" s="17">
        <f>IF(Distances[[#This Row],[Colonne134]]=$G8,EV8,Distances[[#This Row],[Colonne134]]+1)</f>
        <v>100</v>
      </c>
      <c r="EX8" s="17">
        <f>IF(Distances[[#This Row],[Colonne135]]=$G8,EW8,Distances[[#This Row],[Colonne135]]+1)</f>
        <v>100</v>
      </c>
      <c r="EY8" s="17">
        <f>IF(Distances[[#This Row],[Colonne136]]=$G8,EX8,Distances[[#This Row],[Colonne136]]+1)</f>
        <v>100</v>
      </c>
      <c r="EZ8" s="17">
        <f>IF(Distances[[#This Row],[Colonne137]]=$G8,EY8,Distances[[#This Row],[Colonne137]]+1)</f>
        <v>100</v>
      </c>
      <c r="FA8" s="17">
        <f>IF(Distances[[#This Row],[Colonne138]]=$G8,EZ8,Distances[[#This Row],[Colonne138]]+1)</f>
        <v>100</v>
      </c>
      <c r="FB8" s="17">
        <f>IF(Distances[[#This Row],[Colonne139]]=$G8,FA8,Distances[[#This Row],[Colonne139]]+1)</f>
        <v>100</v>
      </c>
      <c r="FC8" s="17">
        <f>IF(Distances[[#This Row],[Colonne140]]=$G8,FB8,Distances[[#This Row],[Colonne140]]+1)</f>
        <v>100</v>
      </c>
      <c r="FD8" s="17">
        <f>IF(Distances[[#This Row],[Colonne141]]=$G8,FC8,Distances[[#This Row],[Colonne141]]+1)</f>
        <v>100</v>
      </c>
      <c r="FE8" s="17">
        <f>IF(Distances[[#This Row],[Colonne142]]=$G8,FD8,Distances[[#This Row],[Colonne142]]+1)</f>
        <v>100</v>
      </c>
      <c r="FF8" s="17">
        <f>IF(Distances[[#This Row],[Colonne143]]=$G8,FE8,Distances[[#This Row],[Colonne143]]+1)</f>
        <v>100</v>
      </c>
      <c r="FG8" s="17">
        <f>IF(Distances[[#This Row],[Colonne144]]=$G8,FF8,Distances[[#This Row],[Colonne144]]+1)</f>
        <v>100</v>
      </c>
      <c r="FH8" s="17">
        <f>IF(Distances[[#This Row],[Colonne145]]=$G8,FG8,Distances[[#This Row],[Colonne145]]+1)</f>
        <v>100</v>
      </c>
      <c r="FI8" s="17">
        <f>IF(Distances[[#This Row],[Colonne146]]=$G8,FH8,Distances[[#This Row],[Colonne146]]+1)</f>
        <v>100</v>
      </c>
      <c r="FJ8" s="17">
        <f>IF(Distances[[#This Row],[Colonne147]]=$G8,FI8,Distances[[#This Row],[Colonne147]]+1)</f>
        <v>100</v>
      </c>
      <c r="FK8" s="17">
        <f>IF(Distances[[#This Row],[Colonne148]]=$G8,FJ8,Distances[[#This Row],[Colonne148]]+1)</f>
        <v>100</v>
      </c>
      <c r="FL8" s="17">
        <f>IF(Distances[[#This Row],[Colonne149]]=$G8,FK8,Distances[[#This Row],[Colonne149]]+1)</f>
        <v>100</v>
      </c>
      <c r="FM8" s="17">
        <f>IF(Distances[[#This Row],[Colonne150]]=$G8,FL8,Distances[[#This Row],[Colonne150]]+1)</f>
        <v>100</v>
      </c>
      <c r="FN8" s="17">
        <f>IF(Distances[[#This Row],[Colonne151]]=$G8,FM8,Distances[[#This Row],[Colonne151]]+1)</f>
        <v>100</v>
      </c>
      <c r="FO8" s="17">
        <f>IF(Distances[[#This Row],[Colonne152]]=$G8,FN8,Distances[[#This Row],[Colonne152]]+1)</f>
        <v>100</v>
      </c>
      <c r="FP8" s="17">
        <f>IF(Distances[[#This Row],[Colonne153]]=$G8,FO8,Distances[[#This Row],[Colonne153]]+1)</f>
        <v>100</v>
      </c>
      <c r="FQ8" s="17">
        <f>IF(Distances[[#This Row],[Colonne154]]=$G8,FP8,Distances[[#This Row],[Colonne154]]+1)</f>
        <v>100</v>
      </c>
      <c r="FR8" s="17">
        <f>IF(Distances[[#This Row],[Colonne155]]=$G8,FQ8,Distances[[#This Row],[Colonne155]]+1)</f>
        <v>100</v>
      </c>
      <c r="FS8" s="17">
        <f>IF(Distances[[#This Row],[Colonne156]]=$G8,FR8,Distances[[#This Row],[Colonne156]]+1)</f>
        <v>100</v>
      </c>
      <c r="FT8" s="17">
        <f>IF(Distances[[#This Row],[Colonne157]]=$G8,FS8,Distances[[#This Row],[Colonne157]]+1)</f>
        <v>100</v>
      </c>
      <c r="FU8" s="17">
        <f>IF(Distances[[#This Row],[Colonne158]]=$G8,FT8,Distances[[#This Row],[Colonne158]]+1)</f>
        <v>100</v>
      </c>
      <c r="FV8" s="17">
        <f>IF(Distances[[#This Row],[Colonne159]]=$G8,FU8,Distances[[#This Row],[Colonne159]]+1)</f>
        <v>100</v>
      </c>
      <c r="FW8" s="17">
        <f>IF(Distances[[#This Row],[Colonne160]]=$G8,FV8,Distances[[#This Row],[Colonne160]]+1)</f>
        <v>100</v>
      </c>
      <c r="FX8" s="17">
        <f>IF(Distances[[#This Row],[Colonne161]]=$G8,FW8,Distances[[#This Row],[Colonne161]]+1)</f>
        <v>100</v>
      </c>
      <c r="FY8" s="17">
        <f>IF(Distances[[#This Row],[Colonne162]]=$G8,FX8,Distances[[#This Row],[Colonne162]]+1)</f>
        <v>100</v>
      </c>
      <c r="FZ8" s="17">
        <f>IF(Distances[[#This Row],[Colonne163]]=$G8,FY8,Distances[[#This Row],[Colonne163]]+1)</f>
        <v>100</v>
      </c>
      <c r="GA8" s="17">
        <f>IF(Distances[[#This Row],[Colonne164]]=$G8,FZ8,Distances[[#This Row],[Colonne164]]+1)</f>
        <v>100</v>
      </c>
      <c r="GB8" s="17">
        <f>IF(Distances[[#This Row],[Colonne165]]=$G8,GA8,Distances[[#This Row],[Colonne165]]+1)</f>
        <v>100</v>
      </c>
      <c r="GC8" s="17">
        <f>IF(Distances[[#This Row],[Colonne166]]=$G8,GB8,Distances[[#This Row],[Colonne166]]+1)</f>
        <v>100</v>
      </c>
      <c r="GD8" s="17">
        <f>IF(Distances[[#This Row],[Colonne167]]=$G8,GC8,Distances[[#This Row],[Colonne167]]+1)</f>
        <v>100</v>
      </c>
      <c r="GE8" s="17">
        <f>IF(Distances[[#This Row],[Colonne168]]=$G8,GD8,Distances[[#This Row],[Colonne168]]+1)</f>
        <v>100</v>
      </c>
      <c r="GF8" s="17">
        <f>IF(Distances[[#This Row],[Colonne169]]=$G8,GE8,Distances[[#This Row],[Colonne169]]+1)</f>
        <v>100</v>
      </c>
      <c r="GG8" s="17">
        <f>IF(Distances[[#This Row],[Colonne170]]=$G8,GF8,Distances[[#This Row],[Colonne170]]+1)</f>
        <v>100</v>
      </c>
      <c r="GH8" s="17">
        <f>IF(Distances[[#This Row],[Colonne171]]=$G8,GG8,Distances[[#This Row],[Colonne171]]+1)</f>
        <v>100</v>
      </c>
      <c r="GI8" s="17">
        <f>IF(Distances[[#This Row],[Colonne172]]=$G8,GH8,Distances[[#This Row],[Colonne172]]+1)</f>
        <v>100</v>
      </c>
      <c r="GJ8" s="17">
        <f>IF(Distances[[#This Row],[Colonne173]]=$G8,GI8,Distances[[#This Row],[Colonne173]]+1)</f>
        <v>100</v>
      </c>
      <c r="GK8" s="17">
        <f>IF(Distances[[#This Row],[Colonne174]]=$G8,GJ8,Distances[[#This Row],[Colonne174]]+1)</f>
        <v>100</v>
      </c>
      <c r="GL8" s="17">
        <f>IF(Distances[[#This Row],[Colonne175]]=$G8,GK8,Distances[[#This Row],[Colonne175]]+1)</f>
        <v>100</v>
      </c>
      <c r="GM8" s="17">
        <f>IF(Distances[[#This Row],[Colonne176]]=$G8,GL8,Distances[[#This Row],[Colonne176]]+1)</f>
        <v>100</v>
      </c>
      <c r="GN8" s="17">
        <f>IF(Distances[[#This Row],[Colonne177]]=$G8,GM8,Distances[[#This Row],[Colonne177]]+1)</f>
        <v>100</v>
      </c>
      <c r="GO8" s="17">
        <f>IF(Distances[[#This Row],[Colonne178]]=$G8,GN8,Distances[[#This Row],[Colonne178]]+1)</f>
        <v>100</v>
      </c>
      <c r="GP8" s="17">
        <f>IF(Distances[[#This Row],[Colonne179]]=$G8,GO8,Distances[[#This Row],[Colonne179]]+1)</f>
        <v>100</v>
      </c>
      <c r="GQ8" s="17">
        <f>IF(Distances[[#This Row],[Colonne180]]=$G8,GP8,Distances[[#This Row],[Colonne180]]+1)</f>
        <v>100</v>
      </c>
      <c r="GR8" s="17">
        <f>IF(Distances[[#This Row],[Colonne181]]=$G8,GQ8,Distances[[#This Row],[Colonne181]]+1)</f>
        <v>100</v>
      </c>
      <c r="GS8" s="17">
        <f>IF(Distances[[#This Row],[Colonne182]]=$G8,GR8,Distances[[#This Row],[Colonne182]]+1)</f>
        <v>100</v>
      </c>
      <c r="GT8" s="17">
        <f>IF(Distances[[#This Row],[Colonne183]]=$G8,GS8,Distances[[#This Row],[Colonne183]]+1)</f>
        <v>100</v>
      </c>
      <c r="GU8" s="17">
        <f>IF(Distances[[#This Row],[Colonne184]]=$G8,GT8,Distances[[#This Row],[Colonne184]]+1)</f>
        <v>100</v>
      </c>
      <c r="GV8" s="17">
        <f>IF(Distances[[#This Row],[Colonne185]]=$G8,GU8,Distances[[#This Row],[Colonne185]]+1)</f>
        <v>100</v>
      </c>
      <c r="GW8" s="17">
        <f>IF(Distances[[#This Row],[Colonne186]]=$G8,GV8,Distances[[#This Row],[Colonne186]]+1)</f>
        <v>100</v>
      </c>
      <c r="GX8" s="17">
        <f>IF(Distances[[#This Row],[Colonne187]]=$G8,GW8,Distances[[#This Row],[Colonne187]]+1)</f>
        <v>100</v>
      </c>
      <c r="GY8" s="17">
        <f>IF(Distances[[#This Row],[Colonne188]]=$G8,GX8,Distances[[#This Row],[Colonne188]]+1)</f>
        <v>100</v>
      </c>
      <c r="GZ8" s="17">
        <f>IF(Distances[[#This Row],[Colonne189]]=$G8,GY8,Distances[[#This Row],[Colonne189]]+1)</f>
        <v>100</v>
      </c>
      <c r="HA8" s="17">
        <f>IF(Distances[[#This Row],[Colonne190]]=$G8,GZ8,Distances[[#This Row],[Colonne190]]+1)</f>
        <v>100</v>
      </c>
      <c r="HB8" s="17">
        <f>IF(Distances[[#This Row],[Colonne191]]=$G8,HA8,Distances[[#This Row],[Colonne191]]+1)</f>
        <v>100</v>
      </c>
      <c r="HC8" s="17">
        <f>IF(Distances[[#This Row],[Colonne192]]=$G8,HB8,Distances[[#This Row],[Colonne192]]+1)</f>
        <v>100</v>
      </c>
      <c r="HD8" s="17">
        <f>IF(Distances[[#This Row],[Colonne193]]=$G8,HC8,Distances[[#This Row],[Colonne193]]+1)</f>
        <v>100</v>
      </c>
      <c r="HE8" s="17">
        <f>IF(Distances[[#This Row],[Colonne194]]=$G8,HD8,Distances[[#This Row],[Colonne194]]+1)</f>
        <v>100</v>
      </c>
      <c r="HF8" s="17">
        <f>IF(Distances[[#This Row],[Colonne195]]=$G8,HE8,Distances[[#This Row],[Colonne195]]+1)</f>
        <v>100</v>
      </c>
      <c r="HG8" s="17">
        <f>IF(Distances[[#This Row],[Colonne196]]=$G8,HF8,Distances[[#This Row],[Colonne196]]+1)</f>
        <v>100</v>
      </c>
      <c r="HH8" s="17">
        <f>IF(Distances[[#This Row],[Colonne197]]=$G8,HG8,Distances[[#This Row],[Colonne197]]+1)</f>
        <v>100</v>
      </c>
      <c r="HI8" s="17">
        <f>IF(Distances[[#This Row],[Colonne198]]=$G8,HH8,Distances[[#This Row],[Colonne198]]+1)</f>
        <v>100</v>
      </c>
      <c r="HJ8" s="17">
        <f>IF(Distances[[#This Row],[Colonne199]]=$G8,HI8,Distances[[#This Row],[Colonne199]]+1)</f>
        <v>100</v>
      </c>
      <c r="HK8" s="17">
        <f>IF(Distances[[#This Row],[Colonne200]]=$G8,HJ8,Distances[[#This Row],[Colonne200]]+1)</f>
        <v>100</v>
      </c>
      <c r="HL8" s="17">
        <f>IF(Distances[[#This Row],[Colonne201]]=$G8,HK8,Distances[[#This Row],[Colonne201]]+1)</f>
        <v>100</v>
      </c>
      <c r="HM8" s="17">
        <f>IF(Distances[[#This Row],[Colonne202]]=$G8,HL8,Distances[[#This Row],[Colonne202]]+1)</f>
        <v>100</v>
      </c>
      <c r="HN8" s="17">
        <f>IF(Distances[[#This Row],[Colonne203]]=$G8,HM8,Distances[[#This Row],[Colonne203]]+1)</f>
        <v>100</v>
      </c>
      <c r="HO8" s="17">
        <f>IF(Distances[[#This Row],[Colonne204]]=$G8,HN8,Distances[[#This Row],[Colonne204]]+1)</f>
        <v>100</v>
      </c>
      <c r="HP8" s="17">
        <f>IF(Distances[[#This Row],[Colonne205]]=$G8,HO8,Distances[[#This Row],[Colonne205]]+1)</f>
        <v>100</v>
      </c>
      <c r="HQ8" s="17">
        <f>IF(Distances[[#This Row],[Colonne206]]=$G8,HP8,Distances[[#This Row],[Colonne206]]+1)</f>
        <v>100</v>
      </c>
      <c r="HR8" s="17">
        <f>IF(Distances[[#This Row],[Colonne207]]=$G8,HQ8,Distances[[#This Row],[Colonne207]]+1)</f>
        <v>100</v>
      </c>
      <c r="HS8" s="17">
        <f>IF(Distances[[#This Row],[Colonne208]]=$G8,HR8,Distances[[#This Row],[Colonne208]]+1)</f>
        <v>100</v>
      </c>
      <c r="HT8" s="17">
        <f>IF(Distances[[#This Row],[Colonne209]]=$G8,HS8,Distances[[#This Row],[Colonne209]]+1)</f>
        <v>100</v>
      </c>
      <c r="HU8" s="17">
        <f>IF(Distances[[#This Row],[Colonne210]]=$G8,HT8,Distances[[#This Row],[Colonne210]]+1)</f>
        <v>100</v>
      </c>
      <c r="HV8" s="17">
        <f>IF(Distances[[#This Row],[Colonne211]]=$G8,HU8,Distances[[#This Row],[Colonne211]]+1)</f>
        <v>100</v>
      </c>
      <c r="HW8" s="17">
        <f>IF(Distances[[#This Row],[Colonne212]]=$G8,HV8,Distances[[#This Row],[Colonne212]]+1)</f>
        <v>100</v>
      </c>
      <c r="HX8" s="17">
        <f>IF(Distances[[#This Row],[Colonne213]]=$G8,HW8,Distances[[#This Row],[Colonne213]]+1)</f>
        <v>100</v>
      </c>
      <c r="HY8" s="17">
        <f>IF(Distances[[#This Row],[Colonne214]]=$G8,HX8,Distances[[#This Row],[Colonne214]]+1)</f>
        <v>100</v>
      </c>
      <c r="HZ8" s="17">
        <f>IF(Distances[[#This Row],[Colonne215]]=$G8,HY8,Distances[[#This Row],[Colonne215]]+1)</f>
        <v>100</v>
      </c>
      <c r="IA8" s="17">
        <f>IF(Distances[[#This Row],[Colonne216]]=$G8,HZ8,Distances[[#This Row],[Colonne216]]+1)</f>
        <v>100</v>
      </c>
      <c r="IB8" s="17">
        <f>IF(Distances[[#This Row],[Colonne217]]=$G8,IA8,Distances[[#This Row],[Colonne217]]+1)</f>
        <v>100</v>
      </c>
      <c r="IC8" s="17">
        <f>IF(Distances[[#This Row],[Colonne218]]=$G8,IB8,Distances[[#This Row],[Colonne218]]+1)</f>
        <v>100</v>
      </c>
      <c r="ID8" s="17">
        <f>IF(Distances[[#This Row],[Colonne219]]=$G8,IC8,Distances[[#This Row],[Colonne219]]+1)</f>
        <v>100</v>
      </c>
      <c r="IE8" s="17">
        <f>IF(Distances[[#This Row],[Colonne220]]=$G8,ID8,Distances[[#This Row],[Colonne220]]+1)</f>
        <v>100</v>
      </c>
      <c r="IF8" s="17">
        <f>IF(Distances[[#This Row],[Colonne221]]=$G8,IE8,Distances[[#This Row],[Colonne221]]+1)</f>
        <v>100</v>
      </c>
      <c r="IG8" s="17">
        <f>IF(Distances[[#This Row],[Colonne222]]=$G8,IF8,Distances[[#This Row],[Colonne222]]+1)</f>
        <v>100</v>
      </c>
      <c r="IH8" s="17">
        <f>IF(Distances[[#This Row],[Colonne223]]=$G8,IG8,Distances[[#This Row],[Colonne223]]+1)</f>
        <v>100</v>
      </c>
      <c r="II8" s="17">
        <f>IF(Distances[[#This Row],[Colonne224]]=$G8,IH8,Distances[[#This Row],[Colonne224]]+1)</f>
        <v>100</v>
      </c>
      <c r="IJ8" s="17">
        <f>IF(Distances[[#This Row],[Colonne225]]=$G8,II8,Distances[[#This Row],[Colonne225]]+1)</f>
        <v>100</v>
      </c>
      <c r="IK8" s="17">
        <f>IF(Distances[[#This Row],[Colonne226]]=$G8,IJ8,Distances[[#This Row],[Colonne226]]+1)</f>
        <v>100</v>
      </c>
      <c r="IL8" s="17">
        <f>IF(Distances[[#This Row],[Colonne227]]=$G8,IK8,Distances[[#This Row],[Colonne227]]+1)</f>
        <v>100</v>
      </c>
      <c r="IM8" s="17">
        <f>IF(Distances[[#This Row],[Colonne228]]=$G8,IL8,Distances[[#This Row],[Colonne228]]+1)</f>
        <v>100</v>
      </c>
      <c r="IN8" s="17">
        <f>IF(Distances[[#This Row],[Colonne229]]=$G8,IM8,Distances[[#This Row],[Colonne229]]+1)</f>
        <v>100</v>
      </c>
      <c r="IO8" s="17">
        <f>IF(Distances[[#This Row],[Colonne230]]=$G8,IN8,Distances[[#This Row],[Colonne230]]+1)</f>
        <v>100</v>
      </c>
      <c r="IP8" s="17">
        <f>IF(Distances[[#This Row],[Colonne231]]=$G8,IO8,Distances[[#This Row],[Colonne231]]+1)</f>
        <v>100</v>
      </c>
      <c r="IQ8" s="17">
        <f>IF(Distances[[#This Row],[Colonne232]]=$G8,IP8,Distances[[#This Row],[Colonne232]]+1)</f>
        <v>100</v>
      </c>
      <c r="IR8" s="17">
        <f>IF(Distances[[#This Row],[Colonne233]]=$G8,IQ8,Distances[[#This Row],[Colonne233]]+1)</f>
        <v>100</v>
      </c>
      <c r="IS8" s="17">
        <f>IF(Distances[[#This Row],[Colonne234]]=$G8,IR8,Distances[[#This Row],[Colonne234]]+1)</f>
        <v>100</v>
      </c>
      <c r="IT8" s="17">
        <f>IF(Distances[[#This Row],[Colonne235]]=$G8,IS8,Distances[[#This Row],[Colonne235]]+1)</f>
        <v>100</v>
      </c>
      <c r="IU8" s="17">
        <f>IF(Distances[[#This Row],[Colonne236]]=$G8,IT8,Distances[[#This Row],[Colonne236]]+1)</f>
        <v>100</v>
      </c>
      <c r="IV8" s="17">
        <f>IF(Distances[[#This Row],[Colonne237]]=$G8,IU8,Distances[[#This Row],[Colonne237]]+1)</f>
        <v>100</v>
      </c>
      <c r="IW8" s="17">
        <f>IF(Distances[[#This Row],[Colonne238]]=$G8,IV8,Distances[[#This Row],[Colonne238]]+1)</f>
        <v>100</v>
      </c>
      <c r="IX8" s="17">
        <f>IF(Distances[[#This Row],[Colonne239]]=$G8,IW8,Distances[[#This Row],[Colonne239]]+1)</f>
        <v>100</v>
      </c>
      <c r="IY8" s="17">
        <f>IF(Distances[[#This Row],[Colonne240]]=$G8,IX8,Distances[[#This Row],[Colonne240]]+1)</f>
        <v>100</v>
      </c>
      <c r="IZ8" s="17">
        <f>IF(Distances[[#This Row],[Colonne241]]=$G8,IY8,Distances[[#This Row],[Colonne241]]+1)</f>
        <v>100</v>
      </c>
      <c r="JA8" s="17">
        <f>IF(Distances[[#This Row],[Colonne242]]=$G8,IZ8,Distances[[#This Row],[Colonne242]]+1)</f>
        <v>100</v>
      </c>
      <c r="JB8" s="17">
        <f>IF(Distances[[#This Row],[Colonne243]]=$G8,JA8,Distances[[#This Row],[Colonne243]]+1)</f>
        <v>100</v>
      </c>
      <c r="JC8" s="17">
        <f>IF(Distances[[#This Row],[Colonne244]]=$G8,JB8,Distances[[#This Row],[Colonne244]]+1)</f>
        <v>100</v>
      </c>
      <c r="JD8" s="17">
        <f>IF(Distances[[#This Row],[Colonne245]]=$G8,JC8,Distances[[#This Row],[Colonne245]]+1)</f>
        <v>100</v>
      </c>
      <c r="JE8" s="17">
        <f>IF(Distances[[#This Row],[Colonne246]]=$G8,JD8,Distances[[#This Row],[Colonne246]]+1)</f>
        <v>100</v>
      </c>
      <c r="JF8" s="17">
        <f>IF(Distances[[#This Row],[Colonne247]]=$G8,JE8,Distances[[#This Row],[Colonne247]]+1)</f>
        <v>100</v>
      </c>
      <c r="JG8" s="17">
        <f>IF(Distances[[#This Row],[Colonne248]]=$G8,JF8,Distances[[#This Row],[Colonne248]]+1)</f>
        <v>100</v>
      </c>
      <c r="JH8" s="17">
        <f>IF(Distances[[#This Row],[Colonne249]]=$G8,JG8,Distances[[#This Row],[Colonne249]]+1)</f>
        <v>100</v>
      </c>
      <c r="JI8" s="17">
        <f>IF(Distances[[#This Row],[Colonne250]]=$G8,JH8,Distances[[#This Row],[Colonne250]]+1)</f>
        <v>100</v>
      </c>
      <c r="JJ8" s="17">
        <f>IF(Distances[[#This Row],[Colonne251]]=$G8,JI8,Distances[[#This Row],[Colonne251]]+1)</f>
        <v>100</v>
      </c>
      <c r="JK8" s="17">
        <f>IF(Distances[[#This Row],[Colonne252]]=$G8,JJ8,Distances[[#This Row],[Colonne252]]+1)</f>
        <v>100</v>
      </c>
      <c r="JL8" s="17">
        <f>IF(Distances[[#This Row],[Colonne253]]=$G8,JK8,Distances[[#This Row],[Colonne253]]+1)</f>
        <v>100</v>
      </c>
      <c r="JM8" s="17">
        <f>IF(Distances[[#This Row],[Colonne254]]=$G8,JL8,Distances[[#This Row],[Colonne254]]+1)</f>
        <v>100</v>
      </c>
      <c r="JN8" s="17">
        <f>IF(Distances[[#This Row],[Colonne255]]=$G8,JM8,Distances[[#This Row],[Colonne255]]+1)</f>
        <v>100</v>
      </c>
      <c r="JO8" s="17">
        <f>IF(Distances[[#This Row],[Colonne256]]=$G8,JN8,Distances[[#This Row],[Colonne256]]+1)</f>
        <v>100</v>
      </c>
      <c r="JP8" s="17">
        <f>IF(Distances[[#This Row],[Colonne257]]=$G8,JO8,Distances[[#This Row],[Colonne257]]+1)</f>
        <v>100</v>
      </c>
      <c r="JQ8" s="17">
        <f>IF(Distances[[#This Row],[Colonne258]]=$G8,JP8,Distances[[#This Row],[Colonne258]]+1)</f>
        <v>100</v>
      </c>
      <c r="JR8" s="17">
        <f>IF(Distances[[#This Row],[Colonne259]]=$G8,JQ8,Distances[[#This Row],[Colonne259]]+1)</f>
        <v>100</v>
      </c>
      <c r="JS8" s="17">
        <f>IF(Distances[[#This Row],[Colonne260]]=$G8,JR8,Distances[[#This Row],[Colonne260]]+1)</f>
        <v>100</v>
      </c>
      <c r="JT8" s="17">
        <f>IF(Distances[[#This Row],[Colonne261]]=$G8,JS8,Distances[[#This Row],[Colonne261]]+1)</f>
        <v>100</v>
      </c>
      <c r="JU8" s="17">
        <f>IF(Distances[[#This Row],[Colonne262]]=$G8,JT8,Distances[[#This Row],[Colonne262]]+1)</f>
        <v>100</v>
      </c>
      <c r="JV8" s="17">
        <f>IF(Distances[[#This Row],[Colonne263]]=$G8,JU8,Distances[[#This Row],[Colonne263]]+1)</f>
        <v>100</v>
      </c>
      <c r="JW8" s="17">
        <f>IF(Distances[[#This Row],[Colonne264]]=$G8,JV8,Distances[[#This Row],[Colonne264]]+1)</f>
        <v>100</v>
      </c>
      <c r="JX8" s="17">
        <f>IF(Distances[[#This Row],[Colonne265]]=$G8,JW8,Distances[[#This Row],[Colonne265]]+1)</f>
        <v>100</v>
      </c>
      <c r="JY8" s="17">
        <f>IF(Distances[[#This Row],[Colonne266]]=$G8,JX8,Distances[[#This Row],[Colonne266]]+1)</f>
        <v>100</v>
      </c>
      <c r="JZ8" s="17">
        <f>IF(Distances[[#This Row],[Colonne267]]=$G8,JY8,Distances[[#This Row],[Colonne267]]+1)</f>
        <v>100</v>
      </c>
      <c r="KA8" s="17">
        <f>IF(Distances[[#This Row],[Colonne268]]=$G8,JZ8,Distances[[#This Row],[Colonne268]]+1)</f>
        <v>100</v>
      </c>
      <c r="KB8" s="17">
        <f>IF(Distances[[#This Row],[Colonne269]]=$G8,KA8,Distances[[#This Row],[Colonne269]]+1)</f>
        <v>100</v>
      </c>
      <c r="KC8" s="17">
        <f>IF(Distances[[#This Row],[Colonne270]]=$G8,KB8,Distances[[#This Row],[Colonne270]]+1)</f>
        <v>100</v>
      </c>
      <c r="KD8" s="17">
        <f>IF(Distances[[#This Row],[Colonne271]]=$G8,KC8,Distances[[#This Row],[Colonne271]]+1)</f>
        <v>100</v>
      </c>
      <c r="KE8" s="17">
        <f>IF(Distances[[#This Row],[Colonne272]]=$G8,KD8,Distances[[#This Row],[Colonne272]]+1)</f>
        <v>100</v>
      </c>
      <c r="KF8" s="17">
        <f>IF(Distances[[#This Row],[Colonne273]]=$G8,KE8,Distances[[#This Row],[Colonne273]]+1)</f>
        <v>100</v>
      </c>
      <c r="KG8" s="17">
        <f>IF(Distances[[#This Row],[Colonne274]]=$G8,KF8,Distances[[#This Row],[Colonne274]]+1)</f>
        <v>100</v>
      </c>
      <c r="KH8" s="17">
        <f>IF(Distances[[#This Row],[Colonne275]]=$G8,KG8,Distances[[#This Row],[Colonne275]]+1)</f>
        <v>100</v>
      </c>
      <c r="KI8" s="17">
        <f>IF(Distances[[#This Row],[Colonne276]]=$G8,KH8,Distances[[#This Row],[Colonne276]]+1)</f>
        <v>100</v>
      </c>
      <c r="KJ8" s="17">
        <f>IF(Distances[[#This Row],[Colonne277]]=$G8,KI8,Distances[[#This Row],[Colonne277]]+1)</f>
        <v>100</v>
      </c>
      <c r="KK8" s="17">
        <f>IF(Distances[[#This Row],[Colonne278]]=$G8,KJ8,Distances[[#This Row],[Colonne278]]+1)</f>
        <v>100</v>
      </c>
      <c r="KL8" s="17">
        <f>IF(Distances[[#This Row],[Colonne279]]=$G8,KK8,Distances[[#This Row],[Colonne279]]+1)</f>
        <v>100</v>
      </c>
      <c r="KM8" s="17">
        <f>IF(Distances[[#This Row],[Colonne280]]=$G8,KL8,Distances[[#This Row],[Colonne280]]+1)</f>
        <v>100</v>
      </c>
      <c r="KN8" s="17">
        <f>IF(Distances[[#This Row],[Colonne281]]=$G8,KM8,Distances[[#This Row],[Colonne281]]+1)</f>
        <v>100</v>
      </c>
      <c r="KO8" s="17">
        <f>IF(Distances[[#This Row],[Colonne282]]=$G8,KN8,Distances[[#This Row],[Colonne282]]+1)</f>
        <v>100</v>
      </c>
      <c r="KP8" s="17">
        <f>IF(Distances[[#This Row],[Colonne283]]=$G8,KO8,Distances[[#This Row],[Colonne283]]+1)</f>
        <v>100</v>
      </c>
      <c r="KQ8" s="17">
        <f>IF(Distances[[#This Row],[Colonne284]]=$G8,KP8,Distances[[#This Row],[Colonne284]]+1)</f>
        <v>100</v>
      </c>
      <c r="KR8" s="17">
        <f>IF(Distances[[#This Row],[Colonne285]]=$G8,KQ8,Distances[[#This Row],[Colonne285]]+1)</f>
        <v>100</v>
      </c>
      <c r="KS8" s="17">
        <f>IF(Distances[[#This Row],[Colonne286]]=$G8,KR8,Distances[[#This Row],[Colonne286]]+1)</f>
        <v>100</v>
      </c>
      <c r="KT8" s="17">
        <f>IF(Distances[[#This Row],[Colonne287]]=$G8,KS8,Distances[[#This Row],[Colonne287]]+1)</f>
        <v>100</v>
      </c>
      <c r="KU8" s="17">
        <f>IF(Distances[[#This Row],[Colonne288]]=$G8,KT8,Distances[[#This Row],[Colonne288]]+1)</f>
        <v>100</v>
      </c>
      <c r="KV8" s="17">
        <f>IF(Distances[[#This Row],[Colonne289]]=$G8,KU8,Distances[[#This Row],[Colonne289]]+1)</f>
        <v>100</v>
      </c>
      <c r="KW8" s="17">
        <f>IF(Distances[[#This Row],[Colonne290]]=$G8,KV8,Distances[[#This Row],[Colonne290]]+1)</f>
        <v>100</v>
      </c>
      <c r="KX8" s="17">
        <f>IF(Distances[[#This Row],[Colonne291]]=$G8,KW8,Distances[[#This Row],[Colonne291]]+1)</f>
        <v>100</v>
      </c>
      <c r="KY8" s="17">
        <f>IF(Distances[[#This Row],[Colonne292]]=$G8,KX8,Distances[[#This Row],[Colonne292]]+1)</f>
        <v>100</v>
      </c>
      <c r="KZ8" s="17">
        <f>IF(Distances[[#This Row],[Colonne293]]=$G8,KY8,Distances[[#This Row],[Colonne293]]+1)</f>
        <v>100</v>
      </c>
      <c r="LA8" s="17">
        <f>IF(Distances[[#This Row],[Colonne294]]=$G8,KZ8,Distances[[#This Row],[Colonne294]]+1)</f>
        <v>100</v>
      </c>
      <c r="LB8" s="17">
        <f>IF(Distances[[#This Row],[Colonne295]]=$G8,LA8,Distances[[#This Row],[Colonne295]]+1)</f>
        <v>100</v>
      </c>
      <c r="LC8" s="17">
        <f>IF(Distances[[#This Row],[Colonne296]]=$G8,LB8,Distances[[#This Row],[Colonne296]]+1)</f>
        <v>100</v>
      </c>
      <c r="LD8" s="17">
        <f>IF(Distances[[#This Row],[Colonne297]]=$G8,LC8,Distances[[#This Row],[Colonne297]]+1)</f>
        <v>100</v>
      </c>
      <c r="LE8" s="17">
        <f>IF(Distances[[#This Row],[Colonne298]]=$G8,LD8,Distances[[#This Row],[Colonne298]]+1)</f>
        <v>100</v>
      </c>
      <c r="LF8" s="17">
        <f>IF(Distances[[#This Row],[Colonne299]]=$G8,LE8,Distances[[#This Row],[Colonne299]]+1)</f>
        <v>100</v>
      </c>
      <c r="LG8" s="17">
        <f>IF(Distances[[#This Row],[Colonne300]]=$G8,LF8,Distances[[#This Row],[Colonne300]]+1)</f>
        <v>100</v>
      </c>
      <c r="LH8" s="17">
        <f>IF(Distances[[#This Row],[Colonne301]]=$G8,LG8,Distances[[#This Row],[Colonne301]]+1)</f>
        <v>100</v>
      </c>
      <c r="LI8" s="17">
        <f>IF(Distances[[#This Row],[Colonne302]]=$G8,LH8,Distances[[#This Row],[Colonne302]]+1)</f>
        <v>100</v>
      </c>
      <c r="LJ8" s="17">
        <f>IF(Distances[[#This Row],[Colonne303]]=$G8,LI8,Distances[[#This Row],[Colonne303]]+1)</f>
        <v>100</v>
      </c>
      <c r="LK8" s="51"/>
      <c r="LL8" s="17">
        <f t="shared" ref="LL8:NW8" si="14">IF(LK8=$H8,LK8,LK8+1)</f>
        <v>1</v>
      </c>
      <c r="LM8" s="17">
        <f t="shared" si="14"/>
        <v>2</v>
      </c>
      <c r="LN8" s="17">
        <f t="shared" si="14"/>
        <v>3</v>
      </c>
      <c r="LO8" s="17">
        <f t="shared" si="14"/>
        <v>4</v>
      </c>
      <c r="LP8" s="17">
        <f t="shared" si="14"/>
        <v>5</v>
      </c>
      <c r="LQ8" s="17">
        <f t="shared" si="14"/>
        <v>6</v>
      </c>
      <c r="LR8" s="17">
        <f t="shared" si="14"/>
        <v>7</v>
      </c>
      <c r="LS8" s="17">
        <f t="shared" si="14"/>
        <v>8</v>
      </c>
      <c r="LT8" s="17">
        <f t="shared" si="14"/>
        <v>9</v>
      </c>
      <c r="LU8" s="17">
        <f t="shared" si="14"/>
        <v>10</v>
      </c>
      <c r="LV8" s="17">
        <f t="shared" si="14"/>
        <v>11</v>
      </c>
      <c r="LW8" s="17">
        <f t="shared" si="14"/>
        <v>12</v>
      </c>
      <c r="LX8" s="17">
        <f t="shared" si="14"/>
        <v>13</v>
      </c>
      <c r="LY8" s="17">
        <f t="shared" si="14"/>
        <v>14</v>
      </c>
      <c r="LZ8" s="17">
        <f t="shared" si="14"/>
        <v>15</v>
      </c>
      <c r="MA8" s="17">
        <f t="shared" si="14"/>
        <v>16</v>
      </c>
      <c r="MB8" s="17">
        <f t="shared" si="14"/>
        <v>17</v>
      </c>
      <c r="MC8" s="17">
        <f t="shared" si="14"/>
        <v>18</v>
      </c>
      <c r="MD8" s="17">
        <f t="shared" si="14"/>
        <v>19</v>
      </c>
      <c r="ME8" s="17">
        <f t="shared" si="14"/>
        <v>20</v>
      </c>
      <c r="MF8" s="17">
        <f t="shared" si="14"/>
        <v>21</v>
      </c>
      <c r="MG8" s="17">
        <f t="shared" si="14"/>
        <v>22</v>
      </c>
      <c r="MH8" s="17">
        <f t="shared" si="14"/>
        <v>23</v>
      </c>
      <c r="MI8" s="17">
        <f t="shared" si="14"/>
        <v>24</v>
      </c>
      <c r="MJ8" s="17">
        <f t="shared" si="14"/>
        <v>25</v>
      </c>
      <c r="MK8" s="17">
        <f t="shared" si="14"/>
        <v>26</v>
      </c>
      <c r="ML8" s="17">
        <f t="shared" si="14"/>
        <v>27</v>
      </c>
      <c r="MM8" s="17">
        <f t="shared" si="14"/>
        <v>28</v>
      </c>
      <c r="MN8" s="17">
        <f t="shared" si="14"/>
        <v>29</v>
      </c>
      <c r="MO8" s="17">
        <f t="shared" si="14"/>
        <v>30</v>
      </c>
      <c r="MP8" s="17">
        <f t="shared" si="14"/>
        <v>30</v>
      </c>
      <c r="MQ8" s="17">
        <f t="shared" si="14"/>
        <v>30</v>
      </c>
      <c r="MR8" s="17">
        <f t="shared" si="14"/>
        <v>30</v>
      </c>
      <c r="MS8" s="17">
        <f t="shared" si="14"/>
        <v>30</v>
      </c>
      <c r="MT8" s="17">
        <f t="shared" si="14"/>
        <v>30</v>
      </c>
      <c r="MU8" s="17">
        <f t="shared" si="14"/>
        <v>30</v>
      </c>
      <c r="MV8" s="17">
        <f t="shared" si="14"/>
        <v>30</v>
      </c>
      <c r="MW8" s="17">
        <f t="shared" si="14"/>
        <v>30</v>
      </c>
      <c r="MX8" s="17">
        <f t="shared" si="14"/>
        <v>30</v>
      </c>
      <c r="MY8" s="17">
        <f t="shared" si="14"/>
        <v>30</v>
      </c>
      <c r="MZ8" s="17">
        <f t="shared" si="14"/>
        <v>30</v>
      </c>
      <c r="NA8" s="17">
        <f t="shared" si="14"/>
        <v>30</v>
      </c>
      <c r="NB8" s="17">
        <f t="shared" si="14"/>
        <v>30</v>
      </c>
      <c r="NC8" s="17">
        <f t="shared" si="14"/>
        <v>30</v>
      </c>
      <c r="ND8" s="17">
        <f t="shared" si="14"/>
        <v>30</v>
      </c>
      <c r="NE8" s="17">
        <f t="shared" si="14"/>
        <v>30</v>
      </c>
      <c r="NF8" s="17">
        <f t="shared" si="14"/>
        <v>30</v>
      </c>
      <c r="NG8" s="17">
        <f t="shared" si="14"/>
        <v>30</v>
      </c>
      <c r="NH8" s="17">
        <f t="shared" si="14"/>
        <v>30</v>
      </c>
      <c r="NI8" s="17">
        <f t="shared" si="14"/>
        <v>30</v>
      </c>
      <c r="NJ8" s="17">
        <f t="shared" si="14"/>
        <v>30</v>
      </c>
      <c r="NK8" s="17">
        <f t="shared" si="14"/>
        <v>30</v>
      </c>
      <c r="NL8" s="17">
        <f t="shared" si="14"/>
        <v>30</v>
      </c>
      <c r="NM8" s="17">
        <f t="shared" si="14"/>
        <v>30</v>
      </c>
      <c r="NN8" s="17">
        <f t="shared" si="14"/>
        <v>30</v>
      </c>
      <c r="NO8" s="17">
        <f t="shared" si="14"/>
        <v>30</v>
      </c>
      <c r="NP8" s="17">
        <f t="shared" si="14"/>
        <v>30</v>
      </c>
      <c r="NQ8" s="17">
        <f t="shared" si="14"/>
        <v>30</v>
      </c>
      <c r="NR8" s="17">
        <f t="shared" si="14"/>
        <v>30</v>
      </c>
      <c r="NS8" s="17">
        <f t="shared" si="14"/>
        <v>30</v>
      </c>
      <c r="NT8" s="17">
        <f t="shared" si="14"/>
        <v>30</v>
      </c>
      <c r="NU8" s="17">
        <f t="shared" si="14"/>
        <v>30</v>
      </c>
      <c r="NV8" s="17">
        <f t="shared" si="14"/>
        <v>30</v>
      </c>
      <c r="NW8" s="17">
        <f t="shared" si="14"/>
        <v>30</v>
      </c>
      <c r="NX8" s="17">
        <f t="shared" ref="NX8:PG8" si="15">IF(NW8=$H8,NW8,NW8+1)</f>
        <v>30</v>
      </c>
      <c r="NY8" s="17">
        <f t="shared" si="15"/>
        <v>30</v>
      </c>
      <c r="NZ8" s="17">
        <f t="shared" si="15"/>
        <v>30</v>
      </c>
      <c r="OA8" s="17">
        <f t="shared" si="15"/>
        <v>30</v>
      </c>
      <c r="OB8" s="17">
        <f t="shared" si="15"/>
        <v>30</v>
      </c>
      <c r="OC8" s="17">
        <f t="shared" si="15"/>
        <v>30</v>
      </c>
      <c r="OD8" s="17">
        <f t="shared" si="15"/>
        <v>30</v>
      </c>
      <c r="OE8" s="17">
        <f t="shared" si="15"/>
        <v>30</v>
      </c>
      <c r="OF8" s="17">
        <f t="shared" si="15"/>
        <v>30</v>
      </c>
      <c r="OG8" s="17">
        <f t="shared" si="15"/>
        <v>30</v>
      </c>
      <c r="OH8" s="17">
        <f t="shared" si="15"/>
        <v>30</v>
      </c>
      <c r="OI8" s="17">
        <f t="shared" si="15"/>
        <v>30</v>
      </c>
      <c r="OJ8" s="17">
        <f t="shared" si="15"/>
        <v>30</v>
      </c>
      <c r="OK8" s="17">
        <f t="shared" si="15"/>
        <v>30</v>
      </c>
      <c r="OL8" s="17">
        <f t="shared" si="15"/>
        <v>30</v>
      </c>
      <c r="OM8" s="17">
        <f t="shared" si="15"/>
        <v>30</v>
      </c>
      <c r="ON8" s="17">
        <f t="shared" si="15"/>
        <v>30</v>
      </c>
      <c r="OO8" s="17">
        <f t="shared" si="15"/>
        <v>30</v>
      </c>
      <c r="OP8" s="17">
        <f t="shared" si="15"/>
        <v>30</v>
      </c>
      <c r="OQ8" s="17">
        <f t="shared" si="15"/>
        <v>30</v>
      </c>
      <c r="OR8" s="17">
        <f t="shared" si="15"/>
        <v>30</v>
      </c>
      <c r="OS8" s="17">
        <f t="shared" si="15"/>
        <v>30</v>
      </c>
      <c r="OT8" s="17">
        <f t="shared" si="15"/>
        <v>30</v>
      </c>
      <c r="OU8" s="17">
        <f t="shared" si="15"/>
        <v>30</v>
      </c>
      <c r="OV8" s="17">
        <f t="shared" si="15"/>
        <v>30</v>
      </c>
      <c r="OW8" s="17">
        <f t="shared" si="15"/>
        <v>30</v>
      </c>
      <c r="OX8" s="17">
        <f t="shared" si="15"/>
        <v>30</v>
      </c>
      <c r="OY8" s="17">
        <f t="shared" si="15"/>
        <v>30</v>
      </c>
      <c r="OZ8" s="17">
        <f t="shared" si="15"/>
        <v>30</v>
      </c>
      <c r="PA8" s="17">
        <f t="shared" si="15"/>
        <v>30</v>
      </c>
      <c r="PB8" s="17">
        <f t="shared" si="15"/>
        <v>30</v>
      </c>
      <c r="PC8" s="17">
        <f t="shared" si="15"/>
        <v>30</v>
      </c>
      <c r="PD8" s="17">
        <f t="shared" si="15"/>
        <v>30</v>
      </c>
      <c r="PE8" s="17">
        <f t="shared" si="15"/>
        <v>30</v>
      </c>
      <c r="PF8" s="17">
        <f t="shared" si="15"/>
        <v>30</v>
      </c>
      <c r="PG8" s="17">
        <f t="shared" si="15"/>
        <v>30</v>
      </c>
    </row>
    <row r="9" spans="1:423" x14ac:dyDescent="0.25">
      <c r="A9" s="8" t="s">
        <v>5509</v>
      </c>
      <c r="B9" s="9" t="s">
        <v>5505</v>
      </c>
      <c r="C9" s="9" t="str">
        <f t="shared" si="0"/>
        <v>LR3</v>
      </c>
      <c r="D9" s="1" t="str">
        <f t="shared" si="1"/>
        <v>Libre R3</v>
      </c>
      <c r="E9" s="1" t="s">
        <v>15</v>
      </c>
      <c r="F9" s="9" t="s">
        <v>5452</v>
      </c>
      <c r="G9" s="9">
        <v>70</v>
      </c>
      <c r="H9" s="9">
        <v>40</v>
      </c>
      <c r="I9" s="127">
        <v>2.8</v>
      </c>
      <c r="J9" s="9" t="s">
        <v>5511</v>
      </c>
      <c r="K9" s="280"/>
      <c r="L9" s="8">
        <v>1.2</v>
      </c>
      <c r="M9" s="9">
        <v>1.2</v>
      </c>
      <c r="N9" s="10">
        <v>2.2989999999999999</v>
      </c>
      <c r="O9" s="269"/>
      <c r="P9" s="331"/>
      <c r="Q9" s="335"/>
      <c r="R9" s="128">
        <v>1</v>
      </c>
      <c r="S9" s="9">
        <v>1</v>
      </c>
      <c r="T9" s="10">
        <v>2</v>
      </c>
      <c r="U9" t="s">
        <v>5523</v>
      </c>
      <c r="V9" s="17">
        <v>0</v>
      </c>
      <c r="W9" s="17">
        <f>IF(Distances[[#This Row],[Colonne4]]=$G9,V9,Distances[[#This Row],[Colonne4]]+1)</f>
        <v>1</v>
      </c>
      <c r="X9" s="17">
        <f>IF(Distances[[#This Row],[Colonne5]]=$G9,W9,Distances[[#This Row],[Colonne5]]+1)</f>
        <v>2</v>
      </c>
      <c r="Y9" s="17">
        <f>IF(Distances[[#This Row],[Colonne6]]=$G9,X9,Distances[[#This Row],[Colonne6]]+1)</f>
        <v>3</v>
      </c>
      <c r="Z9" s="17">
        <f>IF(Distances[[#This Row],[Colonne7]]=$G9,Y9,Distances[[#This Row],[Colonne7]]+1)</f>
        <v>4</v>
      </c>
      <c r="AA9" s="17">
        <f>IF(Distances[[#This Row],[Colonne8]]=$G9,Z9,Distances[[#This Row],[Colonne8]]+1)</f>
        <v>5</v>
      </c>
      <c r="AB9" s="17">
        <f>IF(Distances[[#This Row],[Colonne9]]=$G9,AA9,Distances[[#This Row],[Colonne9]]+1)</f>
        <v>6</v>
      </c>
      <c r="AC9" s="17">
        <f>IF(Distances[[#This Row],[Colonne10]]=$G9,AB9,Distances[[#This Row],[Colonne10]]+1)</f>
        <v>7</v>
      </c>
      <c r="AD9" s="17">
        <f>IF(Distances[[#This Row],[Colonne11]]=$G9,AC9,Distances[[#This Row],[Colonne11]]+1)</f>
        <v>8</v>
      </c>
      <c r="AE9" s="17">
        <f>IF(Distances[[#This Row],[Colonne12]]=$G9,AD9,Distances[[#This Row],[Colonne12]]+1)</f>
        <v>9</v>
      </c>
      <c r="AF9" s="17">
        <f>IF(Distances[[#This Row],[Colonne13]]=$G9,AE9,Distances[[#This Row],[Colonne13]]+1)</f>
        <v>10</v>
      </c>
      <c r="AG9" s="17">
        <f>IF(Distances[[#This Row],[Colonne14]]=$G9,AF9,Distances[[#This Row],[Colonne14]]+1)</f>
        <v>11</v>
      </c>
      <c r="AH9" s="17">
        <f>IF(Distances[[#This Row],[Colonne15]]=$G9,AG9,Distances[[#This Row],[Colonne15]]+1)</f>
        <v>12</v>
      </c>
      <c r="AI9" s="17">
        <f>IF(Distances[[#This Row],[Colonne16]]=$G9,AH9,Distances[[#This Row],[Colonne16]]+1)</f>
        <v>13</v>
      </c>
      <c r="AJ9" s="17">
        <f>IF(Distances[[#This Row],[Colonne17]]=$G9,AI9,Distances[[#This Row],[Colonne17]]+1)</f>
        <v>14</v>
      </c>
      <c r="AK9" s="17">
        <f>IF(Distances[[#This Row],[Colonne18]]=$G9,AJ9,Distances[[#This Row],[Colonne18]]+1)</f>
        <v>15</v>
      </c>
      <c r="AL9" s="17">
        <f>IF(Distances[[#This Row],[Colonne19]]=$G9,AK9,Distances[[#This Row],[Colonne19]]+1)</f>
        <v>16</v>
      </c>
      <c r="AM9" s="17">
        <f>IF(Distances[[#This Row],[Colonne20]]=$G9,AL9,Distances[[#This Row],[Colonne20]]+1)</f>
        <v>17</v>
      </c>
      <c r="AN9" s="17">
        <f>IF(Distances[[#This Row],[Colonne21]]=$G9,AM9,Distances[[#This Row],[Colonne21]]+1)</f>
        <v>18</v>
      </c>
      <c r="AO9" s="17">
        <f>IF(Distances[[#This Row],[Colonne22]]=$G9,AN9,Distances[[#This Row],[Colonne22]]+1)</f>
        <v>19</v>
      </c>
      <c r="AP9" s="17">
        <f>IF(Distances[[#This Row],[Colonne23]]=$G9,AO9,Distances[[#This Row],[Colonne23]]+1)</f>
        <v>20</v>
      </c>
      <c r="AQ9" s="17">
        <f>IF(Distances[[#This Row],[Colonne24]]=$G9,AP9,Distances[[#This Row],[Colonne24]]+1)</f>
        <v>21</v>
      </c>
      <c r="AR9" s="17">
        <f>IF(Distances[[#This Row],[Colonne25]]=$G9,AQ9,Distances[[#This Row],[Colonne25]]+1)</f>
        <v>22</v>
      </c>
      <c r="AS9" s="17">
        <f>IF(Distances[[#This Row],[Colonne26]]=$G9,AR9,Distances[[#This Row],[Colonne26]]+1)</f>
        <v>23</v>
      </c>
      <c r="AT9" s="17">
        <f>IF(Distances[[#This Row],[Colonne27]]=$G9,AS9,Distances[[#This Row],[Colonne27]]+1)</f>
        <v>24</v>
      </c>
      <c r="AU9" s="17">
        <f>IF(Distances[[#This Row],[Colonne28]]=$G9,AT9,Distances[[#This Row],[Colonne28]]+1)</f>
        <v>25</v>
      </c>
      <c r="AV9" s="17">
        <f>IF(Distances[[#This Row],[Colonne29]]=$G9,AU9,Distances[[#This Row],[Colonne29]]+1)</f>
        <v>26</v>
      </c>
      <c r="AW9" s="17">
        <f>IF(Distances[[#This Row],[Colonne30]]=$G9,AV9,Distances[[#This Row],[Colonne30]]+1)</f>
        <v>27</v>
      </c>
      <c r="AX9" s="17">
        <f>IF(Distances[[#This Row],[Colonne31]]=$G9,AW9,Distances[[#This Row],[Colonne31]]+1)</f>
        <v>28</v>
      </c>
      <c r="AY9" s="17">
        <f>IF(Distances[[#This Row],[Colonne32]]=$G9,AX9,Distances[[#This Row],[Colonne32]]+1)</f>
        <v>29</v>
      </c>
      <c r="AZ9" s="17">
        <f>IF(Distances[[#This Row],[Colonne33]]=$G9,AY9,Distances[[#This Row],[Colonne33]]+1)</f>
        <v>30</v>
      </c>
      <c r="BA9" s="17">
        <f>IF(Distances[[#This Row],[Colonne34]]=$G9,AZ9,Distances[[#This Row],[Colonne34]]+1)</f>
        <v>31</v>
      </c>
      <c r="BB9" s="17">
        <f>IF(Distances[[#This Row],[Colonne35]]=$G9,BA9,Distances[[#This Row],[Colonne35]]+1)</f>
        <v>32</v>
      </c>
      <c r="BC9" s="17">
        <f>IF(Distances[[#This Row],[Colonne36]]=$G9,BB9,Distances[[#This Row],[Colonne36]]+1)</f>
        <v>33</v>
      </c>
      <c r="BD9" s="17">
        <f>IF(Distances[[#This Row],[Colonne37]]=$G9,BC9,Distances[[#This Row],[Colonne37]]+1)</f>
        <v>34</v>
      </c>
      <c r="BE9" s="17">
        <f>IF(Distances[[#This Row],[Colonne38]]=$G9,BD9,Distances[[#This Row],[Colonne38]]+1)</f>
        <v>35</v>
      </c>
      <c r="BF9" s="17">
        <f>IF(Distances[[#This Row],[Colonne39]]=$G9,BE9,Distances[[#This Row],[Colonne39]]+1)</f>
        <v>36</v>
      </c>
      <c r="BG9" s="17">
        <f>IF(Distances[[#This Row],[Colonne40]]=$G9,BF9,Distances[[#This Row],[Colonne40]]+1)</f>
        <v>37</v>
      </c>
      <c r="BH9" s="17">
        <f>IF(Distances[[#This Row],[Colonne41]]=$G9,BG9,Distances[[#This Row],[Colonne41]]+1)</f>
        <v>38</v>
      </c>
      <c r="BI9" s="17">
        <f>IF(Distances[[#This Row],[Colonne42]]=$G9,BH9,Distances[[#This Row],[Colonne42]]+1)</f>
        <v>39</v>
      </c>
      <c r="BJ9" s="17">
        <f>IF(Distances[[#This Row],[Colonne43]]=$G9,BI9,Distances[[#This Row],[Colonne43]]+1)</f>
        <v>40</v>
      </c>
      <c r="BK9" s="17">
        <f>IF(Distances[[#This Row],[Colonne44]]=$G9,BJ9,Distances[[#This Row],[Colonne44]]+1)</f>
        <v>41</v>
      </c>
      <c r="BL9" s="17">
        <f>IF(Distances[[#This Row],[Colonne45]]=$G9,BK9,Distances[[#This Row],[Colonne45]]+1)</f>
        <v>42</v>
      </c>
      <c r="BM9" s="17">
        <f>IF(Distances[[#This Row],[Colonne46]]=$G9,BL9,Distances[[#This Row],[Colonne46]]+1)</f>
        <v>43</v>
      </c>
      <c r="BN9" s="17">
        <f>IF(Distances[[#This Row],[Colonne47]]=$G9,BM9,Distances[[#This Row],[Colonne47]]+1)</f>
        <v>44</v>
      </c>
      <c r="BO9" s="17">
        <f>IF(Distances[[#This Row],[Colonne48]]=$G9,BN9,Distances[[#This Row],[Colonne48]]+1)</f>
        <v>45</v>
      </c>
      <c r="BP9" s="17">
        <f>IF(Distances[[#This Row],[Colonne49]]=$G9,BO9,Distances[[#This Row],[Colonne49]]+1)</f>
        <v>46</v>
      </c>
      <c r="BQ9" s="17">
        <f>IF(Distances[[#This Row],[Colonne50]]=$G9,BP9,Distances[[#This Row],[Colonne50]]+1)</f>
        <v>47</v>
      </c>
      <c r="BR9" s="17">
        <f>IF(Distances[[#This Row],[Colonne51]]=$G9,BQ9,Distances[[#This Row],[Colonne51]]+1)</f>
        <v>48</v>
      </c>
      <c r="BS9" s="17">
        <f>IF(Distances[[#This Row],[Colonne52]]=$G9,BR9,Distances[[#This Row],[Colonne52]]+1)</f>
        <v>49</v>
      </c>
      <c r="BT9" s="17">
        <f>IF(Distances[[#This Row],[Colonne53]]=$G9,BS9,Distances[[#This Row],[Colonne53]]+1)</f>
        <v>50</v>
      </c>
      <c r="BU9" s="17">
        <f>IF(Distances[[#This Row],[Colonne54]]=$G9,BT9,Distances[[#This Row],[Colonne54]]+1)</f>
        <v>51</v>
      </c>
      <c r="BV9" s="17">
        <f>IF(Distances[[#This Row],[Colonne55]]=$G9,BU9,Distances[[#This Row],[Colonne55]]+1)</f>
        <v>52</v>
      </c>
      <c r="BW9" s="17">
        <f>IF(Distances[[#This Row],[Colonne56]]=$G9,BV9,Distances[[#This Row],[Colonne56]]+1)</f>
        <v>53</v>
      </c>
      <c r="BX9" s="17">
        <f>IF(Distances[[#This Row],[Colonne57]]=$G9,BW9,Distances[[#This Row],[Colonne57]]+1)</f>
        <v>54</v>
      </c>
      <c r="BY9" s="17">
        <f>IF(Distances[[#This Row],[Colonne58]]=$G9,BX9,Distances[[#This Row],[Colonne58]]+1)</f>
        <v>55</v>
      </c>
      <c r="BZ9" s="17">
        <f>IF(Distances[[#This Row],[Colonne59]]=$G9,BY9,Distances[[#This Row],[Colonne59]]+1)</f>
        <v>56</v>
      </c>
      <c r="CA9" s="17">
        <f>IF(Distances[[#This Row],[Colonne60]]=$G9,BZ9,Distances[[#This Row],[Colonne60]]+1)</f>
        <v>57</v>
      </c>
      <c r="CB9" s="17">
        <f>IF(Distances[[#This Row],[Colonne61]]=$G9,CA9,Distances[[#This Row],[Colonne61]]+1)</f>
        <v>58</v>
      </c>
      <c r="CC9" s="17">
        <f>IF(Distances[[#This Row],[Colonne62]]=$G9,CB9,Distances[[#This Row],[Colonne62]]+1)</f>
        <v>59</v>
      </c>
      <c r="CD9" s="17">
        <f>IF(Distances[[#This Row],[Colonne63]]=$G9,CC9,Distances[[#This Row],[Colonne63]]+1)</f>
        <v>60</v>
      </c>
      <c r="CE9" s="17">
        <f>IF(Distances[[#This Row],[Colonne64]]=$G9,CD9,Distances[[#This Row],[Colonne64]]+1)</f>
        <v>61</v>
      </c>
      <c r="CF9" s="17">
        <f>IF(Distances[[#This Row],[Colonne65]]=$G9,CE9,Distances[[#This Row],[Colonne65]]+1)</f>
        <v>62</v>
      </c>
      <c r="CG9" s="17">
        <f>IF(Distances[[#This Row],[Colonne66]]=$G9,CF9,Distances[[#This Row],[Colonne66]]+1)</f>
        <v>63</v>
      </c>
      <c r="CH9" s="17">
        <f>IF(Distances[[#This Row],[Colonne67]]=$G9,CG9,Distances[[#This Row],[Colonne67]]+1)</f>
        <v>64</v>
      </c>
      <c r="CI9" s="17">
        <f>IF(Distances[[#This Row],[Colonne68]]=$G9,CH9,Distances[[#This Row],[Colonne68]]+1)</f>
        <v>65</v>
      </c>
      <c r="CJ9" s="17">
        <f>IF(Distances[[#This Row],[Colonne69]]=$G9,CI9,Distances[[#This Row],[Colonne69]]+1)</f>
        <v>66</v>
      </c>
      <c r="CK9" s="17">
        <f>IF(Distances[[#This Row],[Colonne70]]=$G9,CJ9,Distances[[#This Row],[Colonne70]]+1)</f>
        <v>67</v>
      </c>
      <c r="CL9" s="17">
        <f>IF(Distances[[#This Row],[Colonne71]]=$G9,CK9,Distances[[#This Row],[Colonne71]]+1)</f>
        <v>68</v>
      </c>
      <c r="CM9" s="17">
        <f>IF(Distances[[#This Row],[Colonne72]]=$G9,CL9,Distances[[#This Row],[Colonne72]]+1)</f>
        <v>69</v>
      </c>
      <c r="CN9" s="17">
        <f>IF(Distances[[#This Row],[Colonne73]]=$G9,CM9,Distances[[#This Row],[Colonne73]]+1)</f>
        <v>70</v>
      </c>
      <c r="CO9" s="17">
        <f>IF(Distances[[#This Row],[Colonne74]]=$G9,CN9,Distances[[#This Row],[Colonne74]]+1)</f>
        <v>70</v>
      </c>
      <c r="CP9" s="17">
        <f>IF(Distances[[#This Row],[Colonne75]]=$G9,CO9,Distances[[#This Row],[Colonne75]]+1)</f>
        <v>70</v>
      </c>
      <c r="CQ9" s="17">
        <f>IF(Distances[[#This Row],[Colonne76]]=$G9,CP9,Distances[[#This Row],[Colonne76]]+1)</f>
        <v>70</v>
      </c>
      <c r="CR9" s="17">
        <f>IF(Distances[[#This Row],[Colonne77]]=$G9,CQ9,Distances[[#This Row],[Colonne77]]+1)</f>
        <v>70</v>
      </c>
      <c r="CS9" s="17">
        <f>IF(Distances[[#This Row],[Colonne78]]=$G9,CR9,Distances[[#This Row],[Colonne78]]+1)</f>
        <v>70</v>
      </c>
      <c r="CT9" s="17">
        <f>IF(Distances[[#This Row],[Colonne79]]=$G9,CS9,Distances[[#This Row],[Colonne79]]+1)</f>
        <v>70</v>
      </c>
      <c r="CU9" s="17">
        <f>IF(Distances[[#This Row],[Colonne80]]=$G9,CT9,Distances[[#This Row],[Colonne80]]+1)</f>
        <v>70</v>
      </c>
      <c r="CV9" s="17">
        <f>IF(Distances[[#This Row],[Colonne81]]=$G9,CU9,Distances[[#This Row],[Colonne81]]+1)</f>
        <v>70</v>
      </c>
      <c r="CW9" s="17">
        <f>IF(Distances[[#This Row],[Colonne82]]=$G9,CV9,Distances[[#This Row],[Colonne82]]+1)</f>
        <v>70</v>
      </c>
      <c r="CX9" s="17">
        <f>IF(Distances[[#This Row],[Colonne83]]=$G9,CW9,Distances[[#This Row],[Colonne83]]+1)</f>
        <v>70</v>
      </c>
      <c r="CY9" s="17">
        <f>IF(Distances[[#This Row],[Colonne84]]=$G9,CX9,Distances[[#This Row],[Colonne84]]+1)</f>
        <v>70</v>
      </c>
      <c r="CZ9" s="17">
        <f>IF(Distances[[#This Row],[Colonne85]]=$G9,CY9,Distances[[#This Row],[Colonne85]]+1)</f>
        <v>70</v>
      </c>
      <c r="DA9" s="17">
        <f>IF(Distances[[#This Row],[Colonne86]]=$G9,CZ9,Distances[[#This Row],[Colonne86]]+1)</f>
        <v>70</v>
      </c>
      <c r="DB9" s="17">
        <f>IF(Distances[[#This Row],[Colonne87]]=$G9,DA9,Distances[[#This Row],[Colonne87]]+1)</f>
        <v>70</v>
      </c>
      <c r="DC9" s="17">
        <f>IF(Distances[[#This Row],[Colonne88]]=$G9,DB9,Distances[[#This Row],[Colonne88]]+1)</f>
        <v>70</v>
      </c>
      <c r="DD9" s="17">
        <f>IF(Distances[[#This Row],[Colonne89]]=$G9,DC9,Distances[[#This Row],[Colonne89]]+1)</f>
        <v>70</v>
      </c>
      <c r="DE9" s="17">
        <f>IF(Distances[[#This Row],[Colonne90]]=$G9,DD9,Distances[[#This Row],[Colonne90]]+1)</f>
        <v>70</v>
      </c>
      <c r="DF9" s="17">
        <f>IF(Distances[[#This Row],[Colonne91]]=$G9,DE9,Distances[[#This Row],[Colonne91]]+1)</f>
        <v>70</v>
      </c>
      <c r="DG9" s="17">
        <f>IF(Distances[[#This Row],[Colonne92]]=$G9,DF9,Distances[[#This Row],[Colonne92]]+1)</f>
        <v>70</v>
      </c>
      <c r="DH9" s="17">
        <f>IF(Distances[[#This Row],[Colonne93]]=$G9,DG9,Distances[[#This Row],[Colonne93]]+1)</f>
        <v>70</v>
      </c>
      <c r="DI9" s="17">
        <f>IF(Distances[[#This Row],[Colonne94]]=$G9,DH9,Distances[[#This Row],[Colonne94]]+1)</f>
        <v>70</v>
      </c>
      <c r="DJ9" s="17">
        <f>IF(Distances[[#This Row],[Colonne95]]=$G9,DI9,Distances[[#This Row],[Colonne95]]+1)</f>
        <v>70</v>
      </c>
      <c r="DK9" s="17">
        <f>IF(Distances[[#This Row],[Colonne96]]=$G9,DJ9,Distances[[#This Row],[Colonne96]]+1)</f>
        <v>70</v>
      </c>
      <c r="DL9" s="17">
        <f>IF(Distances[[#This Row],[Colonne97]]=$G9,DK9,Distances[[#This Row],[Colonne97]]+1)</f>
        <v>70</v>
      </c>
      <c r="DM9" s="17">
        <f>IF(Distances[[#This Row],[Colonne98]]=$G9,DL9,Distances[[#This Row],[Colonne98]]+1)</f>
        <v>70</v>
      </c>
      <c r="DN9" s="17">
        <f>IF(Distances[[#This Row],[Colonne99]]=$G9,DM9,Distances[[#This Row],[Colonne99]]+1)</f>
        <v>70</v>
      </c>
      <c r="DO9" s="17">
        <f>IF(Distances[[#This Row],[Colonne100]]=$G9,DN9,Distances[[#This Row],[Colonne100]]+1)</f>
        <v>70</v>
      </c>
      <c r="DP9" s="17">
        <f>IF(Distances[[#This Row],[Colonne101]]=$G9,DO9,Distances[[#This Row],[Colonne101]]+1)</f>
        <v>70</v>
      </c>
      <c r="DQ9" s="17">
        <f>IF(Distances[[#This Row],[Colonne102]]=$G9,DP9,Distances[[#This Row],[Colonne102]]+1)</f>
        <v>70</v>
      </c>
      <c r="DR9" s="17">
        <f>IF(Distances[[#This Row],[Colonne103]]=$G9,DQ9,Distances[[#This Row],[Colonne103]]+1)</f>
        <v>70</v>
      </c>
      <c r="DS9" s="17">
        <f>IF(Distances[[#This Row],[Colonne104]]=$G9,DR9,Distances[[#This Row],[Colonne104]]+1)</f>
        <v>70</v>
      </c>
      <c r="DT9" s="17">
        <f>IF(Distances[[#This Row],[Colonne105]]=$G9,DS9,Distances[[#This Row],[Colonne105]]+1)</f>
        <v>70</v>
      </c>
      <c r="DU9" s="17">
        <f>IF(Distances[[#This Row],[Colonne106]]=$G9,DT9,Distances[[#This Row],[Colonne106]]+1)</f>
        <v>70</v>
      </c>
      <c r="DV9" s="17">
        <f>IF(Distances[[#This Row],[Colonne107]]=$G9,DU9,Distances[[#This Row],[Colonne107]]+1)</f>
        <v>70</v>
      </c>
      <c r="DW9" s="17">
        <f>IF(Distances[[#This Row],[Colonne108]]=$G9,DV9,Distances[[#This Row],[Colonne108]]+1)</f>
        <v>70</v>
      </c>
      <c r="DX9" s="17">
        <f>IF(Distances[[#This Row],[Colonne109]]=$G9,DW9,Distances[[#This Row],[Colonne109]]+1)</f>
        <v>70</v>
      </c>
      <c r="DY9" s="17">
        <f>IF(Distances[[#This Row],[Colonne110]]=$G9,DX9,Distances[[#This Row],[Colonne110]]+1)</f>
        <v>70</v>
      </c>
      <c r="DZ9" s="17">
        <f>IF(Distances[[#This Row],[Colonne111]]=$G9,DY9,Distances[[#This Row],[Colonne111]]+1)</f>
        <v>70</v>
      </c>
      <c r="EA9" s="17">
        <f>IF(Distances[[#This Row],[Colonne112]]=$G9,DZ9,Distances[[#This Row],[Colonne112]]+1)</f>
        <v>70</v>
      </c>
      <c r="EB9" s="17">
        <f>IF(Distances[[#This Row],[Colonne113]]=$G9,EA9,Distances[[#This Row],[Colonne113]]+1)</f>
        <v>70</v>
      </c>
      <c r="EC9" s="17">
        <f>IF(Distances[[#This Row],[Colonne114]]=$G9,EB9,Distances[[#This Row],[Colonne114]]+1)</f>
        <v>70</v>
      </c>
      <c r="ED9" s="17">
        <f>IF(Distances[[#This Row],[Colonne115]]=$G9,EC9,Distances[[#This Row],[Colonne115]]+1)</f>
        <v>70</v>
      </c>
      <c r="EE9" s="17">
        <f>IF(Distances[[#This Row],[Colonne116]]=$G9,ED9,Distances[[#This Row],[Colonne116]]+1)</f>
        <v>70</v>
      </c>
      <c r="EF9" s="17">
        <f>IF(Distances[[#This Row],[Colonne117]]=$G9,EE9,Distances[[#This Row],[Colonne117]]+1)</f>
        <v>70</v>
      </c>
      <c r="EG9" s="17">
        <f>IF(Distances[[#This Row],[Colonne118]]=$G9,EF9,Distances[[#This Row],[Colonne118]]+1)</f>
        <v>70</v>
      </c>
      <c r="EH9" s="17">
        <f>IF(Distances[[#This Row],[Colonne119]]=$G9,EG9,Distances[[#This Row],[Colonne119]]+1)</f>
        <v>70</v>
      </c>
      <c r="EI9" s="17">
        <f>IF(Distances[[#This Row],[Colonne120]]=$G9,EH9,Distances[[#This Row],[Colonne120]]+1)</f>
        <v>70</v>
      </c>
      <c r="EJ9" s="17">
        <f>IF(Distances[[#This Row],[Colonne121]]=$G9,EI9,Distances[[#This Row],[Colonne121]]+1)</f>
        <v>70</v>
      </c>
      <c r="EK9" s="17">
        <f>IF(Distances[[#This Row],[Colonne122]]=$G9,EJ9,Distances[[#This Row],[Colonne122]]+1)</f>
        <v>70</v>
      </c>
      <c r="EL9" s="17">
        <f>IF(Distances[[#This Row],[Colonne123]]=$G9,EK9,Distances[[#This Row],[Colonne123]]+1)</f>
        <v>70</v>
      </c>
      <c r="EM9" s="17">
        <f>IF(Distances[[#This Row],[Colonne124]]=$G9,EL9,Distances[[#This Row],[Colonne124]]+1)</f>
        <v>70</v>
      </c>
      <c r="EN9" s="17">
        <f>IF(Distances[[#This Row],[Colonne125]]=$G9,EM9,Distances[[#This Row],[Colonne125]]+1)</f>
        <v>70</v>
      </c>
      <c r="EO9" s="17">
        <f>IF(Distances[[#This Row],[Colonne126]]=$G9,EN9,Distances[[#This Row],[Colonne126]]+1)</f>
        <v>70</v>
      </c>
      <c r="EP9" s="17">
        <f>IF(Distances[[#This Row],[Colonne127]]=$G9,EO9,Distances[[#This Row],[Colonne127]]+1)</f>
        <v>70</v>
      </c>
      <c r="EQ9" s="17">
        <f>IF(Distances[[#This Row],[Colonne128]]=$G9,EP9,Distances[[#This Row],[Colonne128]]+1)</f>
        <v>70</v>
      </c>
      <c r="ER9" s="17">
        <f>IF(Distances[[#This Row],[Colonne129]]=$G9,EQ9,Distances[[#This Row],[Colonne129]]+1)</f>
        <v>70</v>
      </c>
      <c r="ES9" s="17">
        <f>IF(Distances[[#This Row],[Colonne130]]=$G9,ER9,Distances[[#This Row],[Colonne130]]+1)</f>
        <v>70</v>
      </c>
      <c r="ET9" s="17">
        <f>IF(Distances[[#This Row],[Colonne131]]=$G9,ES9,Distances[[#This Row],[Colonne131]]+1)</f>
        <v>70</v>
      </c>
      <c r="EU9" s="17">
        <f>IF(Distances[[#This Row],[Colonne132]]=$G9,ET9,Distances[[#This Row],[Colonne132]]+1)</f>
        <v>70</v>
      </c>
      <c r="EV9" s="17">
        <f>IF(Distances[[#This Row],[Colonne133]]=$G9,EU9,Distances[[#This Row],[Colonne133]]+1)</f>
        <v>70</v>
      </c>
      <c r="EW9" s="17">
        <f>IF(Distances[[#This Row],[Colonne134]]=$G9,EV9,Distances[[#This Row],[Colonne134]]+1)</f>
        <v>70</v>
      </c>
      <c r="EX9" s="17">
        <f>IF(Distances[[#This Row],[Colonne135]]=$G9,EW9,Distances[[#This Row],[Colonne135]]+1)</f>
        <v>70</v>
      </c>
      <c r="EY9" s="17">
        <f>IF(Distances[[#This Row],[Colonne136]]=$G9,EX9,Distances[[#This Row],[Colonne136]]+1)</f>
        <v>70</v>
      </c>
      <c r="EZ9" s="17">
        <f>IF(Distances[[#This Row],[Colonne137]]=$G9,EY9,Distances[[#This Row],[Colonne137]]+1)</f>
        <v>70</v>
      </c>
      <c r="FA9" s="17">
        <f>IF(Distances[[#This Row],[Colonne138]]=$G9,EZ9,Distances[[#This Row],[Colonne138]]+1)</f>
        <v>70</v>
      </c>
      <c r="FB9" s="17">
        <f>IF(Distances[[#This Row],[Colonne139]]=$G9,FA9,Distances[[#This Row],[Colonne139]]+1)</f>
        <v>70</v>
      </c>
      <c r="FC9" s="17">
        <f>IF(Distances[[#This Row],[Colonne140]]=$G9,FB9,Distances[[#This Row],[Colonne140]]+1)</f>
        <v>70</v>
      </c>
      <c r="FD9" s="17">
        <f>IF(Distances[[#This Row],[Colonne141]]=$G9,FC9,Distances[[#This Row],[Colonne141]]+1)</f>
        <v>70</v>
      </c>
      <c r="FE9" s="17">
        <f>IF(Distances[[#This Row],[Colonne142]]=$G9,FD9,Distances[[#This Row],[Colonne142]]+1)</f>
        <v>70</v>
      </c>
      <c r="FF9" s="17">
        <f>IF(Distances[[#This Row],[Colonne143]]=$G9,FE9,Distances[[#This Row],[Colonne143]]+1)</f>
        <v>70</v>
      </c>
      <c r="FG9" s="17">
        <f>IF(Distances[[#This Row],[Colonne144]]=$G9,FF9,Distances[[#This Row],[Colonne144]]+1)</f>
        <v>70</v>
      </c>
      <c r="FH9" s="17">
        <f>IF(Distances[[#This Row],[Colonne145]]=$G9,FG9,Distances[[#This Row],[Colonne145]]+1)</f>
        <v>70</v>
      </c>
      <c r="FI9" s="17">
        <f>IF(Distances[[#This Row],[Colonne146]]=$G9,FH9,Distances[[#This Row],[Colonne146]]+1)</f>
        <v>70</v>
      </c>
      <c r="FJ9" s="17">
        <f>IF(Distances[[#This Row],[Colonne147]]=$G9,FI9,Distances[[#This Row],[Colonne147]]+1)</f>
        <v>70</v>
      </c>
      <c r="FK9" s="17">
        <f>IF(Distances[[#This Row],[Colonne148]]=$G9,FJ9,Distances[[#This Row],[Colonne148]]+1)</f>
        <v>70</v>
      </c>
      <c r="FL9" s="17">
        <f>IF(Distances[[#This Row],[Colonne149]]=$G9,FK9,Distances[[#This Row],[Colonne149]]+1)</f>
        <v>70</v>
      </c>
      <c r="FM9" s="17">
        <f>IF(Distances[[#This Row],[Colonne150]]=$G9,FL9,Distances[[#This Row],[Colonne150]]+1)</f>
        <v>70</v>
      </c>
      <c r="FN9" s="17">
        <f>IF(Distances[[#This Row],[Colonne151]]=$G9,FM9,Distances[[#This Row],[Colonne151]]+1)</f>
        <v>70</v>
      </c>
      <c r="FO9" s="17">
        <f>IF(Distances[[#This Row],[Colonne152]]=$G9,FN9,Distances[[#This Row],[Colonne152]]+1)</f>
        <v>70</v>
      </c>
      <c r="FP9" s="17">
        <f>IF(Distances[[#This Row],[Colonne153]]=$G9,FO9,Distances[[#This Row],[Colonne153]]+1)</f>
        <v>70</v>
      </c>
      <c r="FQ9" s="17">
        <f>IF(Distances[[#This Row],[Colonne154]]=$G9,FP9,Distances[[#This Row],[Colonne154]]+1)</f>
        <v>70</v>
      </c>
      <c r="FR9" s="17">
        <f>IF(Distances[[#This Row],[Colonne155]]=$G9,FQ9,Distances[[#This Row],[Colonne155]]+1)</f>
        <v>70</v>
      </c>
      <c r="FS9" s="17">
        <f>IF(Distances[[#This Row],[Colonne156]]=$G9,FR9,Distances[[#This Row],[Colonne156]]+1)</f>
        <v>70</v>
      </c>
      <c r="FT9" s="17">
        <f>IF(Distances[[#This Row],[Colonne157]]=$G9,FS9,Distances[[#This Row],[Colonne157]]+1)</f>
        <v>70</v>
      </c>
      <c r="FU9" s="17">
        <f>IF(Distances[[#This Row],[Colonne158]]=$G9,FT9,Distances[[#This Row],[Colonne158]]+1)</f>
        <v>70</v>
      </c>
      <c r="FV9" s="17">
        <f>IF(Distances[[#This Row],[Colonne159]]=$G9,FU9,Distances[[#This Row],[Colonne159]]+1)</f>
        <v>70</v>
      </c>
      <c r="FW9" s="17">
        <f>IF(Distances[[#This Row],[Colonne160]]=$G9,FV9,Distances[[#This Row],[Colonne160]]+1)</f>
        <v>70</v>
      </c>
      <c r="FX9" s="17">
        <f>IF(Distances[[#This Row],[Colonne161]]=$G9,FW9,Distances[[#This Row],[Colonne161]]+1)</f>
        <v>70</v>
      </c>
      <c r="FY9" s="17">
        <f>IF(Distances[[#This Row],[Colonne162]]=$G9,FX9,Distances[[#This Row],[Colonne162]]+1)</f>
        <v>70</v>
      </c>
      <c r="FZ9" s="17">
        <f>IF(Distances[[#This Row],[Colonne163]]=$G9,FY9,Distances[[#This Row],[Colonne163]]+1)</f>
        <v>70</v>
      </c>
      <c r="GA9" s="17">
        <f>IF(Distances[[#This Row],[Colonne164]]=$G9,FZ9,Distances[[#This Row],[Colonne164]]+1)</f>
        <v>70</v>
      </c>
      <c r="GB9" s="17">
        <f>IF(Distances[[#This Row],[Colonne165]]=$G9,GA9,Distances[[#This Row],[Colonne165]]+1)</f>
        <v>70</v>
      </c>
      <c r="GC9" s="17">
        <f>IF(Distances[[#This Row],[Colonne166]]=$G9,GB9,Distances[[#This Row],[Colonne166]]+1)</f>
        <v>70</v>
      </c>
      <c r="GD9" s="17">
        <f>IF(Distances[[#This Row],[Colonne167]]=$G9,GC9,Distances[[#This Row],[Colonne167]]+1)</f>
        <v>70</v>
      </c>
      <c r="GE9" s="17">
        <f>IF(Distances[[#This Row],[Colonne168]]=$G9,GD9,Distances[[#This Row],[Colonne168]]+1)</f>
        <v>70</v>
      </c>
      <c r="GF9" s="17">
        <f>IF(Distances[[#This Row],[Colonne169]]=$G9,GE9,Distances[[#This Row],[Colonne169]]+1)</f>
        <v>70</v>
      </c>
      <c r="GG9" s="17">
        <f>IF(Distances[[#This Row],[Colonne170]]=$G9,GF9,Distances[[#This Row],[Colonne170]]+1)</f>
        <v>70</v>
      </c>
      <c r="GH9" s="17">
        <f>IF(Distances[[#This Row],[Colonne171]]=$G9,GG9,Distances[[#This Row],[Colonne171]]+1)</f>
        <v>70</v>
      </c>
      <c r="GI9" s="17">
        <f>IF(Distances[[#This Row],[Colonne172]]=$G9,GH9,Distances[[#This Row],[Colonne172]]+1)</f>
        <v>70</v>
      </c>
      <c r="GJ9" s="17">
        <f>IF(Distances[[#This Row],[Colonne173]]=$G9,GI9,Distances[[#This Row],[Colonne173]]+1)</f>
        <v>70</v>
      </c>
      <c r="GK9" s="17">
        <f>IF(Distances[[#This Row],[Colonne174]]=$G9,GJ9,Distances[[#This Row],[Colonne174]]+1)</f>
        <v>70</v>
      </c>
      <c r="GL9" s="17">
        <f>IF(Distances[[#This Row],[Colonne175]]=$G9,GK9,Distances[[#This Row],[Colonne175]]+1)</f>
        <v>70</v>
      </c>
      <c r="GM9" s="17">
        <f>IF(Distances[[#This Row],[Colonne176]]=$G9,GL9,Distances[[#This Row],[Colonne176]]+1)</f>
        <v>70</v>
      </c>
      <c r="GN9" s="17">
        <f>IF(Distances[[#This Row],[Colonne177]]=$G9,GM9,Distances[[#This Row],[Colonne177]]+1)</f>
        <v>70</v>
      </c>
      <c r="GO9" s="17">
        <f>IF(Distances[[#This Row],[Colonne178]]=$G9,GN9,Distances[[#This Row],[Colonne178]]+1)</f>
        <v>70</v>
      </c>
      <c r="GP9" s="17">
        <f>IF(Distances[[#This Row],[Colonne179]]=$G9,GO9,Distances[[#This Row],[Colonne179]]+1)</f>
        <v>70</v>
      </c>
      <c r="GQ9" s="17">
        <f>IF(Distances[[#This Row],[Colonne180]]=$G9,GP9,Distances[[#This Row],[Colonne180]]+1)</f>
        <v>70</v>
      </c>
      <c r="GR9" s="17">
        <f>IF(Distances[[#This Row],[Colonne181]]=$G9,GQ9,Distances[[#This Row],[Colonne181]]+1)</f>
        <v>70</v>
      </c>
      <c r="GS9" s="17">
        <f>IF(Distances[[#This Row],[Colonne182]]=$G9,GR9,Distances[[#This Row],[Colonne182]]+1)</f>
        <v>70</v>
      </c>
      <c r="GT9" s="17">
        <f>IF(Distances[[#This Row],[Colonne183]]=$G9,GS9,Distances[[#This Row],[Colonne183]]+1)</f>
        <v>70</v>
      </c>
      <c r="GU9" s="17">
        <f>IF(Distances[[#This Row],[Colonne184]]=$G9,GT9,Distances[[#This Row],[Colonne184]]+1)</f>
        <v>70</v>
      </c>
      <c r="GV9" s="17">
        <f>IF(Distances[[#This Row],[Colonne185]]=$G9,GU9,Distances[[#This Row],[Colonne185]]+1)</f>
        <v>70</v>
      </c>
      <c r="GW9" s="17">
        <f>IF(Distances[[#This Row],[Colonne186]]=$G9,GV9,Distances[[#This Row],[Colonne186]]+1)</f>
        <v>70</v>
      </c>
      <c r="GX9" s="17">
        <f>IF(Distances[[#This Row],[Colonne187]]=$G9,GW9,Distances[[#This Row],[Colonne187]]+1)</f>
        <v>70</v>
      </c>
      <c r="GY9" s="17">
        <f>IF(Distances[[#This Row],[Colonne188]]=$G9,GX9,Distances[[#This Row],[Colonne188]]+1)</f>
        <v>70</v>
      </c>
      <c r="GZ9" s="17">
        <f>IF(Distances[[#This Row],[Colonne189]]=$G9,GY9,Distances[[#This Row],[Colonne189]]+1)</f>
        <v>70</v>
      </c>
      <c r="HA9" s="17">
        <f>IF(Distances[[#This Row],[Colonne190]]=$G9,GZ9,Distances[[#This Row],[Colonne190]]+1)</f>
        <v>70</v>
      </c>
      <c r="HB9" s="17">
        <f>IF(Distances[[#This Row],[Colonne191]]=$G9,HA9,Distances[[#This Row],[Colonne191]]+1)</f>
        <v>70</v>
      </c>
      <c r="HC9" s="17">
        <f>IF(Distances[[#This Row],[Colonne192]]=$G9,HB9,Distances[[#This Row],[Colonne192]]+1)</f>
        <v>70</v>
      </c>
      <c r="HD9" s="17">
        <f>IF(Distances[[#This Row],[Colonne193]]=$G9,HC9,Distances[[#This Row],[Colonne193]]+1)</f>
        <v>70</v>
      </c>
      <c r="HE9" s="17">
        <f>IF(Distances[[#This Row],[Colonne194]]=$G9,HD9,Distances[[#This Row],[Colonne194]]+1)</f>
        <v>70</v>
      </c>
      <c r="HF9" s="17">
        <f>IF(Distances[[#This Row],[Colonne195]]=$G9,HE9,Distances[[#This Row],[Colonne195]]+1)</f>
        <v>70</v>
      </c>
      <c r="HG9" s="17">
        <f>IF(Distances[[#This Row],[Colonne196]]=$G9,HF9,Distances[[#This Row],[Colonne196]]+1)</f>
        <v>70</v>
      </c>
      <c r="HH9" s="17">
        <f>IF(Distances[[#This Row],[Colonne197]]=$G9,HG9,Distances[[#This Row],[Colonne197]]+1)</f>
        <v>70</v>
      </c>
      <c r="HI9" s="17">
        <f>IF(Distances[[#This Row],[Colonne198]]=$G9,HH9,Distances[[#This Row],[Colonne198]]+1)</f>
        <v>70</v>
      </c>
      <c r="HJ9" s="17">
        <f>IF(Distances[[#This Row],[Colonne199]]=$G9,HI9,Distances[[#This Row],[Colonne199]]+1)</f>
        <v>70</v>
      </c>
      <c r="HK9" s="17">
        <f>IF(Distances[[#This Row],[Colonne200]]=$G9,HJ9,Distances[[#This Row],[Colonne200]]+1)</f>
        <v>70</v>
      </c>
      <c r="HL9" s="17">
        <f>IF(Distances[[#This Row],[Colonne201]]=$G9,HK9,Distances[[#This Row],[Colonne201]]+1)</f>
        <v>70</v>
      </c>
      <c r="HM9" s="17">
        <f>IF(Distances[[#This Row],[Colonne202]]=$G9,HL9,Distances[[#This Row],[Colonne202]]+1)</f>
        <v>70</v>
      </c>
      <c r="HN9" s="17">
        <f>IF(Distances[[#This Row],[Colonne203]]=$G9,HM9,Distances[[#This Row],[Colonne203]]+1)</f>
        <v>70</v>
      </c>
      <c r="HO9" s="17">
        <f>IF(Distances[[#This Row],[Colonne204]]=$G9,HN9,Distances[[#This Row],[Colonne204]]+1)</f>
        <v>70</v>
      </c>
      <c r="HP9" s="17">
        <f>IF(Distances[[#This Row],[Colonne205]]=$G9,HO9,Distances[[#This Row],[Colonne205]]+1)</f>
        <v>70</v>
      </c>
      <c r="HQ9" s="17">
        <f>IF(Distances[[#This Row],[Colonne206]]=$G9,HP9,Distances[[#This Row],[Colonne206]]+1)</f>
        <v>70</v>
      </c>
      <c r="HR9" s="17">
        <f>IF(Distances[[#This Row],[Colonne207]]=$G9,HQ9,Distances[[#This Row],[Colonne207]]+1)</f>
        <v>70</v>
      </c>
      <c r="HS9" s="17">
        <f>IF(Distances[[#This Row],[Colonne208]]=$G9,HR9,Distances[[#This Row],[Colonne208]]+1)</f>
        <v>70</v>
      </c>
      <c r="HT9" s="17">
        <f>IF(Distances[[#This Row],[Colonne209]]=$G9,HS9,Distances[[#This Row],[Colonne209]]+1)</f>
        <v>70</v>
      </c>
      <c r="HU9" s="17">
        <f>IF(Distances[[#This Row],[Colonne210]]=$G9,HT9,Distances[[#This Row],[Colonne210]]+1)</f>
        <v>70</v>
      </c>
      <c r="HV9" s="17">
        <f>IF(Distances[[#This Row],[Colonne211]]=$G9,HU9,Distances[[#This Row],[Colonne211]]+1)</f>
        <v>70</v>
      </c>
      <c r="HW9" s="17">
        <f>IF(Distances[[#This Row],[Colonne212]]=$G9,HV9,Distances[[#This Row],[Colonne212]]+1)</f>
        <v>70</v>
      </c>
      <c r="HX9" s="17">
        <f>IF(Distances[[#This Row],[Colonne213]]=$G9,HW9,Distances[[#This Row],[Colonne213]]+1)</f>
        <v>70</v>
      </c>
      <c r="HY9" s="17">
        <f>IF(Distances[[#This Row],[Colonne214]]=$G9,HX9,Distances[[#This Row],[Colonne214]]+1)</f>
        <v>70</v>
      </c>
      <c r="HZ9" s="17">
        <f>IF(Distances[[#This Row],[Colonne215]]=$G9,HY9,Distances[[#This Row],[Colonne215]]+1)</f>
        <v>70</v>
      </c>
      <c r="IA9" s="17">
        <f>IF(Distances[[#This Row],[Colonne216]]=$G9,HZ9,Distances[[#This Row],[Colonne216]]+1)</f>
        <v>70</v>
      </c>
      <c r="IB9" s="17">
        <f>IF(Distances[[#This Row],[Colonne217]]=$G9,IA9,Distances[[#This Row],[Colonne217]]+1)</f>
        <v>70</v>
      </c>
      <c r="IC9" s="17">
        <f>IF(Distances[[#This Row],[Colonne218]]=$G9,IB9,Distances[[#This Row],[Colonne218]]+1)</f>
        <v>70</v>
      </c>
      <c r="ID9" s="17">
        <f>IF(Distances[[#This Row],[Colonne219]]=$G9,IC9,Distances[[#This Row],[Colonne219]]+1)</f>
        <v>70</v>
      </c>
      <c r="IE9" s="17">
        <f>IF(Distances[[#This Row],[Colonne220]]=$G9,ID9,Distances[[#This Row],[Colonne220]]+1)</f>
        <v>70</v>
      </c>
      <c r="IF9" s="17">
        <f>IF(Distances[[#This Row],[Colonne221]]=$G9,IE9,Distances[[#This Row],[Colonne221]]+1)</f>
        <v>70</v>
      </c>
      <c r="IG9" s="17">
        <f>IF(Distances[[#This Row],[Colonne222]]=$G9,IF9,Distances[[#This Row],[Colonne222]]+1)</f>
        <v>70</v>
      </c>
      <c r="IH9" s="17">
        <f>IF(Distances[[#This Row],[Colonne223]]=$G9,IG9,Distances[[#This Row],[Colonne223]]+1)</f>
        <v>70</v>
      </c>
      <c r="II9" s="17">
        <f>IF(Distances[[#This Row],[Colonne224]]=$G9,IH9,Distances[[#This Row],[Colonne224]]+1)</f>
        <v>70</v>
      </c>
      <c r="IJ9" s="17">
        <f>IF(Distances[[#This Row],[Colonne225]]=$G9,II9,Distances[[#This Row],[Colonne225]]+1)</f>
        <v>70</v>
      </c>
      <c r="IK9" s="17">
        <f>IF(Distances[[#This Row],[Colonne226]]=$G9,IJ9,Distances[[#This Row],[Colonne226]]+1)</f>
        <v>70</v>
      </c>
      <c r="IL9" s="17">
        <f>IF(Distances[[#This Row],[Colonne227]]=$G9,IK9,Distances[[#This Row],[Colonne227]]+1)</f>
        <v>70</v>
      </c>
      <c r="IM9" s="17">
        <f>IF(Distances[[#This Row],[Colonne228]]=$G9,IL9,Distances[[#This Row],[Colonne228]]+1)</f>
        <v>70</v>
      </c>
      <c r="IN9" s="17">
        <f>IF(Distances[[#This Row],[Colonne229]]=$G9,IM9,Distances[[#This Row],[Colonne229]]+1)</f>
        <v>70</v>
      </c>
      <c r="IO9" s="17">
        <f>IF(Distances[[#This Row],[Colonne230]]=$G9,IN9,Distances[[#This Row],[Colonne230]]+1)</f>
        <v>70</v>
      </c>
      <c r="IP9" s="17">
        <f>IF(Distances[[#This Row],[Colonne231]]=$G9,IO9,Distances[[#This Row],[Colonne231]]+1)</f>
        <v>70</v>
      </c>
      <c r="IQ9" s="17">
        <f>IF(Distances[[#This Row],[Colonne232]]=$G9,IP9,Distances[[#This Row],[Colonne232]]+1)</f>
        <v>70</v>
      </c>
      <c r="IR9" s="17">
        <f>IF(Distances[[#This Row],[Colonne233]]=$G9,IQ9,Distances[[#This Row],[Colonne233]]+1)</f>
        <v>70</v>
      </c>
      <c r="IS9" s="17">
        <f>IF(Distances[[#This Row],[Colonne234]]=$G9,IR9,Distances[[#This Row],[Colonne234]]+1)</f>
        <v>70</v>
      </c>
      <c r="IT9" s="17">
        <f>IF(Distances[[#This Row],[Colonne235]]=$G9,IS9,Distances[[#This Row],[Colonne235]]+1)</f>
        <v>70</v>
      </c>
      <c r="IU9" s="17">
        <f>IF(Distances[[#This Row],[Colonne236]]=$G9,IT9,Distances[[#This Row],[Colonne236]]+1)</f>
        <v>70</v>
      </c>
      <c r="IV9" s="17">
        <f>IF(Distances[[#This Row],[Colonne237]]=$G9,IU9,Distances[[#This Row],[Colonne237]]+1)</f>
        <v>70</v>
      </c>
      <c r="IW9" s="17">
        <f>IF(Distances[[#This Row],[Colonne238]]=$G9,IV9,Distances[[#This Row],[Colonne238]]+1)</f>
        <v>70</v>
      </c>
      <c r="IX9" s="17">
        <f>IF(Distances[[#This Row],[Colonne239]]=$G9,IW9,Distances[[#This Row],[Colonne239]]+1)</f>
        <v>70</v>
      </c>
      <c r="IY9" s="17">
        <f>IF(Distances[[#This Row],[Colonne240]]=$G9,IX9,Distances[[#This Row],[Colonne240]]+1)</f>
        <v>70</v>
      </c>
      <c r="IZ9" s="17">
        <f>IF(Distances[[#This Row],[Colonne241]]=$G9,IY9,Distances[[#This Row],[Colonne241]]+1)</f>
        <v>70</v>
      </c>
      <c r="JA9" s="17">
        <f>IF(Distances[[#This Row],[Colonne242]]=$G9,IZ9,Distances[[#This Row],[Colonne242]]+1)</f>
        <v>70</v>
      </c>
      <c r="JB9" s="17">
        <f>IF(Distances[[#This Row],[Colonne243]]=$G9,JA9,Distances[[#This Row],[Colonne243]]+1)</f>
        <v>70</v>
      </c>
      <c r="JC9" s="17">
        <f>IF(Distances[[#This Row],[Colonne244]]=$G9,JB9,Distances[[#This Row],[Colonne244]]+1)</f>
        <v>70</v>
      </c>
      <c r="JD9" s="17">
        <f>IF(Distances[[#This Row],[Colonne245]]=$G9,JC9,Distances[[#This Row],[Colonne245]]+1)</f>
        <v>70</v>
      </c>
      <c r="JE9" s="17">
        <f>IF(Distances[[#This Row],[Colonne246]]=$G9,JD9,Distances[[#This Row],[Colonne246]]+1)</f>
        <v>70</v>
      </c>
      <c r="JF9" s="17">
        <f>IF(Distances[[#This Row],[Colonne247]]=$G9,JE9,Distances[[#This Row],[Colonne247]]+1)</f>
        <v>70</v>
      </c>
      <c r="JG9" s="17">
        <f>IF(Distances[[#This Row],[Colonne248]]=$G9,JF9,Distances[[#This Row],[Colonne248]]+1)</f>
        <v>70</v>
      </c>
      <c r="JH9" s="17">
        <f>IF(Distances[[#This Row],[Colonne249]]=$G9,JG9,Distances[[#This Row],[Colonne249]]+1)</f>
        <v>70</v>
      </c>
      <c r="JI9" s="17">
        <f>IF(Distances[[#This Row],[Colonne250]]=$G9,JH9,Distances[[#This Row],[Colonne250]]+1)</f>
        <v>70</v>
      </c>
      <c r="JJ9" s="17">
        <f>IF(Distances[[#This Row],[Colonne251]]=$G9,JI9,Distances[[#This Row],[Colonne251]]+1)</f>
        <v>70</v>
      </c>
      <c r="JK9" s="17">
        <f>IF(Distances[[#This Row],[Colonne252]]=$G9,JJ9,Distances[[#This Row],[Colonne252]]+1)</f>
        <v>70</v>
      </c>
      <c r="JL9" s="17">
        <f>IF(Distances[[#This Row],[Colonne253]]=$G9,JK9,Distances[[#This Row],[Colonne253]]+1)</f>
        <v>70</v>
      </c>
      <c r="JM9" s="17">
        <f>IF(Distances[[#This Row],[Colonne254]]=$G9,JL9,Distances[[#This Row],[Colonne254]]+1)</f>
        <v>70</v>
      </c>
      <c r="JN9" s="17">
        <f>IF(Distances[[#This Row],[Colonne255]]=$G9,JM9,Distances[[#This Row],[Colonne255]]+1)</f>
        <v>70</v>
      </c>
      <c r="JO9" s="17">
        <f>IF(Distances[[#This Row],[Colonne256]]=$G9,JN9,Distances[[#This Row],[Colonne256]]+1)</f>
        <v>70</v>
      </c>
      <c r="JP9" s="17">
        <f>IF(Distances[[#This Row],[Colonne257]]=$G9,JO9,Distances[[#This Row],[Colonne257]]+1)</f>
        <v>70</v>
      </c>
      <c r="JQ9" s="17">
        <f>IF(Distances[[#This Row],[Colonne258]]=$G9,JP9,Distances[[#This Row],[Colonne258]]+1)</f>
        <v>70</v>
      </c>
      <c r="JR9" s="17">
        <f>IF(Distances[[#This Row],[Colonne259]]=$G9,JQ9,Distances[[#This Row],[Colonne259]]+1)</f>
        <v>70</v>
      </c>
      <c r="JS9" s="17">
        <f>IF(Distances[[#This Row],[Colonne260]]=$G9,JR9,Distances[[#This Row],[Colonne260]]+1)</f>
        <v>70</v>
      </c>
      <c r="JT9" s="17">
        <f>IF(Distances[[#This Row],[Colonne261]]=$G9,JS9,Distances[[#This Row],[Colonne261]]+1)</f>
        <v>70</v>
      </c>
      <c r="JU9" s="17">
        <f>IF(Distances[[#This Row],[Colonne262]]=$G9,JT9,Distances[[#This Row],[Colonne262]]+1)</f>
        <v>70</v>
      </c>
      <c r="JV9" s="17">
        <f>IF(Distances[[#This Row],[Colonne263]]=$G9,JU9,Distances[[#This Row],[Colonne263]]+1)</f>
        <v>70</v>
      </c>
      <c r="JW9" s="17">
        <f>IF(Distances[[#This Row],[Colonne264]]=$G9,JV9,Distances[[#This Row],[Colonne264]]+1)</f>
        <v>70</v>
      </c>
      <c r="JX9" s="17">
        <f>IF(Distances[[#This Row],[Colonne265]]=$G9,JW9,Distances[[#This Row],[Colonne265]]+1)</f>
        <v>70</v>
      </c>
      <c r="JY9" s="17">
        <f>IF(Distances[[#This Row],[Colonne266]]=$G9,JX9,Distances[[#This Row],[Colonne266]]+1)</f>
        <v>70</v>
      </c>
      <c r="JZ9" s="17">
        <f>IF(Distances[[#This Row],[Colonne267]]=$G9,JY9,Distances[[#This Row],[Colonne267]]+1)</f>
        <v>70</v>
      </c>
      <c r="KA9" s="17">
        <f>IF(Distances[[#This Row],[Colonne268]]=$G9,JZ9,Distances[[#This Row],[Colonne268]]+1)</f>
        <v>70</v>
      </c>
      <c r="KB9" s="17">
        <f>IF(Distances[[#This Row],[Colonne269]]=$G9,KA9,Distances[[#This Row],[Colonne269]]+1)</f>
        <v>70</v>
      </c>
      <c r="KC9" s="17">
        <f>IF(Distances[[#This Row],[Colonne270]]=$G9,KB9,Distances[[#This Row],[Colonne270]]+1)</f>
        <v>70</v>
      </c>
      <c r="KD9" s="17">
        <f>IF(Distances[[#This Row],[Colonne271]]=$G9,KC9,Distances[[#This Row],[Colonne271]]+1)</f>
        <v>70</v>
      </c>
      <c r="KE9" s="17">
        <f>IF(Distances[[#This Row],[Colonne272]]=$G9,KD9,Distances[[#This Row],[Colonne272]]+1)</f>
        <v>70</v>
      </c>
      <c r="KF9" s="17">
        <f>IF(Distances[[#This Row],[Colonne273]]=$G9,KE9,Distances[[#This Row],[Colonne273]]+1)</f>
        <v>70</v>
      </c>
      <c r="KG9" s="17">
        <f>IF(Distances[[#This Row],[Colonne274]]=$G9,KF9,Distances[[#This Row],[Colonne274]]+1)</f>
        <v>70</v>
      </c>
      <c r="KH9" s="17">
        <f>IF(Distances[[#This Row],[Colonne275]]=$G9,KG9,Distances[[#This Row],[Colonne275]]+1)</f>
        <v>70</v>
      </c>
      <c r="KI9" s="17">
        <f>IF(Distances[[#This Row],[Colonne276]]=$G9,KH9,Distances[[#This Row],[Colonne276]]+1)</f>
        <v>70</v>
      </c>
      <c r="KJ9" s="17">
        <f>IF(Distances[[#This Row],[Colonne277]]=$G9,KI9,Distances[[#This Row],[Colonne277]]+1)</f>
        <v>70</v>
      </c>
      <c r="KK9" s="17">
        <f>IF(Distances[[#This Row],[Colonne278]]=$G9,KJ9,Distances[[#This Row],[Colonne278]]+1)</f>
        <v>70</v>
      </c>
      <c r="KL9" s="17">
        <f>IF(Distances[[#This Row],[Colonne279]]=$G9,KK9,Distances[[#This Row],[Colonne279]]+1)</f>
        <v>70</v>
      </c>
      <c r="KM9" s="17">
        <f>IF(Distances[[#This Row],[Colonne280]]=$G9,KL9,Distances[[#This Row],[Colonne280]]+1)</f>
        <v>70</v>
      </c>
      <c r="KN9" s="17">
        <f>IF(Distances[[#This Row],[Colonne281]]=$G9,KM9,Distances[[#This Row],[Colonne281]]+1)</f>
        <v>70</v>
      </c>
      <c r="KO9" s="17">
        <f>IF(Distances[[#This Row],[Colonne282]]=$G9,KN9,Distances[[#This Row],[Colonne282]]+1)</f>
        <v>70</v>
      </c>
      <c r="KP9" s="17">
        <f>IF(Distances[[#This Row],[Colonne283]]=$G9,KO9,Distances[[#This Row],[Colonne283]]+1)</f>
        <v>70</v>
      </c>
      <c r="KQ9" s="17">
        <f>IF(Distances[[#This Row],[Colonne284]]=$G9,KP9,Distances[[#This Row],[Colonne284]]+1)</f>
        <v>70</v>
      </c>
      <c r="KR9" s="17">
        <f>IF(Distances[[#This Row],[Colonne285]]=$G9,KQ9,Distances[[#This Row],[Colonne285]]+1)</f>
        <v>70</v>
      </c>
      <c r="KS9" s="17">
        <f>IF(Distances[[#This Row],[Colonne286]]=$G9,KR9,Distances[[#This Row],[Colonne286]]+1)</f>
        <v>70</v>
      </c>
      <c r="KT9" s="17">
        <f>IF(Distances[[#This Row],[Colonne287]]=$G9,KS9,Distances[[#This Row],[Colonne287]]+1)</f>
        <v>70</v>
      </c>
      <c r="KU9" s="17">
        <f>IF(Distances[[#This Row],[Colonne288]]=$G9,KT9,Distances[[#This Row],[Colonne288]]+1)</f>
        <v>70</v>
      </c>
      <c r="KV9" s="17">
        <f>IF(Distances[[#This Row],[Colonne289]]=$G9,KU9,Distances[[#This Row],[Colonne289]]+1)</f>
        <v>70</v>
      </c>
      <c r="KW9" s="17">
        <f>IF(Distances[[#This Row],[Colonne290]]=$G9,KV9,Distances[[#This Row],[Colonne290]]+1)</f>
        <v>70</v>
      </c>
      <c r="KX9" s="17">
        <f>IF(Distances[[#This Row],[Colonne291]]=$G9,KW9,Distances[[#This Row],[Colonne291]]+1)</f>
        <v>70</v>
      </c>
      <c r="KY9" s="17">
        <f>IF(Distances[[#This Row],[Colonne292]]=$G9,KX9,Distances[[#This Row],[Colonne292]]+1)</f>
        <v>70</v>
      </c>
      <c r="KZ9" s="17">
        <f>IF(Distances[[#This Row],[Colonne293]]=$G9,KY9,Distances[[#This Row],[Colonne293]]+1)</f>
        <v>70</v>
      </c>
      <c r="LA9" s="17">
        <f>IF(Distances[[#This Row],[Colonne294]]=$G9,KZ9,Distances[[#This Row],[Colonne294]]+1)</f>
        <v>70</v>
      </c>
      <c r="LB9" s="17">
        <f>IF(Distances[[#This Row],[Colonne295]]=$G9,LA9,Distances[[#This Row],[Colonne295]]+1)</f>
        <v>70</v>
      </c>
      <c r="LC9" s="17">
        <f>IF(Distances[[#This Row],[Colonne296]]=$G9,LB9,Distances[[#This Row],[Colonne296]]+1)</f>
        <v>70</v>
      </c>
      <c r="LD9" s="17">
        <f>IF(Distances[[#This Row],[Colonne297]]=$G9,LC9,Distances[[#This Row],[Colonne297]]+1)</f>
        <v>70</v>
      </c>
      <c r="LE9" s="17">
        <f>IF(Distances[[#This Row],[Colonne298]]=$G9,LD9,Distances[[#This Row],[Colonne298]]+1)</f>
        <v>70</v>
      </c>
      <c r="LF9" s="17">
        <f>IF(Distances[[#This Row],[Colonne299]]=$G9,LE9,Distances[[#This Row],[Colonne299]]+1)</f>
        <v>70</v>
      </c>
      <c r="LG9" s="17">
        <f>IF(Distances[[#This Row],[Colonne300]]=$G9,LF9,Distances[[#This Row],[Colonne300]]+1)</f>
        <v>70</v>
      </c>
      <c r="LH9" s="17">
        <f>IF(Distances[[#This Row],[Colonne301]]=$G9,LG9,Distances[[#This Row],[Colonne301]]+1)</f>
        <v>70</v>
      </c>
      <c r="LI9" s="17">
        <f>IF(Distances[[#This Row],[Colonne302]]=$G9,LH9,Distances[[#This Row],[Colonne302]]+1)</f>
        <v>70</v>
      </c>
      <c r="LJ9" s="17">
        <f>IF(Distances[[#This Row],[Colonne303]]=$G9,LI9,Distances[[#This Row],[Colonne303]]+1)</f>
        <v>70</v>
      </c>
      <c r="LK9" s="51"/>
      <c r="LL9" s="17">
        <f t="shared" ref="LL9:NW9" si="16">IF(LK9=$H9,LK9,LK9+1)</f>
        <v>1</v>
      </c>
      <c r="LM9" s="17">
        <f t="shared" si="16"/>
        <v>2</v>
      </c>
      <c r="LN9" s="17">
        <f t="shared" si="16"/>
        <v>3</v>
      </c>
      <c r="LO9" s="17">
        <f t="shared" si="16"/>
        <v>4</v>
      </c>
      <c r="LP9" s="17">
        <f t="shared" si="16"/>
        <v>5</v>
      </c>
      <c r="LQ9" s="17">
        <f t="shared" si="16"/>
        <v>6</v>
      </c>
      <c r="LR9" s="17">
        <f t="shared" si="16"/>
        <v>7</v>
      </c>
      <c r="LS9" s="17">
        <f t="shared" si="16"/>
        <v>8</v>
      </c>
      <c r="LT9" s="17">
        <f t="shared" si="16"/>
        <v>9</v>
      </c>
      <c r="LU9" s="17">
        <f t="shared" si="16"/>
        <v>10</v>
      </c>
      <c r="LV9" s="17">
        <f t="shared" si="16"/>
        <v>11</v>
      </c>
      <c r="LW9" s="17">
        <f t="shared" si="16"/>
        <v>12</v>
      </c>
      <c r="LX9" s="17">
        <f t="shared" si="16"/>
        <v>13</v>
      </c>
      <c r="LY9" s="17">
        <f t="shared" si="16"/>
        <v>14</v>
      </c>
      <c r="LZ9" s="17">
        <f t="shared" si="16"/>
        <v>15</v>
      </c>
      <c r="MA9" s="17">
        <f t="shared" si="16"/>
        <v>16</v>
      </c>
      <c r="MB9" s="17">
        <f t="shared" si="16"/>
        <v>17</v>
      </c>
      <c r="MC9" s="17">
        <f t="shared" si="16"/>
        <v>18</v>
      </c>
      <c r="MD9" s="17">
        <f t="shared" si="16"/>
        <v>19</v>
      </c>
      <c r="ME9" s="17">
        <f t="shared" si="16"/>
        <v>20</v>
      </c>
      <c r="MF9" s="17">
        <f t="shared" si="16"/>
        <v>21</v>
      </c>
      <c r="MG9" s="17">
        <f t="shared" si="16"/>
        <v>22</v>
      </c>
      <c r="MH9" s="17">
        <f t="shared" si="16"/>
        <v>23</v>
      </c>
      <c r="MI9" s="17">
        <f t="shared" si="16"/>
        <v>24</v>
      </c>
      <c r="MJ9" s="17">
        <f t="shared" si="16"/>
        <v>25</v>
      </c>
      <c r="MK9" s="17">
        <f t="shared" si="16"/>
        <v>26</v>
      </c>
      <c r="ML9" s="17">
        <f t="shared" si="16"/>
        <v>27</v>
      </c>
      <c r="MM9" s="17">
        <f t="shared" si="16"/>
        <v>28</v>
      </c>
      <c r="MN9" s="17">
        <f t="shared" si="16"/>
        <v>29</v>
      </c>
      <c r="MO9" s="17">
        <f t="shared" si="16"/>
        <v>30</v>
      </c>
      <c r="MP9" s="17">
        <f t="shared" si="16"/>
        <v>31</v>
      </c>
      <c r="MQ9" s="17">
        <f t="shared" si="16"/>
        <v>32</v>
      </c>
      <c r="MR9" s="17">
        <f t="shared" si="16"/>
        <v>33</v>
      </c>
      <c r="MS9" s="17">
        <f t="shared" si="16"/>
        <v>34</v>
      </c>
      <c r="MT9" s="17">
        <f t="shared" si="16"/>
        <v>35</v>
      </c>
      <c r="MU9" s="17">
        <f t="shared" si="16"/>
        <v>36</v>
      </c>
      <c r="MV9" s="17">
        <f t="shared" si="16"/>
        <v>37</v>
      </c>
      <c r="MW9" s="17">
        <f t="shared" si="16"/>
        <v>38</v>
      </c>
      <c r="MX9" s="17">
        <f t="shared" si="16"/>
        <v>39</v>
      </c>
      <c r="MY9" s="17">
        <f t="shared" si="16"/>
        <v>40</v>
      </c>
      <c r="MZ9" s="17">
        <f t="shared" si="16"/>
        <v>40</v>
      </c>
      <c r="NA9" s="17">
        <f t="shared" si="16"/>
        <v>40</v>
      </c>
      <c r="NB9" s="17">
        <f t="shared" si="16"/>
        <v>40</v>
      </c>
      <c r="NC9" s="17">
        <f t="shared" si="16"/>
        <v>40</v>
      </c>
      <c r="ND9" s="17">
        <f t="shared" si="16"/>
        <v>40</v>
      </c>
      <c r="NE9" s="17">
        <f t="shared" si="16"/>
        <v>40</v>
      </c>
      <c r="NF9" s="17">
        <f t="shared" si="16"/>
        <v>40</v>
      </c>
      <c r="NG9" s="17">
        <f t="shared" si="16"/>
        <v>40</v>
      </c>
      <c r="NH9" s="17">
        <f t="shared" si="16"/>
        <v>40</v>
      </c>
      <c r="NI9" s="17">
        <f t="shared" si="16"/>
        <v>40</v>
      </c>
      <c r="NJ9" s="17">
        <f t="shared" si="16"/>
        <v>40</v>
      </c>
      <c r="NK9" s="17">
        <f t="shared" si="16"/>
        <v>40</v>
      </c>
      <c r="NL9" s="17">
        <f t="shared" si="16"/>
        <v>40</v>
      </c>
      <c r="NM9" s="17">
        <f t="shared" si="16"/>
        <v>40</v>
      </c>
      <c r="NN9" s="17">
        <f t="shared" si="16"/>
        <v>40</v>
      </c>
      <c r="NO9" s="17">
        <f t="shared" si="16"/>
        <v>40</v>
      </c>
      <c r="NP9" s="17">
        <f t="shared" si="16"/>
        <v>40</v>
      </c>
      <c r="NQ9" s="17">
        <f t="shared" si="16"/>
        <v>40</v>
      </c>
      <c r="NR9" s="17">
        <f t="shared" si="16"/>
        <v>40</v>
      </c>
      <c r="NS9" s="17">
        <f t="shared" si="16"/>
        <v>40</v>
      </c>
      <c r="NT9" s="17">
        <f t="shared" si="16"/>
        <v>40</v>
      </c>
      <c r="NU9" s="17">
        <f t="shared" si="16"/>
        <v>40</v>
      </c>
      <c r="NV9" s="17">
        <f t="shared" si="16"/>
        <v>40</v>
      </c>
      <c r="NW9" s="17">
        <f t="shared" si="16"/>
        <v>40</v>
      </c>
      <c r="NX9" s="17">
        <f t="shared" ref="NX9:PG9" si="17">IF(NW9=$H9,NW9,NW9+1)</f>
        <v>40</v>
      </c>
      <c r="NY9" s="17">
        <f t="shared" si="17"/>
        <v>40</v>
      </c>
      <c r="NZ9" s="17">
        <f t="shared" si="17"/>
        <v>40</v>
      </c>
      <c r="OA9" s="17">
        <f t="shared" si="17"/>
        <v>40</v>
      </c>
      <c r="OB9" s="17">
        <f t="shared" si="17"/>
        <v>40</v>
      </c>
      <c r="OC9" s="17">
        <f t="shared" si="17"/>
        <v>40</v>
      </c>
      <c r="OD9" s="17">
        <f t="shared" si="17"/>
        <v>40</v>
      </c>
      <c r="OE9" s="17">
        <f t="shared" si="17"/>
        <v>40</v>
      </c>
      <c r="OF9" s="17">
        <f t="shared" si="17"/>
        <v>40</v>
      </c>
      <c r="OG9" s="17">
        <f t="shared" si="17"/>
        <v>40</v>
      </c>
      <c r="OH9" s="17">
        <f t="shared" si="17"/>
        <v>40</v>
      </c>
      <c r="OI9" s="17">
        <f t="shared" si="17"/>
        <v>40</v>
      </c>
      <c r="OJ9" s="17">
        <f t="shared" si="17"/>
        <v>40</v>
      </c>
      <c r="OK9" s="17">
        <f t="shared" si="17"/>
        <v>40</v>
      </c>
      <c r="OL9" s="17">
        <f t="shared" si="17"/>
        <v>40</v>
      </c>
      <c r="OM9" s="17">
        <f t="shared" si="17"/>
        <v>40</v>
      </c>
      <c r="ON9" s="17">
        <f t="shared" si="17"/>
        <v>40</v>
      </c>
      <c r="OO9" s="17">
        <f t="shared" si="17"/>
        <v>40</v>
      </c>
      <c r="OP9" s="17">
        <f t="shared" si="17"/>
        <v>40</v>
      </c>
      <c r="OQ9" s="17">
        <f t="shared" si="17"/>
        <v>40</v>
      </c>
      <c r="OR9" s="17">
        <f t="shared" si="17"/>
        <v>40</v>
      </c>
      <c r="OS9" s="17">
        <f t="shared" si="17"/>
        <v>40</v>
      </c>
      <c r="OT9" s="17">
        <f t="shared" si="17"/>
        <v>40</v>
      </c>
      <c r="OU9" s="17">
        <f t="shared" si="17"/>
        <v>40</v>
      </c>
      <c r="OV9" s="17">
        <f t="shared" si="17"/>
        <v>40</v>
      </c>
      <c r="OW9" s="17">
        <f t="shared" si="17"/>
        <v>40</v>
      </c>
      <c r="OX9" s="17">
        <f t="shared" si="17"/>
        <v>40</v>
      </c>
      <c r="OY9" s="17">
        <f t="shared" si="17"/>
        <v>40</v>
      </c>
      <c r="OZ9" s="17">
        <f t="shared" si="17"/>
        <v>40</v>
      </c>
      <c r="PA9" s="17">
        <f t="shared" si="17"/>
        <v>40</v>
      </c>
      <c r="PB9" s="17">
        <f t="shared" si="17"/>
        <v>40</v>
      </c>
      <c r="PC9" s="17">
        <f t="shared" si="17"/>
        <v>40</v>
      </c>
      <c r="PD9" s="17">
        <f t="shared" si="17"/>
        <v>40</v>
      </c>
      <c r="PE9" s="17">
        <f t="shared" si="17"/>
        <v>40</v>
      </c>
      <c r="PF9" s="17">
        <f t="shared" si="17"/>
        <v>40</v>
      </c>
      <c r="PG9" s="17">
        <f t="shared" si="17"/>
        <v>40</v>
      </c>
    </row>
    <row r="10" spans="1:423" x14ac:dyDescent="0.25">
      <c r="A10" s="8" t="s">
        <v>5509</v>
      </c>
      <c r="B10" s="9" t="s">
        <v>8500</v>
      </c>
      <c r="C10" s="9" t="str">
        <f t="shared" si="0"/>
        <v>LR3 LBIF</v>
      </c>
      <c r="D10" s="1" t="str">
        <f t="shared" si="1"/>
        <v>Libre R3 LBIF</v>
      </c>
      <c r="E10" s="1" t="s">
        <v>18</v>
      </c>
      <c r="F10" s="9" t="s">
        <v>5452</v>
      </c>
      <c r="G10" s="9">
        <v>70</v>
      </c>
      <c r="H10" s="9">
        <v>35</v>
      </c>
      <c r="I10" s="127">
        <v>2.8</v>
      </c>
      <c r="J10" s="30" t="s">
        <v>5511</v>
      </c>
      <c r="K10" s="281"/>
      <c r="L10" s="8"/>
      <c r="M10" s="9"/>
      <c r="N10" s="10"/>
      <c r="O10" s="269"/>
      <c r="P10" s="331"/>
      <c r="Q10" s="335"/>
      <c r="R10" s="128"/>
      <c r="S10" s="9"/>
      <c r="T10" s="10"/>
      <c r="U10" t="s">
        <v>5523</v>
      </c>
      <c r="V10" s="17">
        <v>0</v>
      </c>
      <c r="W10" s="17">
        <f>IF(Distances[[#This Row],[Colonne4]]=$G10,V10,Distances[[#This Row],[Colonne4]]+1)</f>
        <v>1</v>
      </c>
      <c r="X10" s="17">
        <f>IF(Distances[[#This Row],[Colonne5]]=$G10,W10,Distances[[#This Row],[Colonne5]]+1)</f>
        <v>2</v>
      </c>
      <c r="Y10" s="17">
        <f>IF(Distances[[#This Row],[Colonne6]]=$G10,X10,Distances[[#This Row],[Colonne6]]+1)</f>
        <v>3</v>
      </c>
      <c r="Z10" s="17">
        <f>IF(Distances[[#This Row],[Colonne7]]=$G10,Y10,Distances[[#This Row],[Colonne7]]+1)</f>
        <v>4</v>
      </c>
      <c r="AA10" s="17">
        <f>IF(Distances[[#This Row],[Colonne8]]=$G10,Z10,Distances[[#This Row],[Colonne8]]+1)</f>
        <v>5</v>
      </c>
      <c r="AB10" s="17">
        <f>IF(Distances[[#This Row],[Colonne9]]=$G10,AA10,Distances[[#This Row],[Colonne9]]+1)</f>
        <v>6</v>
      </c>
      <c r="AC10" s="17">
        <f>IF(Distances[[#This Row],[Colonne10]]=$G10,AB10,Distances[[#This Row],[Colonne10]]+1)</f>
        <v>7</v>
      </c>
      <c r="AD10" s="17">
        <f>IF(Distances[[#This Row],[Colonne11]]=$G10,AC10,Distances[[#This Row],[Colonne11]]+1)</f>
        <v>8</v>
      </c>
      <c r="AE10" s="17">
        <f>IF(Distances[[#This Row],[Colonne12]]=$G10,AD10,Distances[[#This Row],[Colonne12]]+1)</f>
        <v>9</v>
      </c>
      <c r="AF10" s="17">
        <f>IF(Distances[[#This Row],[Colonne13]]=$G10,AE10,Distances[[#This Row],[Colonne13]]+1)</f>
        <v>10</v>
      </c>
      <c r="AG10" s="17">
        <f>IF(Distances[[#This Row],[Colonne14]]=$G10,AF10,Distances[[#This Row],[Colonne14]]+1)</f>
        <v>11</v>
      </c>
      <c r="AH10" s="17">
        <f>IF(Distances[[#This Row],[Colonne15]]=$G10,AG10,Distances[[#This Row],[Colonne15]]+1)</f>
        <v>12</v>
      </c>
      <c r="AI10" s="17">
        <f>IF(Distances[[#This Row],[Colonne16]]=$G10,AH10,Distances[[#This Row],[Colonne16]]+1)</f>
        <v>13</v>
      </c>
      <c r="AJ10" s="17">
        <f>IF(Distances[[#This Row],[Colonne17]]=$G10,AI10,Distances[[#This Row],[Colonne17]]+1)</f>
        <v>14</v>
      </c>
      <c r="AK10" s="17">
        <f>IF(Distances[[#This Row],[Colonne18]]=$G10,AJ10,Distances[[#This Row],[Colonne18]]+1)</f>
        <v>15</v>
      </c>
      <c r="AL10" s="17">
        <f>IF(Distances[[#This Row],[Colonne19]]=$G10,AK10,Distances[[#This Row],[Colonne19]]+1)</f>
        <v>16</v>
      </c>
      <c r="AM10" s="17">
        <f>IF(Distances[[#This Row],[Colonne20]]=$G10,AL10,Distances[[#This Row],[Colonne20]]+1)</f>
        <v>17</v>
      </c>
      <c r="AN10" s="17">
        <f>IF(Distances[[#This Row],[Colonne21]]=$G10,AM10,Distances[[#This Row],[Colonne21]]+1)</f>
        <v>18</v>
      </c>
      <c r="AO10" s="17">
        <f>IF(Distances[[#This Row],[Colonne22]]=$G10,AN10,Distances[[#This Row],[Colonne22]]+1)</f>
        <v>19</v>
      </c>
      <c r="AP10" s="17">
        <f>IF(Distances[[#This Row],[Colonne23]]=$G10,AO10,Distances[[#This Row],[Colonne23]]+1)</f>
        <v>20</v>
      </c>
      <c r="AQ10" s="17">
        <f>IF(Distances[[#This Row],[Colonne24]]=$G10,AP10,Distances[[#This Row],[Colonne24]]+1)</f>
        <v>21</v>
      </c>
      <c r="AR10" s="17">
        <f>IF(Distances[[#This Row],[Colonne25]]=$G10,AQ10,Distances[[#This Row],[Colonne25]]+1)</f>
        <v>22</v>
      </c>
      <c r="AS10" s="17">
        <f>IF(Distances[[#This Row],[Colonne26]]=$G10,AR10,Distances[[#This Row],[Colonne26]]+1)</f>
        <v>23</v>
      </c>
      <c r="AT10" s="17">
        <f>IF(Distances[[#This Row],[Colonne27]]=$G10,AS10,Distances[[#This Row],[Colonne27]]+1)</f>
        <v>24</v>
      </c>
      <c r="AU10" s="17">
        <f>IF(Distances[[#This Row],[Colonne28]]=$G10,AT10,Distances[[#This Row],[Colonne28]]+1)</f>
        <v>25</v>
      </c>
      <c r="AV10" s="17">
        <f>IF(Distances[[#This Row],[Colonne29]]=$G10,AU10,Distances[[#This Row],[Colonne29]]+1)</f>
        <v>26</v>
      </c>
      <c r="AW10" s="17">
        <f>IF(Distances[[#This Row],[Colonne30]]=$G10,AV10,Distances[[#This Row],[Colonne30]]+1)</f>
        <v>27</v>
      </c>
      <c r="AX10" s="17">
        <f>IF(Distances[[#This Row],[Colonne31]]=$G10,AW10,Distances[[#This Row],[Colonne31]]+1)</f>
        <v>28</v>
      </c>
      <c r="AY10" s="17">
        <f>IF(Distances[[#This Row],[Colonne32]]=$G10,AX10,Distances[[#This Row],[Colonne32]]+1)</f>
        <v>29</v>
      </c>
      <c r="AZ10" s="17">
        <f>IF(Distances[[#This Row],[Colonne33]]=$G10,AY10,Distances[[#This Row],[Colonne33]]+1)</f>
        <v>30</v>
      </c>
      <c r="BA10" s="17">
        <f>IF(Distances[[#This Row],[Colonne34]]=$G10,AZ10,Distances[[#This Row],[Colonne34]]+1)</f>
        <v>31</v>
      </c>
      <c r="BB10" s="17">
        <f>IF(Distances[[#This Row],[Colonne35]]=$G10,BA10,Distances[[#This Row],[Colonne35]]+1)</f>
        <v>32</v>
      </c>
      <c r="BC10" s="17">
        <f>IF(Distances[[#This Row],[Colonne36]]=$G10,BB10,Distances[[#This Row],[Colonne36]]+1)</f>
        <v>33</v>
      </c>
      <c r="BD10" s="17">
        <f>IF(Distances[[#This Row],[Colonne37]]=$G10,BC10,Distances[[#This Row],[Colonne37]]+1)</f>
        <v>34</v>
      </c>
      <c r="BE10" s="17">
        <f>IF(Distances[[#This Row],[Colonne38]]=$G10,BD10,Distances[[#This Row],[Colonne38]]+1)</f>
        <v>35</v>
      </c>
      <c r="BF10" s="17">
        <f>IF(Distances[[#This Row],[Colonne39]]=$G10,BE10,Distances[[#This Row],[Colonne39]]+1)</f>
        <v>36</v>
      </c>
      <c r="BG10" s="17">
        <f>IF(Distances[[#This Row],[Colonne40]]=$G10,BF10,Distances[[#This Row],[Colonne40]]+1)</f>
        <v>37</v>
      </c>
      <c r="BH10" s="17">
        <f>IF(Distances[[#This Row],[Colonne41]]=$G10,BG10,Distances[[#This Row],[Colonne41]]+1)</f>
        <v>38</v>
      </c>
      <c r="BI10" s="17">
        <f>IF(Distances[[#This Row],[Colonne42]]=$G10,BH10,Distances[[#This Row],[Colonne42]]+1)</f>
        <v>39</v>
      </c>
      <c r="BJ10" s="17">
        <f>IF(Distances[[#This Row],[Colonne43]]=$G10,BI10,Distances[[#This Row],[Colonne43]]+1)</f>
        <v>40</v>
      </c>
      <c r="BK10" s="17">
        <f>IF(Distances[[#This Row],[Colonne44]]=$G10,BJ10,Distances[[#This Row],[Colonne44]]+1)</f>
        <v>41</v>
      </c>
      <c r="BL10" s="17">
        <f>IF(Distances[[#This Row],[Colonne45]]=$G10,BK10,Distances[[#This Row],[Colonne45]]+1)</f>
        <v>42</v>
      </c>
      <c r="BM10" s="17">
        <f>IF(Distances[[#This Row],[Colonne46]]=$G10,BL10,Distances[[#This Row],[Colonne46]]+1)</f>
        <v>43</v>
      </c>
      <c r="BN10" s="17">
        <f>IF(Distances[[#This Row],[Colonne47]]=$G10,BM10,Distances[[#This Row],[Colonne47]]+1)</f>
        <v>44</v>
      </c>
      <c r="BO10" s="17">
        <f>IF(Distances[[#This Row],[Colonne48]]=$G10,BN10,Distances[[#This Row],[Colonne48]]+1)</f>
        <v>45</v>
      </c>
      <c r="BP10" s="17">
        <f>IF(Distances[[#This Row],[Colonne49]]=$G10,BO10,Distances[[#This Row],[Colonne49]]+1)</f>
        <v>46</v>
      </c>
      <c r="BQ10" s="17">
        <f>IF(Distances[[#This Row],[Colonne50]]=$G10,BP10,Distances[[#This Row],[Colonne50]]+1)</f>
        <v>47</v>
      </c>
      <c r="BR10" s="17">
        <f>IF(Distances[[#This Row],[Colonne51]]=$G10,BQ10,Distances[[#This Row],[Colonne51]]+1)</f>
        <v>48</v>
      </c>
      <c r="BS10" s="17">
        <f>IF(Distances[[#This Row],[Colonne52]]=$G10,BR10,Distances[[#This Row],[Colonne52]]+1)</f>
        <v>49</v>
      </c>
      <c r="BT10" s="17">
        <f>IF(Distances[[#This Row],[Colonne53]]=$G10,BS10,Distances[[#This Row],[Colonne53]]+1)</f>
        <v>50</v>
      </c>
      <c r="BU10" s="17">
        <f>IF(Distances[[#This Row],[Colonne54]]=$G10,BT10,Distances[[#This Row],[Colonne54]]+1)</f>
        <v>51</v>
      </c>
      <c r="BV10" s="17">
        <f>IF(Distances[[#This Row],[Colonne55]]=$G10,BU10,Distances[[#This Row],[Colonne55]]+1)</f>
        <v>52</v>
      </c>
      <c r="BW10" s="17">
        <f>IF(Distances[[#This Row],[Colonne56]]=$G10,BV10,Distances[[#This Row],[Colonne56]]+1)</f>
        <v>53</v>
      </c>
      <c r="BX10" s="17">
        <f>IF(Distances[[#This Row],[Colonne57]]=$G10,BW10,Distances[[#This Row],[Colonne57]]+1)</f>
        <v>54</v>
      </c>
      <c r="BY10" s="17">
        <f>IF(Distances[[#This Row],[Colonne58]]=$G10,BX10,Distances[[#This Row],[Colonne58]]+1)</f>
        <v>55</v>
      </c>
      <c r="BZ10" s="17">
        <f>IF(Distances[[#This Row],[Colonne59]]=$G10,BY10,Distances[[#This Row],[Colonne59]]+1)</f>
        <v>56</v>
      </c>
      <c r="CA10" s="17">
        <f>IF(Distances[[#This Row],[Colonne60]]=$G10,BZ10,Distances[[#This Row],[Colonne60]]+1)</f>
        <v>57</v>
      </c>
      <c r="CB10" s="17">
        <f>IF(Distances[[#This Row],[Colonne61]]=$G10,CA10,Distances[[#This Row],[Colonne61]]+1)</f>
        <v>58</v>
      </c>
      <c r="CC10" s="17">
        <f>IF(Distances[[#This Row],[Colonne62]]=$G10,CB10,Distances[[#This Row],[Colonne62]]+1)</f>
        <v>59</v>
      </c>
      <c r="CD10" s="17">
        <f>IF(Distances[[#This Row],[Colonne63]]=$G10,CC10,Distances[[#This Row],[Colonne63]]+1)</f>
        <v>60</v>
      </c>
      <c r="CE10" s="17">
        <f>IF(Distances[[#This Row],[Colonne64]]=$G10,CD10,Distances[[#This Row],[Colonne64]]+1)</f>
        <v>61</v>
      </c>
      <c r="CF10" s="17">
        <f>IF(Distances[[#This Row],[Colonne65]]=$G10,CE10,Distances[[#This Row],[Colonne65]]+1)</f>
        <v>62</v>
      </c>
      <c r="CG10" s="17">
        <f>IF(Distances[[#This Row],[Colonne66]]=$G10,CF10,Distances[[#This Row],[Colonne66]]+1)</f>
        <v>63</v>
      </c>
      <c r="CH10" s="17">
        <f>IF(Distances[[#This Row],[Colonne67]]=$G10,CG10,Distances[[#This Row],[Colonne67]]+1)</f>
        <v>64</v>
      </c>
      <c r="CI10" s="17">
        <f>IF(Distances[[#This Row],[Colonne68]]=$G10,CH10,Distances[[#This Row],[Colonne68]]+1)</f>
        <v>65</v>
      </c>
      <c r="CJ10" s="17">
        <f>IF(Distances[[#This Row],[Colonne69]]=$G10,CI10,Distances[[#This Row],[Colonne69]]+1)</f>
        <v>66</v>
      </c>
      <c r="CK10" s="17">
        <f>IF(Distances[[#This Row],[Colonne70]]=$G10,CJ10,Distances[[#This Row],[Colonne70]]+1)</f>
        <v>67</v>
      </c>
      <c r="CL10" s="17">
        <f>IF(Distances[[#This Row],[Colonne71]]=$G10,CK10,Distances[[#This Row],[Colonne71]]+1)</f>
        <v>68</v>
      </c>
      <c r="CM10" s="17">
        <f>IF(Distances[[#This Row],[Colonne72]]=$G10,CL10,Distances[[#This Row],[Colonne72]]+1)</f>
        <v>69</v>
      </c>
      <c r="CN10" s="17">
        <f>IF(Distances[[#This Row],[Colonne73]]=$G10,CM10,Distances[[#This Row],[Colonne73]]+1)</f>
        <v>70</v>
      </c>
      <c r="CO10" s="17">
        <f>IF(Distances[[#This Row],[Colonne74]]=$G10,CN10,Distances[[#This Row],[Colonne74]]+1)</f>
        <v>70</v>
      </c>
      <c r="CP10" s="17">
        <f>IF(Distances[[#This Row],[Colonne75]]=$G10,CO10,Distances[[#This Row],[Colonne75]]+1)</f>
        <v>70</v>
      </c>
      <c r="CQ10" s="17">
        <f>IF(Distances[[#This Row],[Colonne76]]=$G10,CP10,Distances[[#This Row],[Colonne76]]+1)</f>
        <v>70</v>
      </c>
      <c r="CR10" s="17">
        <f>IF(Distances[[#This Row],[Colonne77]]=$G10,CQ10,Distances[[#This Row],[Colonne77]]+1)</f>
        <v>70</v>
      </c>
      <c r="CS10" s="17">
        <f>IF(Distances[[#This Row],[Colonne78]]=$G10,CR10,Distances[[#This Row],[Colonne78]]+1)</f>
        <v>70</v>
      </c>
      <c r="CT10" s="17">
        <f>IF(Distances[[#This Row],[Colonne79]]=$G10,CS10,Distances[[#This Row],[Colonne79]]+1)</f>
        <v>70</v>
      </c>
      <c r="CU10" s="17">
        <f>IF(Distances[[#This Row],[Colonne80]]=$G10,CT10,Distances[[#This Row],[Colonne80]]+1)</f>
        <v>70</v>
      </c>
      <c r="CV10" s="17">
        <f>IF(Distances[[#This Row],[Colonne81]]=$G10,CU10,Distances[[#This Row],[Colonne81]]+1)</f>
        <v>70</v>
      </c>
      <c r="CW10" s="17">
        <f>IF(Distances[[#This Row],[Colonne82]]=$G10,CV10,Distances[[#This Row],[Colonne82]]+1)</f>
        <v>70</v>
      </c>
      <c r="CX10" s="17">
        <f>IF(Distances[[#This Row],[Colonne83]]=$G10,CW10,Distances[[#This Row],[Colonne83]]+1)</f>
        <v>70</v>
      </c>
      <c r="CY10" s="17">
        <f>IF(Distances[[#This Row],[Colonne84]]=$G10,CX10,Distances[[#This Row],[Colonne84]]+1)</f>
        <v>70</v>
      </c>
      <c r="CZ10" s="17">
        <f>IF(Distances[[#This Row],[Colonne85]]=$G10,CY10,Distances[[#This Row],[Colonne85]]+1)</f>
        <v>70</v>
      </c>
      <c r="DA10" s="17">
        <f>IF(Distances[[#This Row],[Colonne86]]=$G10,CZ10,Distances[[#This Row],[Colonne86]]+1)</f>
        <v>70</v>
      </c>
      <c r="DB10" s="17">
        <f>IF(Distances[[#This Row],[Colonne87]]=$G10,DA10,Distances[[#This Row],[Colonne87]]+1)</f>
        <v>70</v>
      </c>
      <c r="DC10" s="17">
        <f>IF(Distances[[#This Row],[Colonne88]]=$G10,DB10,Distances[[#This Row],[Colonne88]]+1)</f>
        <v>70</v>
      </c>
      <c r="DD10" s="17">
        <f>IF(Distances[[#This Row],[Colonne89]]=$G10,DC10,Distances[[#This Row],[Colonne89]]+1)</f>
        <v>70</v>
      </c>
      <c r="DE10" s="17">
        <f>IF(Distances[[#This Row],[Colonne90]]=$G10,DD10,Distances[[#This Row],[Colonne90]]+1)</f>
        <v>70</v>
      </c>
      <c r="DF10" s="17">
        <f>IF(Distances[[#This Row],[Colonne91]]=$G10,DE10,Distances[[#This Row],[Colonne91]]+1)</f>
        <v>70</v>
      </c>
      <c r="DG10" s="17">
        <f>IF(Distances[[#This Row],[Colonne92]]=$G10,DF10,Distances[[#This Row],[Colonne92]]+1)</f>
        <v>70</v>
      </c>
      <c r="DH10" s="17">
        <f>IF(Distances[[#This Row],[Colonne93]]=$G10,DG10,Distances[[#This Row],[Colonne93]]+1)</f>
        <v>70</v>
      </c>
      <c r="DI10" s="17">
        <f>IF(Distances[[#This Row],[Colonne94]]=$G10,DH10,Distances[[#This Row],[Colonne94]]+1)</f>
        <v>70</v>
      </c>
      <c r="DJ10" s="17">
        <f>IF(Distances[[#This Row],[Colonne95]]=$G10,DI10,Distances[[#This Row],[Colonne95]]+1)</f>
        <v>70</v>
      </c>
      <c r="DK10" s="17">
        <f>IF(Distances[[#This Row],[Colonne96]]=$G10,DJ10,Distances[[#This Row],[Colonne96]]+1)</f>
        <v>70</v>
      </c>
      <c r="DL10" s="17">
        <f>IF(Distances[[#This Row],[Colonne97]]=$G10,DK10,Distances[[#This Row],[Colonne97]]+1)</f>
        <v>70</v>
      </c>
      <c r="DM10" s="17">
        <f>IF(Distances[[#This Row],[Colonne98]]=$G10,DL10,Distances[[#This Row],[Colonne98]]+1)</f>
        <v>70</v>
      </c>
      <c r="DN10" s="17">
        <f>IF(Distances[[#This Row],[Colonne99]]=$G10,DM10,Distances[[#This Row],[Colonne99]]+1)</f>
        <v>70</v>
      </c>
      <c r="DO10" s="17">
        <f>IF(Distances[[#This Row],[Colonne100]]=$G10,DN10,Distances[[#This Row],[Colonne100]]+1)</f>
        <v>70</v>
      </c>
      <c r="DP10" s="17">
        <f>IF(Distances[[#This Row],[Colonne101]]=$G10,DO10,Distances[[#This Row],[Colonne101]]+1)</f>
        <v>70</v>
      </c>
      <c r="DQ10" s="17">
        <f>IF(Distances[[#This Row],[Colonne102]]=$G10,DP10,Distances[[#This Row],[Colonne102]]+1)</f>
        <v>70</v>
      </c>
      <c r="DR10" s="17">
        <f>IF(Distances[[#This Row],[Colonne103]]=$G10,DQ10,Distances[[#This Row],[Colonne103]]+1)</f>
        <v>70</v>
      </c>
      <c r="DS10" s="17">
        <f>IF(Distances[[#This Row],[Colonne104]]=$G10,DR10,Distances[[#This Row],[Colonne104]]+1)</f>
        <v>70</v>
      </c>
      <c r="DT10" s="17">
        <f>IF(Distances[[#This Row],[Colonne105]]=$G10,DS10,Distances[[#This Row],[Colonne105]]+1)</f>
        <v>70</v>
      </c>
      <c r="DU10" s="17">
        <f>IF(Distances[[#This Row],[Colonne106]]=$G10,DT10,Distances[[#This Row],[Colonne106]]+1)</f>
        <v>70</v>
      </c>
      <c r="DV10" s="17">
        <f>IF(Distances[[#This Row],[Colonne107]]=$G10,DU10,Distances[[#This Row],[Colonne107]]+1)</f>
        <v>70</v>
      </c>
      <c r="DW10" s="17">
        <f>IF(Distances[[#This Row],[Colonne108]]=$G10,DV10,Distances[[#This Row],[Colonne108]]+1)</f>
        <v>70</v>
      </c>
      <c r="DX10" s="17">
        <f>IF(Distances[[#This Row],[Colonne109]]=$G10,DW10,Distances[[#This Row],[Colonne109]]+1)</f>
        <v>70</v>
      </c>
      <c r="DY10" s="17">
        <f>IF(Distances[[#This Row],[Colonne110]]=$G10,DX10,Distances[[#This Row],[Colonne110]]+1)</f>
        <v>70</v>
      </c>
      <c r="DZ10" s="17">
        <f>IF(Distances[[#This Row],[Colonne111]]=$G10,DY10,Distances[[#This Row],[Colonne111]]+1)</f>
        <v>70</v>
      </c>
      <c r="EA10" s="17">
        <f>IF(Distances[[#This Row],[Colonne112]]=$G10,DZ10,Distances[[#This Row],[Colonne112]]+1)</f>
        <v>70</v>
      </c>
      <c r="EB10" s="17">
        <f>IF(Distances[[#This Row],[Colonne113]]=$G10,EA10,Distances[[#This Row],[Colonne113]]+1)</f>
        <v>70</v>
      </c>
      <c r="EC10" s="17">
        <f>IF(Distances[[#This Row],[Colonne114]]=$G10,EB10,Distances[[#This Row],[Colonne114]]+1)</f>
        <v>70</v>
      </c>
      <c r="ED10" s="17">
        <f>IF(Distances[[#This Row],[Colonne115]]=$G10,EC10,Distances[[#This Row],[Colonne115]]+1)</f>
        <v>70</v>
      </c>
      <c r="EE10" s="17">
        <f>IF(Distances[[#This Row],[Colonne116]]=$G10,ED10,Distances[[#This Row],[Colonne116]]+1)</f>
        <v>70</v>
      </c>
      <c r="EF10" s="17">
        <f>IF(Distances[[#This Row],[Colonne117]]=$G10,EE10,Distances[[#This Row],[Colonne117]]+1)</f>
        <v>70</v>
      </c>
      <c r="EG10" s="17">
        <f>IF(Distances[[#This Row],[Colonne118]]=$G10,EF10,Distances[[#This Row],[Colonne118]]+1)</f>
        <v>70</v>
      </c>
      <c r="EH10" s="17">
        <f>IF(Distances[[#This Row],[Colonne119]]=$G10,EG10,Distances[[#This Row],[Colonne119]]+1)</f>
        <v>70</v>
      </c>
      <c r="EI10" s="17">
        <f>IF(Distances[[#This Row],[Colonne120]]=$G10,EH10,Distances[[#This Row],[Colonne120]]+1)</f>
        <v>70</v>
      </c>
      <c r="EJ10" s="17">
        <f>IF(Distances[[#This Row],[Colonne121]]=$G10,EI10,Distances[[#This Row],[Colonne121]]+1)</f>
        <v>70</v>
      </c>
      <c r="EK10" s="17">
        <f>IF(Distances[[#This Row],[Colonne122]]=$G10,EJ10,Distances[[#This Row],[Colonne122]]+1)</f>
        <v>70</v>
      </c>
      <c r="EL10" s="17">
        <f>IF(Distances[[#This Row],[Colonne123]]=$G10,EK10,Distances[[#This Row],[Colonne123]]+1)</f>
        <v>70</v>
      </c>
      <c r="EM10" s="17">
        <f>IF(Distances[[#This Row],[Colonne124]]=$G10,EL10,Distances[[#This Row],[Colonne124]]+1)</f>
        <v>70</v>
      </c>
      <c r="EN10" s="17">
        <f>IF(Distances[[#This Row],[Colonne125]]=$G10,EM10,Distances[[#This Row],[Colonne125]]+1)</f>
        <v>70</v>
      </c>
      <c r="EO10" s="17">
        <f>IF(Distances[[#This Row],[Colonne126]]=$G10,EN10,Distances[[#This Row],[Colonne126]]+1)</f>
        <v>70</v>
      </c>
      <c r="EP10" s="17">
        <f>IF(Distances[[#This Row],[Colonne127]]=$G10,EO10,Distances[[#This Row],[Colonne127]]+1)</f>
        <v>70</v>
      </c>
      <c r="EQ10" s="17">
        <f>IF(Distances[[#This Row],[Colonne128]]=$G10,EP10,Distances[[#This Row],[Colonne128]]+1)</f>
        <v>70</v>
      </c>
      <c r="ER10" s="17">
        <f>IF(Distances[[#This Row],[Colonne129]]=$G10,EQ10,Distances[[#This Row],[Colonne129]]+1)</f>
        <v>70</v>
      </c>
      <c r="ES10" s="17">
        <f>IF(Distances[[#This Row],[Colonne130]]=$G10,ER10,Distances[[#This Row],[Colonne130]]+1)</f>
        <v>70</v>
      </c>
      <c r="ET10" s="17">
        <f>IF(Distances[[#This Row],[Colonne131]]=$G10,ES10,Distances[[#This Row],[Colonne131]]+1)</f>
        <v>70</v>
      </c>
      <c r="EU10" s="17">
        <f>IF(Distances[[#This Row],[Colonne132]]=$G10,ET10,Distances[[#This Row],[Colonne132]]+1)</f>
        <v>70</v>
      </c>
      <c r="EV10" s="17">
        <f>IF(Distances[[#This Row],[Colonne133]]=$G10,EU10,Distances[[#This Row],[Colonne133]]+1)</f>
        <v>70</v>
      </c>
      <c r="EW10" s="17">
        <f>IF(Distances[[#This Row],[Colonne134]]=$G10,EV10,Distances[[#This Row],[Colonne134]]+1)</f>
        <v>70</v>
      </c>
      <c r="EX10" s="17">
        <f>IF(Distances[[#This Row],[Colonne135]]=$G10,EW10,Distances[[#This Row],[Colonne135]]+1)</f>
        <v>70</v>
      </c>
      <c r="EY10" s="17">
        <f>IF(Distances[[#This Row],[Colonne136]]=$G10,EX10,Distances[[#This Row],[Colonne136]]+1)</f>
        <v>70</v>
      </c>
      <c r="EZ10" s="17">
        <f>IF(Distances[[#This Row],[Colonne137]]=$G10,EY10,Distances[[#This Row],[Colonne137]]+1)</f>
        <v>70</v>
      </c>
      <c r="FA10" s="17">
        <f>IF(Distances[[#This Row],[Colonne138]]=$G10,EZ10,Distances[[#This Row],[Colonne138]]+1)</f>
        <v>70</v>
      </c>
      <c r="FB10" s="17">
        <f>IF(Distances[[#This Row],[Colonne139]]=$G10,FA10,Distances[[#This Row],[Colonne139]]+1)</f>
        <v>70</v>
      </c>
      <c r="FC10" s="17">
        <f>IF(Distances[[#This Row],[Colonne140]]=$G10,FB10,Distances[[#This Row],[Colonne140]]+1)</f>
        <v>70</v>
      </c>
      <c r="FD10" s="17">
        <f>IF(Distances[[#This Row],[Colonne141]]=$G10,FC10,Distances[[#This Row],[Colonne141]]+1)</f>
        <v>70</v>
      </c>
      <c r="FE10" s="17">
        <f>IF(Distances[[#This Row],[Colonne142]]=$G10,FD10,Distances[[#This Row],[Colonne142]]+1)</f>
        <v>70</v>
      </c>
      <c r="FF10" s="17">
        <f>IF(Distances[[#This Row],[Colonne143]]=$G10,FE10,Distances[[#This Row],[Colonne143]]+1)</f>
        <v>70</v>
      </c>
      <c r="FG10" s="17">
        <f>IF(Distances[[#This Row],[Colonne144]]=$G10,FF10,Distances[[#This Row],[Colonne144]]+1)</f>
        <v>70</v>
      </c>
      <c r="FH10" s="17">
        <f>IF(Distances[[#This Row],[Colonne145]]=$G10,FG10,Distances[[#This Row],[Colonne145]]+1)</f>
        <v>70</v>
      </c>
      <c r="FI10" s="17">
        <f>IF(Distances[[#This Row],[Colonne146]]=$G10,FH10,Distances[[#This Row],[Colonne146]]+1)</f>
        <v>70</v>
      </c>
      <c r="FJ10" s="17">
        <f>IF(Distances[[#This Row],[Colonne147]]=$G10,FI10,Distances[[#This Row],[Colonne147]]+1)</f>
        <v>70</v>
      </c>
      <c r="FK10" s="17">
        <f>IF(Distances[[#This Row],[Colonne148]]=$G10,FJ10,Distances[[#This Row],[Colonne148]]+1)</f>
        <v>70</v>
      </c>
      <c r="FL10" s="17">
        <f>IF(Distances[[#This Row],[Colonne149]]=$G10,FK10,Distances[[#This Row],[Colonne149]]+1)</f>
        <v>70</v>
      </c>
      <c r="FM10" s="17">
        <f>IF(Distances[[#This Row],[Colonne150]]=$G10,FL10,Distances[[#This Row],[Colonne150]]+1)</f>
        <v>70</v>
      </c>
      <c r="FN10" s="17">
        <f>IF(Distances[[#This Row],[Colonne151]]=$G10,FM10,Distances[[#This Row],[Colonne151]]+1)</f>
        <v>70</v>
      </c>
      <c r="FO10" s="17">
        <f>IF(Distances[[#This Row],[Colonne152]]=$G10,FN10,Distances[[#This Row],[Colonne152]]+1)</f>
        <v>70</v>
      </c>
      <c r="FP10" s="17">
        <f>IF(Distances[[#This Row],[Colonne153]]=$G10,FO10,Distances[[#This Row],[Colonne153]]+1)</f>
        <v>70</v>
      </c>
      <c r="FQ10" s="17">
        <f>IF(Distances[[#This Row],[Colonne154]]=$G10,FP10,Distances[[#This Row],[Colonne154]]+1)</f>
        <v>70</v>
      </c>
      <c r="FR10" s="17">
        <f>IF(Distances[[#This Row],[Colonne155]]=$G10,FQ10,Distances[[#This Row],[Colonne155]]+1)</f>
        <v>70</v>
      </c>
      <c r="FS10" s="17">
        <f>IF(Distances[[#This Row],[Colonne156]]=$G10,FR10,Distances[[#This Row],[Colonne156]]+1)</f>
        <v>70</v>
      </c>
      <c r="FT10" s="17">
        <f>IF(Distances[[#This Row],[Colonne157]]=$G10,FS10,Distances[[#This Row],[Colonne157]]+1)</f>
        <v>70</v>
      </c>
      <c r="FU10" s="17">
        <f>IF(Distances[[#This Row],[Colonne158]]=$G10,FT10,Distances[[#This Row],[Colonne158]]+1)</f>
        <v>70</v>
      </c>
      <c r="FV10" s="17">
        <f>IF(Distances[[#This Row],[Colonne159]]=$G10,FU10,Distances[[#This Row],[Colonne159]]+1)</f>
        <v>70</v>
      </c>
      <c r="FW10" s="17">
        <f>IF(Distances[[#This Row],[Colonne160]]=$G10,FV10,Distances[[#This Row],[Colonne160]]+1)</f>
        <v>70</v>
      </c>
      <c r="FX10" s="17">
        <f>IF(Distances[[#This Row],[Colonne161]]=$G10,FW10,Distances[[#This Row],[Colonne161]]+1)</f>
        <v>70</v>
      </c>
      <c r="FY10" s="17">
        <f>IF(Distances[[#This Row],[Colonne162]]=$G10,FX10,Distances[[#This Row],[Colonne162]]+1)</f>
        <v>70</v>
      </c>
      <c r="FZ10" s="17">
        <f>IF(Distances[[#This Row],[Colonne163]]=$G10,FY10,Distances[[#This Row],[Colonne163]]+1)</f>
        <v>70</v>
      </c>
      <c r="GA10" s="17">
        <f>IF(Distances[[#This Row],[Colonne164]]=$G10,FZ10,Distances[[#This Row],[Colonne164]]+1)</f>
        <v>70</v>
      </c>
      <c r="GB10" s="17">
        <f>IF(Distances[[#This Row],[Colonne165]]=$G10,GA10,Distances[[#This Row],[Colonne165]]+1)</f>
        <v>70</v>
      </c>
      <c r="GC10" s="17">
        <f>IF(Distances[[#This Row],[Colonne166]]=$G10,GB10,Distances[[#This Row],[Colonne166]]+1)</f>
        <v>70</v>
      </c>
      <c r="GD10" s="17">
        <f>IF(Distances[[#This Row],[Colonne167]]=$G10,GC10,Distances[[#This Row],[Colonne167]]+1)</f>
        <v>70</v>
      </c>
      <c r="GE10" s="17">
        <f>IF(Distances[[#This Row],[Colonne168]]=$G10,GD10,Distances[[#This Row],[Colonne168]]+1)</f>
        <v>70</v>
      </c>
      <c r="GF10" s="17">
        <f>IF(Distances[[#This Row],[Colonne169]]=$G10,GE10,Distances[[#This Row],[Colonne169]]+1)</f>
        <v>70</v>
      </c>
      <c r="GG10" s="17">
        <f>IF(Distances[[#This Row],[Colonne170]]=$G10,GF10,Distances[[#This Row],[Colonne170]]+1)</f>
        <v>70</v>
      </c>
      <c r="GH10" s="17">
        <f>IF(Distances[[#This Row],[Colonne171]]=$G10,GG10,Distances[[#This Row],[Colonne171]]+1)</f>
        <v>70</v>
      </c>
      <c r="GI10" s="17">
        <f>IF(Distances[[#This Row],[Colonne172]]=$G10,GH10,Distances[[#This Row],[Colonne172]]+1)</f>
        <v>70</v>
      </c>
      <c r="GJ10" s="17">
        <f>IF(Distances[[#This Row],[Colonne173]]=$G10,GI10,Distances[[#This Row],[Colonne173]]+1)</f>
        <v>70</v>
      </c>
      <c r="GK10" s="17">
        <f>IF(Distances[[#This Row],[Colonne174]]=$G10,GJ10,Distances[[#This Row],[Colonne174]]+1)</f>
        <v>70</v>
      </c>
      <c r="GL10" s="17">
        <f>IF(Distances[[#This Row],[Colonne175]]=$G10,GK10,Distances[[#This Row],[Colonne175]]+1)</f>
        <v>70</v>
      </c>
      <c r="GM10" s="17">
        <f>IF(Distances[[#This Row],[Colonne176]]=$G10,GL10,Distances[[#This Row],[Colonne176]]+1)</f>
        <v>70</v>
      </c>
      <c r="GN10" s="17">
        <f>IF(Distances[[#This Row],[Colonne177]]=$G10,GM10,Distances[[#This Row],[Colonne177]]+1)</f>
        <v>70</v>
      </c>
      <c r="GO10" s="17">
        <f>IF(Distances[[#This Row],[Colonne178]]=$G10,GN10,Distances[[#This Row],[Colonne178]]+1)</f>
        <v>70</v>
      </c>
      <c r="GP10" s="17">
        <f>IF(Distances[[#This Row],[Colonne179]]=$G10,GO10,Distances[[#This Row],[Colonne179]]+1)</f>
        <v>70</v>
      </c>
      <c r="GQ10" s="17">
        <f>IF(Distances[[#This Row],[Colonne180]]=$G10,GP10,Distances[[#This Row],[Colonne180]]+1)</f>
        <v>70</v>
      </c>
      <c r="GR10" s="17">
        <f>IF(Distances[[#This Row],[Colonne181]]=$G10,GQ10,Distances[[#This Row],[Colonne181]]+1)</f>
        <v>70</v>
      </c>
      <c r="GS10" s="17">
        <f>IF(Distances[[#This Row],[Colonne182]]=$G10,GR10,Distances[[#This Row],[Colonne182]]+1)</f>
        <v>70</v>
      </c>
      <c r="GT10" s="17">
        <f>IF(Distances[[#This Row],[Colonne183]]=$G10,GS10,Distances[[#This Row],[Colonne183]]+1)</f>
        <v>70</v>
      </c>
      <c r="GU10" s="17">
        <f>IF(Distances[[#This Row],[Colonne184]]=$G10,GT10,Distances[[#This Row],[Colonne184]]+1)</f>
        <v>70</v>
      </c>
      <c r="GV10" s="17">
        <f>IF(Distances[[#This Row],[Colonne185]]=$G10,GU10,Distances[[#This Row],[Colonne185]]+1)</f>
        <v>70</v>
      </c>
      <c r="GW10" s="17">
        <f>IF(Distances[[#This Row],[Colonne186]]=$G10,GV10,Distances[[#This Row],[Colonne186]]+1)</f>
        <v>70</v>
      </c>
      <c r="GX10" s="17">
        <f>IF(Distances[[#This Row],[Colonne187]]=$G10,GW10,Distances[[#This Row],[Colonne187]]+1)</f>
        <v>70</v>
      </c>
      <c r="GY10" s="17">
        <f>IF(Distances[[#This Row],[Colonne188]]=$G10,GX10,Distances[[#This Row],[Colonne188]]+1)</f>
        <v>70</v>
      </c>
      <c r="GZ10" s="17">
        <f>IF(Distances[[#This Row],[Colonne189]]=$G10,GY10,Distances[[#This Row],[Colonne189]]+1)</f>
        <v>70</v>
      </c>
      <c r="HA10" s="17">
        <f>IF(Distances[[#This Row],[Colonne190]]=$G10,GZ10,Distances[[#This Row],[Colonne190]]+1)</f>
        <v>70</v>
      </c>
      <c r="HB10" s="17">
        <f>IF(Distances[[#This Row],[Colonne191]]=$G10,HA10,Distances[[#This Row],[Colonne191]]+1)</f>
        <v>70</v>
      </c>
      <c r="HC10" s="17">
        <f>IF(Distances[[#This Row],[Colonne192]]=$G10,HB10,Distances[[#This Row],[Colonne192]]+1)</f>
        <v>70</v>
      </c>
      <c r="HD10" s="17">
        <f>IF(Distances[[#This Row],[Colonne193]]=$G10,HC10,Distances[[#This Row],[Colonne193]]+1)</f>
        <v>70</v>
      </c>
      <c r="HE10" s="17">
        <f>IF(Distances[[#This Row],[Colonne194]]=$G10,HD10,Distances[[#This Row],[Colonne194]]+1)</f>
        <v>70</v>
      </c>
      <c r="HF10" s="17">
        <f>IF(Distances[[#This Row],[Colonne195]]=$G10,HE10,Distances[[#This Row],[Colonne195]]+1)</f>
        <v>70</v>
      </c>
      <c r="HG10" s="17">
        <f>IF(Distances[[#This Row],[Colonne196]]=$G10,HF10,Distances[[#This Row],[Colonne196]]+1)</f>
        <v>70</v>
      </c>
      <c r="HH10" s="17">
        <f>IF(Distances[[#This Row],[Colonne197]]=$G10,HG10,Distances[[#This Row],[Colonne197]]+1)</f>
        <v>70</v>
      </c>
      <c r="HI10" s="17">
        <f>IF(Distances[[#This Row],[Colonne198]]=$G10,HH10,Distances[[#This Row],[Colonne198]]+1)</f>
        <v>70</v>
      </c>
      <c r="HJ10" s="17">
        <f>IF(Distances[[#This Row],[Colonne199]]=$G10,HI10,Distances[[#This Row],[Colonne199]]+1)</f>
        <v>70</v>
      </c>
      <c r="HK10" s="17">
        <f>IF(Distances[[#This Row],[Colonne200]]=$G10,HJ10,Distances[[#This Row],[Colonne200]]+1)</f>
        <v>70</v>
      </c>
      <c r="HL10" s="17">
        <f>IF(Distances[[#This Row],[Colonne201]]=$G10,HK10,Distances[[#This Row],[Colonne201]]+1)</f>
        <v>70</v>
      </c>
      <c r="HM10" s="17">
        <f>IF(Distances[[#This Row],[Colonne202]]=$G10,HL10,Distances[[#This Row],[Colonne202]]+1)</f>
        <v>70</v>
      </c>
      <c r="HN10" s="17">
        <f>IF(Distances[[#This Row],[Colonne203]]=$G10,HM10,Distances[[#This Row],[Colonne203]]+1)</f>
        <v>70</v>
      </c>
      <c r="HO10" s="17">
        <f>IF(Distances[[#This Row],[Colonne204]]=$G10,HN10,Distances[[#This Row],[Colonne204]]+1)</f>
        <v>70</v>
      </c>
      <c r="HP10" s="17">
        <f>IF(Distances[[#This Row],[Colonne205]]=$G10,HO10,Distances[[#This Row],[Colonne205]]+1)</f>
        <v>70</v>
      </c>
      <c r="HQ10" s="17">
        <f>IF(Distances[[#This Row],[Colonne206]]=$G10,HP10,Distances[[#This Row],[Colonne206]]+1)</f>
        <v>70</v>
      </c>
      <c r="HR10" s="17">
        <f>IF(Distances[[#This Row],[Colonne207]]=$G10,HQ10,Distances[[#This Row],[Colonne207]]+1)</f>
        <v>70</v>
      </c>
      <c r="HS10" s="17">
        <f>IF(Distances[[#This Row],[Colonne208]]=$G10,HR10,Distances[[#This Row],[Colonne208]]+1)</f>
        <v>70</v>
      </c>
      <c r="HT10" s="17">
        <f>IF(Distances[[#This Row],[Colonne209]]=$G10,HS10,Distances[[#This Row],[Colonne209]]+1)</f>
        <v>70</v>
      </c>
      <c r="HU10" s="17">
        <f>IF(Distances[[#This Row],[Colonne210]]=$G10,HT10,Distances[[#This Row],[Colonne210]]+1)</f>
        <v>70</v>
      </c>
      <c r="HV10" s="17">
        <f>IF(Distances[[#This Row],[Colonne211]]=$G10,HU10,Distances[[#This Row],[Colonne211]]+1)</f>
        <v>70</v>
      </c>
      <c r="HW10" s="17">
        <f>IF(Distances[[#This Row],[Colonne212]]=$G10,HV10,Distances[[#This Row],[Colonne212]]+1)</f>
        <v>70</v>
      </c>
      <c r="HX10" s="17">
        <f>IF(Distances[[#This Row],[Colonne213]]=$G10,HW10,Distances[[#This Row],[Colonne213]]+1)</f>
        <v>70</v>
      </c>
      <c r="HY10" s="17">
        <f>IF(Distances[[#This Row],[Colonne214]]=$G10,HX10,Distances[[#This Row],[Colonne214]]+1)</f>
        <v>70</v>
      </c>
      <c r="HZ10" s="17">
        <f>IF(Distances[[#This Row],[Colonne215]]=$G10,HY10,Distances[[#This Row],[Colonne215]]+1)</f>
        <v>70</v>
      </c>
      <c r="IA10" s="17">
        <f>IF(Distances[[#This Row],[Colonne216]]=$G10,HZ10,Distances[[#This Row],[Colonne216]]+1)</f>
        <v>70</v>
      </c>
      <c r="IB10" s="17">
        <f>IF(Distances[[#This Row],[Colonne217]]=$G10,IA10,Distances[[#This Row],[Colonne217]]+1)</f>
        <v>70</v>
      </c>
      <c r="IC10" s="17">
        <f>IF(Distances[[#This Row],[Colonne218]]=$G10,IB10,Distances[[#This Row],[Colonne218]]+1)</f>
        <v>70</v>
      </c>
      <c r="ID10" s="17">
        <f>IF(Distances[[#This Row],[Colonne219]]=$G10,IC10,Distances[[#This Row],[Colonne219]]+1)</f>
        <v>70</v>
      </c>
      <c r="IE10" s="17">
        <f>IF(Distances[[#This Row],[Colonne220]]=$G10,ID10,Distances[[#This Row],[Colonne220]]+1)</f>
        <v>70</v>
      </c>
      <c r="IF10" s="17">
        <f>IF(Distances[[#This Row],[Colonne221]]=$G10,IE10,Distances[[#This Row],[Colonne221]]+1)</f>
        <v>70</v>
      </c>
      <c r="IG10" s="17">
        <f>IF(Distances[[#This Row],[Colonne222]]=$G10,IF10,Distances[[#This Row],[Colonne222]]+1)</f>
        <v>70</v>
      </c>
      <c r="IH10" s="17">
        <f>IF(Distances[[#This Row],[Colonne223]]=$G10,IG10,Distances[[#This Row],[Colonne223]]+1)</f>
        <v>70</v>
      </c>
      <c r="II10" s="17">
        <f>IF(Distances[[#This Row],[Colonne224]]=$G10,IH10,Distances[[#This Row],[Colonne224]]+1)</f>
        <v>70</v>
      </c>
      <c r="IJ10" s="17">
        <f>IF(Distances[[#This Row],[Colonne225]]=$G10,II10,Distances[[#This Row],[Colonne225]]+1)</f>
        <v>70</v>
      </c>
      <c r="IK10" s="17">
        <f>IF(Distances[[#This Row],[Colonne226]]=$G10,IJ10,Distances[[#This Row],[Colonne226]]+1)</f>
        <v>70</v>
      </c>
      <c r="IL10" s="17">
        <f>IF(Distances[[#This Row],[Colonne227]]=$G10,IK10,Distances[[#This Row],[Colonne227]]+1)</f>
        <v>70</v>
      </c>
      <c r="IM10" s="17">
        <f>IF(Distances[[#This Row],[Colonne228]]=$G10,IL10,Distances[[#This Row],[Colonne228]]+1)</f>
        <v>70</v>
      </c>
      <c r="IN10" s="17">
        <f>IF(Distances[[#This Row],[Colonne229]]=$G10,IM10,Distances[[#This Row],[Colonne229]]+1)</f>
        <v>70</v>
      </c>
      <c r="IO10" s="17">
        <f>IF(Distances[[#This Row],[Colonne230]]=$G10,IN10,Distances[[#This Row],[Colonne230]]+1)</f>
        <v>70</v>
      </c>
      <c r="IP10" s="17">
        <f>IF(Distances[[#This Row],[Colonne231]]=$G10,IO10,Distances[[#This Row],[Colonne231]]+1)</f>
        <v>70</v>
      </c>
      <c r="IQ10" s="17">
        <f>IF(Distances[[#This Row],[Colonne232]]=$G10,IP10,Distances[[#This Row],[Colonne232]]+1)</f>
        <v>70</v>
      </c>
      <c r="IR10" s="17">
        <f>IF(Distances[[#This Row],[Colonne233]]=$G10,IQ10,Distances[[#This Row],[Colonne233]]+1)</f>
        <v>70</v>
      </c>
      <c r="IS10" s="17">
        <f>IF(Distances[[#This Row],[Colonne234]]=$G10,IR10,Distances[[#This Row],[Colonne234]]+1)</f>
        <v>70</v>
      </c>
      <c r="IT10" s="17">
        <f>IF(Distances[[#This Row],[Colonne235]]=$G10,IS10,Distances[[#This Row],[Colonne235]]+1)</f>
        <v>70</v>
      </c>
      <c r="IU10" s="17">
        <f>IF(Distances[[#This Row],[Colonne236]]=$G10,IT10,Distances[[#This Row],[Colonne236]]+1)</f>
        <v>70</v>
      </c>
      <c r="IV10" s="17">
        <f>IF(Distances[[#This Row],[Colonne237]]=$G10,IU10,Distances[[#This Row],[Colonne237]]+1)</f>
        <v>70</v>
      </c>
      <c r="IW10" s="17">
        <f>IF(Distances[[#This Row],[Colonne238]]=$G10,IV10,Distances[[#This Row],[Colonne238]]+1)</f>
        <v>70</v>
      </c>
      <c r="IX10" s="17">
        <f>IF(Distances[[#This Row],[Colonne239]]=$G10,IW10,Distances[[#This Row],[Colonne239]]+1)</f>
        <v>70</v>
      </c>
      <c r="IY10" s="17">
        <f>IF(Distances[[#This Row],[Colonne240]]=$G10,IX10,Distances[[#This Row],[Colonne240]]+1)</f>
        <v>70</v>
      </c>
      <c r="IZ10" s="17">
        <f>IF(Distances[[#This Row],[Colonne241]]=$G10,IY10,Distances[[#This Row],[Colonne241]]+1)</f>
        <v>70</v>
      </c>
      <c r="JA10" s="17">
        <f>IF(Distances[[#This Row],[Colonne242]]=$G10,IZ10,Distances[[#This Row],[Colonne242]]+1)</f>
        <v>70</v>
      </c>
      <c r="JB10" s="17">
        <f>IF(Distances[[#This Row],[Colonne243]]=$G10,JA10,Distances[[#This Row],[Colonne243]]+1)</f>
        <v>70</v>
      </c>
      <c r="JC10" s="17">
        <f>IF(Distances[[#This Row],[Colonne244]]=$G10,JB10,Distances[[#This Row],[Colonne244]]+1)</f>
        <v>70</v>
      </c>
      <c r="JD10" s="17">
        <f>IF(Distances[[#This Row],[Colonne245]]=$G10,JC10,Distances[[#This Row],[Colonne245]]+1)</f>
        <v>70</v>
      </c>
      <c r="JE10" s="17">
        <f>IF(Distances[[#This Row],[Colonne246]]=$G10,JD10,Distances[[#This Row],[Colonne246]]+1)</f>
        <v>70</v>
      </c>
      <c r="JF10" s="17">
        <f>IF(Distances[[#This Row],[Colonne247]]=$G10,JE10,Distances[[#This Row],[Colonne247]]+1)</f>
        <v>70</v>
      </c>
      <c r="JG10" s="17">
        <f>IF(Distances[[#This Row],[Colonne248]]=$G10,JF10,Distances[[#This Row],[Colonne248]]+1)</f>
        <v>70</v>
      </c>
      <c r="JH10" s="17">
        <f>IF(Distances[[#This Row],[Colonne249]]=$G10,JG10,Distances[[#This Row],[Colonne249]]+1)</f>
        <v>70</v>
      </c>
      <c r="JI10" s="17">
        <f>IF(Distances[[#This Row],[Colonne250]]=$G10,JH10,Distances[[#This Row],[Colonne250]]+1)</f>
        <v>70</v>
      </c>
      <c r="JJ10" s="17">
        <f>IF(Distances[[#This Row],[Colonne251]]=$G10,JI10,Distances[[#This Row],[Colonne251]]+1)</f>
        <v>70</v>
      </c>
      <c r="JK10" s="17">
        <f>IF(Distances[[#This Row],[Colonne252]]=$G10,JJ10,Distances[[#This Row],[Colonne252]]+1)</f>
        <v>70</v>
      </c>
      <c r="JL10" s="17">
        <f>IF(Distances[[#This Row],[Colonne253]]=$G10,JK10,Distances[[#This Row],[Colonne253]]+1)</f>
        <v>70</v>
      </c>
      <c r="JM10" s="17">
        <f>IF(Distances[[#This Row],[Colonne254]]=$G10,JL10,Distances[[#This Row],[Colonne254]]+1)</f>
        <v>70</v>
      </c>
      <c r="JN10" s="17">
        <f>IF(Distances[[#This Row],[Colonne255]]=$G10,JM10,Distances[[#This Row],[Colonne255]]+1)</f>
        <v>70</v>
      </c>
      <c r="JO10" s="17">
        <f>IF(Distances[[#This Row],[Colonne256]]=$G10,JN10,Distances[[#This Row],[Colonne256]]+1)</f>
        <v>70</v>
      </c>
      <c r="JP10" s="17">
        <f>IF(Distances[[#This Row],[Colonne257]]=$G10,JO10,Distances[[#This Row],[Colonne257]]+1)</f>
        <v>70</v>
      </c>
      <c r="JQ10" s="17">
        <f>IF(Distances[[#This Row],[Colonne258]]=$G10,JP10,Distances[[#This Row],[Colonne258]]+1)</f>
        <v>70</v>
      </c>
      <c r="JR10" s="17">
        <f>IF(Distances[[#This Row],[Colonne259]]=$G10,JQ10,Distances[[#This Row],[Colonne259]]+1)</f>
        <v>70</v>
      </c>
      <c r="JS10" s="17">
        <f>IF(Distances[[#This Row],[Colonne260]]=$G10,JR10,Distances[[#This Row],[Colonne260]]+1)</f>
        <v>70</v>
      </c>
      <c r="JT10" s="17">
        <f>IF(Distances[[#This Row],[Colonne261]]=$G10,JS10,Distances[[#This Row],[Colonne261]]+1)</f>
        <v>70</v>
      </c>
      <c r="JU10" s="17">
        <f>IF(Distances[[#This Row],[Colonne262]]=$G10,JT10,Distances[[#This Row],[Colonne262]]+1)</f>
        <v>70</v>
      </c>
      <c r="JV10" s="17">
        <f>IF(Distances[[#This Row],[Colonne263]]=$G10,JU10,Distances[[#This Row],[Colonne263]]+1)</f>
        <v>70</v>
      </c>
      <c r="JW10" s="17">
        <f>IF(Distances[[#This Row],[Colonne264]]=$G10,JV10,Distances[[#This Row],[Colonne264]]+1)</f>
        <v>70</v>
      </c>
      <c r="JX10" s="17">
        <f>IF(Distances[[#This Row],[Colonne265]]=$G10,JW10,Distances[[#This Row],[Colonne265]]+1)</f>
        <v>70</v>
      </c>
      <c r="JY10" s="17">
        <f>IF(Distances[[#This Row],[Colonne266]]=$G10,JX10,Distances[[#This Row],[Colonne266]]+1)</f>
        <v>70</v>
      </c>
      <c r="JZ10" s="17">
        <f>IF(Distances[[#This Row],[Colonne267]]=$G10,JY10,Distances[[#This Row],[Colonne267]]+1)</f>
        <v>70</v>
      </c>
      <c r="KA10" s="17">
        <f>IF(Distances[[#This Row],[Colonne268]]=$G10,JZ10,Distances[[#This Row],[Colonne268]]+1)</f>
        <v>70</v>
      </c>
      <c r="KB10" s="17">
        <f>IF(Distances[[#This Row],[Colonne269]]=$G10,KA10,Distances[[#This Row],[Colonne269]]+1)</f>
        <v>70</v>
      </c>
      <c r="KC10" s="17">
        <f>IF(Distances[[#This Row],[Colonne270]]=$G10,KB10,Distances[[#This Row],[Colonne270]]+1)</f>
        <v>70</v>
      </c>
      <c r="KD10" s="17">
        <f>IF(Distances[[#This Row],[Colonne271]]=$G10,KC10,Distances[[#This Row],[Colonne271]]+1)</f>
        <v>70</v>
      </c>
      <c r="KE10" s="17">
        <f>IF(Distances[[#This Row],[Colonne272]]=$G10,KD10,Distances[[#This Row],[Colonne272]]+1)</f>
        <v>70</v>
      </c>
      <c r="KF10" s="17">
        <f>IF(Distances[[#This Row],[Colonne273]]=$G10,KE10,Distances[[#This Row],[Colonne273]]+1)</f>
        <v>70</v>
      </c>
      <c r="KG10" s="17">
        <f>IF(Distances[[#This Row],[Colonne274]]=$G10,KF10,Distances[[#This Row],[Colonne274]]+1)</f>
        <v>70</v>
      </c>
      <c r="KH10" s="17">
        <f>IF(Distances[[#This Row],[Colonne275]]=$G10,KG10,Distances[[#This Row],[Colonne275]]+1)</f>
        <v>70</v>
      </c>
      <c r="KI10" s="17">
        <f>IF(Distances[[#This Row],[Colonne276]]=$G10,KH10,Distances[[#This Row],[Colonne276]]+1)</f>
        <v>70</v>
      </c>
      <c r="KJ10" s="17">
        <f>IF(Distances[[#This Row],[Colonne277]]=$G10,KI10,Distances[[#This Row],[Colonne277]]+1)</f>
        <v>70</v>
      </c>
      <c r="KK10" s="17">
        <f>IF(Distances[[#This Row],[Colonne278]]=$G10,KJ10,Distances[[#This Row],[Colonne278]]+1)</f>
        <v>70</v>
      </c>
      <c r="KL10" s="17">
        <f>IF(Distances[[#This Row],[Colonne279]]=$G10,KK10,Distances[[#This Row],[Colonne279]]+1)</f>
        <v>70</v>
      </c>
      <c r="KM10" s="17">
        <f>IF(Distances[[#This Row],[Colonne280]]=$G10,KL10,Distances[[#This Row],[Colonne280]]+1)</f>
        <v>70</v>
      </c>
      <c r="KN10" s="17">
        <f>IF(Distances[[#This Row],[Colonne281]]=$G10,KM10,Distances[[#This Row],[Colonne281]]+1)</f>
        <v>70</v>
      </c>
      <c r="KO10" s="17">
        <f>IF(Distances[[#This Row],[Colonne282]]=$G10,KN10,Distances[[#This Row],[Colonne282]]+1)</f>
        <v>70</v>
      </c>
      <c r="KP10" s="17">
        <f>IF(Distances[[#This Row],[Colonne283]]=$G10,KO10,Distances[[#This Row],[Colonne283]]+1)</f>
        <v>70</v>
      </c>
      <c r="KQ10" s="17">
        <f>IF(Distances[[#This Row],[Colonne284]]=$G10,KP10,Distances[[#This Row],[Colonne284]]+1)</f>
        <v>70</v>
      </c>
      <c r="KR10" s="17">
        <f>IF(Distances[[#This Row],[Colonne285]]=$G10,KQ10,Distances[[#This Row],[Colonne285]]+1)</f>
        <v>70</v>
      </c>
      <c r="KS10" s="17">
        <f>IF(Distances[[#This Row],[Colonne286]]=$G10,KR10,Distances[[#This Row],[Colonne286]]+1)</f>
        <v>70</v>
      </c>
      <c r="KT10" s="17">
        <f>IF(Distances[[#This Row],[Colonne287]]=$G10,KS10,Distances[[#This Row],[Colonne287]]+1)</f>
        <v>70</v>
      </c>
      <c r="KU10" s="17">
        <f>IF(Distances[[#This Row],[Colonne288]]=$G10,KT10,Distances[[#This Row],[Colonne288]]+1)</f>
        <v>70</v>
      </c>
      <c r="KV10" s="17">
        <f>IF(Distances[[#This Row],[Colonne289]]=$G10,KU10,Distances[[#This Row],[Colonne289]]+1)</f>
        <v>70</v>
      </c>
      <c r="KW10" s="17">
        <f>IF(Distances[[#This Row],[Colonne290]]=$G10,KV10,Distances[[#This Row],[Colonne290]]+1)</f>
        <v>70</v>
      </c>
      <c r="KX10" s="17">
        <f>IF(Distances[[#This Row],[Colonne291]]=$G10,KW10,Distances[[#This Row],[Colonne291]]+1)</f>
        <v>70</v>
      </c>
      <c r="KY10" s="17">
        <f>IF(Distances[[#This Row],[Colonne292]]=$G10,KX10,Distances[[#This Row],[Colonne292]]+1)</f>
        <v>70</v>
      </c>
      <c r="KZ10" s="17">
        <f>IF(Distances[[#This Row],[Colonne293]]=$G10,KY10,Distances[[#This Row],[Colonne293]]+1)</f>
        <v>70</v>
      </c>
      <c r="LA10" s="17">
        <f>IF(Distances[[#This Row],[Colonne294]]=$G10,KZ10,Distances[[#This Row],[Colonne294]]+1)</f>
        <v>70</v>
      </c>
      <c r="LB10" s="17">
        <f>IF(Distances[[#This Row],[Colonne295]]=$G10,LA10,Distances[[#This Row],[Colonne295]]+1)</f>
        <v>70</v>
      </c>
      <c r="LC10" s="17">
        <f>IF(Distances[[#This Row],[Colonne296]]=$G10,LB10,Distances[[#This Row],[Colonne296]]+1)</f>
        <v>70</v>
      </c>
      <c r="LD10" s="17">
        <f>IF(Distances[[#This Row],[Colonne297]]=$G10,LC10,Distances[[#This Row],[Colonne297]]+1)</f>
        <v>70</v>
      </c>
      <c r="LE10" s="17">
        <f>IF(Distances[[#This Row],[Colonne298]]=$G10,LD10,Distances[[#This Row],[Colonne298]]+1)</f>
        <v>70</v>
      </c>
      <c r="LF10" s="17">
        <f>IF(Distances[[#This Row],[Colonne299]]=$G10,LE10,Distances[[#This Row],[Colonne299]]+1)</f>
        <v>70</v>
      </c>
      <c r="LG10" s="17">
        <f>IF(Distances[[#This Row],[Colonne300]]=$G10,LF10,Distances[[#This Row],[Colonne300]]+1)</f>
        <v>70</v>
      </c>
      <c r="LH10" s="17">
        <f>IF(Distances[[#This Row],[Colonne301]]=$G10,LG10,Distances[[#This Row],[Colonne301]]+1)</f>
        <v>70</v>
      </c>
      <c r="LI10" s="17">
        <f>IF(Distances[[#This Row],[Colonne302]]=$G10,LH10,Distances[[#This Row],[Colonne302]]+1)</f>
        <v>70</v>
      </c>
      <c r="LJ10" s="17">
        <f>IF(Distances[[#This Row],[Colonne303]]=$G10,LI10,Distances[[#This Row],[Colonne303]]+1)</f>
        <v>70</v>
      </c>
      <c r="LK10" s="51"/>
      <c r="LL10" s="17">
        <f t="shared" ref="LL10:NW10" si="18">IF(LK10=$H10,LK10,LK10+1)</f>
        <v>1</v>
      </c>
      <c r="LM10" s="17">
        <f t="shared" si="18"/>
        <v>2</v>
      </c>
      <c r="LN10" s="17">
        <f t="shared" si="18"/>
        <v>3</v>
      </c>
      <c r="LO10" s="17">
        <f t="shared" si="18"/>
        <v>4</v>
      </c>
      <c r="LP10" s="17">
        <f t="shared" si="18"/>
        <v>5</v>
      </c>
      <c r="LQ10" s="17">
        <f t="shared" si="18"/>
        <v>6</v>
      </c>
      <c r="LR10" s="17">
        <f t="shared" si="18"/>
        <v>7</v>
      </c>
      <c r="LS10" s="17">
        <f t="shared" si="18"/>
        <v>8</v>
      </c>
      <c r="LT10" s="17">
        <f t="shared" si="18"/>
        <v>9</v>
      </c>
      <c r="LU10" s="17">
        <f t="shared" si="18"/>
        <v>10</v>
      </c>
      <c r="LV10" s="17">
        <f t="shared" si="18"/>
        <v>11</v>
      </c>
      <c r="LW10" s="17">
        <f t="shared" si="18"/>
        <v>12</v>
      </c>
      <c r="LX10" s="17">
        <f t="shared" si="18"/>
        <v>13</v>
      </c>
      <c r="LY10" s="17">
        <f t="shared" si="18"/>
        <v>14</v>
      </c>
      <c r="LZ10" s="17">
        <f t="shared" si="18"/>
        <v>15</v>
      </c>
      <c r="MA10" s="17">
        <f t="shared" si="18"/>
        <v>16</v>
      </c>
      <c r="MB10" s="17">
        <f t="shared" si="18"/>
        <v>17</v>
      </c>
      <c r="MC10" s="17">
        <f t="shared" si="18"/>
        <v>18</v>
      </c>
      <c r="MD10" s="17">
        <f t="shared" si="18"/>
        <v>19</v>
      </c>
      <c r="ME10" s="17">
        <f t="shared" si="18"/>
        <v>20</v>
      </c>
      <c r="MF10" s="17">
        <f t="shared" si="18"/>
        <v>21</v>
      </c>
      <c r="MG10" s="17">
        <f t="shared" si="18"/>
        <v>22</v>
      </c>
      <c r="MH10" s="17">
        <f t="shared" si="18"/>
        <v>23</v>
      </c>
      <c r="MI10" s="17">
        <f t="shared" si="18"/>
        <v>24</v>
      </c>
      <c r="MJ10" s="17">
        <f t="shared" si="18"/>
        <v>25</v>
      </c>
      <c r="MK10" s="17">
        <f t="shared" si="18"/>
        <v>26</v>
      </c>
      <c r="ML10" s="17">
        <f t="shared" si="18"/>
        <v>27</v>
      </c>
      <c r="MM10" s="17">
        <f t="shared" si="18"/>
        <v>28</v>
      </c>
      <c r="MN10" s="17">
        <f t="shared" si="18"/>
        <v>29</v>
      </c>
      <c r="MO10" s="17">
        <f t="shared" si="18"/>
        <v>30</v>
      </c>
      <c r="MP10" s="17">
        <f t="shared" si="18"/>
        <v>31</v>
      </c>
      <c r="MQ10" s="17">
        <f t="shared" si="18"/>
        <v>32</v>
      </c>
      <c r="MR10" s="17">
        <f t="shared" si="18"/>
        <v>33</v>
      </c>
      <c r="MS10" s="17">
        <f t="shared" si="18"/>
        <v>34</v>
      </c>
      <c r="MT10" s="17">
        <f t="shared" si="18"/>
        <v>35</v>
      </c>
      <c r="MU10" s="17">
        <f t="shared" si="18"/>
        <v>35</v>
      </c>
      <c r="MV10" s="17">
        <f t="shared" si="18"/>
        <v>35</v>
      </c>
      <c r="MW10" s="17">
        <f t="shared" si="18"/>
        <v>35</v>
      </c>
      <c r="MX10" s="17">
        <f t="shared" si="18"/>
        <v>35</v>
      </c>
      <c r="MY10" s="17">
        <f t="shared" si="18"/>
        <v>35</v>
      </c>
      <c r="MZ10" s="17">
        <f t="shared" si="18"/>
        <v>35</v>
      </c>
      <c r="NA10" s="17">
        <f t="shared" si="18"/>
        <v>35</v>
      </c>
      <c r="NB10" s="17">
        <f t="shared" si="18"/>
        <v>35</v>
      </c>
      <c r="NC10" s="17">
        <f t="shared" si="18"/>
        <v>35</v>
      </c>
      <c r="ND10" s="17">
        <f t="shared" si="18"/>
        <v>35</v>
      </c>
      <c r="NE10" s="17">
        <f t="shared" si="18"/>
        <v>35</v>
      </c>
      <c r="NF10" s="17">
        <f t="shared" si="18"/>
        <v>35</v>
      </c>
      <c r="NG10" s="17">
        <f t="shared" si="18"/>
        <v>35</v>
      </c>
      <c r="NH10" s="17">
        <f t="shared" si="18"/>
        <v>35</v>
      </c>
      <c r="NI10" s="17">
        <f t="shared" si="18"/>
        <v>35</v>
      </c>
      <c r="NJ10" s="17">
        <f t="shared" si="18"/>
        <v>35</v>
      </c>
      <c r="NK10" s="17">
        <f t="shared" si="18"/>
        <v>35</v>
      </c>
      <c r="NL10" s="17">
        <f t="shared" si="18"/>
        <v>35</v>
      </c>
      <c r="NM10" s="17">
        <f t="shared" si="18"/>
        <v>35</v>
      </c>
      <c r="NN10" s="17">
        <f t="shared" si="18"/>
        <v>35</v>
      </c>
      <c r="NO10" s="17">
        <f t="shared" si="18"/>
        <v>35</v>
      </c>
      <c r="NP10" s="17">
        <f t="shared" si="18"/>
        <v>35</v>
      </c>
      <c r="NQ10" s="17">
        <f t="shared" si="18"/>
        <v>35</v>
      </c>
      <c r="NR10" s="17">
        <f t="shared" si="18"/>
        <v>35</v>
      </c>
      <c r="NS10" s="17">
        <f t="shared" si="18"/>
        <v>35</v>
      </c>
      <c r="NT10" s="17">
        <f t="shared" si="18"/>
        <v>35</v>
      </c>
      <c r="NU10" s="17">
        <f t="shared" si="18"/>
        <v>35</v>
      </c>
      <c r="NV10" s="17">
        <f t="shared" si="18"/>
        <v>35</v>
      </c>
      <c r="NW10" s="17">
        <f t="shared" si="18"/>
        <v>35</v>
      </c>
      <c r="NX10" s="17">
        <f t="shared" ref="NX10:PG10" si="19">IF(NW10=$H10,NW10,NW10+1)</f>
        <v>35</v>
      </c>
      <c r="NY10" s="17">
        <f t="shared" si="19"/>
        <v>35</v>
      </c>
      <c r="NZ10" s="17">
        <f t="shared" si="19"/>
        <v>35</v>
      </c>
      <c r="OA10" s="17">
        <f t="shared" si="19"/>
        <v>35</v>
      </c>
      <c r="OB10" s="17">
        <f t="shared" si="19"/>
        <v>35</v>
      </c>
      <c r="OC10" s="17">
        <f t="shared" si="19"/>
        <v>35</v>
      </c>
      <c r="OD10" s="17">
        <f t="shared" si="19"/>
        <v>35</v>
      </c>
      <c r="OE10" s="17">
        <f t="shared" si="19"/>
        <v>35</v>
      </c>
      <c r="OF10" s="17">
        <f t="shared" si="19"/>
        <v>35</v>
      </c>
      <c r="OG10" s="17">
        <f t="shared" si="19"/>
        <v>35</v>
      </c>
      <c r="OH10" s="17">
        <f t="shared" si="19"/>
        <v>35</v>
      </c>
      <c r="OI10" s="17">
        <f t="shared" si="19"/>
        <v>35</v>
      </c>
      <c r="OJ10" s="17">
        <f t="shared" si="19"/>
        <v>35</v>
      </c>
      <c r="OK10" s="17">
        <f t="shared" si="19"/>
        <v>35</v>
      </c>
      <c r="OL10" s="17">
        <f t="shared" si="19"/>
        <v>35</v>
      </c>
      <c r="OM10" s="17">
        <f t="shared" si="19"/>
        <v>35</v>
      </c>
      <c r="ON10" s="17">
        <f t="shared" si="19"/>
        <v>35</v>
      </c>
      <c r="OO10" s="17">
        <f t="shared" si="19"/>
        <v>35</v>
      </c>
      <c r="OP10" s="17">
        <f t="shared" si="19"/>
        <v>35</v>
      </c>
      <c r="OQ10" s="17">
        <f t="shared" si="19"/>
        <v>35</v>
      </c>
      <c r="OR10" s="17">
        <f t="shared" si="19"/>
        <v>35</v>
      </c>
      <c r="OS10" s="17">
        <f t="shared" si="19"/>
        <v>35</v>
      </c>
      <c r="OT10" s="17">
        <f t="shared" si="19"/>
        <v>35</v>
      </c>
      <c r="OU10" s="17">
        <f t="shared" si="19"/>
        <v>35</v>
      </c>
      <c r="OV10" s="17">
        <f t="shared" si="19"/>
        <v>35</v>
      </c>
      <c r="OW10" s="17">
        <f t="shared" si="19"/>
        <v>35</v>
      </c>
      <c r="OX10" s="17">
        <f t="shared" si="19"/>
        <v>35</v>
      </c>
      <c r="OY10" s="17">
        <f t="shared" si="19"/>
        <v>35</v>
      </c>
      <c r="OZ10" s="17">
        <f t="shared" si="19"/>
        <v>35</v>
      </c>
      <c r="PA10" s="17">
        <f t="shared" si="19"/>
        <v>35</v>
      </c>
      <c r="PB10" s="17">
        <f t="shared" si="19"/>
        <v>35</v>
      </c>
      <c r="PC10" s="17">
        <f t="shared" si="19"/>
        <v>35</v>
      </c>
      <c r="PD10" s="17">
        <f t="shared" si="19"/>
        <v>35</v>
      </c>
      <c r="PE10" s="17">
        <f t="shared" si="19"/>
        <v>35</v>
      </c>
      <c r="PF10" s="17">
        <f t="shared" si="19"/>
        <v>35</v>
      </c>
      <c r="PG10" s="17">
        <f t="shared" si="19"/>
        <v>35</v>
      </c>
    </row>
    <row r="11" spans="1:423" x14ac:dyDescent="0.25">
      <c r="A11" s="8" t="s">
        <v>5509</v>
      </c>
      <c r="B11" s="9" t="s">
        <v>7537</v>
      </c>
      <c r="C11" s="9" t="str">
        <f t="shared" si="0"/>
        <v>LR4</v>
      </c>
      <c r="D11" s="1" t="str">
        <f t="shared" si="1"/>
        <v>Libre R4</v>
      </c>
      <c r="E11" s="1" t="s">
        <v>15</v>
      </c>
      <c r="F11" s="9" t="s">
        <v>5452</v>
      </c>
      <c r="G11" s="9">
        <v>50</v>
      </c>
      <c r="H11" s="9">
        <v>40</v>
      </c>
      <c r="I11" s="127">
        <v>2.8</v>
      </c>
      <c r="J11" s="9" t="s">
        <v>5511</v>
      </c>
      <c r="K11" s="281"/>
      <c r="L11" s="8">
        <v>0</v>
      </c>
      <c r="M11" s="9">
        <v>0</v>
      </c>
      <c r="N11" s="10">
        <v>1.1990000000000001</v>
      </c>
      <c r="O11" s="269"/>
      <c r="P11" s="331"/>
      <c r="Q11" s="335"/>
      <c r="R11" s="128">
        <v>1</v>
      </c>
      <c r="S11" s="9">
        <v>1</v>
      </c>
      <c r="T11" s="10">
        <v>2</v>
      </c>
      <c r="U11" t="s">
        <v>5523</v>
      </c>
      <c r="V11" s="17">
        <v>0</v>
      </c>
      <c r="W11" s="17">
        <f>IF(Distances[[#This Row],[Colonne4]]=$G11,V11,Distances[[#This Row],[Colonne4]]+1)</f>
        <v>1</v>
      </c>
      <c r="X11" s="17">
        <f>IF(Distances[[#This Row],[Colonne5]]=$G11,W11,Distances[[#This Row],[Colonne5]]+1)</f>
        <v>2</v>
      </c>
      <c r="Y11" s="17">
        <f>IF(Distances[[#This Row],[Colonne6]]=$G11,X11,Distances[[#This Row],[Colonne6]]+1)</f>
        <v>3</v>
      </c>
      <c r="Z11" s="17">
        <f>IF(Distances[[#This Row],[Colonne7]]=$G11,Y11,Distances[[#This Row],[Colonne7]]+1)</f>
        <v>4</v>
      </c>
      <c r="AA11" s="17">
        <f>IF(Distances[[#This Row],[Colonne8]]=$G11,Z11,Distances[[#This Row],[Colonne8]]+1)</f>
        <v>5</v>
      </c>
      <c r="AB11" s="17">
        <f>IF(Distances[[#This Row],[Colonne9]]=$G11,AA11,Distances[[#This Row],[Colonne9]]+1)</f>
        <v>6</v>
      </c>
      <c r="AC11" s="17">
        <f>IF(Distances[[#This Row],[Colonne10]]=$G11,AB11,Distances[[#This Row],[Colonne10]]+1)</f>
        <v>7</v>
      </c>
      <c r="AD11" s="17">
        <f>IF(Distances[[#This Row],[Colonne11]]=$G11,AC11,Distances[[#This Row],[Colonne11]]+1)</f>
        <v>8</v>
      </c>
      <c r="AE11" s="17">
        <f>IF(Distances[[#This Row],[Colonne12]]=$G11,AD11,Distances[[#This Row],[Colonne12]]+1)</f>
        <v>9</v>
      </c>
      <c r="AF11" s="17">
        <f>IF(Distances[[#This Row],[Colonne13]]=$G11,AE11,Distances[[#This Row],[Colonne13]]+1)</f>
        <v>10</v>
      </c>
      <c r="AG11" s="17">
        <f>IF(Distances[[#This Row],[Colonne14]]=$G11,AF11,Distances[[#This Row],[Colonne14]]+1)</f>
        <v>11</v>
      </c>
      <c r="AH11" s="17">
        <f>IF(Distances[[#This Row],[Colonne15]]=$G11,AG11,Distances[[#This Row],[Colonne15]]+1)</f>
        <v>12</v>
      </c>
      <c r="AI11" s="17">
        <f>IF(Distances[[#This Row],[Colonne16]]=$G11,AH11,Distances[[#This Row],[Colonne16]]+1)</f>
        <v>13</v>
      </c>
      <c r="AJ11" s="17">
        <f>IF(Distances[[#This Row],[Colonne17]]=$G11,AI11,Distances[[#This Row],[Colonne17]]+1)</f>
        <v>14</v>
      </c>
      <c r="AK11" s="17">
        <f>IF(Distances[[#This Row],[Colonne18]]=$G11,AJ11,Distances[[#This Row],[Colonne18]]+1)</f>
        <v>15</v>
      </c>
      <c r="AL11" s="17">
        <f>IF(Distances[[#This Row],[Colonne19]]=$G11,AK11,Distances[[#This Row],[Colonne19]]+1)</f>
        <v>16</v>
      </c>
      <c r="AM11" s="17">
        <f>IF(Distances[[#This Row],[Colonne20]]=$G11,AL11,Distances[[#This Row],[Colonne20]]+1)</f>
        <v>17</v>
      </c>
      <c r="AN11" s="17">
        <f>IF(Distances[[#This Row],[Colonne21]]=$G11,AM11,Distances[[#This Row],[Colonne21]]+1)</f>
        <v>18</v>
      </c>
      <c r="AO11" s="17">
        <f>IF(Distances[[#This Row],[Colonne22]]=$G11,AN11,Distances[[#This Row],[Colonne22]]+1)</f>
        <v>19</v>
      </c>
      <c r="AP11" s="17">
        <f>IF(Distances[[#This Row],[Colonne23]]=$G11,AO11,Distances[[#This Row],[Colonne23]]+1)</f>
        <v>20</v>
      </c>
      <c r="AQ11" s="17">
        <f>IF(Distances[[#This Row],[Colonne24]]=$G11,AP11,Distances[[#This Row],[Colonne24]]+1)</f>
        <v>21</v>
      </c>
      <c r="AR11" s="17">
        <f>IF(Distances[[#This Row],[Colonne25]]=$G11,AQ11,Distances[[#This Row],[Colonne25]]+1)</f>
        <v>22</v>
      </c>
      <c r="AS11" s="17">
        <f>IF(Distances[[#This Row],[Colonne26]]=$G11,AR11,Distances[[#This Row],[Colonne26]]+1)</f>
        <v>23</v>
      </c>
      <c r="AT11" s="17">
        <f>IF(Distances[[#This Row],[Colonne27]]=$G11,AS11,Distances[[#This Row],[Colonne27]]+1)</f>
        <v>24</v>
      </c>
      <c r="AU11" s="17">
        <f>IF(Distances[[#This Row],[Colonne28]]=$G11,AT11,Distances[[#This Row],[Colonne28]]+1)</f>
        <v>25</v>
      </c>
      <c r="AV11" s="17">
        <f>IF(Distances[[#This Row],[Colonne29]]=$G11,AU11,Distances[[#This Row],[Colonne29]]+1)</f>
        <v>26</v>
      </c>
      <c r="AW11" s="17">
        <f>IF(Distances[[#This Row],[Colonne30]]=$G11,AV11,Distances[[#This Row],[Colonne30]]+1)</f>
        <v>27</v>
      </c>
      <c r="AX11" s="17">
        <f>IF(Distances[[#This Row],[Colonne31]]=$G11,AW11,Distances[[#This Row],[Colonne31]]+1)</f>
        <v>28</v>
      </c>
      <c r="AY11" s="17">
        <f>IF(Distances[[#This Row],[Colonne32]]=$G11,AX11,Distances[[#This Row],[Colonne32]]+1)</f>
        <v>29</v>
      </c>
      <c r="AZ11" s="17">
        <f>IF(Distances[[#This Row],[Colonne33]]=$G11,AY11,Distances[[#This Row],[Colonne33]]+1)</f>
        <v>30</v>
      </c>
      <c r="BA11" s="17">
        <f>IF(Distances[[#This Row],[Colonne34]]=$G11,AZ11,Distances[[#This Row],[Colonne34]]+1)</f>
        <v>31</v>
      </c>
      <c r="BB11" s="17">
        <f>IF(Distances[[#This Row],[Colonne35]]=$G11,BA11,Distances[[#This Row],[Colonne35]]+1)</f>
        <v>32</v>
      </c>
      <c r="BC11" s="17">
        <f>IF(Distances[[#This Row],[Colonne36]]=$G11,BB11,Distances[[#This Row],[Colonne36]]+1)</f>
        <v>33</v>
      </c>
      <c r="BD11" s="17">
        <f>IF(Distances[[#This Row],[Colonne37]]=$G11,BC11,Distances[[#This Row],[Colonne37]]+1)</f>
        <v>34</v>
      </c>
      <c r="BE11" s="17">
        <f>IF(Distances[[#This Row],[Colonne38]]=$G11,BD11,Distances[[#This Row],[Colonne38]]+1)</f>
        <v>35</v>
      </c>
      <c r="BF11" s="17">
        <f>IF(Distances[[#This Row],[Colonne39]]=$G11,BE11,Distances[[#This Row],[Colonne39]]+1)</f>
        <v>36</v>
      </c>
      <c r="BG11" s="17">
        <f>IF(Distances[[#This Row],[Colonne40]]=$G11,BF11,Distances[[#This Row],[Colonne40]]+1)</f>
        <v>37</v>
      </c>
      <c r="BH11" s="17">
        <f>IF(Distances[[#This Row],[Colonne41]]=$G11,BG11,Distances[[#This Row],[Colonne41]]+1)</f>
        <v>38</v>
      </c>
      <c r="BI11" s="17">
        <f>IF(Distances[[#This Row],[Colonne42]]=$G11,BH11,Distances[[#This Row],[Colonne42]]+1)</f>
        <v>39</v>
      </c>
      <c r="BJ11" s="17">
        <f>IF(Distances[[#This Row],[Colonne43]]=$G11,BI11,Distances[[#This Row],[Colonne43]]+1)</f>
        <v>40</v>
      </c>
      <c r="BK11" s="17">
        <f>IF(Distances[[#This Row],[Colonne44]]=$G11,BJ11,Distances[[#This Row],[Colonne44]]+1)</f>
        <v>41</v>
      </c>
      <c r="BL11" s="17">
        <f>IF(Distances[[#This Row],[Colonne45]]=$G11,BK11,Distances[[#This Row],[Colonne45]]+1)</f>
        <v>42</v>
      </c>
      <c r="BM11" s="17">
        <f>IF(Distances[[#This Row],[Colonne46]]=$G11,BL11,Distances[[#This Row],[Colonne46]]+1)</f>
        <v>43</v>
      </c>
      <c r="BN11" s="17">
        <f>IF(Distances[[#This Row],[Colonne47]]=$G11,BM11,Distances[[#This Row],[Colonne47]]+1)</f>
        <v>44</v>
      </c>
      <c r="BO11" s="17">
        <f>IF(Distances[[#This Row],[Colonne48]]=$G11,BN11,Distances[[#This Row],[Colonne48]]+1)</f>
        <v>45</v>
      </c>
      <c r="BP11" s="17">
        <f>IF(Distances[[#This Row],[Colonne49]]=$G11,BO11,Distances[[#This Row],[Colonne49]]+1)</f>
        <v>46</v>
      </c>
      <c r="BQ11" s="17">
        <f>IF(Distances[[#This Row],[Colonne50]]=$G11,BP11,Distances[[#This Row],[Colonne50]]+1)</f>
        <v>47</v>
      </c>
      <c r="BR11" s="17">
        <f>IF(Distances[[#This Row],[Colonne51]]=$G11,BQ11,Distances[[#This Row],[Colonne51]]+1)</f>
        <v>48</v>
      </c>
      <c r="BS11" s="17">
        <f>IF(Distances[[#This Row],[Colonne52]]=$G11,BR11,Distances[[#This Row],[Colonne52]]+1)</f>
        <v>49</v>
      </c>
      <c r="BT11" s="17">
        <f>IF(Distances[[#This Row],[Colonne53]]=$G11,BS11,Distances[[#This Row],[Colonne53]]+1)</f>
        <v>50</v>
      </c>
      <c r="BU11" s="17">
        <f>IF(Distances[[#This Row],[Colonne54]]=$G11,BT11,Distances[[#This Row],[Colonne54]]+1)</f>
        <v>50</v>
      </c>
      <c r="BV11" s="17">
        <f>IF(Distances[[#This Row],[Colonne55]]=$G11,BU11,Distances[[#This Row],[Colonne55]]+1)</f>
        <v>50</v>
      </c>
      <c r="BW11" s="17">
        <f>IF(Distances[[#This Row],[Colonne56]]=$G11,BV11,Distances[[#This Row],[Colonne56]]+1)</f>
        <v>50</v>
      </c>
      <c r="BX11" s="17">
        <f>IF(Distances[[#This Row],[Colonne57]]=$G11,BW11,Distances[[#This Row],[Colonne57]]+1)</f>
        <v>50</v>
      </c>
      <c r="BY11" s="17">
        <f>IF(Distances[[#This Row],[Colonne58]]=$G11,BX11,Distances[[#This Row],[Colonne58]]+1)</f>
        <v>50</v>
      </c>
      <c r="BZ11" s="17">
        <f>IF(Distances[[#This Row],[Colonne59]]=$G11,BY11,Distances[[#This Row],[Colonne59]]+1)</f>
        <v>50</v>
      </c>
      <c r="CA11" s="17">
        <f>IF(Distances[[#This Row],[Colonne60]]=$G11,BZ11,Distances[[#This Row],[Colonne60]]+1)</f>
        <v>50</v>
      </c>
      <c r="CB11" s="17">
        <f>IF(Distances[[#This Row],[Colonne61]]=$G11,CA11,Distances[[#This Row],[Colonne61]]+1)</f>
        <v>50</v>
      </c>
      <c r="CC11" s="17">
        <f>IF(Distances[[#This Row],[Colonne62]]=$G11,CB11,Distances[[#This Row],[Colonne62]]+1)</f>
        <v>50</v>
      </c>
      <c r="CD11" s="17">
        <f>IF(Distances[[#This Row],[Colonne63]]=$G11,CC11,Distances[[#This Row],[Colonne63]]+1)</f>
        <v>50</v>
      </c>
      <c r="CE11" s="17">
        <f>IF(Distances[[#This Row],[Colonne64]]=$G11,CD11,Distances[[#This Row],[Colonne64]]+1)</f>
        <v>50</v>
      </c>
      <c r="CF11" s="17">
        <f>IF(Distances[[#This Row],[Colonne65]]=$G11,CE11,Distances[[#This Row],[Colonne65]]+1)</f>
        <v>50</v>
      </c>
      <c r="CG11" s="17">
        <f>IF(Distances[[#This Row],[Colonne66]]=$G11,CF11,Distances[[#This Row],[Colonne66]]+1)</f>
        <v>50</v>
      </c>
      <c r="CH11" s="17">
        <f>IF(Distances[[#This Row],[Colonne67]]=$G11,CG11,Distances[[#This Row],[Colonne67]]+1)</f>
        <v>50</v>
      </c>
      <c r="CI11" s="17">
        <f>IF(Distances[[#This Row],[Colonne68]]=$G11,CH11,Distances[[#This Row],[Colonne68]]+1)</f>
        <v>50</v>
      </c>
      <c r="CJ11" s="17">
        <f>IF(Distances[[#This Row],[Colonne69]]=$G11,CI11,Distances[[#This Row],[Colonne69]]+1)</f>
        <v>50</v>
      </c>
      <c r="CK11" s="17">
        <f>IF(Distances[[#This Row],[Colonne70]]=$G11,CJ11,Distances[[#This Row],[Colonne70]]+1)</f>
        <v>50</v>
      </c>
      <c r="CL11" s="17">
        <f>IF(Distances[[#This Row],[Colonne71]]=$G11,CK11,Distances[[#This Row],[Colonne71]]+1)</f>
        <v>50</v>
      </c>
      <c r="CM11" s="17">
        <f>IF(Distances[[#This Row],[Colonne72]]=$G11,CL11,Distances[[#This Row],[Colonne72]]+1)</f>
        <v>50</v>
      </c>
      <c r="CN11" s="17">
        <f>IF(Distances[[#This Row],[Colonne73]]=$G11,CM11,Distances[[#This Row],[Colonne73]]+1)</f>
        <v>50</v>
      </c>
      <c r="CO11" s="17">
        <f>IF(Distances[[#This Row],[Colonne74]]=$G11,CN11,Distances[[#This Row],[Colonne74]]+1)</f>
        <v>50</v>
      </c>
      <c r="CP11" s="17">
        <f>IF(Distances[[#This Row],[Colonne75]]=$G11,CO11,Distances[[#This Row],[Colonne75]]+1)</f>
        <v>50</v>
      </c>
      <c r="CQ11" s="17">
        <f>IF(Distances[[#This Row],[Colonne76]]=$G11,CP11,Distances[[#This Row],[Colonne76]]+1)</f>
        <v>50</v>
      </c>
      <c r="CR11" s="17">
        <f>IF(Distances[[#This Row],[Colonne77]]=$G11,CQ11,Distances[[#This Row],[Colonne77]]+1)</f>
        <v>50</v>
      </c>
      <c r="CS11" s="17">
        <f>IF(Distances[[#This Row],[Colonne78]]=$G11,CR11,Distances[[#This Row],[Colonne78]]+1)</f>
        <v>50</v>
      </c>
      <c r="CT11" s="17">
        <f>IF(Distances[[#This Row],[Colonne79]]=$G11,CS11,Distances[[#This Row],[Colonne79]]+1)</f>
        <v>50</v>
      </c>
      <c r="CU11" s="17">
        <f>IF(Distances[[#This Row],[Colonne80]]=$G11,CT11,Distances[[#This Row],[Colonne80]]+1)</f>
        <v>50</v>
      </c>
      <c r="CV11" s="17">
        <f>IF(Distances[[#This Row],[Colonne81]]=$G11,CU11,Distances[[#This Row],[Colonne81]]+1)</f>
        <v>50</v>
      </c>
      <c r="CW11" s="17">
        <f>IF(Distances[[#This Row],[Colonne82]]=$G11,CV11,Distances[[#This Row],[Colonne82]]+1)</f>
        <v>50</v>
      </c>
      <c r="CX11" s="17">
        <f>IF(Distances[[#This Row],[Colonne83]]=$G11,CW11,Distances[[#This Row],[Colonne83]]+1)</f>
        <v>50</v>
      </c>
      <c r="CY11" s="17">
        <f>IF(Distances[[#This Row],[Colonne84]]=$G11,CX11,Distances[[#This Row],[Colonne84]]+1)</f>
        <v>50</v>
      </c>
      <c r="CZ11" s="17">
        <f>IF(Distances[[#This Row],[Colonne85]]=$G11,CY11,Distances[[#This Row],[Colonne85]]+1)</f>
        <v>50</v>
      </c>
      <c r="DA11" s="17">
        <f>IF(Distances[[#This Row],[Colonne86]]=$G11,CZ11,Distances[[#This Row],[Colonne86]]+1)</f>
        <v>50</v>
      </c>
      <c r="DB11" s="17">
        <f>IF(Distances[[#This Row],[Colonne87]]=$G11,DA11,Distances[[#This Row],[Colonne87]]+1)</f>
        <v>50</v>
      </c>
      <c r="DC11" s="17">
        <f>IF(Distances[[#This Row],[Colonne88]]=$G11,DB11,Distances[[#This Row],[Colonne88]]+1)</f>
        <v>50</v>
      </c>
      <c r="DD11" s="17">
        <f>IF(Distances[[#This Row],[Colonne89]]=$G11,DC11,Distances[[#This Row],[Colonne89]]+1)</f>
        <v>50</v>
      </c>
      <c r="DE11" s="17">
        <f>IF(Distances[[#This Row],[Colonne90]]=$G11,DD11,Distances[[#This Row],[Colonne90]]+1)</f>
        <v>50</v>
      </c>
      <c r="DF11" s="17">
        <f>IF(Distances[[#This Row],[Colonne91]]=$G11,DE11,Distances[[#This Row],[Colonne91]]+1)</f>
        <v>50</v>
      </c>
      <c r="DG11" s="17">
        <f>IF(Distances[[#This Row],[Colonne92]]=$G11,DF11,Distances[[#This Row],[Colonne92]]+1)</f>
        <v>50</v>
      </c>
      <c r="DH11" s="17">
        <f>IF(Distances[[#This Row],[Colonne93]]=$G11,DG11,Distances[[#This Row],[Colonne93]]+1)</f>
        <v>50</v>
      </c>
      <c r="DI11" s="17">
        <f>IF(Distances[[#This Row],[Colonne94]]=$G11,DH11,Distances[[#This Row],[Colonne94]]+1)</f>
        <v>50</v>
      </c>
      <c r="DJ11" s="17">
        <f>IF(Distances[[#This Row],[Colonne95]]=$G11,DI11,Distances[[#This Row],[Colonne95]]+1)</f>
        <v>50</v>
      </c>
      <c r="DK11" s="17">
        <f>IF(Distances[[#This Row],[Colonne96]]=$G11,DJ11,Distances[[#This Row],[Colonne96]]+1)</f>
        <v>50</v>
      </c>
      <c r="DL11" s="17">
        <f>IF(Distances[[#This Row],[Colonne97]]=$G11,DK11,Distances[[#This Row],[Colonne97]]+1)</f>
        <v>50</v>
      </c>
      <c r="DM11" s="17">
        <f>IF(Distances[[#This Row],[Colonne98]]=$G11,DL11,Distances[[#This Row],[Colonne98]]+1)</f>
        <v>50</v>
      </c>
      <c r="DN11" s="17">
        <f>IF(Distances[[#This Row],[Colonne99]]=$G11,DM11,Distances[[#This Row],[Colonne99]]+1)</f>
        <v>50</v>
      </c>
      <c r="DO11" s="17">
        <f>IF(Distances[[#This Row],[Colonne100]]=$G11,DN11,Distances[[#This Row],[Colonne100]]+1)</f>
        <v>50</v>
      </c>
      <c r="DP11" s="17">
        <f>IF(Distances[[#This Row],[Colonne101]]=$G11,DO11,Distances[[#This Row],[Colonne101]]+1)</f>
        <v>50</v>
      </c>
      <c r="DQ11" s="17">
        <f>IF(Distances[[#This Row],[Colonne102]]=$G11,DP11,Distances[[#This Row],[Colonne102]]+1)</f>
        <v>50</v>
      </c>
      <c r="DR11" s="17">
        <f>IF(Distances[[#This Row],[Colonne103]]=$G11,DQ11,Distances[[#This Row],[Colonne103]]+1)</f>
        <v>50</v>
      </c>
      <c r="DS11" s="17">
        <f>IF(Distances[[#This Row],[Colonne104]]=$G11,DR11,Distances[[#This Row],[Colonne104]]+1)</f>
        <v>50</v>
      </c>
      <c r="DT11" s="17">
        <f>IF(Distances[[#This Row],[Colonne105]]=$G11,DS11,Distances[[#This Row],[Colonne105]]+1)</f>
        <v>50</v>
      </c>
      <c r="DU11" s="17">
        <f>IF(Distances[[#This Row],[Colonne106]]=$G11,DT11,Distances[[#This Row],[Colonne106]]+1)</f>
        <v>50</v>
      </c>
      <c r="DV11" s="17">
        <f>IF(Distances[[#This Row],[Colonne107]]=$G11,DU11,Distances[[#This Row],[Colonne107]]+1)</f>
        <v>50</v>
      </c>
      <c r="DW11" s="17">
        <f>IF(Distances[[#This Row],[Colonne108]]=$G11,DV11,Distances[[#This Row],[Colonne108]]+1)</f>
        <v>50</v>
      </c>
      <c r="DX11" s="17">
        <f>IF(Distances[[#This Row],[Colonne109]]=$G11,DW11,Distances[[#This Row],[Colonne109]]+1)</f>
        <v>50</v>
      </c>
      <c r="DY11" s="17">
        <f>IF(Distances[[#This Row],[Colonne110]]=$G11,DX11,Distances[[#This Row],[Colonne110]]+1)</f>
        <v>50</v>
      </c>
      <c r="DZ11" s="17">
        <f>IF(Distances[[#This Row],[Colonne111]]=$G11,DY11,Distances[[#This Row],[Colonne111]]+1)</f>
        <v>50</v>
      </c>
      <c r="EA11" s="17">
        <f>IF(Distances[[#This Row],[Colonne112]]=$G11,DZ11,Distances[[#This Row],[Colonne112]]+1)</f>
        <v>50</v>
      </c>
      <c r="EB11" s="17">
        <f>IF(Distances[[#This Row],[Colonne113]]=$G11,EA11,Distances[[#This Row],[Colonne113]]+1)</f>
        <v>50</v>
      </c>
      <c r="EC11" s="17">
        <f>IF(Distances[[#This Row],[Colonne114]]=$G11,EB11,Distances[[#This Row],[Colonne114]]+1)</f>
        <v>50</v>
      </c>
      <c r="ED11" s="17">
        <f>IF(Distances[[#This Row],[Colonne115]]=$G11,EC11,Distances[[#This Row],[Colonne115]]+1)</f>
        <v>50</v>
      </c>
      <c r="EE11" s="17">
        <f>IF(Distances[[#This Row],[Colonne116]]=$G11,ED11,Distances[[#This Row],[Colonne116]]+1)</f>
        <v>50</v>
      </c>
      <c r="EF11" s="17">
        <f>IF(Distances[[#This Row],[Colonne117]]=$G11,EE11,Distances[[#This Row],[Colonne117]]+1)</f>
        <v>50</v>
      </c>
      <c r="EG11" s="17">
        <f>IF(Distances[[#This Row],[Colonne118]]=$G11,EF11,Distances[[#This Row],[Colonne118]]+1)</f>
        <v>50</v>
      </c>
      <c r="EH11" s="17">
        <f>IF(Distances[[#This Row],[Colonne119]]=$G11,EG11,Distances[[#This Row],[Colonne119]]+1)</f>
        <v>50</v>
      </c>
      <c r="EI11" s="17">
        <f>IF(Distances[[#This Row],[Colonne120]]=$G11,EH11,Distances[[#This Row],[Colonne120]]+1)</f>
        <v>50</v>
      </c>
      <c r="EJ11" s="17">
        <f>IF(Distances[[#This Row],[Colonne121]]=$G11,EI11,Distances[[#This Row],[Colonne121]]+1)</f>
        <v>50</v>
      </c>
      <c r="EK11" s="17">
        <f>IF(Distances[[#This Row],[Colonne122]]=$G11,EJ11,Distances[[#This Row],[Colonne122]]+1)</f>
        <v>50</v>
      </c>
      <c r="EL11" s="17">
        <f>IF(Distances[[#This Row],[Colonne123]]=$G11,EK11,Distances[[#This Row],[Colonne123]]+1)</f>
        <v>50</v>
      </c>
      <c r="EM11" s="17">
        <f>IF(Distances[[#This Row],[Colonne124]]=$G11,EL11,Distances[[#This Row],[Colonne124]]+1)</f>
        <v>50</v>
      </c>
      <c r="EN11" s="17">
        <f>IF(Distances[[#This Row],[Colonne125]]=$G11,EM11,Distances[[#This Row],[Colonne125]]+1)</f>
        <v>50</v>
      </c>
      <c r="EO11" s="17">
        <f>IF(Distances[[#This Row],[Colonne126]]=$G11,EN11,Distances[[#This Row],[Colonne126]]+1)</f>
        <v>50</v>
      </c>
      <c r="EP11" s="17">
        <f>IF(Distances[[#This Row],[Colonne127]]=$G11,EO11,Distances[[#This Row],[Colonne127]]+1)</f>
        <v>50</v>
      </c>
      <c r="EQ11" s="17">
        <f>IF(Distances[[#This Row],[Colonne128]]=$G11,EP11,Distances[[#This Row],[Colonne128]]+1)</f>
        <v>50</v>
      </c>
      <c r="ER11" s="17">
        <f>IF(Distances[[#This Row],[Colonne129]]=$G11,EQ11,Distances[[#This Row],[Colonne129]]+1)</f>
        <v>50</v>
      </c>
      <c r="ES11" s="17">
        <f>IF(Distances[[#This Row],[Colonne130]]=$G11,ER11,Distances[[#This Row],[Colonne130]]+1)</f>
        <v>50</v>
      </c>
      <c r="ET11" s="17">
        <f>IF(Distances[[#This Row],[Colonne131]]=$G11,ES11,Distances[[#This Row],[Colonne131]]+1)</f>
        <v>50</v>
      </c>
      <c r="EU11" s="17">
        <f>IF(Distances[[#This Row],[Colonne132]]=$G11,ET11,Distances[[#This Row],[Colonne132]]+1)</f>
        <v>50</v>
      </c>
      <c r="EV11" s="17">
        <f>IF(Distances[[#This Row],[Colonne133]]=$G11,EU11,Distances[[#This Row],[Colonne133]]+1)</f>
        <v>50</v>
      </c>
      <c r="EW11" s="17">
        <f>IF(Distances[[#This Row],[Colonne134]]=$G11,EV11,Distances[[#This Row],[Colonne134]]+1)</f>
        <v>50</v>
      </c>
      <c r="EX11" s="17">
        <f>IF(Distances[[#This Row],[Colonne135]]=$G11,EW11,Distances[[#This Row],[Colonne135]]+1)</f>
        <v>50</v>
      </c>
      <c r="EY11" s="17">
        <f>IF(Distances[[#This Row],[Colonne136]]=$G11,EX11,Distances[[#This Row],[Colonne136]]+1)</f>
        <v>50</v>
      </c>
      <c r="EZ11" s="17">
        <f>IF(Distances[[#This Row],[Colonne137]]=$G11,EY11,Distances[[#This Row],[Colonne137]]+1)</f>
        <v>50</v>
      </c>
      <c r="FA11" s="17">
        <f>IF(Distances[[#This Row],[Colonne138]]=$G11,EZ11,Distances[[#This Row],[Colonne138]]+1)</f>
        <v>50</v>
      </c>
      <c r="FB11" s="17">
        <f>IF(Distances[[#This Row],[Colonne139]]=$G11,FA11,Distances[[#This Row],[Colonne139]]+1)</f>
        <v>50</v>
      </c>
      <c r="FC11" s="17">
        <f>IF(Distances[[#This Row],[Colonne140]]=$G11,FB11,Distances[[#This Row],[Colonne140]]+1)</f>
        <v>50</v>
      </c>
      <c r="FD11" s="17">
        <f>IF(Distances[[#This Row],[Colonne141]]=$G11,FC11,Distances[[#This Row],[Colonne141]]+1)</f>
        <v>50</v>
      </c>
      <c r="FE11" s="17">
        <f>IF(Distances[[#This Row],[Colonne142]]=$G11,FD11,Distances[[#This Row],[Colonne142]]+1)</f>
        <v>50</v>
      </c>
      <c r="FF11" s="17">
        <f>IF(Distances[[#This Row],[Colonne143]]=$G11,FE11,Distances[[#This Row],[Colonne143]]+1)</f>
        <v>50</v>
      </c>
      <c r="FG11" s="17">
        <f>IF(Distances[[#This Row],[Colonne144]]=$G11,FF11,Distances[[#This Row],[Colonne144]]+1)</f>
        <v>50</v>
      </c>
      <c r="FH11" s="17">
        <f>IF(Distances[[#This Row],[Colonne145]]=$G11,FG11,Distances[[#This Row],[Colonne145]]+1)</f>
        <v>50</v>
      </c>
      <c r="FI11" s="17">
        <f>IF(Distances[[#This Row],[Colonne146]]=$G11,FH11,Distances[[#This Row],[Colonne146]]+1)</f>
        <v>50</v>
      </c>
      <c r="FJ11" s="17">
        <f>IF(Distances[[#This Row],[Colonne147]]=$G11,FI11,Distances[[#This Row],[Colonne147]]+1)</f>
        <v>50</v>
      </c>
      <c r="FK11" s="17">
        <f>IF(Distances[[#This Row],[Colonne148]]=$G11,FJ11,Distances[[#This Row],[Colonne148]]+1)</f>
        <v>50</v>
      </c>
      <c r="FL11" s="17">
        <f>IF(Distances[[#This Row],[Colonne149]]=$G11,FK11,Distances[[#This Row],[Colonne149]]+1)</f>
        <v>50</v>
      </c>
      <c r="FM11" s="17">
        <f>IF(Distances[[#This Row],[Colonne150]]=$G11,FL11,Distances[[#This Row],[Colonne150]]+1)</f>
        <v>50</v>
      </c>
      <c r="FN11" s="17">
        <f>IF(Distances[[#This Row],[Colonne151]]=$G11,FM11,Distances[[#This Row],[Colonne151]]+1)</f>
        <v>50</v>
      </c>
      <c r="FO11" s="17">
        <f>IF(Distances[[#This Row],[Colonne152]]=$G11,FN11,Distances[[#This Row],[Colonne152]]+1)</f>
        <v>50</v>
      </c>
      <c r="FP11" s="17">
        <f>IF(Distances[[#This Row],[Colonne153]]=$G11,FO11,Distances[[#This Row],[Colonne153]]+1)</f>
        <v>50</v>
      </c>
      <c r="FQ11" s="17">
        <f>IF(Distances[[#This Row],[Colonne154]]=$G11,FP11,Distances[[#This Row],[Colonne154]]+1)</f>
        <v>50</v>
      </c>
      <c r="FR11" s="17">
        <f>IF(Distances[[#This Row],[Colonne155]]=$G11,FQ11,Distances[[#This Row],[Colonne155]]+1)</f>
        <v>50</v>
      </c>
      <c r="FS11" s="17">
        <f>IF(Distances[[#This Row],[Colonne156]]=$G11,FR11,Distances[[#This Row],[Colonne156]]+1)</f>
        <v>50</v>
      </c>
      <c r="FT11" s="17">
        <f>IF(Distances[[#This Row],[Colonne157]]=$G11,FS11,Distances[[#This Row],[Colonne157]]+1)</f>
        <v>50</v>
      </c>
      <c r="FU11" s="17">
        <f>IF(Distances[[#This Row],[Colonne158]]=$G11,FT11,Distances[[#This Row],[Colonne158]]+1)</f>
        <v>50</v>
      </c>
      <c r="FV11" s="17">
        <f>IF(Distances[[#This Row],[Colonne159]]=$G11,FU11,Distances[[#This Row],[Colonne159]]+1)</f>
        <v>50</v>
      </c>
      <c r="FW11" s="17">
        <f>IF(Distances[[#This Row],[Colonne160]]=$G11,FV11,Distances[[#This Row],[Colonne160]]+1)</f>
        <v>50</v>
      </c>
      <c r="FX11" s="17">
        <f>IF(Distances[[#This Row],[Colonne161]]=$G11,FW11,Distances[[#This Row],[Colonne161]]+1)</f>
        <v>50</v>
      </c>
      <c r="FY11" s="17">
        <f>IF(Distances[[#This Row],[Colonne162]]=$G11,FX11,Distances[[#This Row],[Colonne162]]+1)</f>
        <v>50</v>
      </c>
      <c r="FZ11" s="17">
        <f>IF(Distances[[#This Row],[Colonne163]]=$G11,FY11,Distances[[#This Row],[Colonne163]]+1)</f>
        <v>50</v>
      </c>
      <c r="GA11" s="17">
        <f>IF(Distances[[#This Row],[Colonne164]]=$G11,FZ11,Distances[[#This Row],[Colonne164]]+1)</f>
        <v>50</v>
      </c>
      <c r="GB11" s="17">
        <f>IF(Distances[[#This Row],[Colonne165]]=$G11,GA11,Distances[[#This Row],[Colonne165]]+1)</f>
        <v>50</v>
      </c>
      <c r="GC11" s="17">
        <f>IF(Distances[[#This Row],[Colonne166]]=$G11,GB11,Distances[[#This Row],[Colonne166]]+1)</f>
        <v>50</v>
      </c>
      <c r="GD11" s="17">
        <f>IF(Distances[[#This Row],[Colonne167]]=$G11,GC11,Distances[[#This Row],[Colonne167]]+1)</f>
        <v>50</v>
      </c>
      <c r="GE11" s="17">
        <f>IF(Distances[[#This Row],[Colonne168]]=$G11,GD11,Distances[[#This Row],[Colonne168]]+1)</f>
        <v>50</v>
      </c>
      <c r="GF11" s="17">
        <f>IF(Distances[[#This Row],[Colonne169]]=$G11,GE11,Distances[[#This Row],[Colonne169]]+1)</f>
        <v>50</v>
      </c>
      <c r="GG11" s="17">
        <f>IF(Distances[[#This Row],[Colonne170]]=$G11,GF11,Distances[[#This Row],[Colonne170]]+1)</f>
        <v>50</v>
      </c>
      <c r="GH11" s="17">
        <f>IF(Distances[[#This Row],[Colonne171]]=$G11,GG11,Distances[[#This Row],[Colonne171]]+1)</f>
        <v>50</v>
      </c>
      <c r="GI11" s="17">
        <f>IF(Distances[[#This Row],[Colonne172]]=$G11,GH11,Distances[[#This Row],[Colonne172]]+1)</f>
        <v>50</v>
      </c>
      <c r="GJ11" s="17">
        <f>IF(Distances[[#This Row],[Colonne173]]=$G11,GI11,Distances[[#This Row],[Colonne173]]+1)</f>
        <v>50</v>
      </c>
      <c r="GK11" s="17">
        <f>IF(Distances[[#This Row],[Colonne174]]=$G11,GJ11,Distances[[#This Row],[Colonne174]]+1)</f>
        <v>50</v>
      </c>
      <c r="GL11" s="17">
        <f>IF(Distances[[#This Row],[Colonne175]]=$G11,GK11,Distances[[#This Row],[Colonne175]]+1)</f>
        <v>50</v>
      </c>
      <c r="GM11" s="17">
        <f>IF(Distances[[#This Row],[Colonne176]]=$G11,GL11,Distances[[#This Row],[Colonne176]]+1)</f>
        <v>50</v>
      </c>
      <c r="GN11" s="17">
        <f>IF(Distances[[#This Row],[Colonne177]]=$G11,GM11,Distances[[#This Row],[Colonne177]]+1)</f>
        <v>50</v>
      </c>
      <c r="GO11" s="17">
        <f>IF(Distances[[#This Row],[Colonne178]]=$G11,GN11,Distances[[#This Row],[Colonne178]]+1)</f>
        <v>50</v>
      </c>
      <c r="GP11" s="17">
        <f>IF(Distances[[#This Row],[Colonne179]]=$G11,GO11,Distances[[#This Row],[Colonne179]]+1)</f>
        <v>50</v>
      </c>
      <c r="GQ11" s="17">
        <f>IF(Distances[[#This Row],[Colonne180]]=$G11,GP11,Distances[[#This Row],[Colonne180]]+1)</f>
        <v>50</v>
      </c>
      <c r="GR11" s="17">
        <f>IF(Distances[[#This Row],[Colonne181]]=$G11,GQ11,Distances[[#This Row],[Colonne181]]+1)</f>
        <v>50</v>
      </c>
      <c r="GS11" s="17">
        <f>IF(Distances[[#This Row],[Colonne182]]=$G11,GR11,Distances[[#This Row],[Colonne182]]+1)</f>
        <v>50</v>
      </c>
      <c r="GT11" s="17">
        <f>IF(Distances[[#This Row],[Colonne183]]=$G11,GS11,Distances[[#This Row],[Colonne183]]+1)</f>
        <v>50</v>
      </c>
      <c r="GU11" s="17">
        <f>IF(Distances[[#This Row],[Colonne184]]=$G11,GT11,Distances[[#This Row],[Colonne184]]+1)</f>
        <v>50</v>
      </c>
      <c r="GV11" s="17">
        <f>IF(Distances[[#This Row],[Colonne185]]=$G11,GU11,Distances[[#This Row],[Colonne185]]+1)</f>
        <v>50</v>
      </c>
      <c r="GW11" s="17">
        <f>IF(Distances[[#This Row],[Colonne186]]=$G11,GV11,Distances[[#This Row],[Colonne186]]+1)</f>
        <v>50</v>
      </c>
      <c r="GX11" s="17">
        <f>IF(Distances[[#This Row],[Colonne187]]=$G11,GW11,Distances[[#This Row],[Colonne187]]+1)</f>
        <v>50</v>
      </c>
      <c r="GY11" s="17">
        <f>IF(Distances[[#This Row],[Colonne188]]=$G11,GX11,Distances[[#This Row],[Colonne188]]+1)</f>
        <v>50</v>
      </c>
      <c r="GZ11" s="17">
        <f>IF(Distances[[#This Row],[Colonne189]]=$G11,GY11,Distances[[#This Row],[Colonne189]]+1)</f>
        <v>50</v>
      </c>
      <c r="HA11" s="17">
        <f>IF(Distances[[#This Row],[Colonne190]]=$G11,GZ11,Distances[[#This Row],[Colonne190]]+1)</f>
        <v>50</v>
      </c>
      <c r="HB11" s="17">
        <f>IF(Distances[[#This Row],[Colonne191]]=$G11,HA11,Distances[[#This Row],[Colonne191]]+1)</f>
        <v>50</v>
      </c>
      <c r="HC11" s="17">
        <f>IF(Distances[[#This Row],[Colonne192]]=$G11,HB11,Distances[[#This Row],[Colonne192]]+1)</f>
        <v>50</v>
      </c>
      <c r="HD11" s="17">
        <f>IF(Distances[[#This Row],[Colonne193]]=$G11,HC11,Distances[[#This Row],[Colonne193]]+1)</f>
        <v>50</v>
      </c>
      <c r="HE11" s="17">
        <f>IF(Distances[[#This Row],[Colonne194]]=$G11,HD11,Distances[[#This Row],[Colonne194]]+1)</f>
        <v>50</v>
      </c>
      <c r="HF11" s="17">
        <f>IF(Distances[[#This Row],[Colonne195]]=$G11,HE11,Distances[[#This Row],[Colonne195]]+1)</f>
        <v>50</v>
      </c>
      <c r="HG11" s="17">
        <f>IF(Distances[[#This Row],[Colonne196]]=$G11,HF11,Distances[[#This Row],[Colonne196]]+1)</f>
        <v>50</v>
      </c>
      <c r="HH11" s="17">
        <f>IF(Distances[[#This Row],[Colonne197]]=$G11,HG11,Distances[[#This Row],[Colonne197]]+1)</f>
        <v>50</v>
      </c>
      <c r="HI11" s="17">
        <f>IF(Distances[[#This Row],[Colonne198]]=$G11,HH11,Distances[[#This Row],[Colonne198]]+1)</f>
        <v>50</v>
      </c>
      <c r="HJ11" s="17">
        <f>IF(Distances[[#This Row],[Colonne199]]=$G11,HI11,Distances[[#This Row],[Colonne199]]+1)</f>
        <v>50</v>
      </c>
      <c r="HK11" s="17">
        <f>IF(Distances[[#This Row],[Colonne200]]=$G11,HJ11,Distances[[#This Row],[Colonne200]]+1)</f>
        <v>50</v>
      </c>
      <c r="HL11" s="17">
        <f>IF(Distances[[#This Row],[Colonne201]]=$G11,HK11,Distances[[#This Row],[Colonne201]]+1)</f>
        <v>50</v>
      </c>
      <c r="HM11" s="17">
        <f>IF(Distances[[#This Row],[Colonne202]]=$G11,HL11,Distances[[#This Row],[Colonne202]]+1)</f>
        <v>50</v>
      </c>
      <c r="HN11" s="17">
        <f>IF(Distances[[#This Row],[Colonne203]]=$G11,HM11,Distances[[#This Row],[Colonne203]]+1)</f>
        <v>50</v>
      </c>
      <c r="HO11" s="17">
        <f>IF(Distances[[#This Row],[Colonne204]]=$G11,HN11,Distances[[#This Row],[Colonne204]]+1)</f>
        <v>50</v>
      </c>
      <c r="HP11" s="17">
        <f>IF(Distances[[#This Row],[Colonne205]]=$G11,HO11,Distances[[#This Row],[Colonne205]]+1)</f>
        <v>50</v>
      </c>
      <c r="HQ11" s="17">
        <f>IF(Distances[[#This Row],[Colonne206]]=$G11,HP11,Distances[[#This Row],[Colonne206]]+1)</f>
        <v>50</v>
      </c>
      <c r="HR11" s="17">
        <f>IF(Distances[[#This Row],[Colonne207]]=$G11,HQ11,Distances[[#This Row],[Colonne207]]+1)</f>
        <v>50</v>
      </c>
      <c r="HS11" s="17">
        <f>IF(Distances[[#This Row],[Colonne208]]=$G11,HR11,Distances[[#This Row],[Colonne208]]+1)</f>
        <v>50</v>
      </c>
      <c r="HT11" s="17">
        <f>IF(Distances[[#This Row],[Colonne209]]=$G11,HS11,Distances[[#This Row],[Colonne209]]+1)</f>
        <v>50</v>
      </c>
      <c r="HU11" s="17">
        <f>IF(Distances[[#This Row],[Colonne210]]=$G11,HT11,Distances[[#This Row],[Colonne210]]+1)</f>
        <v>50</v>
      </c>
      <c r="HV11" s="17">
        <f>IF(Distances[[#This Row],[Colonne211]]=$G11,HU11,Distances[[#This Row],[Colonne211]]+1)</f>
        <v>50</v>
      </c>
      <c r="HW11" s="17">
        <f>IF(Distances[[#This Row],[Colonne212]]=$G11,HV11,Distances[[#This Row],[Colonne212]]+1)</f>
        <v>50</v>
      </c>
      <c r="HX11" s="17">
        <f>IF(Distances[[#This Row],[Colonne213]]=$G11,HW11,Distances[[#This Row],[Colonne213]]+1)</f>
        <v>50</v>
      </c>
      <c r="HY11" s="17">
        <f>IF(Distances[[#This Row],[Colonne214]]=$G11,HX11,Distances[[#This Row],[Colonne214]]+1)</f>
        <v>50</v>
      </c>
      <c r="HZ11" s="17">
        <f>IF(Distances[[#This Row],[Colonne215]]=$G11,HY11,Distances[[#This Row],[Colonne215]]+1)</f>
        <v>50</v>
      </c>
      <c r="IA11" s="17">
        <f>IF(Distances[[#This Row],[Colonne216]]=$G11,HZ11,Distances[[#This Row],[Colonne216]]+1)</f>
        <v>50</v>
      </c>
      <c r="IB11" s="17">
        <f>IF(Distances[[#This Row],[Colonne217]]=$G11,IA11,Distances[[#This Row],[Colonne217]]+1)</f>
        <v>50</v>
      </c>
      <c r="IC11" s="17">
        <f>IF(Distances[[#This Row],[Colonne218]]=$G11,IB11,Distances[[#This Row],[Colonne218]]+1)</f>
        <v>50</v>
      </c>
      <c r="ID11" s="17">
        <f>IF(Distances[[#This Row],[Colonne219]]=$G11,IC11,Distances[[#This Row],[Colonne219]]+1)</f>
        <v>50</v>
      </c>
      <c r="IE11" s="17">
        <f>IF(Distances[[#This Row],[Colonne220]]=$G11,ID11,Distances[[#This Row],[Colonne220]]+1)</f>
        <v>50</v>
      </c>
      <c r="IF11" s="17">
        <f>IF(Distances[[#This Row],[Colonne221]]=$G11,IE11,Distances[[#This Row],[Colonne221]]+1)</f>
        <v>50</v>
      </c>
      <c r="IG11" s="17">
        <f>IF(Distances[[#This Row],[Colonne222]]=$G11,IF11,Distances[[#This Row],[Colonne222]]+1)</f>
        <v>50</v>
      </c>
      <c r="IH11" s="17">
        <f>IF(Distances[[#This Row],[Colonne223]]=$G11,IG11,Distances[[#This Row],[Colonne223]]+1)</f>
        <v>50</v>
      </c>
      <c r="II11" s="17">
        <f>IF(Distances[[#This Row],[Colonne224]]=$G11,IH11,Distances[[#This Row],[Colonne224]]+1)</f>
        <v>50</v>
      </c>
      <c r="IJ11" s="17">
        <f>IF(Distances[[#This Row],[Colonne225]]=$G11,II11,Distances[[#This Row],[Colonne225]]+1)</f>
        <v>50</v>
      </c>
      <c r="IK11" s="17">
        <f>IF(Distances[[#This Row],[Colonne226]]=$G11,IJ11,Distances[[#This Row],[Colonne226]]+1)</f>
        <v>50</v>
      </c>
      <c r="IL11" s="17">
        <f>IF(Distances[[#This Row],[Colonne227]]=$G11,IK11,Distances[[#This Row],[Colonne227]]+1)</f>
        <v>50</v>
      </c>
      <c r="IM11" s="17">
        <f>IF(Distances[[#This Row],[Colonne228]]=$G11,IL11,Distances[[#This Row],[Colonne228]]+1)</f>
        <v>50</v>
      </c>
      <c r="IN11" s="17">
        <f>IF(Distances[[#This Row],[Colonne229]]=$G11,IM11,Distances[[#This Row],[Colonne229]]+1)</f>
        <v>50</v>
      </c>
      <c r="IO11" s="17">
        <f>IF(Distances[[#This Row],[Colonne230]]=$G11,IN11,Distances[[#This Row],[Colonne230]]+1)</f>
        <v>50</v>
      </c>
      <c r="IP11" s="17">
        <f>IF(Distances[[#This Row],[Colonne231]]=$G11,IO11,Distances[[#This Row],[Colonne231]]+1)</f>
        <v>50</v>
      </c>
      <c r="IQ11" s="17">
        <f>IF(Distances[[#This Row],[Colonne232]]=$G11,IP11,Distances[[#This Row],[Colonne232]]+1)</f>
        <v>50</v>
      </c>
      <c r="IR11" s="17">
        <f>IF(Distances[[#This Row],[Colonne233]]=$G11,IQ11,Distances[[#This Row],[Colonne233]]+1)</f>
        <v>50</v>
      </c>
      <c r="IS11" s="17">
        <f>IF(Distances[[#This Row],[Colonne234]]=$G11,IR11,Distances[[#This Row],[Colonne234]]+1)</f>
        <v>50</v>
      </c>
      <c r="IT11" s="17">
        <f>IF(Distances[[#This Row],[Colonne235]]=$G11,IS11,Distances[[#This Row],[Colonne235]]+1)</f>
        <v>50</v>
      </c>
      <c r="IU11" s="17">
        <f>IF(Distances[[#This Row],[Colonne236]]=$G11,IT11,Distances[[#This Row],[Colonne236]]+1)</f>
        <v>50</v>
      </c>
      <c r="IV11" s="17">
        <f>IF(Distances[[#This Row],[Colonne237]]=$G11,IU11,Distances[[#This Row],[Colonne237]]+1)</f>
        <v>50</v>
      </c>
      <c r="IW11" s="17">
        <f>IF(Distances[[#This Row],[Colonne238]]=$G11,IV11,Distances[[#This Row],[Colonne238]]+1)</f>
        <v>50</v>
      </c>
      <c r="IX11" s="17">
        <f>IF(Distances[[#This Row],[Colonne239]]=$G11,IW11,Distances[[#This Row],[Colonne239]]+1)</f>
        <v>50</v>
      </c>
      <c r="IY11" s="17">
        <f>IF(Distances[[#This Row],[Colonne240]]=$G11,IX11,Distances[[#This Row],[Colonne240]]+1)</f>
        <v>50</v>
      </c>
      <c r="IZ11" s="17">
        <f>IF(Distances[[#This Row],[Colonne241]]=$G11,IY11,Distances[[#This Row],[Colonne241]]+1)</f>
        <v>50</v>
      </c>
      <c r="JA11" s="17">
        <f>IF(Distances[[#This Row],[Colonne242]]=$G11,IZ11,Distances[[#This Row],[Colonne242]]+1)</f>
        <v>50</v>
      </c>
      <c r="JB11" s="17">
        <f>IF(Distances[[#This Row],[Colonne243]]=$G11,JA11,Distances[[#This Row],[Colonne243]]+1)</f>
        <v>50</v>
      </c>
      <c r="JC11" s="17">
        <f>IF(Distances[[#This Row],[Colonne244]]=$G11,JB11,Distances[[#This Row],[Colonne244]]+1)</f>
        <v>50</v>
      </c>
      <c r="JD11" s="17">
        <f>IF(Distances[[#This Row],[Colonne245]]=$G11,JC11,Distances[[#This Row],[Colonne245]]+1)</f>
        <v>50</v>
      </c>
      <c r="JE11" s="17">
        <f>IF(Distances[[#This Row],[Colonne246]]=$G11,JD11,Distances[[#This Row],[Colonne246]]+1)</f>
        <v>50</v>
      </c>
      <c r="JF11" s="17">
        <f>IF(Distances[[#This Row],[Colonne247]]=$G11,JE11,Distances[[#This Row],[Colonne247]]+1)</f>
        <v>50</v>
      </c>
      <c r="JG11" s="17">
        <f>IF(Distances[[#This Row],[Colonne248]]=$G11,JF11,Distances[[#This Row],[Colonne248]]+1)</f>
        <v>50</v>
      </c>
      <c r="JH11" s="17">
        <f>IF(Distances[[#This Row],[Colonne249]]=$G11,JG11,Distances[[#This Row],[Colonne249]]+1)</f>
        <v>50</v>
      </c>
      <c r="JI11" s="17">
        <f>IF(Distances[[#This Row],[Colonne250]]=$G11,JH11,Distances[[#This Row],[Colonne250]]+1)</f>
        <v>50</v>
      </c>
      <c r="JJ11" s="17">
        <f>IF(Distances[[#This Row],[Colonne251]]=$G11,JI11,Distances[[#This Row],[Colonne251]]+1)</f>
        <v>50</v>
      </c>
      <c r="JK11" s="17">
        <f>IF(Distances[[#This Row],[Colonne252]]=$G11,JJ11,Distances[[#This Row],[Colonne252]]+1)</f>
        <v>50</v>
      </c>
      <c r="JL11" s="17">
        <f>IF(Distances[[#This Row],[Colonne253]]=$G11,JK11,Distances[[#This Row],[Colonne253]]+1)</f>
        <v>50</v>
      </c>
      <c r="JM11" s="17">
        <f>IF(Distances[[#This Row],[Colonne254]]=$G11,JL11,Distances[[#This Row],[Colonne254]]+1)</f>
        <v>50</v>
      </c>
      <c r="JN11" s="17">
        <f>IF(Distances[[#This Row],[Colonne255]]=$G11,JM11,Distances[[#This Row],[Colonne255]]+1)</f>
        <v>50</v>
      </c>
      <c r="JO11" s="17">
        <f>IF(Distances[[#This Row],[Colonne256]]=$G11,JN11,Distances[[#This Row],[Colonne256]]+1)</f>
        <v>50</v>
      </c>
      <c r="JP11" s="17">
        <f>IF(Distances[[#This Row],[Colonne257]]=$G11,JO11,Distances[[#This Row],[Colonne257]]+1)</f>
        <v>50</v>
      </c>
      <c r="JQ11" s="17">
        <f>IF(Distances[[#This Row],[Colonne258]]=$G11,JP11,Distances[[#This Row],[Colonne258]]+1)</f>
        <v>50</v>
      </c>
      <c r="JR11" s="17">
        <f>IF(Distances[[#This Row],[Colonne259]]=$G11,JQ11,Distances[[#This Row],[Colonne259]]+1)</f>
        <v>50</v>
      </c>
      <c r="JS11" s="17">
        <f>IF(Distances[[#This Row],[Colonne260]]=$G11,JR11,Distances[[#This Row],[Colonne260]]+1)</f>
        <v>50</v>
      </c>
      <c r="JT11" s="17">
        <f>IF(Distances[[#This Row],[Colonne261]]=$G11,JS11,Distances[[#This Row],[Colonne261]]+1)</f>
        <v>50</v>
      </c>
      <c r="JU11" s="17">
        <f>IF(Distances[[#This Row],[Colonne262]]=$G11,JT11,Distances[[#This Row],[Colonne262]]+1)</f>
        <v>50</v>
      </c>
      <c r="JV11" s="17">
        <f>IF(Distances[[#This Row],[Colonne263]]=$G11,JU11,Distances[[#This Row],[Colonne263]]+1)</f>
        <v>50</v>
      </c>
      <c r="JW11" s="17">
        <f>IF(Distances[[#This Row],[Colonne264]]=$G11,JV11,Distances[[#This Row],[Colonne264]]+1)</f>
        <v>50</v>
      </c>
      <c r="JX11" s="17">
        <f>IF(Distances[[#This Row],[Colonne265]]=$G11,JW11,Distances[[#This Row],[Colonne265]]+1)</f>
        <v>50</v>
      </c>
      <c r="JY11" s="17">
        <f>IF(Distances[[#This Row],[Colonne266]]=$G11,JX11,Distances[[#This Row],[Colonne266]]+1)</f>
        <v>50</v>
      </c>
      <c r="JZ11" s="17">
        <f>IF(Distances[[#This Row],[Colonne267]]=$G11,JY11,Distances[[#This Row],[Colonne267]]+1)</f>
        <v>50</v>
      </c>
      <c r="KA11" s="17">
        <f>IF(Distances[[#This Row],[Colonne268]]=$G11,JZ11,Distances[[#This Row],[Colonne268]]+1)</f>
        <v>50</v>
      </c>
      <c r="KB11" s="17">
        <f>IF(Distances[[#This Row],[Colonne269]]=$G11,KA11,Distances[[#This Row],[Colonne269]]+1)</f>
        <v>50</v>
      </c>
      <c r="KC11" s="17">
        <f>IF(Distances[[#This Row],[Colonne270]]=$G11,KB11,Distances[[#This Row],[Colonne270]]+1)</f>
        <v>50</v>
      </c>
      <c r="KD11" s="17">
        <f>IF(Distances[[#This Row],[Colonne271]]=$G11,KC11,Distances[[#This Row],[Colonne271]]+1)</f>
        <v>50</v>
      </c>
      <c r="KE11" s="17">
        <f>IF(Distances[[#This Row],[Colonne272]]=$G11,KD11,Distances[[#This Row],[Colonne272]]+1)</f>
        <v>50</v>
      </c>
      <c r="KF11" s="17">
        <f>IF(Distances[[#This Row],[Colonne273]]=$G11,KE11,Distances[[#This Row],[Colonne273]]+1)</f>
        <v>50</v>
      </c>
      <c r="KG11" s="17">
        <f>IF(Distances[[#This Row],[Colonne274]]=$G11,KF11,Distances[[#This Row],[Colonne274]]+1)</f>
        <v>50</v>
      </c>
      <c r="KH11" s="17">
        <f>IF(Distances[[#This Row],[Colonne275]]=$G11,KG11,Distances[[#This Row],[Colonne275]]+1)</f>
        <v>50</v>
      </c>
      <c r="KI11" s="17">
        <f>IF(Distances[[#This Row],[Colonne276]]=$G11,KH11,Distances[[#This Row],[Colonne276]]+1)</f>
        <v>50</v>
      </c>
      <c r="KJ11" s="17">
        <f>IF(Distances[[#This Row],[Colonne277]]=$G11,KI11,Distances[[#This Row],[Colonne277]]+1)</f>
        <v>50</v>
      </c>
      <c r="KK11" s="17">
        <f>IF(Distances[[#This Row],[Colonne278]]=$G11,KJ11,Distances[[#This Row],[Colonne278]]+1)</f>
        <v>50</v>
      </c>
      <c r="KL11" s="17">
        <f>IF(Distances[[#This Row],[Colonne279]]=$G11,KK11,Distances[[#This Row],[Colonne279]]+1)</f>
        <v>50</v>
      </c>
      <c r="KM11" s="17">
        <f>IF(Distances[[#This Row],[Colonne280]]=$G11,KL11,Distances[[#This Row],[Colonne280]]+1)</f>
        <v>50</v>
      </c>
      <c r="KN11" s="17">
        <f>IF(Distances[[#This Row],[Colonne281]]=$G11,KM11,Distances[[#This Row],[Colonne281]]+1)</f>
        <v>50</v>
      </c>
      <c r="KO11" s="17">
        <f>IF(Distances[[#This Row],[Colonne282]]=$G11,KN11,Distances[[#This Row],[Colonne282]]+1)</f>
        <v>50</v>
      </c>
      <c r="KP11" s="17">
        <f>IF(Distances[[#This Row],[Colonne283]]=$G11,KO11,Distances[[#This Row],[Colonne283]]+1)</f>
        <v>50</v>
      </c>
      <c r="KQ11" s="17">
        <f>IF(Distances[[#This Row],[Colonne284]]=$G11,KP11,Distances[[#This Row],[Colonne284]]+1)</f>
        <v>50</v>
      </c>
      <c r="KR11" s="17">
        <f>IF(Distances[[#This Row],[Colonne285]]=$G11,KQ11,Distances[[#This Row],[Colonne285]]+1)</f>
        <v>50</v>
      </c>
      <c r="KS11" s="17">
        <f>IF(Distances[[#This Row],[Colonne286]]=$G11,KR11,Distances[[#This Row],[Colonne286]]+1)</f>
        <v>50</v>
      </c>
      <c r="KT11" s="17">
        <f>IF(Distances[[#This Row],[Colonne287]]=$G11,KS11,Distances[[#This Row],[Colonne287]]+1)</f>
        <v>50</v>
      </c>
      <c r="KU11" s="17">
        <f>IF(Distances[[#This Row],[Colonne288]]=$G11,KT11,Distances[[#This Row],[Colonne288]]+1)</f>
        <v>50</v>
      </c>
      <c r="KV11" s="17">
        <f>IF(Distances[[#This Row],[Colonne289]]=$G11,KU11,Distances[[#This Row],[Colonne289]]+1)</f>
        <v>50</v>
      </c>
      <c r="KW11" s="17">
        <f>IF(Distances[[#This Row],[Colonne290]]=$G11,KV11,Distances[[#This Row],[Colonne290]]+1)</f>
        <v>50</v>
      </c>
      <c r="KX11" s="17">
        <f>IF(Distances[[#This Row],[Colonne291]]=$G11,KW11,Distances[[#This Row],[Colonne291]]+1)</f>
        <v>50</v>
      </c>
      <c r="KY11" s="17">
        <f>IF(Distances[[#This Row],[Colonne292]]=$G11,KX11,Distances[[#This Row],[Colonne292]]+1)</f>
        <v>50</v>
      </c>
      <c r="KZ11" s="17">
        <f>IF(Distances[[#This Row],[Colonne293]]=$G11,KY11,Distances[[#This Row],[Colonne293]]+1)</f>
        <v>50</v>
      </c>
      <c r="LA11" s="17">
        <f>IF(Distances[[#This Row],[Colonne294]]=$G11,KZ11,Distances[[#This Row],[Colonne294]]+1)</f>
        <v>50</v>
      </c>
      <c r="LB11" s="17">
        <f>IF(Distances[[#This Row],[Colonne295]]=$G11,LA11,Distances[[#This Row],[Colonne295]]+1)</f>
        <v>50</v>
      </c>
      <c r="LC11" s="17">
        <f>IF(Distances[[#This Row],[Colonne296]]=$G11,LB11,Distances[[#This Row],[Colonne296]]+1)</f>
        <v>50</v>
      </c>
      <c r="LD11" s="17">
        <f>IF(Distances[[#This Row],[Colonne297]]=$G11,LC11,Distances[[#This Row],[Colonne297]]+1)</f>
        <v>50</v>
      </c>
      <c r="LE11" s="17">
        <f>IF(Distances[[#This Row],[Colonne298]]=$G11,LD11,Distances[[#This Row],[Colonne298]]+1)</f>
        <v>50</v>
      </c>
      <c r="LF11" s="17">
        <f>IF(Distances[[#This Row],[Colonne299]]=$G11,LE11,Distances[[#This Row],[Colonne299]]+1)</f>
        <v>50</v>
      </c>
      <c r="LG11" s="17">
        <f>IF(Distances[[#This Row],[Colonne300]]=$G11,LF11,Distances[[#This Row],[Colonne300]]+1)</f>
        <v>50</v>
      </c>
      <c r="LH11" s="17">
        <f>IF(Distances[[#This Row],[Colonne301]]=$G11,LG11,Distances[[#This Row],[Colonne301]]+1)</f>
        <v>50</v>
      </c>
      <c r="LI11" s="17">
        <f>IF(Distances[[#This Row],[Colonne302]]=$G11,LH11,Distances[[#This Row],[Colonne302]]+1)</f>
        <v>50</v>
      </c>
      <c r="LJ11" s="17">
        <f>IF(Distances[[#This Row],[Colonne303]]=$G11,LI11,Distances[[#This Row],[Colonne303]]+1)</f>
        <v>50</v>
      </c>
      <c r="LK11" s="51"/>
      <c r="LL11" s="17">
        <f t="shared" ref="LL11:NW11" si="20">IF(LK11=$H11,LK11,LK11+1)</f>
        <v>1</v>
      </c>
      <c r="LM11" s="17">
        <f t="shared" si="20"/>
        <v>2</v>
      </c>
      <c r="LN11" s="17">
        <f t="shared" si="20"/>
        <v>3</v>
      </c>
      <c r="LO11" s="17">
        <f t="shared" si="20"/>
        <v>4</v>
      </c>
      <c r="LP11" s="17">
        <f t="shared" si="20"/>
        <v>5</v>
      </c>
      <c r="LQ11" s="17">
        <f t="shared" si="20"/>
        <v>6</v>
      </c>
      <c r="LR11" s="17">
        <f t="shared" si="20"/>
        <v>7</v>
      </c>
      <c r="LS11" s="17">
        <f t="shared" si="20"/>
        <v>8</v>
      </c>
      <c r="LT11" s="17">
        <f t="shared" si="20"/>
        <v>9</v>
      </c>
      <c r="LU11" s="17">
        <f t="shared" si="20"/>
        <v>10</v>
      </c>
      <c r="LV11" s="17">
        <f t="shared" si="20"/>
        <v>11</v>
      </c>
      <c r="LW11" s="17">
        <f t="shared" si="20"/>
        <v>12</v>
      </c>
      <c r="LX11" s="17">
        <f t="shared" si="20"/>
        <v>13</v>
      </c>
      <c r="LY11" s="17">
        <f t="shared" si="20"/>
        <v>14</v>
      </c>
      <c r="LZ11" s="17">
        <f t="shared" si="20"/>
        <v>15</v>
      </c>
      <c r="MA11" s="17">
        <f t="shared" si="20"/>
        <v>16</v>
      </c>
      <c r="MB11" s="17">
        <f t="shared" si="20"/>
        <v>17</v>
      </c>
      <c r="MC11" s="17">
        <f t="shared" si="20"/>
        <v>18</v>
      </c>
      <c r="MD11" s="17">
        <f t="shared" si="20"/>
        <v>19</v>
      </c>
      <c r="ME11" s="17">
        <f t="shared" si="20"/>
        <v>20</v>
      </c>
      <c r="MF11" s="17">
        <f t="shared" si="20"/>
        <v>21</v>
      </c>
      <c r="MG11" s="17">
        <f t="shared" si="20"/>
        <v>22</v>
      </c>
      <c r="MH11" s="17">
        <f t="shared" si="20"/>
        <v>23</v>
      </c>
      <c r="MI11" s="17">
        <f t="shared" si="20"/>
        <v>24</v>
      </c>
      <c r="MJ11" s="17">
        <f t="shared" si="20"/>
        <v>25</v>
      </c>
      <c r="MK11" s="17">
        <f t="shared" si="20"/>
        <v>26</v>
      </c>
      <c r="ML11" s="17">
        <f t="shared" si="20"/>
        <v>27</v>
      </c>
      <c r="MM11" s="17">
        <f t="shared" si="20"/>
        <v>28</v>
      </c>
      <c r="MN11" s="17">
        <f t="shared" si="20"/>
        <v>29</v>
      </c>
      <c r="MO11" s="17">
        <f t="shared" si="20"/>
        <v>30</v>
      </c>
      <c r="MP11" s="17">
        <f t="shared" si="20"/>
        <v>31</v>
      </c>
      <c r="MQ11" s="17">
        <f t="shared" si="20"/>
        <v>32</v>
      </c>
      <c r="MR11" s="17">
        <f t="shared" si="20"/>
        <v>33</v>
      </c>
      <c r="MS11" s="17">
        <f t="shared" si="20"/>
        <v>34</v>
      </c>
      <c r="MT11" s="17">
        <f t="shared" si="20"/>
        <v>35</v>
      </c>
      <c r="MU11" s="17">
        <f t="shared" si="20"/>
        <v>36</v>
      </c>
      <c r="MV11" s="17">
        <f t="shared" si="20"/>
        <v>37</v>
      </c>
      <c r="MW11" s="17">
        <f t="shared" si="20"/>
        <v>38</v>
      </c>
      <c r="MX11" s="17">
        <f t="shared" si="20"/>
        <v>39</v>
      </c>
      <c r="MY11" s="17">
        <f t="shared" si="20"/>
        <v>40</v>
      </c>
      <c r="MZ11" s="17">
        <f t="shared" si="20"/>
        <v>40</v>
      </c>
      <c r="NA11" s="17">
        <f t="shared" si="20"/>
        <v>40</v>
      </c>
      <c r="NB11" s="17">
        <f t="shared" si="20"/>
        <v>40</v>
      </c>
      <c r="NC11" s="17">
        <f t="shared" si="20"/>
        <v>40</v>
      </c>
      <c r="ND11" s="17">
        <f t="shared" si="20"/>
        <v>40</v>
      </c>
      <c r="NE11" s="17">
        <f t="shared" si="20"/>
        <v>40</v>
      </c>
      <c r="NF11" s="17">
        <f t="shared" si="20"/>
        <v>40</v>
      </c>
      <c r="NG11" s="17">
        <f t="shared" si="20"/>
        <v>40</v>
      </c>
      <c r="NH11" s="17">
        <f t="shared" si="20"/>
        <v>40</v>
      </c>
      <c r="NI11" s="17">
        <f t="shared" si="20"/>
        <v>40</v>
      </c>
      <c r="NJ11" s="17">
        <f t="shared" si="20"/>
        <v>40</v>
      </c>
      <c r="NK11" s="17">
        <f t="shared" si="20"/>
        <v>40</v>
      </c>
      <c r="NL11" s="17">
        <f t="shared" si="20"/>
        <v>40</v>
      </c>
      <c r="NM11" s="17">
        <f t="shared" si="20"/>
        <v>40</v>
      </c>
      <c r="NN11" s="17">
        <f t="shared" si="20"/>
        <v>40</v>
      </c>
      <c r="NO11" s="17">
        <f t="shared" si="20"/>
        <v>40</v>
      </c>
      <c r="NP11" s="17">
        <f t="shared" si="20"/>
        <v>40</v>
      </c>
      <c r="NQ11" s="17">
        <f t="shared" si="20"/>
        <v>40</v>
      </c>
      <c r="NR11" s="17">
        <f t="shared" si="20"/>
        <v>40</v>
      </c>
      <c r="NS11" s="17">
        <f t="shared" si="20"/>
        <v>40</v>
      </c>
      <c r="NT11" s="17">
        <f t="shared" si="20"/>
        <v>40</v>
      </c>
      <c r="NU11" s="17">
        <f t="shared" si="20"/>
        <v>40</v>
      </c>
      <c r="NV11" s="17">
        <f t="shared" si="20"/>
        <v>40</v>
      </c>
      <c r="NW11" s="17">
        <f t="shared" si="20"/>
        <v>40</v>
      </c>
      <c r="NX11" s="17">
        <f t="shared" ref="NX11:PG11" si="21">IF(NW11=$H11,NW11,NW11+1)</f>
        <v>40</v>
      </c>
      <c r="NY11" s="17">
        <f t="shared" si="21"/>
        <v>40</v>
      </c>
      <c r="NZ11" s="17">
        <f t="shared" si="21"/>
        <v>40</v>
      </c>
      <c r="OA11" s="17">
        <f t="shared" si="21"/>
        <v>40</v>
      </c>
      <c r="OB11" s="17">
        <f t="shared" si="21"/>
        <v>40</v>
      </c>
      <c r="OC11" s="17">
        <f t="shared" si="21"/>
        <v>40</v>
      </c>
      <c r="OD11" s="17">
        <f t="shared" si="21"/>
        <v>40</v>
      </c>
      <c r="OE11" s="17">
        <f t="shared" si="21"/>
        <v>40</v>
      </c>
      <c r="OF11" s="17">
        <f t="shared" si="21"/>
        <v>40</v>
      </c>
      <c r="OG11" s="17">
        <f t="shared" si="21"/>
        <v>40</v>
      </c>
      <c r="OH11" s="17">
        <f t="shared" si="21"/>
        <v>40</v>
      </c>
      <c r="OI11" s="17">
        <f t="shared" si="21"/>
        <v>40</v>
      </c>
      <c r="OJ11" s="17">
        <f t="shared" si="21"/>
        <v>40</v>
      </c>
      <c r="OK11" s="17">
        <f t="shared" si="21"/>
        <v>40</v>
      </c>
      <c r="OL11" s="17">
        <f t="shared" si="21"/>
        <v>40</v>
      </c>
      <c r="OM11" s="17">
        <f t="shared" si="21"/>
        <v>40</v>
      </c>
      <c r="ON11" s="17">
        <f t="shared" si="21"/>
        <v>40</v>
      </c>
      <c r="OO11" s="17">
        <f t="shared" si="21"/>
        <v>40</v>
      </c>
      <c r="OP11" s="17">
        <f t="shared" si="21"/>
        <v>40</v>
      </c>
      <c r="OQ11" s="17">
        <f t="shared" si="21"/>
        <v>40</v>
      </c>
      <c r="OR11" s="17">
        <f t="shared" si="21"/>
        <v>40</v>
      </c>
      <c r="OS11" s="17">
        <f t="shared" si="21"/>
        <v>40</v>
      </c>
      <c r="OT11" s="17">
        <f t="shared" si="21"/>
        <v>40</v>
      </c>
      <c r="OU11" s="17">
        <f t="shared" si="21"/>
        <v>40</v>
      </c>
      <c r="OV11" s="17">
        <f t="shared" si="21"/>
        <v>40</v>
      </c>
      <c r="OW11" s="17">
        <f t="shared" si="21"/>
        <v>40</v>
      </c>
      <c r="OX11" s="17">
        <f t="shared" si="21"/>
        <v>40</v>
      </c>
      <c r="OY11" s="17">
        <f t="shared" si="21"/>
        <v>40</v>
      </c>
      <c r="OZ11" s="17">
        <f t="shared" si="21"/>
        <v>40</v>
      </c>
      <c r="PA11" s="17">
        <f t="shared" si="21"/>
        <v>40</v>
      </c>
      <c r="PB11" s="17">
        <f t="shared" si="21"/>
        <v>40</v>
      </c>
      <c r="PC11" s="17">
        <f t="shared" si="21"/>
        <v>40</v>
      </c>
      <c r="PD11" s="17">
        <f t="shared" si="21"/>
        <v>40</v>
      </c>
      <c r="PE11" s="17">
        <f t="shared" si="21"/>
        <v>40</v>
      </c>
      <c r="PF11" s="17">
        <f t="shared" si="21"/>
        <v>40</v>
      </c>
      <c r="PG11" s="17">
        <f t="shared" si="21"/>
        <v>40</v>
      </c>
    </row>
    <row r="12" spans="1:423" x14ac:dyDescent="0.25">
      <c r="A12" s="8" t="s">
        <v>5509</v>
      </c>
      <c r="B12" s="9" t="s">
        <v>8498</v>
      </c>
      <c r="C12" s="9" t="str">
        <f t="shared" si="0"/>
        <v>LDames</v>
      </c>
      <c r="D12" s="1" t="str">
        <f t="shared" si="1"/>
        <v>Libre Dames</v>
      </c>
      <c r="E12" s="1" t="s">
        <v>8498</v>
      </c>
      <c r="F12" s="9" t="s">
        <v>5452</v>
      </c>
      <c r="G12" s="9">
        <v>150</v>
      </c>
      <c r="H12" s="9">
        <v>30</v>
      </c>
      <c r="I12" s="127">
        <v>2.8</v>
      </c>
      <c r="J12" s="30" t="s">
        <v>5511</v>
      </c>
      <c r="K12" s="281"/>
      <c r="L12" s="8">
        <v>1.2</v>
      </c>
      <c r="M12" s="9"/>
      <c r="N12" s="10"/>
      <c r="O12" s="269"/>
      <c r="P12" s="331"/>
      <c r="Q12" s="335"/>
      <c r="R12" s="128"/>
      <c r="S12" s="9"/>
      <c r="T12" s="10"/>
      <c r="U12" t="s">
        <v>5523</v>
      </c>
      <c r="V12" s="17">
        <v>0</v>
      </c>
      <c r="W12" s="17">
        <f>IF(Distances[[#This Row],[Colonne4]]=$G12,V12,Distances[[#This Row],[Colonne4]]+1)</f>
        <v>1</v>
      </c>
      <c r="X12" s="17">
        <f>IF(Distances[[#This Row],[Colonne5]]=$G12,W12,Distances[[#This Row],[Colonne5]]+1)</f>
        <v>2</v>
      </c>
      <c r="Y12" s="17">
        <f>IF(Distances[[#This Row],[Colonne6]]=$G12,X12,Distances[[#This Row],[Colonne6]]+1)</f>
        <v>3</v>
      </c>
      <c r="Z12" s="17">
        <f>IF(Distances[[#This Row],[Colonne7]]=$G12,Y12,Distances[[#This Row],[Colonne7]]+1)</f>
        <v>4</v>
      </c>
      <c r="AA12" s="17">
        <f>IF(Distances[[#This Row],[Colonne8]]=$G12,Z12,Distances[[#This Row],[Colonne8]]+1)</f>
        <v>5</v>
      </c>
      <c r="AB12" s="17">
        <f>IF(Distances[[#This Row],[Colonne9]]=$G12,AA12,Distances[[#This Row],[Colonne9]]+1)</f>
        <v>6</v>
      </c>
      <c r="AC12" s="17">
        <f>IF(Distances[[#This Row],[Colonne10]]=$G12,AB12,Distances[[#This Row],[Colonne10]]+1)</f>
        <v>7</v>
      </c>
      <c r="AD12" s="17">
        <f>IF(Distances[[#This Row],[Colonne11]]=$G12,AC12,Distances[[#This Row],[Colonne11]]+1)</f>
        <v>8</v>
      </c>
      <c r="AE12" s="17">
        <f>IF(Distances[[#This Row],[Colonne12]]=$G12,AD12,Distances[[#This Row],[Colonne12]]+1)</f>
        <v>9</v>
      </c>
      <c r="AF12" s="17">
        <f>IF(Distances[[#This Row],[Colonne13]]=$G12,AE12,Distances[[#This Row],[Colonne13]]+1)</f>
        <v>10</v>
      </c>
      <c r="AG12" s="17">
        <f>IF(Distances[[#This Row],[Colonne14]]=$G12,AF12,Distances[[#This Row],[Colonne14]]+1)</f>
        <v>11</v>
      </c>
      <c r="AH12" s="17">
        <f>IF(Distances[[#This Row],[Colonne15]]=$G12,AG12,Distances[[#This Row],[Colonne15]]+1)</f>
        <v>12</v>
      </c>
      <c r="AI12" s="17">
        <f>IF(Distances[[#This Row],[Colonne16]]=$G12,AH12,Distances[[#This Row],[Colonne16]]+1)</f>
        <v>13</v>
      </c>
      <c r="AJ12" s="17">
        <f>IF(Distances[[#This Row],[Colonne17]]=$G12,AI12,Distances[[#This Row],[Colonne17]]+1)</f>
        <v>14</v>
      </c>
      <c r="AK12" s="17">
        <f>IF(Distances[[#This Row],[Colonne18]]=$G12,AJ12,Distances[[#This Row],[Colonne18]]+1)</f>
        <v>15</v>
      </c>
      <c r="AL12" s="17">
        <f>IF(Distances[[#This Row],[Colonne19]]=$G12,AK12,Distances[[#This Row],[Colonne19]]+1)</f>
        <v>16</v>
      </c>
      <c r="AM12" s="17">
        <f>IF(Distances[[#This Row],[Colonne20]]=$G12,AL12,Distances[[#This Row],[Colonne20]]+1)</f>
        <v>17</v>
      </c>
      <c r="AN12" s="17">
        <f>IF(Distances[[#This Row],[Colonne21]]=$G12,AM12,Distances[[#This Row],[Colonne21]]+1)</f>
        <v>18</v>
      </c>
      <c r="AO12" s="17">
        <f>IF(Distances[[#This Row],[Colonne22]]=$G12,AN12,Distances[[#This Row],[Colonne22]]+1)</f>
        <v>19</v>
      </c>
      <c r="AP12" s="17">
        <f>IF(Distances[[#This Row],[Colonne23]]=$G12,AO12,Distances[[#This Row],[Colonne23]]+1)</f>
        <v>20</v>
      </c>
      <c r="AQ12" s="17">
        <f>IF(Distances[[#This Row],[Colonne24]]=$G12,AP12,Distances[[#This Row],[Colonne24]]+1)</f>
        <v>21</v>
      </c>
      <c r="AR12" s="17">
        <f>IF(Distances[[#This Row],[Colonne25]]=$G12,AQ12,Distances[[#This Row],[Colonne25]]+1)</f>
        <v>22</v>
      </c>
      <c r="AS12" s="17">
        <f>IF(Distances[[#This Row],[Colonne26]]=$G12,AR12,Distances[[#This Row],[Colonne26]]+1)</f>
        <v>23</v>
      </c>
      <c r="AT12" s="17">
        <f>IF(Distances[[#This Row],[Colonne27]]=$G12,AS12,Distances[[#This Row],[Colonne27]]+1)</f>
        <v>24</v>
      </c>
      <c r="AU12" s="17">
        <f>IF(Distances[[#This Row],[Colonne28]]=$G12,AT12,Distances[[#This Row],[Colonne28]]+1)</f>
        <v>25</v>
      </c>
      <c r="AV12" s="17">
        <f>IF(Distances[[#This Row],[Colonne29]]=$G12,AU12,Distances[[#This Row],[Colonne29]]+1)</f>
        <v>26</v>
      </c>
      <c r="AW12" s="17">
        <f>IF(Distances[[#This Row],[Colonne30]]=$G12,AV12,Distances[[#This Row],[Colonne30]]+1)</f>
        <v>27</v>
      </c>
      <c r="AX12" s="17">
        <f>IF(Distances[[#This Row],[Colonne31]]=$G12,AW12,Distances[[#This Row],[Colonne31]]+1)</f>
        <v>28</v>
      </c>
      <c r="AY12" s="17">
        <f>IF(Distances[[#This Row],[Colonne32]]=$G12,AX12,Distances[[#This Row],[Colonne32]]+1)</f>
        <v>29</v>
      </c>
      <c r="AZ12" s="17">
        <f>IF(Distances[[#This Row],[Colonne33]]=$G12,AY12,Distances[[#This Row],[Colonne33]]+1)</f>
        <v>30</v>
      </c>
      <c r="BA12" s="17">
        <f>IF(Distances[[#This Row],[Colonne34]]=$G12,AZ12,Distances[[#This Row],[Colonne34]]+1)</f>
        <v>31</v>
      </c>
      <c r="BB12" s="17">
        <f>IF(Distances[[#This Row],[Colonne35]]=$G12,BA12,Distances[[#This Row],[Colonne35]]+1)</f>
        <v>32</v>
      </c>
      <c r="BC12" s="17">
        <f>IF(Distances[[#This Row],[Colonne36]]=$G12,BB12,Distances[[#This Row],[Colonne36]]+1)</f>
        <v>33</v>
      </c>
      <c r="BD12" s="17">
        <f>IF(Distances[[#This Row],[Colonne37]]=$G12,BC12,Distances[[#This Row],[Colonne37]]+1)</f>
        <v>34</v>
      </c>
      <c r="BE12" s="17">
        <f>IF(Distances[[#This Row],[Colonne38]]=$G12,BD12,Distances[[#This Row],[Colonne38]]+1)</f>
        <v>35</v>
      </c>
      <c r="BF12" s="17">
        <f>IF(Distances[[#This Row],[Colonne39]]=$G12,BE12,Distances[[#This Row],[Colonne39]]+1)</f>
        <v>36</v>
      </c>
      <c r="BG12" s="17">
        <f>IF(Distances[[#This Row],[Colonne40]]=$G12,BF12,Distances[[#This Row],[Colonne40]]+1)</f>
        <v>37</v>
      </c>
      <c r="BH12" s="17">
        <f>IF(Distances[[#This Row],[Colonne41]]=$G12,BG12,Distances[[#This Row],[Colonne41]]+1)</f>
        <v>38</v>
      </c>
      <c r="BI12" s="17">
        <f>IF(Distances[[#This Row],[Colonne42]]=$G12,BH12,Distances[[#This Row],[Colonne42]]+1)</f>
        <v>39</v>
      </c>
      <c r="BJ12" s="17">
        <f>IF(Distances[[#This Row],[Colonne43]]=$G12,BI12,Distances[[#This Row],[Colonne43]]+1)</f>
        <v>40</v>
      </c>
      <c r="BK12" s="17">
        <f>IF(Distances[[#This Row],[Colonne44]]=$G12,BJ12,Distances[[#This Row],[Colonne44]]+1)</f>
        <v>41</v>
      </c>
      <c r="BL12" s="17">
        <f>IF(Distances[[#This Row],[Colonne45]]=$G12,BK12,Distances[[#This Row],[Colonne45]]+1)</f>
        <v>42</v>
      </c>
      <c r="BM12" s="17">
        <f>IF(Distances[[#This Row],[Colonne46]]=$G12,BL12,Distances[[#This Row],[Colonne46]]+1)</f>
        <v>43</v>
      </c>
      <c r="BN12" s="17">
        <f>IF(Distances[[#This Row],[Colonne47]]=$G12,BM12,Distances[[#This Row],[Colonne47]]+1)</f>
        <v>44</v>
      </c>
      <c r="BO12" s="17">
        <f>IF(Distances[[#This Row],[Colonne48]]=$G12,BN12,Distances[[#This Row],[Colonne48]]+1)</f>
        <v>45</v>
      </c>
      <c r="BP12" s="17">
        <f>IF(Distances[[#This Row],[Colonne49]]=$G12,BO12,Distances[[#This Row],[Colonne49]]+1)</f>
        <v>46</v>
      </c>
      <c r="BQ12" s="17">
        <f>IF(Distances[[#This Row],[Colonne50]]=$G12,BP12,Distances[[#This Row],[Colonne50]]+1)</f>
        <v>47</v>
      </c>
      <c r="BR12" s="17">
        <f>IF(Distances[[#This Row],[Colonne51]]=$G12,BQ12,Distances[[#This Row],[Colonne51]]+1)</f>
        <v>48</v>
      </c>
      <c r="BS12" s="17">
        <f>IF(Distances[[#This Row],[Colonne52]]=$G12,BR12,Distances[[#This Row],[Colonne52]]+1)</f>
        <v>49</v>
      </c>
      <c r="BT12" s="17">
        <f>IF(Distances[[#This Row],[Colonne53]]=$G12,BS12,Distances[[#This Row],[Colonne53]]+1)</f>
        <v>50</v>
      </c>
      <c r="BU12" s="17">
        <f>IF(Distances[[#This Row],[Colonne54]]=$G12,BT12,Distances[[#This Row],[Colonne54]]+1)</f>
        <v>51</v>
      </c>
      <c r="BV12" s="17">
        <f>IF(Distances[[#This Row],[Colonne55]]=$G12,BU12,Distances[[#This Row],[Colonne55]]+1)</f>
        <v>52</v>
      </c>
      <c r="BW12" s="17">
        <f>IF(Distances[[#This Row],[Colonne56]]=$G12,BV12,Distances[[#This Row],[Colonne56]]+1)</f>
        <v>53</v>
      </c>
      <c r="BX12" s="17">
        <f>IF(Distances[[#This Row],[Colonne57]]=$G12,BW12,Distances[[#This Row],[Colonne57]]+1)</f>
        <v>54</v>
      </c>
      <c r="BY12" s="17">
        <f>IF(Distances[[#This Row],[Colonne58]]=$G12,BX12,Distances[[#This Row],[Colonne58]]+1)</f>
        <v>55</v>
      </c>
      <c r="BZ12" s="17">
        <f>IF(Distances[[#This Row],[Colonne59]]=$G12,BY12,Distances[[#This Row],[Colonne59]]+1)</f>
        <v>56</v>
      </c>
      <c r="CA12" s="17">
        <f>IF(Distances[[#This Row],[Colonne60]]=$G12,BZ12,Distances[[#This Row],[Colonne60]]+1)</f>
        <v>57</v>
      </c>
      <c r="CB12" s="17">
        <f>IF(Distances[[#This Row],[Colonne61]]=$G12,CA12,Distances[[#This Row],[Colonne61]]+1)</f>
        <v>58</v>
      </c>
      <c r="CC12" s="17">
        <f>IF(Distances[[#This Row],[Colonne62]]=$G12,CB12,Distances[[#This Row],[Colonne62]]+1)</f>
        <v>59</v>
      </c>
      <c r="CD12" s="17">
        <f>IF(Distances[[#This Row],[Colonne63]]=$G12,CC12,Distances[[#This Row],[Colonne63]]+1)</f>
        <v>60</v>
      </c>
      <c r="CE12" s="17">
        <f>IF(Distances[[#This Row],[Colonne64]]=$G12,CD12,Distances[[#This Row],[Colonne64]]+1)</f>
        <v>61</v>
      </c>
      <c r="CF12" s="17">
        <f>IF(Distances[[#This Row],[Colonne65]]=$G12,CE12,Distances[[#This Row],[Colonne65]]+1)</f>
        <v>62</v>
      </c>
      <c r="CG12" s="17">
        <f>IF(Distances[[#This Row],[Colonne66]]=$G12,CF12,Distances[[#This Row],[Colonne66]]+1)</f>
        <v>63</v>
      </c>
      <c r="CH12" s="17">
        <f>IF(Distances[[#This Row],[Colonne67]]=$G12,CG12,Distances[[#This Row],[Colonne67]]+1)</f>
        <v>64</v>
      </c>
      <c r="CI12" s="17">
        <f>IF(Distances[[#This Row],[Colonne68]]=$G12,CH12,Distances[[#This Row],[Colonne68]]+1)</f>
        <v>65</v>
      </c>
      <c r="CJ12" s="17">
        <f>IF(Distances[[#This Row],[Colonne69]]=$G12,CI12,Distances[[#This Row],[Colonne69]]+1)</f>
        <v>66</v>
      </c>
      <c r="CK12" s="17">
        <f>IF(Distances[[#This Row],[Colonne70]]=$G12,CJ12,Distances[[#This Row],[Colonne70]]+1)</f>
        <v>67</v>
      </c>
      <c r="CL12" s="17">
        <f>IF(Distances[[#This Row],[Colonne71]]=$G12,CK12,Distances[[#This Row],[Colonne71]]+1)</f>
        <v>68</v>
      </c>
      <c r="CM12" s="17">
        <f>IF(Distances[[#This Row],[Colonne72]]=$G12,CL12,Distances[[#This Row],[Colonne72]]+1)</f>
        <v>69</v>
      </c>
      <c r="CN12" s="17">
        <f>IF(Distances[[#This Row],[Colonne73]]=$G12,CM12,Distances[[#This Row],[Colonne73]]+1)</f>
        <v>70</v>
      </c>
      <c r="CO12" s="17">
        <f>IF(Distances[[#This Row],[Colonne74]]=$G12,CN12,Distances[[#This Row],[Colonne74]]+1)</f>
        <v>71</v>
      </c>
      <c r="CP12" s="17">
        <f>IF(Distances[[#This Row],[Colonne75]]=$G12,CO12,Distances[[#This Row],[Colonne75]]+1)</f>
        <v>72</v>
      </c>
      <c r="CQ12" s="17">
        <f>IF(Distances[[#This Row],[Colonne76]]=$G12,CP12,Distances[[#This Row],[Colonne76]]+1)</f>
        <v>73</v>
      </c>
      <c r="CR12" s="17">
        <f>IF(Distances[[#This Row],[Colonne77]]=$G12,CQ12,Distances[[#This Row],[Colonne77]]+1)</f>
        <v>74</v>
      </c>
      <c r="CS12" s="17">
        <f>IF(Distances[[#This Row],[Colonne78]]=$G12,CR12,Distances[[#This Row],[Colonne78]]+1)</f>
        <v>75</v>
      </c>
      <c r="CT12" s="17">
        <f>IF(Distances[[#This Row],[Colonne79]]=$G12,CS12,Distances[[#This Row],[Colonne79]]+1)</f>
        <v>76</v>
      </c>
      <c r="CU12" s="17">
        <f>IF(Distances[[#This Row],[Colonne80]]=$G12,CT12,Distances[[#This Row],[Colonne80]]+1)</f>
        <v>77</v>
      </c>
      <c r="CV12" s="17">
        <f>IF(Distances[[#This Row],[Colonne81]]=$G12,CU12,Distances[[#This Row],[Colonne81]]+1)</f>
        <v>78</v>
      </c>
      <c r="CW12" s="17">
        <f>IF(Distances[[#This Row],[Colonne82]]=$G12,CV12,Distances[[#This Row],[Colonne82]]+1)</f>
        <v>79</v>
      </c>
      <c r="CX12" s="17">
        <f>IF(Distances[[#This Row],[Colonne83]]=$G12,CW12,Distances[[#This Row],[Colonne83]]+1)</f>
        <v>80</v>
      </c>
      <c r="CY12" s="17">
        <f>IF(Distances[[#This Row],[Colonne84]]=$G12,CX12,Distances[[#This Row],[Colonne84]]+1)</f>
        <v>81</v>
      </c>
      <c r="CZ12" s="17">
        <f>IF(Distances[[#This Row],[Colonne85]]=$G12,CY12,Distances[[#This Row],[Colonne85]]+1)</f>
        <v>82</v>
      </c>
      <c r="DA12" s="17">
        <f>IF(Distances[[#This Row],[Colonne86]]=$G12,CZ12,Distances[[#This Row],[Colonne86]]+1)</f>
        <v>83</v>
      </c>
      <c r="DB12" s="17">
        <f>IF(Distances[[#This Row],[Colonne87]]=$G12,DA12,Distances[[#This Row],[Colonne87]]+1)</f>
        <v>84</v>
      </c>
      <c r="DC12" s="17">
        <f>IF(Distances[[#This Row],[Colonne88]]=$G12,DB12,Distances[[#This Row],[Colonne88]]+1)</f>
        <v>85</v>
      </c>
      <c r="DD12" s="17">
        <f>IF(Distances[[#This Row],[Colonne89]]=$G12,DC12,Distances[[#This Row],[Colonne89]]+1)</f>
        <v>86</v>
      </c>
      <c r="DE12" s="17">
        <f>IF(Distances[[#This Row],[Colonne90]]=$G12,DD12,Distances[[#This Row],[Colonne90]]+1)</f>
        <v>87</v>
      </c>
      <c r="DF12" s="17">
        <f>IF(Distances[[#This Row],[Colonne91]]=$G12,DE12,Distances[[#This Row],[Colonne91]]+1)</f>
        <v>88</v>
      </c>
      <c r="DG12" s="17">
        <f>IF(Distances[[#This Row],[Colonne92]]=$G12,DF12,Distances[[#This Row],[Colonne92]]+1)</f>
        <v>89</v>
      </c>
      <c r="DH12" s="17">
        <f>IF(Distances[[#This Row],[Colonne93]]=$G12,DG12,Distances[[#This Row],[Colonne93]]+1)</f>
        <v>90</v>
      </c>
      <c r="DI12" s="17">
        <f>IF(Distances[[#This Row],[Colonne94]]=$G12,DH12,Distances[[#This Row],[Colonne94]]+1)</f>
        <v>91</v>
      </c>
      <c r="DJ12" s="17">
        <f>IF(Distances[[#This Row],[Colonne95]]=$G12,DI12,Distances[[#This Row],[Colonne95]]+1)</f>
        <v>92</v>
      </c>
      <c r="DK12" s="17">
        <f>IF(Distances[[#This Row],[Colonne96]]=$G12,DJ12,Distances[[#This Row],[Colonne96]]+1)</f>
        <v>93</v>
      </c>
      <c r="DL12" s="17">
        <f>IF(Distances[[#This Row],[Colonne97]]=$G12,DK12,Distances[[#This Row],[Colonne97]]+1)</f>
        <v>94</v>
      </c>
      <c r="DM12" s="17">
        <f>IF(Distances[[#This Row],[Colonne98]]=$G12,DL12,Distances[[#This Row],[Colonne98]]+1)</f>
        <v>95</v>
      </c>
      <c r="DN12" s="17">
        <f>IF(Distances[[#This Row],[Colonne99]]=$G12,DM12,Distances[[#This Row],[Colonne99]]+1)</f>
        <v>96</v>
      </c>
      <c r="DO12" s="17">
        <f>IF(Distances[[#This Row],[Colonne100]]=$G12,DN12,Distances[[#This Row],[Colonne100]]+1)</f>
        <v>97</v>
      </c>
      <c r="DP12" s="17">
        <f>IF(Distances[[#This Row],[Colonne101]]=$G12,DO12,Distances[[#This Row],[Colonne101]]+1)</f>
        <v>98</v>
      </c>
      <c r="DQ12" s="17">
        <f>IF(Distances[[#This Row],[Colonne102]]=$G12,DP12,Distances[[#This Row],[Colonne102]]+1)</f>
        <v>99</v>
      </c>
      <c r="DR12" s="17">
        <f>IF(Distances[[#This Row],[Colonne103]]=$G12,DQ12,Distances[[#This Row],[Colonne103]]+1)</f>
        <v>100</v>
      </c>
      <c r="DS12" s="17">
        <f>IF(Distances[[#This Row],[Colonne104]]=$G12,DR12,Distances[[#This Row],[Colonne104]]+1)</f>
        <v>101</v>
      </c>
      <c r="DT12" s="17">
        <f>IF(Distances[[#This Row],[Colonne105]]=$G12,DS12,Distances[[#This Row],[Colonne105]]+1)</f>
        <v>102</v>
      </c>
      <c r="DU12" s="17">
        <f>IF(Distances[[#This Row],[Colonne106]]=$G12,DT12,Distances[[#This Row],[Colonne106]]+1)</f>
        <v>103</v>
      </c>
      <c r="DV12" s="17">
        <f>IF(Distances[[#This Row],[Colonne107]]=$G12,DU12,Distances[[#This Row],[Colonne107]]+1)</f>
        <v>104</v>
      </c>
      <c r="DW12" s="17">
        <f>IF(Distances[[#This Row],[Colonne108]]=$G12,DV12,Distances[[#This Row],[Colonne108]]+1)</f>
        <v>105</v>
      </c>
      <c r="DX12" s="17">
        <f>IF(Distances[[#This Row],[Colonne109]]=$G12,DW12,Distances[[#This Row],[Colonne109]]+1)</f>
        <v>106</v>
      </c>
      <c r="DY12" s="17">
        <f>IF(Distances[[#This Row],[Colonne110]]=$G12,DX12,Distances[[#This Row],[Colonne110]]+1)</f>
        <v>107</v>
      </c>
      <c r="DZ12" s="17">
        <f>IF(Distances[[#This Row],[Colonne111]]=$G12,DY12,Distances[[#This Row],[Colonne111]]+1)</f>
        <v>108</v>
      </c>
      <c r="EA12" s="17">
        <f>IF(Distances[[#This Row],[Colonne112]]=$G12,DZ12,Distances[[#This Row],[Colonne112]]+1)</f>
        <v>109</v>
      </c>
      <c r="EB12" s="17">
        <f>IF(Distances[[#This Row],[Colonne113]]=$G12,EA12,Distances[[#This Row],[Colonne113]]+1)</f>
        <v>110</v>
      </c>
      <c r="EC12" s="17">
        <f>IF(Distances[[#This Row],[Colonne114]]=$G12,EB12,Distances[[#This Row],[Colonne114]]+1)</f>
        <v>111</v>
      </c>
      <c r="ED12" s="17">
        <f>IF(Distances[[#This Row],[Colonne115]]=$G12,EC12,Distances[[#This Row],[Colonne115]]+1)</f>
        <v>112</v>
      </c>
      <c r="EE12" s="17">
        <f>IF(Distances[[#This Row],[Colonne116]]=$G12,ED12,Distances[[#This Row],[Colonne116]]+1)</f>
        <v>113</v>
      </c>
      <c r="EF12" s="17">
        <f>IF(Distances[[#This Row],[Colonne117]]=$G12,EE12,Distances[[#This Row],[Colonne117]]+1)</f>
        <v>114</v>
      </c>
      <c r="EG12" s="17">
        <f>IF(Distances[[#This Row],[Colonne118]]=$G12,EF12,Distances[[#This Row],[Colonne118]]+1)</f>
        <v>115</v>
      </c>
      <c r="EH12" s="17">
        <f>IF(Distances[[#This Row],[Colonne119]]=$G12,EG12,Distances[[#This Row],[Colonne119]]+1)</f>
        <v>116</v>
      </c>
      <c r="EI12" s="17">
        <f>IF(Distances[[#This Row],[Colonne120]]=$G12,EH12,Distances[[#This Row],[Colonne120]]+1)</f>
        <v>117</v>
      </c>
      <c r="EJ12" s="17">
        <f>IF(Distances[[#This Row],[Colonne121]]=$G12,EI12,Distances[[#This Row],[Colonne121]]+1)</f>
        <v>118</v>
      </c>
      <c r="EK12" s="17">
        <f>IF(Distances[[#This Row],[Colonne122]]=$G12,EJ12,Distances[[#This Row],[Colonne122]]+1)</f>
        <v>119</v>
      </c>
      <c r="EL12" s="17">
        <f>IF(Distances[[#This Row],[Colonne123]]=$G12,EK12,Distances[[#This Row],[Colonne123]]+1)</f>
        <v>120</v>
      </c>
      <c r="EM12" s="17">
        <f>IF(Distances[[#This Row],[Colonne124]]=$G12,EL12,Distances[[#This Row],[Colonne124]]+1)</f>
        <v>121</v>
      </c>
      <c r="EN12" s="17">
        <f>IF(Distances[[#This Row],[Colonne125]]=$G12,EM12,Distances[[#This Row],[Colonne125]]+1)</f>
        <v>122</v>
      </c>
      <c r="EO12" s="17">
        <f>IF(Distances[[#This Row],[Colonne126]]=$G12,EN12,Distances[[#This Row],[Colonne126]]+1)</f>
        <v>123</v>
      </c>
      <c r="EP12" s="17">
        <f>IF(Distances[[#This Row],[Colonne127]]=$G12,EO12,Distances[[#This Row],[Colonne127]]+1)</f>
        <v>124</v>
      </c>
      <c r="EQ12" s="17">
        <f>IF(Distances[[#This Row],[Colonne128]]=$G12,EP12,Distances[[#This Row],[Colonne128]]+1)</f>
        <v>125</v>
      </c>
      <c r="ER12" s="17">
        <f>IF(Distances[[#This Row],[Colonne129]]=$G12,EQ12,Distances[[#This Row],[Colonne129]]+1)</f>
        <v>126</v>
      </c>
      <c r="ES12" s="17">
        <f>IF(Distances[[#This Row],[Colonne130]]=$G12,ER12,Distances[[#This Row],[Colonne130]]+1)</f>
        <v>127</v>
      </c>
      <c r="ET12" s="17">
        <f>IF(Distances[[#This Row],[Colonne131]]=$G12,ES12,Distances[[#This Row],[Colonne131]]+1)</f>
        <v>128</v>
      </c>
      <c r="EU12" s="17">
        <f>IF(Distances[[#This Row],[Colonne132]]=$G12,ET12,Distances[[#This Row],[Colonne132]]+1)</f>
        <v>129</v>
      </c>
      <c r="EV12" s="17">
        <f>IF(Distances[[#This Row],[Colonne133]]=$G12,EU12,Distances[[#This Row],[Colonne133]]+1)</f>
        <v>130</v>
      </c>
      <c r="EW12" s="17">
        <f>IF(Distances[[#This Row],[Colonne134]]=$G12,EV12,Distances[[#This Row],[Colonne134]]+1)</f>
        <v>131</v>
      </c>
      <c r="EX12" s="17">
        <f>IF(Distances[[#This Row],[Colonne135]]=$G12,EW12,Distances[[#This Row],[Colonne135]]+1)</f>
        <v>132</v>
      </c>
      <c r="EY12" s="17">
        <f>IF(Distances[[#This Row],[Colonne136]]=$G12,EX12,Distances[[#This Row],[Colonne136]]+1)</f>
        <v>133</v>
      </c>
      <c r="EZ12" s="17">
        <f>IF(Distances[[#This Row],[Colonne137]]=$G12,EY12,Distances[[#This Row],[Colonne137]]+1)</f>
        <v>134</v>
      </c>
      <c r="FA12" s="17">
        <f>IF(Distances[[#This Row],[Colonne138]]=$G12,EZ12,Distances[[#This Row],[Colonne138]]+1)</f>
        <v>135</v>
      </c>
      <c r="FB12" s="17">
        <f>IF(Distances[[#This Row],[Colonne139]]=$G12,FA12,Distances[[#This Row],[Colonne139]]+1)</f>
        <v>136</v>
      </c>
      <c r="FC12" s="17">
        <f>IF(Distances[[#This Row],[Colonne140]]=$G12,FB12,Distances[[#This Row],[Colonne140]]+1)</f>
        <v>137</v>
      </c>
      <c r="FD12" s="17">
        <f>IF(Distances[[#This Row],[Colonne141]]=$G12,FC12,Distances[[#This Row],[Colonne141]]+1)</f>
        <v>138</v>
      </c>
      <c r="FE12" s="17">
        <f>IF(Distances[[#This Row],[Colonne142]]=$G12,FD12,Distances[[#This Row],[Colonne142]]+1)</f>
        <v>139</v>
      </c>
      <c r="FF12" s="17">
        <f>IF(Distances[[#This Row],[Colonne143]]=$G12,FE12,Distances[[#This Row],[Colonne143]]+1)</f>
        <v>140</v>
      </c>
      <c r="FG12" s="17">
        <f>IF(Distances[[#This Row],[Colonne144]]=$G12,FF12,Distances[[#This Row],[Colonne144]]+1)</f>
        <v>141</v>
      </c>
      <c r="FH12" s="17">
        <f>IF(Distances[[#This Row],[Colonne145]]=$G12,FG12,Distances[[#This Row],[Colonne145]]+1)</f>
        <v>142</v>
      </c>
      <c r="FI12" s="17">
        <f>IF(Distances[[#This Row],[Colonne146]]=$G12,FH12,Distances[[#This Row],[Colonne146]]+1)</f>
        <v>143</v>
      </c>
      <c r="FJ12" s="17">
        <f>IF(Distances[[#This Row],[Colonne147]]=$G12,FI12,Distances[[#This Row],[Colonne147]]+1)</f>
        <v>144</v>
      </c>
      <c r="FK12" s="17">
        <f>IF(Distances[[#This Row],[Colonne148]]=$G12,FJ12,Distances[[#This Row],[Colonne148]]+1)</f>
        <v>145</v>
      </c>
      <c r="FL12" s="17">
        <f>IF(Distances[[#This Row],[Colonne149]]=$G12,FK12,Distances[[#This Row],[Colonne149]]+1)</f>
        <v>146</v>
      </c>
      <c r="FM12" s="17">
        <f>IF(Distances[[#This Row],[Colonne150]]=$G12,FL12,Distances[[#This Row],[Colonne150]]+1)</f>
        <v>147</v>
      </c>
      <c r="FN12" s="17">
        <f>IF(Distances[[#This Row],[Colonne151]]=$G12,FM12,Distances[[#This Row],[Colonne151]]+1)</f>
        <v>148</v>
      </c>
      <c r="FO12" s="17">
        <f>IF(Distances[[#This Row],[Colonne152]]=$G12,FN12,Distances[[#This Row],[Colonne152]]+1)</f>
        <v>149</v>
      </c>
      <c r="FP12" s="17">
        <f>IF(Distances[[#This Row],[Colonne153]]=$G12,FO12,Distances[[#This Row],[Colonne153]]+1)</f>
        <v>150</v>
      </c>
      <c r="FQ12" s="17">
        <f>IF(Distances[[#This Row],[Colonne154]]=$G12,FP12,Distances[[#This Row],[Colonne154]]+1)</f>
        <v>150</v>
      </c>
      <c r="FR12" s="17">
        <f>IF(Distances[[#This Row],[Colonne155]]=$G12,FQ12,Distances[[#This Row],[Colonne155]]+1)</f>
        <v>150</v>
      </c>
      <c r="FS12" s="17">
        <f>IF(Distances[[#This Row],[Colonne156]]=$G12,FR12,Distances[[#This Row],[Colonne156]]+1)</f>
        <v>150</v>
      </c>
      <c r="FT12" s="17">
        <f>IF(Distances[[#This Row],[Colonne157]]=$G12,FS12,Distances[[#This Row],[Colonne157]]+1)</f>
        <v>150</v>
      </c>
      <c r="FU12" s="17">
        <f>IF(Distances[[#This Row],[Colonne158]]=$G12,FT12,Distances[[#This Row],[Colonne158]]+1)</f>
        <v>150</v>
      </c>
      <c r="FV12" s="17">
        <f>IF(Distances[[#This Row],[Colonne159]]=$G12,FU12,Distances[[#This Row],[Colonne159]]+1)</f>
        <v>150</v>
      </c>
      <c r="FW12" s="17">
        <f>IF(Distances[[#This Row],[Colonne160]]=$G12,FV12,Distances[[#This Row],[Colonne160]]+1)</f>
        <v>150</v>
      </c>
      <c r="FX12" s="17">
        <f>IF(Distances[[#This Row],[Colonne161]]=$G12,FW12,Distances[[#This Row],[Colonne161]]+1)</f>
        <v>150</v>
      </c>
      <c r="FY12" s="17">
        <f>IF(Distances[[#This Row],[Colonne162]]=$G12,FX12,Distances[[#This Row],[Colonne162]]+1)</f>
        <v>150</v>
      </c>
      <c r="FZ12" s="17">
        <f>IF(Distances[[#This Row],[Colonne163]]=$G12,FY12,Distances[[#This Row],[Colonne163]]+1)</f>
        <v>150</v>
      </c>
      <c r="GA12" s="17">
        <f>IF(Distances[[#This Row],[Colonne164]]=$G12,FZ12,Distances[[#This Row],[Colonne164]]+1)</f>
        <v>150</v>
      </c>
      <c r="GB12" s="17">
        <f>IF(Distances[[#This Row],[Colonne165]]=$G12,GA12,Distances[[#This Row],[Colonne165]]+1)</f>
        <v>150</v>
      </c>
      <c r="GC12" s="17">
        <f>IF(Distances[[#This Row],[Colonne166]]=$G12,GB12,Distances[[#This Row],[Colonne166]]+1)</f>
        <v>150</v>
      </c>
      <c r="GD12" s="17">
        <f>IF(Distances[[#This Row],[Colonne167]]=$G12,GC12,Distances[[#This Row],[Colonne167]]+1)</f>
        <v>150</v>
      </c>
      <c r="GE12" s="17">
        <f>IF(Distances[[#This Row],[Colonne168]]=$G12,GD12,Distances[[#This Row],[Colonne168]]+1)</f>
        <v>150</v>
      </c>
      <c r="GF12" s="17">
        <f>IF(Distances[[#This Row],[Colonne169]]=$G12,GE12,Distances[[#This Row],[Colonne169]]+1)</f>
        <v>150</v>
      </c>
      <c r="GG12" s="17">
        <f>IF(Distances[[#This Row],[Colonne170]]=$G12,GF12,Distances[[#This Row],[Colonne170]]+1)</f>
        <v>150</v>
      </c>
      <c r="GH12" s="17">
        <f>IF(Distances[[#This Row],[Colonne171]]=$G12,GG12,Distances[[#This Row],[Colonne171]]+1)</f>
        <v>150</v>
      </c>
      <c r="GI12" s="17">
        <f>IF(Distances[[#This Row],[Colonne172]]=$G12,GH12,Distances[[#This Row],[Colonne172]]+1)</f>
        <v>150</v>
      </c>
      <c r="GJ12" s="17">
        <f>IF(Distances[[#This Row],[Colonne173]]=$G12,GI12,Distances[[#This Row],[Colonne173]]+1)</f>
        <v>150</v>
      </c>
      <c r="GK12" s="17">
        <f>IF(Distances[[#This Row],[Colonne174]]=$G12,GJ12,Distances[[#This Row],[Colonne174]]+1)</f>
        <v>150</v>
      </c>
      <c r="GL12" s="17">
        <f>IF(Distances[[#This Row],[Colonne175]]=$G12,GK12,Distances[[#This Row],[Colonne175]]+1)</f>
        <v>150</v>
      </c>
      <c r="GM12" s="17">
        <f>IF(Distances[[#This Row],[Colonne176]]=$G12,GL12,Distances[[#This Row],[Colonne176]]+1)</f>
        <v>150</v>
      </c>
      <c r="GN12" s="17">
        <f>IF(Distances[[#This Row],[Colonne177]]=$G12,GM12,Distances[[#This Row],[Colonne177]]+1)</f>
        <v>150</v>
      </c>
      <c r="GO12" s="17">
        <f>IF(Distances[[#This Row],[Colonne178]]=$G12,GN12,Distances[[#This Row],[Colonne178]]+1)</f>
        <v>150</v>
      </c>
      <c r="GP12" s="17">
        <f>IF(Distances[[#This Row],[Colonne179]]=$G12,GO12,Distances[[#This Row],[Colonne179]]+1)</f>
        <v>150</v>
      </c>
      <c r="GQ12" s="17">
        <f>IF(Distances[[#This Row],[Colonne180]]=$G12,GP12,Distances[[#This Row],[Colonne180]]+1)</f>
        <v>150</v>
      </c>
      <c r="GR12" s="17">
        <f>IF(Distances[[#This Row],[Colonne181]]=$G12,GQ12,Distances[[#This Row],[Colonne181]]+1)</f>
        <v>150</v>
      </c>
      <c r="GS12" s="17">
        <f>IF(Distances[[#This Row],[Colonne182]]=$G12,GR12,Distances[[#This Row],[Colonne182]]+1)</f>
        <v>150</v>
      </c>
      <c r="GT12" s="17">
        <f>IF(Distances[[#This Row],[Colonne183]]=$G12,GS12,Distances[[#This Row],[Colonne183]]+1)</f>
        <v>150</v>
      </c>
      <c r="GU12" s="17">
        <f>IF(Distances[[#This Row],[Colonne184]]=$G12,GT12,Distances[[#This Row],[Colonne184]]+1)</f>
        <v>150</v>
      </c>
      <c r="GV12" s="17">
        <f>IF(Distances[[#This Row],[Colonne185]]=$G12,GU12,Distances[[#This Row],[Colonne185]]+1)</f>
        <v>150</v>
      </c>
      <c r="GW12" s="17">
        <f>IF(Distances[[#This Row],[Colonne186]]=$G12,GV12,Distances[[#This Row],[Colonne186]]+1)</f>
        <v>150</v>
      </c>
      <c r="GX12" s="17">
        <f>IF(Distances[[#This Row],[Colonne187]]=$G12,GW12,Distances[[#This Row],[Colonne187]]+1)</f>
        <v>150</v>
      </c>
      <c r="GY12" s="17">
        <f>IF(Distances[[#This Row],[Colonne188]]=$G12,GX12,Distances[[#This Row],[Colonne188]]+1)</f>
        <v>150</v>
      </c>
      <c r="GZ12" s="17">
        <f>IF(Distances[[#This Row],[Colonne189]]=$G12,GY12,Distances[[#This Row],[Colonne189]]+1)</f>
        <v>150</v>
      </c>
      <c r="HA12" s="17">
        <f>IF(Distances[[#This Row],[Colonne190]]=$G12,GZ12,Distances[[#This Row],[Colonne190]]+1)</f>
        <v>150</v>
      </c>
      <c r="HB12" s="17">
        <f>IF(Distances[[#This Row],[Colonne191]]=$G12,HA12,Distances[[#This Row],[Colonne191]]+1)</f>
        <v>150</v>
      </c>
      <c r="HC12" s="17">
        <f>IF(Distances[[#This Row],[Colonne192]]=$G12,HB12,Distances[[#This Row],[Colonne192]]+1)</f>
        <v>150</v>
      </c>
      <c r="HD12" s="17">
        <f>IF(Distances[[#This Row],[Colonne193]]=$G12,HC12,Distances[[#This Row],[Colonne193]]+1)</f>
        <v>150</v>
      </c>
      <c r="HE12" s="17">
        <f>IF(Distances[[#This Row],[Colonne194]]=$G12,HD12,Distances[[#This Row],[Colonne194]]+1)</f>
        <v>150</v>
      </c>
      <c r="HF12" s="17">
        <f>IF(Distances[[#This Row],[Colonne195]]=$G12,HE12,Distances[[#This Row],[Colonne195]]+1)</f>
        <v>150</v>
      </c>
      <c r="HG12" s="17">
        <f>IF(Distances[[#This Row],[Colonne196]]=$G12,HF12,Distances[[#This Row],[Colonne196]]+1)</f>
        <v>150</v>
      </c>
      <c r="HH12" s="17">
        <f>IF(Distances[[#This Row],[Colonne197]]=$G12,HG12,Distances[[#This Row],[Colonne197]]+1)</f>
        <v>150</v>
      </c>
      <c r="HI12" s="17">
        <f>IF(Distances[[#This Row],[Colonne198]]=$G12,HH12,Distances[[#This Row],[Colonne198]]+1)</f>
        <v>150</v>
      </c>
      <c r="HJ12" s="17">
        <f>IF(Distances[[#This Row],[Colonne199]]=$G12,HI12,Distances[[#This Row],[Colonne199]]+1)</f>
        <v>150</v>
      </c>
      <c r="HK12" s="17">
        <f>IF(Distances[[#This Row],[Colonne200]]=$G12,HJ12,Distances[[#This Row],[Colonne200]]+1)</f>
        <v>150</v>
      </c>
      <c r="HL12" s="17">
        <f>IF(Distances[[#This Row],[Colonne201]]=$G12,HK12,Distances[[#This Row],[Colonne201]]+1)</f>
        <v>150</v>
      </c>
      <c r="HM12" s="17">
        <f>IF(Distances[[#This Row],[Colonne202]]=$G12,HL12,Distances[[#This Row],[Colonne202]]+1)</f>
        <v>150</v>
      </c>
      <c r="HN12" s="17">
        <f>IF(Distances[[#This Row],[Colonne203]]=$G12,HM12,Distances[[#This Row],[Colonne203]]+1)</f>
        <v>150</v>
      </c>
      <c r="HO12" s="17">
        <f>IF(Distances[[#This Row],[Colonne204]]=$G12,HN12,Distances[[#This Row],[Colonne204]]+1)</f>
        <v>150</v>
      </c>
      <c r="HP12" s="17">
        <f>IF(Distances[[#This Row],[Colonne205]]=$G12,HO12,Distances[[#This Row],[Colonne205]]+1)</f>
        <v>150</v>
      </c>
      <c r="HQ12" s="17">
        <f>IF(Distances[[#This Row],[Colonne206]]=$G12,HP12,Distances[[#This Row],[Colonne206]]+1)</f>
        <v>150</v>
      </c>
      <c r="HR12" s="17">
        <f>IF(Distances[[#This Row],[Colonne207]]=$G12,HQ12,Distances[[#This Row],[Colonne207]]+1)</f>
        <v>150</v>
      </c>
      <c r="HS12" s="17">
        <f>IF(Distances[[#This Row],[Colonne208]]=$G12,HR12,Distances[[#This Row],[Colonne208]]+1)</f>
        <v>150</v>
      </c>
      <c r="HT12" s="17">
        <f>IF(Distances[[#This Row],[Colonne209]]=$G12,HS12,Distances[[#This Row],[Colonne209]]+1)</f>
        <v>150</v>
      </c>
      <c r="HU12" s="17">
        <f>IF(Distances[[#This Row],[Colonne210]]=$G12,HT12,Distances[[#This Row],[Colonne210]]+1)</f>
        <v>150</v>
      </c>
      <c r="HV12" s="17">
        <f>IF(Distances[[#This Row],[Colonne211]]=$G12,HU12,Distances[[#This Row],[Colonne211]]+1)</f>
        <v>150</v>
      </c>
      <c r="HW12" s="17">
        <f>IF(Distances[[#This Row],[Colonne212]]=$G12,HV12,Distances[[#This Row],[Colonne212]]+1)</f>
        <v>150</v>
      </c>
      <c r="HX12" s="17">
        <f>IF(Distances[[#This Row],[Colonne213]]=$G12,HW12,Distances[[#This Row],[Colonne213]]+1)</f>
        <v>150</v>
      </c>
      <c r="HY12" s="17">
        <f>IF(Distances[[#This Row],[Colonne214]]=$G12,HX12,Distances[[#This Row],[Colonne214]]+1)</f>
        <v>150</v>
      </c>
      <c r="HZ12" s="17">
        <f>IF(Distances[[#This Row],[Colonne215]]=$G12,HY12,Distances[[#This Row],[Colonne215]]+1)</f>
        <v>150</v>
      </c>
      <c r="IA12" s="17">
        <f>IF(Distances[[#This Row],[Colonne216]]=$G12,HZ12,Distances[[#This Row],[Colonne216]]+1)</f>
        <v>150</v>
      </c>
      <c r="IB12" s="17">
        <f>IF(Distances[[#This Row],[Colonne217]]=$G12,IA12,Distances[[#This Row],[Colonne217]]+1)</f>
        <v>150</v>
      </c>
      <c r="IC12" s="17">
        <f>IF(Distances[[#This Row],[Colonne218]]=$G12,IB12,Distances[[#This Row],[Colonne218]]+1)</f>
        <v>150</v>
      </c>
      <c r="ID12" s="17">
        <f>IF(Distances[[#This Row],[Colonne219]]=$G12,IC12,Distances[[#This Row],[Colonne219]]+1)</f>
        <v>150</v>
      </c>
      <c r="IE12" s="17">
        <f>IF(Distances[[#This Row],[Colonne220]]=$G12,ID12,Distances[[#This Row],[Colonne220]]+1)</f>
        <v>150</v>
      </c>
      <c r="IF12" s="17">
        <f>IF(Distances[[#This Row],[Colonne221]]=$G12,IE12,Distances[[#This Row],[Colonne221]]+1)</f>
        <v>150</v>
      </c>
      <c r="IG12" s="17">
        <f>IF(Distances[[#This Row],[Colonne222]]=$G12,IF12,Distances[[#This Row],[Colonne222]]+1)</f>
        <v>150</v>
      </c>
      <c r="IH12" s="17">
        <f>IF(Distances[[#This Row],[Colonne223]]=$G12,IG12,Distances[[#This Row],[Colonne223]]+1)</f>
        <v>150</v>
      </c>
      <c r="II12" s="17">
        <f>IF(Distances[[#This Row],[Colonne224]]=$G12,IH12,Distances[[#This Row],[Colonne224]]+1)</f>
        <v>150</v>
      </c>
      <c r="IJ12" s="17">
        <f>IF(Distances[[#This Row],[Colonne225]]=$G12,II12,Distances[[#This Row],[Colonne225]]+1)</f>
        <v>150</v>
      </c>
      <c r="IK12" s="17">
        <f>IF(Distances[[#This Row],[Colonne226]]=$G12,IJ12,Distances[[#This Row],[Colonne226]]+1)</f>
        <v>150</v>
      </c>
      <c r="IL12" s="17">
        <f>IF(Distances[[#This Row],[Colonne227]]=$G12,IK12,Distances[[#This Row],[Colonne227]]+1)</f>
        <v>150</v>
      </c>
      <c r="IM12" s="17">
        <f>IF(Distances[[#This Row],[Colonne228]]=$G12,IL12,Distances[[#This Row],[Colonne228]]+1)</f>
        <v>150</v>
      </c>
      <c r="IN12" s="17">
        <f>IF(Distances[[#This Row],[Colonne229]]=$G12,IM12,Distances[[#This Row],[Colonne229]]+1)</f>
        <v>150</v>
      </c>
      <c r="IO12" s="17">
        <f>IF(Distances[[#This Row],[Colonne230]]=$G12,IN12,Distances[[#This Row],[Colonne230]]+1)</f>
        <v>150</v>
      </c>
      <c r="IP12" s="17">
        <f>IF(Distances[[#This Row],[Colonne231]]=$G12,IO12,Distances[[#This Row],[Colonne231]]+1)</f>
        <v>150</v>
      </c>
      <c r="IQ12" s="17">
        <f>IF(Distances[[#This Row],[Colonne232]]=$G12,IP12,Distances[[#This Row],[Colonne232]]+1)</f>
        <v>150</v>
      </c>
      <c r="IR12" s="17">
        <f>IF(Distances[[#This Row],[Colonne233]]=$G12,IQ12,Distances[[#This Row],[Colonne233]]+1)</f>
        <v>150</v>
      </c>
      <c r="IS12" s="17">
        <f>IF(Distances[[#This Row],[Colonne234]]=$G12,IR12,Distances[[#This Row],[Colonne234]]+1)</f>
        <v>150</v>
      </c>
      <c r="IT12" s="17">
        <f>IF(Distances[[#This Row],[Colonne235]]=$G12,IS12,Distances[[#This Row],[Colonne235]]+1)</f>
        <v>150</v>
      </c>
      <c r="IU12" s="17">
        <f>IF(Distances[[#This Row],[Colonne236]]=$G12,IT12,Distances[[#This Row],[Colonne236]]+1)</f>
        <v>150</v>
      </c>
      <c r="IV12" s="17">
        <f>IF(Distances[[#This Row],[Colonne237]]=$G12,IU12,Distances[[#This Row],[Colonne237]]+1)</f>
        <v>150</v>
      </c>
      <c r="IW12" s="17">
        <f>IF(Distances[[#This Row],[Colonne238]]=$G12,IV12,Distances[[#This Row],[Colonne238]]+1)</f>
        <v>150</v>
      </c>
      <c r="IX12" s="17">
        <f>IF(Distances[[#This Row],[Colonne239]]=$G12,IW12,Distances[[#This Row],[Colonne239]]+1)</f>
        <v>150</v>
      </c>
      <c r="IY12" s="17">
        <f>IF(Distances[[#This Row],[Colonne240]]=$G12,IX12,Distances[[#This Row],[Colonne240]]+1)</f>
        <v>150</v>
      </c>
      <c r="IZ12" s="17">
        <f>IF(Distances[[#This Row],[Colonne241]]=$G12,IY12,Distances[[#This Row],[Colonne241]]+1)</f>
        <v>150</v>
      </c>
      <c r="JA12" s="17">
        <f>IF(Distances[[#This Row],[Colonne242]]=$G12,IZ12,Distances[[#This Row],[Colonne242]]+1)</f>
        <v>150</v>
      </c>
      <c r="JB12" s="17">
        <f>IF(Distances[[#This Row],[Colonne243]]=$G12,JA12,Distances[[#This Row],[Colonne243]]+1)</f>
        <v>150</v>
      </c>
      <c r="JC12" s="17">
        <f>IF(Distances[[#This Row],[Colonne244]]=$G12,JB12,Distances[[#This Row],[Colonne244]]+1)</f>
        <v>150</v>
      </c>
      <c r="JD12" s="17">
        <f>IF(Distances[[#This Row],[Colonne245]]=$G12,JC12,Distances[[#This Row],[Colonne245]]+1)</f>
        <v>150</v>
      </c>
      <c r="JE12" s="17">
        <f>IF(Distances[[#This Row],[Colonne246]]=$G12,JD12,Distances[[#This Row],[Colonne246]]+1)</f>
        <v>150</v>
      </c>
      <c r="JF12" s="17">
        <f>IF(Distances[[#This Row],[Colonne247]]=$G12,JE12,Distances[[#This Row],[Colonne247]]+1)</f>
        <v>150</v>
      </c>
      <c r="JG12" s="17">
        <f>IF(Distances[[#This Row],[Colonne248]]=$G12,JF12,Distances[[#This Row],[Colonne248]]+1)</f>
        <v>150</v>
      </c>
      <c r="JH12" s="17">
        <f>IF(Distances[[#This Row],[Colonne249]]=$G12,JG12,Distances[[#This Row],[Colonne249]]+1)</f>
        <v>150</v>
      </c>
      <c r="JI12" s="17">
        <f>IF(Distances[[#This Row],[Colonne250]]=$G12,JH12,Distances[[#This Row],[Colonne250]]+1)</f>
        <v>150</v>
      </c>
      <c r="JJ12" s="17">
        <f>IF(Distances[[#This Row],[Colonne251]]=$G12,JI12,Distances[[#This Row],[Colonne251]]+1)</f>
        <v>150</v>
      </c>
      <c r="JK12" s="17">
        <f>IF(Distances[[#This Row],[Colonne252]]=$G12,JJ12,Distances[[#This Row],[Colonne252]]+1)</f>
        <v>150</v>
      </c>
      <c r="JL12" s="17">
        <f>IF(Distances[[#This Row],[Colonne253]]=$G12,JK12,Distances[[#This Row],[Colonne253]]+1)</f>
        <v>150</v>
      </c>
      <c r="JM12" s="17">
        <f>IF(Distances[[#This Row],[Colonne254]]=$G12,JL12,Distances[[#This Row],[Colonne254]]+1)</f>
        <v>150</v>
      </c>
      <c r="JN12" s="17">
        <f>IF(Distances[[#This Row],[Colonne255]]=$G12,JM12,Distances[[#This Row],[Colonne255]]+1)</f>
        <v>150</v>
      </c>
      <c r="JO12" s="17">
        <f>IF(Distances[[#This Row],[Colonne256]]=$G12,JN12,Distances[[#This Row],[Colonne256]]+1)</f>
        <v>150</v>
      </c>
      <c r="JP12" s="17">
        <f>IF(Distances[[#This Row],[Colonne257]]=$G12,JO12,Distances[[#This Row],[Colonne257]]+1)</f>
        <v>150</v>
      </c>
      <c r="JQ12" s="17">
        <f>IF(Distances[[#This Row],[Colonne258]]=$G12,JP12,Distances[[#This Row],[Colonne258]]+1)</f>
        <v>150</v>
      </c>
      <c r="JR12" s="17">
        <f>IF(Distances[[#This Row],[Colonne259]]=$G12,JQ12,Distances[[#This Row],[Colonne259]]+1)</f>
        <v>150</v>
      </c>
      <c r="JS12" s="17">
        <f>IF(Distances[[#This Row],[Colonne260]]=$G12,JR12,Distances[[#This Row],[Colonne260]]+1)</f>
        <v>150</v>
      </c>
      <c r="JT12" s="17">
        <f>IF(Distances[[#This Row],[Colonne261]]=$G12,JS12,Distances[[#This Row],[Colonne261]]+1)</f>
        <v>150</v>
      </c>
      <c r="JU12" s="17">
        <f>IF(Distances[[#This Row],[Colonne262]]=$G12,JT12,Distances[[#This Row],[Colonne262]]+1)</f>
        <v>150</v>
      </c>
      <c r="JV12" s="17">
        <f>IF(Distances[[#This Row],[Colonne263]]=$G12,JU12,Distances[[#This Row],[Colonne263]]+1)</f>
        <v>150</v>
      </c>
      <c r="JW12" s="17">
        <f>IF(Distances[[#This Row],[Colonne264]]=$G12,JV12,Distances[[#This Row],[Colonne264]]+1)</f>
        <v>150</v>
      </c>
      <c r="JX12" s="17">
        <f>IF(Distances[[#This Row],[Colonne265]]=$G12,JW12,Distances[[#This Row],[Colonne265]]+1)</f>
        <v>150</v>
      </c>
      <c r="JY12" s="17">
        <f>IF(Distances[[#This Row],[Colonne266]]=$G12,JX12,Distances[[#This Row],[Colonne266]]+1)</f>
        <v>150</v>
      </c>
      <c r="JZ12" s="17">
        <f>IF(Distances[[#This Row],[Colonne267]]=$G12,JY12,Distances[[#This Row],[Colonne267]]+1)</f>
        <v>150</v>
      </c>
      <c r="KA12" s="17">
        <f>IF(Distances[[#This Row],[Colonne268]]=$G12,JZ12,Distances[[#This Row],[Colonne268]]+1)</f>
        <v>150</v>
      </c>
      <c r="KB12" s="17">
        <f>IF(Distances[[#This Row],[Colonne269]]=$G12,KA12,Distances[[#This Row],[Colonne269]]+1)</f>
        <v>150</v>
      </c>
      <c r="KC12" s="17">
        <f>IF(Distances[[#This Row],[Colonne270]]=$G12,KB12,Distances[[#This Row],[Colonne270]]+1)</f>
        <v>150</v>
      </c>
      <c r="KD12" s="17">
        <f>IF(Distances[[#This Row],[Colonne271]]=$G12,KC12,Distances[[#This Row],[Colonne271]]+1)</f>
        <v>150</v>
      </c>
      <c r="KE12" s="17">
        <f>IF(Distances[[#This Row],[Colonne272]]=$G12,KD12,Distances[[#This Row],[Colonne272]]+1)</f>
        <v>150</v>
      </c>
      <c r="KF12" s="17">
        <f>IF(Distances[[#This Row],[Colonne273]]=$G12,KE12,Distances[[#This Row],[Colonne273]]+1)</f>
        <v>150</v>
      </c>
      <c r="KG12" s="17">
        <f>IF(Distances[[#This Row],[Colonne274]]=$G12,KF12,Distances[[#This Row],[Colonne274]]+1)</f>
        <v>150</v>
      </c>
      <c r="KH12" s="17">
        <f>IF(Distances[[#This Row],[Colonne275]]=$G12,KG12,Distances[[#This Row],[Colonne275]]+1)</f>
        <v>150</v>
      </c>
      <c r="KI12" s="17">
        <f>IF(Distances[[#This Row],[Colonne276]]=$G12,KH12,Distances[[#This Row],[Colonne276]]+1)</f>
        <v>150</v>
      </c>
      <c r="KJ12" s="17">
        <f>IF(Distances[[#This Row],[Colonne277]]=$G12,KI12,Distances[[#This Row],[Colonne277]]+1)</f>
        <v>150</v>
      </c>
      <c r="KK12" s="17">
        <f>IF(Distances[[#This Row],[Colonne278]]=$G12,KJ12,Distances[[#This Row],[Colonne278]]+1)</f>
        <v>150</v>
      </c>
      <c r="KL12" s="17">
        <f>IF(Distances[[#This Row],[Colonne279]]=$G12,KK12,Distances[[#This Row],[Colonne279]]+1)</f>
        <v>150</v>
      </c>
      <c r="KM12" s="17">
        <f>IF(Distances[[#This Row],[Colonne280]]=$G12,KL12,Distances[[#This Row],[Colonne280]]+1)</f>
        <v>150</v>
      </c>
      <c r="KN12" s="17">
        <f>IF(Distances[[#This Row],[Colonne281]]=$G12,KM12,Distances[[#This Row],[Colonne281]]+1)</f>
        <v>150</v>
      </c>
      <c r="KO12" s="17">
        <f>IF(Distances[[#This Row],[Colonne282]]=$G12,KN12,Distances[[#This Row],[Colonne282]]+1)</f>
        <v>150</v>
      </c>
      <c r="KP12" s="17">
        <f>IF(Distances[[#This Row],[Colonne283]]=$G12,KO12,Distances[[#This Row],[Colonne283]]+1)</f>
        <v>150</v>
      </c>
      <c r="KQ12" s="17">
        <f>IF(Distances[[#This Row],[Colonne284]]=$G12,KP12,Distances[[#This Row],[Colonne284]]+1)</f>
        <v>150</v>
      </c>
      <c r="KR12" s="17">
        <f>IF(Distances[[#This Row],[Colonne285]]=$G12,KQ12,Distances[[#This Row],[Colonne285]]+1)</f>
        <v>150</v>
      </c>
      <c r="KS12" s="17">
        <f>IF(Distances[[#This Row],[Colonne286]]=$G12,KR12,Distances[[#This Row],[Colonne286]]+1)</f>
        <v>150</v>
      </c>
      <c r="KT12" s="17">
        <f>IF(Distances[[#This Row],[Colonne287]]=$G12,KS12,Distances[[#This Row],[Colonne287]]+1)</f>
        <v>150</v>
      </c>
      <c r="KU12" s="17">
        <f>IF(Distances[[#This Row],[Colonne288]]=$G12,KT12,Distances[[#This Row],[Colonne288]]+1)</f>
        <v>150</v>
      </c>
      <c r="KV12" s="17">
        <f>IF(Distances[[#This Row],[Colonne289]]=$G12,KU12,Distances[[#This Row],[Colonne289]]+1)</f>
        <v>150</v>
      </c>
      <c r="KW12" s="17">
        <f>IF(Distances[[#This Row],[Colonne290]]=$G12,KV12,Distances[[#This Row],[Colonne290]]+1)</f>
        <v>150</v>
      </c>
      <c r="KX12" s="17">
        <f>IF(Distances[[#This Row],[Colonne291]]=$G12,KW12,Distances[[#This Row],[Colonne291]]+1)</f>
        <v>150</v>
      </c>
      <c r="KY12" s="17">
        <f>IF(Distances[[#This Row],[Colonne292]]=$G12,KX12,Distances[[#This Row],[Colonne292]]+1)</f>
        <v>150</v>
      </c>
      <c r="KZ12" s="17">
        <f>IF(Distances[[#This Row],[Colonne293]]=$G12,KY12,Distances[[#This Row],[Colonne293]]+1)</f>
        <v>150</v>
      </c>
      <c r="LA12" s="17">
        <f>IF(Distances[[#This Row],[Colonne294]]=$G12,KZ12,Distances[[#This Row],[Colonne294]]+1)</f>
        <v>150</v>
      </c>
      <c r="LB12" s="17">
        <f>IF(Distances[[#This Row],[Colonne295]]=$G12,LA12,Distances[[#This Row],[Colonne295]]+1)</f>
        <v>150</v>
      </c>
      <c r="LC12" s="17">
        <f>IF(Distances[[#This Row],[Colonne296]]=$G12,LB12,Distances[[#This Row],[Colonne296]]+1)</f>
        <v>150</v>
      </c>
      <c r="LD12" s="17">
        <f>IF(Distances[[#This Row],[Colonne297]]=$G12,LC12,Distances[[#This Row],[Colonne297]]+1)</f>
        <v>150</v>
      </c>
      <c r="LE12" s="17">
        <f>IF(Distances[[#This Row],[Colonne298]]=$G12,LD12,Distances[[#This Row],[Colonne298]]+1)</f>
        <v>150</v>
      </c>
      <c r="LF12" s="17">
        <f>IF(Distances[[#This Row],[Colonne299]]=$G12,LE12,Distances[[#This Row],[Colonne299]]+1)</f>
        <v>150</v>
      </c>
      <c r="LG12" s="17">
        <f>IF(Distances[[#This Row],[Colonne300]]=$G12,LF12,Distances[[#This Row],[Colonne300]]+1)</f>
        <v>150</v>
      </c>
      <c r="LH12" s="17">
        <f>IF(Distances[[#This Row],[Colonne301]]=$G12,LG12,Distances[[#This Row],[Colonne301]]+1)</f>
        <v>150</v>
      </c>
      <c r="LI12" s="17">
        <f>IF(Distances[[#This Row],[Colonne302]]=$G12,LH12,Distances[[#This Row],[Colonne302]]+1)</f>
        <v>150</v>
      </c>
      <c r="LJ12" s="17">
        <f>IF(Distances[[#This Row],[Colonne303]]=$G12,LI12,Distances[[#This Row],[Colonne303]]+1)</f>
        <v>150</v>
      </c>
      <c r="LK12" s="51"/>
      <c r="LL12" s="17">
        <f t="shared" ref="LL12:NW12" si="22">IF(LK12=$H12,LK12,LK12+1)</f>
        <v>1</v>
      </c>
      <c r="LM12" s="17">
        <f t="shared" si="22"/>
        <v>2</v>
      </c>
      <c r="LN12" s="17">
        <f t="shared" si="22"/>
        <v>3</v>
      </c>
      <c r="LO12" s="17">
        <f t="shared" si="22"/>
        <v>4</v>
      </c>
      <c r="LP12" s="17">
        <f t="shared" si="22"/>
        <v>5</v>
      </c>
      <c r="LQ12" s="17">
        <f t="shared" si="22"/>
        <v>6</v>
      </c>
      <c r="LR12" s="17">
        <f t="shared" si="22"/>
        <v>7</v>
      </c>
      <c r="LS12" s="17">
        <f t="shared" si="22"/>
        <v>8</v>
      </c>
      <c r="LT12" s="17">
        <f t="shared" si="22"/>
        <v>9</v>
      </c>
      <c r="LU12" s="17">
        <f t="shared" si="22"/>
        <v>10</v>
      </c>
      <c r="LV12" s="17">
        <f t="shared" si="22"/>
        <v>11</v>
      </c>
      <c r="LW12" s="17">
        <f t="shared" si="22"/>
        <v>12</v>
      </c>
      <c r="LX12" s="17">
        <f t="shared" si="22"/>
        <v>13</v>
      </c>
      <c r="LY12" s="17">
        <f t="shared" si="22"/>
        <v>14</v>
      </c>
      <c r="LZ12" s="17">
        <f t="shared" si="22"/>
        <v>15</v>
      </c>
      <c r="MA12" s="17">
        <f t="shared" si="22"/>
        <v>16</v>
      </c>
      <c r="MB12" s="17">
        <f t="shared" si="22"/>
        <v>17</v>
      </c>
      <c r="MC12" s="17">
        <f t="shared" si="22"/>
        <v>18</v>
      </c>
      <c r="MD12" s="17">
        <f t="shared" si="22"/>
        <v>19</v>
      </c>
      <c r="ME12" s="17">
        <f t="shared" si="22"/>
        <v>20</v>
      </c>
      <c r="MF12" s="17">
        <f t="shared" si="22"/>
        <v>21</v>
      </c>
      <c r="MG12" s="17">
        <f t="shared" si="22"/>
        <v>22</v>
      </c>
      <c r="MH12" s="17">
        <f t="shared" si="22"/>
        <v>23</v>
      </c>
      <c r="MI12" s="17">
        <f t="shared" si="22"/>
        <v>24</v>
      </c>
      <c r="MJ12" s="17">
        <f t="shared" si="22"/>
        <v>25</v>
      </c>
      <c r="MK12" s="17">
        <f t="shared" si="22"/>
        <v>26</v>
      </c>
      <c r="ML12" s="17">
        <f t="shared" si="22"/>
        <v>27</v>
      </c>
      <c r="MM12" s="17">
        <f t="shared" si="22"/>
        <v>28</v>
      </c>
      <c r="MN12" s="17">
        <f t="shared" si="22"/>
        <v>29</v>
      </c>
      <c r="MO12" s="17">
        <f t="shared" si="22"/>
        <v>30</v>
      </c>
      <c r="MP12" s="17">
        <f t="shared" si="22"/>
        <v>30</v>
      </c>
      <c r="MQ12" s="17">
        <f t="shared" si="22"/>
        <v>30</v>
      </c>
      <c r="MR12" s="17">
        <f t="shared" si="22"/>
        <v>30</v>
      </c>
      <c r="MS12" s="17">
        <f t="shared" si="22"/>
        <v>30</v>
      </c>
      <c r="MT12" s="17">
        <f t="shared" si="22"/>
        <v>30</v>
      </c>
      <c r="MU12" s="17">
        <f t="shared" si="22"/>
        <v>30</v>
      </c>
      <c r="MV12" s="17">
        <f t="shared" si="22"/>
        <v>30</v>
      </c>
      <c r="MW12" s="17">
        <f t="shared" si="22"/>
        <v>30</v>
      </c>
      <c r="MX12" s="17">
        <f t="shared" si="22"/>
        <v>30</v>
      </c>
      <c r="MY12" s="17">
        <f t="shared" si="22"/>
        <v>30</v>
      </c>
      <c r="MZ12" s="17">
        <f t="shared" si="22"/>
        <v>30</v>
      </c>
      <c r="NA12" s="17">
        <f t="shared" si="22"/>
        <v>30</v>
      </c>
      <c r="NB12" s="17">
        <f t="shared" si="22"/>
        <v>30</v>
      </c>
      <c r="NC12" s="17">
        <f t="shared" si="22"/>
        <v>30</v>
      </c>
      <c r="ND12" s="17">
        <f t="shared" si="22"/>
        <v>30</v>
      </c>
      <c r="NE12" s="17">
        <f t="shared" si="22"/>
        <v>30</v>
      </c>
      <c r="NF12" s="17">
        <f t="shared" si="22"/>
        <v>30</v>
      </c>
      <c r="NG12" s="17">
        <f t="shared" si="22"/>
        <v>30</v>
      </c>
      <c r="NH12" s="17">
        <f t="shared" si="22"/>
        <v>30</v>
      </c>
      <c r="NI12" s="17">
        <f t="shared" si="22"/>
        <v>30</v>
      </c>
      <c r="NJ12" s="17">
        <f t="shared" si="22"/>
        <v>30</v>
      </c>
      <c r="NK12" s="17">
        <f t="shared" si="22"/>
        <v>30</v>
      </c>
      <c r="NL12" s="17">
        <f t="shared" si="22"/>
        <v>30</v>
      </c>
      <c r="NM12" s="17">
        <f t="shared" si="22"/>
        <v>30</v>
      </c>
      <c r="NN12" s="17">
        <f t="shared" si="22"/>
        <v>30</v>
      </c>
      <c r="NO12" s="17">
        <f t="shared" si="22"/>
        <v>30</v>
      </c>
      <c r="NP12" s="17">
        <f t="shared" si="22"/>
        <v>30</v>
      </c>
      <c r="NQ12" s="17">
        <f t="shared" si="22"/>
        <v>30</v>
      </c>
      <c r="NR12" s="17">
        <f t="shared" si="22"/>
        <v>30</v>
      </c>
      <c r="NS12" s="17">
        <f t="shared" si="22"/>
        <v>30</v>
      </c>
      <c r="NT12" s="17">
        <f t="shared" si="22"/>
        <v>30</v>
      </c>
      <c r="NU12" s="17">
        <f t="shared" si="22"/>
        <v>30</v>
      </c>
      <c r="NV12" s="17">
        <f t="shared" si="22"/>
        <v>30</v>
      </c>
      <c r="NW12" s="17">
        <f t="shared" si="22"/>
        <v>30</v>
      </c>
      <c r="NX12" s="17">
        <f t="shared" ref="NX12:PG12" si="23">IF(NW12=$H12,NW12,NW12+1)</f>
        <v>30</v>
      </c>
      <c r="NY12" s="17">
        <f t="shared" si="23"/>
        <v>30</v>
      </c>
      <c r="NZ12" s="17">
        <f t="shared" si="23"/>
        <v>30</v>
      </c>
      <c r="OA12" s="17">
        <f t="shared" si="23"/>
        <v>30</v>
      </c>
      <c r="OB12" s="17">
        <f t="shared" si="23"/>
        <v>30</v>
      </c>
      <c r="OC12" s="17">
        <f t="shared" si="23"/>
        <v>30</v>
      </c>
      <c r="OD12" s="17">
        <f t="shared" si="23"/>
        <v>30</v>
      </c>
      <c r="OE12" s="17">
        <f t="shared" si="23"/>
        <v>30</v>
      </c>
      <c r="OF12" s="17">
        <f t="shared" si="23"/>
        <v>30</v>
      </c>
      <c r="OG12" s="17">
        <f t="shared" si="23"/>
        <v>30</v>
      </c>
      <c r="OH12" s="17">
        <f t="shared" si="23"/>
        <v>30</v>
      </c>
      <c r="OI12" s="17">
        <f t="shared" si="23"/>
        <v>30</v>
      </c>
      <c r="OJ12" s="17">
        <f t="shared" si="23"/>
        <v>30</v>
      </c>
      <c r="OK12" s="17">
        <f t="shared" si="23"/>
        <v>30</v>
      </c>
      <c r="OL12" s="17">
        <f t="shared" si="23"/>
        <v>30</v>
      </c>
      <c r="OM12" s="17">
        <f t="shared" si="23"/>
        <v>30</v>
      </c>
      <c r="ON12" s="17">
        <f t="shared" si="23"/>
        <v>30</v>
      </c>
      <c r="OO12" s="17">
        <f t="shared" si="23"/>
        <v>30</v>
      </c>
      <c r="OP12" s="17">
        <f t="shared" si="23"/>
        <v>30</v>
      </c>
      <c r="OQ12" s="17">
        <f t="shared" si="23"/>
        <v>30</v>
      </c>
      <c r="OR12" s="17">
        <f t="shared" si="23"/>
        <v>30</v>
      </c>
      <c r="OS12" s="17">
        <f t="shared" si="23"/>
        <v>30</v>
      </c>
      <c r="OT12" s="17">
        <f t="shared" si="23"/>
        <v>30</v>
      </c>
      <c r="OU12" s="17">
        <f t="shared" si="23"/>
        <v>30</v>
      </c>
      <c r="OV12" s="17">
        <f t="shared" si="23"/>
        <v>30</v>
      </c>
      <c r="OW12" s="17">
        <f t="shared" si="23"/>
        <v>30</v>
      </c>
      <c r="OX12" s="17">
        <f t="shared" si="23"/>
        <v>30</v>
      </c>
      <c r="OY12" s="17">
        <f t="shared" si="23"/>
        <v>30</v>
      </c>
      <c r="OZ12" s="17">
        <f t="shared" si="23"/>
        <v>30</v>
      </c>
      <c r="PA12" s="17">
        <f t="shared" si="23"/>
        <v>30</v>
      </c>
      <c r="PB12" s="17">
        <f t="shared" si="23"/>
        <v>30</v>
      </c>
      <c r="PC12" s="17">
        <f t="shared" si="23"/>
        <v>30</v>
      </c>
      <c r="PD12" s="17">
        <f t="shared" si="23"/>
        <v>30</v>
      </c>
      <c r="PE12" s="17">
        <f t="shared" si="23"/>
        <v>30</v>
      </c>
      <c r="PF12" s="17">
        <f t="shared" si="23"/>
        <v>30</v>
      </c>
      <c r="PG12" s="17">
        <f t="shared" si="23"/>
        <v>30</v>
      </c>
    </row>
    <row r="13" spans="1:423" x14ac:dyDescent="0.25">
      <c r="A13" s="8" t="s">
        <v>5509</v>
      </c>
      <c r="B13" s="9" t="s">
        <v>8503</v>
      </c>
      <c r="C13" s="9" t="str">
        <f t="shared" si="0"/>
        <v>LDames LBIF</v>
      </c>
      <c r="D13" s="1" t="str">
        <f t="shared" si="1"/>
        <v>Libre Dames LBIF</v>
      </c>
      <c r="E13" s="1" t="s">
        <v>8498</v>
      </c>
      <c r="F13" s="9" t="s">
        <v>5452</v>
      </c>
      <c r="G13" s="9">
        <v>40</v>
      </c>
      <c r="H13" s="9">
        <v>30</v>
      </c>
      <c r="I13" s="127">
        <v>2.8</v>
      </c>
      <c r="J13" s="30" t="s">
        <v>5511</v>
      </c>
      <c r="K13" s="10"/>
      <c r="L13" s="8">
        <v>0</v>
      </c>
      <c r="M13" s="9"/>
      <c r="N13" s="10">
        <v>1.6</v>
      </c>
      <c r="O13" s="269"/>
      <c r="P13" s="331"/>
      <c r="Q13" s="335"/>
      <c r="R13" s="128"/>
      <c r="S13" s="9"/>
      <c r="T13" s="10"/>
      <c r="U13" t="s">
        <v>5523</v>
      </c>
      <c r="V13" s="17">
        <v>0</v>
      </c>
      <c r="W13" s="17">
        <f>IF(Distances[[#This Row],[Colonne4]]=$G13,V13,Distances[[#This Row],[Colonne4]]+1)</f>
        <v>1</v>
      </c>
      <c r="X13" s="17">
        <f>IF(Distances[[#This Row],[Colonne5]]=$G13,W13,Distances[[#This Row],[Colonne5]]+1)</f>
        <v>2</v>
      </c>
      <c r="Y13" s="17">
        <f>IF(Distances[[#This Row],[Colonne6]]=$G13,X13,Distances[[#This Row],[Colonne6]]+1)</f>
        <v>3</v>
      </c>
      <c r="Z13" s="17">
        <f>IF(Distances[[#This Row],[Colonne7]]=$G13,Y13,Distances[[#This Row],[Colonne7]]+1)</f>
        <v>4</v>
      </c>
      <c r="AA13" s="17">
        <f>IF(Distances[[#This Row],[Colonne8]]=$G13,Z13,Distances[[#This Row],[Colonne8]]+1)</f>
        <v>5</v>
      </c>
      <c r="AB13" s="17">
        <f>IF(Distances[[#This Row],[Colonne9]]=$G13,AA13,Distances[[#This Row],[Colonne9]]+1)</f>
        <v>6</v>
      </c>
      <c r="AC13" s="17">
        <f>IF(Distances[[#This Row],[Colonne10]]=$G13,AB13,Distances[[#This Row],[Colonne10]]+1)</f>
        <v>7</v>
      </c>
      <c r="AD13" s="17">
        <f>IF(Distances[[#This Row],[Colonne11]]=$G13,AC13,Distances[[#This Row],[Colonne11]]+1)</f>
        <v>8</v>
      </c>
      <c r="AE13" s="17">
        <f>IF(Distances[[#This Row],[Colonne12]]=$G13,AD13,Distances[[#This Row],[Colonne12]]+1)</f>
        <v>9</v>
      </c>
      <c r="AF13" s="17">
        <f>IF(Distances[[#This Row],[Colonne13]]=$G13,AE13,Distances[[#This Row],[Colonne13]]+1)</f>
        <v>10</v>
      </c>
      <c r="AG13" s="17">
        <f>IF(Distances[[#This Row],[Colonne14]]=$G13,AF13,Distances[[#This Row],[Colonne14]]+1)</f>
        <v>11</v>
      </c>
      <c r="AH13" s="17">
        <f>IF(Distances[[#This Row],[Colonne15]]=$G13,AG13,Distances[[#This Row],[Colonne15]]+1)</f>
        <v>12</v>
      </c>
      <c r="AI13" s="17">
        <f>IF(Distances[[#This Row],[Colonne16]]=$G13,AH13,Distances[[#This Row],[Colonne16]]+1)</f>
        <v>13</v>
      </c>
      <c r="AJ13" s="17">
        <f>IF(Distances[[#This Row],[Colonne17]]=$G13,AI13,Distances[[#This Row],[Colonne17]]+1)</f>
        <v>14</v>
      </c>
      <c r="AK13" s="17">
        <f>IF(Distances[[#This Row],[Colonne18]]=$G13,AJ13,Distances[[#This Row],[Colonne18]]+1)</f>
        <v>15</v>
      </c>
      <c r="AL13" s="17">
        <f>IF(Distances[[#This Row],[Colonne19]]=$G13,AK13,Distances[[#This Row],[Colonne19]]+1)</f>
        <v>16</v>
      </c>
      <c r="AM13" s="17">
        <f>IF(Distances[[#This Row],[Colonne20]]=$G13,AL13,Distances[[#This Row],[Colonne20]]+1)</f>
        <v>17</v>
      </c>
      <c r="AN13" s="17">
        <f>IF(Distances[[#This Row],[Colonne21]]=$G13,AM13,Distances[[#This Row],[Colonne21]]+1)</f>
        <v>18</v>
      </c>
      <c r="AO13" s="17">
        <f>IF(Distances[[#This Row],[Colonne22]]=$G13,AN13,Distances[[#This Row],[Colonne22]]+1)</f>
        <v>19</v>
      </c>
      <c r="AP13" s="17">
        <f>IF(Distances[[#This Row],[Colonne23]]=$G13,AO13,Distances[[#This Row],[Colonne23]]+1)</f>
        <v>20</v>
      </c>
      <c r="AQ13" s="17">
        <f>IF(Distances[[#This Row],[Colonne24]]=$G13,AP13,Distances[[#This Row],[Colonne24]]+1)</f>
        <v>21</v>
      </c>
      <c r="AR13" s="17">
        <f>IF(Distances[[#This Row],[Colonne25]]=$G13,AQ13,Distances[[#This Row],[Colonne25]]+1)</f>
        <v>22</v>
      </c>
      <c r="AS13" s="17">
        <f>IF(Distances[[#This Row],[Colonne26]]=$G13,AR13,Distances[[#This Row],[Colonne26]]+1)</f>
        <v>23</v>
      </c>
      <c r="AT13" s="17">
        <f>IF(Distances[[#This Row],[Colonne27]]=$G13,AS13,Distances[[#This Row],[Colonne27]]+1)</f>
        <v>24</v>
      </c>
      <c r="AU13" s="17">
        <f>IF(Distances[[#This Row],[Colonne28]]=$G13,AT13,Distances[[#This Row],[Colonne28]]+1)</f>
        <v>25</v>
      </c>
      <c r="AV13" s="17">
        <f>IF(Distances[[#This Row],[Colonne29]]=$G13,AU13,Distances[[#This Row],[Colonne29]]+1)</f>
        <v>26</v>
      </c>
      <c r="AW13" s="17">
        <f>IF(Distances[[#This Row],[Colonne30]]=$G13,AV13,Distances[[#This Row],[Colonne30]]+1)</f>
        <v>27</v>
      </c>
      <c r="AX13" s="17">
        <f>IF(Distances[[#This Row],[Colonne31]]=$G13,AW13,Distances[[#This Row],[Colonne31]]+1)</f>
        <v>28</v>
      </c>
      <c r="AY13" s="17">
        <f>IF(Distances[[#This Row],[Colonne32]]=$G13,AX13,Distances[[#This Row],[Colonne32]]+1)</f>
        <v>29</v>
      </c>
      <c r="AZ13" s="17">
        <f>IF(Distances[[#This Row],[Colonne33]]=$G13,AY13,Distances[[#This Row],[Colonne33]]+1)</f>
        <v>30</v>
      </c>
      <c r="BA13" s="17">
        <f>IF(Distances[[#This Row],[Colonne34]]=$G13,AZ13,Distances[[#This Row],[Colonne34]]+1)</f>
        <v>31</v>
      </c>
      <c r="BB13" s="17">
        <f>IF(Distances[[#This Row],[Colonne35]]=$G13,BA13,Distances[[#This Row],[Colonne35]]+1)</f>
        <v>32</v>
      </c>
      <c r="BC13" s="17">
        <f>IF(Distances[[#This Row],[Colonne36]]=$G13,BB13,Distances[[#This Row],[Colonne36]]+1)</f>
        <v>33</v>
      </c>
      <c r="BD13" s="17">
        <f>IF(Distances[[#This Row],[Colonne37]]=$G13,BC13,Distances[[#This Row],[Colonne37]]+1)</f>
        <v>34</v>
      </c>
      <c r="BE13" s="17">
        <f>IF(Distances[[#This Row],[Colonne38]]=$G13,BD13,Distances[[#This Row],[Colonne38]]+1)</f>
        <v>35</v>
      </c>
      <c r="BF13" s="17">
        <f>IF(Distances[[#This Row],[Colonne39]]=$G13,BE13,Distances[[#This Row],[Colonne39]]+1)</f>
        <v>36</v>
      </c>
      <c r="BG13" s="17">
        <f>IF(Distances[[#This Row],[Colonne40]]=$G13,BF13,Distances[[#This Row],[Colonne40]]+1)</f>
        <v>37</v>
      </c>
      <c r="BH13" s="17">
        <f>IF(Distances[[#This Row],[Colonne41]]=$G13,BG13,Distances[[#This Row],[Colonne41]]+1)</f>
        <v>38</v>
      </c>
      <c r="BI13" s="17">
        <f>IF(Distances[[#This Row],[Colonne42]]=$G13,BH13,Distances[[#This Row],[Colonne42]]+1)</f>
        <v>39</v>
      </c>
      <c r="BJ13" s="17">
        <f>IF(Distances[[#This Row],[Colonne43]]=$G13,BI13,Distances[[#This Row],[Colonne43]]+1)</f>
        <v>40</v>
      </c>
      <c r="BK13" s="17">
        <f>IF(Distances[[#This Row],[Colonne44]]=$G13,BJ13,Distances[[#This Row],[Colonne44]]+1)</f>
        <v>40</v>
      </c>
      <c r="BL13" s="17">
        <f>IF(Distances[[#This Row],[Colonne45]]=$G13,BK13,Distances[[#This Row],[Colonne45]]+1)</f>
        <v>40</v>
      </c>
      <c r="BM13" s="17">
        <f>IF(Distances[[#This Row],[Colonne46]]=$G13,BL13,Distances[[#This Row],[Colonne46]]+1)</f>
        <v>40</v>
      </c>
      <c r="BN13" s="17">
        <f>IF(Distances[[#This Row],[Colonne47]]=$G13,BM13,Distances[[#This Row],[Colonne47]]+1)</f>
        <v>40</v>
      </c>
      <c r="BO13" s="17">
        <f>IF(Distances[[#This Row],[Colonne48]]=$G13,BN13,Distances[[#This Row],[Colonne48]]+1)</f>
        <v>40</v>
      </c>
      <c r="BP13" s="17">
        <f>IF(Distances[[#This Row],[Colonne49]]=$G13,BO13,Distances[[#This Row],[Colonne49]]+1)</f>
        <v>40</v>
      </c>
      <c r="BQ13" s="17">
        <f>IF(Distances[[#This Row],[Colonne50]]=$G13,BP13,Distances[[#This Row],[Colonne50]]+1)</f>
        <v>40</v>
      </c>
      <c r="BR13" s="17">
        <f>IF(Distances[[#This Row],[Colonne51]]=$G13,BQ13,Distances[[#This Row],[Colonne51]]+1)</f>
        <v>40</v>
      </c>
      <c r="BS13" s="17">
        <f>IF(Distances[[#This Row],[Colonne52]]=$G13,BR13,Distances[[#This Row],[Colonne52]]+1)</f>
        <v>40</v>
      </c>
      <c r="BT13" s="17">
        <f>IF(Distances[[#This Row],[Colonne53]]=$G13,BS13,Distances[[#This Row],[Colonne53]]+1)</f>
        <v>40</v>
      </c>
      <c r="BU13" s="17">
        <f>IF(Distances[[#This Row],[Colonne54]]=$G13,BT13,Distances[[#This Row],[Colonne54]]+1)</f>
        <v>40</v>
      </c>
      <c r="BV13" s="17">
        <f>IF(Distances[[#This Row],[Colonne55]]=$G13,BU13,Distances[[#This Row],[Colonne55]]+1)</f>
        <v>40</v>
      </c>
      <c r="BW13" s="17">
        <f>IF(Distances[[#This Row],[Colonne56]]=$G13,BV13,Distances[[#This Row],[Colonne56]]+1)</f>
        <v>40</v>
      </c>
      <c r="BX13" s="17">
        <f>IF(Distances[[#This Row],[Colonne57]]=$G13,BW13,Distances[[#This Row],[Colonne57]]+1)</f>
        <v>40</v>
      </c>
      <c r="BY13" s="17">
        <f>IF(Distances[[#This Row],[Colonne58]]=$G13,BX13,Distances[[#This Row],[Colonne58]]+1)</f>
        <v>40</v>
      </c>
      <c r="BZ13" s="17">
        <f>IF(Distances[[#This Row],[Colonne59]]=$G13,BY13,Distances[[#This Row],[Colonne59]]+1)</f>
        <v>40</v>
      </c>
      <c r="CA13" s="17">
        <f>IF(Distances[[#This Row],[Colonne60]]=$G13,BZ13,Distances[[#This Row],[Colonne60]]+1)</f>
        <v>40</v>
      </c>
      <c r="CB13" s="17">
        <f>IF(Distances[[#This Row],[Colonne61]]=$G13,CA13,Distances[[#This Row],[Colonne61]]+1)</f>
        <v>40</v>
      </c>
      <c r="CC13" s="17">
        <f>IF(Distances[[#This Row],[Colonne62]]=$G13,CB13,Distances[[#This Row],[Colonne62]]+1)</f>
        <v>40</v>
      </c>
      <c r="CD13" s="17">
        <f>IF(Distances[[#This Row],[Colonne63]]=$G13,CC13,Distances[[#This Row],[Colonne63]]+1)</f>
        <v>40</v>
      </c>
      <c r="CE13" s="17">
        <f>IF(Distances[[#This Row],[Colonne64]]=$G13,CD13,Distances[[#This Row],[Colonne64]]+1)</f>
        <v>40</v>
      </c>
      <c r="CF13" s="17">
        <f>IF(Distances[[#This Row],[Colonne65]]=$G13,CE13,Distances[[#This Row],[Colonne65]]+1)</f>
        <v>40</v>
      </c>
      <c r="CG13" s="17">
        <f>IF(Distances[[#This Row],[Colonne66]]=$G13,CF13,Distances[[#This Row],[Colonne66]]+1)</f>
        <v>40</v>
      </c>
      <c r="CH13" s="17">
        <f>IF(Distances[[#This Row],[Colonne67]]=$G13,CG13,Distances[[#This Row],[Colonne67]]+1)</f>
        <v>40</v>
      </c>
      <c r="CI13" s="17">
        <f>IF(Distances[[#This Row],[Colonne68]]=$G13,CH13,Distances[[#This Row],[Colonne68]]+1)</f>
        <v>40</v>
      </c>
      <c r="CJ13" s="17">
        <f>IF(Distances[[#This Row],[Colonne69]]=$G13,CI13,Distances[[#This Row],[Colonne69]]+1)</f>
        <v>40</v>
      </c>
      <c r="CK13" s="17">
        <f>IF(Distances[[#This Row],[Colonne70]]=$G13,CJ13,Distances[[#This Row],[Colonne70]]+1)</f>
        <v>40</v>
      </c>
      <c r="CL13" s="17">
        <f>IF(Distances[[#This Row],[Colonne71]]=$G13,CK13,Distances[[#This Row],[Colonne71]]+1)</f>
        <v>40</v>
      </c>
      <c r="CM13" s="17">
        <f>IF(Distances[[#This Row],[Colonne72]]=$G13,CL13,Distances[[#This Row],[Colonne72]]+1)</f>
        <v>40</v>
      </c>
      <c r="CN13" s="17">
        <f>IF(Distances[[#This Row],[Colonne73]]=$G13,CM13,Distances[[#This Row],[Colonne73]]+1)</f>
        <v>40</v>
      </c>
      <c r="CO13" s="17">
        <f>IF(Distances[[#This Row],[Colonne74]]=$G13,CN13,Distances[[#This Row],[Colonne74]]+1)</f>
        <v>40</v>
      </c>
      <c r="CP13" s="17">
        <f>IF(Distances[[#This Row],[Colonne75]]=$G13,CO13,Distances[[#This Row],[Colonne75]]+1)</f>
        <v>40</v>
      </c>
      <c r="CQ13" s="17">
        <f>IF(Distances[[#This Row],[Colonne76]]=$G13,CP13,Distances[[#This Row],[Colonne76]]+1)</f>
        <v>40</v>
      </c>
      <c r="CR13" s="17">
        <f>IF(Distances[[#This Row],[Colonne77]]=$G13,CQ13,Distances[[#This Row],[Colonne77]]+1)</f>
        <v>40</v>
      </c>
      <c r="CS13" s="17">
        <f>IF(Distances[[#This Row],[Colonne78]]=$G13,CR13,Distances[[#This Row],[Colonne78]]+1)</f>
        <v>40</v>
      </c>
      <c r="CT13" s="17">
        <f>IF(Distances[[#This Row],[Colonne79]]=$G13,CS13,Distances[[#This Row],[Colonne79]]+1)</f>
        <v>40</v>
      </c>
      <c r="CU13" s="17">
        <f>IF(Distances[[#This Row],[Colonne80]]=$G13,CT13,Distances[[#This Row],[Colonne80]]+1)</f>
        <v>40</v>
      </c>
      <c r="CV13" s="17">
        <f>IF(Distances[[#This Row],[Colonne81]]=$G13,CU13,Distances[[#This Row],[Colonne81]]+1)</f>
        <v>40</v>
      </c>
      <c r="CW13" s="17">
        <f>IF(Distances[[#This Row],[Colonne82]]=$G13,CV13,Distances[[#This Row],[Colonne82]]+1)</f>
        <v>40</v>
      </c>
      <c r="CX13" s="17">
        <f>IF(Distances[[#This Row],[Colonne83]]=$G13,CW13,Distances[[#This Row],[Colonne83]]+1)</f>
        <v>40</v>
      </c>
      <c r="CY13" s="17">
        <f>IF(Distances[[#This Row],[Colonne84]]=$G13,CX13,Distances[[#This Row],[Colonne84]]+1)</f>
        <v>40</v>
      </c>
      <c r="CZ13" s="17">
        <f>IF(Distances[[#This Row],[Colonne85]]=$G13,CY13,Distances[[#This Row],[Colonne85]]+1)</f>
        <v>40</v>
      </c>
      <c r="DA13" s="17">
        <f>IF(Distances[[#This Row],[Colonne86]]=$G13,CZ13,Distances[[#This Row],[Colonne86]]+1)</f>
        <v>40</v>
      </c>
      <c r="DB13" s="17">
        <f>IF(Distances[[#This Row],[Colonne87]]=$G13,DA13,Distances[[#This Row],[Colonne87]]+1)</f>
        <v>40</v>
      </c>
      <c r="DC13" s="17">
        <f>IF(Distances[[#This Row],[Colonne88]]=$G13,DB13,Distances[[#This Row],[Colonne88]]+1)</f>
        <v>40</v>
      </c>
      <c r="DD13" s="17">
        <f>IF(Distances[[#This Row],[Colonne89]]=$G13,DC13,Distances[[#This Row],[Colonne89]]+1)</f>
        <v>40</v>
      </c>
      <c r="DE13" s="17">
        <f>IF(Distances[[#This Row],[Colonne90]]=$G13,DD13,Distances[[#This Row],[Colonne90]]+1)</f>
        <v>40</v>
      </c>
      <c r="DF13" s="17">
        <f>IF(Distances[[#This Row],[Colonne91]]=$G13,DE13,Distances[[#This Row],[Colonne91]]+1)</f>
        <v>40</v>
      </c>
      <c r="DG13" s="17">
        <f>IF(Distances[[#This Row],[Colonne92]]=$G13,DF13,Distances[[#This Row],[Colonne92]]+1)</f>
        <v>40</v>
      </c>
      <c r="DH13" s="17">
        <f>IF(Distances[[#This Row],[Colonne93]]=$G13,DG13,Distances[[#This Row],[Colonne93]]+1)</f>
        <v>40</v>
      </c>
      <c r="DI13" s="17">
        <f>IF(Distances[[#This Row],[Colonne94]]=$G13,DH13,Distances[[#This Row],[Colonne94]]+1)</f>
        <v>40</v>
      </c>
      <c r="DJ13" s="17">
        <f>IF(Distances[[#This Row],[Colonne95]]=$G13,DI13,Distances[[#This Row],[Colonne95]]+1)</f>
        <v>40</v>
      </c>
      <c r="DK13" s="17">
        <f>IF(Distances[[#This Row],[Colonne96]]=$G13,DJ13,Distances[[#This Row],[Colonne96]]+1)</f>
        <v>40</v>
      </c>
      <c r="DL13" s="17">
        <f>IF(Distances[[#This Row],[Colonne97]]=$G13,DK13,Distances[[#This Row],[Colonne97]]+1)</f>
        <v>40</v>
      </c>
      <c r="DM13" s="17">
        <f>IF(Distances[[#This Row],[Colonne98]]=$G13,DL13,Distances[[#This Row],[Colonne98]]+1)</f>
        <v>40</v>
      </c>
      <c r="DN13" s="17">
        <f>IF(Distances[[#This Row],[Colonne99]]=$G13,DM13,Distances[[#This Row],[Colonne99]]+1)</f>
        <v>40</v>
      </c>
      <c r="DO13" s="17">
        <f>IF(Distances[[#This Row],[Colonne100]]=$G13,DN13,Distances[[#This Row],[Colonne100]]+1)</f>
        <v>40</v>
      </c>
      <c r="DP13" s="17">
        <f>IF(Distances[[#This Row],[Colonne101]]=$G13,DO13,Distances[[#This Row],[Colonne101]]+1)</f>
        <v>40</v>
      </c>
      <c r="DQ13" s="17">
        <f>IF(Distances[[#This Row],[Colonne102]]=$G13,DP13,Distances[[#This Row],[Colonne102]]+1)</f>
        <v>40</v>
      </c>
      <c r="DR13" s="17">
        <f>IF(Distances[[#This Row],[Colonne103]]=$G13,DQ13,Distances[[#This Row],[Colonne103]]+1)</f>
        <v>40</v>
      </c>
      <c r="DS13" s="17">
        <f>IF(Distances[[#This Row],[Colonne104]]=$G13,DR13,Distances[[#This Row],[Colonne104]]+1)</f>
        <v>40</v>
      </c>
      <c r="DT13" s="17">
        <f>IF(Distances[[#This Row],[Colonne105]]=$G13,DS13,Distances[[#This Row],[Colonne105]]+1)</f>
        <v>40</v>
      </c>
      <c r="DU13" s="17">
        <f>IF(Distances[[#This Row],[Colonne106]]=$G13,DT13,Distances[[#This Row],[Colonne106]]+1)</f>
        <v>40</v>
      </c>
      <c r="DV13" s="17">
        <f>IF(Distances[[#This Row],[Colonne107]]=$G13,DU13,Distances[[#This Row],[Colonne107]]+1)</f>
        <v>40</v>
      </c>
      <c r="DW13" s="17">
        <f>IF(Distances[[#This Row],[Colonne108]]=$G13,DV13,Distances[[#This Row],[Colonne108]]+1)</f>
        <v>40</v>
      </c>
      <c r="DX13" s="17">
        <f>IF(Distances[[#This Row],[Colonne109]]=$G13,DW13,Distances[[#This Row],[Colonne109]]+1)</f>
        <v>40</v>
      </c>
      <c r="DY13" s="17">
        <f>IF(Distances[[#This Row],[Colonne110]]=$G13,DX13,Distances[[#This Row],[Colonne110]]+1)</f>
        <v>40</v>
      </c>
      <c r="DZ13" s="17">
        <f>IF(Distances[[#This Row],[Colonne111]]=$G13,DY13,Distances[[#This Row],[Colonne111]]+1)</f>
        <v>40</v>
      </c>
      <c r="EA13" s="17">
        <f>IF(Distances[[#This Row],[Colonne112]]=$G13,DZ13,Distances[[#This Row],[Colonne112]]+1)</f>
        <v>40</v>
      </c>
      <c r="EB13" s="17">
        <f>IF(Distances[[#This Row],[Colonne113]]=$G13,EA13,Distances[[#This Row],[Colonne113]]+1)</f>
        <v>40</v>
      </c>
      <c r="EC13" s="17">
        <f>IF(Distances[[#This Row],[Colonne114]]=$G13,EB13,Distances[[#This Row],[Colonne114]]+1)</f>
        <v>40</v>
      </c>
      <c r="ED13" s="17">
        <f>IF(Distances[[#This Row],[Colonne115]]=$G13,EC13,Distances[[#This Row],[Colonne115]]+1)</f>
        <v>40</v>
      </c>
      <c r="EE13" s="17">
        <f>IF(Distances[[#This Row],[Colonne116]]=$G13,ED13,Distances[[#This Row],[Colonne116]]+1)</f>
        <v>40</v>
      </c>
      <c r="EF13" s="17">
        <f>IF(Distances[[#This Row],[Colonne117]]=$G13,EE13,Distances[[#This Row],[Colonne117]]+1)</f>
        <v>40</v>
      </c>
      <c r="EG13" s="17">
        <f>IF(Distances[[#This Row],[Colonne118]]=$G13,EF13,Distances[[#This Row],[Colonne118]]+1)</f>
        <v>40</v>
      </c>
      <c r="EH13" s="17">
        <f>IF(Distances[[#This Row],[Colonne119]]=$G13,EG13,Distances[[#This Row],[Colonne119]]+1)</f>
        <v>40</v>
      </c>
      <c r="EI13" s="17">
        <f>IF(Distances[[#This Row],[Colonne120]]=$G13,EH13,Distances[[#This Row],[Colonne120]]+1)</f>
        <v>40</v>
      </c>
      <c r="EJ13" s="17">
        <f>IF(Distances[[#This Row],[Colonne121]]=$G13,EI13,Distances[[#This Row],[Colonne121]]+1)</f>
        <v>40</v>
      </c>
      <c r="EK13" s="17">
        <f>IF(Distances[[#This Row],[Colonne122]]=$G13,EJ13,Distances[[#This Row],[Colonne122]]+1)</f>
        <v>40</v>
      </c>
      <c r="EL13" s="17">
        <f>IF(Distances[[#This Row],[Colonne123]]=$G13,EK13,Distances[[#This Row],[Colonne123]]+1)</f>
        <v>40</v>
      </c>
      <c r="EM13" s="17">
        <f>IF(Distances[[#This Row],[Colonne124]]=$G13,EL13,Distances[[#This Row],[Colonne124]]+1)</f>
        <v>40</v>
      </c>
      <c r="EN13" s="17">
        <f>IF(Distances[[#This Row],[Colonne125]]=$G13,EM13,Distances[[#This Row],[Colonne125]]+1)</f>
        <v>40</v>
      </c>
      <c r="EO13" s="17">
        <f>IF(Distances[[#This Row],[Colonne126]]=$G13,EN13,Distances[[#This Row],[Colonne126]]+1)</f>
        <v>40</v>
      </c>
      <c r="EP13" s="17">
        <f>IF(Distances[[#This Row],[Colonne127]]=$G13,EO13,Distances[[#This Row],[Colonne127]]+1)</f>
        <v>40</v>
      </c>
      <c r="EQ13" s="17">
        <f>IF(Distances[[#This Row],[Colonne128]]=$G13,EP13,Distances[[#This Row],[Colonne128]]+1)</f>
        <v>40</v>
      </c>
      <c r="ER13" s="17">
        <f>IF(Distances[[#This Row],[Colonne129]]=$G13,EQ13,Distances[[#This Row],[Colonne129]]+1)</f>
        <v>40</v>
      </c>
      <c r="ES13" s="17">
        <f>IF(Distances[[#This Row],[Colonne130]]=$G13,ER13,Distances[[#This Row],[Colonne130]]+1)</f>
        <v>40</v>
      </c>
      <c r="ET13" s="17">
        <f>IF(Distances[[#This Row],[Colonne131]]=$G13,ES13,Distances[[#This Row],[Colonne131]]+1)</f>
        <v>40</v>
      </c>
      <c r="EU13" s="17">
        <f>IF(Distances[[#This Row],[Colonne132]]=$G13,ET13,Distances[[#This Row],[Colonne132]]+1)</f>
        <v>40</v>
      </c>
      <c r="EV13" s="17">
        <f>IF(Distances[[#This Row],[Colonne133]]=$G13,EU13,Distances[[#This Row],[Colonne133]]+1)</f>
        <v>40</v>
      </c>
      <c r="EW13" s="17">
        <f>IF(Distances[[#This Row],[Colonne134]]=$G13,EV13,Distances[[#This Row],[Colonne134]]+1)</f>
        <v>40</v>
      </c>
      <c r="EX13" s="17">
        <f>IF(Distances[[#This Row],[Colonne135]]=$G13,EW13,Distances[[#This Row],[Colonne135]]+1)</f>
        <v>40</v>
      </c>
      <c r="EY13" s="17">
        <f>IF(Distances[[#This Row],[Colonne136]]=$G13,EX13,Distances[[#This Row],[Colonne136]]+1)</f>
        <v>40</v>
      </c>
      <c r="EZ13" s="17">
        <f>IF(Distances[[#This Row],[Colonne137]]=$G13,EY13,Distances[[#This Row],[Colonne137]]+1)</f>
        <v>40</v>
      </c>
      <c r="FA13" s="17">
        <f>IF(Distances[[#This Row],[Colonne138]]=$G13,EZ13,Distances[[#This Row],[Colonne138]]+1)</f>
        <v>40</v>
      </c>
      <c r="FB13" s="17">
        <f>IF(Distances[[#This Row],[Colonne139]]=$G13,FA13,Distances[[#This Row],[Colonne139]]+1)</f>
        <v>40</v>
      </c>
      <c r="FC13" s="17">
        <f>IF(Distances[[#This Row],[Colonne140]]=$G13,FB13,Distances[[#This Row],[Colonne140]]+1)</f>
        <v>40</v>
      </c>
      <c r="FD13" s="17">
        <f>IF(Distances[[#This Row],[Colonne141]]=$G13,FC13,Distances[[#This Row],[Colonne141]]+1)</f>
        <v>40</v>
      </c>
      <c r="FE13" s="17">
        <f>IF(Distances[[#This Row],[Colonne142]]=$G13,FD13,Distances[[#This Row],[Colonne142]]+1)</f>
        <v>40</v>
      </c>
      <c r="FF13" s="17">
        <f>IF(Distances[[#This Row],[Colonne143]]=$G13,FE13,Distances[[#This Row],[Colonne143]]+1)</f>
        <v>40</v>
      </c>
      <c r="FG13" s="17">
        <f>IF(Distances[[#This Row],[Colonne144]]=$G13,FF13,Distances[[#This Row],[Colonne144]]+1)</f>
        <v>40</v>
      </c>
      <c r="FH13" s="17">
        <f>IF(Distances[[#This Row],[Colonne145]]=$G13,FG13,Distances[[#This Row],[Colonne145]]+1)</f>
        <v>40</v>
      </c>
      <c r="FI13" s="17">
        <f>IF(Distances[[#This Row],[Colonne146]]=$G13,FH13,Distances[[#This Row],[Colonne146]]+1)</f>
        <v>40</v>
      </c>
      <c r="FJ13" s="17">
        <f>IF(Distances[[#This Row],[Colonne147]]=$G13,FI13,Distances[[#This Row],[Colonne147]]+1)</f>
        <v>40</v>
      </c>
      <c r="FK13" s="17">
        <f>IF(Distances[[#This Row],[Colonne148]]=$G13,FJ13,Distances[[#This Row],[Colonne148]]+1)</f>
        <v>40</v>
      </c>
      <c r="FL13" s="17">
        <f>IF(Distances[[#This Row],[Colonne149]]=$G13,FK13,Distances[[#This Row],[Colonne149]]+1)</f>
        <v>40</v>
      </c>
      <c r="FM13" s="17">
        <f>IF(Distances[[#This Row],[Colonne150]]=$G13,FL13,Distances[[#This Row],[Colonne150]]+1)</f>
        <v>40</v>
      </c>
      <c r="FN13" s="17">
        <f>IF(Distances[[#This Row],[Colonne151]]=$G13,FM13,Distances[[#This Row],[Colonne151]]+1)</f>
        <v>40</v>
      </c>
      <c r="FO13" s="17">
        <f>IF(Distances[[#This Row],[Colonne152]]=$G13,FN13,Distances[[#This Row],[Colonne152]]+1)</f>
        <v>40</v>
      </c>
      <c r="FP13" s="17">
        <f>IF(Distances[[#This Row],[Colonne153]]=$G13,FO13,Distances[[#This Row],[Colonne153]]+1)</f>
        <v>40</v>
      </c>
      <c r="FQ13" s="17">
        <f>IF(Distances[[#This Row],[Colonne154]]=$G13,FP13,Distances[[#This Row],[Colonne154]]+1)</f>
        <v>40</v>
      </c>
      <c r="FR13" s="17">
        <f>IF(Distances[[#This Row],[Colonne155]]=$G13,FQ13,Distances[[#This Row],[Colonne155]]+1)</f>
        <v>40</v>
      </c>
      <c r="FS13" s="17">
        <f>IF(Distances[[#This Row],[Colonne156]]=$G13,FR13,Distances[[#This Row],[Colonne156]]+1)</f>
        <v>40</v>
      </c>
      <c r="FT13" s="17">
        <f>IF(Distances[[#This Row],[Colonne157]]=$G13,FS13,Distances[[#This Row],[Colonne157]]+1)</f>
        <v>40</v>
      </c>
      <c r="FU13" s="17">
        <f>IF(Distances[[#This Row],[Colonne158]]=$G13,FT13,Distances[[#This Row],[Colonne158]]+1)</f>
        <v>40</v>
      </c>
      <c r="FV13" s="17">
        <f>IF(Distances[[#This Row],[Colonne159]]=$G13,FU13,Distances[[#This Row],[Colonne159]]+1)</f>
        <v>40</v>
      </c>
      <c r="FW13" s="17">
        <f>IF(Distances[[#This Row],[Colonne160]]=$G13,FV13,Distances[[#This Row],[Colonne160]]+1)</f>
        <v>40</v>
      </c>
      <c r="FX13" s="17">
        <f>IF(Distances[[#This Row],[Colonne161]]=$G13,FW13,Distances[[#This Row],[Colonne161]]+1)</f>
        <v>40</v>
      </c>
      <c r="FY13" s="17">
        <f>IF(Distances[[#This Row],[Colonne162]]=$G13,FX13,Distances[[#This Row],[Colonne162]]+1)</f>
        <v>40</v>
      </c>
      <c r="FZ13" s="17">
        <f>IF(Distances[[#This Row],[Colonne163]]=$G13,FY13,Distances[[#This Row],[Colonne163]]+1)</f>
        <v>40</v>
      </c>
      <c r="GA13" s="17">
        <f>IF(Distances[[#This Row],[Colonne164]]=$G13,FZ13,Distances[[#This Row],[Colonne164]]+1)</f>
        <v>40</v>
      </c>
      <c r="GB13" s="17">
        <f>IF(Distances[[#This Row],[Colonne165]]=$G13,GA13,Distances[[#This Row],[Colonne165]]+1)</f>
        <v>40</v>
      </c>
      <c r="GC13" s="17">
        <f>IF(Distances[[#This Row],[Colonne166]]=$G13,GB13,Distances[[#This Row],[Colonne166]]+1)</f>
        <v>40</v>
      </c>
      <c r="GD13" s="17">
        <f>IF(Distances[[#This Row],[Colonne167]]=$G13,GC13,Distances[[#This Row],[Colonne167]]+1)</f>
        <v>40</v>
      </c>
      <c r="GE13" s="17">
        <f>IF(Distances[[#This Row],[Colonne168]]=$G13,GD13,Distances[[#This Row],[Colonne168]]+1)</f>
        <v>40</v>
      </c>
      <c r="GF13" s="17">
        <f>IF(Distances[[#This Row],[Colonne169]]=$G13,GE13,Distances[[#This Row],[Colonne169]]+1)</f>
        <v>40</v>
      </c>
      <c r="GG13" s="17">
        <f>IF(Distances[[#This Row],[Colonne170]]=$G13,GF13,Distances[[#This Row],[Colonne170]]+1)</f>
        <v>40</v>
      </c>
      <c r="GH13" s="17">
        <f>IF(Distances[[#This Row],[Colonne171]]=$G13,GG13,Distances[[#This Row],[Colonne171]]+1)</f>
        <v>40</v>
      </c>
      <c r="GI13" s="17">
        <f>IF(Distances[[#This Row],[Colonne172]]=$G13,GH13,Distances[[#This Row],[Colonne172]]+1)</f>
        <v>40</v>
      </c>
      <c r="GJ13" s="17">
        <f>IF(Distances[[#This Row],[Colonne173]]=$G13,GI13,Distances[[#This Row],[Colonne173]]+1)</f>
        <v>40</v>
      </c>
      <c r="GK13" s="17">
        <f>IF(Distances[[#This Row],[Colonne174]]=$G13,GJ13,Distances[[#This Row],[Colonne174]]+1)</f>
        <v>40</v>
      </c>
      <c r="GL13" s="17">
        <f>IF(Distances[[#This Row],[Colonne175]]=$G13,GK13,Distances[[#This Row],[Colonne175]]+1)</f>
        <v>40</v>
      </c>
      <c r="GM13" s="17">
        <f>IF(Distances[[#This Row],[Colonne176]]=$G13,GL13,Distances[[#This Row],[Colonne176]]+1)</f>
        <v>40</v>
      </c>
      <c r="GN13" s="17">
        <f>IF(Distances[[#This Row],[Colonne177]]=$G13,GM13,Distances[[#This Row],[Colonne177]]+1)</f>
        <v>40</v>
      </c>
      <c r="GO13" s="17">
        <f>IF(Distances[[#This Row],[Colonne178]]=$G13,GN13,Distances[[#This Row],[Colonne178]]+1)</f>
        <v>40</v>
      </c>
      <c r="GP13" s="17">
        <f>IF(Distances[[#This Row],[Colonne179]]=$G13,GO13,Distances[[#This Row],[Colonne179]]+1)</f>
        <v>40</v>
      </c>
      <c r="GQ13" s="17">
        <f>IF(Distances[[#This Row],[Colonne180]]=$G13,GP13,Distances[[#This Row],[Colonne180]]+1)</f>
        <v>40</v>
      </c>
      <c r="GR13" s="17">
        <f>IF(Distances[[#This Row],[Colonne181]]=$G13,GQ13,Distances[[#This Row],[Colonne181]]+1)</f>
        <v>40</v>
      </c>
      <c r="GS13" s="17">
        <f>IF(Distances[[#This Row],[Colonne182]]=$G13,GR13,Distances[[#This Row],[Colonne182]]+1)</f>
        <v>40</v>
      </c>
      <c r="GT13" s="17">
        <f>IF(Distances[[#This Row],[Colonne183]]=$G13,GS13,Distances[[#This Row],[Colonne183]]+1)</f>
        <v>40</v>
      </c>
      <c r="GU13" s="17">
        <f>IF(Distances[[#This Row],[Colonne184]]=$G13,GT13,Distances[[#This Row],[Colonne184]]+1)</f>
        <v>40</v>
      </c>
      <c r="GV13" s="17">
        <f>IF(Distances[[#This Row],[Colonne185]]=$G13,GU13,Distances[[#This Row],[Colonne185]]+1)</f>
        <v>40</v>
      </c>
      <c r="GW13" s="17">
        <f>IF(Distances[[#This Row],[Colonne186]]=$G13,GV13,Distances[[#This Row],[Colonne186]]+1)</f>
        <v>40</v>
      </c>
      <c r="GX13" s="17">
        <f>IF(Distances[[#This Row],[Colonne187]]=$G13,GW13,Distances[[#This Row],[Colonne187]]+1)</f>
        <v>40</v>
      </c>
      <c r="GY13" s="17">
        <f>IF(Distances[[#This Row],[Colonne188]]=$G13,GX13,Distances[[#This Row],[Colonne188]]+1)</f>
        <v>40</v>
      </c>
      <c r="GZ13" s="17">
        <f>IF(Distances[[#This Row],[Colonne189]]=$G13,GY13,Distances[[#This Row],[Colonne189]]+1)</f>
        <v>40</v>
      </c>
      <c r="HA13" s="17">
        <f>IF(Distances[[#This Row],[Colonne190]]=$G13,GZ13,Distances[[#This Row],[Colonne190]]+1)</f>
        <v>40</v>
      </c>
      <c r="HB13" s="17">
        <f>IF(Distances[[#This Row],[Colonne191]]=$G13,HA13,Distances[[#This Row],[Colonne191]]+1)</f>
        <v>40</v>
      </c>
      <c r="HC13" s="17">
        <f>IF(Distances[[#This Row],[Colonne192]]=$G13,HB13,Distances[[#This Row],[Colonne192]]+1)</f>
        <v>40</v>
      </c>
      <c r="HD13" s="17">
        <f>IF(Distances[[#This Row],[Colonne193]]=$G13,HC13,Distances[[#This Row],[Colonne193]]+1)</f>
        <v>40</v>
      </c>
      <c r="HE13" s="17">
        <f>IF(Distances[[#This Row],[Colonne194]]=$G13,HD13,Distances[[#This Row],[Colonne194]]+1)</f>
        <v>40</v>
      </c>
      <c r="HF13" s="17">
        <f>IF(Distances[[#This Row],[Colonne195]]=$G13,HE13,Distances[[#This Row],[Colonne195]]+1)</f>
        <v>40</v>
      </c>
      <c r="HG13" s="17">
        <f>IF(Distances[[#This Row],[Colonne196]]=$G13,HF13,Distances[[#This Row],[Colonne196]]+1)</f>
        <v>40</v>
      </c>
      <c r="HH13" s="17">
        <f>IF(Distances[[#This Row],[Colonne197]]=$G13,HG13,Distances[[#This Row],[Colonne197]]+1)</f>
        <v>40</v>
      </c>
      <c r="HI13" s="17">
        <f>IF(Distances[[#This Row],[Colonne198]]=$G13,HH13,Distances[[#This Row],[Colonne198]]+1)</f>
        <v>40</v>
      </c>
      <c r="HJ13" s="17">
        <f>IF(Distances[[#This Row],[Colonne199]]=$G13,HI13,Distances[[#This Row],[Colonne199]]+1)</f>
        <v>40</v>
      </c>
      <c r="HK13" s="17">
        <f>IF(Distances[[#This Row],[Colonne200]]=$G13,HJ13,Distances[[#This Row],[Colonne200]]+1)</f>
        <v>40</v>
      </c>
      <c r="HL13" s="17">
        <f>IF(Distances[[#This Row],[Colonne201]]=$G13,HK13,Distances[[#This Row],[Colonne201]]+1)</f>
        <v>40</v>
      </c>
      <c r="HM13" s="17">
        <f>IF(Distances[[#This Row],[Colonne202]]=$G13,HL13,Distances[[#This Row],[Colonne202]]+1)</f>
        <v>40</v>
      </c>
      <c r="HN13" s="17">
        <f>IF(Distances[[#This Row],[Colonne203]]=$G13,HM13,Distances[[#This Row],[Colonne203]]+1)</f>
        <v>40</v>
      </c>
      <c r="HO13" s="17">
        <f>IF(Distances[[#This Row],[Colonne204]]=$G13,HN13,Distances[[#This Row],[Colonne204]]+1)</f>
        <v>40</v>
      </c>
      <c r="HP13" s="17">
        <f>IF(Distances[[#This Row],[Colonne205]]=$G13,HO13,Distances[[#This Row],[Colonne205]]+1)</f>
        <v>40</v>
      </c>
      <c r="HQ13" s="17">
        <f>IF(Distances[[#This Row],[Colonne206]]=$G13,HP13,Distances[[#This Row],[Colonne206]]+1)</f>
        <v>40</v>
      </c>
      <c r="HR13" s="17">
        <f>IF(Distances[[#This Row],[Colonne207]]=$G13,HQ13,Distances[[#This Row],[Colonne207]]+1)</f>
        <v>40</v>
      </c>
      <c r="HS13" s="17">
        <f>IF(Distances[[#This Row],[Colonne208]]=$G13,HR13,Distances[[#This Row],[Colonne208]]+1)</f>
        <v>40</v>
      </c>
      <c r="HT13" s="17">
        <f>IF(Distances[[#This Row],[Colonne209]]=$G13,HS13,Distances[[#This Row],[Colonne209]]+1)</f>
        <v>40</v>
      </c>
      <c r="HU13" s="17">
        <f>IF(Distances[[#This Row],[Colonne210]]=$G13,HT13,Distances[[#This Row],[Colonne210]]+1)</f>
        <v>40</v>
      </c>
      <c r="HV13" s="17">
        <f>IF(Distances[[#This Row],[Colonne211]]=$G13,HU13,Distances[[#This Row],[Colonne211]]+1)</f>
        <v>40</v>
      </c>
      <c r="HW13" s="17">
        <f>IF(Distances[[#This Row],[Colonne212]]=$G13,HV13,Distances[[#This Row],[Colonne212]]+1)</f>
        <v>40</v>
      </c>
      <c r="HX13" s="17">
        <f>IF(Distances[[#This Row],[Colonne213]]=$G13,HW13,Distances[[#This Row],[Colonne213]]+1)</f>
        <v>40</v>
      </c>
      <c r="HY13" s="17">
        <f>IF(Distances[[#This Row],[Colonne214]]=$G13,HX13,Distances[[#This Row],[Colonne214]]+1)</f>
        <v>40</v>
      </c>
      <c r="HZ13" s="17">
        <f>IF(Distances[[#This Row],[Colonne215]]=$G13,HY13,Distances[[#This Row],[Colonne215]]+1)</f>
        <v>40</v>
      </c>
      <c r="IA13" s="17">
        <f>IF(Distances[[#This Row],[Colonne216]]=$G13,HZ13,Distances[[#This Row],[Colonne216]]+1)</f>
        <v>40</v>
      </c>
      <c r="IB13" s="17">
        <f>IF(Distances[[#This Row],[Colonne217]]=$G13,IA13,Distances[[#This Row],[Colonne217]]+1)</f>
        <v>40</v>
      </c>
      <c r="IC13" s="17">
        <f>IF(Distances[[#This Row],[Colonne218]]=$G13,IB13,Distances[[#This Row],[Colonne218]]+1)</f>
        <v>40</v>
      </c>
      <c r="ID13" s="17">
        <f>IF(Distances[[#This Row],[Colonne219]]=$G13,IC13,Distances[[#This Row],[Colonne219]]+1)</f>
        <v>40</v>
      </c>
      <c r="IE13" s="17">
        <f>IF(Distances[[#This Row],[Colonne220]]=$G13,ID13,Distances[[#This Row],[Colonne220]]+1)</f>
        <v>40</v>
      </c>
      <c r="IF13" s="17">
        <f>IF(Distances[[#This Row],[Colonne221]]=$G13,IE13,Distances[[#This Row],[Colonne221]]+1)</f>
        <v>40</v>
      </c>
      <c r="IG13" s="17">
        <f>IF(Distances[[#This Row],[Colonne222]]=$G13,IF13,Distances[[#This Row],[Colonne222]]+1)</f>
        <v>40</v>
      </c>
      <c r="IH13" s="17">
        <f>IF(Distances[[#This Row],[Colonne223]]=$G13,IG13,Distances[[#This Row],[Colonne223]]+1)</f>
        <v>40</v>
      </c>
      <c r="II13" s="17">
        <f>IF(Distances[[#This Row],[Colonne224]]=$G13,IH13,Distances[[#This Row],[Colonne224]]+1)</f>
        <v>40</v>
      </c>
      <c r="IJ13" s="17">
        <f>IF(Distances[[#This Row],[Colonne225]]=$G13,II13,Distances[[#This Row],[Colonne225]]+1)</f>
        <v>40</v>
      </c>
      <c r="IK13" s="17">
        <f>IF(Distances[[#This Row],[Colonne226]]=$G13,IJ13,Distances[[#This Row],[Colonne226]]+1)</f>
        <v>40</v>
      </c>
      <c r="IL13" s="17">
        <f>IF(Distances[[#This Row],[Colonne227]]=$G13,IK13,Distances[[#This Row],[Colonne227]]+1)</f>
        <v>40</v>
      </c>
      <c r="IM13" s="17">
        <f>IF(Distances[[#This Row],[Colonne228]]=$G13,IL13,Distances[[#This Row],[Colonne228]]+1)</f>
        <v>40</v>
      </c>
      <c r="IN13" s="17">
        <f>IF(Distances[[#This Row],[Colonne229]]=$G13,IM13,Distances[[#This Row],[Colonne229]]+1)</f>
        <v>40</v>
      </c>
      <c r="IO13" s="17">
        <f>IF(Distances[[#This Row],[Colonne230]]=$G13,IN13,Distances[[#This Row],[Colonne230]]+1)</f>
        <v>40</v>
      </c>
      <c r="IP13" s="17">
        <f>IF(Distances[[#This Row],[Colonne231]]=$G13,IO13,Distances[[#This Row],[Colonne231]]+1)</f>
        <v>40</v>
      </c>
      <c r="IQ13" s="17">
        <f>IF(Distances[[#This Row],[Colonne232]]=$G13,IP13,Distances[[#This Row],[Colonne232]]+1)</f>
        <v>40</v>
      </c>
      <c r="IR13" s="17">
        <f>IF(Distances[[#This Row],[Colonne233]]=$G13,IQ13,Distances[[#This Row],[Colonne233]]+1)</f>
        <v>40</v>
      </c>
      <c r="IS13" s="17">
        <f>IF(Distances[[#This Row],[Colonne234]]=$G13,IR13,Distances[[#This Row],[Colonne234]]+1)</f>
        <v>40</v>
      </c>
      <c r="IT13" s="17">
        <f>IF(Distances[[#This Row],[Colonne235]]=$G13,IS13,Distances[[#This Row],[Colonne235]]+1)</f>
        <v>40</v>
      </c>
      <c r="IU13" s="17">
        <f>IF(Distances[[#This Row],[Colonne236]]=$G13,IT13,Distances[[#This Row],[Colonne236]]+1)</f>
        <v>40</v>
      </c>
      <c r="IV13" s="17">
        <f>IF(Distances[[#This Row],[Colonne237]]=$G13,IU13,Distances[[#This Row],[Colonne237]]+1)</f>
        <v>40</v>
      </c>
      <c r="IW13" s="17">
        <f>IF(Distances[[#This Row],[Colonne238]]=$G13,IV13,Distances[[#This Row],[Colonne238]]+1)</f>
        <v>40</v>
      </c>
      <c r="IX13" s="17">
        <f>IF(Distances[[#This Row],[Colonne239]]=$G13,IW13,Distances[[#This Row],[Colonne239]]+1)</f>
        <v>40</v>
      </c>
      <c r="IY13" s="17">
        <f>IF(Distances[[#This Row],[Colonne240]]=$G13,IX13,Distances[[#This Row],[Colonne240]]+1)</f>
        <v>40</v>
      </c>
      <c r="IZ13" s="17">
        <f>IF(Distances[[#This Row],[Colonne241]]=$G13,IY13,Distances[[#This Row],[Colonne241]]+1)</f>
        <v>40</v>
      </c>
      <c r="JA13" s="17">
        <f>IF(Distances[[#This Row],[Colonne242]]=$G13,IZ13,Distances[[#This Row],[Colonne242]]+1)</f>
        <v>40</v>
      </c>
      <c r="JB13" s="17">
        <f>IF(Distances[[#This Row],[Colonne243]]=$G13,JA13,Distances[[#This Row],[Colonne243]]+1)</f>
        <v>40</v>
      </c>
      <c r="JC13" s="17">
        <f>IF(Distances[[#This Row],[Colonne244]]=$G13,JB13,Distances[[#This Row],[Colonne244]]+1)</f>
        <v>40</v>
      </c>
      <c r="JD13" s="17">
        <f>IF(Distances[[#This Row],[Colonne245]]=$G13,JC13,Distances[[#This Row],[Colonne245]]+1)</f>
        <v>40</v>
      </c>
      <c r="JE13" s="17">
        <f>IF(Distances[[#This Row],[Colonne246]]=$G13,JD13,Distances[[#This Row],[Colonne246]]+1)</f>
        <v>40</v>
      </c>
      <c r="JF13" s="17">
        <f>IF(Distances[[#This Row],[Colonne247]]=$G13,JE13,Distances[[#This Row],[Colonne247]]+1)</f>
        <v>40</v>
      </c>
      <c r="JG13" s="17">
        <f>IF(Distances[[#This Row],[Colonne248]]=$G13,JF13,Distances[[#This Row],[Colonne248]]+1)</f>
        <v>40</v>
      </c>
      <c r="JH13" s="17">
        <f>IF(Distances[[#This Row],[Colonne249]]=$G13,JG13,Distances[[#This Row],[Colonne249]]+1)</f>
        <v>40</v>
      </c>
      <c r="JI13" s="17">
        <f>IF(Distances[[#This Row],[Colonne250]]=$G13,JH13,Distances[[#This Row],[Colonne250]]+1)</f>
        <v>40</v>
      </c>
      <c r="JJ13" s="17">
        <f>IF(Distances[[#This Row],[Colonne251]]=$G13,JI13,Distances[[#This Row],[Colonne251]]+1)</f>
        <v>40</v>
      </c>
      <c r="JK13" s="17">
        <f>IF(Distances[[#This Row],[Colonne252]]=$G13,JJ13,Distances[[#This Row],[Colonne252]]+1)</f>
        <v>40</v>
      </c>
      <c r="JL13" s="17">
        <f>IF(Distances[[#This Row],[Colonne253]]=$G13,JK13,Distances[[#This Row],[Colonne253]]+1)</f>
        <v>40</v>
      </c>
      <c r="JM13" s="17">
        <f>IF(Distances[[#This Row],[Colonne254]]=$G13,JL13,Distances[[#This Row],[Colonne254]]+1)</f>
        <v>40</v>
      </c>
      <c r="JN13" s="17">
        <f>IF(Distances[[#This Row],[Colonne255]]=$G13,JM13,Distances[[#This Row],[Colonne255]]+1)</f>
        <v>40</v>
      </c>
      <c r="JO13" s="17">
        <f>IF(Distances[[#This Row],[Colonne256]]=$G13,JN13,Distances[[#This Row],[Colonne256]]+1)</f>
        <v>40</v>
      </c>
      <c r="JP13" s="17">
        <f>IF(Distances[[#This Row],[Colonne257]]=$G13,JO13,Distances[[#This Row],[Colonne257]]+1)</f>
        <v>40</v>
      </c>
      <c r="JQ13" s="17">
        <f>IF(Distances[[#This Row],[Colonne258]]=$G13,JP13,Distances[[#This Row],[Colonne258]]+1)</f>
        <v>40</v>
      </c>
      <c r="JR13" s="17">
        <f>IF(Distances[[#This Row],[Colonne259]]=$G13,JQ13,Distances[[#This Row],[Colonne259]]+1)</f>
        <v>40</v>
      </c>
      <c r="JS13" s="17">
        <f>IF(Distances[[#This Row],[Colonne260]]=$G13,JR13,Distances[[#This Row],[Colonne260]]+1)</f>
        <v>40</v>
      </c>
      <c r="JT13" s="17">
        <f>IF(Distances[[#This Row],[Colonne261]]=$G13,JS13,Distances[[#This Row],[Colonne261]]+1)</f>
        <v>40</v>
      </c>
      <c r="JU13" s="17">
        <f>IF(Distances[[#This Row],[Colonne262]]=$G13,JT13,Distances[[#This Row],[Colonne262]]+1)</f>
        <v>40</v>
      </c>
      <c r="JV13" s="17">
        <f>IF(Distances[[#This Row],[Colonne263]]=$G13,JU13,Distances[[#This Row],[Colonne263]]+1)</f>
        <v>40</v>
      </c>
      <c r="JW13" s="17">
        <f>IF(Distances[[#This Row],[Colonne264]]=$G13,JV13,Distances[[#This Row],[Colonne264]]+1)</f>
        <v>40</v>
      </c>
      <c r="JX13" s="17">
        <f>IF(Distances[[#This Row],[Colonne265]]=$G13,JW13,Distances[[#This Row],[Colonne265]]+1)</f>
        <v>40</v>
      </c>
      <c r="JY13" s="17">
        <f>IF(Distances[[#This Row],[Colonne266]]=$G13,JX13,Distances[[#This Row],[Colonne266]]+1)</f>
        <v>40</v>
      </c>
      <c r="JZ13" s="17">
        <f>IF(Distances[[#This Row],[Colonne267]]=$G13,JY13,Distances[[#This Row],[Colonne267]]+1)</f>
        <v>40</v>
      </c>
      <c r="KA13" s="17">
        <f>IF(Distances[[#This Row],[Colonne268]]=$G13,JZ13,Distances[[#This Row],[Colonne268]]+1)</f>
        <v>40</v>
      </c>
      <c r="KB13" s="17">
        <f>IF(Distances[[#This Row],[Colonne269]]=$G13,KA13,Distances[[#This Row],[Colonne269]]+1)</f>
        <v>40</v>
      </c>
      <c r="KC13" s="17">
        <f>IF(Distances[[#This Row],[Colonne270]]=$G13,KB13,Distances[[#This Row],[Colonne270]]+1)</f>
        <v>40</v>
      </c>
      <c r="KD13" s="17">
        <f>IF(Distances[[#This Row],[Colonne271]]=$G13,KC13,Distances[[#This Row],[Colonne271]]+1)</f>
        <v>40</v>
      </c>
      <c r="KE13" s="17">
        <f>IF(Distances[[#This Row],[Colonne272]]=$G13,KD13,Distances[[#This Row],[Colonne272]]+1)</f>
        <v>40</v>
      </c>
      <c r="KF13" s="17">
        <f>IF(Distances[[#This Row],[Colonne273]]=$G13,KE13,Distances[[#This Row],[Colonne273]]+1)</f>
        <v>40</v>
      </c>
      <c r="KG13" s="17">
        <f>IF(Distances[[#This Row],[Colonne274]]=$G13,KF13,Distances[[#This Row],[Colonne274]]+1)</f>
        <v>40</v>
      </c>
      <c r="KH13" s="17">
        <f>IF(Distances[[#This Row],[Colonne275]]=$G13,KG13,Distances[[#This Row],[Colonne275]]+1)</f>
        <v>40</v>
      </c>
      <c r="KI13" s="17">
        <f>IF(Distances[[#This Row],[Colonne276]]=$G13,KH13,Distances[[#This Row],[Colonne276]]+1)</f>
        <v>40</v>
      </c>
      <c r="KJ13" s="17">
        <f>IF(Distances[[#This Row],[Colonne277]]=$G13,KI13,Distances[[#This Row],[Colonne277]]+1)</f>
        <v>40</v>
      </c>
      <c r="KK13" s="17">
        <f>IF(Distances[[#This Row],[Colonne278]]=$G13,KJ13,Distances[[#This Row],[Colonne278]]+1)</f>
        <v>40</v>
      </c>
      <c r="KL13" s="17">
        <f>IF(Distances[[#This Row],[Colonne279]]=$G13,KK13,Distances[[#This Row],[Colonne279]]+1)</f>
        <v>40</v>
      </c>
      <c r="KM13" s="17">
        <f>IF(Distances[[#This Row],[Colonne280]]=$G13,KL13,Distances[[#This Row],[Colonne280]]+1)</f>
        <v>40</v>
      </c>
      <c r="KN13" s="17">
        <f>IF(Distances[[#This Row],[Colonne281]]=$G13,KM13,Distances[[#This Row],[Colonne281]]+1)</f>
        <v>40</v>
      </c>
      <c r="KO13" s="17">
        <f>IF(Distances[[#This Row],[Colonne282]]=$G13,KN13,Distances[[#This Row],[Colonne282]]+1)</f>
        <v>40</v>
      </c>
      <c r="KP13" s="17">
        <f>IF(Distances[[#This Row],[Colonne283]]=$G13,KO13,Distances[[#This Row],[Colonne283]]+1)</f>
        <v>40</v>
      </c>
      <c r="KQ13" s="17">
        <f>IF(Distances[[#This Row],[Colonne284]]=$G13,KP13,Distances[[#This Row],[Colonne284]]+1)</f>
        <v>40</v>
      </c>
      <c r="KR13" s="17">
        <f>IF(Distances[[#This Row],[Colonne285]]=$G13,KQ13,Distances[[#This Row],[Colonne285]]+1)</f>
        <v>40</v>
      </c>
      <c r="KS13" s="17">
        <f>IF(Distances[[#This Row],[Colonne286]]=$G13,KR13,Distances[[#This Row],[Colonne286]]+1)</f>
        <v>40</v>
      </c>
      <c r="KT13" s="17">
        <f>IF(Distances[[#This Row],[Colonne287]]=$G13,KS13,Distances[[#This Row],[Colonne287]]+1)</f>
        <v>40</v>
      </c>
      <c r="KU13" s="17">
        <f>IF(Distances[[#This Row],[Colonne288]]=$G13,KT13,Distances[[#This Row],[Colonne288]]+1)</f>
        <v>40</v>
      </c>
      <c r="KV13" s="17">
        <f>IF(Distances[[#This Row],[Colonne289]]=$G13,KU13,Distances[[#This Row],[Colonne289]]+1)</f>
        <v>40</v>
      </c>
      <c r="KW13" s="17">
        <f>IF(Distances[[#This Row],[Colonne290]]=$G13,KV13,Distances[[#This Row],[Colonne290]]+1)</f>
        <v>40</v>
      </c>
      <c r="KX13" s="17">
        <f>IF(Distances[[#This Row],[Colonne291]]=$G13,KW13,Distances[[#This Row],[Colonne291]]+1)</f>
        <v>40</v>
      </c>
      <c r="KY13" s="17">
        <f>IF(Distances[[#This Row],[Colonne292]]=$G13,KX13,Distances[[#This Row],[Colonne292]]+1)</f>
        <v>40</v>
      </c>
      <c r="KZ13" s="17">
        <f>IF(Distances[[#This Row],[Colonne293]]=$G13,KY13,Distances[[#This Row],[Colonne293]]+1)</f>
        <v>40</v>
      </c>
      <c r="LA13" s="17">
        <f>IF(Distances[[#This Row],[Colonne294]]=$G13,KZ13,Distances[[#This Row],[Colonne294]]+1)</f>
        <v>40</v>
      </c>
      <c r="LB13" s="17">
        <f>IF(Distances[[#This Row],[Colonne295]]=$G13,LA13,Distances[[#This Row],[Colonne295]]+1)</f>
        <v>40</v>
      </c>
      <c r="LC13" s="17">
        <f>IF(Distances[[#This Row],[Colonne296]]=$G13,LB13,Distances[[#This Row],[Colonne296]]+1)</f>
        <v>40</v>
      </c>
      <c r="LD13" s="17">
        <f>IF(Distances[[#This Row],[Colonne297]]=$G13,LC13,Distances[[#This Row],[Colonne297]]+1)</f>
        <v>40</v>
      </c>
      <c r="LE13" s="17">
        <f>IF(Distances[[#This Row],[Colonne298]]=$G13,LD13,Distances[[#This Row],[Colonne298]]+1)</f>
        <v>40</v>
      </c>
      <c r="LF13" s="17">
        <f>IF(Distances[[#This Row],[Colonne299]]=$G13,LE13,Distances[[#This Row],[Colonne299]]+1)</f>
        <v>40</v>
      </c>
      <c r="LG13" s="17">
        <f>IF(Distances[[#This Row],[Colonne300]]=$G13,LF13,Distances[[#This Row],[Colonne300]]+1)</f>
        <v>40</v>
      </c>
      <c r="LH13" s="17">
        <f>IF(Distances[[#This Row],[Colonne301]]=$G13,LG13,Distances[[#This Row],[Colonne301]]+1)</f>
        <v>40</v>
      </c>
      <c r="LI13" s="17">
        <f>IF(Distances[[#This Row],[Colonne302]]=$G13,LH13,Distances[[#This Row],[Colonne302]]+1)</f>
        <v>40</v>
      </c>
      <c r="LJ13" s="17">
        <f>IF(Distances[[#This Row],[Colonne303]]=$G13,LI13,Distances[[#This Row],[Colonne303]]+1)</f>
        <v>40</v>
      </c>
      <c r="LK13" s="51"/>
      <c r="LL13" s="17">
        <f t="shared" ref="LL13:NW13" si="24">IF(LK13=$H13,LK13,LK13+1)</f>
        <v>1</v>
      </c>
      <c r="LM13" s="17">
        <f t="shared" si="24"/>
        <v>2</v>
      </c>
      <c r="LN13" s="17">
        <f t="shared" si="24"/>
        <v>3</v>
      </c>
      <c r="LO13" s="17">
        <f t="shared" si="24"/>
        <v>4</v>
      </c>
      <c r="LP13" s="17">
        <f t="shared" si="24"/>
        <v>5</v>
      </c>
      <c r="LQ13" s="17">
        <f t="shared" si="24"/>
        <v>6</v>
      </c>
      <c r="LR13" s="17">
        <f t="shared" si="24"/>
        <v>7</v>
      </c>
      <c r="LS13" s="17">
        <f t="shared" si="24"/>
        <v>8</v>
      </c>
      <c r="LT13" s="17">
        <f t="shared" si="24"/>
        <v>9</v>
      </c>
      <c r="LU13" s="17">
        <f t="shared" si="24"/>
        <v>10</v>
      </c>
      <c r="LV13" s="17">
        <f t="shared" si="24"/>
        <v>11</v>
      </c>
      <c r="LW13" s="17">
        <f t="shared" si="24"/>
        <v>12</v>
      </c>
      <c r="LX13" s="17">
        <f t="shared" si="24"/>
        <v>13</v>
      </c>
      <c r="LY13" s="17">
        <f t="shared" si="24"/>
        <v>14</v>
      </c>
      <c r="LZ13" s="17">
        <f t="shared" si="24"/>
        <v>15</v>
      </c>
      <c r="MA13" s="17">
        <f t="shared" si="24"/>
        <v>16</v>
      </c>
      <c r="MB13" s="17">
        <f t="shared" si="24"/>
        <v>17</v>
      </c>
      <c r="MC13" s="17">
        <f t="shared" si="24"/>
        <v>18</v>
      </c>
      <c r="MD13" s="17">
        <f t="shared" si="24"/>
        <v>19</v>
      </c>
      <c r="ME13" s="17">
        <f t="shared" si="24"/>
        <v>20</v>
      </c>
      <c r="MF13" s="17">
        <f t="shared" si="24"/>
        <v>21</v>
      </c>
      <c r="MG13" s="17">
        <f t="shared" si="24"/>
        <v>22</v>
      </c>
      <c r="MH13" s="17">
        <f t="shared" si="24"/>
        <v>23</v>
      </c>
      <c r="MI13" s="17">
        <f t="shared" si="24"/>
        <v>24</v>
      </c>
      <c r="MJ13" s="17">
        <f t="shared" si="24"/>
        <v>25</v>
      </c>
      <c r="MK13" s="17">
        <f t="shared" si="24"/>
        <v>26</v>
      </c>
      <c r="ML13" s="17">
        <f t="shared" si="24"/>
        <v>27</v>
      </c>
      <c r="MM13" s="17">
        <f t="shared" si="24"/>
        <v>28</v>
      </c>
      <c r="MN13" s="17">
        <f t="shared" si="24"/>
        <v>29</v>
      </c>
      <c r="MO13" s="17">
        <f t="shared" si="24"/>
        <v>30</v>
      </c>
      <c r="MP13" s="17">
        <f t="shared" si="24"/>
        <v>30</v>
      </c>
      <c r="MQ13" s="17">
        <f t="shared" si="24"/>
        <v>30</v>
      </c>
      <c r="MR13" s="17">
        <f t="shared" si="24"/>
        <v>30</v>
      </c>
      <c r="MS13" s="17">
        <f t="shared" si="24"/>
        <v>30</v>
      </c>
      <c r="MT13" s="17">
        <f t="shared" si="24"/>
        <v>30</v>
      </c>
      <c r="MU13" s="17">
        <f t="shared" si="24"/>
        <v>30</v>
      </c>
      <c r="MV13" s="17">
        <f t="shared" si="24"/>
        <v>30</v>
      </c>
      <c r="MW13" s="17">
        <f t="shared" si="24"/>
        <v>30</v>
      </c>
      <c r="MX13" s="17">
        <f t="shared" si="24"/>
        <v>30</v>
      </c>
      <c r="MY13" s="17">
        <f t="shared" si="24"/>
        <v>30</v>
      </c>
      <c r="MZ13" s="17">
        <f t="shared" si="24"/>
        <v>30</v>
      </c>
      <c r="NA13" s="17">
        <f t="shared" si="24"/>
        <v>30</v>
      </c>
      <c r="NB13" s="17">
        <f t="shared" si="24"/>
        <v>30</v>
      </c>
      <c r="NC13" s="17">
        <f t="shared" si="24"/>
        <v>30</v>
      </c>
      <c r="ND13" s="17">
        <f t="shared" si="24"/>
        <v>30</v>
      </c>
      <c r="NE13" s="17">
        <f t="shared" si="24"/>
        <v>30</v>
      </c>
      <c r="NF13" s="17">
        <f t="shared" si="24"/>
        <v>30</v>
      </c>
      <c r="NG13" s="17">
        <f t="shared" si="24"/>
        <v>30</v>
      </c>
      <c r="NH13" s="17">
        <f t="shared" si="24"/>
        <v>30</v>
      </c>
      <c r="NI13" s="17">
        <f t="shared" si="24"/>
        <v>30</v>
      </c>
      <c r="NJ13" s="17">
        <f t="shared" si="24"/>
        <v>30</v>
      </c>
      <c r="NK13" s="17">
        <f t="shared" si="24"/>
        <v>30</v>
      </c>
      <c r="NL13" s="17">
        <f t="shared" si="24"/>
        <v>30</v>
      </c>
      <c r="NM13" s="17">
        <f t="shared" si="24"/>
        <v>30</v>
      </c>
      <c r="NN13" s="17">
        <f t="shared" si="24"/>
        <v>30</v>
      </c>
      <c r="NO13" s="17">
        <f t="shared" si="24"/>
        <v>30</v>
      </c>
      <c r="NP13" s="17">
        <f t="shared" si="24"/>
        <v>30</v>
      </c>
      <c r="NQ13" s="17">
        <f t="shared" si="24"/>
        <v>30</v>
      </c>
      <c r="NR13" s="17">
        <f t="shared" si="24"/>
        <v>30</v>
      </c>
      <c r="NS13" s="17">
        <f t="shared" si="24"/>
        <v>30</v>
      </c>
      <c r="NT13" s="17">
        <f t="shared" si="24"/>
        <v>30</v>
      </c>
      <c r="NU13" s="17">
        <f t="shared" si="24"/>
        <v>30</v>
      </c>
      <c r="NV13" s="17">
        <f t="shared" si="24"/>
        <v>30</v>
      </c>
      <c r="NW13" s="17">
        <f t="shared" si="24"/>
        <v>30</v>
      </c>
      <c r="NX13" s="17">
        <f t="shared" ref="NX13:PG13" si="25">IF(NW13=$H13,NW13,NW13+1)</f>
        <v>30</v>
      </c>
      <c r="NY13" s="17">
        <f t="shared" si="25"/>
        <v>30</v>
      </c>
      <c r="NZ13" s="17">
        <f t="shared" si="25"/>
        <v>30</v>
      </c>
      <c r="OA13" s="17">
        <f t="shared" si="25"/>
        <v>30</v>
      </c>
      <c r="OB13" s="17">
        <f t="shared" si="25"/>
        <v>30</v>
      </c>
      <c r="OC13" s="17">
        <f t="shared" si="25"/>
        <v>30</v>
      </c>
      <c r="OD13" s="17">
        <f t="shared" si="25"/>
        <v>30</v>
      </c>
      <c r="OE13" s="17">
        <f t="shared" si="25"/>
        <v>30</v>
      </c>
      <c r="OF13" s="17">
        <f t="shared" si="25"/>
        <v>30</v>
      </c>
      <c r="OG13" s="17">
        <f t="shared" si="25"/>
        <v>30</v>
      </c>
      <c r="OH13" s="17">
        <f t="shared" si="25"/>
        <v>30</v>
      </c>
      <c r="OI13" s="17">
        <f t="shared" si="25"/>
        <v>30</v>
      </c>
      <c r="OJ13" s="17">
        <f t="shared" si="25"/>
        <v>30</v>
      </c>
      <c r="OK13" s="17">
        <f t="shared" si="25"/>
        <v>30</v>
      </c>
      <c r="OL13" s="17">
        <f t="shared" si="25"/>
        <v>30</v>
      </c>
      <c r="OM13" s="17">
        <f t="shared" si="25"/>
        <v>30</v>
      </c>
      <c r="ON13" s="17">
        <f t="shared" si="25"/>
        <v>30</v>
      </c>
      <c r="OO13" s="17">
        <f t="shared" si="25"/>
        <v>30</v>
      </c>
      <c r="OP13" s="17">
        <f t="shared" si="25"/>
        <v>30</v>
      </c>
      <c r="OQ13" s="17">
        <f t="shared" si="25"/>
        <v>30</v>
      </c>
      <c r="OR13" s="17">
        <f t="shared" si="25"/>
        <v>30</v>
      </c>
      <c r="OS13" s="17">
        <f t="shared" si="25"/>
        <v>30</v>
      </c>
      <c r="OT13" s="17">
        <f t="shared" si="25"/>
        <v>30</v>
      </c>
      <c r="OU13" s="17">
        <f t="shared" si="25"/>
        <v>30</v>
      </c>
      <c r="OV13" s="17">
        <f t="shared" si="25"/>
        <v>30</v>
      </c>
      <c r="OW13" s="17">
        <f t="shared" si="25"/>
        <v>30</v>
      </c>
      <c r="OX13" s="17">
        <f t="shared" si="25"/>
        <v>30</v>
      </c>
      <c r="OY13" s="17">
        <f t="shared" si="25"/>
        <v>30</v>
      </c>
      <c r="OZ13" s="17">
        <f t="shared" si="25"/>
        <v>30</v>
      </c>
      <c r="PA13" s="17">
        <f t="shared" si="25"/>
        <v>30</v>
      </c>
      <c r="PB13" s="17">
        <f t="shared" si="25"/>
        <v>30</v>
      </c>
      <c r="PC13" s="17">
        <f t="shared" si="25"/>
        <v>30</v>
      </c>
      <c r="PD13" s="17">
        <f t="shared" si="25"/>
        <v>30</v>
      </c>
      <c r="PE13" s="17">
        <f t="shared" si="25"/>
        <v>30</v>
      </c>
      <c r="PF13" s="17">
        <f t="shared" si="25"/>
        <v>30</v>
      </c>
      <c r="PG13" s="17">
        <f t="shared" si="25"/>
        <v>30</v>
      </c>
    </row>
    <row r="14" spans="1:423" x14ac:dyDescent="0.25">
      <c r="A14" s="8" t="s">
        <v>5506</v>
      </c>
      <c r="B14" s="9" t="s">
        <v>24</v>
      </c>
      <c r="C14" s="9" t="str">
        <f t="shared" si="0"/>
        <v>CN1</v>
      </c>
      <c r="D14" s="1" t="str">
        <f t="shared" si="1"/>
        <v>Cadre N1</v>
      </c>
      <c r="E14" s="1" t="s">
        <v>9865</v>
      </c>
      <c r="F14" s="9" t="s">
        <v>5452</v>
      </c>
      <c r="G14" s="9">
        <v>200</v>
      </c>
      <c r="H14" s="9">
        <v>20</v>
      </c>
      <c r="I14" s="127">
        <v>3.1</v>
      </c>
      <c r="J14" s="30"/>
      <c r="K14" s="281" t="s">
        <v>5539</v>
      </c>
      <c r="L14" s="8">
        <v>10</v>
      </c>
      <c r="M14" s="9">
        <v>10</v>
      </c>
      <c r="N14" s="10">
        <v>19.998999999999999</v>
      </c>
      <c r="O14" s="269">
        <v>1</v>
      </c>
      <c r="P14" s="331">
        <v>1</v>
      </c>
      <c r="Q14" s="335">
        <v>2</v>
      </c>
      <c r="R14" s="128"/>
      <c r="S14" s="9"/>
      <c r="T14" s="10"/>
      <c r="U14" t="s">
        <v>5523</v>
      </c>
      <c r="V14" s="17">
        <v>0</v>
      </c>
      <c r="W14" s="17">
        <f>IF(Distances[[#This Row],[Colonne4]]=$G14,V14,Distances[[#This Row],[Colonne4]]+1)</f>
        <v>1</v>
      </c>
      <c r="X14" s="17">
        <f>IF(Distances[[#This Row],[Colonne5]]=$G14,W14,Distances[[#This Row],[Colonne5]]+1)</f>
        <v>2</v>
      </c>
      <c r="Y14" s="17">
        <f>IF(Distances[[#This Row],[Colonne6]]=$G14,X14,Distances[[#This Row],[Colonne6]]+1)</f>
        <v>3</v>
      </c>
      <c r="Z14" s="17">
        <f>IF(Distances[[#This Row],[Colonne7]]=$G14,Y14,Distances[[#This Row],[Colonne7]]+1)</f>
        <v>4</v>
      </c>
      <c r="AA14" s="17">
        <f>IF(Distances[[#This Row],[Colonne8]]=$G14,Z14,Distances[[#This Row],[Colonne8]]+1)</f>
        <v>5</v>
      </c>
      <c r="AB14" s="17">
        <f>IF(Distances[[#This Row],[Colonne9]]=$G14,AA14,Distances[[#This Row],[Colonne9]]+1)</f>
        <v>6</v>
      </c>
      <c r="AC14" s="17">
        <f>IF(Distances[[#This Row],[Colonne10]]=$G14,AB14,Distances[[#This Row],[Colonne10]]+1)</f>
        <v>7</v>
      </c>
      <c r="AD14" s="17">
        <f>IF(Distances[[#This Row],[Colonne11]]=$G14,AC14,Distances[[#This Row],[Colonne11]]+1)</f>
        <v>8</v>
      </c>
      <c r="AE14" s="17">
        <f>IF(Distances[[#This Row],[Colonne12]]=$G14,AD14,Distances[[#This Row],[Colonne12]]+1)</f>
        <v>9</v>
      </c>
      <c r="AF14" s="17">
        <f>IF(Distances[[#This Row],[Colonne13]]=$G14,AE14,Distances[[#This Row],[Colonne13]]+1)</f>
        <v>10</v>
      </c>
      <c r="AG14" s="17">
        <f>IF(Distances[[#This Row],[Colonne14]]=$G14,AF14,Distances[[#This Row],[Colonne14]]+1)</f>
        <v>11</v>
      </c>
      <c r="AH14" s="17">
        <f>IF(Distances[[#This Row],[Colonne15]]=$G14,AG14,Distances[[#This Row],[Colonne15]]+1)</f>
        <v>12</v>
      </c>
      <c r="AI14" s="17">
        <f>IF(Distances[[#This Row],[Colonne16]]=$G14,AH14,Distances[[#This Row],[Colonne16]]+1)</f>
        <v>13</v>
      </c>
      <c r="AJ14" s="17">
        <f>IF(Distances[[#This Row],[Colonne17]]=$G14,AI14,Distances[[#This Row],[Colonne17]]+1)</f>
        <v>14</v>
      </c>
      <c r="AK14" s="17">
        <f>IF(Distances[[#This Row],[Colonne18]]=$G14,AJ14,Distances[[#This Row],[Colonne18]]+1)</f>
        <v>15</v>
      </c>
      <c r="AL14" s="17">
        <f>IF(Distances[[#This Row],[Colonne19]]=$G14,AK14,Distances[[#This Row],[Colonne19]]+1)</f>
        <v>16</v>
      </c>
      <c r="AM14" s="17">
        <f>IF(Distances[[#This Row],[Colonne20]]=$G14,AL14,Distances[[#This Row],[Colonne20]]+1)</f>
        <v>17</v>
      </c>
      <c r="AN14" s="17">
        <f>IF(Distances[[#This Row],[Colonne21]]=$G14,AM14,Distances[[#This Row],[Colonne21]]+1)</f>
        <v>18</v>
      </c>
      <c r="AO14" s="17">
        <f>IF(Distances[[#This Row],[Colonne22]]=$G14,AN14,Distances[[#This Row],[Colonne22]]+1)</f>
        <v>19</v>
      </c>
      <c r="AP14" s="17">
        <f>IF(Distances[[#This Row],[Colonne23]]=$G14,AO14,Distances[[#This Row],[Colonne23]]+1)</f>
        <v>20</v>
      </c>
      <c r="AQ14" s="17">
        <f>IF(Distances[[#This Row],[Colonne24]]=$G14,AP14,Distances[[#This Row],[Colonne24]]+1)</f>
        <v>21</v>
      </c>
      <c r="AR14" s="17">
        <f>IF(Distances[[#This Row],[Colonne25]]=$G14,AQ14,Distances[[#This Row],[Colonne25]]+1)</f>
        <v>22</v>
      </c>
      <c r="AS14" s="17">
        <f>IF(Distances[[#This Row],[Colonne26]]=$G14,AR14,Distances[[#This Row],[Colonne26]]+1)</f>
        <v>23</v>
      </c>
      <c r="AT14" s="17">
        <f>IF(Distances[[#This Row],[Colonne27]]=$G14,AS14,Distances[[#This Row],[Colonne27]]+1)</f>
        <v>24</v>
      </c>
      <c r="AU14" s="17">
        <f>IF(Distances[[#This Row],[Colonne28]]=$G14,AT14,Distances[[#This Row],[Colonne28]]+1)</f>
        <v>25</v>
      </c>
      <c r="AV14" s="17">
        <f>IF(Distances[[#This Row],[Colonne29]]=$G14,AU14,Distances[[#This Row],[Colonne29]]+1)</f>
        <v>26</v>
      </c>
      <c r="AW14" s="17">
        <f>IF(Distances[[#This Row],[Colonne30]]=$G14,AV14,Distances[[#This Row],[Colonne30]]+1)</f>
        <v>27</v>
      </c>
      <c r="AX14" s="17">
        <f>IF(Distances[[#This Row],[Colonne31]]=$G14,AW14,Distances[[#This Row],[Colonne31]]+1)</f>
        <v>28</v>
      </c>
      <c r="AY14" s="17">
        <f>IF(Distances[[#This Row],[Colonne32]]=$G14,AX14,Distances[[#This Row],[Colonne32]]+1)</f>
        <v>29</v>
      </c>
      <c r="AZ14" s="17">
        <f>IF(Distances[[#This Row],[Colonne33]]=$G14,AY14,Distances[[#This Row],[Colonne33]]+1)</f>
        <v>30</v>
      </c>
      <c r="BA14" s="17">
        <f>IF(Distances[[#This Row],[Colonne34]]=$G14,AZ14,Distances[[#This Row],[Colonne34]]+1)</f>
        <v>31</v>
      </c>
      <c r="BB14" s="17">
        <f>IF(Distances[[#This Row],[Colonne35]]=$G14,BA14,Distances[[#This Row],[Colonne35]]+1)</f>
        <v>32</v>
      </c>
      <c r="BC14" s="17">
        <f>IF(Distances[[#This Row],[Colonne36]]=$G14,BB14,Distances[[#This Row],[Colonne36]]+1)</f>
        <v>33</v>
      </c>
      <c r="BD14" s="17">
        <f>IF(Distances[[#This Row],[Colonne37]]=$G14,BC14,Distances[[#This Row],[Colonne37]]+1)</f>
        <v>34</v>
      </c>
      <c r="BE14" s="17">
        <f>IF(Distances[[#This Row],[Colonne38]]=$G14,BD14,Distances[[#This Row],[Colonne38]]+1)</f>
        <v>35</v>
      </c>
      <c r="BF14" s="17">
        <f>IF(Distances[[#This Row],[Colonne39]]=$G14,BE14,Distances[[#This Row],[Colonne39]]+1)</f>
        <v>36</v>
      </c>
      <c r="BG14" s="17">
        <f>IF(Distances[[#This Row],[Colonne40]]=$G14,BF14,Distances[[#This Row],[Colonne40]]+1)</f>
        <v>37</v>
      </c>
      <c r="BH14" s="17">
        <f>IF(Distances[[#This Row],[Colonne41]]=$G14,BG14,Distances[[#This Row],[Colonne41]]+1)</f>
        <v>38</v>
      </c>
      <c r="BI14" s="17">
        <f>IF(Distances[[#This Row],[Colonne42]]=$G14,BH14,Distances[[#This Row],[Colonne42]]+1)</f>
        <v>39</v>
      </c>
      <c r="BJ14" s="17">
        <f>IF(Distances[[#This Row],[Colonne43]]=$G14,BI14,Distances[[#This Row],[Colonne43]]+1)</f>
        <v>40</v>
      </c>
      <c r="BK14" s="17">
        <f>IF(Distances[[#This Row],[Colonne44]]=$G14,BJ14,Distances[[#This Row],[Colonne44]]+1)</f>
        <v>41</v>
      </c>
      <c r="BL14" s="17">
        <f>IF(Distances[[#This Row],[Colonne45]]=$G14,BK14,Distances[[#This Row],[Colonne45]]+1)</f>
        <v>42</v>
      </c>
      <c r="BM14" s="17">
        <f>IF(Distances[[#This Row],[Colonne46]]=$G14,BL14,Distances[[#This Row],[Colonne46]]+1)</f>
        <v>43</v>
      </c>
      <c r="BN14" s="17">
        <f>IF(Distances[[#This Row],[Colonne47]]=$G14,BM14,Distances[[#This Row],[Colonne47]]+1)</f>
        <v>44</v>
      </c>
      <c r="BO14" s="17">
        <f>IF(Distances[[#This Row],[Colonne48]]=$G14,BN14,Distances[[#This Row],[Colonne48]]+1)</f>
        <v>45</v>
      </c>
      <c r="BP14" s="17">
        <f>IF(Distances[[#This Row],[Colonne49]]=$G14,BO14,Distances[[#This Row],[Colonne49]]+1)</f>
        <v>46</v>
      </c>
      <c r="BQ14" s="17">
        <f>IF(Distances[[#This Row],[Colonne50]]=$G14,BP14,Distances[[#This Row],[Colonne50]]+1)</f>
        <v>47</v>
      </c>
      <c r="BR14" s="17">
        <f>IF(Distances[[#This Row],[Colonne51]]=$G14,BQ14,Distances[[#This Row],[Colonne51]]+1)</f>
        <v>48</v>
      </c>
      <c r="BS14" s="17">
        <f>IF(Distances[[#This Row],[Colonne52]]=$G14,BR14,Distances[[#This Row],[Colonne52]]+1)</f>
        <v>49</v>
      </c>
      <c r="BT14" s="17">
        <f>IF(Distances[[#This Row],[Colonne53]]=$G14,BS14,Distances[[#This Row],[Colonne53]]+1)</f>
        <v>50</v>
      </c>
      <c r="BU14" s="17">
        <f>IF(Distances[[#This Row],[Colonne54]]=$G14,BT14,Distances[[#This Row],[Colonne54]]+1)</f>
        <v>51</v>
      </c>
      <c r="BV14" s="17">
        <f>IF(Distances[[#This Row],[Colonne55]]=$G14,BU14,Distances[[#This Row],[Colonne55]]+1)</f>
        <v>52</v>
      </c>
      <c r="BW14" s="17">
        <f>IF(Distances[[#This Row],[Colonne56]]=$G14,BV14,Distances[[#This Row],[Colonne56]]+1)</f>
        <v>53</v>
      </c>
      <c r="BX14" s="17">
        <f>IF(Distances[[#This Row],[Colonne57]]=$G14,BW14,Distances[[#This Row],[Colonne57]]+1)</f>
        <v>54</v>
      </c>
      <c r="BY14" s="17">
        <f>IF(Distances[[#This Row],[Colonne58]]=$G14,BX14,Distances[[#This Row],[Colonne58]]+1)</f>
        <v>55</v>
      </c>
      <c r="BZ14" s="17">
        <f>IF(Distances[[#This Row],[Colonne59]]=$G14,BY14,Distances[[#This Row],[Colonne59]]+1)</f>
        <v>56</v>
      </c>
      <c r="CA14" s="17">
        <f>IF(Distances[[#This Row],[Colonne60]]=$G14,BZ14,Distances[[#This Row],[Colonne60]]+1)</f>
        <v>57</v>
      </c>
      <c r="CB14" s="17">
        <f>IF(Distances[[#This Row],[Colonne61]]=$G14,CA14,Distances[[#This Row],[Colonne61]]+1)</f>
        <v>58</v>
      </c>
      <c r="CC14" s="17">
        <f>IF(Distances[[#This Row],[Colonne62]]=$G14,CB14,Distances[[#This Row],[Colonne62]]+1)</f>
        <v>59</v>
      </c>
      <c r="CD14" s="17">
        <f>IF(Distances[[#This Row],[Colonne63]]=$G14,CC14,Distances[[#This Row],[Colonne63]]+1)</f>
        <v>60</v>
      </c>
      <c r="CE14" s="17">
        <f>IF(Distances[[#This Row],[Colonne64]]=$G14,CD14,Distances[[#This Row],[Colonne64]]+1)</f>
        <v>61</v>
      </c>
      <c r="CF14" s="17">
        <f>IF(Distances[[#This Row],[Colonne65]]=$G14,CE14,Distances[[#This Row],[Colonne65]]+1)</f>
        <v>62</v>
      </c>
      <c r="CG14" s="17">
        <f>IF(Distances[[#This Row],[Colonne66]]=$G14,CF14,Distances[[#This Row],[Colonne66]]+1)</f>
        <v>63</v>
      </c>
      <c r="CH14" s="17">
        <f>IF(Distances[[#This Row],[Colonne67]]=$G14,CG14,Distances[[#This Row],[Colonne67]]+1)</f>
        <v>64</v>
      </c>
      <c r="CI14" s="17">
        <f>IF(Distances[[#This Row],[Colonne68]]=$G14,CH14,Distances[[#This Row],[Colonne68]]+1)</f>
        <v>65</v>
      </c>
      <c r="CJ14" s="17">
        <f>IF(Distances[[#This Row],[Colonne69]]=$G14,CI14,Distances[[#This Row],[Colonne69]]+1)</f>
        <v>66</v>
      </c>
      <c r="CK14" s="17">
        <f>IF(Distances[[#This Row],[Colonne70]]=$G14,CJ14,Distances[[#This Row],[Colonne70]]+1)</f>
        <v>67</v>
      </c>
      <c r="CL14" s="17">
        <f>IF(Distances[[#This Row],[Colonne71]]=$G14,CK14,Distances[[#This Row],[Colonne71]]+1)</f>
        <v>68</v>
      </c>
      <c r="CM14" s="17">
        <f>IF(Distances[[#This Row],[Colonne72]]=$G14,CL14,Distances[[#This Row],[Colonne72]]+1)</f>
        <v>69</v>
      </c>
      <c r="CN14" s="17">
        <f>IF(Distances[[#This Row],[Colonne73]]=$G14,CM14,Distances[[#This Row],[Colonne73]]+1)</f>
        <v>70</v>
      </c>
      <c r="CO14" s="17">
        <f>IF(Distances[[#This Row],[Colonne74]]=$G14,CN14,Distances[[#This Row],[Colonne74]]+1)</f>
        <v>71</v>
      </c>
      <c r="CP14" s="17">
        <f>IF(Distances[[#This Row],[Colonne75]]=$G14,CO14,Distances[[#This Row],[Colonne75]]+1)</f>
        <v>72</v>
      </c>
      <c r="CQ14" s="17">
        <f>IF(Distances[[#This Row],[Colonne76]]=$G14,CP14,Distances[[#This Row],[Colonne76]]+1)</f>
        <v>73</v>
      </c>
      <c r="CR14" s="17">
        <f>IF(Distances[[#This Row],[Colonne77]]=$G14,CQ14,Distances[[#This Row],[Colonne77]]+1)</f>
        <v>74</v>
      </c>
      <c r="CS14" s="17">
        <f>IF(Distances[[#This Row],[Colonne78]]=$G14,CR14,Distances[[#This Row],[Colonne78]]+1)</f>
        <v>75</v>
      </c>
      <c r="CT14" s="17">
        <f>IF(Distances[[#This Row],[Colonne79]]=$G14,CS14,Distances[[#This Row],[Colonne79]]+1)</f>
        <v>76</v>
      </c>
      <c r="CU14" s="17">
        <f>IF(Distances[[#This Row],[Colonne80]]=$G14,CT14,Distances[[#This Row],[Colonne80]]+1)</f>
        <v>77</v>
      </c>
      <c r="CV14" s="17">
        <f>IF(Distances[[#This Row],[Colonne81]]=$G14,CU14,Distances[[#This Row],[Colonne81]]+1)</f>
        <v>78</v>
      </c>
      <c r="CW14" s="17">
        <f>IF(Distances[[#This Row],[Colonne82]]=$G14,CV14,Distances[[#This Row],[Colonne82]]+1)</f>
        <v>79</v>
      </c>
      <c r="CX14" s="17">
        <f>IF(Distances[[#This Row],[Colonne83]]=$G14,CW14,Distances[[#This Row],[Colonne83]]+1)</f>
        <v>80</v>
      </c>
      <c r="CY14" s="17">
        <f>IF(Distances[[#This Row],[Colonne84]]=$G14,CX14,Distances[[#This Row],[Colonne84]]+1)</f>
        <v>81</v>
      </c>
      <c r="CZ14" s="17">
        <f>IF(Distances[[#This Row],[Colonne85]]=$G14,CY14,Distances[[#This Row],[Colonne85]]+1)</f>
        <v>82</v>
      </c>
      <c r="DA14" s="17">
        <f>IF(Distances[[#This Row],[Colonne86]]=$G14,CZ14,Distances[[#This Row],[Colonne86]]+1)</f>
        <v>83</v>
      </c>
      <c r="DB14" s="17">
        <f>IF(Distances[[#This Row],[Colonne87]]=$G14,DA14,Distances[[#This Row],[Colonne87]]+1)</f>
        <v>84</v>
      </c>
      <c r="DC14" s="17">
        <f>IF(Distances[[#This Row],[Colonne88]]=$G14,DB14,Distances[[#This Row],[Colonne88]]+1)</f>
        <v>85</v>
      </c>
      <c r="DD14" s="17">
        <f>IF(Distances[[#This Row],[Colonne89]]=$G14,DC14,Distances[[#This Row],[Colonne89]]+1)</f>
        <v>86</v>
      </c>
      <c r="DE14" s="17">
        <f>IF(Distances[[#This Row],[Colonne90]]=$G14,DD14,Distances[[#This Row],[Colonne90]]+1)</f>
        <v>87</v>
      </c>
      <c r="DF14" s="17">
        <f>IF(Distances[[#This Row],[Colonne91]]=$G14,DE14,Distances[[#This Row],[Colonne91]]+1)</f>
        <v>88</v>
      </c>
      <c r="DG14" s="17">
        <f>IF(Distances[[#This Row],[Colonne92]]=$G14,DF14,Distances[[#This Row],[Colonne92]]+1)</f>
        <v>89</v>
      </c>
      <c r="DH14" s="17">
        <f>IF(Distances[[#This Row],[Colonne93]]=$G14,DG14,Distances[[#This Row],[Colonne93]]+1)</f>
        <v>90</v>
      </c>
      <c r="DI14" s="17">
        <f>IF(Distances[[#This Row],[Colonne94]]=$G14,DH14,Distances[[#This Row],[Colonne94]]+1)</f>
        <v>91</v>
      </c>
      <c r="DJ14" s="17">
        <f>IF(Distances[[#This Row],[Colonne95]]=$G14,DI14,Distances[[#This Row],[Colonne95]]+1)</f>
        <v>92</v>
      </c>
      <c r="DK14" s="17">
        <f>IF(Distances[[#This Row],[Colonne96]]=$G14,DJ14,Distances[[#This Row],[Colonne96]]+1)</f>
        <v>93</v>
      </c>
      <c r="DL14" s="17">
        <f>IF(Distances[[#This Row],[Colonne97]]=$G14,DK14,Distances[[#This Row],[Colonne97]]+1)</f>
        <v>94</v>
      </c>
      <c r="DM14" s="17">
        <f>IF(Distances[[#This Row],[Colonne98]]=$G14,DL14,Distances[[#This Row],[Colonne98]]+1)</f>
        <v>95</v>
      </c>
      <c r="DN14" s="17">
        <f>IF(Distances[[#This Row],[Colonne99]]=$G14,DM14,Distances[[#This Row],[Colonne99]]+1)</f>
        <v>96</v>
      </c>
      <c r="DO14" s="17">
        <f>IF(Distances[[#This Row],[Colonne100]]=$G14,DN14,Distances[[#This Row],[Colonne100]]+1)</f>
        <v>97</v>
      </c>
      <c r="DP14" s="17">
        <f>IF(Distances[[#This Row],[Colonne101]]=$G14,DO14,Distances[[#This Row],[Colonne101]]+1)</f>
        <v>98</v>
      </c>
      <c r="DQ14" s="17">
        <f>IF(Distances[[#This Row],[Colonne102]]=$G14,DP14,Distances[[#This Row],[Colonne102]]+1)</f>
        <v>99</v>
      </c>
      <c r="DR14" s="17">
        <f>IF(Distances[[#This Row],[Colonne103]]=$G14,DQ14,Distances[[#This Row],[Colonne103]]+1)</f>
        <v>100</v>
      </c>
      <c r="DS14" s="17">
        <f>IF(Distances[[#This Row],[Colonne104]]=$G14,DR14,Distances[[#This Row],[Colonne104]]+1)</f>
        <v>101</v>
      </c>
      <c r="DT14" s="17">
        <f>IF(Distances[[#This Row],[Colonne105]]=$G14,DS14,Distances[[#This Row],[Colonne105]]+1)</f>
        <v>102</v>
      </c>
      <c r="DU14" s="17">
        <f>IF(Distances[[#This Row],[Colonne106]]=$G14,DT14,Distances[[#This Row],[Colonne106]]+1)</f>
        <v>103</v>
      </c>
      <c r="DV14" s="17">
        <f>IF(Distances[[#This Row],[Colonne107]]=$G14,DU14,Distances[[#This Row],[Colonne107]]+1)</f>
        <v>104</v>
      </c>
      <c r="DW14" s="17">
        <f>IF(Distances[[#This Row],[Colonne108]]=$G14,DV14,Distances[[#This Row],[Colonne108]]+1)</f>
        <v>105</v>
      </c>
      <c r="DX14" s="17">
        <f>IF(Distances[[#This Row],[Colonne109]]=$G14,DW14,Distances[[#This Row],[Colonne109]]+1)</f>
        <v>106</v>
      </c>
      <c r="DY14" s="17">
        <f>IF(Distances[[#This Row],[Colonne110]]=$G14,DX14,Distances[[#This Row],[Colonne110]]+1)</f>
        <v>107</v>
      </c>
      <c r="DZ14" s="17">
        <f>IF(Distances[[#This Row],[Colonne111]]=$G14,DY14,Distances[[#This Row],[Colonne111]]+1)</f>
        <v>108</v>
      </c>
      <c r="EA14" s="17">
        <f>IF(Distances[[#This Row],[Colonne112]]=$G14,DZ14,Distances[[#This Row],[Colonne112]]+1)</f>
        <v>109</v>
      </c>
      <c r="EB14" s="17">
        <f>IF(Distances[[#This Row],[Colonne113]]=$G14,EA14,Distances[[#This Row],[Colonne113]]+1)</f>
        <v>110</v>
      </c>
      <c r="EC14" s="17">
        <f>IF(Distances[[#This Row],[Colonne114]]=$G14,EB14,Distances[[#This Row],[Colonne114]]+1)</f>
        <v>111</v>
      </c>
      <c r="ED14" s="17">
        <f>IF(Distances[[#This Row],[Colonne115]]=$G14,EC14,Distances[[#This Row],[Colonne115]]+1)</f>
        <v>112</v>
      </c>
      <c r="EE14" s="17">
        <f>IF(Distances[[#This Row],[Colonne116]]=$G14,ED14,Distances[[#This Row],[Colonne116]]+1)</f>
        <v>113</v>
      </c>
      <c r="EF14" s="17">
        <f>IF(Distances[[#This Row],[Colonne117]]=$G14,EE14,Distances[[#This Row],[Colonne117]]+1)</f>
        <v>114</v>
      </c>
      <c r="EG14" s="17">
        <f>IF(Distances[[#This Row],[Colonne118]]=$G14,EF14,Distances[[#This Row],[Colonne118]]+1)</f>
        <v>115</v>
      </c>
      <c r="EH14" s="17">
        <f>IF(Distances[[#This Row],[Colonne119]]=$G14,EG14,Distances[[#This Row],[Colonne119]]+1)</f>
        <v>116</v>
      </c>
      <c r="EI14" s="17">
        <f>IF(Distances[[#This Row],[Colonne120]]=$G14,EH14,Distances[[#This Row],[Colonne120]]+1)</f>
        <v>117</v>
      </c>
      <c r="EJ14" s="17">
        <f>IF(Distances[[#This Row],[Colonne121]]=$G14,EI14,Distances[[#This Row],[Colonne121]]+1)</f>
        <v>118</v>
      </c>
      <c r="EK14" s="17">
        <f>IF(Distances[[#This Row],[Colonne122]]=$G14,EJ14,Distances[[#This Row],[Colonne122]]+1)</f>
        <v>119</v>
      </c>
      <c r="EL14" s="17">
        <f>IF(Distances[[#This Row],[Colonne123]]=$G14,EK14,Distances[[#This Row],[Colonne123]]+1)</f>
        <v>120</v>
      </c>
      <c r="EM14" s="17">
        <f>IF(Distances[[#This Row],[Colonne124]]=$G14,EL14,Distances[[#This Row],[Colonne124]]+1)</f>
        <v>121</v>
      </c>
      <c r="EN14" s="17">
        <f>IF(Distances[[#This Row],[Colonne125]]=$G14,EM14,Distances[[#This Row],[Colonne125]]+1)</f>
        <v>122</v>
      </c>
      <c r="EO14" s="17">
        <f>IF(Distances[[#This Row],[Colonne126]]=$G14,EN14,Distances[[#This Row],[Colonne126]]+1)</f>
        <v>123</v>
      </c>
      <c r="EP14" s="17">
        <f>IF(Distances[[#This Row],[Colonne127]]=$G14,EO14,Distances[[#This Row],[Colonne127]]+1)</f>
        <v>124</v>
      </c>
      <c r="EQ14" s="17">
        <f>IF(Distances[[#This Row],[Colonne128]]=$G14,EP14,Distances[[#This Row],[Colonne128]]+1)</f>
        <v>125</v>
      </c>
      <c r="ER14" s="17">
        <f>IF(Distances[[#This Row],[Colonne129]]=$G14,EQ14,Distances[[#This Row],[Colonne129]]+1)</f>
        <v>126</v>
      </c>
      <c r="ES14" s="17">
        <f>IF(Distances[[#This Row],[Colonne130]]=$G14,ER14,Distances[[#This Row],[Colonne130]]+1)</f>
        <v>127</v>
      </c>
      <c r="ET14" s="17">
        <f>IF(Distances[[#This Row],[Colonne131]]=$G14,ES14,Distances[[#This Row],[Colonne131]]+1)</f>
        <v>128</v>
      </c>
      <c r="EU14" s="17">
        <f>IF(Distances[[#This Row],[Colonne132]]=$G14,ET14,Distances[[#This Row],[Colonne132]]+1)</f>
        <v>129</v>
      </c>
      <c r="EV14" s="17">
        <f>IF(Distances[[#This Row],[Colonne133]]=$G14,EU14,Distances[[#This Row],[Colonne133]]+1)</f>
        <v>130</v>
      </c>
      <c r="EW14" s="17">
        <f>IF(Distances[[#This Row],[Colonne134]]=$G14,EV14,Distances[[#This Row],[Colonne134]]+1)</f>
        <v>131</v>
      </c>
      <c r="EX14" s="17">
        <f>IF(Distances[[#This Row],[Colonne135]]=$G14,EW14,Distances[[#This Row],[Colonne135]]+1)</f>
        <v>132</v>
      </c>
      <c r="EY14" s="17">
        <f>IF(Distances[[#This Row],[Colonne136]]=$G14,EX14,Distances[[#This Row],[Colonne136]]+1)</f>
        <v>133</v>
      </c>
      <c r="EZ14" s="17">
        <f>IF(Distances[[#This Row],[Colonne137]]=$G14,EY14,Distances[[#This Row],[Colonne137]]+1)</f>
        <v>134</v>
      </c>
      <c r="FA14" s="17">
        <f>IF(Distances[[#This Row],[Colonne138]]=$G14,EZ14,Distances[[#This Row],[Colonne138]]+1)</f>
        <v>135</v>
      </c>
      <c r="FB14" s="17">
        <f>IF(Distances[[#This Row],[Colonne139]]=$G14,FA14,Distances[[#This Row],[Colonne139]]+1)</f>
        <v>136</v>
      </c>
      <c r="FC14" s="17">
        <f>IF(Distances[[#This Row],[Colonne140]]=$G14,FB14,Distances[[#This Row],[Colonne140]]+1)</f>
        <v>137</v>
      </c>
      <c r="FD14" s="17">
        <f>IF(Distances[[#This Row],[Colonne141]]=$G14,FC14,Distances[[#This Row],[Colonne141]]+1)</f>
        <v>138</v>
      </c>
      <c r="FE14" s="17">
        <f>IF(Distances[[#This Row],[Colonne142]]=$G14,FD14,Distances[[#This Row],[Colonne142]]+1)</f>
        <v>139</v>
      </c>
      <c r="FF14" s="17">
        <f>IF(Distances[[#This Row],[Colonne143]]=$G14,FE14,Distances[[#This Row],[Colonne143]]+1)</f>
        <v>140</v>
      </c>
      <c r="FG14" s="17">
        <f>IF(Distances[[#This Row],[Colonne144]]=$G14,FF14,Distances[[#This Row],[Colonne144]]+1)</f>
        <v>141</v>
      </c>
      <c r="FH14" s="17">
        <f>IF(Distances[[#This Row],[Colonne145]]=$G14,FG14,Distances[[#This Row],[Colonne145]]+1)</f>
        <v>142</v>
      </c>
      <c r="FI14" s="17">
        <f>IF(Distances[[#This Row],[Colonne146]]=$G14,FH14,Distances[[#This Row],[Colonne146]]+1)</f>
        <v>143</v>
      </c>
      <c r="FJ14" s="17">
        <f>IF(Distances[[#This Row],[Colonne147]]=$G14,FI14,Distances[[#This Row],[Colonne147]]+1)</f>
        <v>144</v>
      </c>
      <c r="FK14" s="17">
        <f>IF(Distances[[#This Row],[Colonne148]]=$G14,FJ14,Distances[[#This Row],[Colonne148]]+1)</f>
        <v>145</v>
      </c>
      <c r="FL14" s="17">
        <f>IF(Distances[[#This Row],[Colonne149]]=$G14,FK14,Distances[[#This Row],[Colonne149]]+1)</f>
        <v>146</v>
      </c>
      <c r="FM14" s="17">
        <f>IF(Distances[[#This Row],[Colonne150]]=$G14,FL14,Distances[[#This Row],[Colonne150]]+1)</f>
        <v>147</v>
      </c>
      <c r="FN14" s="17">
        <f>IF(Distances[[#This Row],[Colonne151]]=$G14,FM14,Distances[[#This Row],[Colonne151]]+1)</f>
        <v>148</v>
      </c>
      <c r="FO14" s="17">
        <f>IF(Distances[[#This Row],[Colonne152]]=$G14,FN14,Distances[[#This Row],[Colonne152]]+1)</f>
        <v>149</v>
      </c>
      <c r="FP14" s="17">
        <f>IF(Distances[[#This Row],[Colonne153]]=$G14,FO14,Distances[[#This Row],[Colonne153]]+1)</f>
        <v>150</v>
      </c>
      <c r="FQ14" s="17">
        <f>IF(Distances[[#This Row],[Colonne154]]=$G14,FP14,Distances[[#This Row],[Colonne154]]+1)</f>
        <v>151</v>
      </c>
      <c r="FR14" s="17">
        <f>IF(Distances[[#This Row],[Colonne155]]=$G14,FQ14,Distances[[#This Row],[Colonne155]]+1)</f>
        <v>152</v>
      </c>
      <c r="FS14" s="17">
        <f>IF(Distances[[#This Row],[Colonne156]]=$G14,FR14,Distances[[#This Row],[Colonne156]]+1)</f>
        <v>153</v>
      </c>
      <c r="FT14" s="17">
        <f>IF(Distances[[#This Row],[Colonne157]]=$G14,FS14,Distances[[#This Row],[Colonne157]]+1)</f>
        <v>154</v>
      </c>
      <c r="FU14" s="17">
        <f>IF(Distances[[#This Row],[Colonne158]]=$G14,FT14,Distances[[#This Row],[Colonne158]]+1)</f>
        <v>155</v>
      </c>
      <c r="FV14" s="17">
        <f>IF(Distances[[#This Row],[Colonne159]]=$G14,FU14,Distances[[#This Row],[Colonne159]]+1)</f>
        <v>156</v>
      </c>
      <c r="FW14" s="17">
        <f>IF(Distances[[#This Row],[Colonne160]]=$G14,FV14,Distances[[#This Row],[Colonne160]]+1)</f>
        <v>157</v>
      </c>
      <c r="FX14" s="17">
        <f>IF(Distances[[#This Row],[Colonne161]]=$G14,FW14,Distances[[#This Row],[Colonne161]]+1)</f>
        <v>158</v>
      </c>
      <c r="FY14" s="17">
        <f>IF(Distances[[#This Row],[Colonne162]]=$G14,FX14,Distances[[#This Row],[Colonne162]]+1)</f>
        <v>159</v>
      </c>
      <c r="FZ14" s="17">
        <f>IF(Distances[[#This Row],[Colonne163]]=$G14,FY14,Distances[[#This Row],[Colonne163]]+1)</f>
        <v>160</v>
      </c>
      <c r="GA14" s="17">
        <f>IF(Distances[[#This Row],[Colonne164]]=$G14,FZ14,Distances[[#This Row],[Colonne164]]+1)</f>
        <v>161</v>
      </c>
      <c r="GB14" s="17">
        <f>IF(Distances[[#This Row],[Colonne165]]=$G14,GA14,Distances[[#This Row],[Colonne165]]+1)</f>
        <v>162</v>
      </c>
      <c r="GC14" s="17">
        <f>IF(Distances[[#This Row],[Colonne166]]=$G14,GB14,Distances[[#This Row],[Colonne166]]+1)</f>
        <v>163</v>
      </c>
      <c r="GD14" s="17">
        <f>IF(Distances[[#This Row],[Colonne167]]=$G14,GC14,Distances[[#This Row],[Colonne167]]+1)</f>
        <v>164</v>
      </c>
      <c r="GE14" s="17">
        <f>IF(Distances[[#This Row],[Colonne168]]=$G14,GD14,Distances[[#This Row],[Colonne168]]+1)</f>
        <v>165</v>
      </c>
      <c r="GF14" s="17">
        <f>IF(Distances[[#This Row],[Colonne169]]=$G14,GE14,Distances[[#This Row],[Colonne169]]+1)</f>
        <v>166</v>
      </c>
      <c r="GG14" s="17">
        <f>IF(Distances[[#This Row],[Colonne170]]=$G14,GF14,Distances[[#This Row],[Colonne170]]+1)</f>
        <v>167</v>
      </c>
      <c r="GH14" s="17">
        <f>IF(Distances[[#This Row],[Colonne171]]=$G14,GG14,Distances[[#This Row],[Colonne171]]+1)</f>
        <v>168</v>
      </c>
      <c r="GI14" s="17">
        <f>IF(Distances[[#This Row],[Colonne172]]=$G14,GH14,Distances[[#This Row],[Colonne172]]+1)</f>
        <v>169</v>
      </c>
      <c r="GJ14" s="17">
        <f>IF(Distances[[#This Row],[Colonne173]]=$G14,GI14,Distances[[#This Row],[Colonne173]]+1)</f>
        <v>170</v>
      </c>
      <c r="GK14" s="17">
        <f>IF(Distances[[#This Row],[Colonne174]]=$G14,GJ14,Distances[[#This Row],[Colonne174]]+1)</f>
        <v>171</v>
      </c>
      <c r="GL14" s="17">
        <f>IF(Distances[[#This Row],[Colonne175]]=$G14,GK14,Distances[[#This Row],[Colonne175]]+1)</f>
        <v>172</v>
      </c>
      <c r="GM14" s="17">
        <f>IF(Distances[[#This Row],[Colonne176]]=$G14,GL14,Distances[[#This Row],[Colonne176]]+1)</f>
        <v>173</v>
      </c>
      <c r="GN14" s="17">
        <f>IF(Distances[[#This Row],[Colonne177]]=$G14,GM14,Distances[[#This Row],[Colonne177]]+1)</f>
        <v>174</v>
      </c>
      <c r="GO14" s="17">
        <f>IF(Distances[[#This Row],[Colonne178]]=$G14,GN14,Distances[[#This Row],[Colonne178]]+1)</f>
        <v>175</v>
      </c>
      <c r="GP14" s="17">
        <f>IF(Distances[[#This Row],[Colonne179]]=$G14,GO14,Distances[[#This Row],[Colonne179]]+1)</f>
        <v>176</v>
      </c>
      <c r="GQ14" s="17">
        <f>IF(Distances[[#This Row],[Colonne180]]=$G14,GP14,Distances[[#This Row],[Colonne180]]+1)</f>
        <v>177</v>
      </c>
      <c r="GR14" s="17">
        <f>IF(Distances[[#This Row],[Colonne181]]=$G14,GQ14,Distances[[#This Row],[Colonne181]]+1)</f>
        <v>178</v>
      </c>
      <c r="GS14" s="17">
        <f>IF(Distances[[#This Row],[Colonne182]]=$G14,GR14,Distances[[#This Row],[Colonne182]]+1)</f>
        <v>179</v>
      </c>
      <c r="GT14" s="17">
        <f>IF(Distances[[#This Row],[Colonne183]]=$G14,GS14,Distances[[#This Row],[Colonne183]]+1)</f>
        <v>180</v>
      </c>
      <c r="GU14" s="17">
        <f>IF(Distances[[#This Row],[Colonne184]]=$G14,GT14,Distances[[#This Row],[Colonne184]]+1)</f>
        <v>181</v>
      </c>
      <c r="GV14" s="17">
        <f>IF(Distances[[#This Row],[Colonne185]]=$G14,GU14,Distances[[#This Row],[Colonne185]]+1)</f>
        <v>182</v>
      </c>
      <c r="GW14" s="17">
        <f>IF(Distances[[#This Row],[Colonne186]]=$G14,GV14,Distances[[#This Row],[Colonne186]]+1)</f>
        <v>183</v>
      </c>
      <c r="GX14" s="17">
        <f>IF(Distances[[#This Row],[Colonne187]]=$G14,GW14,Distances[[#This Row],[Colonne187]]+1)</f>
        <v>184</v>
      </c>
      <c r="GY14" s="17">
        <f>IF(Distances[[#This Row],[Colonne188]]=$G14,GX14,Distances[[#This Row],[Colonne188]]+1)</f>
        <v>185</v>
      </c>
      <c r="GZ14" s="17">
        <f>IF(Distances[[#This Row],[Colonne189]]=$G14,GY14,Distances[[#This Row],[Colonne189]]+1)</f>
        <v>186</v>
      </c>
      <c r="HA14" s="17">
        <f>IF(Distances[[#This Row],[Colonne190]]=$G14,GZ14,Distances[[#This Row],[Colonne190]]+1)</f>
        <v>187</v>
      </c>
      <c r="HB14" s="17">
        <f>IF(Distances[[#This Row],[Colonne191]]=$G14,HA14,Distances[[#This Row],[Colonne191]]+1)</f>
        <v>188</v>
      </c>
      <c r="HC14" s="17">
        <f>IF(Distances[[#This Row],[Colonne192]]=$G14,HB14,Distances[[#This Row],[Colonne192]]+1)</f>
        <v>189</v>
      </c>
      <c r="HD14" s="17">
        <f>IF(Distances[[#This Row],[Colonne193]]=$G14,HC14,Distances[[#This Row],[Colonne193]]+1)</f>
        <v>190</v>
      </c>
      <c r="HE14" s="17">
        <f>IF(Distances[[#This Row],[Colonne194]]=$G14,HD14,Distances[[#This Row],[Colonne194]]+1)</f>
        <v>191</v>
      </c>
      <c r="HF14" s="17">
        <f>IF(Distances[[#This Row],[Colonne195]]=$G14,HE14,Distances[[#This Row],[Colonne195]]+1)</f>
        <v>192</v>
      </c>
      <c r="HG14" s="17">
        <f>IF(Distances[[#This Row],[Colonne196]]=$G14,HF14,Distances[[#This Row],[Colonne196]]+1)</f>
        <v>193</v>
      </c>
      <c r="HH14" s="17">
        <f>IF(Distances[[#This Row],[Colonne197]]=$G14,HG14,Distances[[#This Row],[Colonne197]]+1)</f>
        <v>194</v>
      </c>
      <c r="HI14" s="17">
        <f>IF(Distances[[#This Row],[Colonne198]]=$G14,HH14,Distances[[#This Row],[Colonne198]]+1)</f>
        <v>195</v>
      </c>
      <c r="HJ14" s="17">
        <f>IF(Distances[[#This Row],[Colonne199]]=$G14,HI14,Distances[[#This Row],[Colonne199]]+1)</f>
        <v>196</v>
      </c>
      <c r="HK14" s="17">
        <f>IF(Distances[[#This Row],[Colonne200]]=$G14,HJ14,Distances[[#This Row],[Colonne200]]+1)</f>
        <v>197</v>
      </c>
      <c r="HL14" s="17">
        <f>IF(Distances[[#This Row],[Colonne201]]=$G14,HK14,Distances[[#This Row],[Colonne201]]+1)</f>
        <v>198</v>
      </c>
      <c r="HM14" s="17">
        <f>IF(Distances[[#This Row],[Colonne202]]=$G14,HL14,Distances[[#This Row],[Colonne202]]+1)</f>
        <v>199</v>
      </c>
      <c r="HN14" s="17">
        <f>IF(Distances[[#This Row],[Colonne203]]=$G14,HM14,Distances[[#This Row],[Colonne203]]+1)</f>
        <v>200</v>
      </c>
      <c r="HO14" s="17">
        <f>IF(Distances[[#This Row],[Colonne204]]=$G14,HN14,Distances[[#This Row],[Colonne204]]+1)</f>
        <v>200</v>
      </c>
      <c r="HP14" s="17">
        <f>IF(Distances[[#This Row],[Colonne205]]=$G14,HO14,Distances[[#This Row],[Colonne205]]+1)</f>
        <v>200</v>
      </c>
      <c r="HQ14" s="17">
        <f>IF(Distances[[#This Row],[Colonne206]]=$G14,HP14,Distances[[#This Row],[Colonne206]]+1)</f>
        <v>200</v>
      </c>
      <c r="HR14" s="17">
        <f>IF(Distances[[#This Row],[Colonne207]]=$G14,HQ14,Distances[[#This Row],[Colonne207]]+1)</f>
        <v>200</v>
      </c>
      <c r="HS14" s="17">
        <f>IF(Distances[[#This Row],[Colonne208]]=$G14,HR14,Distances[[#This Row],[Colonne208]]+1)</f>
        <v>200</v>
      </c>
      <c r="HT14" s="17">
        <f>IF(Distances[[#This Row],[Colonne209]]=$G14,HS14,Distances[[#This Row],[Colonne209]]+1)</f>
        <v>200</v>
      </c>
      <c r="HU14" s="17">
        <f>IF(Distances[[#This Row],[Colonne210]]=$G14,HT14,Distances[[#This Row],[Colonne210]]+1)</f>
        <v>200</v>
      </c>
      <c r="HV14" s="17">
        <f>IF(Distances[[#This Row],[Colonne211]]=$G14,HU14,Distances[[#This Row],[Colonne211]]+1)</f>
        <v>200</v>
      </c>
      <c r="HW14" s="17">
        <f>IF(Distances[[#This Row],[Colonne212]]=$G14,HV14,Distances[[#This Row],[Colonne212]]+1)</f>
        <v>200</v>
      </c>
      <c r="HX14" s="17">
        <f>IF(Distances[[#This Row],[Colonne213]]=$G14,HW14,Distances[[#This Row],[Colonne213]]+1)</f>
        <v>200</v>
      </c>
      <c r="HY14" s="17">
        <f>IF(Distances[[#This Row],[Colonne214]]=$G14,HX14,Distances[[#This Row],[Colonne214]]+1)</f>
        <v>200</v>
      </c>
      <c r="HZ14" s="17">
        <f>IF(Distances[[#This Row],[Colonne215]]=$G14,HY14,Distances[[#This Row],[Colonne215]]+1)</f>
        <v>200</v>
      </c>
      <c r="IA14" s="17">
        <f>IF(Distances[[#This Row],[Colonne216]]=$G14,HZ14,Distances[[#This Row],[Colonne216]]+1)</f>
        <v>200</v>
      </c>
      <c r="IB14" s="17">
        <f>IF(Distances[[#This Row],[Colonne217]]=$G14,IA14,Distances[[#This Row],[Colonne217]]+1)</f>
        <v>200</v>
      </c>
      <c r="IC14" s="17">
        <f>IF(Distances[[#This Row],[Colonne218]]=$G14,IB14,Distances[[#This Row],[Colonne218]]+1)</f>
        <v>200</v>
      </c>
      <c r="ID14" s="17">
        <f>IF(Distances[[#This Row],[Colonne219]]=$G14,IC14,Distances[[#This Row],[Colonne219]]+1)</f>
        <v>200</v>
      </c>
      <c r="IE14" s="17">
        <f>IF(Distances[[#This Row],[Colonne220]]=$G14,ID14,Distances[[#This Row],[Colonne220]]+1)</f>
        <v>200</v>
      </c>
      <c r="IF14" s="17">
        <f>IF(Distances[[#This Row],[Colonne221]]=$G14,IE14,Distances[[#This Row],[Colonne221]]+1)</f>
        <v>200</v>
      </c>
      <c r="IG14" s="17">
        <f>IF(Distances[[#This Row],[Colonne222]]=$G14,IF14,Distances[[#This Row],[Colonne222]]+1)</f>
        <v>200</v>
      </c>
      <c r="IH14" s="17">
        <f>IF(Distances[[#This Row],[Colonne223]]=$G14,IG14,Distances[[#This Row],[Colonne223]]+1)</f>
        <v>200</v>
      </c>
      <c r="II14" s="17">
        <f>IF(Distances[[#This Row],[Colonne224]]=$G14,IH14,Distances[[#This Row],[Colonne224]]+1)</f>
        <v>200</v>
      </c>
      <c r="IJ14" s="17">
        <f>IF(Distances[[#This Row],[Colonne225]]=$G14,II14,Distances[[#This Row],[Colonne225]]+1)</f>
        <v>200</v>
      </c>
      <c r="IK14" s="17">
        <f>IF(Distances[[#This Row],[Colonne226]]=$G14,IJ14,Distances[[#This Row],[Colonne226]]+1)</f>
        <v>200</v>
      </c>
      <c r="IL14" s="17">
        <f>IF(Distances[[#This Row],[Colonne227]]=$G14,IK14,Distances[[#This Row],[Colonne227]]+1)</f>
        <v>200</v>
      </c>
      <c r="IM14" s="17">
        <f>IF(Distances[[#This Row],[Colonne228]]=$G14,IL14,Distances[[#This Row],[Colonne228]]+1)</f>
        <v>200</v>
      </c>
      <c r="IN14" s="17">
        <f>IF(Distances[[#This Row],[Colonne229]]=$G14,IM14,Distances[[#This Row],[Colonne229]]+1)</f>
        <v>200</v>
      </c>
      <c r="IO14" s="17">
        <f>IF(Distances[[#This Row],[Colonne230]]=$G14,IN14,Distances[[#This Row],[Colonne230]]+1)</f>
        <v>200</v>
      </c>
      <c r="IP14" s="17">
        <f>IF(Distances[[#This Row],[Colonne231]]=$G14,IO14,Distances[[#This Row],[Colonne231]]+1)</f>
        <v>200</v>
      </c>
      <c r="IQ14" s="17">
        <f>IF(Distances[[#This Row],[Colonne232]]=$G14,IP14,Distances[[#This Row],[Colonne232]]+1)</f>
        <v>200</v>
      </c>
      <c r="IR14" s="17">
        <f>IF(Distances[[#This Row],[Colonne233]]=$G14,IQ14,Distances[[#This Row],[Colonne233]]+1)</f>
        <v>200</v>
      </c>
      <c r="IS14" s="17">
        <f>IF(Distances[[#This Row],[Colonne234]]=$G14,IR14,Distances[[#This Row],[Colonne234]]+1)</f>
        <v>200</v>
      </c>
      <c r="IT14" s="17">
        <f>IF(Distances[[#This Row],[Colonne235]]=$G14,IS14,Distances[[#This Row],[Colonne235]]+1)</f>
        <v>200</v>
      </c>
      <c r="IU14" s="17">
        <f>IF(Distances[[#This Row],[Colonne236]]=$G14,IT14,Distances[[#This Row],[Colonne236]]+1)</f>
        <v>200</v>
      </c>
      <c r="IV14" s="17">
        <f>IF(Distances[[#This Row],[Colonne237]]=$G14,IU14,Distances[[#This Row],[Colonne237]]+1)</f>
        <v>200</v>
      </c>
      <c r="IW14" s="17">
        <f>IF(Distances[[#This Row],[Colonne238]]=$G14,IV14,Distances[[#This Row],[Colonne238]]+1)</f>
        <v>200</v>
      </c>
      <c r="IX14" s="17">
        <f>IF(Distances[[#This Row],[Colonne239]]=$G14,IW14,Distances[[#This Row],[Colonne239]]+1)</f>
        <v>200</v>
      </c>
      <c r="IY14" s="17">
        <f>IF(Distances[[#This Row],[Colonne240]]=$G14,IX14,Distances[[#This Row],[Colonne240]]+1)</f>
        <v>200</v>
      </c>
      <c r="IZ14" s="17">
        <f>IF(Distances[[#This Row],[Colonne241]]=$G14,IY14,Distances[[#This Row],[Colonne241]]+1)</f>
        <v>200</v>
      </c>
      <c r="JA14" s="17">
        <f>IF(Distances[[#This Row],[Colonne242]]=$G14,IZ14,Distances[[#This Row],[Colonne242]]+1)</f>
        <v>200</v>
      </c>
      <c r="JB14" s="17">
        <f>IF(Distances[[#This Row],[Colonne243]]=$G14,JA14,Distances[[#This Row],[Colonne243]]+1)</f>
        <v>200</v>
      </c>
      <c r="JC14" s="17">
        <f>IF(Distances[[#This Row],[Colonne244]]=$G14,JB14,Distances[[#This Row],[Colonne244]]+1)</f>
        <v>200</v>
      </c>
      <c r="JD14" s="17">
        <f>IF(Distances[[#This Row],[Colonne245]]=$G14,JC14,Distances[[#This Row],[Colonne245]]+1)</f>
        <v>200</v>
      </c>
      <c r="JE14" s="17">
        <f>IF(Distances[[#This Row],[Colonne246]]=$G14,JD14,Distances[[#This Row],[Colonne246]]+1)</f>
        <v>200</v>
      </c>
      <c r="JF14" s="17">
        <f>IF(Distances[[#This Row],[Colonne247]]=$G14,JE14,Distances[[#This Row],[Colonne247]]+1)</f>
        <v>200</v>
      </c>
      <c r="JG14" s="17">
        <f>IF(Distances[[#This Row],[Colonne248]]=$G14,JF14,Distances[[#This Row],[Colonne248]]+1)</f>
        <v>200</v>
      </c>
      <c r="JH14" s="17">
        <f>IF(Distances[[#This Row],[Colonne249]]=$G14,JG14,Distances[[#This Row],[Colonne249]]+1)</f>
        <v>200</v>
      </c>
      <c r="JI14" s="17">
        <f>IF(Distances[[#This Row],[Colonne250]]=$G14,JH14,Distances[[#This Row],[Colonne250]]+1)</f>
        <v>200</v>
      </c>
      <c r="JJ14" s="17">
        <f>IF(Distances[[#This Row],[Colonne251]]=$G14,JI14,Distances[[#This Row],[Colonne251]]+1)</f>
        <v>200</v>
      </c>
      <c r="JK14" s="17">
        <f>IF(Distances[[#This Row],[Colonne252]]=$G14,JJ14,Distances[[#This Row],[Colonne252]]+1)</f>
        <v>200</v>
      </c>
      <c r="JL14" s="17">
        <f>IF(Distances[[#This Row],[Colonne253]]=$G14,JK14,Distances[[#This Row],[Colonne253]]+1)</f>
        <v>200</v>
      </c>
      <c r="JM14" s="17">
        <f>IF(Distances[[#This Row],[Colonne254]]=$G14,JL14,Distances[[#This Row],[Colonne254]]+1)</f>
        <v>200</v>
      </c>
      <c r="JN14" s="17">
        <f>IF(Distances[[#This Row],[Colonne255]]=$G14,JM14,Distances[[#This Row],[Colonne255]]+1)</f>
        <v>200</v>
      </c>
      <c r="JO14" s="17">
        <f>IF(Distances[[#This Row],[Colonne256]]=$G14,JN14,Distances[[#This Row],[Colonne256]]+1)</f>
        <v>200</v>
      </c>
      <c r="JP14" s="17">
        <f>IF(Distances[[#This Row],[Colonne257]]=$G14,JO14,Distances[[#This Row],[Colonne257]]+1)</f>
        <v>200</v>
      </c>
      <c r="JQ14" s="17">
        <f>IF(Distances[[#This Row],[Colonne258]]=$G14,JP14,Distances[[#This Row],[Colonne258]]+1)</f>
        <v>200</v>
      </c>
      <c r="JR14" s="17">
        <f>IF(Distances[[#This Row],[Colonne259]]=$G14,JQ14,Distances[[#This Row],[Colonne259]]+1)</f>
        <v>200</v>
      </c>
      <c r="JS14" s="17">
        <f>IF(Distances[[#This Row],[Colonne260]]=$G14,JR14,Distances[[#This Row],[Colonne260]]+1)</f>
        <v>200</v>
      </c>
      <c r="JT14" s="17">
        <f>IF(Distances[[#This Row],[Colonne261]]=$G14,JS14,Distances[[#This Row],[Colonne261]]+1)</f>
        <v>200</v>
      </c>
      <c r="JU14" s="17">
        <f>IF(Distances[[#This Row],[Colonne262]]=$G14,JT14,Distances[[#This Row],[Colonne262]]+1)</f>
        <v>200</v>
      </c>
      <c r="JV14" s="17">
        <f>IF(Distances[[#This Row],[Colonne263]]=$G14,JU14,Distances[[#This Row],[Colonne263]]+1)</f>
        <v>200</v>
      </c>
      <c r="JW14" s="17">
        <f>IF(Distances[[#This Row],[Colonne264]]=$G14,JV14,Distances[[#This Row],[Colonne264]]+1)</f>
        <v>200</v>
      </c>
      <c r="JX14" s="17">
        <f>IF(Distances[[#This Row],[Colonne265]]=$G14,JW14,Distances[[#This Row],[Colonne265]]+1)</f>
        <v>200</v>
      </c>
      <c r="JY14" s="17">
        <f>IF(Distances[[#This Row],[Colonne266]]=$G14,JX14,Distances[[#This Row],[Colonne266]]+1)</f>
        <v>200</v>
      </c>
      <c r="JZ14" s="17">
        <f>IF(Distances[[#This Row],[Colonne267]]=$G14,JY14,Distances[[#This Row],[Colonne267]]+1)</f>
        <v>200</v>
      </c>
      <c r="KA14" s="17">
        <f>IF(Distances[[#This Row],[Colonne268]]=$G14,JZ14,Distances[[#This Row],[Colonne268]]+1)</f>
        <v>200</v>
      </c>
      <c r="KB14" s="17">
        <f>IF(Distances[[#This Row],[Colonne269]]=$G14,KA14,Distances[[#This Row],[Colonne269]]+1)</f>
        <v>200</v>
      </c>
      <c r="KC14" s="17">
        <f>IF(Distances[[#This Row],[Colonne270]]=$G14,KB14,Distances[[#This Row],[Colonne270]]+1)</f>
        <v>200</v>
      </c>
      <c r="KD14" s="17">
        <f>IF(Distances[[#This Row],[Colonne271]]=$G14,KC14,Distances[[#This Row],[Colonne271]]+1)</f>
        <v>200</v>
      </c>
      <c r="KE14" s="17">
        <f>IF(Distances[[#This Row],[Colonne272]]=$G14,KD14,Distances[[#This Row],[Colonne272]]+1)</f>
        <v>200</v>
      </c>
      <c r="KF14" s="17">
        <f>IF(Distances[[#This Row],[Colonne273]]=$G14,KE14,Distances[[#This Row],[Colonne273]]+1)</f>
        <v>200</v>
      </c>
      <c r="KG14" s="17">
        <f>IF(Distances[[#This Row],[Colonne274]]=$G14,KF14,Distances[[#This Row],[Colonne274]]+1)</f>
        <v>200</v>
      </c>
      <c r="KH14" s="17">
        <f>IF(Distances[[#This Row],[Colonne275]]=$G14,KG14,Distances[[#This Row],[Colonne275]]+1)</f>
        <v>200</v>
      </c>
      <c r="KI14" s="17">
        <f>IF(Distances[[#This Row],[Colonne276]]=$G14,KH14,Distances[[#This Row],[Colonne276]]+1)</f>
        <v>200</v>
      </c>
      <c r="KJ14" s="17">
        <f>IF(Distances[[#This Row],[Colonne277]]=$G14,KI14,Distances[[#This Row],[Colonne277]]+1)</f>
        <v>200</v>
      </c>
      <c r="KK14" s="17">
        <f>IF(Distances[[#This Row],[Colonne278]]=$G14,KJ14,Distances[[#This Row],[Colonne278]]+1)</f>
        <v>200</v>
      </c>
      <c r="KL14" s="17">
        <f>IF(Distances[[#This Row],[Colonne279]]=$G14,KK14,Distances[[#This Row],[Colonne279]]+1)</f>
        <v>200</v>
      </c>
      <c r="KM14" s="17">
        <f>IF(Distances[[#This Row],[Colonne280]]=$G14,KL14,Distances[[#This Row],[Colonne280]]+1)</f>
        <v>200</v>
      </c>
      <c r="KN14" s="17">
        <f>IF(Distances[[#This Row],[Colonne281]]=$G14,KM14,Distances[[#This Row],[Colonne281]]+1)</f>
        <v>200</v>
      </c>
      <c r="KO14" s="17">
        <f>IF(Distances[[#This Row],[Colonne282]]=$G14,KN14,Distances[[#This Row],[Colonne282]]+1)</f>
        <v>200</v>
      </c>
      <c r="KP14" s="17">
        <f>IF(Distances[[#This Row],[Colonne283]]=$G14,KO14,Distances[[#This Row],[Colonne283]]+1)</f>
        <v>200</v>
      </c>
      <c r="KQ14" s="17">
        <f>IF(Distances[[#This Row],[Colonne284]]=$G14,KP14,Distances[[#This Row],[Colonne284]]+1)</f>
        <v>200</v>
      </c>
      <c r="KR14" s="17">
        <f>IF(Distances[[#This Row],[Colonne285]]=$G14,KQ14,Distances[[#This Row],[Colonne285]]+1)</f>
        <v>200</v>
      </c>
      <c r="KS14" s="17">
        <f>IF(Distances[[#This Row],[Colonne286]]=$G14,KR14,Distances[[#This Row],[Colonne286]]+1)</f>
        <v>200</v>
      </c>
      <c r="KT14" s="17">
        <f>IF(Distances[[#This Row],[Colonne287]]=$G14,KS14,Distances[[#This Row],[Colonne287]]+1)</f>
        <v>200</v>
      </c>
      <c r="KU14" s="17">
        <f>IF(Distances[[#This Row],[Colonne288]]=$G14,KT14,Distances[[#This Row],[Colonne288]]+1)</f>
        <v>200</v>
      </c>
      <c r="KV14" s="17">
        <f>IF(Distances[[#This Row],[Colonne289]]=$G14,KU14,Distances[[#This Row],[Colonne289]]+1)</f>
        <v>200</v>
      </c>
      <c r="KW14" s="17">
        <f>IF(Distances[[#This Row],[Colonne290]]=$G14,KV14,Distances[[#This Row],[Colonne290]]+1)</f>
        <v>200</v>
      </c>
      <c r="KX14" s="17">
        <f>IF(Distances[[#This Row],[Colonne291]]=$G14,KW14,Distances[[#This Row],[Colonne291]]+1)</f>
        <v>200</v>
      </c>
      <c r="KY14" s="17">
        <f>IF(Distances[[#This Row],[Colonne292]]=$G14,KX14,Distances[[#This Row],[Colonne292]]+1)</f>
        <v>200</v>
      </c>
      <c r="KZ14" s="17">
        <f>IF(Distances[[#This Row],[Colonne293]]=$G14,KY14,Distances[[#This Row],[Colonne293]]+1)</f>
        <v>200</v>
      </c>
      <c r="LA14" s="17">
        <f>IF(Distances[[#This Row],[Colonne294]]=$G14,KZ14,Distances[[#This Row],[Colonne294]]+1)</f>
        <v>200</v>
      </c>
      <c r="LB14" s="17">
        <f>IF(Distances[[#This Row],[Colonne295]]=$G14,LA14,Distances[[#This Row],[Colonne295]]+1)</f>
        <v>200</v>
      </c>
      <c r="LC14" s="17">
        <f>IF(Distances[[#This Row],[Colonne296]]=$G14,LB14,Distances[[#This Row],[Colonne296]]+1)</f>
        <v>200</v>
      </c>
      <c r="LD14" s="17">
        <f>IF(Distances[[#This Row],[Colonne297]]=$G14,LC14,Distances[[#This Row],[Colonne297]]+1)</f>
        <v>200</v>
      </c>
      <c r="LE14" s="17">
        <f>IF(Distances[[#This Row],[Colonne298]]=$G14,LD14,Distances[[#This Row],[Colonne298]]+1)</f>
        <v>200</v>
      </c>
      <c r="LF14" s="17">
        <f>IF(Distances[[#This Row],[Colonne299]]=$G14,LE14,Distances[[#This Row],[Colonne299]]+1)</f>
        <v>200</v>
      </c>
      <c r="LG14" s="17">
        <f>IF(Distances[[#This Row],[Colonne300]]=$G14,LF14,Distances[[#This Row],[Colonne300]]+1)</f>
        <v>200</v>
      </c>
      <c r="LH14" s="17">
        <f>IF(Distances[[#This Row],[Colonne301]]=$G14,LG14,Distances[[#This Row],[Colonne301]]+1)</f>
        <v>200</v>
      </c>
      <c r="LI14" s="17">
        <f>IF(Distances[[#This Row],[Colonne302]]=$G14,LH14,Distances[[#This Row],[Colonne302]]+1)</f>
        <v>200</v>
      </c>
      <c r="LJ14" s="17">
        <f>IF(Distances[[#This Row],[Colonne303]]=$G14,LI14,Distances[[#This Row],[Colonne303]]+1)</f>
        <v>200</v>
      </c>
      <c r="LK14" s="51"/>
      <c r="LL14" s="17">
        <f t="shared" ref="LL14:NW14" si="26">IF(LK14=$H14,LK14,LK14+1)</f>
        <v>1</v>
      </c>
      <c r="LM14" s="17">
        <f t="shared" si="26"/>
        <v>2</v>
      </c>
      <c r="LN14" s="17">
        <f t="shared" si="26"/>
        <v>3</v>
      </c>
      <c r="LO14" s="17">
        <f t="shared" si="26"/>
        <v>4</v>
      </c>
      <c r="LP14" s="17">
        <f t="shared" si="26"/>
        <v>5</v>
      </c>
      <c r="LQ14" s="17">
        <f t="shared" si="26"/>
        <v>6</v>
      </c>
      <c r="LR14" s="17">
        <f t="shared" si="26"/>
        <v>7</v>
      </c>
      <c r="LS14" s="17">
        <f t="shared" si="26"/>
        <v>8</v>
      </c>
      <c r="LT14" s="17">
        <f t="shared" si="26"/>
        <v>9</v>
      </c>
      <c r="LU14" s="17">
        <f t="shared" si="26"/>
        <v>10</v>
      </c>
      <c r="LV14" s="17">
        <f t="shared" si="26"/>
        <v>11</v>
      </c>
      <c r="LW14" s="17">
        <f t="shared" si="26"/>
        <v>12</v>
      </c>
      <c r="LX14" s="17">
        <f t="shared" si="26"/>
        <v>13</v>
      </c>
      <c r="LY14" s="17">
        <f t="shared" si="26"/>
        <v>14</v>
      </c>
      <c r="LZ14" s="17">
        <f t="shared" si="26"/>
        <v>15</v>
      </c>
      <c r="MA14" s="17">
        <f t="shared" si="26"/>
        <v>16</v>
      </c>
      <c r="MB14" s="17">
        <f t="shared" si="26"/>
        <v>17</v>
      </c>
      <c r="MC14" s="17">
        <f t="shared" si="26"/>
        <v>18</v>
      </c>
      <c r="MD14" s="17">
        <f t="shared" si="26"/>
        <v>19</v>
      </c>
      <c r="ME14" s="17">
        <f t="shared" si="26"/>
        <v>20</v>
      </c>
      <c r="MF14" s="17">
        <f t="shared" si="26"/>
        <v>20</v>
      </c>
      <c r="MG14" s="17">
        <f t="shared" si="26"/>
        <v>20</v>
      </c>
      <c r="MH14" s="17">
        <f t="shared" si="26"/>
        <v>20</v>
      </c>
      <c r="MI14" s="17">
        <f t="shared" si="26"/>
        <v>20</v>
      </c>
      <c r="MJ14" s="17">
        <f t="shared" si="26"/>
        <v>20</v>
      </c>
      <c r="MK14" s="17">
        <f t="shared" si="26"/>
        <v>20</v>
      </c>
      <c r="ML14" s="17">
        <f t="shared" si="26"/>
        <v>20</v>
      </c>
      <c r="MM14" s="17">
        <f t="shared" si="26"/>
        <v>20</v>
      </c>
      <c r="MN14" s="17">
        <f t="shared" si="26"/>
        <v>20</v>
      </c>
      <c r="MO14" s="17">
        <f t="shared" si="26"/>
        <v>20</v>
      </c>
      <c r="MP14" s="17">
        <f t="shared" si="26"/>
        <v>20</v>
      </c>
      <c r="MQ14" s="17">
        <f t="shared" si="26"/>
        <v>20</v>
      </c>
      <c r="MR14" s="17">
        <f t="shared" si="26"/>
        <v>20</v>
      </c>
      <c r="MS14" s="17">
        <f t="shared" si="26"/>
        <v>20</v>
      </c>
      <c r="MT14" s="17">
        <f t="shared" si="26"/>
        <v>20</v>
      </c>
      <c r="MU14" s="17">
        <f t="shared" si="26"/>
        <v>20</v>
      </c>
      <c r="MV14" s="17">
        <f t="shared" si="26"/>
        <v>20</v>
      </c>
      <c r="MW14" s="17">
        <f t="shared" si="26"/>
        <v>20</v>
      </c>
      <c r="MX14" s="17">
        <f t="shared" si="26"/>
        <v>20</v>
      </c>
      <c r="MY14" s="17">
        <f t="shared" si="26"/>
        <v>20</v>
      </c>
      <c r="MZ14" s="17">
        <f t="shared" si="26"/>
        <v>20</v>
      </c>
      <c r="NA14" s="17">
        <f t="shared" si="26"/>
        <v>20</v>
      </c>
      <c r="NB14" s="17">
        <f t="shared" si="26"/>
        <v>20</v>
      </c>
      <c r="NC14" s="17">
        <f t="shared" si="26"/>
        <v>20</v>
      </c>
      <c r="ND14" s="17">
        <f t="shared" si="26"/>
        <v>20</v>
      </c>
      <c r="NE14" s="17">
        <f t="shared" si="26"/>
        <v>20</v>
      </c>
      <c r="NF14" s="17">
        <f t="shared" si="26"/>
        <v>20</v>
      </c>
      <c r="NG14" s="17">
        <f t="shared" si="26"/>
        <v>20</v>
      </c>
      <c r="NH14" s="17">
        <f t="shared" si="26"/>
        <v>20</v>
      </c>
      <c r="NI14" s="17">
        <f t="shared" si="26"/>
        <v>20</v>
      </c>
      <c r="NJ14" s="17">
        <f t="shared" si="26"/>
        <v>20</v>
      </c>
      <c r="NK14" s="17">
        <f t="shared" si="26"/>
        <v>20</v>
      </c>
      <c r="NL14" s="17">
        <f t="shared" si="26"/>
        <v>20</v>
      </c>
      <c r="NM14" s="17">
        <f t="shared" si="26"/>
        <v>20</v>
      </c>
      <c r="NN14" s="17">
        <f t="shared" si="26"/>
        <v>20</v>
      </c>
      <c r="NO14" s="17">
        <f t="shared" si="26"/>
        <v>20</v>
      </c>
      <c r="NP14" s="17">
        <f t="shared" si="26"/>
        <v>20</v>
      </c>
      <c r="NQ14" s="17">
        <f t="shared" si="26"/>
        <v>20</v>
      </c>
      <c r="NR14" s="17">
        <f t="shared" si="26"/>
        <v>20</v>
      </c>
      <c r="NS14" s="17">
        <f t="shared" si="26"/>
        <v>20</v>
      </c>
      <c r="NT14" s="17">
        <f t="shared" si="26"/>
        <v>20</v>
      </c>
      <c r="NU14" s="17">
        <f t="shared" si="26"/>
        <v>20</v>
      </c>
      <c r="NV14" s="17">
        <f t="shared" si="26"/>
        <v>20</v>
      </c>
      <c r="NW14" s="17">
        <f t="shared" si="26"/>
        <v>20</v>
      </c>
      <c r="NX14" s="17">
        <f t="shared" ref="NX14:PG14" si="27">IF(NW14=$H14,NW14,NW14+1)</f>
        <v>20</v>
      </c>
      <c r="NY14" s="17">
        <f t="shared" si="27"/>
        <v>20</v>
      </c>
      <c r="NZ14" s="17">
        <f t="shared" si="27"/>
        <v>20</v>
      </c>
      <c r="OA14" s="17">
        <f t="shared" si="27"/>
        <v>20</v>
      </c>
      <c r="OB14" s="17">
        <f t="shared" si="27"/>
        <v>20</v>
      </c>
      <c r="OC14" s="17">
        <f t="shared" si="27"/>
        <v>20</v>
      </c>
      <c r="OD14" s="17">
        <f t="shared" si="27"/>
        <v>20</v>
      </c>
      <c r="OE14" s="17">
        <f t="shared" si="27"/>
        <v>20</v>
      </c>
      <c r="OF14" s="17">
        <f t="shared" si="27"/>
        <v>20</v>
      </c>
      <c r="OG14" s="17">
        <f t="shared" si="27"/>
        <v>20</v>
      </c>
      <c r="OH14" s="17">
        <f t="shared" si="27"/>
        <v>20</v>
      </c>
      <c r="OI14" s="17">
        <f t="shared" si="27"/>
        <v>20</v>
      </c>
      <c r="OJ14" s="17">
        <f t="shared" si="27"/>
        <v>20</v>
      </c>
      <c r="OK14" s="17">
        <f t="shared" si="27"/>
        <v>20</v>
      </c>
      <c r="OL14" s="17">
        <f t="shared" si="27"/>
        <v>20</v>
      </c>
      <c r="OM14" s="17">
        <f t="shared" si="27"/>
        <v>20</v>
      </c>
      <c r="ON14" s="17">
        <f t="shared" si="27"/>
        <v>20</v>
      </c>
      <c r="OO14" s="17">
        <f t="shared" si="27"/>
        <v>20</v>
      </c>
      <c r="OP14" s="17">
        <f t="shared" si="27"/>
        <v>20</v>
      </c>
      <c r="OQ14" s="17">
        <f t="shared" si="27"/>
        <v>20</v>
      </c>
      <c r="OR14" s="17">
        <f t="shared" si="27"/>
        <v>20</v>
      </c>
      <c r="OS14" s="17">
        <f t="shared" si="27"/>
        <v>20</v>
      </c>
      <c r="OT14" s="17">
        <f t="shared" si="27"/>
        <v>20</v>
      </c>
      <c r="OU14" s="17">
        <f t="shared" si="27"/>
        <v>20</v>
      </c>
      <c r="OV14" s="17">
        <f t="shared" si="27"/>
        <v>20</v>
      </c>
      <c r="OW14" s="17">
        <f t="shared" si="27"/>
        <v>20</v>
      </c>
      <c r="OX14" s="17">
        <f t="shared" si="27"/>
        <v>20</v>
      </c>
      <c r="OY14" s="17">
        <f t="shared" si="27"/>
        <v>20</v>
      </c>
      <c r="OZ14" s="17">
        <f t="shared" si="27"/>
        <v>20</v>
      </c>
      <c r="PA14" s="17">
        <f t="shared" si="27"/>
        <v>20</v>
      </c>
      <c r="PB14" s="17">
        <f t="shared" si="27"/>
        <v>20</v>
      </c>
      <c r="PC14" s="17">
        <f t="shared" si="27"/>
        <v>20</v>
      </c>
      <c r="PD14" s="17">
        <f t="shared" si="27"/>
        <v>20</v>
      </c>
      <c r="PE14" s="17">
        <f t="shared" si="27"/>
        <v>20</v>
      </c>
      <c r="PF14" s="17">
        <f t="shared" si="27"/>
        <v>20</v>
      </c>
      <c r="PG14" s="17">
        <f t="shared" si="27"/>
        <v>20</v>
      </c>
    </row>
    <row r="15" spans="1:423" x14ac:dyDescent="0.25">
      <c r="A15" s="8" t="s">
        <v>5506</v>
      </c>
      <c r="B15" s="9" t="s">
        <v>25</v>
      </c>
      <c r="C15" s="9" t="str">
        <f t="shared" si="0"/>
        <v>CN2</v>
      </c>
      <c r="D15" s="1" t="str">
        <f t="shared" si="1"/>
        <v>Cadre N2</v>
      </c>
      <c r="E15" s="1" t="s">
        <v>9865</v>
      </c>
      <c r="F15" s="9" t="s">
        <v>5452</v>
      </c>
      <c r="G15" s="9">
        <v>120</v>
      </c>
      <c r="H15" s="9">
        <v>20</v>
      </c>
      <c r="I15" s="127">
        <v>3.1</v>
      </c>
      <c r="J15" s="30"/>
      <c r="K15" s="281" t="s">
        <v>5539</v>
      </c>
      <c r="L15" s="8">
        <v>5</v>
      </c>
      <c r="M15" s="9">
        <v>2</v>
      </c>
      <c r="N15" s="10">
        <v>9.9990000000000006</v>
      </c>
      <c r="O15" s="269">
        <v>1</v>
      </c>
      <c r="P15" s="331">
        <v>1</v>
      </c>
      <c r="Q15" s="335">
        <v>2</v>
      </c>
      <c r="R15" s="128"/>
      <c r="S15" s="9"/>
      <c r="T15" s="10"/>
      <c r="U15" t="s">
        <v>5523</v>
      </c>
      <c r="V15" s="17">
        <v>0</v>
      </c>
      <c r="W15" s="17">
        <f>IF(Distances[[#This Row],[Colonne4]]=$G15,V15,Distances[[#This Row],[Colonne4]]+1)</f>
        <v>1</v>
      </c>
      <c r="X15" s="17">
        <f>IF(Distances[[#This Row],[Colonne5]]=$G15,W15,Distances[[#This Row],[Colonne5]]+1)</f>
        <v>2</v>
      </c>
      <c r="Y15" s="17">
        <f>IF(Distances[[#This Row],[Colonne6]]=$G15,X15,Distances[[#This Row],[Colonne6]]+1)</f>
        <v>3</v>
      </c>
      <c r="Z15" s="17">
        <f>IF(Distances[[#This Row],[Colonne7]]=$G15,Y15,Distances[[#This Row],[Colonne7]]+1)</f>
        <v>4</v>
      </c>
      <c r="AA15" s="17">
        <f>IF(Distances[[#This Row],[Colonne8]]=$G15,Z15,Distances[[#This Row],[Colonne8]]+1)</f>
        <v>5</v>
      </c>
      <c r="AB15" s="17">
        <f>IF(Distances[[#This Row],[Colonne9]]=$G15,AA15,Distances[[#This Row],[Colonne9]]+1)</f>
        <v>6</v>
      </c>
      <c r="AC15" s="17">
        <f>IF(Distances[[#This Row],[Colonne10]]=$G15,AB15,Distances[[#This Row],[Colonne10]]+1)</f>
        <v>7</v>
      </c>
      <c r="AD15" s="17">
        <f>IF(Distances[[#This Row],[Colonne11]]=$G15,AC15,Distances[[#This Row],[Colonne11]]+1)</f>
        <v>8</v>
      </c>
      <c r="AE15" s="17">
        <f>IF(Distances[[#This Row],[Colonne12]]=$G15,AD15,Distances[[#This Row],[Colonne12]]+1)</f>
        <v>9</v>
      </c>
      <c r="AF15" s="17">
        <f>IF(Distances[[#This Row],[Colonne13]]=$G15,AE15,Distances[[#This Row],[Colonne13]]+1)</f>
        <v>10</v>
      </c>
      <c r="AG15" s="17">
        <f>IF(Distances[[#This Row],[Colonne14]]=$G15,AF15,Distances[[#This Row],[Colonne14]]+1)</f>
        <v>11</v>
      </c>
      <c r="AH15" s="17">
        <f>IF(Distances[[#This Row],[Colonne15]]=$G15,AG15,Distances[[#This Row],[Colonne15]]+1)</f>
        <v>12</v>
      </c>
      <c r="AI15" s="17">
        <f>IF(Distances[[#This Row],[Colonne16]]=$G15,AH15,Distances[[#This Row],[Colonne16]]+1)</f>
        <v>13</v>
      </c>
      <c r="AJ15" s="17">
        <f>IF(Distances[[#This Row],[Colonne17]]=$G15,AI15,Distances[[#This Row],[Colonne17]]+1)</f>
        <v>14</v>
      </c>
      <c r="AK15" s="17">
        <f>IF(Distances[[#This Row],[Colonne18]]=$G15,AJ15,Distances[[#This Row],[Colonne18]]+1)</f>
        <v>15</v>
      </c>
      <c r="AL15" s="17">
        <f>IF(Distances[[#This Row],[Colonne19]]=$G15,AK15,Distances[[#This Row],[Colonne19]]+1)</f>
        <v>16</v>
      </c>
      <c r="AM15" s="17">
        <f>IF(Distances[[#This Row],[Colonne20]]=$G15,AL15,Distances[[#This Row],[Colonne20]]+1)</f>
        <v>17</v>
      </c>
      <c r="AN15" s="17">
        <f>IF(Distances[[#This Row],[Colonne21]]=$G15,AM15,Distances[[#This Row],[Colonne21]]+1)</f>
        <v>18</v>
      </c>
      <c r="AO15" s="17">
        <f>IF(Distances[[#This Row],[Colonne22]]=$G15,AN15,Distances[[#This Row],[Colonne22]]+1)</f>
        <v>19</v>
      </c>
      <c r="AP15" s="17">
        <f>IF(Distances[[#This Row],[Colonne23]]=$G15,AO15,Distances[[#This Row],[Colonne23]]+1)</f>
        <v>20</v>
      </c>
      <c r="AQ15" s="17">
        <f>IF(Distances[[#This Row],[Colonne24]]=$G15,AP15,Distances[[#This Row],[Colonne24]]+1)</f>
        <v>21</v>
      </c>
      <c r="AR15" s="17">
        <f>IF(Distances[[#This Row],[Colonne25]]=$G15,AQ15,Distances[[#This Row],[Colonne25]]+1)</f>
        <v>22</v>
      </c>
      <c r="AS15" s="17">
        <f>IF(Distances[[#This Row],[Colonne26]]=$G15,AR15,Distances[[#This Row],[Colonne26]]+1)</f>
        <v>23</v>
      </c>
      <c r="AT15" s="17">
        <f>IF(Distances[[#This Row],[Colonne27]]=$G15,AS15,Distances[[#This Row],[Colonne27]]+1)</f>
        <v>24</v>
      </c>
      <c r="AU15" s="17">
        <f>IF(Distances[[#This Row],[Colonne28]]=$G15,AT15,Distances[[#This Row],[Colonne28]]+1)</f>
        <v>25</v>
      </c>
      <c r="AV15" s="17">
        <f>IF(Distances[[#This Row],[Colonne29]]=$G15,AU15,Distances[[#This Row],[Colonne29]]+1)</f>
        <v>26</v>
      </c>
      <c r="AW15" s="17">
        <f>IF(Distances[[#This Row],[Colonne30]]=$G15,AV15,Distances[[#This Row],[Colonne30]]+1)</f>
        <v>27</v>
      </c>
      <c r="AX15" s="17">
        <f>IF(Distances[[#This Row],[Colonne31]]=$G15,AW15,Distances[[#This Row],[Colonne31]]+1)</f>
        <v>28</v>
      </c>
      <c r="AY15" s="17">
        <f>IF(Distances[[#This Row],[Colonne32]]=$G15,AX15,Distances[[#This Row],[Colonne32]]+1)</f>
        <v>29</v>
      </c>
      <c r="AZ15" s="17">
        <f>IF(Distances[[#This Row],[Colonne33]]=$G15,AY15,Distances[[#This Row],[Colonne33]]+1)</f>
        <v>30</v>
      </c>
      <c r="BA15" s="17">
        <f>IF(Distances[[#This Row],[Colonne34]]=$G15,AZ15,Distances[[#This Row],[Colonne34]]+1)</f>
        <v>31</v>
      </c>
      <c r="BB15" s="17">
        <f>IF(Distances[[#This Row],[Colonne35]]=$G15,BA15,Distances[[#This Row],[Colonne35]]+1)</f>
        <v>32</v>
      </c>
      <c r="BC15" s="17">
        <f>IF(Distances[[#This Row],[Colonne36]]=$G15,BB15,Distances[[#This Row],[Colonne36]]+1)</f>
        <v>33</v>
      </c>
      <c r="BD15" s="17">
        <f>IF(Distances[[#This Row],[Colonne37]]=$G15,BC15,Distances[[#This Row],[Colonne37]]+1)</f>
        <v>34</v>
      </c>
      <c r="BE15" s="17">
        <f>IF(Distances[[#This Row],[Colonne38]]=$G15,BD15,Distances[[#This Row],[Colonne38]]+1)</f>
        <v>35</v>
      </c>
      <c r="BF15" s="17">
        <f>IF(Distances[[#This Row],[Colonne39]]=$G15,BE15,Distances[[#This Row],[Colonne39]]+1)</f>
        <v>36</v>
      </c>
      <c r="BG15" s="17">
        <f>IF(Distances[[#This Row],[Colonne40]]=$G15,BF15,Distances[[#This Row],[Colonne40]]+1)</f>
        <v>37</v>
      </c>
      <c r="BH15" s="17">
        <f>IF(Distances[[#This Row],[Colonne41]]=$G15,BG15,Distances[[#This Row],[Colonne41]]+1)</f>
        <v>38</v>
      </c>
      <c r="BI15" s="17">
        <f>IF(Distances[[#This Row],[Colonne42]]=$G15,BH15,Distances[[#This Row],[Colonne42]]+1)</f>
        <v>39</v>
      </c>
      <c r="BJ15" s="17">
        <f>IF(Distances[[#This Row],[Colonne43]]=$G15,BI15,Distances[[#This Row],[Colonne43]]+1)</f>
        <v>40</v>
      </c>
      <c r="BK15" s="17">
        <f>IF(Distances[[#This Row],[Colonne44]]=$G15,BJ15,Distances[[#This Row],[Colonne44]]+1)</f>
        <v>41</v>
      </c>
      <c r="BL15" s="17">
        <f>IF(Distances[[#This Row],[Colonne45]]=$G15,BK15,Distances[[#This Row],[Colonne45]]+1)</f>
        <v>42</v>
      </c>
      <c r="BM15" s="17">
        <f>IF(Distances[[#This Row],[Colonne46]]=$G15,BL15,Distances[[#This Row],[Colonne46]]+1)</f>
        <v>43</v>
      </c>
      <c r="BN15" s="17">
        <f>IF(Distances[[#This Row],[Colonne47]]=$G15,BM15,Distances[[#This Row],[Colonne47]]+1)</f>
        <v>44</v>
      </c>
      <c r="BO15" s="17">
        <f>IF(Distances[[#This Row],[Colonne48]]=$G15,BN15,Distances[[#This Row],[Colonne48]]+1)</f>
        <v>45</v>
      </c>
      <c r="BP15" s="17">
        <f>IF(Distances[[#This Row],[Colonne49]]=$G15,BO15,Distances[[#This Row],[Colonne49]]+1)</f>
        <v>46</v>
      </c>
      <c r="BQ15" s="17">
        <f>IF(Distances[[#This Row],[Colonne50]]=$G15,BP15,Distances[[#This Row],[Colonne50]]+1)</f>
        <v>47</v>
      </c>
      <c r="BR15" s="17">
        <f>IF(Distances[[#This Row],[Colonne51]]=$G15,BQ15,Distances[[#This Row],[Colonne51]]+1)</f>
        <v>48</v>
      </c>
      <c r="BS15" s="17">
        <f>IF(Distances[[#This Row],[Colonne52]]=$G15,BR15,Distances[[#This Row],[Colonne52]]+1)</f>
        <v>49</v>
      </c>
      <c r="BT15" s="17">
        <f>IF(Distances[[#This Row],[Colonne53]]=$G15,BS15,Distances[[#This Row],[Colonne53]]+1)</f>
        <v>50</v>
      </c>
      <c r="BU15" s="17">
        <f>IF(Distances[[#This Row],[Colonne54]]=$G15,BT15,Distances[[#This Row],[Colonne54]]+1)</f>
        <v>51</v>
      </c>
      <c r="BV15" s="17">
        <f>IF(Distances[[#This Row],[Colonne55]]=$G15,BU15,Distances[[#This Row],[Colonne55]]+1)</f>
        <v>52</v>
      </c>
      <c r="BW15" s="17">
        <f>IF(Distances[[#This Row],[Colonne56]]=$G15,BV15,Distances[[#This Row],[Colonne56]]+1)</f>
        <v>53</v>
      </c>
      <c r="BX15" s="17">
        <f>IF(Distances[[#This Row],[Colonne57]]=$G15,BW15,Distances[[#This Row],[Colonne57]]+1)</f>
        <v>54</v>
      </c>
      <c r="BY15" s="17">
        <f>IF(Distances[[#This Row],[Colonne58]]=$G15,BX15,Distances[[#This Row],[Colonne58]]+1)</f>
        <v>55</v>
      </c>
      <c r="BZ15" s="17">
        <f>IF(Distances[[#This Row],[Colonne59]]=$G15,BY15,Distances[[#This Row],[Colonne59]]+1)</f>
        <v>56</v>
      </c>
      <c r="CA15" s="17">
        <f>IF(Distances[[#This Row],[Colonne60]]=$G15,BZ15,Distances[[#This Row],[Colonne60]]+1)</f>
        <v>57</v>
      </c>
      <c r="CB15" s="17">
        <f>IF(Distances[[#This Row],[Colonne61]]=$G15,CA15,Distances[[#This Row],[Colonne61]]+1)</f>
        <v>58</v>
      </c>
      <c r="CC15" s="17">
        <f>IF(Distances[[#This Row],[Colonne62]]=$G15,CB15,Distances[[#This Row],[Colonne62]]+1)</f>
        <v>59</v>
      </c>
      <c r="CD15" s="17">
        <f>IF(Distances[[#This Row],[Colonne63]]=$G15,CC15,Distances[[#This Row],[Colonne63]]+1)</f>
        <v>60</v>
      </c>
      <c r="CE15" s="17">
        <f>IF(Distances[[#This Row],[Colonne64]]=$G15,CD15,Distances[[#This Row],[Colonne64]]+1)</f>
        <v>61</v>
      </c>
      <c r="CF15" s="17">
        <f>IF(Distances[[#This Row],[Colonne65]]=$G15,CE15,Distances[[#This Row],[Colonne65]]+1)</f>
        <v>62</v>
      </c>
      <c r="CG15" s="17">
        <f>IF(Distances[[#This Row],[Colonne66]]=$G15,CF15,Distances[[#This Row],[Colonne66]]+1)</f>
        <v>63</v>
      </c>
      <c r="CH15" s="17">
        <f>IF(Distances[[#This Row],[Colonne67]]=$G15,CG15,Distances[[#This Row],[Colonne67]]+1)</f>
        <v>64</v>
      </c>
      <c r="CI15" s="17">
        <f>IF(Distances[[#This Row],[Colonne68]]=$G15,CH15,Distances[[#This Row],[Colonne68]]+1)</f>
        <v>65</v>
      </c>
      <c r="CJ15" s="17">
        <f>IF(Distances[[#This Row],[Colonne69]]=$G15,CI15,Distances[[#This Row],[Colonne69]]+1)</f>
        <v>66</v>
      </c>
      <c r="CK15" s="17">
        <f>IF(Distances[[#This Row],[Colonne70]]=$G15,CJ15,Distances[[#This Row],[Colonne70]]+1)</f>
        <v>67</v>
      </c>
      <c r="CL15" s="17">
        <f>IF(Distances[[#This Row],[Colonne71]]=$G15,CK15,Distances[[#This Row],[Colonne71]]+1)</f>
        <v>68</v>
      </c>
      <c r="CM15" s="17">
        <f>IF(Distances[[#This Row],[Colonne72]]=$G15,CL15,Distances[[#This Row],[Colonne72]]+1)</f>
        <v>69</v>
      </c>
      <c r="CN15" s="17">
        <f>IF(Distances[[#This Row],[Colonne73]]=$G15,CM15,Distances[[#This Row],[Colonne73]]+1)</f>
        <v>70</v>
      </c>
      <c r="CO15" s="17">
        <f>IF(Distances[[#This Row],[Colonne74]]=$G15,CN15,Distances[[#This Row],[Colonne74]]+1)</f>
        <v>71</v>
      </c>
      <c r="CP15" s="17">
        <f>IF(Distances[[#This Row],[Colonne75]]=$G15,CO15,Distances[[#This Row],[Colonne75]]+1)</f>
        <v>72</v>
      </c>
      <c r="CQ15" s="17">
        <f>IF(Distances[[#This Row],[Colonne76]]=$G15,CP15,Distances[[#This Row],[Colonne76]]+1)</f>
        <v>73</v>
      </c>
      <c r="CR15" s="17">
        <f>IF(Distances[[#This Row],[Colonne77]]=$G15,CQ15,Distances[[#This Row],[Colonne77]]+1)</f>
        <v>74</v>
      </c>
      <c r="CS15" s="17">
        <f>IF(Distances[[#This Row],[Colonne78]]=$G15,CR15,Distances[[#This Row],[Colonne78]]+1)</f>
        <v>75</v>
      </c>
      <c r="CT15" s="17">
        <f>IF(Distances[[#This Row],[Colonne79]]=$G15,CS15,Distances[[#This Row],[Colonne79]]+1)</f>
        <v>76</v>
      </c>
      <c r="CU15" s="17">
        <f>IF(Distances[[#This Row],[Colonne80]]=$G15,CT15,Distances[[#This Row],[Colonne80]]+1)</f>
        <v>77</v>
      </c>
      <c r="CV15" s="17">
        <f>IF(Distances[[#This Row],[Colonne81]]=$G15,CU15,Distances[[#This Row],[Colonne81]]+1)</f>
        <v>78</v>
      </c>
      <c r="CW15" s="17">
        <f>IF(Distances[[#This Row],[Colonne82]]=$G15,CV15,Distances[[#This Row],[Colonne82]]+1)</f>
        <v>79</v>
      </c>
      <c r="CX15" s="17">
        <f>IF(Distances[[#This Row],[Colonne83]]=$G15,CW15,Distances[[#This Row],[Colonne83]]+1)</f>
        <v>80</v>
      </c>
      <c r="CY15" s="17">
        <f>IF(Distances[[#This Row],[Colonne84]]=$G15,CX15,Distances[[#This Row],[Colonne84]]+1)</f>
        <v>81</v>
      </c>
      <c r="CZ15" s="17">
        <f>IF(Distances[[#This Row],[Colonne85]]=$G15,CY15,Distances[[#This Row],[Colonne85]]+1)</f>
        <v>82</v>
      </c>
      <c r="DA15" s="17">
        <f>IF(Distances[[#This Row],[Colonne86]]=$G15,CZ15,Distances[[#This Row],[Colonne86]]+1)</f>
        <v>83</v>
      </c>
      <c r="DB15" s="17">
        <f>IF(Distances[[#This Row],[Colonne87]]=$G15,DA15,Distances[[#This Row],[Colonne87]]+1)</f>
        <v>84</v>
      </c>
      <c r="DC15" s="17">
        <f>IF(Distances[[#This Row],[Colonne88]]=$G15,DB15,Distances[[#This Row],[Colonne88]]+1)</f>
        <v>85</v>
      </c>
      <c r="DD15" s="17">
        <f>IF(Distances[[#This Row],[Colonne89]]=$G15,DC15,Distances[[#This Row],[Colonne89]]+1)</f>
        <v>86</v>
      </c>
      <c r="DE15" s="17">
        <f>IF(Distances[[#This Row],[Colonne90]]=$G15,DD15,Distances[[#This Row],[Colonne90]]+1)</f>
        <v>87</v>
      </c>
      <c r="DF15" s="17">
        <f>IF(Distances[[#This Row],[Colonne91]]=$G15,DE15,Distances[[#This Row],[Colonne91]]+1)</f>
        <v>88</v>
      </c>
      <c r="DG15" s="17">
        <f>IF(Distances[[#This Row],[Colonne92]]=$G15,DF15,Distances[[#This Row],[Colonne92]]+1)</f>
        <v>89</v>
      </c>
      <c r="DH15" s="17">
        <f>IF(Distances[[#This Row],[Colonne93]]=$G15,DG15,Distances[[#This Row],[Colonne93]]+1)</f>
        <v>90</v>
      </c>
      <c r="DI15" s="17">
        <f>IF(Distances[[#This Row],[Colonne94]]=$G15,DH15,Distances[[#This Row],[Colonne94]]+1)</f>
        <v>91</v>
      </c>
      <c r="DJ15" s="17">
        <f>IF(Distances[[#This Row],[Colonne95]]=$G15,DI15,Distances[[#This Row],[Colonne95]]+1)</f>
        <v>92</v>
      </c>
      <c r="DK15" s="17">
        <f>IF(Distances[[#This Row],[Colonne96]]=$G15,DJ15,Distances[[#This Row],[Colonne96]]+1)</f>
        <v>93</v>
      </c>
      <c r="DL15" s="17">
        <f>IF(Distances[[#This Row],[Colonne97]]=$G15,DK15,Distances[[#This Row],[Colonne97]]+1)</f>
        <v>94</v>
      </c>
      <c r="DM15" s="17">
        <f>IF(Distances[[#This Row],[Colonne98]]=$G15,DL15,Distances[[#This Row],[Colonne98]]+1)</f>
        <v>95</v>
      </c>
      <c r="DN15" s="17">
        <f>IF(Distances[[#This Row],[Colonne99]]=$G15,DM15,Distances[[#This Row],[Colonne99]]+1)</f>
        <v>96</v>
      </c>
      <c r="DO15" s="17">
        <f>IF(Distances[[#This Row],[Colonne100]]=$G15,DN15,Distances[[#This Row],[Colonne100]]+1)</f>
        <v>97</v>
      </c>
      <c r="DP15" s="17">
        <f>IF(Distances[[#This Row],[Colonne101]]=$G15,DO15,Distances[[#This Row],[Colonne101]]+1)</f>
        <v>98</v>
      </c>
      <c r="DQ15" s="17">
        <f>IF(Distances[[#This Row],[Colonne102]]=$G15,DP15,Distances[[#This Row],[Colonne102]]+1)</f>
        <v>99</v>
      </c>
      <c r="DR15" s="17">
        <f>IF(Distances[[#This Row],[Colonne103]]=$G15,DQ15,Distances[[#This Row],[Colonne103]]+1)</f>
        <v>100</v>
      </c>
      <c r="DS15" s="17">
        <f>IF(Distances[[#This Row],[Colonne104]]=$G15,DR15,Distances[[#This Row],[Colonne104]]+1)</f>
        <v>101</v>
      </c>
      <c r="DT15" s="17">
        <f>IF(Distances[[#This Row],[Colonne105]]=$G15,DS15,Distances[[#This Row],[Colonne105]]+1)</f>
        <v>102</v>
      </c>
      <c r="DU15" s="17">
        <f>IF(Distances[[#This Row],[Colonne106]]=$G15,DT15,Distances[[#This Row],[Colonne106]]+1)</f>
        <v>103</v>
      </c>
      <c r="DV15" s="17">
        <f>IF(Distances[[#This Row],[Colonne107]]=$G15,DU15,Distances[[#This Row],[Colonne107]]+1)</f>
        <v>104</v>
      </c>
      <c r="DW15" s="17">
        <f>IF(Distances[[#This Row],[Colonne108]]=$G15,DV15,Distances[[#This Row],[Colonne108]]+1)</f>
        <v>105</v>
      </c>
      <c r="DX15" s="17">
        <f>IF(Distances[[#This Row],[Colonne109]]=$G15,DW15,Distances[[#This Row],[Colonne109]]+1)</f>
        <v>106</v>
      </c>
      <c r="DY15" s="17">
        <f>IF(Distances[[#This Row],[Colonne110]]=$G15,DX15,Distances[[#This Row],[Colonne110]]+1)</f>
        <v>107</v>
      </c>
      <c r="DZ15" s="17">
        <f>IF(Distances[[#This Row],[Colonne111]]=$G15,DY15,Distances[[#This Row],[Colonne111]]+1)</f>
        <v>108</v>
      </c>
      <c r="EA15" s="17">
        <f>IF(Distances[[#This Row],[Colonne112]]=$G15,DZ15,Distances[[#This Row],[Colonne112]]+1)</f>
        <v>109</v>
      </c>
      <c r="EB15" s="17">
        <f>IF(Distances[[#This Row],[Colonne113]]=$G15,EA15,Distances[[#This Row],[Colonne113]]+1)</f>
        <v>110</v>
      </c>
      <c r="EC15" s="17">
        <f>IF(Distances[[#This Row],[Colonne114]]=$G15,EB15,Distances[[#This Row],[Colonne114]]+1)</f>
        <v>111</v>
      </c>
      <c r="ED15" s="17">
        <f>IF(Distances[[#This Row],[Colonne115]]=$G15,EC15,Distances[[#This Row],[Colonne115]]+1)</f>
        <v>112</v>
      </c>
      <c r="EE15" s="17">
        <f>IF(Distances[[#This Row],[Colonne116]]=$G15,ED15,Distances[[#This Row],[Colonne116]]+1)</f>
        <v>113</v>
      </c>
      <c r="EF15" s="17">
        <f>IF(Distances[[#This Row],[Colonne117]]=$G15,EE15,Distances[[#This Row],[Colonne117]]+1)</f>
        <v>114</v>
      </c>
      <c r="EG15" s="17">
        <f>IF(Distances[[#This Row],[Colonne118]]=$G15,EF15,Distances[[#This Row],[Colonne118]]+1)</f>
        <v>115</v>
      </c>
      <c r="EH15" s="17">
        <f>IF(Distances[[#This Row],[Colonne119]]=$G15,EG15,Distances[[#This Row],[Colonne119]]+1)</f>
        <v>116</v>
      </c>
      <c r="EI15" s="17">
        <f>IF(Distances[[#This Row],[Colonne120]]=$G15,EH15,Distances[[#This Row],[Colonne120]]+1)</f>
        <v>117</v>
      </c>
      <c r="EJ15" s="17">
        <f>IF(Distances[[#This Row],[Colonne121]]=$G15,EI15,Distances[[#This Row],[Colonne121]]+1)</f>
        <v>118</v>
      </c>
      <c r="EK15" s="17">
        <f>IF(Distances[[#This Row],[Colonne122]]=$G15,EJ15,Distances[[#This Row],[Colonne122]]+1)</f>
        <v>119</v>
      </c>
      <c r="EL15" s="17">
        <f>IF(Distances[[#This Row],[Colonne123]]=$G15,EK15,Distances[[#This Row],[Colonne123]]+1)</f>
        <v>120</v>
      </c>
      <c r="EM15" s="17">
        <f>IF(Distances[[#This Row],[Colonne124]]=$G15,EL15,Distances[[#This Row],[Colonne124]]+1)</f>
        <v>120</v>
      </c>
      <c r="EN15" s="17">
        <f>IF(Distances[[#This Row],[Colonne125]]=$G15,EM15,Distances[[#This Row],[Colonne125]]+1)</f>
        <v>120</v>
      </c>
      <c r="EO15" s="17">
        <f>IF(Distances[[#This Row],[Colonne126]]=$G15,EN15,Distances[[#This Row],[Colonne126]]+1)</f>
        <v>120</v>
      </c>
      <c r="EP15" s="17">
        <f>IF(Distances[[#This Row],[Colonne127]]=$G15,EO15,Distances[[#This Row],[Colonne127]]+1)</f>
        <v>120</v>
      </c>
      <c r="EQ15" s="17">
        <f>IF(Distances[[#This Row],[Colonne128]]=$G15,EP15,Distances[[#This Row],[Colonne128]]+1)</f>
        <v>120</v>
      </c>
      <c r="ER15" s="17">
        <f>IF(Distances[[#This Row],[Colonne129]]=$G15,EQ15,Distances[[#This Row],[Colonne129]]+1)</f>
        <v>120</v>
      </c>
      <c r="ES15" s="17">
        <f>IF(Distances[[#This Row],[Colonne130]]=$G15,ER15,Distances[[#This Row],[Colonne130]]+1)</f>
        <v>120</v>
      </c>
      <c r="ET15" s="17">
        <f>IF(Distances[[#This Row],[Colonne131]]=$G15,ES15,Distances[[#This Row],[Colonne131]]+1)</f>
        <v>120</v>
      </c>
      <c r="EU15" s="17">
        <f>IF(Distances[[#This Row],[Colonne132]]=$G15,ET15,Distances[[#This Row],[Colonne132]]+1)</f>
        <v>120</v>
      </c>
      <c r="EV15" s="17">
        <f>IF(Distances[[#This Row],[Colonne133]]=$G15,EU15,Distances[[#This Row],[Colonne133]]+1)</f>
        <v>120</v>
      </c>
      <c r="EW15" s="17">
        <f>IF(Distances[[#This Row],[Colonne134]]=$G15,EV15,Distances[[#This Row],[Colonne134]]+1)</f>
        <v>120</v>
      </c>
      <c r="EX15" s="17">
        <f>IF(Distances[[#This Row],[Colonne135]]=$G15,EW15,Distances[[#This Row],[Colonne135]]+1)</f>
        <v>120</v>
      </c>
      <c r="EY15" s="17">
        <f>IF(Distances[[#This Row],[Colonne136]]=$G15,EX15,Distances[[#This Row],[Colonne136]]+1)</f>
        <v>120</v>
      </c>
      <c r="EZ15" s="17">
        <f>IF(Distances[[#This Row],[Colonne137]]=$G15,EY15,Distances[[#This Row],[Colonne137]]+1)</f>
        <v>120</v>
      </c>
      <c r="FA15" s="17">
        <f>IF(Distances[[#This Row],[Colonne138]]=$G15,EZ15,Distances[[#This Row],[Colonne138]]+1)</f>
        <v>120</v>
      </c>
      <c r="FB15" s="17">
        <f>IF(Distances[[#This Row],[Colonne139]]=$G15,FA15,Distances[[#This Row],[Colonne139]]+1)</f>
        <v>120</v>
      </c>
      <c r="FC15" s="17">
        <f>IF(Distances[[#This Row],[Colonne140]]=$G15,FB15,Distances[[#This Row],[Colonne140]]+1)</f>
        <v>120</v>
      </c>
      <c r="FD15" s="17">
        <f>IF(Distances[[#This Row],[Colonne141]]=$G15,FC15,Distances[[#This Row],[Colonne141]]+1)</f>
        <v>120</v>
      </c>
      <c r="FE15" s="17">
        <f>IF(Distances[[#This Row],[Colonne142]]=$G15,FD15,Distances[[#This Row],[Colonne142]]+1)</f>
        <v>120</v>
      </c>
      <c r="FF15" s="17">
        <f>IF(Distances[[#This Row],[Colonne143]]=$G15,FE15,Distances[[#This Row],[Colonne143]]+1)</f>
        <v>120</v>
      </c>
      <c r="FG15" s="17">
        <f>IF(Distances[[#This Row],[Colonne144]]=$G15,FF15,Distances[[#This Row],[Colonne144]]+1)</f>
        <v>120</v>
      </c>
      <c r="FH15" s="17">
        <f>IF(Distances[[#This Row],[Colonne145]]=$G15,FG15,Distances[[#This Row],[Colonne145]]+1)</f>
        <v>120</v>
      </c>
      <c r="FI15" s="17">
        <f>IF(Distances[[#This Row],[Colonne146]]=$G15,FH15,Distances[[#This Row],[Colonne146]]+1)</f>
        <v>120</v>
      </c>
      <c r="FJ15" s="17">
        <f>IF(Distances[[#This Row],[Colonne147]]=$G15,FI15,Distances[[#This Row],[Colonne147]]+1)</f>
        <v>120</v>
      </c>
      <c r="FK15" s="17">
        <f>IF(Distances[[#This Row],[Colonne148]]=$G15,FJ15,Distances[[#This Row],[Colonne148]]+1)</f>
        <v>120</v>
      </c>
      <c r="FL15" s="17">
        <f>IF(Distances[[#This Row],[Colonne149]]=$G15,FK15,Distances[[#This Row],[Colonne149]]+1)</f>
        <v>120</v>
      </c>
      <c r="FM15" s="17">
        <f>IF(Distances[[#This Row],[Colonne150]]=$G15,FL15,Distances[[#This Row],[Colonne150]]+1)</f>
        <v>120</v>
      </c>
      <c r="FN15" s="17">
        <f>IF(Distances[[#This Row],[Colonne151]]=$G15,FM15,Distances[[#This Row],[Colonne151]]+1)</f>
        <v>120</v>
      </c>
      <c r="FO15" s="17">
        <f>IF(Distances[[#This Row],[Colonne152]]=$G15,FN15,Distances[[#This Row],[Colonne152]]+1)</f>
        <v>120</v>
      </c>
      <c r="FP15" s="17">
        <f>IF(Distances[[#This Row],[Colonne153]]=$G15,FO15,Distances[[#This Row],[Colonne153]]+1)</f>
        <v>120</v>
      </c>
      <c r="FQ15" s="17">
        <f>IF(Distances[[#This Row],[Colonne154]]=$G15,FP15,Distances[[#This Row],[Colonne154]]+1)</f>
        <v>120</v>
      </c>
      <c r="FR15" s="17">
        <f>IF(Distances[[#This Row],[Colonne155]]=$G15,FQ15,Distances[[#This Row],[Colonne155]]+1)</f>
        <v>120</v>
      </c>
      <c r="FS15" s="17">
        <f>IF(Distances[[#This Row],[Colonne156]]=$G15,FR15,Distances[[#This Row],[Colonne156]]+1)</f>
        <v>120</v>
      </c>
      <c r="FT15" s="17">
        <f>IF(Distances[[#This Row],[Colonne157]]=$G15,FS15,Distances[[#This Row],[Colonne157]]+1)</f>
        <v>120</v>
      </c>
      <c r="FU15" s="17">
        <f>IF(Distances[[#This Row],[Colonne158]]=$G15,FT15,Distances[[#This Row],[Colonne158]]+1)</f>
        <v>120</v>
      </c>
      <c r="FV15" s="17">
        <f>IF(Distances[[#This Row],[Colonne159]]=$G15,FU15,Distances[[#This Row],[Colonne159]]+1)</f>
        <v>120</v>
      </c>
      <c r="FW15" s="17">
        <f>IF(Distances[[#This Row],[Colonne160]]=$G15,FV15,Distances[[#This Row],[Colonne160]]+1)</f>
        <v>120</v>
      </c>
      <c r="FX15" s="17">
        <f>IF(Distances[[#This Row],[Colonne161]]=$G15,FW15,Distances[[#This Row],[Colonne161]]+1)</f>
        <v>120</v>
      </c>
      <c r="FY15" s="17">
        <f>IF(Distances[[#This Row],[Colonne162]]=$G15,FX15,Distances[[#This Row],[Colonne162]]+1)</f>
        <v>120</v>
      </c>
      <c r="FZ15" s="17">
        <f>IF(Distances[[#This Row],[Colonne163]]=$G15,FY15,Distances[[#This Row],[Colonne163]]+1)</f>
        <v>120</v>
      </c>
      <c r="GA15" s="17">
        <f>IF(Distances[[#This Row],[Colonne164]]=$G15,FZ15,Distances[[#This Row],[Colonne164]]+1)</f>
        <v>120</v>
      </c>
      <c r="GB15" s="17">
        <f>IF(Distances[[#This Row],[Colonne165]]=$G15,GA15,Distances[[#This Row],[Colonne165]]+1)</f>
        <v>120</v>
      </c>
      <c r="GC15" s="17">
        <f>IF(Distances[[#This Row],[Colonne166]]=$G15,GB15,Distances[[#This Row],[Colonne166]]+1)</f>
        <v>120</v>
      </c>
      <c r="GD15" s="17">
        <f>IF(Distances[[#This Row],[Colonne167]]=$G15,GC15,Distances[[#This Row],[Colonne167]]+1)</f>
        <v>120</v>
      </c>
      <c r="GE15" s="17">
        <f>IF(Distances[[#This Row],[Colonne168]]=$G15,GD15,Distances[[#This Row],[Colonne168]]+1)</f>
        <v>120</v>
      </c>
      <c r="GF15" s="17">
        <f>IF(Distances[[#This Row],[Colonne169]]=$G15,GE15,Distances[[#This Row],[Colonne169]]+1)</f>
        <v>120</v>
      </c>
      <c r="GG15" s="17">
        <f>IF(Distances[[#This Row],[Colonne170]]=$G15,GF15,Distances[[#This Row],[Colonne170]]+1)</f>
        <v>120</v>
      </c>
      <c r="GH15" s="17">
        <f>IF(Distances[[#This Row],[Colonne171]]=$G15,GG15,Distances[[#This Row],[Colonne171]]+1)</f>
        <v>120</v>
      </c>
      <c r="GI15" s="17">
        <f>IF(Distances[[#This Row],[Colonne172]]=$G15,GH15,Distances[[#This Row],[Colonne172]]+1)</f>
        <v>120</v>
      </c>
      <c r="GJ15" s="17">
        <f>IF(Distances[[#This Row],[Colonne173]]=$G15,GI15,Distances[[#This Row],[Colonne173]]+1)</f>
        <v>120</v>
      </c>
      <c r="GK15" s="17">
        <f>IF(Distances[[#This Row],[Colonne174]]=$G15,GJ15,Distances[[#This Row],[Colonne174]]+1)</f>
        <v>120</v>
      </c>
      <c r="GL15" s="17">
        <f>IF(Distances[[#This Row],[Colonne175]]=$G15,GK15,Distances[[#This Row],[Colonne175]]+1)</f>
        <v>120</v>
      </c>
      <c r="GM15" s="17">
        <f>IF(Distances[[#This Row],[Colonne176]]=$G15,GL15,Distances[[#This Row],[Colonne176]]+1)</f>
        <v>120</v>
      </c>
      <c r="GN15" s="17">
        <f>IF(Distances[[#This Row],[Colonne177]]=$G15,GM15,Distances[[#This Row],[Colonne177]]+1)</f>
        <v>120</v>
      </c>
      <c r="GO15" s="17">
        <f>IF(Distances[[#This Row],[Colonne178]]=$G15,GN15,Distances[[#This Row],[Colonne178]]+1)</f>
        <v>120</v>
      </c>
      <c r="GP15" s="17">
        <f>IF(Distances[[#This Row],[Colonne179]]=$G15,GO15,Distances[[#This Row],[Colonne179]]+1)</f>
        <v>120</v>
      </c>
      <c r="GQ15" s="17">
        <f>IF(Distances[[#This Row],[Colonne180]]=$G15,GP15,Distances[[#This Row],[Colonne180]]+1)</f>
        <v>120</v>
      </c>
      <c r="GR15" s="17">
        <f>IF(Distances[[#This Row],[Colonne181]]=$G15,GQ15,Distances[[#This Row],[Colonne181]]+1)</f>
        <v>120</v>
      </c>
      <c r="GS15" s="17">
        <f>IF(Distances[[#This Row],[Colonne182]]=$G15,GR15,Distances[[#This Row],[Colonne182]]+1)</f>
        <v>120</v>
      </c>
      <c r="GT15" s="17">
        <f>IF(Distances[[#This Row],[Colonne183]]=$G15,GS15,Distances[[#This Row],[Colonne183]]+1)</f>
        <v>120</v>
      </c>
      <c r="GU15" s="17">
        <f>IF(Distances[[#This Row],[Colonne184]]=$G15,GT15,Distances[[#This Row],[Colonne184]]+1)</f>
        <v>120</v>
      </c>
      <c r="GV15" s="17">
        <f>IF(Distances[[#This Row],[Colonne185]]=$G15,GU15,Distances[[#This Row],[Colonne185]]+1)</f>
        <v>120</v>
      </c>
      <c r="GW15" s="17">
        <f>IF(Distances[[#This Row],[Colonne186]]=$G15,GV15,Distances[[#This Row],[Colonne186]]+1)</f>
        <v>120</v>
      </c>
      <c r="GX15" s="17">
        <f>IF(Distances[[#This Row],[Colonne187]]=$G15,GW15,Distances[[#This Row],[Colonne187]]+1)</f>
        <v>120</v>
      </c>
      <c r="GY15" s="17">
        <f>IF(Distances[[#This Row],[Colonne188]]=$G15,GX15,Distances[[#This Row],[Colonne188]]+1)</f>
        <v>120</v>
      </c>
      <c r="GZ15" s="17">
        <f>IF(Distances[[#This Row],[Colonne189]]=$G15,GY15,Distances[[#This Row],[Colonne189]]+1)</f>
        <v>120</v>
      </c>
      <c r="HA15" s="17">
        <f>IF(Distances[[#This Row],[Colonne190]]=$G15,GZ15,Distances[[#This Row],[Colonne190]]+1)</f>
        <v>120</v>
      </c>
      <c r="HB15" s="17">
        <f>IF(Distances[[#This Row],[Colonne191]]=$G15,HA15,Distances[[#This Row],[Colonne191]]+1)</f>
        <v>120</v>
      </c>
      <c r="HC15" s="17">
        <f>IF(Distances[[#This Row],[Colonne192]]=$G15,HB15,Distances[[#This Row],[Colonne192]]+1)</f>
        <v>120</v>
      </c>
      <c r="HD15" s="17">
        <f>IF(Distances[[#This Row],[Colonne193]]=$G15,HC15,Distances[[#This Row],[Colonne193]]+1)</f>
        <v>120</v>
      </c>
      <c r="HE15" s="17">
        <f>IF(Distances[[#This Row],[Colonne194]]=$G15,HD15,Distances[[#This Row],[Colonne194]]+1)</f>
        <v>120</v>
      </c>
      <c r="HF15" s="17">
        <f>IF(Distances[[#This Row],[Colonne195]]=$G15,HE15,Distances[[#This Row],[Colonne195]]+1)</f>
        <v>120</v>
      </c>
      <c r="HG15" s="17">
        <f>IF(Distances[[#This Row],[Colonne196]]=$G15,HF15,Distances[[#This Row],[Colonne196]]+1)</f>
        <v>120</v>
      </c>
      <c r="HH15" s="17">
        <f>IF(Distances[[#This Row],[Colonne197]]=$G15,HG15,Distances[[#This Row],[Colonne197]]+1)</f>
        <v>120</v>
      </c>
      <c r="HI15" s="17">
        <f>IF(Distances[[#This Row],[Colonne198]]=$G15,HH15,Distances[[#This Row],[Colonne198]]+1)</f>
        <v>120</v>
      </c>
      <c r="HJ15" s="17">
        <f>IF(Distances[[#This Row],[Colonne199]]=$G15,HI15,Distances[[#This Row],[Colonne199]]+1)</f>
        <v>120</v>
      </c>
      <c r="HK15" s="17">
        <f>IF(Distances[[#This Row],[Colonne200]]=$G15,HJ15,Distances[[#This Row],[Colonne200]]+1)</f>
        <v>120</v>
      </c>
      <c r="HL15" s="17">
        <f>IF(Distances[[#This Row],[Colonne201]]=$G15,HK15,Distances[[#This Row],[Colonne201]]+1)</f>
        <v>120</v>
      </c>
      <c r="HM15" s="17">
        <f>IF(Distances[[#This Row],[Colonne202]]=$G15,HL15,Distances[[#This Row],[Colonne202]]+1)</f>
        <v>120</v>
      </c>
      <c r="HN15" s="17">
        <f>IF(Distances[[#This Row],[Colonne203]]=$G15,HM15,Distances[[#This Row],[Colonne203]]+1)</f>
        <v>120</v>
      </c>
      <c r="HO15" s="17">
        <f>IF(Distances[[#This Row],[Colonne204]]=$G15,HN15,Distances[[#This Row],[Colonne204]]+1)</f>
        <v>120</v>
      </c>
      <c r="HP15" s="17">
        <f>IF(Distances[[#This Row],[Colonne205]]=$G15,HO15,Distances[[#This Row],[Colonne205]]+1)</f>
        <v>120</v>
      </c>
      <c r="HQ15" s="17">
        <f>IF(Distances[[#This Row],[Colonne206]]=$G15,HP15,Distances[[#This Row],[Colonne206]]+1)</f>
        <v>120</v>
      </c>
      <c r="HR15" s="17">
        <f>IF(Distances[[#This Row],[Colonne207]]=$G15,HQ15,Distances[[#This Row],[Colonne207]]+1)</f>
        <v>120</v>
      </c>
      <c r="HS15" s="17">
        <f>IF(Distances[[#This Row],[Colonne208]]=$G15,HR15,Distances[[#This Row],[Colonne208]]+1)</f>
        <v>120</v>
      </c>
      <c r="HT15" s="17">
        <f>IF(Distances[[#This Row],[Colonne209]]=$G15,HS15,Distances[[#This Row],[Colonne209]]+1)</f>
        <v>120</v>
      </c>
      <c r="HU15" s="17">
        <f>IF(Distances[[#This Row],[Colonne210]]=$G15,HT15,Distances[[#This Row],[Colonne210]]+1)</f>
        <v>120</v>
      </c>
      <c r="HV15" s="17">
        <f>IF(Distances[[#This Row],[Colonne211]]=$G15,HU15,Distances[[#This Row],[Colonne211]]+1)</f>
        <v>120</v>
      </c>
      <c r="HW15" s="17">
        <f>IF(Distances[[#This Row],[Colonne212]]=$G15,HV15,Distances[[#This Row],[Colonne212]]+1)</f>
        <v>120</v>
      </c>
      <c r="HX15" s="17">
        <f>IF(Distances[[#This Row],[Colonne213]]=$G15,HW15,Distances[[#This Row],[Colonne213]]+1)</f>
        <v>120</v>
      </c>
      <c r="HY15" s="17">
        <f>IF(Distances[[#This Row],[Colonne214]]=$G15,HX15,Distances[[#This Row],[Colonne214]]+1)</f>
        <v>120</v>
      </c>
      <c r="HZ15" s="17">
        <f>IF(Distances[[#This Row],[Colonne215]]=$G15,HY15,Distances[[#This Row],[Colonne215]]+1)</f>
        <v>120</v>
      </c>
      <c r="IA15" s="17">
        <f>IF(Distances[[#This Row],[Colonne216]]=$G15,HZ15,Distances[[#This Row],[Colonne216]]+1)</f>
        <v>120</v>
      </c>
      <c r="IB15" s="17">
        <f>IF(Distances[[#This Row],[Colonne217]]=$G15,IA15,Distances[[#This Row],[Colonne217]]+1)</f>
        <v>120</v>
      </c>
      <c r="IC15" s="17">
        <f>IF(Distances[[#This Row],[Colonne218]]=$G15,IB15,Distances[[#This Row],[Colonne218]]+1)</f>
        <v>120</v>
      </c>
      <c r="ID15" s="17">
        <f>IF(Distances[[#This Row],[Colonne219]]=$G15,IC15,Distances[[#This Row],[Colonne219]]+1)</f>
        <v>120</v>
      </c>
      <c r="IE15" s="17">
        <f>IF(Distances[[#This Row],[Colonne220]]=$G15,ID15,Distances[[#This Row],[Colonne220]]+1)</f>
        <v>120</v>
      </c>
      <c r="IF15" s="17">
        <f>IF(Distances[[#This Row],[Colonne221]]=$G15,IE15,Distances[[#This Row],[Colonne221]]+1)</f>
        <v>120</v>
      </c>
      <c r="IG15" s="17">
        <f>IF(Distances[[#This Row],[Colonne222]]=$G15,IF15,Distances[[#This Row],[Colonne222]]+1)</f>
        <v>120</v>
      </c>
      <c r="IH15" s="17">
        <f>IF(Distances[[#This Row],[Colonne223]]=$G15,IG15,Distances[[#This Row],[Colonne223]]+1)</f>
        <v>120</v>
      </c>
      <c r="II15" s="17">
        <f>IF(Distances[[#This Row],[Colonne224]]=$G15,IH15,Distances[[#This Row],[Colonne224]]+1)</f>
        <v>120</v>
      </c>
      <c r="IJ15" s="17">
        <f>IF(Distances[[#This Row],[Colonne225]]=$G15,II15,Distances[[#This Row],[Colonne225]]+1)</f>
        <v>120</v>
      </c>
      <c r="IK15" s="17">
        <f>IF(Distances[[#This Row],[Colonne226]]=$G15,IJ15,Distances[[#This Row],[Colonne226]]+1)</f>
        <v>120</v>
      </c>
      <c r="IL15" s="17">
        <f>IF(Distances[[#This Row],[Colonne227]]=$G15,IK15,Distances[[#This Row],[Colonne227]]+1)</f>
        <v>120</v>
      </c>
      <c r="IM15" s="17">
        <f>IF(Distances[[#This Row],[Colonne228]]=$G15,IL15,Distances[[#This Row],[Colonne228]]+1)</f>
        <v>120</v>
      </c>
      <c r="IN15" s="17">
        <f>IF(Distances[[#This Row],[Colonne229]]=$G15,IM15,Distances[[#This Row],[Colonne229]]+1)</f>
        <v>120</v>
      </c>
      <c r="IO15" s="17">
        <f>IF(Distances[[#This Row],[Colonne230]]=$G15,IN15,Distances[[#This Row],[Colonne230]]+1)</f>
        <v>120</v>
      </c>
      <c r="IP15" s="17">
        <f>IF(Distances[[#This Row],[Colonne231]]=$G15,IO15,Distances[[#This Row],[Colonne231]]+1)</f>
        <v>120</v>
      </c>
      <c r="IQ15" s="17">
        <f>IF(Distances[[#This Row],[Colonne232]]=$G15,IP15,Distances[[#This Row],[Colonne232]]+1)</f>
        <v>120</v>
      </c>
      <c r="IR15" s="17">
        <f>IF(Distances[[#This Row],[Colonne233]]=$G15,IQ15,Distances[[#This Row],[Colonne233]]+1)</f>
        <v>120</v>
      </c>
      <c r="IS15" s="17">
        <f>IF(Distances[[#This Row],[Colonne234]]=$G15,IR15,Distances[[#This Row],[Colonne234]]+1)</f>
        <v>120</v>
      </c>
      <c r="IT15" s="17">
        <f>IF(Distances[[#This Row],[Colonne235]]=$G15,IS15,Distances[[#This Row],[Colonne235]]+1)</f>
        <v>120</v>
      </c>
      <c r="IU15" s="17">
        <f>IF(Distances[[#This Row],[Colonne236]]=$G15,IT15,Distances[[#This Row],[Colonne236]]+1)</f>
        <v>120</v>
      </c>
      <c r="IV15" s="17">
        <f>IF(Distances[[#This Row],[Colonne237]]=$G15,IU15,Distances[[#This Row],[Colonne237]]+1)</f>
        <v>120</v>
      </c>
      <c r="IW15" s="17">
        <f>IF(Distances[[#This Row],[Colonne238]]=$G15,IV15,Distances[[#This Row],[Colonne238]]+1)</f>
        <v>120</v>
      </c>
      <c r="IX15" s="17">
        <f>IF(Distances[[#This Row],[Colonne239]]=$G15,IW15,Distances[[#This Row],[Colonne239]]+1)</f>
        <v>120</v>
      </c>
      <c r="IY15" s="17">
        <f>IF(Distances[[#This Row],[Colonne240]]=$G15,IX15,Distances[[#This Row],[Colonne240]]+1)</f>
        <v>120</v>
      </c>
      <c r="IZ15" s="17">
        <f>IF(Distances[[#This Row],[Colonne241]]=$G15,IY15,Distances[[#This Row],[Colonne241]]+1)</f>
        <v>120</v>
      </c>
      <c r="JA15" s="17">
        <f>IF(Distances[[#This Row],[Colonne242]]=$G15,IZ15,Distances[[#This Row],[Colonne242]]+1)</f>
        <v>120</v>
      </c>
      <c r="JB15" s="17">
        <f>IF(Distances[[#This Row],[Colonne243]]=$G15,JA15,Distances[[#This Row],[Colonne243]]+1)</f>
        <v>120</v>
      </c>
      <c r="JC15" s="17">
        <f>IF(Distances[[#This Row],[Colonne244]]=$G15,JB15,Distances[[#This Row],[Colonne244]]+1)</f>
        <v>120</v>
      </c>
      <c r="JD15" s="17">
        <f>IF(Distances[[#This Row],[Colonne245]]=$G15,JC15,Distances[[#This Row],[Colonne245]]+1)</f>
        <v>120</v>
      </c>
      <c r="JE15" s="17">
        <f>IF(Distances[[#This Row],[Colonne246]]=$G15,JD15,Distances[[#This Row],[Colonne246]]+1)</f>
        <v>120</v>
      </c>
      <c r="JF15" s="17">
        <f>IF(Distances[[#This Row],[Colonne247]]=$G15,JE15,Distances[[#This Row],[Colonne247]]+1)</f>
        <v>120</v>
      </c>
      <c r="JG15" s="17">
        <f>IF(Distances[[#This Row],[Colonne248]]=$G15,JF15,Distances[[#This Row],[Colonne248]]+1)</f>
        <v>120</v>
      </c>
      <c r="JH15" s="17">
        <f>IF(Distances[[#This Row],[Colonne249]]=$G15,JG15,Distances[[#This Row],[Colonne249]]+1)</f>
        <v>120</v>
      </c>
      <c r="JI15" s="17">
        <f>IF(Distances[[#This Row],[Colonne250]]=$G15,JH15,Distances[[#This Row],[Colonne250]]+1)</f>
        <v>120</v>
      </c>
      <c r="JJ15" s="17">
        <f>IF(Distances[[#This Row],[Colonne251]]=$G15,JI15,Distances[[#This Row],[Colonne251]]+1)</f>
        <v>120</v>
      </c>
      <c r="JK15" s="17">
        <f>IF(Distances[[#This Row],[Colonne252]]=$G15,JJ15,Distances[[#This Row],[Colonne252]]+1)</f>
        <v>120</v>
      </c>
      <c r="JL15" s="17">
        <f>IF(Distances[[#This Row],[Colonne253]]=$G15,JK15,Distances[[#This Row],[Colonne253]]+1)</f>
        <v>120</v>
      </c>
      <c r="JM15" s="17">
        <f>IF(Distances[[#This Row],[Colonne254]]=$G15,JL15,Distances[[#This Row],[Colonne254]]+1)</f>
        <v>120</v>
      </c>
      <c r="JN15" s="17">
        <f>IF(Distances[[#This Row],[Colonne255]]=$G15,JM15,Distances[[#This Row],[Colonne255]]+1)</f>
        <v>120</v>
      </c>
      <c r="JO15" s="17">
        <f>IF(Distances[[#This Row],[Colonne256]]=$G15,JN15,Distances[[#This Row],[Colonne256]]+1)</f>
        <v>120</v>
      </c>
      <c r="JP15" s="17">
        <f>IF(Distances[[#This Row],[Colonne257]]=$G15,JO15,Distances[[#This Row],[Colonne257]]+1)</f>
        <v>120</v>
      </c>
      <c r="JQ15" s="17">
        <f>IF(Distances[[#This Row],[Colonne258]]=$G15,JP15,Distances[[#This Row],[Colonne258]]+1)</f>
        <v>120</v>
      </c>
      <c r="JR15" s="17">
        <f>IF(Distances[[#This Row],[Colonne259]]=$G15,JQ15,Distances[[#This Row],[Colonne259]]+1)</f>
        <v>120</v>
      </c>
      <c r="JS15" s="17">
        <f>IF(Distances[[#This Row],[Colonne260]]=$G15,JR15,Distances[[#This Row],[Colonne260]]+1)</f>
        <v>120</v>
      </c>
      <c r="JT15" s="17">
        <f>IF(Distances[[#This Row],[Colonne261]]=$G15,JS15,Distances[[#This Row],[Colonne261]]+1)</f>
        <v>120</v>
      </c>
      <c r="JU15" s="17">
        <f>IF(Distances[[#This Row],[Colonne262]]=$G15,JT15,Distances[[#This Row],[Colonne262]]+1)</f>
        <v>120</v>
      </c>
      <c r="JV15" s="17">
        <f>IF(Distances[[#This Row],[Colonne263]]=$G15,JU15,Distances[[#This Row],[Colonne263]]+1)</f>
        <v>120</v>
      </c>
      <c r="JW15" s="17">
        <f>IF(Distances[[#This Row],[Colonne264]]=$G15,JV15,Distances[[#This Row],[Colonne264]]+1)</f>
        <v>120</v>
      </c>
      <c r="JX15" s="17">
        <f>IF(Distances[[#This Row],[Colonne265]]=$G15,JW15,Distances[[#This Row],[Colonne265]]+1)</f>
        <v>120</v>
      </c>
      <c r="JY15" s="17">
        <f>IF(Distances[[#This Row],[Colonne266]]=$G15,JX15,Distances[[#This Row],[Colonne266]]+1)</f>
        <v>120</v>
      </c>
      <c r="JZ15" s="17">
        <f>IF(Distances[[#This Row],[Colonne267]]=$G15,JY15,Distances[[#This Row],[Colonne267]]+1)</f>
        <v>120</v>
      </c>
      <c r="KA15" s="17">
        <f>IF(Distances[[#This Row],[Colonne268]]=$G15,JZ15,Distances[[#This Row],[Colonne268]]+1)</f>
        <v>120</v>
      </c>
      <c r="KB15" s="17">
        <f>IF(Distances[[#This Row],[Colonne269]]=$G15,KA15,Distances[[#This Row],[Colonne269]]+1)</f>
        <v>120</v>
      </c>
      <c r="KC15" s="17">
        <f>IF(Distances[[#This Row],[Colonne270]]=$G15,KB15,Distances[[#This Row],[Colonne270]]+1)</f>
        <v>120</v>
      </c>
      <c r="KD15" s="17">
        <f>IF(Distances[[#This Row],[Colonne271]]=$G15,KC15,Distances[[#This Row],[Colonne271]]+1)</f>
        <v>120</v>
      </c>
      <c r="KE15" s="17">
        <f>IF(Distances[[#This Row],[Colonne272]]=$G15,KD15,Distances[[#This Row],[Colonne272]]+1)</f>
        <v>120</v>
      </c>
      <c r="KF15" s="17">
        <f>IF(Distances[[#This Row],[Colonne273]]=$G15,KE15,Distances[[#This Row],[Colonne273]]+1)</f>
        <v>120</v>
      </c>
      <c r="KG15" s="17">
        <f>IF(Distances[[#This Row],[Colonne274]]=$G15,KF15,Distances[[#This Row],[Colonne274]]+1)</f>
        <v>120</v>
      </c>
      <c r="KH15" s="17">
        <f>IF(Distances[[#This Row],[Colonne275]]=$G15,KG15,Distances[[#This Row],[Colonne275]]+1)</f>
        <v>120</v>
      </c>
      <c r="KI15" s="17">
        <f>IF(Distances[[#This Row],[Colonne276]]=$G15,KH15,Distances[[#This Row],[Colonne276]]+1)</f>
        <v>120</v>
      </c>
      <c r="KJ15" s="17">
        <f>IF(Distances[[#This Row],[Colonne277]]=$G15,KI15,Distances[[#This Row],[Colonne277]]+1)</f>
        <v>120</v>
      </c>
      <c r="KK15" s="17">
        <f>IF(Distances[[#This Row],[Colonne278]]=$G15,KJ15,Distances[[#This Row],[Colonne278]]+1)</f>
        <v>120</v>
      </c>
      <c r="KL15" s="17">
        <f>IF(Distances[[#This Row],[Colonne279]]=$G15,KK15,Distances[[#This Row],[Colonne279]]+1)</f>
        <v>120</v>
      </c>
      <c r="KM15" s="17">
        <f>IF(Distances[[#This Row],[Colonne280]]=$G15,KL15,Distances[[#This Row],[Colonne280]]+1)</f>
        <v>120</v>
      </c>
      <c r="KN15" s="17">
        <f>IF(Distances[[#This Row],[Colonne281]]=$G15,KM15,Distances[[#This Row],[Colonne281]]+1)</f>
        <v>120</v>
      </c>
      <c r="KO15" s="17">
        <f>IF(Distances[[#This Row],[Colonne282]]=$G15,KN15,Distances[[#This Row],[Colonne282]]+1)</f>
        <v>120</v>
      </c>
      <c r="KP15" s="17">
        <f>IF(Distances[[#This Row],[Colonne283]]=$G15,KO15,Distances[[#This Row],[Colonne283]]+1)</f>
        <v>120</v>
      </c>
      <c r="KQ15" s="17">
        <f>IF(Distances[[#This Row],[Colonne284]]=$G15,KP15,Distances[[#This Row],[Colonne284]]+1)</f>
        <v>120</v>
      </c>
      <c r="KR15" s="17">
        <f>IF(Distances[[#This Row],[Colonne285]]=$G15,KQ15,Distances[[#This Row],[Colonne285]]+1)</f>
        <v>120</v>
      </c>
      <c r="KS15" s="17">
        <f>IF(Distances[[#This Row],[Colonne286]]=$G15,KR15,Distances[[#This Row],[Colonne286]]+1)</f>
        <v>120</v>
      </c>
      <c r="KT15" s="17">
        <f>IF(Distances[[#This Row],[Colonne287]]=$G15,KS15,Distances[[#This Row],[Colonne287]]+1)</f>
        <v>120</v>
      </c>
      <c r="KU15" s="17">
        <f>IF(Distances[[#This Row],[Colonne288]]=$G15,KT15,Distances[[#This Row],[Colonne288]]+1)</f>
        <v>120</v>
      </c>
      <c r="KV15" s="17">
        <f>IF(Distances[[#This Row],[Colonne289]]=$G15,KU15,Distances[[#This Row],[Colonne289]]+1)</f>
        <v>120</v>
      </c>
      <c r="KW15" s="17">
        <f>IF(Distances[[#This Row],[Colonne290]]=$G15,KV15,Distances[[#This Row],[Colonne290]]+1)</f>
        <v>120</v>
      </c>
      <c r="KX15" s="17">
        <f>IF(Distances[[#This Row],[Colonne291]]=$G15,KW15,Distances[[#This Row],[Colonne291]]+1)</f>
        <v>120</v>
      </c>
      <c r="KY15" s="17">
        <f>IF(Distances[[#This Row],[Colonne292]]=$G15,KX15,Distances[[#This Row],[Colonne292]]+1)</f>
        <v>120</v>
      </c>
      <c r="KZ15" s="17">
        <f>IF(Distances[[#This Row],[Colonne293]]=$G15,KY15,Distances[[#This Row],[Colonne293]]+1)</f>
        <v>120</v>
      </c>
      <c r="LA15" s="17">
        <f>IF(Distances[[#This Row],[Colonne294]]=$G15,KZ15,Distances[[#This Row],[Colonne294]]+1)</f>
        <v>120</v>
      </c>
      <c r="LB15" s="17">
        <f>IF(Distances[[#This Row],[Colonne295]]=$G15,LA15,Distances[[#This Row],[Colonne295]]+1)</f>
        <v>120</v>
      </c>
      <c r="LC15" s="17">
        <f>IF(Distances[[#This Row],[Colonne296]]=$G15,LB15,Distances[[#This Row],[Colonne296]]+1)</f>
        <v>120</v>
      </c>
      <c r="LD15" s="17">
        <f>IF(Distances[[#This Row],[Colonne297]]=$G15,LC15,Distances[[#This Row],[Colonne297]]+1)</f>
        <v>120</v>
      </c>
      <c r="LE15" s="17">
        <f>IF(Distances[[#This Row],[Colonne298]]=$G15,LD15,Distances[[#This Row],[Colonne298]]+1)</f>
        <v>120</v>
      </c>
      <c r="LF15" s="17">
        <f>IF(Distances[[#This Row],[Colonne299]]=$G15,LE15,Distances[[#This Row],[Colonne299]]+1)</f>
        <v>120</v>
      </c>
      <c r="LG15" s="17">
        <f>IF(Distances[[#This Row],[Colonne300]]=$G15,LF15,Distances[[#This Row],[Colonne300]]+1)</f>
        <v>120</v>
      </c>
      <c r="LH15" s="17">
        <f>IF(Distances[[#This Row],[Colonne301]]=$G15,LG15,Distances[[#This Row],[Colonne301]]+1)</f>
        <v>120</v>
      </c>
      <c r="LI15" s="17">
        <f>IF(Distances[[#This Row],[Colonne302]]=$G15,LH15,Distances[[#This Row],[Colonne302]]+1)</f>
        <v>120</v>
      </c>
      <c r="LJ15" s="17">
        <f>IF(Distances[[#This Row],[Colonne303]]=$G15,LI15,Distances[[#This Row],[Colonne303]]+1)</f>
        <v>120</v>
      </c>
      <c r="LK15" s="51"/>
      <c r="LL15" s="17">
        <f t="shared" ref="LL15:NW15" si="28">IF(LK15=$H15,LK15,LK15+1)</f>
        <v>1</v>
      </c>
      <c r="LM15" s="17">
        <f t="shared" si="28"/>
        <v>2</v>
      </c>
      <c r="LN15" s="17">
        <f t="shared" si="28"/>
        <v>3</v>
      </c>
      <c r="LO15" s="17">
        <f t="shared" si="28"/>
        <v>4</v>
      </c>
      <c r="LP15" s="17">
        <f t="shared" si="28"/>
        <v>5</v>
      </c>
      <c r="LQ15" s="17">
        <f t="shared" si="28"/>
        <v>6</v>
      </c>
      <c r="LR15" s="17">
        <f t="shared" si="28"/>
        <v>7</v>
      </c>
      <c r="LS15" s="17">
        <f t="shared" si="28"/>
        <v>8</v>
      </c>
      <c r="LT15" s="17">
        <f t="shared" si="28"/>
        <v>9</v>
      </c>
      <c r="LU15" s="17">
        <f t="shared" si="28"/>
        <v>10</v>
      </c>
      <c r="LV15" s="17">
        <f t="shared" si="28"/>
        <v>11</v>
      </c>
      <c r="LW15" s="17">
        <f t="shared" si="28"/>
        <v>12</v>
      </c>
      <c r="LX15" s="17">
        <f t="shared" si="28"/>
        <v>13</v>
      </c>
      <c r="LY15" s="17">
        <f t="shared" si="28"/>
        <v>14</v>
      </c>
      <c r="LZ15" s="17">
        <f t="shared" si="28"/>
        <v>15</v>
      </c>
      <c r="MA15" s="17">
        <f t="shared" si="28"/>
        <v>16</v>
      </c>
      <c r="MB15" s="17">
        <f t="shared" si="28"/>
        <v>17</v>
      </c>
      <c r="MC15" s="17">
        <f t="shared" si="28"/>
        <v>18</v>
      </c>
      <c r="MD15" s="17">
        <f t="shared" si="28"/>
        <v>19</v>
      </c>
      <c r="ME15" s="17">
        <f t="shared" si="28"/>
        <v>20</v>
      </c>
      <c r="MF15" s="17">
        <f t="shared" si="28"/>
        <v>20</v>
      </c>
      <c r="MG15" s="17">
        <f t="shared" si="28"/>
        <v>20</v>
      </c>
      <c r="MH15" s="17">
        <f t="shared" si="28"/>
        <v>20</v>
      </c>
      <c r="MI15" s="17">
        <f t="shared" si="28"/>
        <v>20</v>
      </c>
      <c r="MJ15" s="17">
        <f t="shared" si="28"/>
        <v>20</v>
      </c>
      <c r="MK15" s="17">
        <f t="shared" si="28"/>
        <v>20</v>
      </c>
      <c r="ML15" s="17">
        <f t="shared" si="28"/>
        <v>20</v>
      </c>
      <c r="MM15" s="17">
        <f t="shared" si="28"/>
        <v>20</v>
      </c>
      <c r="MN15" s="17">
        <f t="shared" si="28"/>
        <v>20</v>
      </c>
      <c r="MO15" s="17">
        <f t="shared" si="28"/>
        <v>20</v>
      </c>
      <c r="MP15" s="17">
        <f t="shared" si="28"/>
        <v>20</v>
      </c>
      <c r="MQ15" s="17">
        <f t="shared" si="28"/>
        <v>20</v>
      </c>
      <c r="MR15" s="17">
        <f t="shared" si="28"/>
        <v>20</v>
      </c>
      <c r="MS15" s="17">
        <f t="shared" si="28"/>
        <v>20</v>
      </c>
      <c r="MT15" s="17">
        <f t="shared" si="28"/>
        <v>20</v>
      </c>
      <c r="MU15" s="17">
        <f t="shared" si="28"/>
        <v>20</v>
      </c>
      <c r="MV15" s="17">
        <f t="shared" si="28"/>
        <v>20</v>
      </c>
      <c r="MW15" s="17">
        <f t="shared" si="28"/>
        <v>20</v>
      </c>
      <c r="MX15" s="17">
        <f t="shared" si="28"/>
        <v>20</v>
      </c>
      <c r="MY15" s="17">
        <f t="shared" si="28"/>
        <v>20</v>
      </c>
      <c r="MZ15" s="17">
        <f t="shared" si="28"/>
        <v>20</v>
      </c>
      <c r="NA15" s="17">
        <f t="shared" si="28"/>
        <v>20</v>
      </c>
      <c r="NB15" s="17">
        <f t="shared" si="28"/>
        <v>20</v>
      </c>
      <c r="NC15" s="17">
        <f t="shared" si="28"/>
        <v>20</v>
      </c>
      <c r="ND15" s="17">
        <f t="shared" si="28"/>
        <v>20</v>
      </c>
      <c r="NE15" s="17">
        <f t="shared" si="28"/>
        <v>20</v>
      </c>
      <c r="NF15" s="17">
        <f t="shared" si="28"/>
        <v>20</v>
      </c>
      <c r="NG15" s="17">
        <f t="shared" si="28"/>
        <v>20</v>
      </c>
      <c r="NH15" s="17">
        <f t="shared" si="28"/>
        <v>20</v>
      </c>
      <c r="NI15" s="17">
        <f t="shared" si="28"/>
        <v>20</v>
      </c>
      <c r="NJ15" s="17">
        <f t="shared" si="28"/>
        <v>20</v>
      </c>
      <c r="NK15" s="17">
        <f t="shared" si="28"/>
        <v>20</v>
      </c>
      <c r="NL15" s="17">
        <f t="shared" si="28"/>
        <v>20</v>
      </c>
      <c r="NM15" s="17">
        <f t="shared" si="28"/>
        <v>20</v>
      </c>
      <c r="NN15" s="17">
        <f t="shared" si="28"/>
        <v>20</v>
      </c>
      <c r="NO15" s="17">
        <f t="shared" si="28"/>
        <v>20</v>
      </c>
      <c r="NP15" s="17">
        <f t="shared" si="28"/>
        <v>20</v>
      </c>
      <c r="NQ15" s="17">
        <f t="shared" si="28"/>
        <v>20</v>
      </c>
      <c r="NR15" s="17">
        <f t="shared" si="28"/>
        <v>20</v>
      </c>
      <c r="NS15" s="17">
        <f t="shared" si="28"/>
        <v>20</v>
      </c>
      <c r="NT15" s="17">
        <f t="shared" si="28"/>
        <v>20</v>
      </c>
      <c r="NU15" s="17">
        <f t="shared" si="28"/>
        <v>20</v>
      </c>
      <c r="NV15" s="17">
        <f t="shared" si="28"/>
        <v>20</v>
      </c>
      <c r="NW15" s="17">
        <f t="shared" si="28"/>
        <v>20</v>
      </c>
      <c r="NX15" s="17">
        <f t="shared" ref="NX15:PG15" si="29">IF(NW15=$H15,NW15,NW15+1)</f>
        <v>20</v>
      </c>
      <c r="NY15" s="17">
        <f t="shared" si="29"/>
        <v>20</v>
      </c>
      <c r="NZ15" s="17">
        <f t="shared" si="29"/>
        <v>20</v>
      </c>
      <c r="OA15" s="17">
        <f t="shared" si="29"/>
        <v>20</v>
      </c>
      <c r="OB15" s="17">
        <f t="shared" si="29"/>
        <v>20</v>
      </c>
      <c r="OC15" s="17">
        <f t="shared" si="29"/>
        <v>20</v>
      </c>
      <c r="OD15" s="17">
        <f t="shared" si="29"/>
        <v>20</v>
      </c>
      <c r="OE15" s="17">
        <f t="shared" si="29"/>
        <v>20</v>
      </c>
      <c r="OF15" s="17">
        <f t="shared" si="29"/>
        <v>20</v>
      </c>
      <c r="OG15" s="17">
        <f t="shared" si="29"/>
        <v>20</v>
      </c>
      <c r="OH15" s="17">
        <f t="shared" si="29"/>
        <v>20</v>
      </c>
      <c r="OI15" s="17">
        <f t="shared" si="29"/>
        <v>20</v>
      </c>
      <c r="OJ15" s="17">
        <f t="shared" si="29"/>
        <v>20</v>
      </c>
      <c r="OK15" s="17">
        <f t="shared" si="29"/>
        <v>20</v>
      </c>
      <c r="OL15" s="17">
        <f t="shared" si="29"/>
        <v>20</v>
      </c>
      <c r="OM15" s="17">
        <f t="shared" si="29"/>
        <v>20</v>
      </c>
      <c r="ON15" s="17">
        <f t="shared" si="29"/>
        <v>20</v>
      </c>
      <c r="OO15" s="17">
        <f t="shared" si="29"/>
        <v>20</v>
      </c>
      <c r="OP15" s="17">
        <f t="shared" si="29"/>
        <v>20</v>
      </c>
      <c r="OQ15" s="17">
        <f t="shared" si="29"/>
        <v>20</v>
      </c>
      <c r="OR15" s="17">
        <f t="shared" si="29"/>
        <v>20</v>
      </c>
      <c r="OS15" s="17">
        <f t="shared" si="29"/>
        <v>20</v>
      </c>
      <c r="OT15" s="17">
        <f t="shared" si="29"/>
        <v>20</v>
      </c>
      <c r="OU15" s="17">
        <f t="shared" si="29"/>
        <v>20</v>
      </c>
      <c r="OV15" s="17">
        <f t="shared" si="29"/>
        <v>20</v>
      </c>
      <c r="OW15" s="17">
        <f t="shared" si="29"/>
        <v>20</v>
      </c>
      <c r="OX15" s="17">
        <f t="shared" si="29"/>
        <v>20</v>
      </c>
      <c r="OY15" s="17">
        <f t="shared" si="29"/>
        <v>20</v>
      </c>
      <c r="OZ15" s="17">
        <f t="shared" si="29"/>
        <v>20</v>
      </c>
      <c r="PA15" s="17">
        <f t="shared" si="29"/>
        <v>20</v>
      </c>
      <c r="PB15" s="17">
        <f t="shared" si="29"/>
        <v>20</v>
      </c>
      <c r="PC15" s="17">
        <f t="shared" si="29"/>
        <v>20</v>
      </c>
      <c r="PD15" s="17">
        <f t="shared" si="29"/>
        <v>20</v>
      </c>
      <c r="PE15" s="17">
        <f t="shared" si="29"/>
        <v>20</v>
      </c>
      <c r="PF15" s="17">
        <f t="shared" si="29"/>
        <v>20</v>
      </c>
      <c r="PG15" s="17">
        <f t="shared" si="29"/>
        <v>20</v>
      </c>
    </row>
    <row r="16" spans="1:423" x14ac:dyDescent="0.25">
      <c r="A16" s="8" t="s">
        <v>5506</v>
      </c>
      <c r="B16" s="9" t="s">
        <v>26</v>
      </c>
      <c r="C16" s="9" t="str">
        <f t="shared" si="0"/>
        <v>CN3</v>
      </c>
      <c r="D16" s="1" t="str">
        <f t="shared" si="1"/>
        <v>Cadre N3</v>
      </c>
      <c r="E16" s="1" t="s">
        <v>15</v>
      </c>
      <c r="F16" s="9" t="s">
        <v>5452</v>
      </c>
      <c r="G16" s="9">
        <v>120</v>
      </c>
      <c r="H16" s="9">
        <v>30</v>
      </c>
      <c r="I16" s="127">
        <v>2.8</v>
      </c>
      <c r="J16" s="30"/>
      <c r="K16" s="281" t="s">
        <v>5540</v>
      </c>
      <c r="L16" s="8">
        <v>3.5</v>
      </c>
      <c r="M16" s="9">
        <v>3.5</v>
      </c>
      <c r="N16" s="10">
        <v>6.2489999999999997</v>
      </c>
      <c r="O16" s="269"/>
      <c r="P16" s="331"/>
      <c r="Q16" s="335"/>
      <c r="R16" s="128">
        <v>1</v>
      </c>
      <c r="S16" s="9">
        <v>1</v>
      </c>
      <c r="T16" s="10">
        <v>2</v>
      </c>
      <c r="U16" t="s">
        <v>5523</v>
      </c>
      <c r="V16" s="17">
        <v>0</v>
      </c>
      <c r="W16" s="17">
        <f>IF(Distances[[#This Row],[Colonne4]]=$G16,V16,Distances[[#This Row],[Colonne4]]+1)</f>
        <v>1</v>
      </c>
      <c r="X16" s="17">
        <f>IF(Distances[[#This Row],[Colonne5]]=$G16,W16,Distances[[#This Row],[Colonne5]]+1)</f>
        <v>2</v>
      </c>
      <c r="Y16" s="17">
        <f>IF(Distances[[#This Row],[Colonne6]]=$G16,X16,Distances[[#This Row],[Colonne6]]+1)</f>
        <v>3</v>
      </c>
      <c r="Z16" s="17">
        <f>IF(Distances[[#This Row],[Colonne7]]=$G16,Y16,Distances[[#This Row],[Colonne7]]+1)</f>
        <v>4</v>
      </c>
      <c r="AA16" s="17">
        <f>IF(Distances[[#This Row],[Colonne8]]=$G16,Z16,Distances[[#This Row],[Colonne8]]+1)</f>
        <v>5</v>
      </c>
      <c r="AB16" s="17">
        <f>IF(Distances[[#This Row],[Colonne9]]=$G16,AA16,Distances[[#This Row],[Colonne9]]+1)</f>
        <v>6</v>
      </c>
      <c r="AC16" s="17">
        <f>IF(Distances[[#This Row],[Colonne10]]=$G16,AB16,Distances[[#This Row],[Colonne10]]+1)</f>
        <v>7</v>
      </c>
      <c r="AD16" s="17">
        <f>IF(Distances[[#This Row],[Colonne11]]=$G16,AC16,Distances[[#This Row],[Colonne11]]+1)</f>
        <v>8</v>
      </c>
      <c r="AE16" s="17">
        <f>IF(Distances[[#This Row],[Colonne12]]=$G16,AD16,Distances[[#This Row],[Colonne12]]+1)</f>
        <v>9</v>
      </c>
      <c r="AF16" s="17">
        <f>IF(Distances[[#This Row],[Colonne13]]=$G16,AE16,Distances[[#This Row],[Colonne13]]+1)</f>
        <v>10</v>
      </c>
      <c r="AG16" s="17">
        <f>IF(Distances[[#This Row],[Colonne14]]=$G16,AF16,Distances[[#This Row],[Colonne14]]+1)</f>
        <v>11</v>
      </c>
      <c r="AH16" s="17">
        <f>IF(Distances[[#This Row],[Colonne15]]=$G16,AG16,Distances[[#This Row],[Colonne15]]+1)</f>
        <v>12</v>
      </c>
      <c r="AI16" s="17">
        <f>IF(Distances[[#This Row],[Colonne16]]=$G16,AH16,Distances[[#This Row],[Colonne16]]+1)</f>
        <v>13</v>
      </c>
      <c r="AJ16" s="17">
        <f>IF(Distances[[#This Row],[Colonne17]]=$G16,AI16,Distances[[#This Row],[Colonne17]]+1)</f>
        <v>14</v>
      </c>
      <c r="AK16" s="17">
        <f>IF(Distances[[#This Row],[Colonne18]]=$G16,AJ16,Distances[[#This Row],[Colonne18]]+1)</f>
        <v>15</v>
      </c>
      <c r="AL16" s="17">
        <f>IF(Distances[[#This Row],[Colonne19]]=$G16,AK16,Distances[[#This Row],[Colonne19]]+1)</f>
        <v>16</v>
      </c>
      <c r="AM16" s="17">
        <f>IF(Distances[[#This Row],[Colonne20]]=$G16,AL16,Distances[[#This Row],[Colonne20]]+1)</f>
        <v>17</v>
      </c>
      <c r="AN16" s="17">
        <f>IF(Distances[[#This Row],[Colonne21]]=$G16,AM16,Distances[[#This Row],[Colonne21]]+1)</f>
        <v>18</v>
      </c>
      <c r="AO16" s="17">
        <f>IF(Distances[[#This Row],[Colonne22]]=$G16,AN16,Distances[[#This Row],[Colonne22]]+1)</f>
        <v>19</v>
      </c>
      <c r="AP16" s="17">
        <f>IF(Distances[[#This Row],[Colonne23]]=$G16,AO16,Distances[[#This Row],[Colonne23]]+1)</f>
        <v>20</v>
      </c>
      <c r="AQ16" s="17">
        <f>IF(Distances[[#This Row],[Colonne24]]=$G16,AP16,Distances[[#This Row],[Colonne24]]+1)</f>
        <v>21</v>
      </c>
      <c r="AR16" s="17">
        <f>IF(Distances[[#This Row],[Colonne25]]=$G16,AQ16,Distances[[#This Row],[Colonne25]]+1)</f>
        <v>22</v>
      </c>
      <c r="AS16" s="17">
        <f>IF(Distances[[#This Row],[Colonne26]]=$G16,AR16,Distances[[#This Row],[Colonne26]]+1)</f>
        <v>23</v>
      </c>
      <c r="AT16" s="17">
        <f>IF(Distances[[#This Row],[Colonne27]]=$G16,AS16,Distances[[#This Row],[Colonne27]]+1)</f>
        <v>24</v>
      </c>
      <c r="AU16" s="17">
        <f>IF(Distances[[#This Row],[Colonne28]]=$G16,AT16,Distances[[#This Row],[Colonne28]]+1)</f>
        <v>25</v>
      </c>
      <c r="AV16" s="17">
        <f>IF(Distances[[#This Row],[Colonne29]]=$G16,AU16,Distances[[#This Row],[Colonne29]]+1)</f>
        <v>26</v>
      </c>
      <c r="AW16" s="17">
        <f>IF(Distances[[#This Row],[Colonne30]]=$G16,AV16,Distances[[#This Row],[Colonne30]]+1)</f>
        <v>27</v>
      </c>
      <c r="AX16" s="17">
        <f>IF(Distances[[#This Row],[Colonne31]]=$G16,AW16,Distances[[#This Row],[Colonne31]]+1)</f>
        <v>28</v>
      </c>
      <c r="AY16" s="17">
        <f>IF(Distances[[#This Row],[Colonne32]]=$G16,AX16,Distances[[#This Row],[Colonne32]]+1)</f>
        <v>29</v>
      </c>
      <c r="AZ16" s="17">
        <f>IF(Distances[[#This Row],[Colonne33]]=$G16,AY16,Distances[[#This Row],[Colonne33]]+1)</f>
        <v>30</v>
      </c>
      <c r="BA16" s="17">
        <f>IF(Distances[[#This Row],[Colonne34]]=$G16,AZ16,Distances[[#This Row],[Colonne34]]+1)</f>
        <v>31</v>
      </c>
      <c r="BB16" s="17">
        <f>IF(Distances[[#This Row],[Colonne35]]=$G16,BA16,Distances[[#This Row],[Colonne35]]+1)</f>
        <v>32</v>
      </c>
      <c r="BC16" s="17">
        <f>IF(Distances[[#This Row],[Colonne36]]=$G16,BB16,Distances[[#This Row],[Colonne36]]+1)</f>
        <v>33</v>
      </c>
      <c r="BD16" s="17">
        <f>IF(Distances[[#This Row],[Colonne37]]=$G16,BC16,Distances[[#This Row],[Colonne37]]+1)</f>
        <v>34</v>
      </c>
      <c r="BE16" s="17">
        <f>IF(Distances[[#This Row],[Colonne38]]=$G16,BD16,Distances[[#This Row],[Colonne38]]+1)</f>
        <v>35</v>
      </c>
      <c r="BF16" s="17">
        <f>IF(Distances[[#This Row],[Colonne39]]=$G16,BE16,Distances[[#This Row],[Colonne39]]+1)</f>
        <v>36</v>
      </c>
      <c r="BG16" s="17">
        <f>IF(Distances[[#This Row],[Colonne40]]=$G16,BF16,Distances[[#This Row],[Colonne40]]+1)</f>
        <v>37</v>
      </c>
      <c r="BH16" s="17">
        <f>IF(Distances[[#This Row],[Colonne41]]=$G16,BG16,Distances[[#This Row],[Colonne41]]+1)</f>
        <v>38</v>
      </c>
      <c r="BI16" s="17">
        <f>IF(Distances[[#This Row],[Colonne42]]=$G16,BH16,Distances[[#This Row],[Colonne42]]+1)</f>
        <v>39</v>
      </c>
      <c r="BJ16" s="17">
        <f>IF(Distances[[#This Row],[Colonne43]]=$G16,BI16,Distances[[#This Row],[Colonne43]]+1)</f>
        <v>40</v>
      </c>
      <c r="BK16" s="17">
        <f>IF(Distances[[#This Row],[Colonne44]]=$G16,BJ16,Distances[[#This Row],[Colonne44]]+1)</f>
        <v>41</v>
      </c>
      <c r="BL16" s="17">
        <f>IF(Distances[[#This Row],[Colonne45]]=$G16,BK16,Distances[[#This Row],[Colonne45]]+1)</f>
        <v>42</v>
      </c>
      <c r="BM16" s="17">
        <f>IF(Distances[[#This Row],[Colonne46]]=$G16,BL16,Distances[[#This Row],[Colonne46]]+1)</f>
        <v>43</v>
      </c>
      <c r="BN16" s="17">
        <f>IF(Distances[[#This Row],[Colonne47]]=$G16,BM16,Distances[[#This Row],[Colonne47]]+1)</f>
        <v>44</v>
      </c>
      <c r="BO16" s="17">
        <f>IF(Distances[[#This Row],[Colonne48]]=$G16,BN16,Distances[[#This Row],[Colonne48]]+1)</f>
        <v>45</v>
      </c>
      <c r="BP16" s="17">
        <f>IF(Distances[[#This Row],[Colonne49]]=$G16,BO16,Distances[[#This Row],[Colonne49]]+1)</f>
        <v>46</v>
      </c>
      <c r="BQ16" s="17">
        <f>IF(Distances[[#This Row],[Colonne50]]=$G16,BP16,Distances[[#This Row],[Colonne50]]+1)</f>
        <v>47</v>
      </c>
      <c r="BR16" s="17">
        <f>IF(Distances[[#This Row],[Colonne51]]=$G16,BQ16,Distances[[#This Row],[Colonne51]]+1)</f>
        <v>48</v>
      </c>
      <c r="BS16" s="17">
        <f>IF(Distances[[#This Row],[Colonne52]]=$G16,BR16,Distances[[#This Row],[Colonne52]]+1)</f>
        <v>49</v>
      </c>
      <c r="BT16" s="17">
        <f>IF(Distances[[#This Row],[Colonne53]]=$G16,BS16,Distances[[#This Row],[Colonne53]]+1)</f>
        <v>50</v>
      </c>
      <c r="BU16" s="17">
        <f>IF(Distances[[#This Row],[Colonne54]]=$G16,BT16,Distances[[#This Row],[Colonne54]]+1)</f>
        <v>51</v>
      </c>
      <c r="BV16" s="17">
        <f>IF(Distances[[#This Row],[Colonne55]]=$G16,BU16,Distances[[#This Row],[Colonne55]]+1)</f>
        <v>52</v>
      </c>
      <c r="BW16" s="17">
        <f>IF(Distances[[#This Row],[Colonne56]]=$G16,BV16,Distances[[#This Row],[Colonne56]]+1)</f>
        <v>53</v>
      </c>
      <c r="BX16" s="17">
        <f>IF(Distances[[#This Row],[Colonne57]]=$G16,BW16,Distances[[#This Row],[Colonne57]]+1)</f>
        <v>54</v>
      </c>
      <c r="BY16" s="17">
        <f>IF(Distances[[#This Row],[Colonne58]]=$G16,BX16,Distances[[#This Row],[Colonne58]]+1)</f>
        <v>55</v>
      </c>
      <c r="BZ16" s="17">
        <f>IF(Distances[[#This Row],[Colonne59]]=$G16,BY16,Distances[[#This Row],[Colonne59]]+1)</f>
        <v>56</v>
      </c>
      <c r="CA16" s="17">
        <f>IF(Distances[[#This Row],[Colonne60]]=$G16,BZ16,Distances[[#This Row],[Colonne60]]+1)</f>
        <v>57</v>
      </c>
      <c r="CB16" s="17">
        <f>IF(Distances[[#This Row],[Colonne61]]=$G16,CA16,Distances[[#This Row],[Colonne61]]+1)</f>
        <v>58</v>
      </c>
      <c r="CC16" s="17">
        <f>IF(Distances[[#This Row],[Colonne62]]=$G16,CB16,Distances[[#This Row],[Colonne62]]+1)</f>
        <v>59</v>
      </c>
      <c r="CD16" s="17">
        <f>IF(Distances[[#This Row],[Colonne63]]=$G16,CC16,Distances[[#This Row],[Colonne63]]+1)</f>
        <v>60</v>
      </c>
      <c r="CE16" s="17">
        <f>IF(Distances[[#This Row],[Colonne64]]=$G16,CD16,Distances[[#This Row],[Colonne64]]+1)</f>
        <v>61</v>
      </c>
      <c r="CF16" s="17">
        <f>IF(Distances[[#This Row],[Colonne65]]=$G16,CE16,Distances[[#This Row],[Colonne65]]+1)</f>
        <v>62</v>
      </c>
      <c r="CG16" s="17">
        <f>IF(Distances[[#This Row],[Colonne66]]=$G16,CF16,Distances[[#This Row],[Colonne66]]+1)</f>
        <v>63</v>
      </c>
      <c r="CH16" s="17">
        <f>IF(Distances[[#This Row],[Colonne67]]=$G16,CG16,Distances[[#This Row],[Colonne67]]+1)</f>
        <v>64</v>
      </c>
      <c r="CI16" s="17">
        <f>IF(Distances[[#This Row],[Colonne68]]=$G16,CH16,Distances[[#This Row],[Colonne68]]+1)</f>
        <v>65</v>
      </c>
      <c r="CJ16" s="17">
        <f>IF(Distances[[#This Row],[Colonne69]]=$G16,CI16,Distances[[#This Row],[Colonne69]]+1)</f>
        <v>66</v>
      </c>
      <c r="CK16" s="17">
        <f>IF(Distances[[#This Row],[Colonne70]]=$G16,CJ16,Distances[[#This Row],[Colonne70]]+1)</f>
        <v>67</v>
      </c>
      <c r="CL16" s="17">
        <f>IF(Distances[[#This Row],[Colonne71]]=$G16,CK16,Distances[[#This Row],[Colonne71]]+1)</f>
        <v>68</v>
      </c>
      <c r="CM16" s="17">
        <f>IF(Distances[[#This Row],[Colonne72]]=$G16,CL16,Distances[[#This Row],[Colonne72]]+1)</f>
        <v>69</v>
      </c>
      <c r="CN16" s="17">
        <f>IF(Distances[[#This Row],[Colonne73]]=$G16,CM16,Distances[[#This Row],[Colonne73]]+1)</f>
        <v>70</v>
      </c>
      <c r="CO16" s="17">
        <f>IF(Distances[[#This Row],[Colonne74]]=$G16,CN16,Distances[[#This Row],[Colonne74]]+1)</f>
        <v>71</v>
      </c>
      <c r="CP16" s="17">
        <f>IF(Distances[[#This Row],[Colonne75]]=$G16,CO16,Distances[[#This Row],[Colonne75]]+1)</f>
        <v>72</v>
      </c>
      <c r="CQ16" s="17">
        <f>IF(Distances[[#This Row],[Colonne76]]=$G16,CP16,Distances[[#This Row],[Colonne76]]+1)</f>
        <v>73</v>
      </c>
      <c r="CR16" s="17">
        <f>IF(Distances[[#This Row],[Colonne77]]=$G16,CQ16,Distances[[#This Row],[Colonne77]]+1)</f>
        <v>74</v>
      </c>
      <c r="CS16" s="17">
        <f>IF(Distances[[#This Row],[Colonne78]]=$G16,CR16,Distances[[#This Row],[Colonne78]]+1)</f>
        <v>75</v>
      </c>
      <c r="CT16" s="17">
        <f>IF(Distances[[#This Row],[Colonne79]]=$G16,CS16,Distances[[#This Row],[Colonne79]]+1)</f>
        <v>76</v>
      </c>
      <c r="CU16" s="17">
        <f>IF(Distances[[#This Row],[Colonne80]]=$G16,CT16,Distances[[#This Row],[Colonne80]]+1)</f>
        <v>77</v>
      </c>
      <c r="CV16" s="17">
        <f>IF(Distances[[#This Row],[Colonne81]]=$G16,CU16,Distances[[#This Row],[Colonne81]]+1)</f>
        <v>78</v>
      </c>
      <c r="CW16" s="17">
        <f>IF(Distances[[#This Row],[Colonne82]]=$G16,CV16,Distances[[#This Row],[Colonne82]]+1)</f>
        <v>79</v>
      </c>
      <c r="CX16" s="17">
        <f>IF(Distances[[#This Row],[Colonne83]]=$G16,CW16,Distances[[#This Row],[Colonne83]]+1)</f>
        <v>80</v>
      </c>
      <c r="CY16" s="17">
        <f>IF(Distances[[#This Row],[Colonne84]]=$G16,CX16,Distances[[#This Row],[Colonne84]]+1)</f>
        <v>81</v>
      </c>
      <c r="CZ16" s="17">
        <f>IF(Distances[[#This Row],[Colonne85]]=$G16,CY16,Distances[[#This Row],[Colonne85]]+1)</f>
        <v>82</v>
      </c>
      <c r="DA16" s="17">
        <f>IF(Distances[[#This Row],[Colonne86]]=$G16,CZ16,Distances[[#This Row],[Colonne86]]+1)</f>
        <v>83</v>
      </c>
      <c r="DB16" s="17">
        <f>IF(Distances[[#This Row],[Colonne87]]=$G16,DA16,Distances[[#This Row],[Colonne87]]+1)</f>
        <v>84</v>
      </c>
      <c r="DC16" s="17">
        <f>IF(Distances[[#This Row],[Colonne88]]=$G16,DB16,Distances[[#This Row],[Colonne88]]+1)</f>
        <v>85</v>
      </c>
      <c r="DD16" s="17">
        <f>IF(Distances[[#This Row],[Colonne89]]=$G16,DC16,Distances[[#This Row],[Colonne89]]+1)</f>
        <v>86</v>
      </c>
      <c r="DE16" s="17">
        <f>IF(Distances[[#This Row],[Colonne90]]=$G16,DD16,Distances[[#This Row],[Colonne90]]+1)</f>
        <v>87</v>
      </c>
      <c r="DF16" s="17">
        <f>IF(Distances[[#This Row],[Colonne91]]=$G16,DE16,Distances[[#This Row],[Colonne91]]+1)</f>
        <v>88</v>
      </c>
      <c r="DG16" s="17">
        <f>IF(Distances[[#This Row],[Colonne92]]=$G16,DF16,Distances[[#This Row],[Colonne92]]+1)</f>
        <v>89</v>
      </c>
      <c r="DH16" s="17">
        <f>IF(Distances[[#This Row],[Colonne93]]=$G16,DG16,Distances[[#This Row],[Colonne93]]+1)</f>
        <v>90</v>
      </c>
      <c r="DI16" s="17">
        <f>IF(Distances[[#This Row],[Colonne94]]=$G16,DH16,Distances[[#This Row],[Colonne94]]+1)</f>
        <v>91</v>
      </c>
      <c r="DJ16" s="17">
        <f>IF(Distances[[#This Row],[Colonne95]]=$G16,DI16,Distances[[#This Row],[Colonne95]]+1)</f>
        <v>92</v>
      </c>
      <c r="DK16" s="17">
        <f>IF(Distances[[#This Row],[Colonne96]]=$G16,DJ16,Distances[[#This Row],[Colonne96]]+1)</f>
        <v>93</v>
      </c>
      <c r="DL16" s="17">
        <f>IF(Distances[[#This Row],[Colonne97]]=$G16,DK16,Distances[[#This Row],[Colonne97]]+1)</f>
        <v>94</v>
      </c>
      <c r="DM16" s="17">
        <f>IF(Distances[[#This Row],[Colonne98]]=$G16,DL16,Distances[[#This Row],[Colonne98]]+1)</f>
        <v>95</v>
      </c>
      <c r="DN16" s="17">
        <f>IF(Distances[[#This Row],[Colonne99]]=$G16,DM16,Distances[[#This Row],[Colonne99]]+1)</f>
        <v>96</v>
      </c>
      <c r="DO16" s="17">
        <f>IF(Distances[[#This Row],[Colonne100]]=$G16,DN16,Distances[[#This Row],[Colonne100]]+1)</f>
        <v>97</v>
      </c>
      <c r="DP16" s="17">
        <f>IF(Distances[[#This Row],[Colonne101]]=$G16,DO16,Distances[[#This Row],[Colonne101]]+1)</f>
        <v>98</v>
      </c>
      <c r="DQ16" s="17">
        <f>IF(Distances[[#This Row],[Colonne102]]=$G16,DP16,Distances[[#This Row],[Colonne102]]+1)</f>
        <v>99</v>
      </c>
      <c r="DR16" s="17">
        <f>IF(Distances[[#This Row],[Colonne103]]=$G16,DQ16,Distances[[#This Row],[Colonne103]]+1)</f>
        <v>100</v>
      </c>
      <c r="DS16" s="17">
        <f>IF(Distances[[#This Row],[Colonne104]]=$G16,DR16,Distances[[#This Row],[Colonne104]]+1)</f>
        <v>101</v>
      </c>
      <c r="DT16" s="17">
        <f>IF(Distances[[#This Row],[Colonne105]]=$G16,DS16,Distances[[#This Row],[Colonne105]]+1)</f>
        <v>102</v>
      </c>
      <c r="DU16" s="17">
        <f>IF(Distances[[#This Row],[Colonne106]]=$G16,DT16,Distances[[#This Row],[Colonne106]]+1)</f>
        <v>103</v>
      </c>
      <c r="DV16" s="17">
        <f>IF(Distances[[#This Row],[Colonne107]]=$G16,DU16,Distances[[#This Row],[Colonne107]]+1)</f>
        <v>104</v>
      </c>
      <c r="DW16" s="17">
        <f>IF(Distances[[#This Row],[Colonne108]]=$G16,DV16,Distances[[#This Row],[Colonne108]]+1)</f>
        <v>105</v>
      </c>
      <c r="DX16" s="17">
        <f>IF(Distances[[#This Row],[Colonne109]]=$G16,DW16,Distances[[#This Row],[Colonne109]]+1)</f>
        <v>106</v>
      </c>
      <c r="DY16" s="17">
        <f>IF(Distances[[#This Row],[Colonne110]]=$G16,DX16,Distances[[#This Row],[Colonne110]]+1)</f>
        <v>107</v>
      </c>
      <c r="DZ16" s="17">
        <f>IF(Distances[[#This Row],[Colonne111]]=$G16,DY16,Distances[[#This Row],[Colonne111]]+1)</f>
        <v>108</v>
      </c>
      <c r="EA16" s="17">
        <f>IF(Distances[[#This Row],[Colonne112]]=$G16,DZ16,Distances[[#This Row],[Colonne112]]+1)</f>
        <v>109</v>
      </c>
      <c r="EB16" s="17">
        <f>IF(Distances[[#This Row],[Colonne113]]=$G16,EA16,Distances[[#This Row],[Colonne113]]+1)</f>
        <v>110</v>
      </c>
      <c r="EC16" s="17">
        <f>IF(Distances[[#This Row],[Colonne114]]=$G16,EB16,Distances[[#This Row],[Colonne114]]+1)</f>
        <v>111</v>
      </c>
      <c r="ED16" s="17">
        <f>IF(Distances[[#This Row],[Colonne115]]=$G16,EC16,Distances[[#This Row],[Colonne115]]+1)</f>
        <v>112</v>
      </c>
      <c r="EE16" s="17">
        <f>IF(Distances[[#This Row],[Colonne116]]=$G16,ED16,Distances[[#This Row],[Colonne116]]+1)</f>
        <v>113</v>
      </c>
      <c r="EF16" s="17">
        <f>IF(Distances[[#This Row],[Colonne117]]=$G16,EE16,Distances[[#This Row],[Colonne117]]+1)</f>
        <v>114</v>
      </c>
      <c r="EG16" s="17">
        <f>IF(Distances[[#This Row],[Colonne118]]=$G16,EF16,Distances[[#This Row],[Colonne118]]+1)</f>
        <v>115</v>
      </c>
      <c r="EH16" s="17">
        <f>IF(Distances[[#This Row],[Colonne119]]=$G16,EG16,Distances[[#This Row],[Colonne119]]+1)</f>
        <v>116</v>
      </c>
      <c r="EI16" s="17">
        <f>IF(Distances[[#This Row],[Colonne120]]=$G16,EH16,Distances[[#This Row],[Colonne120]]+1)</f>
        <v>117</v>
      </c>
      <c r="EJ16" s="17">
        <f>IF(Distances[[#This Row],[Colonne121]]=$G16,EI16,Distances[[#This Row],[Colonne121]]+1)</f>
        <v>118</v>
      </c>
      <c r="EK16" s="17">
        <f>IF(Distances[[#This Row],[Colonne122]]=$G16,EJ16,Distances[[#This Row],[Colonne122]]+1)</f>
        <v>119</v>
      </c>
      <c r="EL16" s="17">
        <f>IF(Distances[[#This Row],[Colonne123]]=$G16,EK16,Distances[[#This Row],[Colonne123]]+1)</f>
        <v>120</v>
      </c>
      <c r="EM16" s="17">
        <f>IF(Distances[[#This Row],[Colonne124]]=$G16,EL16,Distances[[#This Row],[Colonne124]]+1)</f>
        <v>120</v>
      </c>
      <c r="EN16" s="17">
        <f>IF(Distances[[#This Row],[Colonne125]]=$G16,EM16,Distances[[#This Row],[Colonne125]]+1)</f>
        <v>120</v>
      </c>
      <c r="EO16" s="17">
        <f>IF(Distances[[#This Row],[Colonne126]]=$G16,EN16,Distances[[#This Row],[Colonne126]]+1)</f>
        <v>120</v>
      </c>
      <c r="EP16" s="17">
        <f>IF(Distances[[#This Row],[Colonne127]]=$G16,EO16,Distances[[#This Row],[Colonne127]]+1)</f>
        <v>120</v>
      </c>
      <c r="EQ16" s="17">
        <f>IF(Distances[[#This Row],[Colonne128]]=$G16,EP16,Distances[[#This Row],[Colonne128]]+1)</f>
        <v>120</v>
      </c>
      <c r="ER16" s="17">
        <f>IF(Distances[[#This Row],[Colonne129]]=$G16,EQ16,Distances[[#This Row],[Colonne129]]+1)</f>
        <v>120</v>
      </c>
      <c r="ES16" s="17">
        <f>IF(Distances[[#This Row],[Colonne130]]=$G16,ER16,Distances[[#This Row],[Colonne130]]+1)</f>
        <v>120</v>
      </c>
      <c r="ET16" s="17">
        <f>IF(Distances[[#This Row],[Colonne131]]=$G16,ES16,Distances[[#This Row],[Colonne131]]+1)</f>
        <v>120</v>
      </c>
      <c r="EU16" s="17">
        <f>IF(Distances[[#This Row],[Colonne132]]=$G16,ET16,Distances[[#This Row],[Colonne132]]+1)</f>
        <v>120</v>
      </c>
      <c r="EV16" s="17">
        <f>IF(Distances[[#This Row],[Colonne133]]=$G16,EU16,Distances[[#This Row],[Colonne133]]+1)</f>
        <v>120</v>
      </c>
      <c r="EW16" s="17">
        <f>IF(Distances[[#This Row],[Colonne134]]=$G16,EV16,Distances[[#This Row],[Colonne134]]+1)</f>
        <v>120</v>
      </c>
      <c r="EX16" s="17">
        <f>IF(Distances[[#This Row],[Colonne135]]=$G16,EW16,Distances[[#This Row],[Colonne135]]+1)</f>
        <v>120</v>
      </c>
      <c r="EY16" s="17">
        <f>IF(Distances[[#This Row],[Colonne136]]=$G16,EX16,Distances[[#This Row],[Colonne136]]+1)</f>
        <v>120</v>
      </c>
      <c r="EZ16" s="17">
        <f>IF(Distances[[#This Row],[Colonne137]]=$G16,EY16,Distances[[#This Row],[Colonne137]]+1)</f>
        <v>120</v>
      </c>
      <c r="FA16" s="17">
        <f>IF(Distances[[#This Row],[Colonne138]]=$G16,EZ16,Distances[[#This Row],[Colonne138]]+1)</f>
        <v>120</v>
      </c>
      <c r="FB16" s="17">
        <f>IF(Distances[[#This Row],[Colonne139]]=$G16,FA16,Distances[[#This Row],[Colonne139]]+1)</f>
        <v>120</v>
      </c>
      <c r="FC16" s="17">
        <f>IF(Distances[[#This Row],[Colonne140]]=$G16,FB16,Distances[[#This Row],[Colonne140]]+1)</f>
        <v>120</v>
      </c>
      <c r="FD16" s="17">
        <f>IF(Distances[[#This Row],[Colonne141]]=$G16,FC16,Distances[[#This Row],[Colonne141]]+1)</f>
        <v>120</v>
      </c>
      <c r="FE16" s="17">
        <f>IF(Distances[[#This Row],[Colonne142]]=$G16,FD16,Distances[[#This Row],[Colonne142]]+1)</f>
        <v>120</v>
      </c>
      <c r="FF16" s="17">
        <f>IF(Distances[[#This Row],[Colonne143]]=$G16,FE16,Distances[[#This Row],[Colonne143]]+1)</f>
        <v>120</v>
      </c>
      <c r="FG16" s="17">
        <f>IF(Distances[[#This Row],[Colonne144]]=$G16,FF16,Distances[[#This Row],[Colonne144]]+1)</f>
        <v>120</v>
      </c>
      <c r="FH16" s="17">
        <f>IF(Distances[[#This Row],[Colonne145]]=$G16,FG16,Distances[[#This Row],[Colonne145]]+1)</f>
        <v>120</v>
      </c>
      <c r="FI16" s="17">
        <f>IF(Distances[[#This Row],[Colonne146]]=$G16,FH16,Distances[[#This Row],[Colonne146]]+1)</f>
        <v>120</v>
      </c>
      <c r="FJ16" s="17">
        <f>IF(Distances[[#This Row],[Colonne147]]=$G16,FI16,Distances[[#This Row],[Colonne147]]+1)</f>
        <v>120</v>
      </c>
      <c r="FK16" s="17">
        <f>IF(Distances[[#This Row],[Colonne148]]=$G16,FJ16,Distances[[#This Row],[Colonne148]]+1)</f>
        <v>120</v>
      </c>
      <c r="FL16" s="17">
        <f>IF(Distances[[#This Row],[Colonne149]]=$G16,FK16,Distances[[#This Row],[Colonne149]]+1)</f>
        <v>120</v>
      </c>
      <c r="FM16" s="17">
        <f>IF(Distances[[#This Row],[Colonne150]]=$G16,FL16,Distances[[#This Row],[Colonne150]]+1)</f>
        <v>120</v>
      </c>
      <c r="FN16" s="17">
        <f>IF(Distances[[#This Row],[Colonne151]]=$G16,FM16,Distances[[#This Row],[Colonne151]]+1)</f>
        <v>120</v>
      </c>
      <c r="FO16" s="17">
        <f>IF(Distances[[#This Row],[Colonne152]]=$G16,FN16,Distances[[#This Row],[Colonne152]]+1)</f>
        <v>120</v>
      </c>
      <c r="FP16" s="17">
        <f>IF(Distances[[#This Row],[Colonne153]]=$G16,FO16,Distances[[#This Row],[Colonne153]]+1)</f>
        <v>120</v>
      </c>
      <c r="FQ16" s="17">
        <f>IF(Distances[[#This Row],[Colonne154]]=$G16,FP16,Distances[[#This Row],[Colonne154]]+1)</f>
        <v>120</v>
      </c>
      <c r="FR16" s="17">
        <f>IF(Distances[[#This Row],[Colonne155]]=$G16,FQ16,Distances[[#This Row],[Colonne155]]+1)</f>
        <v>120</v>
      </c>
      <c r="FS16" s="17">
        <f>IF(Distances[[#This Row],[Colonne156]]=$G16,FR16,Distances[[#This Row],[Colonne156]]+1)</f>
        <v>120</v>
      </c>
      <c r="FT16" s="17">
        <f>IF(Distances[[#This Row],[Colonne157]]=$G16,FS16,Distances[[#This Row],[Colonne157]]+1)</f>
        <v>120</v>
      </c>
      <c r="FU16" s="17">
        <f>IF(Distances[[#This Row],[Colonne158]]=$G16,FT16,Distances[[#This Row],[Colonne158]]+1)</f>
        <v>120</v>
      </c>
      <c r="FV16" s="17">
        <f>IF(Distances[[#This Row],[Colonne159]]=$G16,FU16,Distances[[#This Row],[Colonne159]]+1)</f>
        <v>120</v>
      </c>
      <c r="FW16" s="17">
        <f>IF(Distances[[#This Row],[Colonne160]]=$G16,FV16,Distances[[#This Row],[Colonne160]]+1)</f>
        <v>120</v>
      </c>
      <c r="FX16" s="17">
        <f>IF(Distances[[#This Row],[Colonne161]]=$G16,FW16,Distances[[#This Row],[Colonne161]]+1)</f>
        <v>120</v>
      </c>
      <c r="FY16" s="17">
        <f>IF(Distances[[#This Row],[Colonne162]]=$G16,FX16,Distances[[#This Row],[Colonne162]]+1)</f>
        <v>120</v>
      </c>
      <c r="FZ16" s="17">
        <f>IF(Distances[[#This Row],[Colonne163]]=$G16,FY16,Distances[[#This Row],[Colonne163]]+1)</f>
        <v>120</v>
      </c>
      <c r="GA16" s="17">
        <f>IF(Distances[[#This Row],[Colonne164]]=$G16,FZ16,Distances[[#This Row],[Colonne164]]+1)</f>
        <v>120</v>
      </c>
      <c r="GB16" s="17">
        <f>IF(Distances[[#This Row],[Colonne165]]=$G16,GA16,Distances[[#This Row],[Colonne165]]+1)</f>
        <v>120</v>
      </c>
      <c r="GC16" s="17">
        <f>IF(Distances[[#This Row],[Colonne166]]=$G16,GB16,Distances[[#This Row],[Colonne166]]+1)</f>
        <v>120</v>
      </c>
      <c r="GD16" s="17">
        <f>IF(Distances[[#This Row],[Colonne167]]=$G16,GC16,Distances[[#This Row],[Colonne167]]+1)</f>
        <v>120</v>
      </c>
      <c r="GE16" s="17">
        <f>IF(Distances[[#This Row],[Colonne168]]=$G16,GD16,Distances[[#This Row],[Colonne168]]+1)</f>
        <v>120</v>
      </c>
      <c r="GF16" s="17">
        <f>IF(Distances[[#This Row],[Colonne169]]=$G16,GE16,Distances[[#This Row],[Colonne169]]+1)</f>
        <v>120</v>
      </c>
      <c r="GG16" s="17">
        <f>IF(Distances[[#This Row],[Colonne170]]=$G16,GF16,Distances[[#This Row],[Colonne170]]+1)</f>
        <v>120</v>
      </c>
      <c r="GH16" s="17">
        <f>IF(Distances[[#This Row],[Colonne171]]=$G16,GG16,Distances[[#This Row],[Colonne171]]+1)</f>
        <v>120</v>
      </c>
      <c r="GI16" s="17">
        <f>IF(Distances[[#This Row],[Colonne172]]=$G16,GH16,Distances[[#This Row],[Colonne172]]+1)</f>
        <v>120</v>
      </c>
      <c r="GJ16" s="17">
        <f>IF(Distances[[#This Row],[Colonne173]]=$G16,GI16,Distances[[#This Row],[Colonne173]]+1)</f>
        <v>120</v>
      </c>
      <c r="GK16" s="17">
        <f>IF(Distances[[#This Row],[Colonne174]]=$G16,GJ16,Distances[[#This Row],[Colonne174]]+1)</f>
        <v>120</v>
      </c>
      <c r="GL16" s="17">
        <f>IF(Distances[[#This Row],[Colonne175]]=$G16,GK16,Distances[[#This Row],[Colonne175]]+1)</f>
        <v>120</v>
      </c>
      <c r="GM16" s="17">
        <f>IF(Distances[[#This Row],[Colonne176]]=$G16,GL16,Distances[[#This Row],[Colonne176]]+1)</f>
        <v>120</v>
      </c>
      <c r="GN16" s="17">
        <f>IF(Distances[[#This Row],[Colonne177]]=$G16,GM16,Distances[[#This Row],[Colonne177]]+1)</f>
        <v>120</v>
      </c>
      <c r="GO16" s="17">
        <f>IF(Distances[[#This Row],[Colonne178]]=$G16,GN16,Distances[[#This Row],[Colonne178]]+1)</f>
        <v>120</v>
      </c>
      <c r="GP16" s="17">
        <f>IF(Distances[[#This Row],[Colonne179]]=$G16,GO16,Distances[[#This Row],[Colonne179]]+1)</f>
        <v>120</v>
      </c>
      <c r="GQ16" s="17">
        <f>IF(Distances[[#This Row],[Colonne180]]=$G16,GP16,Distances[[#This Row],[Colonne180]]+1)</f>
        <v>120</v>
      </c>
      <c r="GR16" s="17">
        <f>IF(Distances[[#This Row],[Colonne181]]=$G16,GQ16,Distances[[#This Row],[Colonne181]]+1)</f>
        <v>120</v>
      </c>
      <c r="GS16" s="17">
        <f>IF(Distances[[#This Row],[Colonne182]]=$G16,GR16,Distances[[#This Row],[Colonne182]]+1)</f>
        <v>120</v>
      </c>
      <c r="GT16" s="17">
        <f>IF(Distances[[#This Row],[Colonne183]]=$G16,GS16,Distances[[#This Row],[Colonne183]]+1)</f>
        <v>120</v>
      </c>
      <c r="GU16" s="17">
        <f>IF(Distances[[#This Row],[Colonne184]]=$G16,GT16,Distances[[#This Row],[Colonne184]]+1)</f>
        <v>120</v>
      </c>
      <c r="GV16" s="17">
        <f>IF(Distances[[#This Row],[Colonne185]]=$G16,GU16,Distances[[#This Row],[Colonne185]]+1)</f>
        <v>120</v>
      </c>
      <c r="GW16" s="17">
        <f>IF(Distances[[#This Row],[Colonne186]]=$G16,GV16,Distances[[#This Row],[Colonne186]]+1)</f>
        <v>120</v>
      </c>
      <c r="GX16" s="17">
        <f>IF(Distances[[#This Row],[Colonne187]]=$G16,GW16,Distances[[#This Row],[Colonne187]]+1)</f>
        <v>120</v>
      </c>
      <c r="GY16" s="17">
        <f>IF(Distances[[#This Row],[Colonne188]]=$G16,GX16,Distances[[#This Row],[Colonne188]]+1)</f>
        <v>120</v>
      </c>
      <c r="GZ16" s="17">
        <f>IF(Distances[[#This Row],[Colonne189]]=$G16,GY16,Distances[[#This Row],[Colonne189]]+1)</f>
        <v>120</v>
      </c>
      <c r="HA16" s="17">
        <f>IF(Distances[[#This Row],[Colonne190]]=$G16,GZ16,Distances[[#This Row],[Colonne190]]+1)</f>
        <v>120</v>
      </c>
      <c r="HB16" s="17">
        <f>IF(Distances[[#This Row],[Colonne191]]=$G16,HA16,Distances[[#This Row],[Colonne191]]+1)</f>
        <v>120</v>
      </c>
      <c r="HC16" s="17">
        <f>IF(Distances[[#This Row],[Colonne192]]=$G16,HB16,Distances[[#This Row],[Colonne192]]+1)</f>
        <v>120</v>
      </c>
      <c r="HD16" s="17">
        <f>IF(Distances[[#This Row],[Colonne193]]=$G16,HC16,Distances[[#This Row],[Colonne193]]+1)</f>
        <v>120</v>
      </c>
      <c r="HE16" s="17">
        <f>IF(Distances[[#This Row],[Colonne194]]=$G16,HD16,Distances[[#This Row],[Colonne194]]+1)</f>
        <v>120</v>
      </c>
      <c r="HF16" s="17">
        <f>IF(Distances[[#This Row],[Colonne195]]=$G16,HE16,Distances[[#This Row],[Colonne195]]+1)</f>
        <v>120</v>
      </c>
      <c r="HG16" s="17">
        <f>IF(Distances[[#This Row],[Colonne196]]=$G16,HF16,Distances[[#This Row],[Colonne196]]+1)</f>
        <v>120</v>
      </c>
      <c r="HH16" s="17">
        <f>IF(Distances[[#This Row],[Colonne197]]=$G16,HG16,Distances[[#This Row],[Colonne197]]+1)</f>
        <v>120</v>
      </c>
      <c r="HI16" s="17">
        <f>IF(Distances[[#This Row],[Colonne198]]=$G16,HH16,Distances[[#This Row],[Colonne198]]+1)</f>
        <v>120</v>
      </c>
      <c r="HJ16" s="17">
        <f>IF(Distances[[#This Row],[Colonne199]]=$G16,HI16,Distances[[#This Row],[Colonne199]]+1)</f>
        <v>120</v>
      </c>
      <c r="HK16" s="17">
        <f>IF(Distances[[#This Row],[Colonne200]]=$G16,HJ16,Distances[[#This Row],[Colonne200]]+1)</f>
        <v>120</v>
      </c>
      <c r="HL16" s="17">
        <f>IF(Distances[[#This Row],[Colonne201]]=$G16,HK16,Distances[[#This Row],[Colonne201]]+1)</f>
        <v>120</v>
      </c>
      <c r="HM16" s="17">
        <f>IF(Distances[[#This Row],[Colonne202]]=$G16,HL16,Distances[[#This Row],[Colonne202]]+1)</f>
        <v>120</v>
      </c>
      <c r="HN16" s="17">
        <f>IF(Distances[[#This Row],[Colonne203]]=$G16,HM16,Distances[[#This Row],[Colonne203]]+1)</f>
        <v>120</v>
      </c>
      <c r="HO16" s="17">
        <f>IF(Distances[[#This Row],[Colonne204]]=$G16,HN16,Distances[[#This Row],[Colonne204]]+1)</f>
        <v>120</v>
      </c>
      <c r="HP16" s="17">
        <f>IF(Distances[[#This Row],[Colonne205]]=$G16,HO16,Distances[[#This Row],[Colonne205]]+1)</f>
        <v>120</v>
      </c>
      <c r="HQ16" s="17">
        <f>IF(Distances[[#This Row],[Colonne206]]=$G16,HP16,Distances[[#This Row],[Colonne206]]+1)</f>
        <v>120</v>
      </c>
      <c r="HR16" s="17">
        <f>IF(Distances[[#This Row],[Colonne207]]=$G16,HQ16,Distances[[#This Row],[Colonne207]]+1)</f>
        <v>120</v>
      </c>
      <c r="HS16" s="17">
        <f>IF(Distances[[#This Row],[Colonne208]]=$G16,HR16,Distances[[#This Row],[Colonne208]]+1)</f>
        <v>120</v>
      </c>
      <c r="HT16" s="17">
        <f>IF(Distances[[#This Row],[Colonne209]]=$G16,HS16,Distances[[#This Row],[Colonne209]]+1)</f>
        <v>120</v>
      </c>
      <c r="HU16" s="17">
        <f>IF(Distances[[#This Row],[Colonne210]]=$G16,HT16,Distances[[#This Row],[Colonne210]]+1)</f>
        <v>120</v>
      </c>
      <c r="HV16" s="17">
        <f>IF(Distances[[#This Row],[Colonne211]]=$G16,HU16,Distances[[#This Row],[Colonne211]]+1)</f>
        <v>120</v>
      </c>
      <c r="HW16" s="17">
        <f>IF(Distances[[#This Row],[Colonne212]]=$G16,HV16,Distances[[#This Row],[Colonne212]]+1)</f>
        <v>120</v>
      </c>
      <c r="HX16" s="17">
        <f>IF(Distances[[#This Row],[Colonne213]]=$G16,HW16,Distances[[#This Row],[Colonne213]]+1)</f>
        <v>120</v>
      </c>
      <c r="HY16" s="17">
        <f>IF(Distances[[#This Row],[Colonne214]]=$G16,HX16,Distances[[#This Row],[Colonne214]]+1)</f>
        <v>120</v>
      </c>
      <c r="HZ16" s="17">
        <f>IF(Distances[[#This Row],[Colonne215]]=$G16,HY16,Distances[[#This Row],[Colonne215]]+1)</f>
        <v>120</v>
      </c>
      <c r="IA16" s="17">
        <f>IF(Distances[[#This Row],[Colonne216]]=$G16,HZ16,Distances[[#This Row],[Colonne216]]+1)</f>
        <v>120</v>
      </c>
      <c r="IB16" s="17">
        <f>IF(Distances[[#This Row],[Colonne217]]=$G16,IA16,Distances[[#This Row],[Colonne217]]+1)</f>
        <v>120</v>
      </c>
      <c r="IC16" s="17">
        <f>IF(Distances[[#This Row],[Colonne218]]=$G16,IB16,Distances[[#This Row],[Colonne218]]+1)</f>
        <v>120</v>
      </c>
      <c r="ID16" s="17">
        <f>IF(Distances[[#This Row],[Colonne219]]=$G16,IC16,Distances[[#This Row],[Colonne219]]+1)</f>
        <v>120</v>
      </c>
      <c r="IE16" s="17">
        <f>IF(Distances[[#This Row],[Colonne220]]=$G16,ID16,Distances[[#This Row],[Colonne220]]+1)</f>
        <v>120</v>
      </c>
      <c r="IF16" s="17">
        <f>IF(Distances[[#This Row],[Colonne221]]=$G16,IE16,Distances[[#This Row],[Colonne221]]+1)</f>
        <v>120</v>
      </c>
      <c r="IG16" s="17">
        <f>IF(Distances[[#This Row],[Colonne222]]=$G16,IF16,Distances[[#This Row],[Colonne222]]+1)</f>
        <v>120</v>
      </c>
      <c r="IH16" s="17">
        <f>IF(Distances[[#This Row],[Colonne223]]=$G16,IG16,Distances[[#This Row],[Colonne223]]+1)</f>
        <v>120</v>
      </c>
      <c r="II16" s="17">
        <f>IF(Distances[[#This Row],[Colonne224]]=$G16,IH16,Distances[[#This Row],[Colonne224]]+1)</f>
        <v>120</v>
      </c>
      <c r="IJ16" s="17">
        <f>IF(Distances[[#This Row],[Colonne225]]=$G16,II16,Distances[[#This Row],[Colonne225]]+1)</f>
        <v>120</v>
      </c>
      <c r="IK16" s="17">
        <f>IF(Distances[[#This Row],[Colonne226]]=$G16,IJ16,Distances[[#This Row],[Colonne226]]+1)</f>
        <v>120</v>
      </c>
      <c r="IL16" s="17">
        <f>IF(Distances[[#This Row],[Colonne227]]=$G16,IK16,Distances[[#This Row],[Colonne227]]+1)</f>
        <v>120</v>
      </c>
      <c r="IM16" s="17">
        <f>IF(Distances[[#This Row],[Colonne228]]=$G16,IL16,Distances[[#This Row],[Colonne228]]+1)</f>
        <v>120</v>
      </c>
      <c r="IN16" s="17">
        <f>IF(Distances[[#This Row],[Colonne229]]=$G16,IM16,Distances[[#This Row],[Colonne229]]+1)</f>
        <v>120</v>
      </c>
      <c r="IO16" s="17">
        <f>IF(Distances[[#This Row],[Colonne230]]=$G16,IN16,Distances[[#This Row],[Colonne230]]+1)</f>
        <v>120</v>
      </c>
      <c r="IP16" s="17">
        <f>IF(Distances[[#This Row],[Colonne231]]=$G16,IO16,Distances[[#This Row],[Colonne231]]+1)</f>
        <v>120</v>
      </c>
      <c r="IQ16" s="17">
        <f>IF(Distances[[#This Row],[Colonne232]]=$G16,IP16,Distances[[#This Row],[Colonne232]]+1)</f>
        <v>120</v>
      </c>
      <c r="IR16" s="17">
        <f>IF(Distances[[#This Row],[Colonne233]]=$G16,IQ16,Distances[[#This Row],[Colonne233]]+1)</f>
        <v>120</v>
      </c>
      <c r="IS16" s="17">
        <f>IF(Distances[[#This Row],[Colonne234]]=$G16,IR16,Distances[[#This Row],[Colonne234]]+1)</f>
        <v>120</v>
      </c>
      <c r="IT16" s="17">
        <f>IF(Distances[[#This Row],[Colonne235]]=$G16,IS16,Distances[[#This Row],[Colonne235]]+1)</f>
        <v>120</v>
      </c>
      <c r="IU16" s="17">
        <f>IF(Distances[[#This Row],[Colonne236]]=$G16,IT16,Distances[[#This Row],[Colonne236]]+1)</f>
        <v>120</v>
      </c>
      <c r="IV16" s="17">
        <f>IF(Distances[[#This Row],[Colonne237]]=$G16,IU16,Distances[[#This Row],[Colonne237]]+1)</f>
        <v>120</v>
      </c>
      <c r="IW16" s="17">
        <f>IF(Distances[[#This Row],[Colonne238]]=$G16,IV16,Distances[[#This Row],[Colonne238]]+1)</f>
        <v>120</v>
      </c>
      <c r="IX16" s="17">
        <f>IF(Distances[[#This Row],[Colonne239]]=$G16,IW16,Distances[[#This Row],[Colonne239]]+1)</f>
        <v>120</v>
      </c>
      <c r="IY16" s="17">
        <f>IF(Distances[[#This Row],[Colonne240]]=$G16,IX16,Distances[[#This Row],[Colonne240]]+1)</f>
        <v>120</v>
      </c>
      <c r="IZ16" s="17">
        <f>IF(Distances[[#This Row],[Colonne241]]=$G16,IY16,Distances[[#This Row],[Colonne241]]+1)</f>
        <v>120</v>
      </c>
      <c r="JA16" s="17">
        <f>IF(Distances[[#This Row],[Colonne242]]=$G16,IZ16,Distances[[#This Row],[Colonne242]]+1)</f>
        <v>120</v>
      </c>
      <c r="JB16" s="17">
        <f>IF(Distances[[#This Row],[Colonne243]]=$G16,JA16,Distances[[#This Row],[Colonne243]]+1)</f>
        <v>120</v>
      </c>
      <c r="JC16" s="17">
        <f>IF(Distances[[#This Row],[Colonne244]]=$G16,JB16,Distances[[#This Row],[Colonne244]]+1)</f>
        <v>120</v>
      </c>
      <c r="JD16" s="17">
        <f>IF(Distances[[#This Row],[Colonne245]]=$G16,JC16,Distances[[#This Row],[Colonne245]]+1)</f>
        <v>120</v>
      </c>
      <c r="JE16" s="17">
        <f>IF(Distances[[#This Row],[Colonne246]]=$G16,JD16,Distances[[#This Row],[Colonne246]]+1)</f>
        <v>120</v>
      </c>
      <c r="JF16" s="17">
        <f>IF(Distances[[#This Row],[Colonne247]]=$G16,JE16,Distances[[#This Row],[Colonne247]]+1)</f>
        <v>120</v>
      </c>
      <c r="JG16" s="17">
        <f>IF(Distances[[#This Row],[Colonne248]]=$G16,JF16,Distances[[#This Row],[Colonne248]]+1)</f>
        <v>120</v>
      </c>
      <c r="JH16" s="17">
        <f>IF(Distances[[#This Row],[Colonne249]]=$G16,JG16,Distances[[#This Row],[Colonne249]]+1)</f>
        <v>120</v>
      </c>
      <c r="JI16" s="17">
        <f>IF(Distances[[#This Row],[Colonne250]]=$G16,JH16,Distances[[#This Row],[Colonne250]]+1)</f>
        <v>120</v>
      </c>
      <c r="JJ16" s="17">
        <f>IF(Distances[[#This Row],[Colonne251]]=$G16,JI16,Distances[[#This Row],[Colonne251]]+1)</f>
        <v>120</v>
      </c>
      <c r="JK16" s="17">
        <f>IF(Distances[[#This Row],[Colonne252]]=$G16,JJ16,Distances[[#This Row],[Colonne252]]+1)</f>
        <v>120</v>
      </c>
      <c r="JL16" s="17">
        <f>IF(Distances[[#This Row],[Colonne253]]=$G16,JK16,Distances[[#This Row],[Colonne253]]+1)</f>
        <v>120</v>
      </c>
      <c r="JM16" s="17">
        <f>IF(Distances[[#This Row],[Colonne254]]=$G16,JL16,Distances[[#This Row],[Colonne254]]+1)</f>
        <v>120</v>
      </c>
      <c r="JN16" s="17">
        <f>IF(Distances[[#This Row],[Colonne255]]=$G16,JM16,Distances[[#This Row],[Colonne255]]+1)</f>
        <v>120</v>
      </c>
      <c r="JO16" s="17">
        <f>IF(Distances[[#This Row],[Colonne256]]=$G16,JN16,Distances[[#This Row],[Colonne256]]+1)</f>
        <v>120</v>
      </c>
      <c r="JP16" s="17">
        <f>IF(Distances[[#This Row],[Colonne257]]=$G16,JO16,Distances[[#This Row],[Colonne257]]+1)</f>
        <v>120</v>
      </c>
      <c r="JQ16" s="17">
        <f>IF(Distances[[#This Row],[Colonne258]]=$G16,JP16,Distances[[#This Row],[Colonne258]]+1)</f>
        <v>120</v>
      </c>
      <c r="JR16" s="17">
        <f>IF(Distances[[#This Row],[Colonne259]]=$G16,JQ16,Distances[[#This Row],[Colonne259]]+1)</f>
        <v>120</v>
      </c>
      <c r="JS16" s="17">
        <f>IF(Distances[[#This Row],[Colonne260]]=$G16,JR16,Distances[[#This Row],[Colonne260]]+1)</f>
        <v>120</v>
      </c>
      <c r="JT16" s="17">
        <f>IF(Distances[[#This Row],[Colonne261]]=$G16,JS16,Distances[[#This Row],[Colonne261]]+1)</f>
        <v>120</v>
      </c>
      <c r="JU16" s="17">
        <f>IF(Distances[[#This Row],[Colonne262]]=$G16,JT16,Distances[[#This Row],[Colonne262]]+1)</f>
        <v>120</v>
      </c>
      <c r="JV16" s="17">
        <f>IF(Distances[[#This Row],[Colonne263]]=$G16,JU16,Distances[[#This Row],[Colonne263]]+1)</f>
        <v>120</v>
      </c>
      <c r="JW16" s="17">
        <f>IF(Distances[[#This Row],[Colonne264]]=$G16,JV16,Distances[[#This Row],[Colonne264]]+1)</f>
        <v>120</v>
      </c>
      <c r="JX16" s="17">
        <f>IF(Distances[[#This Row],[Colonne265]]=$G16,JW16,Distances[[#This Row],[Colonne265]]+1)</f>
        <v>120</v>
      </c>
      <c r="JY16" s="17">
        <f>IF(Distances[[#This Row],[Colonne266]]=$G16,JX16,Distances[[#This Row],[Colonne266]]+1)</f>
        <v>120</v>
      </c>
      <c r="JZ16" s="17">
        <f>IF(Distances[[#This Row],[Colonne267]]=$G16,JY16,Distances[[#This Row],[Colonne267]]+1)</f>
        <v>120</v>
      </c>
      <c r="KA16" s="17">
        <f>IF(Distances[[#This Row],[Colonne268]]=$G16,JZ16,Distances[[#This Row],[Colonne268]]+1)</f>
        <v>120</v>
      </c>
      <c r="KB16" s="17">
        <f>IF(Distances[[#This Row],[Colonne269]]=$G16,KA16,Distances[[#This Row],[Colonne269]]+1)</f>
        <v>120</v>
      </c>
      <c r="KC16" s="17">
        <f>IF(Distances[[#This Row],[Colonne270]]=$G16,KB16,Distances[[#This Row],[Colonne270]]+1)</f>
        <v>120</v>
      </c>
      <c r="KD16" s="17">
        <f>IF(Distances[[#This Row],[Colonne271]]=$G16,KC16,Distances[[#This Row],[Colonne271]]+1)</f>
        <v>120</v>
      </c>
      <c r="KE16" s="17">
        <f>IF(Distances[[#This Row],[Colonne272]]=$G16,KD16,Distances[[#This Row],[Colonne272]]+1)</f>
        <v>120</v>
      </c>
      <c r="KF16" s="17">
        <f>IF(Distances[[#This Row],[Colonne273]]=$G16,KE16,Distances[[#This Row],[Colonne273]]+1)</f>
        <v>120</v>
      </c>
      <c r="KG16" s="17">
        <f>IF(Distances[[#This Row],[Colonne274]]=$G16,KF16,Distances[[#This Row],[Colonne274]]+1)</f>
        <v>120</v>
      </c>
      <c r="KH16" s="17">
        <f>IF(Distances[[#This Row],[Colonne275]]=$G16,KG16,Distances[[#This Row],[Colonne275]]+1)</f>
        <v>120</v>
      </c>
      <c r="KI16" s="17">
        <f>IF(Distances[[#This Row],[Colonne276]]=$G16,KH16,Distances[[#This Row],[Colonne276]]+1)</f>
        <v>120</v>
      </c>
      <c r="KJ16" s="17">
        <f>IF(Distances[[#This Row],[Colonne277]]=$G16,KI16,Distances[[#This Row],[Colonne277]]+1)</f>
        <v>120</v>
      </c>
      <c r="KK16" s="17">
        <f>IF(Distances[[#This Row],[Colonne278]]=$G16,KJ16,Distances[[#This Row],[Colonne278]]+1)</f>
        <v>120</v>
      </c>
      <c r="KL16" s="17">
        <f>IF(Distances[[#This Row],[Colonne279]]=$G16,KK16,Distances[[#This Row],[Colonne279]]+1)</f>
        <v>120</v>
      </c>
      <c r="KM16" s="17">
        <f>IF(Distances[[#This Row],[Colonne280]]=$G16,KL16,Distances[[#This Row],[Colonne280]]+1)</f>
        <v>120</v>
      </c>
      <c r="KN16" s="17">
        <f>IF(Distances[[#This Row],[Colonne281]]=$G16,KM16,Distances[[#This Row],[Colonne281]]+1)</f>
        <v>120</v>
      </c>
      <c r="KO16" s="17">
        <f>IF(Distances[[#This Row],[Colonne282]]=$G16,KN16,Distances[[#This Row],[Colonne282]]+1)</f>
        <v>120</v>
      </c>
      <c r="KP16" s="17">
        <f>IF(Distances[[#This Row],[Colonne283]]=$G16,KO16,Distances[[#This Row],[Colonne283]]+1)</f>
        <v>120</v>
      </c>
      <c r="KQ16" s="17">
        <f>IF(Distances[[#This Row],[Colonne284]]=$G16,KP16,Distances[[#This Row],[Colonne284]]+1)</f>
        <v>120</v>
      </c>
      <c r="KR16" s="17">
        <f>IF(Distances[[#This Row],[Colonne285]]=$G16,KQ16,Distances[[#This Row],[Colonne285]]+1)</f>
        <v>120</v>
      </c>
      <c r="KS16" s="17">
        <f>IF(Distances[[#This Row],[Colonne286]]=$G16,KR16,Distances[[#This Row],[Colonne286]]+1)</f>
        <v>120</v>
      </c>
      <c r="KT16" s="17">
        <f>IF(Distances[[#This Row],[Colonne287]]=$G16,KS16,Distances[[#This Row],[Colonne287]]+1)</f>
        <v>120</v>
      </c>
      <c r="KU16" s="17">
        <f>IF(Distances[[#This Row],[Colonne288]]=$G16,KT16,Distances[[#This Row],[Colonne288]]+1)</f>
        <v>120</v>
      </c>
      <c r="KV16" s="17">
        <f>IF(Distances[[#This Row],[Colonne289]]=$G16,KU16,Distances[[#This Row],[Colonne289]]+1)</f>
        <v>120</v>
      </c>
      <c r="KW16" s="17">
        <f>IF(Distances[[#This Row],[Colonne290]]=$G16,KV16,Distances[[#This Row],[Colonne290]]+1)</f>
        <v>120</v>
      </c>
      <c r="KX16" s="17">
        <f>IF(Distances[[#This Row],[Colonne291]]=$G16,KW16,Distances[[#This Row],[Colonne291]]+1)</f>
        <v>120</v>
      </c>
      <c r="KY16" s="17">
        <f>IF(Distances[[#This Row],[Colonne292]]=$G16,KX16,Distances[[#This Row],[Colonne292]]+1)</f>
        <v>120</v>
      </c>
      <c r="KZ16" s="17">
        <f>IF(Distances[[#This Row],[Colonne293]]=$G16,KY16,Distances[[#This Row],[Colonne293]]+1)</f>
        <v>120</v>
      </c>
      <c r="LA16" s="17">
        <f>IF(Distances[[#This Row],[Colonne294]]=$G16,KZ16,Distances[[#This Row],[Colonne294]]+1)</f>
        <v>120</v>
      </c>
      <c r="LB16" s="17">
        <f>IF(Distances[[#This Row],[Colonne295]]=$G16,LA16,Distances[[#This Row],[Colonne295]]+1)</f>
        <v>120</v>
      </c>
      <c r="LC16" s="17">
        <f>IF(Distances[[#This Row],[Colonne296]]=$G16,LB16,Distances[[#This Row],[Colonne296]]+1)</f>
        <v>120</v>
      </c>
      <c r="LD16" s="17">
        <f>IF(Distances[[#This Row],[Colonne297]]=$G16,LC16,Distances[[#This Row],[Colonne297]]+1)</f>
        <v>120</v>
      </c>
      <c r="LE16" s="17">
        <f>IF(Distances[[#This Row],[Colonne298]]=$G16,LD16,Distances[[#This Row],[Colonne298]]+1)</f>
        <v>120</v>
      </c>
      <c r="LF16" s="17">
        <f>IF(Distances[[#This Row],[Colonne299]]=$G16,LE16,Distances[[#This Row],[Colonne299]]+1)</f>
        <v>120</v>
      </c>
      <c r="LG16" s="17">
        <f>IF(Distances[[#This Row],[Colonne300]]=$G16,LF16,Distances[[#This Row],[Colonne300]]+1)</f>
        <v>120</v>
      </c>
      <c r="LH16" s="17">
        <f>IF(Distances[[#This Row],[Colonne301]]=$G16,LG16,Distances[[#This Row],[Colonne301]]+1)</f>
        <v>120</v>
      </c>
      <c r="LI16" s="17">
        <f>IF(Distances[[#This Row],[Colonne302]]=$G16,LH16,Distances[[#This Row],[Colonne302]]+1)</f>
        <v>120</v>
      </c>
      <c r="LJ16" s="17">
        <f>IF(Distances[[#This Row],[Colonne303]]=$G16,LI16,Distances[[#This Row],[Colonne303]]+1)</f>
        <v>120</v>
      </c>
      <c r="LK16" s="51"/>
      <c r="LL16" s="17">
        <f t="shared" ref="LL16:NW16" si="30">IF(LK16=$H16,LK16,LK16+1)</f>
        <v>1</v>
      </c>
      <c r="LM16" s="17">
        <f t="shared" si="30"/>
        <v>2</v>
      </c>
      <c r="LN16" s="17">
        <f t="shared" si="30"/>
        <v>3</v>
      </c>
      <c r="LO16" s="17">
        <f t="shared" si="30"/>
        <v>4</v>
      </c>
      <c r="LP16" s="17">
        <f t="shared" si="30"/>
        <v>5</v>
      </c>
      <c r="LQ16" s="17">
        <f t="shared" si="30"/>
        <v>6</v>
      </c>
      <c r="LR16" s="17">
        <f t="shared" si="30"/>
        <v>7</v>
      </c>
      <c r="LS16" s="17">
        <f t="shared" si="30"/>
        <v>8</v>
      </c>
      <c r="LT16" s="17">
        <f t="shared" si="30"/>
        <v>9</v>
      </c>
      <c r="LU16" s="17">
        <f t="shared" si="30"/>
        <v>10</v>
      </c>
      <c r="LV16" s="17">
        <f t="shared" si="30"/>
        <v>11</v>
      </c>
      <c r="LW16" s="17">
        <f t="shared" si="30"/>
        <v>12</v>
      </c>
      <c r="LX16" s="17">
        <f t="shared" si="30"/>
        <v>13</v>
      </c>
      <c r="LY16" s="17">
        <f t="shared" si="30"/>
        <v>14</v>
      </c>
      <c r="LZ16" s="17">
        <f t="shared" si="30"/>
        <v>15</v>
      </c>
      <c r="MA16" s="17">
        <f t="shared" si="30"/>
        <v>16</v>
      </c>
      <c r="MB16" s="17">
        <f t="shared" si="30"/>
        <v>17</v>
      </c>
      <c r="MC16" s="17">
        <f t="shared" si="30"/>
        <v>18</v>
      </c>
      <c r="MD16" s="17">
        <f t="shared" si="30"/>
        <v>19</v>
      </c>
      <c r="ME16" s="17">
        <f t="shared" si="30"/>
        <v>20</v>
      </c>
      <c r="MF16" s="17">
        <f t="shared" si="30"/>
        <v>21</v>
      </c>
      <c r="MG16" s="17">
        <f t="shared" si="30"/>
        <v>22</v>
      </c>
      <c r="MH16" s="17">
        <f t="shared" si="30"/>
        <v>23</v>
      </c>
      <c r="MI16" s="17">
        <f t="shared" si="30"/>
        <v>24</v>
      </c>
      <c r="MJ16" s="17">
        <f t="shared" si="30"/>
        <v>25</v>
      </c>
      <c r="MK16" s="17">
        <f t="shared" si="30"/>
        <v>26</v>
      </c>
      <c r="ML16" s="17">
        <f t="shared" si="30"/>
        <v>27</v>
      </c>
      <c r="MM16" s="17">
        <f t="shared" si="30"/>
        <v>28</v>
      </c>
      <c r="MN16" s="17">
        <f t="shared" si="30"/>
        <v>29</v>
      </c>
      <c r="MO16" s="17">
        <f t="shared" si="30"/>
        <v>30</v>
      </c>
      <c r="MP16" s="17">
        <f t="shared" si="30"/>
        <v>30</v>
      </c>
      <c r="MQ16" s="17">
        <f t="shared" si="30"/>
        <v>30</v>
      </c>
      <c r="MR16" s="17">
        <f t="shared" si="30"/>
        <v>30</v>
      </c>
      <c r="MS16" s="17">
        <f t="shared" si="30"/>
        <v>30</v>
      </c>
      <c r="MT16" s="17">
        <f t="shared" si="30"/>
        <v>30</v>
      </c>
      <c r="MU16" s="17">
        <f t="shared" si="30"/>
        <v>30</v>
      </c>
      <c r="MV16" s="17">
        <f t="shared" si="30"/>
        <v>30</v>
      </c>
      <c r="MW16" s="17">
        <f t="shared" si="30"/>
        <v>30</v>
      </c>
      <c r="MX16" s="17">
        <f t="shared" si="30"/>
        <v>30</v>
      </c>
      <c r="MY16" s="17">
        <f t="shared" si="30"/>
        <v>30</v>
      </c>
      <c r="MZ16" s="17">
        <f t="shared" si="30"/>
        <v>30</v>
      </c>
      <c r="NA16" s="17">
        <f t="shared" si="30"/>
        <v>30</v>
      </c>
      <c r="NB16" s="17">
        <f t="shared" si="30"/>
        <v>30</v>
      </c>
      <c r="NC16" s="17">
        <f t="shared" si="30"/>
        <v>30</v>
      </c>
      <c r="ND16" s="17">
        <f t="shared" si="30"/>
        <v>30</v>
      </c>
      <c r="NE16" s="17">
        <f t="shared" si="30"/>
        <v>30</v>
      </c>
      <c r="NF16" s="17">
        <f t="shared" si="30"/>
        <v>30</v>
      </c>
      <c r="NG16" s="17">
        <f t="shared" si="30"/>
        <v>30</v>
      </c>
      <c r="NH16" s="17">
        <f t="shared" si="30"/>
        <v>30</v>
      </c>
      <c r="NI16" s="17">
        <f t="shared" si="30"/>
        <v>30</v>
      </c>
      <c r="NJ16" s="17">
        <f t="shared" si="30"/>
        <v>30</v>
      </c>
      <c r="NK16" s="17">
        <f t="shared" si="30"/>
        <v>30</v>
      </c>
      <c r="NL16" s="17">
        <f t="shared" si="30"/>
        <v>30</v>
      </c>
      <c r="NM16" s="17">
        <f t="shared" si="30"/>
        <v>30</v>
      </c>
      <c r="NN16" s="17">
        <f t="shared" si="30"/>
        <v>30</v>
      </c>
      <c r="NO16" s="17">
        <f t="shared" si="30"/>
        <v>30</v>
      </c>
      <c r="NP16" s="17">
        <f t="shared" si="30"/>
        <v>30</v>
      </c>
      <c r="NQ16" s="17">
        <f t="shared" si="30"/>
        <v>30</v>
      </c>
      <c r="NR16" s="17">
        <f t="shared" si="30"/>
        <v>30</v>
      </c>
      <c r="NS16" s="17">
        <f t="shared" si="30"/>
        <v>30</v>
      </c>
      <c r="NT16" s="17">
        <f t="shared" si="30"/>
        <v>30</v>
      </c>
      <c r="NU16" s="17">
        <f t="shared" si="30"/>
        <v>30</v>
      </c>
      <c r="NV16" s="17">
        <f t="shared" si="30"/>
        <v>30</v>
      </c>
      <c r="NW16" s="17">
        <f t="shared" si="30"/>
        <v>30</v>
      </c>
      <c r="NX16" s="17">
        <f t="shared" ref="NX16:PG16" si="31">IF(NW16=$H16,NW16,NW16+1)</f>
        <v>30</v>
      </c>
      <c r="NY16" s="17">
        <f t="shared" si="31"/>
        <v>30</v>
      </c>
      <c r="NZ16" s="17">
        <f t="shared" si="31"/>
        <v>30</v>
      </c>
      <c r="OA16" s="17">
        <f t="shared" si="31"/>
        <v>30</v>
      </c>
      <c r="OB16" s="17">
        <f t="shared" si="31"/>
        <v>30</v>
      </c>
      <c r="OC16" s="17">
        <f t="shared" si="31"/>
        <v>30</v>
      </c>
      <c r="OD16" s="17">
        <f t="shared" si="31"/>
        <v>30</v>
      </c>
      <c r="OE16" s="17">
        <f t="shared" si="31"/>
        <v>30</v>
      </c>
      <c r="OF16" s="17">
        <f t="shared" si="31"/>
        <v>30</v>
      </c>
      <c r="OG16" s="17">
        <f t="shared" si="31"/>
        <v>30</v>
      </c>
      <c r="OH16" s="17">
        <f t="shared" si="31"/>
        <v>30</v>
      </c>
      <c r="OI16" s="17">
        <f t="shared" si="31"/>
        <v>30</v>
      </c>
      <c r="OJ16" s="17">
        <f t="shared" si="31"/>
        <v>30</v>
      </c>
      <c r="OK16" s="17">
        <f t="shared" si="31"/>
        <v>30</v>
      </c>
      <c r="OL16" s="17">
        <f t="shared" si="31"/>
        <v>30</v>
      </c>
      <c r="OM16" s="17">
        <f t="shared" si="31"/>
        <v>30</v>
      </c>
      <c r="ON16" s="17">
        <f t="shared" si="31"/>
        <v>30</v>
      </c>
      <c r="OO16" s="17">
        <f t="shared" si="31"/>
        <v>30</v>
      </c>
      <c r="OP16" s="17">
        <f t="shared" si="31"/>
        <v>30</v>
      </c>
      <c r="OQ16" s="17">
        <f t="shared" si="31"/>
        <v>30</v>
      </c>
      <c r="OR16" s="17">
        <f t="shared" si="31"/>
        <v>30</v>
      </c>
      <c r="OS16" s="17">
        <f t="shared" si="31"/>
        <v>30</v>
      </c>
      <c r="OT16" s="17">
        <f t="shared" si="31"/>
        <v>30</v>
      </c>
      <c r="OU16" s="17">
        <f t="shared" si="31"/>
        <v>30</v>
      </c>
      <c r="OV16" s="17">
        <f t="shared" si="31"/>
        <v>30</v>
      </c>
      <c r="OW16" s="17">
        <f t="shared" si="31"/>
        <v>30</v>
      </c>
      <c r="OX16" s="17">
        <f t="shared" si="31"/>
        <v>30</v>
      </c>
      <c r="OY16" s="17">
        <f t="shared" si="31"/>
        <v>30</v>
      </c>
      <c r="OZ16" s="17">
        <f t="shared" si="31"/>
        <v>30</v>
      </c>
      <c r="PA16" s="17">
        <f t="shared" si="31"/>
        <v>30</v>
      </c>
      <c r="PB16" s="17">
        <f t="shared" si="31"/>
        <v>30</v>
      </c>
      <c r="PC16" s="17">
        <f t="shared" si="31"/>
        <v>30</v>
      </c>
      <c r="PD16" s="17">
        <f t="shared" si="31"/>
        <v>30</v>
      </c>
      <c r="PE16" s="17">
        <f t="shared" si="31"/>
        <v>30</v>
      </c>
      <c r="PF16" s="17">
        <f t="shared" si="31"/>
        <v>30</v>
      </c>
      <c r="PG16" s="17">
        <f t="shared" si="31"/>
        <v>30</v>
      </c>
    </row>
    <row r="17" spans="1:423" x14ac:dyDescent="0.25">
      <c r="A17" s="8" t="s">
        <v>5506</v>
      </c>
      <c r="B17" s="9" t="s">
        <v>8501</v>
      </c>
      <c r="C17" s="9" t="str">
        <f t="shared" si="0"/>
        <v>CN3 LBIF</v>
      </c>
      <c r="D17" s="1" t="str">
        <f t="shared" si="1"/>
        <v>Cadre N3 LBIF</v>
      </c>
      <c r="E17" s="274" t="s">
        <v>18</v>
      </c>
      <c r="F17" s="9" t="s">
        <v>5452</v>
      </c>
      <c r="G17" s="9">
        <v>120</v>
      </c>
      <c r="H17" s="9">
        <v>25</v>
      </c>
      <c r="I17" s="127">
        <v>2.8</v>
      </c>
      <c r="J17" s="30"/>
      <c r="K17" s="281" t="s">
        <v>5540</v>
      </c>
      <c r="L17" s="8"/>
      <c r="M17" s="9"/>
      <c r="N17" s="10"/>
      <c r="O17" s="269"/>
      <c r="P17" s="331"/>
      <c r="Q17" s="335"/>
      <c r="R17" s="128"/>
      <c r="S17" s="9"/>
      <c r="T17" s="10"/>
      <c r="U17" t="s">
        <v>5523</v>
      </c>
      <c r="V17" s="17">
        <v>0</v>
      </c>
      <c r="W17" s="17">
        <f>IF(Distances[[#This Row],[Colonne4]]=$G17,V17,Distances[[#This Row],[Colonne4]]+1)</f>
        <v>1</v>
      </c>
      <c r="X17" s="17">
        <f>IF(Distances[[#This Row],[Colonne5]]=$G17,W17,Distances[[#This Row],[Colonne5]]+1)</f>
        <v>2</v>
      </c>
      <c r="Y17" s="17">
        <f>IF(Distances[[#This Row],[Colonne6]]=$G17,X17,Distances[[#This Row],[Colonne6]]+1)</f>
        <v>3</v>
      </c>
      <c r="Z17" s="17">
        <f>IF(Distances[[#This Row],[Colonne7]]=$G17,Y17,Distances[[#This Row],[Colonne7]]+1)</f>
        <v>4</v>
      </c>
      <c r="AA17" s="17">
        <f>IF(Distances[[#This Row],[Colonne8]]=$G17,Z17,Distances[[#This Row],[Colonne8]]+1)</f>
        <v>5</v>
      </c>
      <c r="AB17" s="17">
        <f>IF(Distances[[#This Row],[Colonne9]]=$G17,AA17,Distances[[#This Row],[Colonne9]]+1)</f>
        <v>6</v>
      </c>
      <c r="AC17" s="17">
        <f>IF(Distances[[#This Row],[Colonne10]]=$G17,AB17,Distances[[#This Row],[Colonne10]]+1)</f>
        <v>7</v>
      </c>
      <c r="AD17" s="17">
        <f>IF(Distances[[#This Row],[Colonne11]]=$G17,AC17,Distances[[#This Row],[Colonne11]]+1)</f>
        <v>8</v>
      </c>
      <c r="AE17" s="17">
        <f>IF(Distances[[#This Row],[Colonne12]]=$G17,AD17,Distances[[#This Row],[Colonne12]]+1)</f>
        <v>9</v>
      </c>
      <c r="AF17" s="17">
        <f>IF(Distances[[#This Row],[Colonne13]]=$G17,AE17,Distances[[#This Row],[Colonne13]]+1)</f>
        <v>10</v>
      </c>
      <c r="AG17" s="17">
        <f>IF(Distances[[#This Row],[Colonne14]]=$G17,AF17,Distances[[#This Row],[Colonne14]]+1)</f>
        <v>11</v>
      </c>
      <c r="AH17" s="17">
        <f>IF(Distances[[#This Row],[Colonne15]]=$G17,AG17,Distances[[#This Row],[Colonne15]]+1)</f>
        <v>12</v>
      </c>
      <c r="AI17" s="17">
        <f>IF(Distances[[#This Row],[Colonne16]]=$G17,AH17,Distances[[#This Row],[Colonne16]]+1)</f>
        <v>13</v>
      </c>
      <c r="AJ17" s="17">
        <f>IF(Distances[[#This Row],[Colonne17]]=$G17,AI17,Distances[[#This Row],[Colonne17]]+1)</f>
        <v>14</v>
      </c>
      <c r="AK17" s="17">
        <f>IF(Distances[[#This Row],[Colonne18]]=$G17,AJ17,Distances[[#This Row],[Colonne18]]+1)</f>
        <v>15</v>
      </c>
      <c r="AL17" s="17">
        <f>IF(Distances[[#This Row],[Colonne19]]=$G17,AK17,Distances[[#This Row],[Colonne19]]+1)</f>
        <v>16</v>
      </c>
      <c r="AM17" s="17">
        <f>IF(Distances[[#This Row],[Colonne20]]=$G17,AL17,Distances[[#This Row],[Colonne20]]+1)</f>
        <v>17</v>
      </c>
      <c r="AN17" s="17">
        <f>IF(Distances[[#This Row],[Colonne21]]=$G17,AM17,Distances[[#This Row],[Colonne21]]+1)</f>
        <v>18</v>
      </c>
      <c r="AO17" s="17">
        <f>IF(Distances[[#This Row],[Colonne22]]=$G17,AN17,Distances[[#This Row],[Colonne22]]+1)</f>
        <v>19</v>
      </c>
      <c r="AP17" s="17">
        <f>IF(Distances[[#This Row],[Colonne23]]=$G17,AO17,Distances[[#This Row],[Colonne23]]+1)</f>
        <v>20</v>
      </c>
      <c r="AQ17" s="17">
        <f>IF(Distances[[#This Row],[Colonne24]]=$G17,AP17,Distances[[#This Row],[Colonne24]]+1)</f>
        <v>21</v>
      </c>
      <c r="AR17" s="17">
        <f>IF(Distances[[#This Row],[Colonne25]]=$G17,AQ17,Distances[[#This Row],[Colonne25]]+1)</f>
        <v>22</v>
      </c>
      <c r="AS17" s="17">
        <f>IF(Distances[[#This Row],[Colonne26]]=$G17,AR17,Distances[[#This Row],[Colonne26]]+1)</f>
        <v>23</v>
      </c>
      <c r="AT17" s="17">
        <f>IF(Distances[[#This Row],[Colonne27]]=$G17,AS17,Distances[[#This Row],[Colonne27]]+1)</f>
        <v>24</v>
      </c>
      <c r="AU17" s="17">
        <f>IF(Distances[[#This Row],[Colonne28]]=$G17,AT17,Distances[[#This Row],[Colonne28]]+1)</f>
        <v>25</v>
      </c>
      <c r="AV17" s="17">
        <f>IF(Distances[[#This Row],[Colonne29]]=$G17,AU17,Distances[[#This Row],[Colonne29]]+1)</f>
        <v>26</v>
      </c>
      <c r="AW17" s="17">
        <f>IF(Distances[[#This Row],[Colonne30]]=$G17,AV17,Distances[[#This Row],[Colonne30]]+1)</f>
        <v>27</v>
      </c>
      <c r="AX17" s="17">
        <f>IF(Distances[[#This Row],[Colonne31]]=$G17,AW17,Distances[[#This Row],[Colonne31]]+1)</f>
        <v>28</v>
      </c>
      <c r="AY17" s="17">
        <f>IF(Distances[[#This Row],[Colonne32]]=$G17,AX17,Distances[[#This Row],[Colonne32]]+1)</f>
        <v>29</v>
      </c>
      <c r="AZ17" s="17">
        <f>IF(Distances[[#This Row],[Colonne33]]=$G17,AY17,Distances[[#This Row],[Colonne33]]+1)</f>
        <v>30</v>
      </c>
      <c r="BA17" s="17">
        <f>IF(Distances[[#This Row],[Colonne34]]=$G17,AZ17,Distances[[#This Row],[Colonne34]]+1)</f>
        <v>31</v>
      </c>
      <c r="BB17" s="17">
        <f>IF(Distances[[#This Row],[Colonne35]]=$G17,BA17,Distances[[#This Row],[Colonne35]]+1)</f>
        <v>32</v>
      </c>
      <c r="BC17" s="17">
        <f>IF(Distances[[#This Row],[Colonne36]]=$G17,BB17,Distances[[#This Row],[Colonne36]]+1)</f>
        <v>33</v>
      </c>
      <c r="BD17" s="17">
        <f>IF(Distances[[#This Row],[Colonne37]]=$G17,BC17,Distances[[#This Row],[Colonne37]]+1)</f>
        <v>34</v>
      </c>
      <c r="BE17" s="17">
        <f>IF(Distances[[#This Row],[Colonne38]]=$G17,BD17,Distances[[#This Row],[Colonne38]]+1)</f>
        <v>35</v>
      </c>
      <c r="BF17" s="17">
        <f>IF(Distances[[#This Row],[Colonne39]]=$G17,BE17,Distances[[#This Row],[Colonne39]]+1)</f>
        <v>36</v>
      </c>
      <c r="BG17" s="17">
        <f>IF(Distances[[#This Row],[Colonne40]]=$G17,BF17,Distances[[#This Row],[Colonne40]]+1)</f>
        <v>37</v>
      </c>
      <c r="BH17" s="17">
        <f>IF(Distances[[#This Row],[Colonne41]]=$G17,BG17,Distances[[#This Row],[Colonne41]]+1)</f>
        <v>38</v>
      </c>
      <c r="BI17" s="17">
        <f>IF(Distances[[#This Row],[Colonne42]]=$G17,BH17,Distances[[#This Row],[Colonne42]]+1)</f>
        <v>39</v>
      </c>
      <c r="BJ17" s="17">
        <f>IF(Distances[[#This Row],[Colonne43]]=$G17,BI17,Distances[[#This Row],[Colonne43]]+1)</f>
        <v>40</v>
      </c>
      <c r="BK17" s="17">
        <f>IF(Distances[[#This Row],[Colonne44]]=$G17,BJ17,Distances[[#This Row],[Colonne44]]+1)</f>
        <v>41</v>
      </c>
      <c r="BL17" s="17">
        <f>IF(Distances[[#This Row],[Colonne45]]=$G17,BK17,Distances[[#This Row],[Colonne45]]+1)</f>
        <v>42</v>
      </c>
      <c r="BM17" s="17">
        <f>IF(Distances[[#This Row],[Colonne46]]=$G17,BL17,Distances[[#This Row],[Colonne46]]+1)</f>
        <v>43</v>
      </c>
      <c r="BN17" s="17">
        <f>IF(Distances[[#This Row],[Colonne47]]=$G17,BM17,Distances[[#This Row],[Colonne47]]+1)</f>
        <v>44</v>
      </c>
      <c r="BO17" s="17">
        <f>IF(Distances[[#This Row],[Colonne48]]=$G17,BN17,Distances[[#This Row],[Colonne48]]+1)</f>
        <v>45</v>
      </c>
      <c r="BP17" s="17">
        <f>IF(Distances[[#This Row],[Colonne49]]=$G17,BO17,Distances[[#This Row],[Colonne49]]+1)</f>
        <v>46</v>
      </c>
      <c r="BQ17" s="17">
        <f>IF(Distances[[#This Row],[Colonne50]]=$G17,BP17,Distances[[#This Row],[Colonne50]]+1)</f>
        <v>47</v>
      </c>
      <c r="BR17" s="17">
        <f>IF(Distances[[#This Row],[Colonne51]]=$G17,BQ17,Distances[[#This Row],[Colonne51]]+1)</f>
        <v>48</v>
      </c>
      <c r="BS17" s="17">
        <f>IF(Distances[[#This Row],[Colonne52]]=$G17,BR17,Distances[[#This Row],[Colonne52]]+1)</f>
        <v>49</v>
      </c>
      <c r="BT17" s="17">
        <f>IF(Distances[[#This Row],[Colonne53]]=$G17,BS17,Distances[[#This Row],[Colonne53]]+1)</f>
        <v>50</v>
      </c>
      <c r="BU17" s="17">
        <f>IF(Distances[[#This Row],[Colonne54]]=$G17,BT17,Distances[[#This Row],[Colonne54]]+1)</f>
        <v>51</v>
      </c>
      <c r="BV17" s="17">
        <f>IF(Distances[[#This Row],[Colonne55]]=$G17,BU17,Distances[[#This Row],[Colonne55]]+1)</f>
        <v>52</v>
      </c>
      <c r="BW17" s="17">
        <f>IF(Distances[[#This Row],[Colonne56]]=$G17,BV17,Distances[[#This Row],[Colonne56]]+1)</f>
        <v>53</v>
      </c>
      <c r="BX17" s="17">
        <f>IF(Distances[[#This Row],[Colonne57]]=$G17,BW17,Distances[[#This Row],[Colonne57]]+1)</f>
        <v>54</v>
      </c>
      <c r="BY17" s="17">
        <f>IF(Distances[[#This Row],[Colonne58]]=$G17,BX17,Distances[[#This Row],[Colonne58]]+1)</f>
        <v>55</v>
      </c>
      <c r="BZ17" s="17">
        <f>IF(Distances[[#This Row],[Colonne59]]=$G17,BY17,Distances[[#This Row],[Colonne59]]+1)</f>
        <v>56</v>
      </c>
      <c r="CA17" s="17">
        <f>IF(Distances[[#This Row],[Colonne60]]=$G17,BZ17,Distances[[#This Row],[Colonne60]]+1)</f>
        <v>57</v>
      </c>
      <c r="CB17" s="17">
        <f>IF(Distances[[#This Row],[Colonne61]]=$G17,CA17,Distances[[#This Row],[Colonne61]]+1)</f>
        <v>58</v>
      </c>
      <c r="CC17" s="17">
        <f>IF(Distances[[#This Row],[Colonne62]]=$G17,CB17,Distances[[#This Row],[Colonne62]]+1)</f>
        <v>59</v>
      </c>
      <c r="CD17" s="17">
        <f>IF(Distances[[#This Row],[Colonne63]]=$G17,CC17,Distances[[#This Row],[Colonne63]]+1)</f>
        <v>60</v>
      </c>
      <c r="CE17" s="17">
        <f>IF(Distances[[#This Row],[Colonne64]]=$G17,CD17,Distances[[#This Row],[Colonne64]]+1)</f>
        <v>61</v>
      </c>
      <c r="CF17" s="17">
        <f>IF(Distances[[#This Row],[Colonne65]]=$G17,CE17,Distances[[#This Row],[Colonne65]]+1)</f>
        <v>62</v>
      </c>
      <c r="CG17" s="17">
        <f>IF(Distances[[#This Row],[Colonne66]]=$G17,CF17,Distances[[#This Row],[Colonne66]]+1)</f>
        <v>63</v>
      </c>
      <c r="CH17" s="17">
        <f>IF(Distances[[#This Row],[Colonne67]]=$G17,CG17,Distances[[#This Row],[Colonne67]]+1)</f>
        <v>64</v>
      </c>
      <c r="CI17" s="17">
        <f>IF(Distances[[#This Row],[Colonne68]]=$G17,CH17,Distances[[#This Row],[Colonne68]]+1)</f>
        <v>65</v>
      </c>
      <c r="CJ17" s="17">
        <f>IF(Distances[[#This Row],[Colonne69]]=$G17,CI17,Distances[[#This Row],[Colonne69]]+1)</f>
        <v>66</v>
      </c>
      <c r="CK17" s="17">
        <f>IF(Distances[[#This Row],[Colonne70]]=$G17,CJ17,Distances[[#This Row],[Colonne70]]+1)</f>
        <v>67</v>
      </c>
      <c r="CL17" s="17">
        <f>IF(Distances[[#This Row],[Colonne71]]=$G17,CK17,Distances[[#This Row],[Colonne71]]+1)</f>
        <v>68</v>
      </c>
      <c r="CM17" s="17">
        <f>IF(Distances[[#This Row],[Colonne72]]=$G17,CL17,Distances[[#This Row],[Colonne72]]+1)</f>
        <v>69</v>
      </c>
      <c r="CN17" s="17">
        <f>IF(Distances[[#This Row],[Colonne73]]=$G17,CM17,Distances[[#This Row],[Colonne73]]+1)</f>
        <v>70</v>
      </c>
      <c r="CO17" s="17">
        <f>IF(Distances[[#This Row],[Colonne74]]=$G17,CN17,Distances[[#This Row],[Colonne74]]+1)</f>
        <v>71</v>
      </c>
      <c r="CP17" s="17">
        <f>IF(Distances[[#This Row],[Colonne75]]=$G17,CO17,Distances[[#This Row],[Colonne75]]+1)</f>
        <v>72</v>
      </c>
      <c r="CQ17" s="17">
        <f>IF(Distances[[#This Row],[Colonne76]]=$G17,CP17,Distances[[#This Row],[Colonne76]]+1)</f>
        <v>73</v>
      </c>
      <c r="CR17" s="17">
        <f>IF(Distances[[#This Row],[Colonne77]]=$G17,CQ17,Distances[[#This Row],[Colonne77]]+1)</f>
        <v>74</v>
      </c>
      <c r="CS17" s="17">
        <f>IF(Distances[[#This Row],[Colonne78]]=$G17,CR17,Distances[[#This Row],[Colonne78]]+1)</f>
        <v>75</v>
      </c>
      <c r="CT17" s="17">
        <f>IF(Distances[[#This Row],[Colonne79]]=$G17,CS17,Distances[[#This Row],[Colonne79]]+1)</f>
        <v>76</v>
      </c>
      <c r="CU17" s="17">
        <f>IF(Distances[[#This Row],[Colonne80]]=$G17,CT17,Distances[[#This Row],[Colonne80]]+1)</f>
        <v>77</v>
      </c>
      <c r="CV17" s="17">
        <f>IF(Distances[[#This Row],[Colonne81]]=$G17,CU17,Distances[[#This Row],[Colonne81]]+1)</f>
        <v>78</v>
      </c>
      <c r="CW17" s="17">
        <f>IF(Distances[[#This Row],[Colonne82]]=$G17,CV17,Distances[[#This Row],[Colonne82]]+1)</f>
        <v>79</v>
      </c>
      <c r="CX17" s="17">
        <f>IF(Distances[[#This Row],[Colonne83]]=$G17,CW17,Distances[[#This Row],[Colonne83]]+1)</f>
        <v>80</v>
      </c>
      <c r="CY17" s="17">
        <f>IF(Distances[[#This Row],[Colonne84]]=$G17,CX17,Distances[[#This Row],[Colonne84]]+1)</f>
        <v>81</v>
      </c>
      <c r="CZ17" s="17">
        <f>IF(Distances[[#This Row],[Colonne85]]=$G17,CY17,Distances[[#This Row],[Colonne85]]+1)</f>
        <v>82</v>
      </c>
      <c r="DA17" s="17">
        <f>IF(Distances[[#This Row],[Colonne86]]=$G17,CZ17,Distances[[#This Row],[Colonne86]]+1)</f>
        <v>83</v>
      </c>
      <c r="DB17" s="17">
        <f>IF(Distances[[#This Row],[Colonne87]]=$G17,DA17,Distances[[#This Row],[Colonne87]]+1)</f>
        <v>84</v>
      </c>
      <c r="DC17" s="17">
        <f>IF(Distances[[#This Row],[Colonne88]]=$G17,DB17,Distances[[#This Row],[Colonne88]]+1)</f>
        <v>85</v>
      </c>
      <c r="DD17" s="17">
        <f>IF(Distances[[#This Row],[Colonne89]]=$G17,DC17,Distances[[#This Row],[Colonne89]]+1)</f>
        <v>86</v>
      </c>
      <c r="DE17" s="17">
        <f>IF(Distances[[#This Row],[Colonne90]]=$G17,DD17,Distances[[#This Row],[Colonne90]]+1)</f>
        <v>87</v>
      </c>
      <c r="DF17" s="17">
        <f>IF(Distances[[#This Row],[Colonne91]]=$G17,DE17,Distances[[#This Row],[Colonne91]]+1)</f>
        <v>88</v>
      </c>
      <c r="DG17" s="17">
        <f>IF(Distances[[#This Row],[Colonne92]]=$G17,DF17,Distances[[#This Row],[Colonne92]]+1)</f>
        <v>89</v>
      </c>
      <c r="DH17" s="17">
        <f>IF(Distances[[#This Row],[Colonne93]]=$G17,DG17,Distances[[#This Row],[Colonne93]]+1)</f>
        <v>90</v>
      </c>
      <c r="DI17" s="17">
        <f>IF(Distances[[#This Row],[Colonne94]]=$G17,DH17,Distances[[#This Row],[Colonne94]]+1)</f>
        <v>91</v>
      </c>
      <c r="DJ17" s="17">
        <f>IF(Distances[[#This Row],[Colonne95]]=$G17,DI17,Distances[[#This Row],[Colonne95]]+1)</f>
        <v>92</v>
      </c>
      <c r="DK17" s="17">
        <f>IF(Distances[[#This Row],[Colonne96]]=$G17,DJ17,Distances[[#This Row],[Colonne96]]+1)</f>
        <v>93</v>
      </c>
      <c r="DL17" s="17">
        <f>IF(Distances[[#This Row],[Colonne97]]=$G17,DK17,Distances[[#This Row],[Colonne97]]+1)</f>
        <v>94</v>
      </c>
      <c r="DM17" s="17">
        <f>IF(Distances[[#This Row],[Colonne98]]=$G17,DL17,Distances[[#This Row],[Colonne98]]+1)</f>
        <v>95</v>
      </c>
      <c r="DN17" s="17">
        <f>IF(Distances[[#This Row],[Colonne99]]=$G17,DM17,Distances[[#This Row],[Colonne99]]+1)</f>
        <v>96</v>
      </c>
      <c r="DO17" s="17">
        <f>IF(Distances[[#This Row],[Colonne100]]=$G17,DN17,Distances[[#This Row],[Colonne100]]+1)</f>
        <v>97</v>
      </c>
      <c r="DP17" s="17">
        <f>IF(Distances[[#This Row],[Colonne101]]=$G17,DO17,Distances[[#This Row],[Colonne101]]+1)</f>
        <v>98</v>
      </c>
      <c r="DQ17" s="17">
        <f>IF(Distances[[#This Row],[Colonne102]]=$G17,DP17,Distances[[#This Row],[Colonne102]]+1)</f>
        <v>99</v>
      </c>
      <c r="DR17" s="17">
        <f>IF(Distances[[#This Row],[Colonne103]]=$G17,DQ17,Distances[[#This Row],[Colonne103]]+1)</f>
        <v>100</v>
      </c>
      <c r="DS17" s="17">
        <f>IF(Distances[[#This Row],[Colonne104]]=$G17,DR17,Distances[[#This Row],[Colonne104]]+1)</f>
        <v>101</v>
      </c>
      <c r="DT17" s="17">
        <f>IF(Distances[[#This Row],[Colonne105]]=$G17,DS17,Distances[[#This Row],[Colonne105]]+1)</f>
        <v>102</v>
      </c>
      <c r="DU17" s="17">
        <f>IF(Distances[[#This Row],[Colonne106]]=$G17,DT17,Distances[[#This Row],[Colonne106]]+1)</f>
        <v>103</v>
      </c>
      <c r="DV17" s="17">
        <f>IF(Distances[[#This Row],[Colonne107]]=$G17,DU17,Distances[[#This Row],[Colonne107]]+1)</f>
        <v>104</v>
      </c>
      <c r="DW17" s="17">
        <f>IF(Distances[[#This Row],[Colonne108]]=$G17,DV17,Distances[[#This Row],[Colonne108]]+1)</f>
        <v>105</v>
      </c>
      <c r="DX17" s="17">
        <f>IF(Distances[[#This Row],[Colonne109]]=$G17,DW17,Distances[[#This Row],[Colonne109]]+1)</f>
        <v>106</v>
      </c>
      <c r="DY17" s="17">
        <f>IF(Distances[[#This Row],[Colonne110]]=$G17,DX17,Distances[[#This Row],[Colonne110]]+1)</f>
        <v>107</v>
      </c>
      <c r="DZ17" s="17">
        <f>IF(Distances[[#This Row],[Colonne111]]=$G17,DY17,Distances[[#This Row],[Colonne111]]+1)</f>
        <v>108</v>
      </c>
      <c r="EA17" s="17">
        <f>IF(Distances[[#This Row],[Colonne112]]=$G17,DZ17,Distances[[#This Row],[Colonne112]]+1)</f>
        <v>109</v>
      </c>
      <c r="EB17" s="17">
        <f>IF(Distances[[#This Row],[Colonne113]]=$G17,EA17,Distances[[#This Row],[Colonne113]]+1)</f>
        <v>110</v>
      </c>
      <c r="EC17" s="17">
        <f>IF(Distances[[#This Row],[Colonne114]]=$G17,EB17,Distances[[#This Row],[Colonne114]]+1)</f>
        <v>111</v>
      </c>
      <c r="ED17" s="17">
        <f>IF(Distances[[#This Row],[Colonne115]]=$G17,EC17,Distances[[#This Row],[Colonne115]]+1)</f>
        <v>112</v>
      </c>
      <c r="EE17" s="17">
        <f>IF(Distances[[#This Row],[Colonne116]]=$G17,ED17,Distances[[#This Row],[Colonne116]]+1)</f>
        <v>113</v>
      </c>
      <c r="EF17" s="17">
        <f>IF(Distances[[#This Row],[Colonne117]]=$G17,EE17,Distances[[#This Row],[Colonne117]]+1)</f>
        <v>114</v>
      </c>
      <c r="EG17" s="17">
        <f>IF(Distances[[#This Row],[Colonne118]]=$G17,EF17,Distances[[#This Row],[Colonne118]]+1)</f>
        <v>115</v>
      </c>
      <c r="EH17" s="17">
        <f>IF(Distances[[#This Row],[Colonne119]]=$G17,EG17,Distances[[#This Row],[Colonne119]]+1)</f>
        <v>116</v>
      </c>
      <c r="EI17" s="17">
        <f>IF(Distances[[#This Row],[Colonne120]]=$G17,EH17,Distances[[#This Row],[Colonne120]]+1)</f>
        <v>117</v>
      </c>
      <c r="EJ17" s="17">
        <f>IF(Distances[[#This Row],[Colonne121]]=$G17,EI17,Distances[[#This Row],[Colonne121]]+1)</f>
        <v>118</v>
      </c>
      <c r="EK17" s="17">
        <f>IF(Distances[[#This Row],[Colonne122]]=$G17,EJ17,Distances[[#This Row],[Colonne122]]+1)</f>
        <v>119</v>
      </c>
      <c r="EL17" s="17">
        <f>IF(Distances[[#This Row],[Colonne123]]=$G17,EK17,Distances[[#This Row],[Colonne123]]+1)</f>
        <v>120</v>
      </c>
      <c r="EM17" s="17">
        <f>IF(Distances[[#This Row],[Colonne124]]=$G17,EL17,Distances[[#This Row],[Colonne124]]+1)</f>
        <v>120</v>
      </c>
      <c r="EN17" s="17">
        <f>IF(Distances[[#This Row],[Colonne125]]=$G17,EM17,Distances[[#This Row],[Colonne125]]+1)</f>
        <v>120</v>
      </c>
      <c r="EO17" s="17">
        <f>IF(Distances[[#This Row],[Colonne126]]=$G17,EN17,Distances[[#This Row],[Colonne126]]+1)</f>
        <v>120</v>
      </c>
      <c r="EP17" s="17">
        <f>IF(Distances[[#This Row],[Colonne127]]=$G17,EO17,Distances[[#This Row],[Colonne127]]+1)</f>
        <v>120</v>
      </c>
      <c r="EQ17" s="17">
        <f>IF(Distances[[#This Row],[Colonne128]]=$G17,EP17,Distances[[#This Row],[Colonne128]]+1)</f>
        <v>120</v>
      </c>
      <c r="ER17" s="17">
        <f>IF(Distances[[#This Row],[Colonne129]]=$G17,EQ17,Distances[[#This Row],[Colonne129]]+1)</f>
        <v>120</v>
      </c>
      <c r="ES17" s="17">
        <f>IF(Distances[[#This Row],[Colonne130]]=$G17,ER17,Distances[[#This Row],[Colonne130]]+1)</f>
        <v>120</v>
      </c>
      <c r="ET17" s="17">
        <f>IF(Distances[[#This Row],[Colonne131]]=$G17,ES17,Distances[[#This Row],[Colonne131]]+1)</f>
        <v>120</v>
      </c>
      <c r="EU17" s="17">
        <f>IF(Distances[[#This Row],[Colonne132]]=$G17,ET17,Distances[[#This Row],[Colonne132]]+1)</f>
        <v>120</v>
      </c>
      <c r="EV17" s="17">
        <f>IF(Distances[[#This Row],[Colonne133]]=$G17,EU17,Distances[[#This Row],[Colonne133]]+1)</f>
        <v>120</v>
      </c>
      <c r="EW17" s="17">
        <f>IF(Distances[[#This Row],[Colonne134]]=$G17,EV17,Distances[[#This Row],[Colonne134]]+1)</f>
        <v>120</v>
      </c>
      <c r="EX17" s="17">
        <f>IF(Distances[[#This Row],[Colonne135]]=$G17,EW17,Distances[[#This Row],[Colonne135]]+1)</f>
        <v>120</v>
      </c>
      <c r="EY17" s="17">
        <f>IF(Distances[[#This Row],[Colonne136]]=$G17,EX17,Distances[[#This Row],[Colonne136]]+1)</f>
        <v>120</v>
      </c>
      <c r="EZ17" s="17">
        <f>IF(Distances[[#This Row],[Colonne137]]=$G17,EY17,Distances[[#This Row],[Colonne137]]+1)</f>
        <v>120</v>
      </c>
      <c r="FA17" s="17">
        <f>IF(Distances[[#This Row],[Colonne138]]=$G17,EZ17,Distances[[#This Row],[Colonne138]]+1)</f>
        <v>120</v>
      </c>
      <c r="FB17" s="17">
        <f>IF(Distances[[#This Row],[Colonne139]]=$G17,FA17,Distances[[#This Row],[Colonne139]]+1)</f>
        <v>120</v>
      </c>
      <c r="FC17" s="17">
        <f>IF(Distances[[#This Row],[Colonne140]]=$G17,FB17,Distances[[#This Row],[Colonne140]]+1)</f>
        <v>120</v>
      </c>
      <c r="FD17" s="17">
        <f>IF(Distances[[#This Row],[Colonne141]]=$G17,FC17,Distances[[#This Row],[Colonne141]]+1)</f>
        <v>120</v>
      </c>
      <c r="FE17" s="17">
        <f>IF(Distances[[#This Row],[Colonne142]]=$G17,FD17,Distances[[#This Row],[Colonne142]]+1)</f>
        <v>120</v>
      </c>
      <c r="FF17" s="17">
        <f>IF(Distances[[#This Row],[Colonne143]]=$G17,FE17,Distances[[#This Row],[Colonne143]]+1)</f>
        <v>120</v>
      </c>
      <c r="FG17" s="17">
        <f>IF(Distances[[#This Row],[Colonne144]]=$G17,FF17,Distances[[#This Row],[Colonne144]]+1)</f>
        <v>120</v>
      </c>
      <c r="FH17" s="17">
        <f>IF(Distances[[#This Row],[Colonne145]]=$G17,FG17,Distances[[#This Row],[Colonne145]]+1)</f>
        <v>120</v>
      </c>
      <c r="FI17" s="17">
        <f>IF(Distances[[#This Row],[Colonne146]]=$G17,FH17,Distances[[#This Row],[Colonne146]]+1)</f>
        <v>120</v>
      </c>
      <c r="FJ17" s="17">
        <f>IF(Distances[[#This Row],[Colonne147]]=$G17,FI17,Distances[[#This Row],[Colonne147]]+1)</f>
        <v>120</v>
      </c>
      <c r="FK17" s="17">
        <f>IF(Distances[[#This Row],[Colonne148]]=$G17,FJ17,Distances[[#This Row],[Colonne148]]+1)</f>
        <v>120</v>
      </c>
      <c r="FL17" s="17">
        <f>IF(Distances[[#This Row],[Colonne149]]=$G17,FK17,Distances[[#This Row],[Colonne149]]+1)</f>
        <v>120</v>
      </c>
      <c r="FM17" s="17">
        <f>IF(Distances[[#This Row],[Colonne150]]=$G17,FL17,Distances[[#This Row],[Colonne150]]+1)</f>
        <v>120</v>
      </c>
      <c r="FN17" s="17">
        <f>IF(Distances[[#This Row],[Colonne151]]=$G17,FM17,Distances[[#This Row],[Colonne151]]+1)</f>
        <v>120</v>
      </c>
      <c r="FO17" s="17">
        <f>IF(Distances[[#This Row],[Colonne152]]=$G17,FN17,Distances[[#This Row],[Colonne152]]+1)</f>
        <v>120</v>
      </c>
      <c r="FP17" s="17">
        <f>IF(Distances[[#This Row],[Colonne153]]=$G17,FO17,Distances[[#This Row],[Colonne153]]+1)</f>
        <v>120</v>
      </c>
      <c r="FQ17" s="17">
        <f>IF(Distances[[#This Row],[Colonne154]]=$G17,FP17,Distances[[#This Row],[Colonne154]]+1)</f>
        <v>120</v>
      </c>
      <c r="FR17" s="17">
        <f>IF(Distances[[#This Row],[Colonne155]]=$G17,FQ17,Distances[[#This Row],[Colonne155]]+1)</f>
        <v>120</v>
      </c>
      <c r="FS17" s="17">
        <f>IF(Distances[[#This Row],[Colonne156]]=$G17,FR17,Distances[[#This Row],[Colonne156]]+1)</f>
        <v>120</v>
      </c>
      <c r="FT17" s="17">
        <f>IF(Distances[[#This Row],[Colonne157]]=$G17,FS17,Distances[[#This Row],[Colonne157]]+1)</f>
        <v>120</v>
      </c>
      <c r="FU17" s="17">
        <f>IF(Distances[[#This Row],[Colonne158]]=$G17,FT17,Distances[[#This Row],[Colonne158]]+1)</f>
        <v>120</v>
      </c>
      <c r="FV17" s="17">
        <f>IF(Distances[[#This Row],[Colonne159]]=$G17,FU17,Distances[[#This Row],[Colonne159]]+1)</f>
        <v>120</v>
      </c>
      <c r="FW17" s="17">
        <f>IF(Distances[[#This Row],[Colonne160]]=$G17,FV17,Distances[[#This Row],[Colonne160]]+1)</f>
        <v>120</v>
      </c>
      <c r="FX17" s="17">
        <f>IF(Distances[[#This Row],[Colonne161]]=$G17,FW17,Distances[[#This Row],[Colonne161]]+1)</f>
        <v>120</v>
      </c>
      <c r="FY17" s="17">
        <f>IF(Distances[[#This Row],[Colonne162]]=$G17,FX17,Distances[[#This Row],[Colonne162]]+1)</f>
        <v>120</v>
      </c>
      <c r="FZ17" s="17">
        <f>IF(Distances[[#This Row],[Colonne163]]=$G17,FY17,Distances[[#This Row],[Colonne163]]+1)</f>
        <v>120</v>
      </c>
      <c r="GA17" s="17">
        <f>IF(Distances[[#This Row],[Colonne164]]=$G17,FZ17,Distances[[#This Row],[Colonne164]]+1)</f>
        <v>120</v>
      </c>
      <c r="GB17" s="17">
        <f>IF(Distances[[#This Row],[Colonne165]]=$G17,GA17,Distances[[#This Row],[Colonne165]]+1)</f>
        <v>120</v>
      </c>
      <c r="GC17" s="17">
        <f>IF(Distances[[#This Row],[Colonne166]]=$G17,GB17,Distances[[#This Row],[Colonne166]]+1)</f>
        <v>120</v>
      </c>
      <c r="GD17" s="17">
        <f>IF(Distances[[#This Row],[Colonne167]]=$G17,GC17,Distances[[#This Row],[Colonne167]]+1)</f>
        <v>120</v>
      </c>
      <c r="GE17" s="17">
        <f>IF(Distances[[#This Row],[Colonne168]]=$G17,GD17,Distances[[#This Row],[Colonne168]]+1)</f>
        <v>120</v>
      </c>
      <c r="GF17" s="17">
        <f>IF(Distances[[#This Row],[Colonne169]]=$G17,GE17,Distances[[#This Row],[Colonne169]]+1)</f>
        <v>120</v>
      </c>
      <c r="GG17" s="17">
        <f>IF(Distances[[#This Row],[Colonne170]]=$G17,GF17,Distances[[#This Row],[Colonne170]]+1)</f>
        <v>120</v>
      </c>
      <c r="GH17" s="17">
        <f>IF(Distances[[#This Row],[Colonne171]]=$G17,GG17,Distances[[#This Row],[Colonne171]]+1)</f>
        <v>120</v>
      </c>
      <c r="GI17" s="17">
        <f>IF(Distances[[#This Row],[Colonne172]]=$G17,GH17,Distances[[#This Row],[Colonne172]]+1)</f>
        <v>120</v>
      </c>
      <c r="GJ17" s="17">
        <f>IF(Distances[[#This Row],[Colonne173]]=$G17,GI17,Distances[[#This Row],[Colonne173]]+1)</f>
        <v>120</v>
      </c>
      <c r="GK17" s="17">
        <f>IF(Distances[[#This Row],[Colonne174]]=$G17,GJ17,Distances[[#This Row],[Colonne174]]+1)</f>
        <v>120</v>
      </c>
      <c r="GL17" s="17">
        <f>IF(Distances[[#This Row],[Colonne175]]=$G17,GK17,Distances[[#This Row],[Colonne175]]+1)</f>
        <v>120</v>
      </c>
      <c r="GM17" s="17">
        <f>IF(Distances[[#This Row],[Colonne176]]=$G17,GL17,Distances[[#This Row],[Colonne176]]+1)</f>
        <v>120</v>
      </c>
      <c r="GN17" s="17">
        <f>IF(Distances[[#This Row],[Colonne177]]=$G17,GM17,Distances[[#This Row],[Colonne177]]+1)</f>
        <v>120</v>
      </c>
      <c r="GO17" s="17">
        <f>IF(Distances[[#This Row],[Colonne178]]=$G17,GN17,Distances[[#This Row],[Colonne178]]+1)</f>
        <v>120</v>
      </c>
      <c r="GP17" s="17">
        <f>IF(Distances[[#This Row],[Colonne179]]=$G17,GO17,Distances[[#This Row],[Colonne179]]+1)</f>
        <v>120</v>
      </c>
      <c r="GQ17" s="17">
        <f>IF(Distances[[#This Row],[Colonne180]]=$G17,GP17,Distances[[#This Row],[Colonne180]]+1)</f>
        <v>120</v>
      </c>
      <c r="GR17" s="17">
        <f>IF(Distances[[#This Row],[Colonne181]]=$G17,GQ17,Distances[[#This Row],[Colonne181]]+1)</f>
        <v>120</v>
      </c>
      <c r="GS17" s="17">
        <f>IF(Distances[[#This Row],[Colonne182]]=$G17,GR17,Distances[[#This Row],[Colonne182]]+1)</f>
        <v>120</v>
      </c>
      <c r="GT17" s="17">
        <f>IF(Distances[[#This Row],[Colonne183]]=$G17,GS17,Distances[[#This Row],[Colonne183]]+1)</f>
        <v>120</v>
      </c>
      <c r="GU17" s="17">
        <f>IF(Distances[[#This Row],[Colonne184]]=$G17,GT17,Distances[[#This Row],[Colonne184]]+1)</f>
        <v>120</v>
      </c>
      <c r="GV17" s="17">
        <f>IF(Distances[[#This Row],[Colonne185]]=$G17,GU17,Distances[[#This Row],[Colonne185]]+1)</f>
        <v>120</v>
      </c>
      <c r="GW17" s="17">
        <f>IF(Distances[[#This Row],[Colonne186]]=$G17,GV17,Distances[[#This Row],[Colonne186]]+1)</f>
        <v>120</v>
      </c>
      <c r="GX17" s="17">
        <f>IF(Distances[[#This Row],[Colonne187]]=$G17,GW17,Distances[[#This Row],[Colonne187]]+1)</f>
        <v>120</v>
      </c>
      <c r="GY17" s="17">
        <f>IF(Distances[[#This Row],[Colonne188]]=$G17,GX17,Distances[[#This Row],[Colonne188]]+1)</f>
        <v>120</v>
      </c>
      <c r="GZ17" s="17">
        <f>IF(Distances[[#This Row],[Colonne189]]=$G17,GY17,Distances[[#This Row],[Colonne189]]+1)</f>
        <v>120</v>
      </c>
      <c r="HA17" s="17">
        <f>IF(Distances[[#This Row],[Colonne190]]=$G17,GZ17,Distances[[#This Row],[Colonne190]]+1)</f>
        <v>120</v>
      </c>
      <c r="HB17" s="17">
        <f>IF(Distances[[#This Row],[Colonne191]]=$G17,HA17,Distances[[#This Row],[Colonne191]]+1)</f>
        <v>120</v>
      </c>
      <c r="HC17" s="17">
        <f>IF(Distances[[#This Row],[Colonne192]]=$G17,HB17,Distances[[#This Row],[Colonne192]]+1)</f>
        <v>120</v>
      </c>
      <c r="HD17" s="17">
        <f>IF(Distances[[#This Row],[Colonne193]]=$G17,HC17,Distances[[#This Row],[Colonne193]]+1)</f>
        <v>120</v>
      </c>
      <c r="HE17" s="17">
        <f>IF(Distances[[#This Row],[Colonne194]]=$G17,HD17,Distances[[#This Row],[Colonne194]]+1)</f>
        <v>120</v>
      </c>
      <c r="HF17" s="17">
        <f>IF(Distances[[#This Row],[Colonne195]]=$G17,HE17,Distances[[#This Row],[Colonne195]]+1)</f>
        <v>120</v>
      </c>
      <c r="HG17" s="17">
        <f>IF(Distances[[#This Row],[Colonne196]]=$G17,HF17,Distances[[#This Row],[Colonne196]]+1)</f>
        <v>120</v>
      </c>
      <c r="HH17" s="17">
        <f>IF(Distances[[#This Row],[Colonne197]]=$G17,HG17,Distances[[#This Row],[Colonne197]]+1)</f>
        <v>120</v>
      </c>
      <c r="HI17" s="17">
        <f>IF(Distances[[#This Row],[Colonne198]]=$G17,HH17,Distances[[#This Row],[Colonne198]]+1)</f>
        <v>120</v>
      </c>
      <c r="HJ17" s="17">
        <f>IF(Distances[[#This Row],[Colonne199]]=$G17,HI17,Distances[[#This Row],[Colonne199]]+1)</f>
        <v>120</v>
      </c>
      <c r="HK17" s="17">
        <f>IF(Distances[[#This Row],[Colonne200]]=$G17,HJ17,Distances[[#This Row],[Colonne200]]+1)</f>
        <v>120</v>
      </c>
      <c r="HL17" s="17">
        <f>IF(Distances[[#This Row],[Colonne201]]=$G17,HK17,Distances[[#This Row],[Colonne201]]+1)</f>
        <v>120</v>
      </c>
      <c r="HM17" s="17">
        <f>IF(Distances[[#This Row],[Colonne202]]=$G17,HL17,Distances[[#This Row],[Colonne202]]+1)</f>
        <v>120</v>
      </c>
      <c r="HN17" s="17">
        <f>IF(Distances[[#This Row],[Colonne203]]=$G17,HM17,Distances[[#This Row],[Colonne203]]+1)</f>
        <v>120</v>
      </c>
      <c r="HO17" s="17">
        <f>IF(Distances[[#This Row],[Colonne204]]=$G17,HN17,Distances[[#This Row],[Colonne204]]+1)</f>
        <v>120</v>
      </c>
      <c r="HP17" s="17">
        <f>IF(Distances[[#This Row],[Colonne205]]=$G17,HO17,Distances[[#This Row],[Colonne205]]+1)</f>
        <v>120</v>
      </c>
      <c r="HQ17" s="17">
        <f>IF(Distances[[#This Row],[Colonne206]]=$G17,HP17,Distances[[#This Row],[Colonne206]]+1)</f>
        <v>120</v>
      </c>
      <c r="HR17" s="17">
        <f>IF(Distances[[#This Row],[Colonne207]]=$G17,HQ17,Distances[[#This Row],[Colonne207]]+1)</f>
        <v>120</v>
      </c>
      <c r="HS17" s="17">
        <f>IF(Distances[[#This Row],[Colonne208]]=$G17,HR17,Distances[[#This Row],[Colonne208]]+1)</f>
        <v>120</v>
      </c>
      <c r="HT17" s="17">
        <f>IF(Distances[[#This Row],[Colonne209]]=$G17,HS17,Distances[[#This Row],[Colonne209]]+1)</f>
        <v>120</v>
      </c>
      <c r="HU17" s="17">
        <f>IF(Distances[[#This Row],[Colonne210]]=$G17,HT17,Distances[[#This Row],[Colonne210]]+1)</f>
        <v>120</v>
      </c>
      <c r="HV17" s="17">
        <f>IF(Distances[[#This Row],[Colonne211]]=$G17,HU17,Distances[[#This Row],[Colonne211]]+1)</f>
        <v>120</v>
      </c>
      <c r="HW17" s="17">
        <f>IF(Distances[[#This Row],[Colonne212]]=$G17,HV17,Distances[[#This Row],[Colonne212]]+1)</f>
        <v>120</v>
      </c>
      <c r="HX17" s="17">
        <f>IF(Distances[[#This Row],[Colonne213]]=$G17,HW17,Distances[[#This Row],[Colonne213]]+1)</f>
        <v>120</v>
      </c>
      <c r="HY17" s="17">
        <f>IF(Distances[[#This Row],[Colonne214]]=$G17,HX17,Distances[[#This Row],[Colonne214]]+1)</f>
        <v>120</v>
      </c>
      <c r="HZ17" s="17">
        <f>IF(Distances[[#This Row],[Colonne215]]=$G17,HY17,Distances[[#This Row],[Colonne215]]+1)</f>
        <v>120</v>
      </c>
      <c r="IA17" s="17">
        <f>IF(Distances[[#This Row],[Colonne216]]=$G17,HZ17,Distances[[#This Row],[Colonne216]]+1)</f>
        <v>120</v>
      </c>
      <c r="IB17" s="17">
        <f>IF(Distances[[#This Row],[Colonne217]]=$G17,IA17,Distances[[#This Row],[Colonne217]]+1)</f>
        <v>120</v>
      </c>
      <c r="IC17" s="17">
        <f>IF(Distances[[#This Row],[Colonne218]]=$G17,IB17,Distances[[#This Row],[Colonne218]]+1)</f>
        <v>120</v>
      </c>
      <c r="ID17" s="17">
        <f>IF(Distances[[#This Row],[Colonne219]]=$G17,IC17,Distances[[#This Row],[Colonne219]]+1)</f>
        <v>120</v>
      </c>
      <c r="IE17" s="17">
        <f>IF(Distances[[#This Row],[Colonne220]]=$G17,ID17,Distances[[#This Row],[Colonne220]]+1)</f>
        <v>120</v>
      </c>
      <c r="IF17" s="17">
        <f>IF(Distances[[#This Row],[Colonne221]]=$G17,IE17,Distances[[#This Row],[Colonne221]]+1)</f>
        <v>120</v>
      </c>
      <c r="IG17" s="17">
        <f>IF(Distances[[#This Row],[Colonne222]]=$G17,IF17,Distances[[#This Row],[Colonne222]]+1)</f>
        <v>120</v>
      </c>
      <c r="IH17" s="17">
        <f>IF(Distances[[#This Row],[Colonne223]]=$G17,IG17,Distances[[#This Row],[Colonne223]]+1)</f>
        <v>120</v>
      </c>
      <c r="II17" s="17">
        <f>IF(Distances[[#This Row],[Colonne224]]=$G17,IH17,Distances[[#This Row],[Colonne224]]+1)</f>
        <v>120</v>
      </c>
      <c r="IJ17" s="17">
        <f>IF(Distances[[#This Row],[Colonne225]]=$G17,II17,Distances[[#This Row],[Colonne225]]+1)</f>
        <v>120</v>
      </c>
      <c r="IK17" s="17">
        <f>IF(Distances[[#This Row],[Colonne226]]=$G17,IJ17,Distances[[#This Row],[Colonne226]]+1)</f>
        <v>120</v>
      </c>
      <c r="IL17" s="17">
        <f>IF(Distances[[#This Row],[Colonne227]]=$G17,IK17,Distances[[#This Row],[Colonne227]]+1)</f>
        <v>120</v>
      </c>
      <c r="IM17" s="17">
        <f>IF(Distances[[#This Row],[Colonne228]]=$G17,IL17,Distances[[#This Row],[Colonne228]]+1)</f>
        <v>120</v>
      </c>
      <c r="IN17" s="17">
        <f>IF(Distances[[#This Row],[Colonne229]]=$G17,IM17,Distances[[#This Row],[Colonne229]]+1)</f>
        <v>120</v>
      </c>
      <c r="IO17" s="17">
        <f>IF(Distances[[#This Row],[Colonne230]]=$G17,IN17,Distances[[#This Row],[Colonne230]]+1)</f>
        <v>120</v>
      </c>
      <c r="IP17" s="17">
        <f>IF(Distances[[#This Row],[Colonne231]]=$G17,IO17,Distances[[#This Row],[Colonne231]]+1)</f>
        <v>120</v>
      </c>
      <c r="IQ17" s="17">
        <f>IF(Distances[[#This Row],[Colonne232]]=$G17,IP17,Distances[[#This Row],[Colonne232]]+1)</f>
        <v>120</v>
      </c>
      <c r="IR17" s="17">
        <f>IF(Distances[[#This Row],[Colonne233]]=$G17,IQ17,Distances[[#This Row],[Colonne233]]+1)</f>
        <v>120</v>
      </c>
      <c r="IS17" s="17">
        <f>IF(Distances[[#This Row],[Colonne234]]=$G17,IR17,Distances[[#This Row],[Colonne234]]+1)</f>
        <v>120</v>
      </c>
      <c r="IT17" s="17">
        <f>IF(Distances[[#This Row],[Colonne235]]=$G17,IS17,Distances[[#This Row],[Colonne235]]+1)</f>
        <v>120</v>
      </c>
      <c r="IU17" s="17">
        <f>IF(Distances[[#This Row],[Colonne236]]=$G17,IT17,Distances[[#This Row],[Colonne236]]+1)</f>
        <v>120</v>
      </c>
      <c r="IV17" s="17">
        <f>IF(Distances[[#This Row],[Colonne237]]=$G17,IU17,Distances[[#This Row],[Colonne237]]+1)</f>
        <v>120</v>
      </c>
      <c r="IW17" s="17">
        <f>IF(Distances[[#This Row],[Colonne238]]=$G17,IV17,Distances[[#This Row],[Colonne238]]+1)</f>
        <v>120</v>
      </c>
      <c r="IX17" s="17">
        <f>IF(Distances[[#This Row],[Colonne239]]=$G17,IW17,Distances[[#This Row],[Colonne239]]+1)</f>
        <v>120</v>
      </c>
      <c r="IY17" s="17">
        <f>IF(Distances[[#This Row],[Colonne240]]=$G17,IX17,Distances[[#This Row],[Colonne240]]+1)</f>
        <v>120</v>
      </c>
      <c r="IZ17" s="17">
        <f>IF(Distances[[#This Row],[Colonne241]]=$G17,IY17,Distances[[#This Row],[Colonne241]]+1)</f>
        <v>120</v>
      </c>
      <c r="JA17" s="17">
        <f>IF(Distances[[#This Row],[Colonne242]]=$G17,IZ17,Distances[[#This Row],[Colonne242]]+1)</f>
        <v>120</v>
      </c>
      <c r="JB17" s="17">
        <f>IF(Distances[[#This Row],[Colonne243]]=$G17,JA17,Distances[[#This Row],[Colonne243]]+1)</f>
        <v>120</v>
      </c>
      <c r="JC17" s="17">
        <f>IF(Distances[[#This Row],[Colonne244]]=$G17,JB17,Distances[[#This Row],[Colonne244]]+1)</f>
        <v>120</v>
      </c>
      <c r="JD17" s="17">
        <f>IF(Distances[[#This Row],[Colonne245]]=$G17,JC17,Distances[[#This Row],[Colonne245]]+1)</f>
        <v>120</v>
      </c>
      <c r="JE17" s="17">
        <f>IF(Distances[[#This Row],[Colonne246]]=$G17,JD17,Distances[[#This Row],[Colonne246]]+1)</f>
        <v>120</v>
      </c>
      <c r="JF17" s="17">
        <f>IF(Distances[[#This Row],[Colonne247]]=$G17,JE17,Distances[[#This Row],[Colonne247]]+1)</f>
        <v>120</v>
      </c>
      <c r="JG17" s="17">
        <f>IF(Distances[[#This Row],[Colonne248]]=$G17,JF17,Distances[[#This Row],[Colonne248]]+1)</f>
        <v>120</v>
      </c>
      <c r="JH17" s="17">
        <f>IF(Distances[[#This Row],[Colonne249]]=$G17,JG17,Distances[[#This Row],[Colonne249]]+1)</f>
        <v>120</v>
      </c>
      <c r="JI17" s="17">
        <f>IF(Distances[[#This Row],[Colonne250]]=$G17,JH17,Distances[[#This Row],[Colonne250]]+1)</f>
        <v>120</v>
      </c>
      <c r="JJ17" s="17">
        <f>IF(Distances[[#This Row],[Colonne251]]=$G17,JI17,Distances[[#This Row],[Colonne251]]+1)</f>
        <v>120</v>
      </c>
      <c r="JK17" s="17">
        <f>IF(Distances[[#This Row],[Colonne252]]=$G17,JJ17,Distances[[#This Row],[Colonne252]]+1)</f>
        <v>120</v>
      </c>
      <c r="JL17" s="17">
        <f>IF(Distances[[#This Row],[Colonne253]]=$G17,JK17,Distances[[#This Row],[Colonne253]]+1)</f>
        <v>120</v>
      </c>
      <c r="JM17" s="17">
        <f>IF(Distances[[#This Row],[Colonne254]]=$G17,JL17,Distances[[#This Row],[Colonne254]]+1)</f>
        <v>120</v>
      </c>
      <c r="JN17" s="17">
        <f>IF(Distances[[#This Row],[Colonne255]]=$G17,JM17,Distances[[#This Row],[Colonne255]]+1)</f>
        <v>120</v>
      </c>
      <c r="JO17" s="17">
        <f>IF(Distances[[#This Row],[Colonne256]]=$G17,JN17,Distances[[#This Row],[Colonne256]]+1)</f>
        <v>120</v>
      </c>
      <c r="JP17" s="17">
        <f>IF(Distances[[#This Row],[Colonne257]]=$G17,JO17,Distances[[#This Row],[Colonne257]]+1)</f>
        <v>120</v>
      </c>
      <c r="JQ17" s="17">
        <f>IF(Distances[[#This Row],[Colonne258]]=$G17,JP17,Distances[[#This Row],[Colonne258]]+1)</f>
        <v>120</v>
      </c>
      <c r="JR17" s="17">
        <f>IF(Distances[[#This Row],[Colonne259]]=$G17,JQ17,Distances[[#This Row],[Colonne259]]+1)</f>
        <v>120</v>
      </c>
      <c r="JS17" s="17">
        <f>IF(Distances[[#This Row],[Colonne260]]=$G17,JR17,Distances[[#This Row],[Colonne260]]+1)</f>
        <v>120</v>
      </c>
      <c r="JT17" s="17">
        <f>IF(Distances[[#This Row],[Colonne261]]=$G17,JS17,Distances[[#This Row],[Colonne261]]+1)</f>
        <v>120</v>
      </c>
      <c r="JU17" s="17">
        <f>IF(Distances[[#This Row],[Colonne262]]=$G17,JT17,Distances[[#This Row],[Colonne262]]+1)</f>
        <v>120</v>
      </c>
      <c r="JV17" s="17">
        <f>IF(Distances[[#This Row],[Colonne263]]=$G17,JU17,Distances[[#This Row],[Colonne263]]+1)</f>
        <v>120</v>
      </c>
      <c r="JW17" s="17">
        <f>IF(Distances[[#This Row],[Colonne264]]=$G17,JV17,Distances[[#This Row],[Colonne264]]+1)</f>
        <v>120</v>
      </c>
      <c r="JX17" s="17">
        <f>IF(Distances[[#This Row],[Colonne265]]=$G17,JW17,Distances[[#This Row],[Colonne265]]+1)</f>
        <v>120</v>
      </c>
      <c r="JY17" s="17">
        <f>IF(Distances[[#This Row],[Colonne266]]=$G17,JX17,Distances[[#This Row],[Colonne266]]+1)</f>
        <v>120</v>
      </c>
      <c r="JZ17" s="17">
        <f>IF(Distances[[#This Row],[Colonne267]]=$G17,JY17,Distances[[#This Row],[Colonne267]]+1)</f>
        <v>120</v>
      </c>
      <c r="KA17" s="17">
        <f>IF(Distances[[#This Row],[Colonne268]]=$G17,JZ17,Distances[[#This Row],[Colonne268]]+1)</f>
        <v>120</v>
      </c>
      <c r="KB17" s="17">
        <f>IF(Distances[[#This Row],[Colonne269]]=$G17,KA17,Distances[[#This Row],[Colonne269]]+1)</f>
        <v>120</v>
      </c>
      <c r="KC17" s="17">
        <f>IF(Distances[[#This Row],[Colonne270]]=$G17,KB17,Distances[[#This Row],[Colonne270]]+1)</f>
        <v>120</v>
      </c>
      <c r="KD17" s="17">
        <f>IF(Distances[[#This Row],[Colonne271]]=$G17,KC17,Distances[[#This Row],[Colonne271]]+1)</f>
        <v>120</v>
      </c>
      <c r="KE17" s="17">
        <f>IF(Distances[[#This Row],[Colonne272]]=$G17,KD17,Distances[[#This Row],[Colonne272]]+1)</f>
        <v>120</v>
      </c>
      <c r="KF17" s="17">
        <f>IF(Distances[[#This Row],[Colonne273]]=$G17,KE17,Distances[[#This Row],[Colonne273]]+1)</f>
        <v>120</v>
      </c>
      <c r="KG17" s="17">
        <f>IF(Distances[[#This Row],[Colonne274]]=$G17,KF17,Distances[[#This Row],[Colonne274]]+1)</f>
        <v>120</v>
      </c>
      <c r="KH17" s="17">
        <f>IF(Distances[[#This Row],[Colonne275]]=$G17,KG17,Distances[[#This Row],[Colonne275]]+1)</f>
        <v>120</v>
      </c>
      <c r="KI17" s="17">
        <f>IF(Distances[[#This Row],[Colonne276]]=$G17,KH17,Distances[[#This Row],[Colonne276]]+1)</f>
        <v>120</v>
      </c>
      <c r="KJ17" s="17">
        <f>IF(Distances[[#This Row],[Colonne277]]=$G17,KI17,Distances[[#This Row],[Colonne277]]+1)</f>
        <v>120</v>
      </c>
      <c r="KK17" s="17">
        <f>IF(Distances[[#This Row],[Colonne278]]=$G17,KJ17,Distances[[#This Row],[Colonne278]]+1)</f>
        <v>120</v>
      </c>
      <c r="KL17" s="17">
        <f>IF(Distances[[#This Row],[Colonne279]]=$G17,KK17,Distances[[#This Row],[Colonne279]]+1)</f>
        <v>120</v>
      </c>
      <c r="KM17" s="17">
        <f>IF(Distances[[#This Row],[Colonne280]]=$G17,KL17,Distances[[#This Row],[Colonne280]]+1)</f>
        <v>120</v>
      </c>
      <c r="KN17" s="17">
        <f>IF(Distances[[#This Row],[Colonne281]]=$G17,KM17,Distances[[#This Row],[Colonne281]]+1)</f>
        <v>120</v>
      </c>
      <c r="KO17" s="17">
        <f>IF(Distances[[#This Row],[Colonne282]]=$G17,KN17,Distances[[#This Row],[Colonne282]]+1)</f>
        <v>120</v>
      </c>
      <c r="KP17" s="17">
        <f>IF(Distances[[#This Row],[Colonne283]]=$G17,KO17,Distances[[#This Row],[Colonne283]]+1)</f>
        <v>120</v>
      </c>
      <c r="KQ17" s="17">
        <f>IF(Distances[[#This Row],[Colonne284]]=$G17,KP17,Distances[[#This Row],[Colonne284]]+1)</f>
        <v>120</v>
      </c>
      <c r="KR17" s="17">
        <f>IF(Distances[[#This Row],[Colonne285]]=$G17,KQ17,Distances[[#This Row],[Colonne285]]+1)</f>
        <v>120</v>
      </c>
      <c r="KS17" s="17">
        <f>IF(Distances[[#This Row],[Colonne286]]=$G17,KR17,Distances[[#This Row],[Colonne286]]+1)</f>
        <v>120</v>
      </c>
      <c r="KT17" s="17">
        <f>IF(Distances[[#This Row],[Colonne287]]=$G17,KS17,Distances[[#This Row],[Colonne287]]+1)</f>
        <v>120</v>
      </c>
      <c r="KU17" s="17">
        <f>IF(Distances[[#This Row],[Colonne288]]=$G17,KT17,Distances[[#This Row],[Colonne288]]+1)</f>
        <v>120</v>
      </c>
      <c r="KV17" s="17">
        <f>IF(Distances[[#This Row],[Colonne289]]=$G17,KU17,Distances[[#This Row],[Colonne289]]+1)</f>
        <v>120</v>
      </c>
      <c r="KW17" s="17">
        <f>IF(Distances[[#This Row],[Colonne290]]=$G17,KV17,Distances[[#This Row],[Colonne290]]+1)</f>
        <v>120</v>
      </c>
      <c r="KX17" s="17">
        <f>IF(Distances[[#This Row],[Colonne291]]=$G17,KW17,Distances[[#This Row],[Colonne291]]+1)</f>
        <v>120</v>
      </c>
      <c r="KY17" s="17">
        <f>IF(Distances[[#This Row],[Colonne292]]=$G17,KX17,Distances[[#This Row],[Colonne292]]+1)</f>
        <v>120</v>
      </c>
      <c r="KZ17" s="17">
        <f>IF(Distances[[#This Row],[Colonne293]]=$G17,KY17,Distances[[#This Row],[Colonne293]]+1)</f>
        <v>120</v>
      </c>
      <c r="LA17" s="17">
        <f>IF(Distances[[#This Row],[Colonne294]]=$G17,KZ17,Distances[[#This Row],[Colonne294]]+1)</f>
        <v>120</v>
      </c>
      <c r="LB17" s="17">
        <f>IF(Distances[[#This Row],[Colonne295]]=$G17,LA17,Distances[[#This Row],[Colonne295]]+1)</f>
        <v>120</v>
      </c>
      <c r="LC17" s="17">
        <f>IF(Distances[[#This Row],[Colonne296]]=$G17,LB17,Distances[[#This Row],[Colonne296]]+1)</f>
        <v>120</v>
      </c>
      <c r="LD17" s="17">
        <f>IF(Distances[[#This Row],[Colonne297]]=$G17,LC17,Distances[[#This Row],[Colonne297]]+1)</f>
        <v>120</v>
      </c>
      <c r="LE17" s="17">
        <f>IF(Distances[[#This Row],[Colonne298]]=$G17,LD17,Distances[[#This Row],[Colonne298]]+1)</f>
        <v>120</v>
      </c>
      <c r="LF17" s="17">
        <f>IF(Distances[[#This Row],[Colonne299]]=$G17,LE17,Distances[[#This Row],[Colonne299]]+1)</f>
        <v>120</v>
      </c>
      <c r="LG17" s="17">
        <f>IF(Distances[[#This Row],[Colonne300]]=$G17,LF17,Distances[[#This Row],[Colonne300]]+1)</f>
        <v>120</v>
      </c>
      <c r="LH17" s="17">
        <f>IF(Distances[[#This Row],[Colonne301]]=$G17,LG17,Distances[[#This Row],[Colonne301]]+1)</f>
        <v>120</v>
      </c>
      <c r="LI17" s="17">
        <f>IF(Distances[[#This Row],[Colonne302]]=$G17,LH17,Distances[[#This Row],[Colonne302]]+1)</f>
        <v>120</v>
      </c>
      <c r="LJ17" s="17">
        <f>IF(Distances[[#This Row],[Colonne303]]=$G17,LI17,Distances[[#This Row],[Colonne303]]+1)</f>
        <v>120</v>
      </c>
      <c r="LK17" s="51"/>
      <c r="LL17" s="17">
        <f t="shared" ref="LL17:NW17" si="32">IF(LK17=$H17,LK17,LK17+1)</f>
        <v>1</v>
      </c>
      <c r="LM17" s="17">
        <f t="shared" si="32"/>
        <v>2</v>
      </c>
      <c r="LN17" s="17">
        <f t="shared" si="32"/>
        <v>3</v>
      </c>
      <c r="LO17" s="17">
        <f t="shared" si="32"/>
        <v>4</v>
      </c>
      <c r="LP17" s="17">
        <f t="shared" si="32"/>
        <v>5</v>
      </c>
      <c r="LQ17" s="17">
        <f t="shared" si="32"/>
        <v>6</v>
      </c>
      <c r="LR17" s="17">
        <f t="shared" si="32"/>
        <v>7</v>
      </c>
      <c r="LS17" s="17">
        <f t="shared" si="32"/>
        <v>8</v>
      </c>
      <c r="LT17" s="17">
        <f t="shared" si="32"/>
        <v>9</v>
      </c>
      <c r="LU17" s="17">
        <f t="shared" si="32"/>
        <v>10</v>
      </c>
      <c r="LV17" s="17">
        <f t="shared" si="32"/>
        <v>11</v>
      </c>
      <c r="LW17" s="17">
        <f t="shared" si="32"/>
        <v>12</v>
      </c>
      <c r="LX17" s="17">
        <f t="shared" si="32"/>
        <v>13</v>
      </c>
      <c r="LY17" s="17">
        <f t="shared" si="32"/>
        <v>14</v>
      </c>
      <c r="LZ17" s="17">
        <f t="shared" si="32"/>
        <v>15</v>
      </c>
      <c r="MA17" s="17">
        <f t="shared" si="32"/>
        <v>16</v>
      </c>
      <c r="MB17" s="17">
        <f t="shared" si="32"/>
        <v>17</v>
      </c>
      <c r="MC17" s="17">
        <f t="shared" si="32"/>
        <v>18</v>
      </c>
      <c r="MD17" s="17">
        <f t="shared" si="32"/>
        <v>19</v>
      </c>
      <c r="ME17" s="17">
        <f t="shared" si="32"/>
        <v>20</v>
      </c>
      <c r="MF17" s="17">
        <f t="shared" si="32"/>
        <v>21</v>
      </c>
      <c r="MG17" s="17">
        <f t="shared" si="32"/>
        <v>22</v>
      </c>
      <c r="MH17" s="17">
        <f t="shared" si="32"/>
        <v>23</v>
      </c>
      <c r="MI17" s="17">
        <f t="shared" si="32"/>
        <v>24</v>
      </c>
      <c r="MJ17" s="17">
        <f t="shared" si="32"/>
        <v>25</v>
      </c>
      <c r="MK17" s="17">
        <f t="shared" si="32"/>
        <v>25</v>
      </c>
      <c r="ML17" s="17">
        <f t="shared" si="32"/>
        <v>25</v>
      </c>
      <c r="MM17" s="17">
        <f t="shared" si="32"/>
        <v>25</v>
      </c>
      <c r="MN17" s="17">
        <f t="shared" si="32"/>
        <v>25</v>
      </c>
      <c r="MO17" s="17">
        <f t="shared" si="32"/>
        <v>25</v>
      </c>
      <c r="MP17" s="17">
        <f t="shared" si="32"/>
        <v>25</v>
      </c>
      <c r="MQ17" s="17">
        <f t="shared" si="32"/>
        <v>25</v>
      </c>
      <c r="MR17" s="17">
        <f t="shared" si="32"/>
        <v>25</v>
      </c>
      <c r="MS17" s="17">
        <f t="shared" si="32"/>
        <v>25</v>
      </c>
      <c r="MT17" s="17">
        <f t="shared" si="32"/>
        <v>25</v>
      </c>
      <c r="MU17" s="17">
        <f t="shared" si="32"/>
        <v>25</v>
      </c>
      <c r="MV17" s="17">
        <f t="shared" si="32"/>
        <v>25</v>
      </c>
      <c r="MW17" s="17">
        <f t="shared" si="32"/>
        <v>25</v>
      </c>
      <c r="MX17" s="17">
        <f t="shared" si="32"/>
        <v>25</v>
      </c>
      <c r="MY17" s="17">
        <f t="shared" si="32"/>
        <v>25</v>
      </c>
      <c r="MZ17" s="17">
        <f t="shared" si="32"/>
        <v>25</v>
      </c>
      <c r="NA17" s="17">
        <f t="shared" si="32"/>
        <v>25</v>
      </c>
      <c r="NB17" s="17">
        <f t="shared" si="32"/>
        <v>25</v>
      </c>
      <c r="NC17" s="17">
        <f t="shared" si="32"/>
        <v>25</v>
      </c>
      <c r="ND17" s="17">
        <f t="shared" si="32"/>
        <v>25</v>
      </c>
      <c r="NE17" s="17">
        <f t="shared" si="32"/>
        <v>25</v>
      </c>
      <c r="NF17" s="17">
        <f t="shared" si="32"/>
        <v>25</v>
      </c>
      <c r="NG17" s="17">
        <f t="shared" si="32"/>
        <v>25</v>
      </c>
      <c r="NH17" s="17">
        <f t="shared" si="32"/>
        <v>25</v>
      </c>
      <c r="NI17" s="17">
        <f t="shared" si="32"/>
        <v>25</v>
      </c>
      <c r="NJ17" s="17">
        <f t="shared" si="32"/>
        <v>25</v>
      </c>
      <c r="NK17" s="17">
        <f t="shared" si="32"/>
        <v>25</v>
      </c>
      <c r="NL17" s="17">
        <f t="shared" si="32"/>
        <v>25</v>
      </c>
      <c r="NM17" s="17">
        <f t="shared" si="32"/>
        <v>25</v>
      </c>
      <c r="NN17" s="17">
        <f t="shared" si="32"/>
        <v>25</v>
      </c>
      <c r="NO17" s="17">
        <f t="shared" si="32"/>
        <v>25</v>
      </c>
      <c r="NP17" s="17">
        <f t="shared" si="32"/>
        <v>25</v>
      </c>
      <c r="NQ17" s="17">
        <f t="shared" si="32"/>
        <v>25</v>
      </c>
      <c r="NR17" s="17">
        <f t="shared" si="32"/>
        <v>25</v>
      </c>
      <c r="NS17" s="17">
        <f t="shared" si="32"/>
        <v>25</v>
      </c>
      <c r="NT17" s="17">
        <f t="shared" si="32"/>
        <v>25</v>
      </c>
      <c r="NU17" s="17">
        <f t="shared" si="32"/>
        <v>25</v>
      </c>
      <c r="NV17" s="17">
        <f t="shared" si="32"/>
        <v>25</v>
      </c>
      <c r="NW17" s="17">
        <f t="shared" si="32"/>
        <v>25</v>
      </c>
      <c r="NX17" s="17">
        <f t="shared" ref="NX17:PG17" si="33">IF(NW17=$H17,NW17,NW17+1)</f>
        <v>25</v>
      </c>
      <c r="NY17" s="17">
        <f t="shared" si="33"/>
        <v>25</v>
      </c>
      <c r="NZ17" s="17">
        <f t="shared" si="33"/>
        <v>25</v>
      </c>
      <c r="OA17" s="17">
        <f t="shared" si="33"/>
        <v>25</v>
      </c>
      <c r="OB17" s="17">
        <f t="shared" si="33"/>
        <v>25</v>
      </c>
      <c r="OC17" s="17">
        <f t="shared" si="33"/>
        <v>25</v>
      </c>
      <c r="OD17" s="17">
        <f t="shared" si="33"/>
        <v>25</v>
      </c>
      <c r="OE17" s="17">
        <f t="shared" si="33"/>
        <v>25</v>
      </c>
      <c r="OF17" s="17">
        <f t="shared" si="33"/>
        <v>25</v>
      </c>
      <c r="OG17" s="17">
        <f t="shared" si="33"/>
        <v>25</v>
      </c>
      <c r="OH17" s="17">
        <f t="shared" si="33"/>
        <v>25</v>
      </c>
      <c r="OI17" s="17">
        <f t="shared" si="33"/>
        <v>25</v>
      </c>
      <c r="OJ17" s="17">
        <f t="shared" si="33"/>
        <v>25</v>
      </c>
      <c r="OK17" s="17">
        <f t="shared" si="33"/>
        <v>25</v>
      </c>
      <c r="OL17" s="17">
        <f t="shared" si="33"/>
        <v>25</v>
      </c>
      <c r="OM17" s="17">
        <f t="shared" si="33"/>
        <v>25</v>
      </c>
      <c r="ON17" s="17">
        <f t="shared" si="33"/>
        <v>25</v>
      </c>
      <c r="OO17" s="17">
        <f t="shared" si="33"/>
        <v>25</v>
      </c>
      <c r="OP17" s="17">
        <f t="shared" si="33"/>
        <v>25</v>
      </c>
      <c r="OQ17" s="17">
        <f t="shared" si="33"/>
        <v>25</v>
      </c>
      <c r="OR17" s="17">
        <f t="shared" si="33"/>
        <v>25</v>
      </c>
      <c r="OS17" s="17">
        <f t="shared" si="33"/>
        <v>25</v>
      </c>
      <c r="OT17" s="17">
        <f t="shared" si="33"/>
        <v>25</v>
      </c>
      <c r="OU17" s="17">
        <f t="shared" si="33"/>
        <v>25</v>
      </c>
      <c r="OV17" s="17">
        <f t="shared" si="33"/>
        <v>25</v>
      </c>
      <c r="OW17" s="17">
        <f t="shared" si="33"/>
        <v>25</v>
      </c>
      <c r="OX17" s="17">
        <f t="shared" si="33"/>
        <v>25</v>
      </c>
      <c r="OY17" s="17">
        <f t="shared" si="33"/>
        <v>25</v>
      </c>
      <c r="OZ17" s="17">
        <f t="shared" si="33"/>
        <v>25</v>
      </c>
      <c r="PA17" s="17">
        <f t="shared" si="33"/>
        <v>25</v>
      </c>
      <c r="PB17" s="17">
        <f t="shared" si="33"/>
        <v>25</v>
      </c>
      <c r="PC17" s="17">
        <f t="shared" si="33"/>
        <v>25</v>
      </c>
      <c r="PD17" s="17">
        <f t="shared" si="33"/>
        <v>25</v>
      </c>
      <c r="PE17" s="17">
        <f t="shared" si="33"/>
        <v>25</v>
      </c>
      <c r="PF17" s="17">
        <f t="shared" si="33"/>
        <v>25</v>
      </c>
      <c r="PG17" s="17">
        <f t="shared" si="33"/>
        <v>25</v>
      </c>
    </row>
    <row r="18" spans="1:423" x14ac:dyDescent="0.25">
      <c r="A18" s="8" t="s">
        <v>5506</v>
      </c>
      <c r="B18" s="9" t="s">
        <v>5503</v>
      </c>
      <c r="C18" s="9" t="str">
        <f t="shared" si="0"/>
        <v>CR1</v>
      </c>
      <c r="D18" s="280" t="str">
        <f t="shared" si="1"/>
        <v>Cadre R1</v>
      </c>
      <c r="E18" t="s">
        <v>15</v>
      </c>
      <c r="F18" s="128" t="s">
        <v>5452</v>
      </c>
      <c r="G18" s="9">
        <v>80</v>
      </c>
      <c r="H18" s="9">
        <v>35</v>
      </c>
      <c r="I18" s="127">
        <v>2.8</v>
      </c>
      <c r="J18" s="30"/>
      <c r="K18" s="281" t="s">
        <v>5540</v>
      </c>
      <c r="L18" s="8">
        <v>0</v>
      </c>
      <c r="M18" s="9">
        <v>0</v>
      </c>
      <c r="N18" s="10">
        <v>3.4990000000000001</v>
      </c>
      <c r="O18" s="269"/>
      <c r="P18" s="331"/>
      <c r="Q18" s="335"/>
      <c r="R18" s="128">
        <v>1</v>
      </c>
      <c r="S18" s="9">
        <v>1</v>
      </c>
      <c r="T18" s="10">
        <v>2</v>
      </c>
      <c r="U18" t="s">
        <v>5523</v>
      </c>
      <c r="V18" s="17">
        <v>0</v>
      </c>
      <c r="W18" s="17">
        <f>IF(Distances[[#This Row],[Colonne4]]=$G18,V18,Distances[[#This Row],[Colonne4]]+1)</f>
        <v>1</v>
      </c>
      <c r="X18" s="17">
        <f>IF(Distances[[#This Row],[Colonne5]]=$G18,W18,Distances[[#This Row],[Colonne5]]+1)</f>
        <v>2</v>
      </c>
      <c r="Y18" s="17">
        <f>IF(Distances[[#This Row],[Colonne6]]=$G18,X18,Distances[[#This Row],[Colonne6]]+1)</f>
        <v>3</v>
      </c>
      <c r="Z18" s="17">
        <f>IF(Distances[[#This Row],[Colonne7]]=$G18,Y18,Distances[[#This Row],[Colonne7]]+1)</f>
        <v>4</v>
      </c>
      <c r="AA18" s="17">
        <f>IF(Distances[[#This Row],[Colonne8]]=$G18,Z18,Distances[[#This Row],[Colonne8]]+1)</f>
        <v>5</v>
      </c>
      <c r="AB18" s="17">
        <f>IF(Distances[[#This Row],[Colonne9]]=$G18,AA18,Distances[[#This Row],[Colonne9]]+1)</f>
        <v>6</v>
      </c>
      <c r="AC18" s="17">
        <f>IF(Distances[[#This Row],[Colonne10]]=$G18,AB18,Distances[[#This Row],[Colonne10]]+1)</f>
        <v>7</v>
      </c>
      <c r="AD18" s="17">
        <f>IF(Distances[[#This Row],[Colonne11]]=$G18,AC18,Distances[[#This Row],[Colonne11]]+1)</f>
        <v>8</v>
      </c>
      <c r="AE18" s="17">
        <f>IF(Distances[[#This Row],[Colonne12]]=$G18,AD18,Distances[[#This Row],[Colonne12]]+1)</f>
        <v>9</v>
      </c>
      <c r="AF18" s="17">
        <f>IF(Distances[[#This Row],[Colonne13]]=$G18,AE18,Distances[[#This Row],[Colonne13]]+1)</f>
        <v>10</v>
      </c>
      <c r="AG18" s="17">
        <f>IF(Distances[[#This Row],[Colonne14]]=$G18,AF18,Distances[[#This Row],[Colonne14]]+1)</f>
        <v>11</v>
      </c>
      <c r="AH18" s="17">
        <f>IF(Distances[[#This Row],[Colonne15]]=$G18,AG18,Distances[[#This Row],[Colonne15]]+1)</f>
        <v>12</v>
      </c>
      <c r="AI18" s="17">
        <f>IF(Distances[[#This Row],[Colonne16]]=$G18,AH18,Distances[[#This Row],[Colonne16]]+1)</f>
        <v>13</v>
      </c>
      <c r="AJ18" s="17">
        <f>IF(Distances[[#This Row],[Colonne17]]=$G18,AI18,Distances[[#This Row],[Colonne17]]+1)</f>
        <v>14</v>
      </c>
      <c r="AK18" s="17">
        <f>IF(Distances[[#This Row],[Colonne18]]=$G18,AJ18,Distances[[#This Row],[Colonne18]]+1)</f>
        <v>15</v>
      </c>
      <c r="AL18" s="17">
        <f>IF(Distances[[#This Row],[Colonne19]]=$G18,AK18,Distances[[#This Row],[Colonne19]]+1)</f>
        <v>16</v>
      </c>
      <c r="AM18" s="17">
        <f>IF(Distances[[#This Row],[Colonne20]]=$G18,AL18,Distances[[#This Row],[Colonne20]]+1)</f>
        <v>17</v>
      </c>
      <c r="AN18" s="17">
        <f>IF(Distances[[#This Row],[Colonne21]]=$G18,AM18,Distances[[#This Row],[Colonne21]]+1)</f>
        <v>18</v>
      </c>
      <c r="AO18" s="17">
        <f>IF(Distances[[#This Row],[Colonne22]]=$G18,AN18,Distances[[#This Row],[Colonne22]]+1)</f>
        <v>19</v>
      </c>
      <c r="AP18" s="17">
        <f>IF(Distances[[#This Row],[Colonne23]]=$G18,AO18,Distances[[#This Row],[Colonne23]]+1)</f>
        <v>20</v>
      </c>
      <c r="AQ18" s="17">
        <f>IF(Distances[[#This Row],[Colonne24]]=$G18,AP18,Distances[[#This Row],[Colonne24]]+1)</f>
        <v>21</v>
      </c>
      <c r="AR18" s="17">
        <f>IF(Distances[[#This Row],[Colonne25]]=$G18,AQ18,Distances[[#This Row],[Colonne25]]+1)</f>
        <v>22</v>
      </c>
      <c r="AS18" s="17">
        <f>IF(Distances[[#This Row],[Colonne26]]=$G18,AR18,Distances[[#This Row],[Colonne26]]+1)</f>
        <v>23</v>
      </c>
      <c r="AT18" s="17">
        <f>IF(Distances[[#This Row],[Colonne27]]=$G18,AS18,Distances[[#This Row],[Colonne27]]+1)</f>
        <v>24</v>
      </c>
      <c r="AU18" s="17">
        <f>IF(Distances[[#This Row],[Colonne28]]=$G18,AT18,Distances[[#This Row],[Colonne28]]+1)</f>
        <v>25</v>
      </c>
      <c r="AV18" s="17">
        <f>IF(Distances[[#This Row],[Colonne29]]=$G18,AU18,Distances[[#This Row],[Colonne29]]+1)</f>
        <v>26</v>
      </c>
      <c r="AW18" s="17">
        <f>IF(Distances[[#This Row],[Colonne30]]=$G18,AV18,Distances[[#This Row],[Colonne30]]+1)</f>
        <v>27</v>
      </c>
      <c r="AX18" s="17">
        <f>IF(Distances[[#This Row],[Colonne31]]=$G18,AW18,Distances[[#This Row],[Colonne31]]+1)</f>
        <v>28</v>
      </c>
      <c r="AY18" s="17">
        <f>IF(Distances[[#This Row],[Colonne32]]=$G18,AX18,Distances[[#This Row],[Colonne32]]+1)</f>
        <v>29</v>
      </c>
      <c r="AZ18" s="17">
        <f>IF(Distances[[#This Row],[Colonne33]]=$G18,AY18,Distances[[#This Row],[Colonne33]]+1)</f>
        <v>30</v>
      </c>
      <c r="BA18" s="17">
        <f>IF(Distances[[#This Row],[Colonne34]]=$G18,AZ18,Distances[[#This Row],[Colonne34]]+1)</f>
        <v>31</v>
      </c>
      <c r="BB18" s="17">
        <f>IF(Distances[[#This Row],[Colonne35]]=$G18,BA18,Distances[[#This Row],[Colonne35]]+1)</f>
        <v>32</v>
      </c>
      <c r="BC18" s="17">
        <f>IF(Distances[[#This Row],[Colonne36]]=$G18,BB18,Distances[[#This Row],[Colonne36]]+1)</f>
        <v>33</v>
      </c>
      <c r="BD18" s="17">
        <f>IF(Distances[[#This Row],[Colonne37]]=$G18,BC18,Distances[[#This Row],[Colonne37]]+1)</f>
        <v>34</v>
      </c>
      <c r="BE18" s="17">
        <f>IF(Distances[[#This Row],[Colonne38]]=$G18,BD18,Distances[[#This Row],[Colonne38]]+1)</f>
        <v>35</v>
      </c>
      <c r="BF18" s="17">
        <f>IF(Distances[[#This Row],[Colonne39]]=$G18,BE18,Distances[[#This Row],[Colonne39]]+1)</f>
        <v>36</v>
      </c>
      <c r="BG18" s="17">
        <f>IF(Distances[[#This Row],[Colonne40]]=$G18,BF18,Distances[[#This Row],[Colonne40]]+1)</f>
        <v>37</v>
      </c>
      <c r="BH18" s="17">
        <f>IF(Distances[[#This Row],[Colonne41]]=$G18,BG18,Distances[[#This Row],[Colonne41]]+1)</f>
        <v>38</v>
      </c>
      <c r="BI18" s="17">
        <f>IF(Distances[[#This Row],[Colonne42]]=$G18,BH18,Distances[[#This Row],[Colonne42]]+1)</f>
        <v>39</v>
      </c>
      <c r="BJ18" s="17">
        <f>IF(Distances[[#This Row],[Colonne43]]=$G18,BI18,Distances[[#This Row],[Colonne43]]+1)</f>
        <v>40</v>
      </c>
      <c r="BK18" s="17">
        <f>IF(Distances[[#This Row],[Colonne44]]=$G18,BJ18,Distances[[#This Row],[Colonne44]]+1)</f>
        <v>41</v>
      </c>
      <c r="BL18" s="17">
        <f>IF(Distances[[#This Row],[Colonne45]]=$G18,BK18,Distances[[#This Row],[Colonne45]]+1)</f>
        <v>42</v>
      </c>
      <c r="BM18" s="17">
        <f>IF(Distances[[#This Row],[Colonne46]]=$G18,BL18,Distances[[#This Row],[Colonne46]]+1)</f>
        <v>43</v>
      </c>
      <c r="BN18" s="17">
        <f>IF(Distances[[#This Row],[Colonne47]]=$G18,BM18,Distances[[#This Row],[Colonne47]]+1)</f>
        <v>44</v>
      </c>
      <c r="BO18" s="17">
        <f>IF(Distances[[#This Row],[Colonne48]]=$G18,BN18,Distances[[#This Row],[Colonne48]]+1)</f>
        <v>45</v>
      </c>
      <c r="BP18" s="17">
        <f>IF(Distances[[#This Row],[Colonne49]]=$G18,BO18,Distances[[#This Row],[Colonne49]]+1)</f>
        <v>46</v>
      </c>
      <c r="BQ18" s="17">
        <f>IF(Distances[[#This Row],[Colonne50]]=$G18,BP18,Distances[[#This Row],[Colonne50]]+1)</f>
        <v>47</v>
      </c>
      <c r="BR18" s="17">
        <f>IF(Distances[[#This Row],[Colonne51]]=$G18,BQ18,Distances[[#This Row],[Colonne51]]+1)</f>
        <v>48</v>
      </c>
      <c r="BS18" s="17">
        <f>IF(Distances[[#This Row],[Colonne52]]=$G18,BR18,Distances[[#This Row],[Colonne52]]+1)</f>
        <v>49</v>
      </c>
      <c r="BT18" s="17">
        <f>IF(Distances[[#This Row],[Colonne53]]=$G18,BS18,Distances[[#This Row],[Colonne53]]+1)</f>
        <v>50</v>
      </c>
      <c r="BU18" s="17">
        <f>IF(Distances[[#This Row],[Colonne54]]=$G18,BT18,Distances[[#This Row],[Colonne54]]+1)</f>
        <v>51</v>
      </c>
      <c r="BV18" s="17">
        <f>IF(Distances[[#This Row],[Colonne55]]=$G18,BU18,Distances[[#This Row],[Colonne55]]+1)</f>
        <v>52</v>
      </c>
      <c r="BW18" s="17">
        <f>IF(Distances[[#This Row],[Colonne56]]=$G18,BV18,Distances[[#This Row],[Colonne56]]+1)</f>
        <v>53</v>
      </c>
      <c r="BX18" s="17">
        <f>IF(Distances[[#This Row],[Colonne57]]=$G18,BW18,Distances[[#This Row],[Colonne57]]+1)</f>
        <v>54</v>
      </c>
      <c r="BY18" s="17">
        <f>IF(Distances[[#This Row],[Colonne58]]=$G18,BX18,Distances[[#This Row],[Colonne58]]+1)</f>
        <v>55</v>
      </c>
      <c r="BZ18" s="17">
        <f>IF(Distances[[#This Row],[Colonne59]]=$G18,BY18,Distances[[#This Row],[Colonne59]]+1)</f>
        <v>56</v>
      </c>
      <c r="CA18" s="17">
        <f>IF(Distances[[#This Row],[Colonne60]]=$G18,BZ18,Distances[[#This Row],[Colonne60]]+1)</f>
        <v>57</v>
      </c>
      <c r="CB18" s="17">
        <f>IF(Distances[[#This Row],[Colonne61]]=$G18,CA18,Distances[[#This Row],[Colonne61]]+1)</f>
        <v>58</v>
      </c>
      <c r="CC18" s="17">
        <f>IF(Distances[[#This Row],[Colonne62]]=$G18,CB18,Distances[[#This Row],[Colonne62]]+1)</f>
        <v>59</v>
      </c>
      <c r="CD18" s="17">
        <f>IF(Distances[[#This Row],[Colonne63]]=$G18,CC18,Distances[[#This Row],[Colonne63]]+1)</f>
        <v>60</v>
      </c>
      <c r="CE18" s="17">
        <f>IF(Distances[[#This Row],[Colonne64]]=$G18,CD18,Distances[[#This Row],[Colonne64]]+1)</f>
        <v>61</v>
      </c>
      <c r="CF18" s="17">
        <f>IF(Distances[[#This Row],[Colonne65]]=$G18,CE18,Distances[[#This Row],[Colonne65]]+1)</f>
        <v>62</v>
      </c>
      <c r="CG18" s="17">
        <f>IF(Distances[[#This Row],[Colonne66]]=$G18,CF18,Distances[[#This Row],[Colonne66]]+1)</f>
        <v>63</v>
      </c>
      <c r="CH18" s="17">
        <f>IF(Distances[[#This Row],[Colonne67]]=$G18,CG18,Distances[[#This Row],[Colonne67]]+1)</f>
        <v>64</v>
      </c>
      <c r="CI18" s="17">
        <f>IF(Distances[[#This Row],[Colonne68]]=$G18,CH18,Distances[[#This Row],[Colonne68]]+1)</f>
        <v>65</v>
      </c>
      <c r="CJ18" s="17">
        <f>IF(Distances[[#This Row],[Colonne69]]=$G18,CI18,Distances[[#This Row],[Colonne69]]+1)</f>
        <v>66</v>
      </c>
      <c r="CK18" s="17">
        <f>IF(Distances[[#This Row],[Colonne70]]=$G18,CJ18,Distances[[#This Row],[Colonne70]]+1)</f>
        <v>67</v>
      </c>
      <c r="CL18" s="17">
        <f>IF(Distances[[#This Row],[Colonne71]]=$G18,CK18,Distances[[#This Row],[Colonne71]]+1)</f>
        <v>68</v>
      </c>
      <c r="CM18" s="17">
        <f>IF(Distances[[#This Row],[Colonne72]]=$G18,CL18,Distances[[#This Row],[Colonne72]]+1)</f>
        <v>69</v>
      </c>
      <c r="CN18" s="17">
        <f>IF(Distances[[#This Row],[Colonne73]]=$G18,CM18,Distances[[#This Row],[Colonne73]]+1)</f>
        <v>70</v>
      </c>
      <c r="CO18" s="17">
        <f>IF(Distances[[#This Row],[Colonne74]]=$G18,CN18,Distances[[#This Row],[Colonne74]]+1)</f>
        <v>71</v>
      </c>
      <c r="CP18" s="17">
        <f>IF(Distances[[#This Row],[Colonne75]]=$G18,CO18,Distances[[#This Row],[Colonne75]]+1)</f>
        <v>72</v>
      </c>
      <c r="CQ18" s="17">
        <f>IF(Distances[[#This Row],[Colonne76]]=$G18,CP18,Distances[[#This Row],[Colonne76]]+1)</f>
        <v>73</v>
      </c>
      <c r="CR18" s="17">
        <f>IF(Distances[[#This Row],[Colonne77]]=$G18,CQ18,Distances[[#This Row],[Colonne77]]+1)</f>
        <v>74</v>
      </c>
      <c r="CS18" s="17">
        <f>IF(Distances[[#This Row],[Colonne78]]=$G18,CR18,Distances[[#This Row],[Colonne78]]+1)</f>
        <v>75</v>
      </c>
      <c r="CT18" s="17">
        <f>IF(Distances[[#This Row],[Colonne79]]=$G18,CS18,Distances[[#This Row],[Colonne79]]+1)</f>
        <v>76</v>
      </c>
      <c r="CU18" s="17">
        <f>IF(Distances[[#This Row],[Colonne80]]=$G18,CT18,Distances[[#This Row],[Colonne80]]+1)</f>
        <v>77</v>
      </c>
      <c r="CV18" s="17">
        <f>IF(Distances[[#This Row],[Colonne81]]=$G18,CU18,Distances[[#This Row],[Colonne81]]+1)</f>
        <v>78</v>
      </c>
      <c r="CW18" s="17">
        <f>IF(Distances[[#This Row],[Colonne82]]=$G18,CV18,Distances[[#This Row],[Colonne82]]+1)</f>
        <v>79</v>
      </c>
      <c r="CX18" s="17">
        <f>IF(Distances[[#This Row],[Colonne83]]=$G18,CW18,Distances[[#This Row],[Colonne83]]+1)</f>
        <v>80</v>
      </c>
      <c r="CY18" s="17">
        <f>IF(Distances[[#This Row],[Colonne84]]=$G18,CX18,Distances[[#This Row],[Colonne84]]+1)</f>
        <v>80</v>
      </c>
      <c r="CZ18" s="17">
        <f>IF(Distances[[#This Row],[Colonne85]]=$G18,CY18,Distances[[#This Row],[Colonne85]]+1)</f>
        <v>80</v>
      </c>
      <c r="DA18" s="17">
        <f>IF(Distances[[#This Row],[Colonne86]]=$G18,CZ18,Distances[[#This Row],[Colonne86]]+1)</f>
        <v>80</v>
      </c>
      <c r="DB18" s="17">
        <f>IF(Distances[[#This Row],[Colonne87]]=$G18,DA18,Distances[[#This Row],[Colonne87]]+1)</f>
        <v>80</v>
      </c>
      <c r="DC18" s="17">
        <f>IF(Distances[[#This Row],[Colonne88]]=$G18,DB18,Distances[[#This Row],[Colonne88]]+1)</f>
        <v>80</v>
      </c>
      <c r="DD18" s="17">
        <f>IF(Distances[[#This Row],[Colonne89]]=$G18,DC18,Distances[[#This Row],[Colonne89]]+1)</f>
        <v>80</v>
      </c>
      <c r="DE18" s="17">
        <f>IF(Distances[[#This Row],[Colonne90]]=$G18,DD18,Distances[[#This Row],[Colonne90]]+1)</f>
        <v>80</v>
      </c>
      <c r="DF18" s="17">
        <f>IF(Distances[[#This Row],[Colonne91]]=$G18,DE18,Distances[[#This Row],[Colonne91]]+1)</f>
        <v>80</v>
      </c>
      <c r="DG18" s="17">
        <f>IF(Distances[[#This Row],[Colonne92]]=$G18,DF18,Distances[[#This Row],[Colonne92]]+1)</f>
        <v>80</v>
      </c>
      <c r="DH18" s="17">
        <f>IF(Distances[[#This Row],[Colonne93]]=$G18,DG18,Distances[[#This Row],[Colonne93]]+1)</f>
        <v>80</v>
      </c>
      <c r="DI18" s="17">
        <f>IF(Distances[[#This Row],[Colonne94]]=$G18,DH18,Distances[[#This Row],[Colonne94]]+1)</f>
        <v>80</v>
      </c>
      <c r="DJ18" s="17">
        <f>IF(Distances[[#This Row],[Colonne95]]=$G18,DI18,Distances[[#This Row],[Colonne95]]+1)</f>
        <v>80</v>
      </c>
      <c r="DK18" s="17">
        <f>IF(Distances[[#This Row],[Colonne96]]=$G18,DJ18,Distances[[#This Row],[Colonne96]]+1)</f>
        <v>80</v>
      </c>
      <c r="DL18" s="17">
        <f>IF(Distances[[#This Row],[Colonne97]]=$G18,DK18,Distances[[#This Row],[Colonne97]]+1)</f>
        <v>80</v>
      </c>
      <c r="DM18" s="17">
        <f>IF(Distances[[#This Row],[Colonne98]]=$G18,DL18,Distances[[#This Row],[Colonne98]]+1)</f>
        <v>80</v>
      </c>
      <c r="DN18" s="17">
        <f>IF(Distances[[#This Row],[Colonne99]]=$G18,DM18,Distances[[#This Row],[Colonne99]]+1)</f>
        <v>80</v>
      </c>
      <c r="DO18" s="17">
        <f>IF(Distances[[#This Row],[Colonne100]]=$G18,DN18,Distances[[#This Row],[Colonne100]]+1)</f>
        <v>80</v>
      </c>
      <c r="DP18" s="17">
        <f>IF(Distances[[#This Row],[Colonne101]]=$G18,DO18,Distances[[#This Row],[Colonne101]]+1)</f>
        <v>80</v>
      </c>
      <c r="DQ18" s="17">
        <f>IF(Distances[[#This Row],[Colonne102]]=$G18,DP18,Distances[[#This Row],[Colonne102]]+1)</f>
        <v>80</v>
      </c>
      <c r="DR18" s="17">
        <f>IF(Distances[[#This Row],[Colonne103]]=$G18,DQ18,Distances[[#This Row],[Colonne103]]+1)</f>
        <v>80</v>
      </c>
      <c r="DS18" s="17">
        <f>IF(Distances[[#This Row],[Colonne104]]=$G18,DR18,Distances[[#This Row],[Colonne104]]+1)</f>
        <v>80</v>
      </c>
      <c r="DT18" s="17">
        <f>IF(Distances[[#This Row],[Colonne105]]=$G18,DS18,Distances[[#This Row],[Colonne105]]+1)</f>
        <v>80</v>
      </c>
      <c r="DU18" s="17">
        <f>IF(Distances[[#This Row],[Colonne106]]=$G18,DT18,Distances[[#This Row],[Colonne106]]+1)</f>
        <v>80</v>
      </c>
      <c r="DV18" s="17">
        <f>IF(Distances[[#This Row],[Colonne107]]=$G18,DU18,Distances[[#This Row],[Colonne107]]+1)</f>
        <v>80</v>
      </c>
      <c r="DW18" s="17">
        <f>IF(Distances[[#This Row],[Colonne108]]=$G18,DV18,Distances[[#This Row],[Colonne108]]+1)</f>
        <v>80</v>
      </c>
      <c r="DX18" s="17">
        <f>IF(Distances[[#This Row],[Colonne109]]=$G18,DW18,Distances[[#This Row],[Colonne109]]+1)</f>
        <v>80</v>
      </c>
      <c r="DY18" s="17">
        <f>IF(Distances[[#This Row],[Colonne110]]=$G18,DX18,Distances[[#This Row],[Colonne110]]+1)</f>
        <v>80</v>
      </c>
      <c r="DZ18" s="17">
        <f>IF(Distances[[#This Row],[Colonne111]]=$G18,DY18,Distances[[#This Row],[Colonne111]]+1)</f>
        <v>80</v>
      </c>
      <c r="EA18" s="17">
        <f>IF(Distances[[#This Row],[Colonne112]]=$G18,DZ18,Distances[[#This Row],[Colonne112]]+1)</f>
        <v>80</v>
      </c>
      <c r="EB18" s="17">
        <f>IF(Distances[[#This Row],[Colonne113]]=$G18,EA18,Distances[[#This Row],[Colonne113]]+1)</f>
        <v>80</v>
      </c>
      <c r="EC18" s="17">
        <f>IF(Distances[[#This Row],[Colonne114]]=$G18,EB18,Distances[[#This Row],[Colonne114]]+1)</f>
        <v>80</v>
      </c>
      <c r="ED18" s="17">
        <f>IF(Distances[[#This Row],[Colonne115]]=$G18,EC18,Distances[[#This Row],[Colonne115]]+1)</f>
        <v>80</v>
      </c>
      <c r="EE18" s="17">
        <f>IF(Distances[[#This Row],[Colonne116]]=$G18,ED18,Distances[[#This Row],[Colonne116]]+1)</f>
        <v>80</v>
      </c>
      <c r="EF18" s="17">
        <f>IF(Distances[[#This Row],[Colonne117]]=$G18,EE18,Distances[[#This Row],[Colonne117]]+1)</f>
        <v>80</v>
      </c>
      <c r="EG18" s="17">
        <f>IF(Distances[[#This Row],[Colonne118]]=$G18,EF18,Distances[[#This Row],[Colonne118]]+1)</f>
        <v>80</v>
      </c>
      <c r="EH18" s="17">
        <f>IF(Distances[[#This Row],[Colonne119]]=$G18,EG18,Distances[[#This Row],[Colonne119]]+1)</f>
        <v>80</v>
      </c>
      <c r="EI18" s="17">
        <f>IF(Distances[[#This Row],[Colonne120]]=$G18,EH18,Distances[[#This Row],[Colonne120]]+1)</f>
        <v>80</v>
      </c>
      <c r="EJ18" s="17">
        <f>IF(Distances[[#This Row],[Colonne121]]=$G18,EI18,Distances[[#This Row],[Colonne121]]+1)</f>
        <v>80</v>
      </c>
      <c r="EK18" s="17">
        <f>IF(Distances[[#This Row],[Colonne122]]=$G18,EJ18,Distances[[#This Row],[Colonne122]]+1)</f>
        <v>80</v>
      </c>
      <c r="EL18" s="17">
        <f>IF(Distances[[#This Row],[Colonne123]]=$G18,EK18,Distances[[#This Row],[Colonne123]]+1)</f>
        <v>80</v>
      </c>
      <c r="EM18" s="17">
        <f>IF(Distances[[#This Row],[Colonne124]]=$G18,EL18,Distances[[#This Row],[Colonne124]]+1)</f>
        <v>80</v>
      </c>
      <c r="EN18" s="17">
        <f>IF(Distances[[#This Row],[Colonne125]]=$G18,EM18,Distances[[#This Row],[Colonne125]]+1)</f>
        <v>80</v>
      </c>
      <c r="EO18" s="17">
        <f>IF(Distances[[#This Row],[Colonne126]]=$G18,EN18,Distances[[#This Row],[Colonne126]]+1)</f>
        <v>80</v>
      </c>
      <c r="EP18" s="17">
        <f>IF(Distances[[#This Row],[Colonne127]]=$G18,EO18,Distances[[#This Row],[Colonne127]]+1)</f>
        <v>80</v>
      </c>
      <c r="EQ18" s="17">
        <f>IF(Distances[[#This Row],[Colonne128]]=$G18,EP18,Distances[[#This Row],[Colonne128]]+1)</f>
        <v>80</v>
      </c>
      <c r="ER18" s="17">
        <f>IF(Distances[[#This Row],[Colonne129]]=$G18,EQ18,Distances[[#This Row],[Colonne129]]+1)</f>
        <v>80</v>
      </c>
      <c r="ES18" s="17">
        <f>IF(Distances[[#This Row],[Colonne130]]=$G18,ER18,Distances[[#This Row],[Colonne130]]+1)</f>
        <v>80</v>
      </c>
      <c r="ET18" s="17">
        <f>IF(Distances[[#This Row],[Colonne131]]=$G18,ES18,Distances[[#This Row],[Colonne131]]+1)</f>
        <v>80</v>
      </c>
      <c r="EU18" s="17">
        <f>IF(Distances[[#This Row],[Colonne132]]=$G18,ET18,Distances[[#This Row],[Colonne132]]+1)</f>
        <v>80</v>
      </c>
      <c r="EV18" s="17">
        <f>IF(Distances[[#This Row],[Colonne133]]=$G18,EU18,Distances[[#This Row],[Colonne133]]+1)</f>
        <v>80</v>
      </c>
      <c r="EW18" s="17">
        <f>IF(Distances[[#This Row],[Colonne134]]=$G18,EV18,Distances[[#This Row],[Colonne134]]+1)</f>
        <v>80</v>
      </c>
      <c r="EX18" s="17">
        <f>IF(Distances[[#This Row],[Colonne135]]=$G18,EW18,Distances[[#This Row],[Colonne135]]+1)</f>
        <v>80</v>
      </c>
      <c r="EY18" s="17">
        <f>IF(Distances[[#This Row],[Colonne136]]=$G18,EX18,Distances[[#This Row],[Colonne136]]+1)</f>
        <v>80</v>
      </c>
      <c r="EZ18" s="17">
        <f>IF(Distances[[#This Row],[Colonne137]]=$G18,EY18,Distances[[#This Row],[Colonne137]]+1)</f>
        <v>80</v>
      </c>
      <c r="FA18" s="17">
        <f>IF(Distances[[#This Row],[Colonne138]]=$G18,EZ18,Distances[[#This Row],[Colonne138]]+1)</f>
        <v>80</v>
      </c>
      <c r="FB18" s="17">
        <f>IF(Distances[[#This Row],[Colonne139]]=$G18,FA18,Distances[[#This Row],[Colonne139]]+1)</f>
        <v>80</v>
      </c>
      <c r="FC18" s="17">
        <f>IF(Distances[[#This Row],[Colonne140]]=$G18,FB18,Distances[[#This Row],[Colonne140]]+1)</f>
        <v>80</v>
      </c>
      <c r="FD18" s="17">
        <f>IF(Distances[[#This Row],[Colonne141]]=$G18,FC18,Distances[[#This Row],[Colonne141]]+1)</f>
        <v>80</v>
      </c>
      <c r="FE18" s="17">
        <f>IF(Distances[[#This Row],[Colonne142]]=$G18,FD18,Distances[[#This Row],[Colonne142]]+1)</f>
        <v>80</v>
      </c>
      <c r="FF18" s="17">
        <f>IF(Distances[[#This Row],[Colonne143]]=$G18,FE18,Distances[[#This Row],[Colonne143]]+1)</f>
        <v>80</v>
      </c>
      <c r="FG18" s="17">
        <f>IF(Distances[[#This Row],[Colonne144]]=$G18,FF18,Distances[[#This Row],[Colonne144]]+1)</f>
        <v>80</v>
      </c>
      <c r="FH18" s="17">
        <f>IF(Distances[[#This Row],[Colonne145]]=$G18,FG18,Distances[[#This Row],[Colonne145]]+1)</f>
        <v>80</v>
      </c>
      <c r="FI18" s="17">
        <f>IF(Distances[[#This Row],[Colonne146]]=$G18,FH18,Distances[[#This Row],[Colonne146]]+1)</f>
        <v>80</v>
      </c>
      <c r="FJ18" s="17">
        <f>IF(Distances[[#This Row],[Colonne147]]=$G18,FI18,Distances[[#This Row],[Colonne147]]+1)</f>
        <v>80</v>
      </c>
      <c r="FK18" s="17">
        <f>IF(Distances[[#This Row],[Colonne148]]=$G18,FJ18,Distances[[#This Row],[Colonne148]]+1)</f>
        <v>80</v>
      </c>
      <c r="FL18" s="17">
        <f>IF(Distances[[#This Row],[Colonne149]]=$G18,FK18,Distances[[#This Row],[Colonne149]]+1)</f>
        <v>80</v>
      </c>
      <c r="FM18" s="17">
        <f>IF(Distances[[#This Row],[Colonne150]]=$G18,FL18,Distances[[#This Row],[Colonne150]]+1)</f>
        <v>80</v>
      </c>
      <c r="FN18" s="17">
        <f>IF(Distances[[#This Row],[Colonne151]]=$G18,FM18,Distances[[#This Row],[Colonne151]]+1)</f>
        <v>80</v>
      </c>
      <c r="FO18" s="17">
        <f>IF(Distances[[#This Row],[Colonne152]]=$G18,FN18,Distances[[#This Row],[Colonne152]]+1)</f>
        <v>80</v>
      </c>
      <c r="FP18" s="17">
        <f>IF(Distances[[#This Row],[Colonne153]]=$G18,FO18,Distances[[#This Row],[Colonne153]]+1)</f>
        <v>80</v>
      </c>
      <c r="FQ18" s="17">
        <f>IF(Distances[[#This Row],[Colonne154]]=$G18,FP18,Distances[[#This Row],[Colonne154]]+1)</f>
        <v>80</v>
      </c>
      <c r="FR18" s="17">
        <f>IF(Distances[[#This Row],[Colonne155]]=$G18,FQ18,Distances[[#This Row],[Colonne155]]+1)</f>
        <v>80</v>
      </c>
      <c r="FS18" s="17">
        <f>IF(Distances[[#This Row],[Colonne156]]=$G18,FR18,Distances[[#This Row],[Colonne156]]+1)</f>
        <v>80</v>
      </c>
      <c r="FT18" s="17">
        <f>IF(Distances[[#This Row],[Colonne157]]=$G18,FS18,Distances[[#This Row],[Colonne157]]+1)</f>
        <v>80</v>
      </c>
      <c r="FU18" s="17">
        <f>IF(Distances[[#This Row],[Colonne158]]=$G18,FT18,Distances[[#This Row],[Colonne158]]+1)</f>
        <v>80</v>
      </c>
      <c r="FV18" s="17">
        <f>IF(Distances[[#This Row],[Colonne159]]=$G18,FU18,Distances[[#This Row],[Colonne159]]+1)</f>
        <v>80</v>
      </c>
      <c r="FW18" s="17">
        <f>IF(Distances[[#This Row],[Colonne160]]=$G18,FV18,Distances[[#This Row],[Colonne160]]+1)</f>
        <v>80</v>
      </c>
      <c r="FX18" s="17">
        <f>IF(Distances[[#This Row],[Colonne161]]=$G18,FW18,Distances[[#This Row],[Colonne161]]+1)</f>
        <v>80</v>
      </c>
      <c r="FY18" s="17">
        <f>IF(Distances[[#This Row],[Colonne162]]=$G18,FX18,Distances[[#This Row],[Colonne162]]+1)</f>
        <v>80</v>
      </c>
      <c r="FZ18" s="17">
        <f>IF(Distances[[#This Row],[Colonne163]]=$G18,FY18,Distances[[#This Row],[Colonne163]]+1)</f>
        <v>80</v>
      </c>
      <c r="GA18" s="17">
        <f>IF(Distances[[#This Row],[Colonne164]]=$G18,FZ18,Distances[[#This Row],[Colonne164]]+1)</f>
        <v>80</v>
      </c>
      <c r="GB18" s="17">
        <f>IF(Distances[[#This Row],[Colonne165]]=$G18,GA18,Distances[[#This Row],[Colonne165]]+1)</f>
        <v>80</v>
      </c>
      <c r="GC18" s="17">
        <f>IF(Distances[[#This Row],[Colonne166]]=$G18,GB18,Distances[[#This Row],[Colonne166]]+1)</f>
        <v>80</v>
      </c>
      <c r="GD18" s="17">
        <f>IF(Distances[[#This Row],[Colonne167]]=$G18,GC18,Distances[[#This Row],[Colonne167]]+1)</f>
        <v>80</v>
      </c>
      <c r="GE18" s="17">
        <f>IF(Distances[[#This Row],[Colonne168]]=$G18,GD18,Distances[[#This Row],[Colonne168]]+1)</f>
        <v>80</v>
      </c>
      <c r="GF18" s="17">
        <f>IF(Distances[[#This Row],[Colonne169]]=$G18,GE18,Distances[[#This Row],[Colonne169]]+1)</f>
        <v>80</v>
      </c>
      <c r="GG18" s="17">
        <f>IF(Distances[[#This Row],[Colonne170]]=$G18,GF18,Distances[[#This Row],[Colonne170]]+1)</f>
        <v>80</v>
      </c>
      <c r="GH18" s="17">
        <f>IF(Distances[[#This Row],[Colonne171]]=$G18,GG18,Distances[[#This Row],[Colonne171]]+1)</f>
        <v>80</v>
      </c>
      <c r="GI18" s="17">
        <f>IF(Distances[[#This Row],[Colonne172]]=$G18,GH18,Distances[[#This Row],[Colonne172]]+1)</f>
        <v>80</v>
      </c>
      <c r="GJ18" s="17">
        <f>IF(Distances[[#This Row],[Colonne173]]=$G18,GI18,Distances[[#This Row],[Colonne173]]+1)</f>
        <v>80</v>
      </c>
      <c r="GK18" s="17">
        <f>IF(Distances[[#This Row],[Colonne174]]=$G18,GJ18,Distances[[#This Row],[Colonne174]]+1)</f>
        <v>80</v>
      </c>
      <c r="GL18" s="17">
        <f>IF(Distances[[#This Row],[Colonne175]]=$G18,GK18,Distances[[#This Row],[Colonne175]]+1)</f>
        <v>80</v>
      </c>
      <c r="GM18" s="17">
        <f>IF(Distances[[#This Row],[Colonne176]]=$G18,GL18,Distances[[#This Row],[Colonne176]]+1)</f>
        <v>80</v>
      </c>
      <c r="GN18" s="17">
        <f>IF(Distances[[#This Row],[Colonne177]]=$G18,GM18,Distances[[#This Row],[Colonne177]]+1)</f>
        <v>80</v>
      </c>
      <c r="GO18" s="17">
        <f>IF(Distances[[#This Row],[Colonne178]]=$G18,GN18,Distances[[#This Row],[Colonne178]]+1)</f>
        <v>80</v>
      </c>
      <c r="GP18" s="17">
        <f>IF(Distances[[#This Row],[Colonne179]]=$G18,GO18,Distances[[#This Row],[Colonne179]]+1)</f>
        <v>80</v>
      </c>
      <c r="GQ18" s="17">
        <f>IF(Distances[[#This Row],[Colonne180]]=$G18,GP18,Distances[[#This Row],[Colonne180]]+1)</f>
        <v>80</v>
      </c>
      <c r="GR18" s="17">
        <f>IF(Distances[[#This Row],[Colonne181]]=$G18,GQ18,Distances[[#This Row],[Colonne181]]+1)</f>
        <v>80</v>
      </c>
      <c r="GS18" s="17">
        <f>IF(Distances[[#This Row],[Colonne182]]=$G18,GR18,Distances[[#This Row],[Colonne182]]+1)</f>
        <v>80</v>
      </c>
      <c r="GT18" s="17">
        <f>IF(Distances[[#This Row],[Colonne183]]=$G18,GS18,Distances[[#This Row],[Colonne183]]+1)</f>
        <v>80</v>
      </c>
      <c r="GU18" s="17">
        <f>IF(Distances[[#This Row],[Colonne184]]=$G18,GT18,Distances[[#This Row],[Colonne184]]+1)</f>
        <v>80</v>
      </c>
      <c r="GV18" s="17">
        <f>IF(Distances[[#This Row],[Colonne185]]=$G18,GU18,Distances[[#This Row],[Colonne185]]+1)</f>
        <v>80</v>
      </c>
      <c r="GW18" s="17">
        <f>IF(Distances[[#This Row],[Colonne186]]=$G18,GV18,Distances[[#This Row],[Colonne186]]+1)</f>
        <v>80</v>
      </c>
      <c r="GX18" s="17">
        <f>IF(Distances[[#This Row],[Colonne187]]=$G18,GW18,Distances[[#This Row],[Colonne187]]+1)</f>
        <v>80</v>
      </c>
      <c r="GY18" s="17">
        <f>IF(Distances[[#This Row],[Colonne188]]=$G18,GX18,Distances[[#This Row],[Colonne188]]+1)</f>
        <v>80</v>
      </c>
      <c r="GZ18" s="17">
        <f>IF(Distances[[#This Row],[Colonne189]]=$G18,GY18,Distances[[#This Row],[Colonne189]]+1)</f>
        <v>80</v>
      </c>
      <c r="HA18" s="17">
        <f>IF(Distances[[#This Row],[Colonne190]]=$G18,GZ18,Distances[[#This Row],[Colonne190]]+1)</f>
        <v>80</v>
      </c>
      <c r="HB18" s="17">
        <f>IF(Distances[[#This Row],[Colonne191]]=$G18,HA18,Distances[[#This Row],[Colonne191]]+1)</f>
        <v>80</v>
      </c>
      <c r="HC18" s="17">
        <f>IF(Distances[[#This Row],[Colonne192]]=$G18,HB18,Distances[[#This Row],[Colonne192]]+1)</f>
        <v>80</v>
      </c>
      <c r="HD18" s="17">
        <f>IF(Distances[[#This Row],[Colonne193]]=$G18,HC18,Distances[[#This Row],[Colonne193]]+1)</f>
        <v>80</v>
      </c>
      <c r="HE18" s="17">
        <f>IF(Distances[[#This Row],[Colonne194]]=$G18,HD18,Distances[[#This Row],[Colonne194]]+1)</f>
        <v>80</v>
      </c>
      <c r="HF18" s="17">
        <f>IF(Distances[[#This Row],[Colonne195]]=$G18,HE18,Distances[[#This Row],[Colonne195]]+1)</f>
        <v>80</v>
      </c>
      <c r="HG18" s="17">
        <f>IF(Distances[[#This Row],[Colonne196]]=$G18,HF18,Distances[[#This Row],[Colonne196]]+1)</f>
        <v>80</v>
      </c>
      <c r="HH18" s="17">
        <f>IF(Distances[[#This Row],[Colonne197]]=$G18,HG18,Distances[[#This Row],[Colonne197]]+1)</f>
        <v>80</v>
      </c>
      <c r="HI18" s="17">
        <f>IF(Distances[[#This Row],[Colonne198]]=$G18,HH18,Distances[[#This Row],[Colonne198]]+1)</f>
        <v>80</v>
      </c>
      <c r="HJ18" s="17">
        <f>IF(Distances[[#This Row],[Colonne199]]=$G18,HI18,Distances[[#This Row],[Colonne199]]+1)</f>
        <v>80</v>
      </c>
      <c r="HK18" s="17">
        <f>IF(Distances[[#This Row],[Colonne200]]=$G18,HJ18,Distances[[#This Row],[Colonne200]]+1)</f>
        <v>80</v>
      </c>
      <c r="HL18" s="17">
        <f>IF(Distances[[#This Row],[Colonne201]]=$G18,HK18,Distances[[#This Row],[Colonne201]]+1)</f>
        <v>80</v>
      </c>
      <c r="HM18" s="17">
        <f>IF(Distances[[#This Row],[Colonne202]]=$G18,HL18,Distances[[#This Row],[Colonne202]]+1)</f>
        <v>80</v>
      </c>
      <c r="HN18" s="17">
        <f>IF(Distances[[#This Row],[Colonne203]]=$G18,HM18,Distances[[#This Row],[Colonne203]]+1)</f>
        <v>80</v>
      </c>
      <c r="HO18" s="17">
        <f>IF(Distances[[#This Row],[Colonne204]]=$G18,HN18,Distances[[#This Row],[Colonne204]]+1)</f>
        <v>80</v>
      </c>
      <c r="HP18" s="17">
        <f>IF(Distances[[#This Row],[Colonne205]]=$G18,HO18,Distances[[#This Row],[Colonne205]]+1)</f>
        <v>80</v>
      </c>
      <c r="HQ18" s="17">
        <f>IF(Distances[[#This Row],[Colonne206]]=$G18,HP18,Distances[[#This Row],[Colonne206]]+1)</f>
        <v>80</v>
      </c>
      <c r="HR18" s="17">
        <f>IF(Distances[[#This Row],[Colonne207]]=$G18,HQ18,Distances[[#This Row],[Colonne207]]+1)</f>
        <v>80</v>
      </c>
      <c r="HS18" s="17">
        <f>IF(Distances[[#This Row],[Colonne208]]=$G18,HR18,Distances[[#This Row],[Colonne208]]+1)</f>
        <v>80</v>
      </c>
      <c r="HT18" s="17">
        <f>IF(Distances[[#This Row],[Colonne209]]=$G18,HS18,Distances[[#This Row],[Colonne209]]+1)</f>
        <v>80</v>
      </c>
      <c r="HU18" s="17">
        <f>IF(Distances[[#This Row],[Colonne210]]=$G18,HT18,Distances[[#This Row],[Colonne210]]+1)</f>
        <v>80</v>
      </c>
      <c r="HV18" s="17">
        <f>IF(Distances[[#This Row],[Colonne211]]=$G18,HU18,Distances[[#This Row],[Colonne211]]+1)</f>
        <v>80</v>
      </c>
      <c r="HW18" s="17">
        <f>IF(Distances[[#This Row],[Colonne212]]=$G18,HV18,Distances[[#This Row],[Colonne212]]+1)</f>
        <v>80</v>
      </c>
      <c r="HX18" s="17">
        <f>IF(Distances[[#This Row],[Colonne213]]=$G18,HW18,Distances[[#This Row],[Colonne213]]+1)</f>
        <v>80</v>
      </c>
      <c r="HY18" s="17">
        <f>IF(Distances[[#This Row],[Colonne214]]=$G18,HX18,Distances[[#This Row],[Colonne214]]+1)</f>
        <v>80</v>
      </c>
      <c r="HZ18" s="17">
        <f>IF(Distances[[#This Row],[Colonne215]]=$G18,HY18,Distances[[#This Row],[Colonne215]]+1)</f>
        <v>80</v>
      </c>
      <c r="IA18" s="17">
        <f>IF(Distances[[#This Row],[Colonne216]]=$G18,HZ18,Distances[[#This Row],[Colonne216]]+1)</f>
        <v>80</v>
      </c>
      <c r="IB18" s="17">
        <f>IF(Distances[[#This Row],[Colonne217]]=$G18,IA18,Distances[[#This Row],[Colonne217]]+1)</f>
        <v>80</v>
      </c>
      <c r="IC18" s="17">
        <f>IF(Distances[[#This Row],[Colonne218]]=$G18,IB18,Distances[[#This Row],[Colonne218]]+1)</f>
        <v>80</v>
      </c>
      <c r="ID18" s="17">
        <f>IF(Distances[[#This Row],[Colonne219]]=$G18,IC18,Distances[[#This Row],[Colonne219]]+1)</f>
        <v>80</v>
      </c>
      <c r="IE18" s="17">
        <f>IF(Distances[[#This Row],[Colonne220]]=$G18,ID18,Distances[[#This Row],[Colonne220]]+1)</f>
        <v>80</v>
      </c>
      <c r="IF18" s="17">
        <f>IF(Distances[[#This Row],[Colonne221]]=$G18,IE18,Distances[[#This Row],[Colonne221]]+1)</f>
        <v>80</v>
      </c>
      <c r="IG18" s="17">
        <f>IF(Distances[[#This Row],[Colonne222]]=$G18,IF18,Distances[[#This Row],[Colonne222]]+1)</f>
        <v>80</v>
      </c>
      <c r="IH18" s="17">
        <f>IF(Distances[[#This Row],[Colonne223]]=$G18,IG18,Distances[[#This Row],[Colonne223]]+1)</f>
        <v>80</v>
      </c>
      <c r="II18" s="17">
        <f>IF(Distances[[#This Row],[Colonne224]]=$G18,IH18,Distances[[#This Row],[Colonne224]]+1)</f>
        <v>80</v>
      </c>
      <c r="IJ18" s="17">
        <f>IF(Distances[[#This Row],[Colonne225]]=$G18,II18,Distances[[#This Row],[Colonne225]]+1)</f>
        <v>80</v>
      </c>
      <c r="IK18" s="17">
        <f>IF(Distances[[#This Row],[Colonne226]]=$G18,IJ18,Distances[[#This Row],[Colonne226]]+1)</f>
        <v>80</v>
      </c>
      <c r="IL18" s="17">
        <f>IF(Distances[[#This Row],[Colonne227]]=$G18,IK18,Distances[[#This Row],[Colonne227]]+1)</f>
        <v>80</v>
      </c>
      <c r="IM18" s="17">
        <f>IF(Distances[[#This Row],[Colonne228]]=$G18,IL18,Distances[[#This Row],[Colonne228]]+1)</f>
        <v>80</v>
      </c>
      <c r="IN18" s="17">
        <f>IF(Distances[[#This Row],[Colonne229]]=$G18,IM18,Distances[[#This Row],[Colonne229]]+1)</f>
        <v>80</v>
      </c>
      <c r="IO18" s="17">
        <f>IF(Distances[[#This Row],[Colonne230]]=$G18,IN18,Distances[[#This Row],[Colonne230]]+1)</f>
        <v>80</v>
      </c>
      <c r="IP18" s="17">
        <f>IF(Distances[[#This Row],[Colonne231]]=$G18,IO18,Distances[[#This Row],[Colonne231]]+1)</f>
        <v>80</v>
      </c>
      <c r="IQ18" s="17">
        <f>IF(Distances[[#This Row],[Colonne232]]=$G18,IP18,Distances[[#This Row],[Colonne232]]+1)</f>
        <v>80</v>
      </c>
      <c r="IR18" s="17">
        <f>IF(Distances[[#This Row],[Colonne233]]=$G18,IQ18,Distances[[#This Row],[Colonne233]]+1)</f>
        <v>80</v>
      </c>
      <c r="IS18" s="17">
        <f>IF(Distances[[#This Row],[Colonne234]]=$G18,IR18,Distances[[#This Row],[Colonne234]]+1)</f>
        <v>80</v>
      </c>
      <c r="IT18" s="17">
        <f>IF(Distances[[#This Row],[Colonne235]]=$G18,IS18,Distances[[#This Row],[Colonne235]]+1)</f>
        <v>80</v>
      </c>
      <c r="IU18" s="17">
        <f>IF(Distances[[#This Row],[Colonne236]]=$G18,IT18,Distances[[#This Row],[Colonne236]]+1)</f>
        <v>80</v>
      </c>
      <c r="IV18" s="17">
        <f>IF(Distances[[#This Row],[Colonne237]]=$G18,IU18,Distances[[#This Row],[Colonne237]]+1)</f>
        <v>80</v>
      </c>
      <c r="IW18" s="17">
        <f>IF(Distances[[#This Row],[Colonne238]]=$G18,IV18,Distances[[#This Row],[Colonne238]]+1)</f>
        <v>80</v>
      </c>
      <c r="IX18" s="17">
        <f>IF(Distances[[#This Row],[Colonne239]]=$G18,IW18,Distances[[#This Row],[Colonne239]]+1)</f>
        <v>80</v>
      </c>
      <c r="IY18" s="17">
        <f>IF(Distances[[#This Row],[Colonne240]]=$G18,IX18,Distances[[#This Row],[Colonne240]]+1)</f>
        <v>80</v>
      </c>
      <c r="IZ18" s="17">
        <f>IF(Distances[[#This Row],[Colonne241]]=$G18,IY18,Distances[[#This Row],[Colonne241]]+1)</f>
        <v>80</v>
      </c>
      <c r="JA18" s="17">
        <f>IF(Distances[[#This Row],[Colonne242]]=$G18,IZ18,Distances[[#This Row],[Colonne242]]+1)</f>
        <v>80</v>
      </c>
      <c r="JB18" s="17">
        <f>IF(Distances[[#This Row],[Colonne243]]=$G18,JA18,Distances[[#This Row],[Colonne243]]+1)</f>
        <v>80</v>
      </c>
      <c r="JC18" s="17">
        <f>IF(Distances[[#This Row],[Colonne244]]=$G18,JB18,Distances[[#This Row],[Colonne244]]+1)</f>
        <v>80</v>
      </c>
      <c r="JD18" s="17">
        <f>IF(Distances[[#This Row],[Colonne245]]=$G18,JC18,Distances[[#This Row],[Colonne245]]+1)</f>
        <v>80</v>
      </c>
      <c r="JE18" s="17">
        <f>IF(Distances[[#This Row],[Colonne246]]=$G18,JD18,Distances[[#This Row],[Colonne246]]+1)</f>
        <v>80</v>
      </c>
      <c r="JF18" s="17">
        <f>IF(Distances[[#This Row],[Colonne247]]=$G18,JE18,Distances[[#This Row],[Colonne247]]+1)</f>
        <v>80</v>
      </c>
      <c r="JG18" s="17">
        <f>IF(Distances[[#This Row],[Colonne248]]=$G18,JF18,Distances[[#This Row],[Colonne248]]+1)</f>
        <v>80</v>
      </c>
      <c r="JH18" s="17">
        <f>IF(Distances[[#This Row],[Colonne249]]=$G18,JG18,Distances[[#This Row],[Colonne249]]+1)</f>
        <v>80</v>
      </c>
      <c r="JI18" s="17">
        <f>IF(Distances[[#This Row],[Colonne250]]=$G18,JH18,Distances[[#This Row],[Colonne250]]+1)</f>
        <v>80</v>
      </c>
      <c r="JJ18" s="17">
        <f>IF(Distances[[#This Row],[Colonne251]]=$G18,JI18,Distances[[#This Row],[Colonne251]]+1)</f>
        <v>80</v>
      </c>
      <c r="JK18" s="17">
        <f>IF(Distances[[#This Row],[Colonne252]]=$G18,JJ18,Distances[[#This Row],[Colonne252]]+1)</f>
        <v>80</v>
      </c>
      <c r="JL18" s="17">
        <f>IF(Distances[[#This Row],[Colonne253]]=$G18,JK18,Distances[[#This Row],[Colonne253]]+1)</f>
        <v>80</v>
      </c>
      <c r="JM18" s="17">
        <f>IF(Distances[[#This Row],[Colonne254]]=$G18,JL18,Distances[[#This Row],[Colonne254]]+1)</f>
        <v>80</v>
      </c>
      <c r="JN18" s="17">
        <f>IF(Distances[[#This Row],[Colonne255]]=$G18,JM18,Distances[[#This Row],[Colonne255]]+1)</f>
        <v>80</v>
      </c>
      <c r="JO18" s="17">
        <f>IF(Distances[[#This Row],[Colonne256]]=$G18,JN18,Distances[[#This Row],[Colonne256]]+1)</f>
        <v>80</v>
      </c>
      <c r="JP18" s="17">
        <f>IF(Distances[[#This Row],[Colonne257]]=$G18,JO18,Distances[[#This Row],[Colonne257]]+1)</f>
        <v>80</v>
      </c>
      <c r="JQ18" s="17">
        <f>IF(Distances[[#This Row],[Colonne258]]=$G18,JP18,Distances[[#This Row],[Colonne258]]+1)</f>
        <v>80</v>
      </c>
      <c r="JR18" s="17">
        <f>IF(Distances[[#This Row],[Colonne259]]=$G18,JQ18,Distances[[#This Row],[Colonne259]]+1)</f>
        <v>80</v>
      </c>
      <c r="JS18" s="17">
        <f>IF(Distances[[#This Row],[Colonne260]]=$G18,JR18,Distances[[#This Row],[Colonne260]]+1)</f>
        <v>80</v>
      </c>
      <c r="JT18" s="17">
        <f>IF(Distances[[#This Row],[Colonne261]]=$G18,JS18,Distances[[#This Row],[Colonne261]]+1)</f>
        <v>80</v>
      </c>
      <c r="JU18" s="17">
        <f>IF(Distances[[#This Row],[Colonne262]]=$G18,JT18,Distances[[#This Row],[Colonne262]]+1)</f>
        <v>80</v>
      </c>
      <c r="JV18" s="17">
        <f>IF(Distances[[#This Row],[Colonne263]]=$G18,JU18,Distances[[#This Row],[Colonne263]]+1)</f>
        <v>80</v>
      </c>
      <c r="JW18" s="17">
        <f>IF(Distances[[#This Row],[Colonne264]]=$G18,JV18,Distances[[#This Row],[Colonne264]]+1)</f>
        <v>80</v>
      </c>
      <c r="JX18" s="17">
        <f>IF(Distances[[#This Row],[Colonne265]]=$G18,JW18,Distances[[#This Row],[Colonne265]]+1)</f>
        <v>80</v>
      </c>
      <c r="JY18" s="17">
        <f>IF(Distances[[#This Row],[Colonne266]]=$G18,JX18,Distances[[#This Row],[Colonne266]]+1)</f>
        <v>80</v>
      </c>
      <c r="JZ18" s="17">
        <f>IF(Distances[[#This Row],[Colonne267]]=$G18,JY18,Distances[[#This Row],[Colonne267]]+1)</f>
        <v>80</v>
      </c>
      <c r="KA18" s="17">
        <f>IF(Distances[[#This Row],[Colonne268]]=$G18,JZ18,Distances[[#This Row],[Colonne268]]+1)</f>
        <v>80</v>
      </c>
      <c r="KB18" s="17">
        <f>IF(Distances[[#This Row],[Colonne269]]=$G18,KA18,Distances[[#This Row],[Colonne269]]+1)</f>
        <v>80</v>
      </c>
      <c r="KC18" s="17">
        <f>IF(Distances[[#This Row],[Colonne270]]=$G18,KB18,Distances[[#This Row],[Colonne270]]+1)</f>
        <v>80</v>
      </c>
      <c r="KD18" s="17">
        <f>IF(Distances[[#This Row],[Colonne271]]=$G18,KC18,Distances[[#This Row],[Colonne271]]+1)</f>
        <v>80</v>
      </c>
      <c r="KE18" s="17">
        <f>IF(Distances[[#This Row],[Colonne272]]=$G18,KD18,Distances[[#This Row],[Colonne272]]+1)</f>
        <v>80</v>
      </c>
      <c r="KF18" s="17">
        <f>IF(Distances[[#This Row],[Colonne273]]=$G18,KE18,Distances[[#This Row],[Colonne273]]+1)</f>
        <v>80</v>
      </c>
      <c r="KG18" s="17">
        <f>IF(Distances[[#This Row],[Colonne274]]=$G18,KF18,Distances[[#This Row],[Colonne274]]+1)</f>
        <v>80</v>
      </c>
      <c r="KH18" s="17">
        <f>IF(Distances[[#This Row],[Colonne275]]=$G18,KG18,Distances[[#This Row],[Colonne275]]+1)</f>
        <v>80</v>
      </c>
      <c r="KI18" s="17">
        <f>IF(Distances[[#This Row],[Colonne276]]=$G18,KH18,Distances[[#This Row],[Colonne276]]+1)</f>
        <v>80</v>
      </c>
      <c r="KJ18" s="17">
        <f>IF(Distances[[#This Row],[Colonne277]]=$G18,KI18,Distances[[#This Row],[Colonne277]]+1)</f>
        <v>80</v>
      </c>
      <c r="KK18" s="17">
        <f>IF(Distances[[#This Row],[Colonne278]]=$G18,KJ18,Distances[[#This Row],[Colonne278]]+1)</f>
        <v>80</v>
      </c>
      <c r="KL18" s="17">
        <f>IF(Distances[[#This Row],[Colonne279]]=$G18,KK18,Distances[[#This Row],[Colonne279]]+1)</f>
        <v>80</v>
      </c>
      <c r="KM18" s="17">
        <f>IF(Distances[[#This Row],[Colonne280]]=$G18,KL18,Distances[[#This Row],[Colonne280]]+1)</f>
        <v>80</v>
      </c>
      <c r="KN18" s="17">
        <f>IF(Distances[[#This Row],[Colonne281]]=$G18,KM18,Distances[[#This Row],[Colonne281]]+1)</f>
        <v>80</v>
      </c>
      <c r="KO18" s="17">
        <f>IF(Distances[[#This Row],[Colonne282]]=$G18,KN18,Distances[[#This Row],[Colonne282]]+1)</f>
        <v>80</v>
      </c>
      <c r="KP18" s="17">
        <f>IF(Distances[[#This Row],[Colonne283]]=$G18,KO18,Distances[[#This Row],[Colonne283]]+1)</f>
        <v>80</v>
      </c>
      <c r="KQ18" s="17">
        <f>IF(Distances[[#This Row],[Colonne284]]=$G18,KP18,Distances[[#This Row],[Colonne284]]+1)</f>
        <v>80</v>
      </c>
      <c r="KR18" s="17">
        <f>IF(Distances[[#This Row],[Colonne285]]=$G18,KQ18,Distances[[#This Row],[Colonne285]]+1)</f>
        <v>80</v>
      </c>
      <c r="KS18" s="17">
        <f>IF(Distances[[#This Row],[Colonne286]]=$G18,KR18,Distances[[#This Row],[Colonne286]]+1)</f>
        <v>80</v>
      </c>
      <c r="KT18" s="17">
        <f>IF(Distances[[#This Row],[Colonne287]]=$G18,KS18,Distances[[#This Row],[Colonne287]]+1)</f>
        <v>80</v>
      </c>
      <c r="KU18" s="17">
        <f>IF(Distances[[#This Row],[Colonne288]]=$G18,KT18,Distances[[#This Row],[Colonne288]]+1)</f>
        <v>80</v>
      </c>
      <c r="KV18" s="17">
        <f>IF(Distances[[#This Row],[Colonne289]]=$G18,KU18,Distances[[#This Row],[Colonne289]]+1)</f>
        <v>80</v>
      </c>
      <c r="KW18" s="17">
        <f>IF(Distances[[#This Row],[Colonne290]]=$G18,KV18,Distances[[#This Row],[Colonne290]]+1)</f>
        <v>80</v>
      </c>
      <c r="KX18" s="17">
        <f>IF(Distances[[#This Row],[Colonne291]]=$G18,KW18,Distances[[#This Row],[Colonne291]]+1)</f>
        <v>80</v>
      </c>
      <c r="KY18" s="17">
        <f>IF(Distances[[#This Row],[Colonne292]]=$G18,KX18,Distances[[#This Row],[Colonne292]]+1)</f>
        <v>80</v>
      </c>
      <c r="KZ18" s="17">
        <f>IF(Distances[[#This Row],[Colonne293]]=$G18,KY18,Distances[[#This Row],[Colonne293]]+1)</f>
        <v>80</v>
      </c>
      <c r="LA18" s="17">
        <f>IF(Distances[[#This Row],[Colonne294]]=$G18,KZ18,Distances[[#This Row],[Colonne294]]+1)</f>
        <v>80</v>
      </c>
      <c r="LB18" s="17">
        <f>IF(Distances[[#This Row],[Colonne295]]=$G18,LA18,Distances[[#This Row],[Colonne295]]+1)</f>
        <v>80</v>
      </c>
      <c r="LC18" s="17">
        <f>IF(Distances[[#This Row],[Colonne296]]=$G18,LB18,Distances[[#This Row],[Colonne296]]+1)</f>
        <v>80</v>
      </c>
      <c r="LD18" s="17">
        <f>IF(Distances[[#This Row],[Colonne297]]=$G18,LC18,Distances[[#This Row],[Colonne297]]+1)</f>
        <v>80</v>
      </c>
      <c r="LE18" s="17">
        <f>IF(Distances[[#This Row],[Colonne298]]=$G18,LD18,Distances[[#This Row],[Colonne298]]+1)</f>
        <v>80</v>
      </c>
      <c r="LF18" s="17">
        <f>IF(Distances[[#This Row],[Colonne299]]=$G18,LE18,Distances[[#This Row],[Colonne299]]+1)</f>
        <v>80</v>
      </c>
      <c r="LG18" s="17">
        <f>IF(Distances[[#This Row],[Colonne300]]=$G18,LF18,Distances[[#This Row],[Colonne300]]+1)</f>
        <v>80</v>
      </c>
      <c r="LH18" s="17">
        <f>IF(Distances[[#This Row],[Colonne301]]=$G18,LG18,Distances[[#This Row],[Colonne301]]+1)</f>
        <v>80</v>
      </c>
      <c r="LI18" s="17">
        <f>IF(Distances[[#This Row],[Colonne302]]=$G18,LH18,Distances[[#This Row],[Colonne302]]+1)</f>
        <v>80</v>
      </c>
      <c r="LJ18" s="17">
        <f>IF(Distances[[#This Row],[Colonne303]]=$G18,LI18,Distances[[#This Row],[Colonne303]]+1)</f>
        <v>80</v>
      </c>
      <c r="LK18" s="51"/>
      <c r="LL18" s="17">
        <f t="shared" ref="LL18:NW18" si="34">IF(LK18=$H18,LK18,LK18+1)</f>
        <v>1</v>
      </c>
      <c r="LM18" s="17">
        <f t="shared" si="34"/>
        <v>2</v>
      </c>
      <c r="LN18" s="17">
        <f t="shared" si="34"/>
        <v>3</v>
      </c>
      <c r="LO18" s="17">
        <f t="shared" si="34"/>
        <v>4</v>
      </c>
      <c r="LP18" s="17">
        <f t="shared" si="34"/>
        <v>5</v>
      </c>
      <c r="LQ18" s="17">
        <f t="shared" si="34"/>
        <v>6</v>
      </c>
      <c r="LR18" s="17">
        <f t="shared" si="34"/>
        <v>7</v>
      </c>
      <c r="LS18" s="17">
        <f t="shared" si="34"/>
        <v>8</v>
      </c>
      <c r="LT18" s="17">
        <f t="shared" si="34"/>
        <v>9</v>
      </c>
      <c r="LU18" s="17">
        <f t="shared" si="34"/>
        <v>10</v>
      </c>
      <c r="LV18" s="17">
        <f t="shared" si="34"/>
        <v>11</v>
      </c>
      <c r="LW18" s="17">
        <f t="shared" si="34"/>
        <v>12</v>
      </c>
      <c r="LX18" s="17">
        <f t="shared" si="34"/>
        <v>13</v>
      </c>
      <c r="LY18" s="17">
        <f t="shared" si="34"/>
        <v>14</v>
      </c>
      <c r="LZ18" s="17">
        <f t="shared" si="34"/>
        <v>15</v>
      </c>
      <c r="MA18" s="17">
        <f t="shared" si="34"/>
        <v>16</v>
      </c>
      <c r="MB18" s="17">
        <f t="shared" si="34"/>
        <v>17</v>
      </c>
      <c r="MC18" s="17">
        <f t="shared" si="34"/>
        <v>18</v>
      </c>
      <c r="MD18" s="17">
        <f t="shared" si="34"/>
        <v>19</v>
      </c>
      <c r="ME18" s="17">
        <f t="shared" si="34"/>
        <v>20</v>
      </c>
      <c r="MF18" s="17">
        <f t="shared" si="34"/>
        <v>21</v>
      </c>
      <c r="MG18" s="17">
        <f t="shared" si="34"/>
        <v>22</v>
      </c>
      <c r="MH18" s="17">
        <f t="shared" si="34"/>
        <v>23</v>
      </c>
      <c r="MI18" s="17">
        <f t="shared" si="34"/>
        <v>24</v>
      </c>
      <c r="MJ18" s="17">
        <f t="shared" si="34"/>
        <v>25</v>
      </c>
      <c r="MK18" s="17">
        <f t="shared" si="34"/>
        <v>26</v>
      </c>
      <c r="ML18" s="17">
        <f t="shared" si="34"/>
        <v>27</v>
      </c>
      <c r="MM18" s="17">
        <f t="shared" si="34"/>
        <v>28</v>
      </c>
      <c r="MN18" s="17">
        <f t="shared" si="34"/>
        <v>29</v>
      </c>
      <c r="MO18" s="17">
        <f t="shared" si="34"/>
        <v>30</v>
      </c>
      <c r="MP18" s="17">
        <f t="shared" si="34"/>
        <v>31</v>
      </c>
      <c r="MQ18" s="17">
        <f t="shared" si="34"/>
        <v>32</v>
      </c>
      <c r="MR18" s="17">
        <f t="shared" si="34"/>
        <v>33</v>
      </c>
      <c r="MS18" s="17">
        <f t="shared" si="34"/>
        <v>34</v>
      </c>
      <c r="MT18" s="17">
        <f t="shared" si="34"/>
        <v>35</v>
      </c>
      <c r="MU18" s="17">
        <f t="shared" si="34"/>
        <v>35</v>
      </c>
      <c r="MV18" s="17">
        <f t="shared" si="34"/>
        <v>35</v>
      </c>
      <c r="MW18" s="17">
        <f t="shared" si="34"/>
        <v>35</v>
      </c>
      <c r="MX18" s="17">
        <f t="shared" si="34"/>
        <v>35</v>
      </c>
      <c r="MY18" s="17">
        <f t="shared" si="34"/>
        <v>35</v>
      </c>
      <c r="MZ18" s="17">
        <f t="shared" si="34"/>
        <v>35</v>
      </c>
      <c r="NA18" s="17">
        <f t="shared" si="34"/>
        <v>35</v>
      </c>
      <c r="NB18" s="17">
        <f t="shared" si="34"/>
        <v>35</v>
      </c>
      <c r="NC18" s="17">
        <f t="shared" si="34"/>
        <v>35</v>
      </c>
      <c r="ND18" s="17">
        <f t="shared" si="34"/>
        <v>35</v>
      </c>
      <c r="NE18" s="17">
        <f t="shared" si="34"/>
        <v>35</v>
      </c>
      <c r="NF18" s="17">
        <f t="shared" si="34"/>
        <v>35</v>
      </c>
      <c r="NG18" s="17">
        <f t="shared" si="34"/>
        <v>35</v>
      </c>
      <c r="NH18" s="17">
        <f t="shared" si="34"/>
        <v>35</v>
      </c>
      <c r="NI18" s="17">
        <f t="shared" si="34"/>
        <v>35</v>
      </c>
      <c r="NJ18" s="17">
        <f t="shared" si="34"/>
        <v>35</v>
      </c>
      <c r="NK18" s="17">
        <f t="shared" si="34"/>
        <v>35</v>
      </c>
      <c r="NL18" s="17">
        <f t="shared" si="34"/>
        <v>35</v>
      </c>
      <c r="NM18" s="17">
        <f t="shared" si="34"/>
        <v>35</v>
      </c>
      <c r="NN18" s="17">
        <f t="shared" si="34"/>
        <v>35</v>
      </c>
      <c r="NO18" s="17">
        <f t="shared" si="34"/>
        <v>35</v>
      </c>
      <c r="NP18" s="17">
        <f t="shared" si="34"/>
        <v>35</v>
      </c>
      <c r="NQ18" s="17">
        <f t="shared" si="34"/>
        <v>35</v>
      </c>
      <c r="NR18" s="17">
        <f t="shared" si="34"/>
        <v>35</v>
      </c>
      <c r="NS18" s="17">
        <f t="shared" si="34"/>
        <v>35</v>
      </c>
      <c r="NT18" s="17">
        <f t="shared" si="34"/>
        <v>35</v>
      </c>
      <c r="NU18" s="17">
        <f t="shared" si="34"/>
        <v>35</v>
      </c>
      <c r="NV18" s="17">
        <f t="shared" si="34"/>
        <v>35</v>
      </c>
      <c r="NW18" s="17">
        <f t="shared" si="34"/>
        <v>35</v>
      </c>
      <c r="NX18" s="17">
        <f t="shared" ref="NX18:PG18" si="35">IF(NW18=$H18,NW18,NW18+1)</f>
        <v>35</v>
      </c>
      <c r="NY18" s="17">
        <f t="shared" si="35"/>
        <v>35</v>
      </c>
      <c r="NZ18" s="17">
        <f t="shared" si="35"/>
        <v>35</v>
      </c>
      <c r="OA18" s="17">
        <f t="shared" si="35"/>
        <v>35</v>
      </c>
      <c r="OB18" s="17">
        <f t="shared" si="35"/>
        <v>35</v>
      </c>
      <c r="OC18" s="17">
        <f t="shared" si="35"/>
        <v>35</v>
      </c>
      <c r="OD18" s="17">
        <f t="shared" si="35"/>
        <v>35</v>
      </c>
      <c r="OE18" s="17">
        <f t="shared" si="35"/>
        <v>35</v>
      </c>
      <c r="OF18" s="17">
        <f t="shared" si="35"/>
        <v>35</v>
      </c>
      <c r="OG18" s="17">
        <f t="shared" si="35"/>
        <v>35</v>
      </c>
      <c r="OH18" s="17">
        <f t="shared" si="35"/>
        <v>35</v>
      </c>
      <c r="OI18" s="17">
        <f t="shared" si="35"/>
        <v>35</v>
      </c>
      <c r="OJ18" s="17">
        <f t="shared" si="35"/>
        <v>35</v>
      </c>
      <c r="OK18" s="17">
        <f t="shared" si="35"/>
        <v>35</v>
      </c>
      <c r="OL18" s="17">
        <f t="shared" si="35"/>
        <v>35</v>
      </c>
      <c r="OM18" s="17">
        <f t="shared" si="35"/>
        <v>35</v>
      </c>
      <c r="ON18" s="17">
        <f t="shared" si="35"/>
        <v>35</v>
      </c>
      <c r="OO18" s="17">
        <f t="shared" si="35"/>
        <v>35</v>
      </c>
      <c r="OP18" s="17">
        <f t="shared" si="35"/>
        <v>35</v>
      </c>
      <c r="OQ18" s="17">
        <f t="shared" si="35"/>
        <v>35</v>
      </c>
      <c r="OR18" s="17">
        <f t="shared" si="35"/>
        <v>35</v>
      </c>
      <c r="OS18" s="17">
        <f t="shared" si="35"/>
        <v>35</v>
      </c>
      <c r="OT18" s="17">
        <f t="shared" si="35"/>
        <v>35</v>
      </c>
      <c r="OU18" s="17">
        <f t="shared" si="35"/>
        <v>35</v>
      </c>
      <c r="OV18" s="17">
        <f t="shared" si="35"/>
        <v>35</v>
      </c>
      <c r="OW18" s="17">
        <f t="shared" si="35"/>
        <v>35</v>
      </c>
      <c r="OX18" s="17">
        <f t="shared" si="35"/>
        <v>35</v>
      </c>
      <c r="OY18" s="17">
        <f t="shared" si="35"/>
        <v>35</v>
      </c>
      <c r="OZ18" s="17">
        <f t="shared" si="35"/>
        <v>35</v>
      </c>
      <c r="PA18" s="17">
        <f t="shared" si="35"/>
        <v>35</v>
      </c>
      <c r="PB18" s="17">
        <f t="shared" si="35"/>
        <v>35</v>
      </c>
      <c r="PC18" s="17">
        <f t="shared" si="35"/>
        <v>35</v>
      </c>
      <c r="PD18" s="17">
        <f t="shared" si="35"/>
        <v>35</v>
      </c>
      <c r="PE18" s="17">
        <f t="shared" si="35"/>
        <v>35</v>
      </c>
      <c r="PF18" s="17">
        <f t="shared" si="35"/>
        <v>35</v>
      </c>
      <c r="PG18" s="17">
        <f t="shared" si="35"/>
        <v>35</v>
      </c>
    </row>
    <row r="19" spans="1:423" x14ac:dyDescent="0.25">
      <c r="A19" s="8" t="s">
        <v>5506</v>
      </c>
      <c r="B19" s="9" t="s">
        <v>8502</v>
      </c>
      <c r="C19" s="9" t="str">
        <f>LEFT(A19)&amp;B19</f>
        <v>CR1 LBIF</v>
      </c>
      <c r="D19" s="1" t="str">
        <f>A19&amp;" "&amp;B19</f>
        <v>Cadre R1 LBIF</v>
      </c>
      <c r="E19" s="1" t="s">
        <v>18</v>
      </c>
      <c r="F19" s="128" t="s">
        <v>5452</v>
      </c>
      <c r="G19" s="9">
        <v>80</v>
      </c>
      <c r="H19" s="9">
        <v>30</v>
      </c>
      <c r="I19" s="127">
        <v>2.8</v>
      </c>
      <c r="J19" s="30"/>
      <c r="K19" s="281" t="s">
        <v>5540</v>
      </c>
      <c r="L19" s="8">
        <v>0</v>
      </c>
      <c r="M19" s="9"/>
      <c r="N19" s="10">
        <v>3.4990000000000001</v>
      </c>
      <c r="O19" s="269"/>
      <c r="P19" s="331"/>
      <c r="Q19" s="335"/>
      <c r="R19" s="8"/>
      <c r="S19" s="9"/>
      <c r="T19" s="10"/>
      <c r="U19" t="s">
        <v>5523</v>
      </c>
      <c r="V19" s="17">
        <v>0</v>
      </c>
      <c r="W19" s="17">
        <f>IF(Distances[[#This Row],[Colonne4]]=$G19,V19,Distances[[#This Row],[Colonne4]]+1)</f>
        <v>1</v>
      </c>
      <c r="X19" s="17">
        <f>IF(Distances[[#This Row],[Colonne5]]=$G19,W19,Distances[[#This Row],[Colonne5]]+1)</f>
        <v>2</v>
      </c>
      <c r="Y19" s="17">
        <f>IF(Distances[[#This Row],[Colonne6]]=$G19,X19,Distances[[#This Row],[Colonne6]]+1)</f>
        <v>3</v>
      </c>
      <c r="Z19" s="17">
        <f>IF(Distances[[#This Row],[Colonne7]]=$G19,Y19,Distances[[#This Row],[Colonne7]]+1)</f>
        <v>4</v>
      </c>
      <c r="AA19" s="17">
        <f>IF(Distances[[#This Row],[Colonne8]]=$G19,Z19,Distances[[#This Row],[Colonne8]]+1)</f>
        <v>5</v>
      </c>
      <c r="AB19" s="17">
        <f>IF(Distances[[#This Row],[Colonne9]]=$G19,AA19,Distances[[#This Row],[Colonne9]]+1)</f>
        <v>6</v>
      </c>
      <c r="AC19" s="17">
        <f>IF(Distances[[#This Row],[Colonne10]]=$G19,AB19,Distances[[#This Row],[Colonne10]]+1)</f>
        <v>7</v>
      </c>
      <c r="AD19" s="17">
        <f>IF(Distances[[#This Row],[Colonne11]]=$G19,AC19,Distances[[#This Row],[Colonne11]]+1)</f>
        <v>8</v>
      </c>
      <c r="AE19" s="17">
        <f>IF(Distances[[#This Row],[Colonne12]]=$G19,AD19,Distances[[#This Row],[Colonne12]]+1)</f>
        <v>9</v>
      </c>
      <c r="AF19" s="17">
        <f>IF(Distances[[#This Row],[Colonne13]]=$G19,AE19,Distances[[#This Row],[Colonne13]]+1)</f>
        <v>10</v>
      </c>
      <c r="AG19" s="17">
        <f>IF(Distances[[#This Row],[Colonne14]]=$G19,AF19,Distances[[#This Row],[Colonne14]]+1)</f>
        <v>11</v>
      </c>
      <c r="AH19" s="17">
        <f>IF(Distances[[#This Row],[Colonne15]]=$G19,AG19,Distances[[#This Row],[Colonne15]]+1)</f>
        <v>12</v>
      </c>
      <c r="AI19" s="17">
        <f>IF(Distances[[#This Row],[Colonne16]]=$G19,AH19,Distances[[#This Row],[Colonne16]]+1)</f>
        <v>13</v>
      </c>
      <c r="AJ19" s="17">
        <f>IF(Distances[[#This Row],[Colonne17]]=$G19,AI19,Distances[[#This Row],[Colonne17]]+1)</f>
        <v>14</v>
      </c>
      <c r="AK19" s="17">
        <f>IF(Distances[[#This Row],[Colonne18]]=$G19,AJ19,Distances[[#This Row],[Colonne18]]+1)</f>
        <v>15</v>
      </c>
      <c r="AL19" s="17">
        <f>IF(Distances[[#This Row],[Colonne19]]=$G19,AK19,Distances[[#This Row],[Colonne19]]+1)</f>
        <v>16</v>
      </c>
      <c r="AM19" s="17">
        <f>IF(Distances[[#This Row],[Colonne20]]=$G19,AL19,Distances[[#This Row],[Colonne20]]+1)</f>
        <v>17</v>
      </c>
      <c r="AN19" s="17">
        <f>IF(Distances[[#This Row],[Colonne21]]=$G19,AM19,Distances[[#This Row],[Colonne21]]+1)</f>
        <v>18</v>
      </c>
      <c r="AO19" s="17">
        <f>IF(Distances[[#This Row],[Colonne22]]=$G19,AN19,Distances[[#This Row],[Colonne22]]+1)</f>
        <v>19</v>
      </c>
      <c r="AP19" s="17">
        <f>IF(Distances[[#This Row],[Colonne23]]=$G19,AO19,Distances[[#This Row],[Colonne23]]+1)</f>
        <v>20</v>
      </c>
      <c r="AQ19" s="17">
        <f>IF(Distances[[#This Row],[Colonne24]]=$G19,AP19,Distances[[#This Row],[Colonne24]]+1)</f>
        <v>21</v>
      </c>
      <c r="AR19" s="17">
        <f>IF(Distances[[#This Row],[Colonne25]]=$G19,AQ19,Distances[[#This Row],[Colonne25]]+1)</f>
        <v>22</v>
      </c>
      <c r="AS19" s="17">
        <f>IF(Distances[[#This Row],[Colonne26]]=$G19,AR19,Distances[[#This Row],[Colonne26]]+1)</f>
        <v>23</v>
      </c>
      <c r="AT19" s="17">
        <f>IF(Distances[[#This Row],[Colonne27]]=$G19,AS19,Distances[[#This Row],[Colonne27]]+1)</f>
        <v>24</v>
      </c>
      <c r="AU19" s="17">
        <f>IF(Distances[[#This Row],[Colonne28]]=$G19,AT19,Distances[[#This Row],[Colonne28]]+1)</f>
        <v>25</v>
      </c>
      <c r="AV19" s="17">
        <f>IF(Distances[[#This Row],[Colonne29]]=$G19,AU19,Distances[[#This Row],[Colonne29]]+1)</f>
        <v>26</v>
      </c>
      <c r="AW19" s="17">
        <f>IF(Distances[[#This Row],[Colonne30]]=$G19,AV19,Distances[[#This Row],[Colonne30]]+1)</f>
        <v>27</v>
      </c>
      <c r="AX19" s="17">
        <f>IF(Distances[[#This Row],[Colonne31]]=$G19,AW19,Distances[[#This Row],[Colonne31]]+1)</f>
        <v>28</v>
      </c>
      <c r="AY19" s="17">
        <f>IF(Distances[[#This Row],[Colonne32]]=$G19,AX19,Distances[[#This Row],[Colonne32]]+1)</f>
        <v>29</v>
      </c>
      <c r="AZ19" s="17">
        <f>IF(Distances[[#This Row],[Colonne33]]=$G19,AY19,Distances[[#This Row],[Colonne33]]+1)</f>
        <v>30</v>
      </c>
      <c r="BA19" s="17">
        <f>IF(Distances[[#This Row],[Colonne34]]=$G19,AZ19,Distances[[#This Row],[Colonne34]]+1)</f>
        <v>31</v>
      </c>
      <c r="BB19" s="17">
        <f>IF(Distances[[#This Row],[Colonne35]]=$G19,BA19,Distances[[#This Row],[Colonne35]]+1)</f>
        <v>32</v>
      </c>
      <c r="BC19" s="17">
        <f>IF(Distances[[#This Row],[Colonne36]]=$G19,BB19,Distances[[#This Row],[Colonne36]]+1)</f>
        <v>33</v>
      </c>
      <c r="BD19" s="17">
        <f>IF(Distances[[#This Row],[Colonne37]]=$G19,BC19,Distances[[#This Row],[Colonne37]]+1)</f>
        <v>34</v>
      </c>
      <c r="BE19" s="17">
        <f>IF(Distances[[#This Row],[Colonne38]]=$G19,BD19,Distances[[#This Row],[Colonne38]]+1)</f>
        <v>35</v>
      </c>
      <c r="BF19" s="17">
        <f>IF(Distances[[#This Row],[Colonne39]]=$G19,BE19,Distances[[#This Row],[Colonne39]]+1)</f>
        <v>36</v>
      </c>
      <c r="BG19" s="17">
        <f>IF(Distances[[#This Row],[Colonne40]]=$G19,BF19,Distances[[#This Row],[Colonne40]]+1)</f>
        <v>37</v>
      </c>
      <c r="BH19" s="17">
        <f>IF(Distances[[#This Row],[Colonne41]]=$G19,BG19,Distances[[#This Row],[Colonne41]]+1)</f>
        <v>38</v>
      </c>
      <c r="BI19" s="17">
        <f>IF(Distances[[#This Row],[Colonne42]]=$G19,BH19,Distances[[#This Row],[Colonne42]]+1)</f>
        <v>39</v>
      </c>
      <c r="BJ19" s="17">
        <f>IF(Distances[[#This Row],[Colonne43]]=$G19,BI19,Distances[[#This Row],[Colonne43]]+1)</f>
        <v>40</v>
      </c>
      <c r="BK19" s="17">
        <f>IF(Distances[[#This Row],[Colonne44]]=$G19,BJ19,Distances[[#This Row],[Colonne44]]+1)</f>
        <v>41</v>
      </c>
      <c r="BL19" s="17">
        <f>IF(Distances[[#This Row],[Colonne45]]=$G19,BK19,Distances[[#This Row],[Colonne45]]+1)</f>
        <v>42</v>
      </c>
      <c r="BM19" s="17">
        <f>IF(Distances[[#This Row],[Colonne46]]=$G19,BL19,Distances[[#This Row],[Colonne46]]+1)</f>
        <v>43</v>
      </c>
      <c r="BN19" s="17">
        <f>IF(Distances[[#This Row],[Colonne47]]=$G19,BM19,Distances[[#This Row],[Colonne47]]+1)</f>
        <v>44</v>
      </c>
      <c r="BO19" s="17">
        <f>IF(Distances[[#This Row],[Colonne48]]=$G19,BN19,Distances[[#This Row],[Colonne48]]+1)</f>
        <v>45</v>
      </c>
      <c r="BP19" s="17">
        <f>IF(Distances[[#This Row],[Colonne49]]=$G19,BO19,Distances[[#This Row],[Colonne49]]+1)</f>
        <v>46</v>
      </c>
      <c r="BQ19" s="17">
        <f>IF(Distances[[#This Row],[Colonne50]]=$G19,BP19,Distances[[#This Row],[Colonne50]]+1)</f>
        <v>47</v>
      </c>
      <c r="BR19" s="17">
        <f>IF(Distances[[#This Row],[Colonne51]]=$G19,BQ19,Distances[[#This Row],[Colonne51]]+1)</f>
        <v>48</v>
      </c>
      <c r="BS19" s="17">
        <f>IF(Distances[[#This Row],[Colonne52]]=$G19,BR19,Distances[[#This Row],[Colonne52]]+1)</f>
        <v>49</v>
      </c>
      <c r="BT19" s="17">
        <f>IF(Distances[[#This Row],[Colonne53]]=$G19,BS19,Distances[[#This Row],[Colonne53]]+1)</f>
        <v>50</v>
      </c>
      <c r="BU19" s="17">
        <f>IF(Distances[[#This Row],[Colonne54]]=$G19,BT19,Distances[[#This Row],[Colonne54]]+1)</f>
        <v>51</v>
      </c>
      <c r="BV19" s="17">
        <f>IF(Distances[[#This Row],[Colonne55]]=$G19,BU19,Distances[[#This Row],[Colonne55]]+1)</f>
        <v>52</v>
      </c>
      <c r="BW19" s="17">
        <f>IF(Distances[[#This Row],[Colonne56]]=$G19,BV19,Distances[[#This Row],[Colonne56]]+1)</f>
        <v>53</v>
      </c>
      <c r="BX19" s="17">
        <f>IF(Distances[[#This Row],[Colonne57]]=$G19,BW19,Distances[[#This Row],[Colonne57]]+1)</f>
        <v>54</v>
      </c>
      <c r="BY19" s="17">
        <f>IF(Distances[[#This Row],[Colonne58]]=$G19,BX19,Distances[[#This Row],[Colonne58]]+1)</f>
        <v>55</v>
      </c>
      <c r="BZ19" s="17">
        <f>IF(Distances[[#This Row],[Colonne59]]=$G19,BY19,Distances[[#This Row],[Colonne59]]+1)</f>
        <v>56</v>
      </c>
      <c r="CA19" s="17">
        <f>IF(Distances[[#This Row],[Colonne60]]=$G19,BZ19,Distances[[#This Row],[Colonne60]]+1)</f>
        <v>57</v>
      </c>
      <c r="CB19" s="17">
        <f>IF(Distances[[#This Row],[Colonne61]]=$G19,CA19,Distances[[#This Row],[Colonne61]]+1)</f>
        <v>58</v>
      </c>
      <c r="CC19" s="17">
        <f>IF(Distances[[#This Row],[Colonne62]]=$G19,CB19,Distances[[#This Row],[Colonne62]]+1)</f>
        <v>59</v>
      </c>
      <c r="CD19" s="17">
        <f>IF(Distances[[#This Row],[Colonne63]]=$G19,CC19,Distances[[#This Row],[Colonne63]]+1)</f>
        <v>60</v>
      </c>
      <c r="CE19" s="17">
        <f>IF(Distances[[#This Row],[Colonne64]]=$G19,CD19,Distances[[#This Row],[Colonne64]]+1)</f>
        <v>61</v>
      </c>
      <c r="CF19" s="17">
        <f>IF(Distances[[#This Row],[Colonne65]]=$G19,CE19,Distances[[#This Row],[Colonne65]]+1)</f>
        <v>62</v>
      </c>
      <c r="CG19" s="17">
        <f>IF(Distances[[#This Row],[Colonne66]]=$G19,CF19,Distances[[#This Row],[Colonne66]]+1)</f>
        <v>63</v>
      </c>
      <c r="CH19" s="17">
        <f>IF(Distances[[#This Row],[Colonne67]]=$G19,CG19,Distances[[#This Row],[Colonne67]]+1)</f>
        <v>64</v>
      </c>
      <c r="CI19" s="17">
        <f>IF(Distances[[#This Row],[Colonne68]]=$G19,CH19,Distances[[#This Row],[Colonne68]]+1)</f>
        <v>65</v>
      </c>
      <c r="CJ19" s="17">
        <f>IF(Distances[[#This Row],[Colonne69]]=$G19,CI19,Distances[[#This Row],[Colonne69]]+1)</f>
        <v>66</v>
      </c>
      <c r="CK19" s="17">
        <f>IF(Distances[[#This Row],[Colonne70]]=$G19,CJ19,Distances[[#This Row],[Colonne70]]+1)</f>
        <v>67</v>
      </c>
      <c r="CL19" s="17">
        <f>IF(Distances[[#This Row],[Colonne71]]=$G19,CK19,Distances[[#This Row],[Colonne71]]+1)</f>
        <v>68</v>
      </c>
      <c r="CM19" s="17">
        <f>IF(Distances[[#This Row],[Colonne72]]=$G19,CL19,Distances[[#This Row],[Colonne72]]+1)</f>
        <v>69</v>
      </c>
      <c r="CN19" s="17">
        <f>IF(Distances[[#This Row],[Colonne73]]=$G19,CM19,Distances[[#This Row],[Colonne73]]+1)</f>
        <v>70</v>
      </c>
      <c r="CO19" s="17">
        <f>IF(Distances[[#This Row],[Colonne74]]=$G19,CN19,Distances[[#This Row],[Colonne74]]+1)</f>
        <v>71</v>
      </c>
      <c r="CP19" s="17">
        <f>IF(Distances[[#This Row],[Colonne75]]=$G19,CO19,Distances[[#This Row],[Colonne75]]+1)</f>
        <v>72</v>
      </c>
      <c r="CQ19" s="17">
        <f>IF(Distances[[#This Row],[Colonne76]]=$G19,CP19,Distances[[#This Row],[Colonne76]]+1)</f>
        <v>73</v>
      </c>
      <c r="CR19" s="17">
        <f>IF(Distances[[#This Row],[Colonne77]]=$G19,CQ19,Distances[[#This Row],[Colonne77]]+1)</f>
        <v>74</v>
      </c>
      <c r="CS19" s="17">
        <f>IF(Distances[[#This Row],[Colonne78]]=$G19,CR19,Distances[[#This Row],[Colonne78]]+1)</f>
        <v>75</v>
      </c>
      <c r="CT19" s="17">
        <f>IF(Distances[[#This Row],[Colonne79]]=$G19,CS19,Distances[[#This Row],[Colonne79]]+1)</f>
        <v>76</v>
      </c>
      <c r="CU19" s="17">
        <f>IF(Distances[[#This Row],[Colonne80]]=$G19,CT19,Distances[[#This Row],[Colonne80]]+1)</f>
        <v>77</v>
      </c>
      <c r="CV19" s="17">
        <f>IF(Distances[[#This Row],[Colonne81]]=$G19,CU19,Distances[[#This Row],[Colonne81]]+1)</f>
        <v>78</v>
      </c>
      <c r="CW19" s="17">
        <f>IF(Distances[[#This Row],[Colonne82]]=$G19,CV19,Distances[[#This Row],[Colonne82]]+1)</f>
        <v>79</v>
      </c>
      <c r="CX19" s="17">
        <f>IF(Distances[[#This Row],[Colonne83]]=$G19,CW19,Distances[[#This Row],[Colonne83]]+1)</f>
        <v>80</v>
      </c>
      <c r="CY19" s="17">
        <f>IF(Distances[[#This Row],[Colonne84]]=$G19,CX19,Distances[[#This Row],[Colonne84]]+1)</f>
        <v>80</v>
      </c>
      <c r="CZ19" s="17">
        <f>IF(Distances[[#This Row],[Colonne85]]=$G19,CY19,Distances[[#This Row],[Colonne85]]+1)</f>
        <v>80</v>
      </c>
      <c r="DA19" s="17">
        <f>IF(Distances[[#This Row],[Colonne86]]=$G19,CZ19,Distances[[#This Row],[Colonne86]]+1)</f>
        <v>80</v>
      </c>
      <c r="DB19" s="17">
        <f>IF(Distances[[#This Row],[Colonne87]]=$G19,DA19,Distances[[#This Row],[Colonne87]]+1)</f>
        <v>80</v>
      </c>
      <c r="DC19" s="17">
        <f>IF(Distances[[#This Row],[Colonne88]]=$G19,DB19,Distances[[#This Row],[Colonne88]]+1)</f>
        <v>80</v>
      </c>
      <c r="DD19" s="17">
        <f>IF(Distances[[#This Row],[Colonne89]]=$G19,DC19,Distances[[#This Row],[Colonne89]]+1)</f>
        <v>80</v>
      </c>
      <c r="DE19" s="17">
        <f>IF(Distances[[#This Row],[Colonne90]]=$G19,DD19,Distances[[#This Row],[Colonne90]]+1)</f>
        <v>80</v>
      </c>
      <c r="DF19" s="17">
        <f>IF(Distances[[#This Row],[Colonne91]]=$G19,DE19,Distances[[#This Row],[Colonne91]]+1)</f>
        <v>80</v>
      </c>
      <c r="DG19" s="17">
        <f>IF(Distances[[#This Row],[Colonne92]]=$G19,DF19,Distances[[#This Row],[Colonne92]]+1)</f>
        <v>80</v>
      </c>
      <c r="DH19" s="17">
        <f>IF(Distances[[#This Row],[Colonne93]]=$G19,DG19,Distances[[#This Row],[Colonne93]]+1)</f>
        <v>80</v>
      </c>
      <c r="DI19" s="17">
        <f>IF(Distances[[#This Row],[Colonne94]]=$G19,DH19,Distances[[#This Row],[Colonne94]]+1)</f>
        <v>80</v>
      </c>
      <c r="DJ19" s="17">
        <f>IF(Distances[[#This Row],[Colonne95]]=$G19,DI19,Distances[[#This Row],[Colonne95]]+1)</f>
        <v>80</v>
      </c>
      <c r="DK19" s="17">
        <f>IF(Distances[[#This Row],[Colonne96]]=$G19,DJ19,Distances[[#This Row],[Colonne96]]+1)</f>
        <v>80</v>
      </c>
      <c r="DL19" s="17">
        <f>IF(Distances[[#This Row],[Colonne97]]=$G19,DK19,Distances[[#This Row],[Colonne97]]+1)</f>
        <v>80</v>
      </c>
      <c r="DM19" s="17">
        <f>IF(Distances[[#This Row],[Colonne98]]=$G19,DL19,Distances[[#This Row],[Colonne98]]+1)</f>
        <v>80</v>
      </c>
      <c r="DN19" s="17">
        <f>IF(Distances[[#This Row],[Colonne99]]=$G19,DM19,Distances[[#This Row],[Colonne99]]+1)</f>
        <v>80</v>
      </c>
      <c r="DO19" s="17">
        <f>IF(Distances[[#This Row],[Colonne100]]=$G19,DN19,Distances[[#This Row],[Colonne100]]+1)</f>
        <v>80</v>
      </c>
      <c r="DP19" s="17">
        <f>IF(Distances[[#This Row],[Colonne101]]=$G19,DO19,Distances[[#This Row],[Colonne101]]+1)</f>
        <v>80</v>
      </c>
      <c r="DQ19" s="17">
        <f>IF(Distances[[#This Row],[Colonne102]]=$G19,DP19,Distances[[#This Row],[Colonne102]]+1)</f>
        <v>80</v>
      </c>
      <c r="DR19" s="17">
        <f>IF(Distances[[#This Row],[Colonne103]]=$G19,DQ19,Distances[[#This Row],[Colonne103]]+1)</f>
        <v>80</v>
      </c>
      <c r="DS19" s="17">
        <f>IF(Distances[[#This Row],[Colonne104]]=$G19,DR19,Distances[[#This Row],[Colonne104]]+1)</f>
        <v>80</v>
      </c>
      <c r="DT19" s="17">
        <f>IF(Distances[[#This Row],[Colonne105]]=$G19,DS19,Distances[[#This Row],[Colonne105]]+1)</f>
        <v>80</v>
      </c>
      <c r="DU19" s="17">
        <f>IF(Distances[[#This Row],[Colonne106]]=$G19,DT19,Distances[[#This Row],[Colonne106]]+1)</f>
        <v>80</v>
      </c>
      <c r="DV19" s="17">
        <f>IF(Distances[[#This Row],[Colonne107]]=$G19,DU19,Distances[[#This Row],[Colonne107]]+1)</f>
        <v>80</v>
      </c>
      <c r="DW19" s="17">
        <f>IF(Distances[[#This Row],[Colonne108]]=$G19,DV19,Distances[[#This Row],[Colonne108]]+1)</f>
        <v>80</v>
      </c>
      <c r="DX19" s="17">
        <f>IF(Distances[[#This Row],[Colonne109]]=$G19,DW19,Distances[[#This Row],[Colonne109]]+1)</f>
        <v>80</v>
      </c>
      <c r="DY19" s="17">
        <f>IF(Distances[[#This Row],[Colonne110]]=$G19,DX19,Distances[[#This Row],[Colonne110]]+1)</f>
        <v>80</v>
      </c>
      <c r="DZ19" s="17">
        <f>IF(Distances[[#This Row],[Colonne111]]=$G19,DY19,Distances[[#This Row],[Colonne111]]+1)</f>
        <v>80</v>
      </c>
      <c r="EA19" s="17">
        <f>IF(Distances[[#This Row],[Colonne112]]=$G19,DZ19,Distances[[#This Row],[Colonne112]]+1)</f>
        <v>80</v>
      </c>
      <c r="EB19" s="17">
        <f>IF(Distances[[#This Row],[Colonne113]]=$G19,EA19,Distances[[#This Row],[Colonne113]]+1)</f>
        <v>80</v>
      </c>
      <c r="EC19" s="17">
        <f>IF(Distances[[#This Row],[Colonne114]]=$G19,EB19,Distances[[#This Row],[Colonne114]]+1)</f>
        <v>80</v>
      </c>
      <c r="ED19" s="17">
        <f>IF(Distances[[#This Row],[Colonne115]]=$G19,EC19,Distances[[#This Row],[Colonne115]]+1)</f>
        <v>80</v>
      </c>
      <c r="EE19" s="17">
        <f>IF(Distances[[#This Row],[Colonne116]]=$G19,ED19,Distances[[#This Row],[Colonne116]]+1)</f>
        <v>80</v>
      </c>
      <c r="EF19" s="17">
        <f>IF(Distances[[#This Row],[Colonne117]]=$G19,EE19,Distances[[#This Row],[Colonne117]]+1)</f>
        <v>80</v>
      </c>
      <c r="EG19" s="17">
        <f>IF(Distances[[#This Row],[Colonne118]]=$G19,EF19,Distances[[#This Row],[Colonne118]]+1)</f>
        <v>80</v>
      </c>
      <c r="EH19" s="17">
        <f>IF(Distances[[#This Row],[Colonne119]]=$G19,EG19,Distances[[#This Row],[Colonne119]]+1)</f>
        <v>80</v>
      </c>
      <c r="EI19" s="17">
        <f>IF(Distances[[#This Row],[Colonne120]]=$G19,EH19,Distances[[#This Row],[Colonne120]]+1)</f>
        <v>80</v>
      </c>
      <c r="EJ19" s="17">
        <f>IF(Distances[[#This Row],[Colonne121]]=$G19,EI19,Distances[[#This Row],[Colonne121]]+1)</f>
        <v>80</v>
      </c>
      <c r="EK19" s="17">
        <f>IF(Distances[[#This Row],[Colonne122]]=$G19,EJ19,Distances[[#This Row],[Colonne122]]+1)</f>
        <v>80</v>
      </c>
      <c r="EL19" s="17">
        <f>IF(Distances[[#This Row],[Colonne123]]=$G19,EK19,Distances[[#This Row],[Colonne123]]+1)</f>
        <v>80</v>
      </c>
      <c r="EM19" s="17">
        <f>IF(Distances[[#This Row],[Colonne124]]=$G19,EL19,Distances[[#This Row],[Colonne124]]+1)</f>
        <v>80</v>
      </c>
      <c r="EN19" s="17">
        <f>IF(Distances[[#This Row],[Colonne125]]=$G19,EM19,Distances[[#This Row],[Colonne125]]+1)</f>
        <v>80</v>
      </c>
      <c r="EO19" s="17">
        <f>IF(Distances[[#This Row],[Colonne126]]=$G19,EN19,Distances[[#This Row],[Colonne126]]+1)</f>
        <v>80</v>
      </c>
      <c r="EP19" s="17">
        <f>IF(Distances[[#This Row],[Colonne127]]=$G19,EO19,Distances[[#This Row],[Colonne127]]+1)</f>
        <v>80</v>
      </c>
      <c r="EQ19" s="17">
        <f>IF(Distances[[#This Row],[Colonne128]]=$G19,EP19,Distances[[#This Row],[Colonne128]]+1)</f>
        <v>80</v>
      </c>
      <c r="ER19" s="17">
        <f>IF(Distances[[#This Row],[Colonne129]]=$G19,EQ19,Distances[[#This Row],[Colonne129]]+1)</f>
        <v>80</v>
      </c>
      <c r="ES19" s="17">
        <f>IF(Distances[[#This Row],[Colonne130]]=$G19,ER19,Distances[[#This Row],[Colonne130]]+1)</f>
        <v>80</v>
      </c>
      <c r="ET19" s="17">
        <f>IF(Distances[[#This Row],[Colonne131]]=$G19,ES19,Distances[[#This Row],[Colonne131]]+1)</f>
        <v>80</v>
      </c>
      <c r="EU19" s="17">
        <f>IF(Distances[[#This Row],[Colonne132]]=$G19,ET19,Distances[[#This Row],[Colonne132]]+1)</f>
        <v>80</v>
      </c>
      <c r="EV19" s="17">
        <f>IF(Distances[[#This Row],[Colonne133]]=$G19,EU19,Distances[[#This Row],[Colonne133]]+1)</f>
        <v>80</v>
      </c>
      <c r="EW19" s="17">
        <f>IF(Distances[[#This Row],[Colonne134]]=$G19,EV19,Distances[[#This Row],[Colonne134]]+1)</f>
        <v>80</v>
      </c>
      <c r="EX19" s="17">
        <f>IF(Distances[[#This Row],[Colonne135]]=$G19,EW19,Distances[[#This Row],[Colonne135]]+1)</f>
        <v>80</v>
      </c>
      <c r="EY19" s="17">
        <f>IF(Distances[[#This Row],[Colonne136]]=$G19,EX19,Distances[[#This Row],[Colonne136]]+1)</f>
        <v>80</v>
      </c>
      <c r="EZ19" s="17">
        <f>IF(Distances[[#This Row],[Colonne137]]=$G19,EY19,Distances[[#This Row],[Colonne137]]+1)</f>
        <v>80</v>
      </c>
      <c r="FA19" s="17">
        <f>IF(Distances[[#This Row],[Colonne138]]=$G19,EZ19,Distances[[#This Row],[Colonne138]]+1)</f>
        <v>80</v>
      </c>
      <c r="FB19" s="17">
        <f>IF(Distances[[#This Row],[Colonne139]]=$G19,FA19,Distances[[#This Row],[Colonne139]]+1)</f>
        <v>80</v>
      </c>
      <c r="FC19" s="17">
        <f>IF(Distances[[#This Row],[Colonne140]]=$G19,FB19,Distances[[#This Row],[Colonne140]]+1)</f>
        <v>80</v>
      </c>
      <c r="FD19" s="17">
        <f>IF(Distances[[#This Row],[Colonne141]]=$G19,FC19,Distances[[#This Row],[Colonne141]]+1)</f>
        <v>80</v>
      </c>
      <c r="FE19" s="17">
        <f>IF(Distances[[#This Row],[Colonne142]]=$G19,FD19,Distances[[#This Row],[Colonne142]]+1)</f>
        <v>80</v>
      </c>
      <c r="FF19" s="17">
        <f>IF(Distances[[#This Row],[Colonne143]]=$G19,FE19,Distances[[#This Row],[Colonne143]]+1)</f>
        <v>80</v>
      </c>
      <c r="FG19" s="17">
        <f>IF(Distances[[#This Row],[Colonne144]]=$G19,FF19,Distances[[#This Row],[Colonne144]]+1)</f>
        <v>80</v>
      </c>
      <c r="FH19" s="17">
        <f>IF(Distances[[#This Row],[Colonne145]]=$G19,FG19,Distances[[#This Row],[Colonne145]]+1)</f>
        <v>80</v>
      </c>
      <c r="FI19" s="17">
        <f>IF(Distances[[#This Row],[Colonne146]]=$G19,FH19,Distances[[#This Row],[Colonne146]]+1)</f>
        <v>80</v>
      </c>
      <c r="FJ19" s="17">
        <f>IF(Distances[[#This Row],[Colonne147]]=$G19,FI19,Distances[[#This Row],[Colonne147]]+1)</f>
        <v>80</v>
      </c>
      <c r="FK19" s="17">
        <f>IF(Distances[[#This Row],[Colonne148]]=$G19,FJ19,Distances[[#This Row],[Colonne148]]+1)</f>
        <v>80</v>
      </c>
      <c r="FL19" s="17">
        <f>IF(Distances[[#This Row],[Colonne149]]=$G19,FK19,Distances[[#This Row],[Colonne149]]+1)</f>
        <v>80</v>
      </c>
      <c r="FM19" s="17">
        <f>IF(Distances[[#This Row],[Colonne150]]=$G19,FL19,Distances[[#This Row],[Colonne150]]+1)</f>
        <v>80</v>
      </c>
      <c r="FN19" s="17">
        <f>IF(Distances[[#This Row],[Colonne151]]=$G19,FM19,Distances[[#This Row],[Colonne151]]+1)</f>
        <v>80</v>
      </c>
      <c r="FO19" s="17">
        <f>IF(Distances[[#This Row],[Colonne152]]=$G19,FN19,Distances[[#This Row],[Colonne152]]+1)</f>
        <v>80</v>
      </c>
      <c r="FP19" s="17">
        <f>IF(Distances[[#This Row],[Colonne153]]=$G19,FO19,Distances[[#This Row],[Colonne153]]+1)</f>
        <v>80</v>
      </c>
      <c r="FQ19" s="17">
        <f>IF(Distances[[#This Row],[Colonne154]]=$G19,FP19,Distances[[#This Row],[Colonne154]]+1)</f>
        <v>80</v>
      </c>
      <c r="FR19" s="17">
        <f>IF(Distances[[#This Row],[Colonne155]]=$G19,FQ19,Distances[[#This Row],[Colonne155]]+1)</f>
        <v>80</v>
      </c>
      <c r="FS19" s="17">
        <f>IF(Distances[[#This Row],[Colonne156]]=$G19,FR19,Distances[[#This Row],[Colonne156]]+1)</f>
        <v>80</v>
      </c>
      <c r="FT19" s="17">
        <f>IF(Distances[[#This Row],[Colonne157]]=$G19,FS19,Distances[[#This Row],[Colonne157]]+1)</f>
        <v>80</v>
      </c>
      <c r="FU19" s="17">
        <f>IF(Distances[[#This Row],[Colonne158]]=$G19,FT19,Distances[[#This Row],[Colonne158]]+1)</f>
        <v>80</v>
      </c>
      <c r="FV19" s="17">
        <f>IF(Distances[[#This Row],[Colonne159]]=$G19,FU19,Distances[[#This Row],[Colonne159]]+1)</f>
        <v>80</v>
      </c>
      <c r="FW19" s="17">
        <f>IF(Distances[[#This Row],[Colonne160]]=$G19,FV19,Distances[[#This Row],[Colonne160]]+1)</f>
        <v>80</v>
      </c>
      <c r="FX19" s="17">
        <f>IF(Distances[[#This Row],[Colonne161]]=$G19,FW19,Distances[[#This Row],[Colonne161]]+1)</f>
        <v>80</v>
      </c>
      <c r="FY19" s="17">
        <f>IF(Distances[[#This Row],[Colonne162]]=$G19,FX19,Distances[[#This Row],[Colonne162]]+1)</f>
        <v>80</v>
      </c>
      <c r="FZ19" s="17">
        <f>IF(Distances[[#This Row],[Colonne163]]=$G19,FY19,Distances[[#This Row],[Colonne163]]+1)</f>
        <v>80</v>
      </c>
      <c r="GA19" s="17">
        <f>IF(Distances[[#This Row],[Colonne164]]=$G19,FZ19,Distances[[#This Row],[Colonne164]]+1)</f>
        <v>80</v>
      </c>
      <c r="GB19" s="17">
        <f>IF(Distances[[#This Row],[Colonne165]]=$G19,GA19,Distances[[#This Row],[Colonne165]]+1)</f>
        <v>80</v>
      </c>
      <c r="GC19" s="17">
        <f>IF(Distances[[#This Row],[Colonne166]]=$G19,GB19,Distances[[#This Row],[Colonne166]]+1)</f>
        <v>80</v>
      </c>
      <c r="GD19" s="17">
        <f>IF(Distances[[#This Row],[Colonne167]]=$G19,GC19,Distances[[#This Row],[Colonne167]]+1)</f>
        <v>80</v>
      </c>
      <c r="GE19" s="17">
        <f>IF(Distances[[#This Row],[Colonne168]]=$G19,GD19,Distances[[#This Row],[Colonne168]]+1)</f>
        <v>80</v>
      </c>
      <c r="GF19" s="17">
        <f>IF(Distances[[#This Row],[Colonne169]]=$G19,GE19,Distances[[#This Row],[Colonne169]]+1)</f>
        <v>80</v>
      </c>
      <c r="GG19" s="17">
        <f>IF(Distances[[#This Row],[Colonne170]]=$G19,GF19,Distances[[#This Row],[Colonne170]]+1)</f>
        <v>80</v>
      </c>
      <c r="GH19" s="17">
        <f>IF(Distances[[#This Row],[Colonne171]]=$G19,GG19,Distances[[#This Row],[Colonne171]]+1)</f>
        <v>80</v>
      </c>
      <c r="GI19" s="17">
        <f>IF(Distances[[#This Row],[Colonne172]]=$G19,GH19,Distances[[#This Row],[Colonne172]]+1)</f>
        <v>80</v>
      </c>
      <c r="GJ19" s="17">
        <f>IF(Distances[[#This Row],[Colonne173]]=$G19,GI19,Distances[[#This Row],[Colonne173]]+1)</f>
        <v>80</v>
      </c>
      <c r="GK19" s="17">
        <f>IF(Distances[[#This Row],[Colonne174]]=$G19,GJ19,Distances[[#This Row],[Colonne174]]+1)</f>
        <v>80</v>
      </c>
      <c r="GL19" s="17">
        <f>IF(Distances[[#This Row],[Colonne175]]=$G19,GK19,Distances[[#This Row],[Colonne175]]+1)</f>
        <v>80</v>
      </c>
      <c r="GM19" s="17">
        <f>IF(Distances[[#This Row],[Colonne176]]=$G19,GL19,Distances[[#This Row],[Colonne176]]+1)</f>
        <v>80</v>
      </c>
      <c r="GN19" s="17">
        <f>IF(Distances[[#This Row],[Colonne177]]=$G19,GM19,Distances[[#This Row],[Colonne177]]+1)</f>
        <v>80</v>
      </c>
      <c r="GO19" s="17">
        <f>IF(Distances[[#This Row],[Colonne178]]=$G19,GN19,Distances[[#This Row],[Colonne178]]+1)</f>
        <v>80</v>
      </c>
      <c r="GP19" s="17">
        <f>IF(Distances[[#This Row],[Colonne179]]=$G19,GO19,Distances[[#This Row],[Colonne179]]+1)</f>
        <v>80</v>
      </c>
      <c r="GQ19" s="17">
        <f>IF(Distances[[#This Row],[Colonne180]]=$G19,GP19,Distances[[#This Row],[Colonne180]]+1)</f>
        <v>80</v>
      </c>
      <c r="GR19" s="17">
        <f>IF(Distances[[#This Row],[Colonne181]]=$G19,GQ19,Distances[[#This Row],[Colonne181]]+1)</f>
        <v>80</v>
      </c>
      <c r="GS19" s="17">
        <f>IF(Distances[[#This Row],[Colonne182]]=$G19,GR19,Distances[[#This Row],[Colonne182]]+1)</f>
        <v>80</v>
      </c>
      <c r="GT19" s="17">
        <f>IF(Distances[[#This Row],[Colonne183]]=$G19,GS19,Distances[[#This Row],[Colonne183]]+1)</f>
        <v>80</v>
      </c>
      <c r="GU19" s="17">
        <f>IF(Distances[[#This Row],[Colonne184]]=$G19,GT19,Distances[[#This Row],[Colonne184]]+1)</f>
        <v>80</v>
      </c>
      <c r="GV19" s="17">
        <f>IF(Distances[[#This Row],[Colonne185]]=$G19,GU19,Distances[[#This Row],[Colonne185]]+1)</f>
        <v>80</v>
      </c>
      <c r="GW19" s="17">
        <f>IF(Distances[[#This Row],[Colonne186]]=$G19,GV19,Distances[[#This Row],[Colonne186]]+1)</f>
        <v>80</v>
      </c>
      <c r="GX19" s="17">
        <f>IF(Distances[[#This Row],[Colonne187]]=$G19,GW19,Distances[[#This Row],[Colonne187]]+1)</f>
        <v>80</v>
      </c>
      <c r="GY19" s="17">
        <f>IF(Distances[[#This Row],[Colonne188]]=$G19,GX19,Distances[[#This Row],[Colonne188]]+1)</f>
        <v>80</v>
      </c>
      <c r="GZ19" s="17">
        <f>IF(Distances[[#This Row],[Colonne189]]=$G19,GY19,Distances[[#This Row],[Colonne189]]+1)</f>
        <v>80</v>
      </c>
      <c r="HA19" s="17">
        <f>IF(Distances[[#This Row],[Colonne190]]=$G19,GZ19,Distances[[#This Row],[Colonne190]]+1)</f>
        <v>80</v>
      </c>
      <c r="HB19" s="17">
        <f>IF(Distances[[#This Row],[Colonne191]]=$G19,HA19,Distances[[#This Row],[Colonne191]]+1)</f>
        <v>80</v>
      </c>
      <c r="HC19" s="17">
        <f>IF(Distances[[#This Row],[Colonne192]]=$G19,HB19,Distances[[#This Row],[Colonne192]]+1)</f>
        <v>80</v>
      </c>
      <c r="HD19" s="17">
        <f>IF(Distances[[#This Row],[Colonne193]]=$G19,HC19,Distances[[#This Row],[Colonne193]]+1)</f>
        <v>80</v>
      </c>
      <c r="HE19" s="17">
        <f>IF(Distances[[#This Row],[Colonne194]]=$G19,HD19,Distances[[#This Row],[Colonne194]]+1)</f>
        <v>80</v>
      </c>
      <c r="HF19" s="17">
        <f>IF(Distances[[#This Row],[Colonne195]]=$G19,HE19,Distances[[#This Row],[Colonne195]]+1)</f>
        <v>80</v>
      </c>
      <c r="HG19" s="17">
        <f>IF(Distances[[#This Row],[Colonne196]]=$G19,HF19,Distances[[#This Row],[Colonne196]]+1)</f>
        <v>80</v>
      </c>
      <c r="HH19" s="17">
        <f>IF(Distances[[#This Row],[Colonne197]]=$G19,HG19,Distances[[#This Row],[Colonne197]]+1)</f>
        <v>80</v>
      </c>
      <c r="HI19" s="17">
        <f>IF(Distances[[#This Row],[Colonne198]]=$G19,HH19,Distances[[#This Row],[Colonne198]]+1)</f>
        <v>80</v>
      </c>
      <c r="HJ19" s="17">
        <f>IF(Distances[[#This Row],[Colonne199]]=$G19,HI19,Distances[[#This Row],[Colonne199]]+1)</f>
        <v>80</v>
      </c>
      <c r="HK19" s="17">
        <f>IF(Distances[[#This Row],[Colonne200]]=$G19,HJ19,Distances[[#This Row],[Colonne200]]+1)</f>
        <v>80</v>
      </c>
      <c r="HL19" s="17">
        <f>IF(Distances[[#This Row],[Colonne201]]=$G19,HK19,Distances[[#This Row],[Colonne201]]+1)</f>
        <v>80</v>
      </c>
      <c r="HM19" s="17">
        <f>IF(Distances[[#This Row],[Colonne202]]=$G19,HL19,Distances[[#This Row],[Colonne202]]+1)</f>
        <v>80</v>
      </c>
      <c r="HN19" s="17">
        <f>IF(Distances[[#This Row],[Colonne203]]=$G19,HM19,Distances[[#This Row],[Colonne203]]+1)</f>
        <v>80</v>
      </c>
      <c r="HO19" s="17">
        <f>IF(Distances[[#This Row],[Colonne204]]=$G19,HN19,Distances[[#This Row],[Colonne204]]+1)</f>
        <v>80</v>
      </c>
      <c r="HP19" s="17">
        <f>IF(Distances[[#This Row],[Colonne205]]=$G19,HO19,Distances[[#This Row],[Colonne205]]+1)</f>
        <v>80</v>
      </c>
      <c r="HQ19" s="17">
        <f>IF(Distances[[#This Row],[Colonne206]]=$G19,HP19,Distances[[#This Row],[Colonne206]]+1)</f>
        <v>80</v>
      </c>
      <c r="HR19" s="17">
        <f>IF(Distances[[#This Row],[Colonne207]]=$G19,HQ19,Distances[[#This Row],[Colonne207]]+1)</f>
        <v>80</v>
      </c>
      <c r="HS19" s="17">
        <f>IF(Distances[[#This Row],[Colonne208]]=$G19,HR19,Distances[[#This Row],[Colonne208]]+1)</f>
        <v>80</v>
      </c>
      <c r="HT19" s="17">
        <f>IF(Distances[[#This Row],[Colonne209]]=$G19,HS19,Distances[[#This Row],[Colonne209]]+1)</f>
        <v>80</v>
      </c>
      <c r="HU19" s="17">
        <f>IF(Distances[[#This Row],[Colonne210]]=$G19,HT19,Distances[[#This Row],[Colonne210]]+1)</f>
        <v>80</v>
      </c>
      <c r="HV19" s="17">
        <f>IF(Distances[[#This Row],[Colonne211]]=$G19,HU19,Distances[[#This Row],[Colonne211]]+1)</f>
        <v>80</v>
      </c>
      <c r="HW19" s="17">
        <f>IF(Distances[[#This Row],[Colonne212]]=$G19,HV19,Distances[[#This Row],[Colonne212]]+1)</f>
        <v>80</v>
      </c>
      <c r="HX19" s="17">
        <f>IF(Distances[[#This Row],[Colonne213]]=$G19,HW19,Distances[[#This Row],[Colonne213]]+1)</f>
        <v>80</v>
      </c>
      <c r="HY19" s="17">
        <f>IF(Distances[[#This Row],[Colonne214]]=$G19,HX19,Distances[[#This Row],[Colonne214]]+1)</f>
        <v>80</v>
      </c>
      <c r="HZ19" s="17">
        <f>IF(Distances[[#This Row],[Colonne215]]=$G19,HY19,Distances[[#This Row],[Colonne215]]+1)</f>
        <v>80</v>
      </c>
      <c r="IA19" s="17">
        <f>IF(Distances[[#This Row],[Colonne216]]=$G19,HZ19,Distances[[#This Row],[Colonne216]]+1)</f>
        <v>80</v>
      </c>
      <c r="IB19" s="17">
        <f>IF(Distances[[#This Row],[Colonne217]]=$G19,IA19,Distances[[#This Row],[Colonne217]]+1)</f>
        <v>80</v>
      </c>
      <c r="IC19" s="17">
        <f>IF(Distances[[#This Row],[Colonne218]]=$G19,IB19,Distances[[#This Row],[Colonne218]]+1)</f>
        <v>80</v>
      </c>
      <c r="ID19" s="17">
        <f>IF(Distances[[#This Row],[Colonne219]]=$G19,IC19,Distances[[#This Row],[Colonne219]]+1)</f>
        <v>80</v>
      </c>
      <c r="IE19" s="17">
        <f>IF(Distances[[#This Row],[Colonne220]]=$G19,ID19,Distances[[#This Row],[Colonne220]]+1)</f>
        <v>80</v>
      </c>
      <c r="IF19" s="17">
        <f>IF(Distances[[#This Row],[Colonne221]]=$G19,IE19,Distances[[#This Row],[Colonne221]]+1)</f>
        <v>80</v>
      </c>
      <c r="IG19" s="17">
        <f>IF(Distances[[#This Row],[Colonne222]]=$G19,IF19,Distances[[#This Row],[Colonne222]]+1)</f>
        <v>80</v>
      </c>
      <c r="IH19" s="17">
        <f>IF(Distances[[#This Row],[Colonne223]]=$G19,IG19,Distances[[#This Row],[Colonne223]]+1)</f>
        <v>80</v>
      </c>
      <c r="II19" s="17">
        <f>IF(Distances[[#This Row],[Colonne224]]=$G19,IH19,Distances[[#This Row],[Colonne224]]+1)</f>
        <v>80</v>
      </c>
      <c r="IJ19" s="17">
        <f>IF(Distances[[#This Row],[Colonne225]]=$G19,II19,Distances[[#This Row],[Colonne225]]+1)</f>
        <v>80</v>
      </c>
      <c r="IK19" s="17">
        <f>IF(Distances[[#This Row],[Colonne226]]=$G19,IJ19,Distances[[#This Row],[Colonne226]]+1)</f>
        <v>80</v>
      </c>
      <c r="IL19" s="17">
        <f>IF(Distances[[#This Row],[Colonne227]]=$G19,IK19,Distances[[#This Row],[Colonne227]]+1)</f>
        <v>80</v>
      </c>
      <c r="IM19" s="17">
        <f>IF(Distances[[#This Row],[Colonne228]]=$G19,IL19,Distances[[#This Row],[Colonne228]]+1)</f>
        <v>80</v>
      </c>
      <c r="IN19" s="17">
        <f>IF(Distances[[#This Row],[Colonne229]]=$G19,IM19,Distances[[#This Row],[Colonne229]]+1)</f>
        <v>80</v>
      </c>
      <c r="IO19" s="17">
        <f>IF(Distances[[#This Row],[Colonne230]]=$G19,IN19,Distances[[#This Row],[Colonne230]]+1)</f>
        <v>80</v>
      </c>
      <c r="IP19" s="17">
        <f>IF(Distances[[#This Row],[Colonne231]]=$G19,IO19,Distances[[#This Row],[Colonne231]]+1)</f>
        <v>80</v>
      </c>
      <c r="IQ19" s="17">
        <f>IF(Distances[[#This Row],[Colonne232]]=$G19,IP19,Distances[[#This Row],[Colonne232]]+1)</f>
        <v>80</v>
      </c>
      <c r="IR19" s="17">
        <f>IF(Distances[[#This Row],[Colonne233]]=$G19,IQ19,Distances[[#This Row],[Colonne233]]+1)</f>
        <v>80</v>
      </c>
      <c r="IS19" s="17">
        <f>IF(Distances[[#This Row],[Colonne234]]=$G19,IR19,Distances[[#This Row],[Colonne234]]+1)</f>
        <v>80</v>
      </c>
      <c r="IT19" s="17">
        <f>IF(Distances[[#This Row],[Colonne235]]=$G19,IS19,Distances[[#This Row],[Colonne235]]+1)</f>
        <v>80</v>
      </c>
      <c r="IU19" s="17">
        <f>IF(Distances[[#This Row],[Colonne236]]=$G19,IT19,Distances[[#This Row],[Colonne236]]+1)</f>
        <v>80</v>
      </c>
      <c r="IV19" s="17">
        <f>IF(Distances[[#This Row],[Colonne237]]=$G19,IU19,Distances[[#This Row],[Colonne237]]+1)</f>
        <v>80</v>
      </c>
      <c r="IW19" s="17">
        <f>IF(Distances[[#This Row],[Colonne238]]=$G19,IV19,Distances[[#This Row],[Colonne238]]+1)</f>
        <v>80</v>
      </c>
      <c r="IX19" s="17">
        <f>IF(Distances[[#This Row],[Colonne239]]=$G19,IW19,Distances[[#This Row],[Colonne239]]+1)</f>
        <v>80</v>
      </c>
      <c r="IY19" s="17">
        <f>IF(Distances[[#This Row],[Colonne240]]=$G19,IX19,Distances[[#This Row],[Colonne240]]+1)</f>
        <v>80</v>
      </c>
      <c r="IZ19" s="17">
        <f>IF(Distances[[#This Row],[Colonne241]]=$G19,IY19,Distances[[#This Row],[Colonne241]]+1)</f>
        <v>80</v>
      </c>
      <c r="JA19" s="17">
        <f>IF(Distances[[#This Row],[Colonne242]]=$G19,IZ19,Distances[[#This Row],[Colonne242]]+1)</f>
        <v>80</v>
      </c>
      <c r="JB19" s="17">
        <f>IF(Distances[[#This Row],[Colonne243]]=$G19,JA19,Distances[[#This Row],[Colonne243]]+1)</f>
        <v>80</v>
      </c>
      <c r="JC19" s="17">
        <f>IF(Distances[[#This Row],[Colonne244]]=$G19,JB19,Distances[[#This Row],[Colonne244]]+1)</f>
        <v>80</v>
      </c>
      <c r="JD19" s="17">
        <f>IF(Distances[[#This Row],[Colonne245]]=$G19,JC19,Distances[[#This Row],[Colonne245]]+1)</f>
        <v>80</v>
      </c>
      <c r="JE19" s="17">
        <f>IF(Distances[[#This Row],[Colonne246]]=$G19,JD19,Distances[[#This Row],[Colonne246]]+1)</f>
        <v>80</v>
      </c>
      <c r="JF19" s="17">
        <f>IF(Distances[[#This Row],[Colonne247]]=$G19,JE19,Distances[[#This Row],[Colonne247]]+1)</f>
        <v>80</v>
      </c>
      <c r="JG19" s="17">
        <f>IF(Distances[[#This Row],[Colonne248]]=$G19,JF19,Distances[[#This Row],[Colonne248]]+1)</f>
        <v>80</v>
      </c>
      <c r="JH19" s="17">
        <f>IF(Distances[[#This Row],[Colonne249]]=$G19,JG19,Distances[[#This Row],[Colonne249]]+1)</f>
        <v>80</v>
      </c>
      <c r="JI19" s="17">
        <f>IF(Distances[[#This Row],[Colonne250]]=$G19,JH19,Distances[[#This Row],[Colonne250]]+1)</f>
        <v>80</v>
      </c>
      <c r="JJ19" s="17">
        <f>IF(Distances[[#This Row],[Colonne251]]=$G19,JI19,Distances[[#This Row],[Colonne251]]+1)</f>
        <v>80</v>
      </c>
      <c r="JK19" s="17">
        <f>IF(Distances[[#This Row],[Colonne252]]=$G19,JJ19,Distances[[#This Row],[Colonne252]]+1)</f>
        <v>80</v>
      </c>
      <c r="JL19" s="17">
        <f>IF(Distances[[#This Row],[Colonne253]]=$G19,JK19,Distances[[#This Row],[Colonne253]]+1)</f>
        <v>80</v>
      </c>
      <c r="JM19" s="17">
        <f>IF(Distances[[#This Row],[Colonne254]]=$G19,JL19,Distances[[#This Row],[Colonne254]]+1)</f>
        <v>80</v>
      </c>
      <c r="JN19" s="17">
        <f>IF(Distances[[#This Row],[Colonne255]]=$G19,JM19,Distances[[#This Row],[Colonne255]]+1)</f>
        <v>80</v>
      </c>
      <c r="JO19" s="17">
        <f>IF(Distances[[#This Row],[Colonne256]]=$G19,JN19,Distances[[#This Row],[Colonne256]]+1)</f>
        <v>80</v>
      </c>
      <c r="JP19" s="17">
        <f>IF(Distances[[#This Row],[Colonne257]]=$G19,JO19,Distances[[#This Row],[Colonne257]]+1)</f>
        <v>80</v>
      </c>
      <c r="JQ19" s="17">
        <f>IF(Distances[[#This Row],[Colonne258]]=$G19,JP19,Distances[[#This Row],[Colonne258]]+1)</f>
        <v>80</v>
      </c>
      <c r="JR19" s="17">
        <f>IF(Distances[[#This Row],[Colonne259]]=$G19,JQ19,Distances[[#This Row],[Colonne259]]+1)</f>
        <v>80</v>
      </c>
      <c r="JS19" s="17">
        <f>IF(Distances[[#This Row],[Colonne260]]=$G19,JR19,Distances[[#This Row],[Colonne260]]+1)</f>
        <v>80</v>
      </c>
      <c r="JT19" s="17">
        <f>IF(Distances[[#This Row],[Colonne261]]=$G19,JS19,Distances[[#This Row],[Colonne261]]+1)</f>
        <v>80</v>
      </c>
      <c r="JU19" s="17">
        <f>IF(Distances[[#This Row],[Colonne262]]=$G19,JT19,Distances[[#This Row],[Colonne262]]+1)</f>
        <v>80</v>
      </c>
      <c r="JV19" s="17">
        <f>IF(Distances[[#This Row],[Colonne263]]=$G19,JU19,Distances[[#This Row],[Colonne263]]+1)</f>
        <v>80</v>
      </c>
      <c r="JW19" s="17">
        <f>IF(Distances[[#This Row],[Colonne264]]=$G19,JV19,Distances[[#This Row],[Colonne264]]+1)</f>
        <v>80</v>
      </c>
      <c r="JX19" s="17">
        <f>IF(Distances[[#This Row],[Colonne265]]=$G19,JW19,Distances[[#This Row],[Colonne265]]+1)</f>
        <v>80</v>
      </c>
      <c r="JY19" s="17">
        <f>IF(Distances[[#This Row],[Colonne266]]=$G19,JX19,Distances[[#This Row],[Colonne266]]+1)</f>
        <v>80</v>
      </c>
      <c r="JZ19" s="17">
        <f>IF(Distances[[#This Row],[Colonne267]]=$G19,JY19,Distances[[#This Row],[Colonne267]]+1)</f>
        <v>80</v>
      </c>
      <c r="KA19" s="17">
        <f>IF(Distances[[#This Row],[Colonne268]]=$G19,JZ19,Distances[[#This Row],[Colonne268]]+1)</f>
        <v>80</v>
      </c>
      <c r="KB19" s="17">
        <f>IF(Distances[[#This Row],[Colonne269]]=$G19,KA19,Distances[[#This Row],[Colonne269]]+1)</f>
        <v>80</v>
      </c>
      <c r="KC19" s="17">
        <f>IF(Distances[[#This Row],[Colonne270]]=$G19,KB19,Distances[[#This Row],[Colonne270]]+1)</f>
        <v>80</v>
      </c>
      <c r="KD19" s="17">
        <f>IF(Distances[[#This Row],[Colonne271]]=$G19,KC19,Distances[[#This Row],[Colonne271]]+1)</f>
        <v>80</v>
      </c>
      <c r="KE19" s="17">
        <f>IF(Distances[[#This Row],[Colonne272]]=$G19,KD19,Distances[[#This Row],[Colonne272]]+1)</f>
        <v>80</v>
      </c>
      <c r="KF19" s="17">
        <f>IF(Distances[[#This Row],[Colonne273]]=$G19,KE19,Distances[[#This Row],[Colonne273]]+1)</f>
        <v>80</v>
      </c>
      <c r="KG19" s="17">
        <f>IF(Distances[[#This Row],[Colonne274]]=$G19,KF19,Distances[[#This Row],[Colonne274]]+1)</f>
        <v>80</v>
      </c>
      <c r="KH19" s="17">
        <f>IF(Distances[[#This Row],[Colonne275]]=$G19,KG19,Distances[[#This Row],[Colonne275]]+1)</f>
        <v>80</v>
      </c>
      <c r="KI19" s="17">
        <f>IF(Distances[[#This Row],[Colonne276]]=$G19,KH19,Distances[[#This Row],[Colonne276]]+1)</f>
        <v>80</v>
      </c>
      <c r="KJ19" s="17">
        <f>IF(Distances[[#This Row],[Colonne277]]=$G19,KI19,Distances[[#This Row],[Colonne277]]+1)</f>
        <v>80</v>
      </c>
      <c r="KK19" s="17">
        <f>IF(Distances[[#This Row],[Colonne278]]=$G19,KJ19,Distances[[#This Row],[Colonne278]]+1)</f>
        <v>80</v>
      </c>
      <c r="KL19" s="17">
        <f>IF(Distances[[#This Row],[Colonne279]]=$G19,KK19,Distances[[#This Row],[Colonne279]]+1)</f>
        <v>80</v>
      </c>
      <c r="KM19" s="17">
        <f>IF(Distances[[#This Row],[Colonne280]]=$G19,KL19,Distances[[#This Row],[Colonne280]]+1)</f>
        <v>80</v>
      </c>
      <c r="KN19" s="17">
        <f>IF(Distances[[#This Row],[Colonne281]]=$G19,KM19,Distances[[#This Row],[Colonne281]]+1)</f>
        <v>80</v>
      </c>
      <c r="KO19" s="17">
        <f>IF(Distances[[#This Row],[Colonne282]]=$G19,KN19,Distances[[#This Row],[Colonne282]]+1)</f>
        <v>80</v>
      </c>
      <c r="KP19" s="17">
        <f>IF(Distances[[#This Row],[Colonne283]]=$G19,KO19,Distances[[#This Row],[Colonne283]]+1)</f>
        <v>80</v>
      </c>
      <c r="KQ19" s="17">
        <f>IF(Distances[[#This Row],[Colonne284]]=$G19,KP19,Distances[[#This Row],[Colonne284]]+1)</f>
        <v>80</v>
      </c>
      <c r="KR19" s="17">
        <f>IF(Distances[[#This Row],[Colonne285]]=$G19,KQ19,Distances[[#This Row],[Colonne285]]+1)</f>
        <v>80</v>
      </c>
      <c r="KS19" s="17">
        <f>IF(Distances[[#This Row],[Colonne286]]=$G19,KR19,Distances[[#This Row],[Colonne286]]+1)</f>
        <v>80</v>
      </c>
      <c r="KT19" s="17">
        <f>IF(Distances[[#This Row],[Colonne287]]=$G19,KS19,Distances[[#This Row],[Colonne287]]+1)</f>
        <v>80</v>
      </c>
      <c r="KU19" s="17">
        <f>IF(Distances[[#This Row],[Colonne288]]=$G19,KT19,Distances[[#This Row],[Colonne288]]+1)</f>
        <v>80</v>
      </c>
      <c r="KV19" s="17">
        <f>IF(Distances[[#This Row],[Colonne289]]=$G19,KU19,Distances[[#This Row],[Colonne289]]+1)</f>
        <v>80</v>
      </c>
      <c r="KW19" s="17">
        <f>IF(Distances[[#This Row],[Colonne290]]=$G19,KV19,Distances[[#This Row],[Colonne290]]+1)</f>
        <v>80</v>
      </c>
      <c r="KX19" s="17">
        <f>IF(Distances[[#This Row],[Colonne291]]=$G19,KW19,Distances[[#This Row],[Colonne291]]+1)</f>
        <v>80</v>
      </c>
      <c r="KY19" s="17">
        <f>IF(Distances[[#This Row],[Colonne292]]=$G19,KX19,Distances[[#This Row],[Colonne292]]+1)</f>
        <v>80</v>
      </c>
      <c r="KZ19" s="17">
        <f>IF(Distances[[#This Row],[Colonne293]]=$G19,KY19,Distances[[#This Row],[Colonne293]]+1)</f>
        <v>80</v>
      </c>
      <c r="LA19" s="17">
        <f>IF(Distances[[#This Row],[Colonne294]]=$G19,KZ19,Distances[[#This Row],[Colonne294]]+1)</f>
        <v>80</v>
      </c>
      <c r="LB19" s="17">
        <f>IF(Distances[[#This Row],[Colonne295]]=$G19,LA19,Distances[[#This Row],[Colonne295]]+1)</f>
        <v>80</v>
      </c>
      <c r="LC19" s="17">
        <f>IF(Distances[[#This Row],[Colonne296]]=$G19,LB19,Distances[[#This Row],[Colonne296]]+1)</f>
        <v>80</v>
      </c>
      <c r="LD19" s="17">
        <f>IF(Distances[[#This Row],[Colonne297]]=$G19,LC19,Distances[[#This Row],[Colonne297]]+1)</f>
        <v>80</v>
      </c>
      <c r="LE19" s="17">
        <f>IF(Distances[[#This Row],[Colonne298]]=$G19,LD19,Distances[[#This Row],[Colonne298]]+1)</f>
        <v>80</v>
      </c>
      <c r="LF19" s="17">
        <f>IF(Distances[[#This Row],[Colonne299]]=$G19,LE19,Distances[[#This Row],[Colonne299]]+1)</f>
        <v>80</v>
      </c>
      <c r="LG19" s="17">
        <f>IF(Distances[[#This Row],[Colonne300]]=$G19,LF19,Distances[[#This Row],[Colonne300]]+1)</f>
        <v>80</v>
      </c>
      <c r="LH19" s="17">
        <f>IF(Distances[[#This Row],[Colonne301]]=$G19,LG19,Distances[[#This Row],[Colonne301]]+1)</f>
        <v>80</v>
      </c>
      <c r="LI19" s="17">
        <f>IF(Distances[[#This Row],[Colonne302]]=$G19,LH19,Distances[[#This Row],[Colonne302]]+1)</f>
        <v>80</v>
      </c>
      <c r="LJ19" s="17">
        <f>IF(Distances[[#This Row],[Colonne303]]=$G19,LI19,Distances[[#This Row],[Colonne303]]+1)</f>
        <v>80</v>
      </c>
      <c r="LK19" s="51"/>
      <c r="LL19" s="17">
        <f t="shared" ref="LL19:NW19" si="36">IF(LK19=$H19,LK19,LK19+1)</f>
        <v>1</v>
      </c>
      <c r="LM19" s="17">
        <f t="shared" si="36"/>
        <v>2</v>
      </c>
      <c r="LN19" s="17">
        <f t="shared" si="36"/>
        <v>3</v>
      </c>
      <c r="LO19" s="17">
        <f t="shared" si="36"/>
        <v>4</v>
      </c>
      <c r="LP19" s="17">
        <f t="shared" si="36"/>
        <v>5</v>
      </c>
      <c r="LQ19" s="17">
        <f t="shared" si="36"/>
        <v>6</v>
      </c>
      <c r="LR19" s="17">
        <f t="shared" si="36"/>
        <v>7</v>
      </c>
      <c r="LS19" s="17">
        <f t="shared" si="36"/>
        <v>8</v>
      </c>
      <c r="LT19" s="17">
        <f t="shared" si="36"/>
        <v>9</v>
      </c>
      <c r="LU19" s="17">
        <f t="shared" si="36"/>
        <v>10</v>
      </c>
      <c r="LV19" s="17">
        <f t="shared" si="36"/>
        <v>11</v>
      </c>
      <c r="LW19" s="17">
        <f t="shared" si="36"/>
        <v>12</v>
      </c>
      <c r="LX19" s="17">
        <f t="shared" si="36"/>
        <v>13</v>
      </c>
      <c r="LY19" s="17">
        <f t="shared" si="36"/>
        <v>14</v>
      </c>
      <c r="LZ19" s="17">
        <f t="shared" si="36"/>
        <v>15</v>
      </c>
      <c r="MA19" s="17">
        <f t="shared" si="36"/>
        <v>16</v>
      </c>
      <c r="MB19" s="17">
        <f t="shared" si="36"/>
        <v>17</v>
      </c>
      <c r="MC19" s="17">
        <f t="shared" si="36"/>
        <v>18</v>
      </c>
      <c r="MD19" s="17">
        <f t="shared" si="36"/>
        <v>19</v>
      </c>
      <c r="ME19" s="17">
        <f t="shared" si="36"/>
        <v>20</v>
      </c>
      <c r="MF19" s="17">
        <f t="shared" si="36"/>
        <v>21</v>
      </c>
      <c r="MG19" s="17">
        <f t="shared" si="36"/>
        <v>22</v>
      </c>
      <c r="MH19" s="17">
        <f t="shared" si="36"/>
        <v>23</v>
      </c>
      <c r="MI19" s="17">
        <f t="shared" si="36"/>
        <v>24</v>
      </c>
      <c r="MJ19" s="17">
        <f t="shared" si="36"/>
        <v>25</v>
      </c>
      <c r="MK19" s="17">
        <f t="shared" si="36"/>
        <v>26</v>
      </c>
      <c r="ML19" s="17">
        <f t="shared" si="36"/>
        <v>27</v>
      </c>
      <c r="MM19" s="17">
        <f t="shared" si="36"/>
        <v>28</v>
      </c>
      <c r="MN19" s="17">
        <f t="shared" si="36"/>
        <v>29</v>
      </c>
      <c r="MO19" s="17">
        <f t="shared" si="36"/>
        <v>30</v>
      </c>
      <c r="MP19" s="17">
        <f t="shared" si="36"/>
        <v>30</v>
      </c>
      <c r="MQ19" s="17">
        <f t="shared" si="36"/>
        <v>30</v>
      </c>
      <c r="MR19" s="17">
        <f t="shared" si="36"/>
        <v>30</v>
      </c>
      <c r="MS19" s="17">
        <f t="shared" si="36"/>
        <v>30</v>
      </c>
      <c r="MT19" s="17">
        <f t="shared" si="36"/>
        <v>30</v>
      </c>
      <c r="MU19" s="17">
        <f t="shared" si="36"/>
        <v>30</v>
      </c>
      <c r="MV19" s="17">
        <f t="shared" si="36"/>
        <v>30</v>
      </c>
      <c r="MW19" s="17">
        <f t="shared" si="36"/>
        <v>30</v>
      </c>
      <c r="MX19" s="17">
        <f t="shared" si="36"/>
        <v>30</v>
      </c>
      <c r="MY19" s="17">
        <f t="shared" si="36"/>
        <v>30</v>
      </c>
      <c r="MZ19" s="17">
        <f t="shared" si="36"/>
        <v>30</v>
      </c>
      <c r="NA19" s="17">
        <f t="shared" si="36"/>
        <v>30</v>
      </c>
      <c r="NB19" s="17">
        <f t="shared" si="36"/>
        <v>30</v>
      </c>
      <c r="NC19" s="17">
        <f t="shared" si="36"/>
        <v>30</v>
      </c>
      <c r="ND19" s="17">
        <f t="shared" si="36"/>
        <v>30</v>
      </c>
      <c r="NE19" s="17">
        <f t="shared" si="36"/>
        <v>30</v>
      </c>
      <c r="NF19" s="17">
        <f t="shared" si="36"/>
        <v>30</v>
      </c>
      <c r="NG19" s="17">
        <f t="shared" si="36"/>
        <v>30</v>
      </c>
      <c r="NH19" s="17">
        <f t="shared" si="36"/>
        <v>30</v>
      </c>
      <c r="NI19" s="17">
        <f t="shared" si="36"/>
        <v>30</v>
      </c>
      <c r="NJ19" s="17">
        <f t="shared" si="36"/>
        <v>30</v>
      </c>
      <c r="NK19" s="17">
        <f t="shared" si="36"/>
        <v>30</v>
      </c>
      <c r="NL19" s="17">
        <f t="shared" si="36"/>
        <v>30</v>
      </c>
      <c r="NM19" s="17">
        <f t="shared" si="36"/>
        <v>30</v>
      </c>
      <c r="NN19" s="17">
        <f t="shared" si="36"/>
        <v>30</v>
      </c>
      <c r="NO19" s="17">
        <f t="shared" si="36"/>
        <v>30</v>
      </c>
      <c r="NP19" s="17">
        <f t="shared" si="36"/>
        <v>30</v>
      </c>
      <c r="NQ19" s="17">
        <f t="shared" si="36"/>
        <v>30</v>
      </c>
      <c r="NR19" s="17">
        <f t="shared" si="36"/>
        <v>30</v>
      </c>
      <c r="NS19" s="17">
        <f t="shared" si="36"/>
        <v>30</v>
      </c>
      <c r="NT19" s="17">
        <f t="shared" si="36"/>
        <v>30</v>
      </c>
      <c r="NU19" s="17">
        <f t="shared" si="36"/>
        <v>30</v>
      </c>
      <c r="NV19" s="17">
        <f t="shared" si="36"/>
        <v>30</v>
      </c>
      <c r="NW19" s="17">
        <f t="shared" si="36"/>
        <v>30</v>
      </c>
      <c r="NX19" s="17">
        <f t="shared" ref="NX19:PG19" si="37">IF(NW19=$H19,NW19,NW19+1)</f>
        <v>30</v>
      </c>
      <c r="NY19" s="17">
        <f t="shared" si="37"/>
        <v>30</v>
      </c>
      <c r="NZ19" s="17">
        <f t="shared" si="37"/>
        <v>30</v>
      </c>
      <c r="OA19" s="17">
        <f t="shared" si="37"/>
        <v>30</v>
      </c>
      <c r="OB19" s="17">
        <f t="shared" si="37"/>
        <v>30</v>
      </c>
      <c r="OC19" s="17">
        <f t="shared" si="37"/>
        <v>30</v>
      </c>
      <c r="OD19" s="17">
        <f t="shared" si="37"/>
        <v>30</v>
      </c>
      <c r="OE19" s="17">
        <f t="shared" si="37"/>
        <v>30</v>
      </c>
      <c r="OF19" s="17">
        <f t="shared" si="37"/>
        <v>30</v>
      </c>
      <c r="OG19" s="17">
        <f t="shared" si="37"/>
        <v>30</v>
      </c>
      <c r="OH19" s="17">
        <f t="shared" si="37"/>
        <v>30</v>
      </c>
      <c r="OI19" s="17">
        <f t="shared" si="37"/>
        <v>30</v>
      </c>
      <c r="OJ19" s="17">
        <f t="shared" si="37"/>
        <v>30</v>
      </c>
      <c r="OK19" s="17">
        <f t="shared" si="37"/>
        <v>30</v>
      </c>
      <c r="OL19" s="17">
        <f t="shared" si="37"/>
        <v>30</v>
      </c>
      <c r="OM19" s="17">
        <f t="shared" si="37"/>
        <v>30</v>
      </c>
      <c r="ON19" s="17">
        <f t="shared" si="37"/>
        <v>30</v>
      </c>
      <c r="OO19" s="17">
        <f t="shared" si="37"/>
        <v>30</v>
      </c>
      <c r="OP19" s="17">
        <f t="shared" si="37"/>
        <v>30</v>
      </c>
      <c r="OQ19" s="17">
        <f t="shared" si="37"/>
        <v>30</v>
      </c>
      <c r="OR19" s="17">
        <f t="shared" si="37"/>
        <v>30</v>
      </c>
      <c r="OS19" s="17">
        <f t="shared" si="37"/>
        <v>30</v>
      </c>
      <c r="OT19" s="17">
        <f t="shared" si="37"/>
        <v>30</v>
      </c>
      <c r="OU19" s="17">
        <f t="shared" si="37"/>
        <v>30</v>
      </c>
      <c r="OV19" s="17">
        <f t="shared" si="37"/>
        <v>30</v>
      </c>
      <c r="OW19" s="17">
        <f t="shared" si="37"/>
        <v>30</v>
      </c>
      <c r="OX19" s="17">
        <f t="shared" si="37"/>
        <v>30</v>
      </c>
      <c r="OY19" s="17">
        <f t="shared" si="37"/>
        <v>30</v>
      </c>
      <c r="OZ19" s="17">
        <f t="shared" si="37"/>
        <v>30</v>
      </c>
      <c r="PA19" s="17">
        <f t="shared" si="37"/>
        <v>30</v>
      </c>
      <c r="PB19" s="17">
        <f t="shared" si="37"/>
        <v>30</v>
      </c>
      <c r="PC19" s="17">
        <f t="shared" si="37"/>
        <v>30</v>
      </c>
      <c r="PD19" s="17">
        <f t="shared" si="37"/>
        <v>30</v>
      </c>
      <c r="PE19" s="17">
        <f t="shared" si="37"/>
        <v>30</v>
      </c>
      <c r="PF19" s="17">
        <f t="shared" si="37"/>
        <v>30</v>
      </c>
      <c r="PG19" s="17">
        <f t="shared" si="37"/>
        <v>30</v>
      </c>
    </row>
    <row r="20" spans="1:423" x14ac:dyDescent="0.25">
      <c r="A20" s="8" t="s">
        <v>5507</v>
      </c>
      <c r="B20" s="9" t="s">
        <v>24</v>
      </c>
      <c r="C20" s="9" t="str">
        <f t="shared" si="0"/>
        <v>BN1</v>
      </c>
      <c r="D20" s="1" t="str">
        <f t="shared" si="1"/>
        <v>Bande N1</v>
      </c>
      <c r="E20" s="405" t="s">
        <v>9865</v>
      </c>
      <c r="F20" s="9" t="s">
        <v>5452</v>
      </c>
      <c r="G20" s="9">
        <v>100</v>
      </c>
      <c r="H20" s="9">
        <v>35</v>
      </c>
      <c r="I20" s="127">
        <v>3.1</v>
      </c>
      <c r="J20" s="30"/>
      <c r="K20" s="281"/>
      <c r="L20" s="8">
        <v>2.2999999999999998</v>
      </c>
      <c r="M20" s="9">
        <v>2.2999999999999998</v>
      </c>
      <c r="N20" s="10">
        <v>4.9989999999999997</v>
      </c>
      <c r="O20" s="269">
        <v>1</v>
      </c>
      <c r="P20" s="331">
        <v>1</v>
      </c>
      <c r="Q20" s="335">
        <v>2</v>
      </c>
      <c r="R20" s="128"/>
      <c r="S20" s="9"/>
      <c r="T20" s="10"/>
      <c r="U20" t="s">
        <v>5523</v>
      </c>
      <c r="V20" s="17">
        <v>0</v>
      </c>
      <c r="W20" s="17">
        <f>IF(Distances[[#This Row],[Colonne4]]=$G20,V20,Distances[[#This Row],[Colonne4]]+1)</f>
        <v>1</v>
      </c>
      <c r="X20" s="17">
        <f>IF(Distances[[#This Row],[Colonne5]]=$G20,W20,Distances[[#This Row],[Colonne5]]+1)</f>
        <v>2</v>
      </c>
      <c r="Y20" s="17">
        <f>IF(Distances[[#This Row],[Colonne6]]=$G20,X20,Distances[[#This Row],[Colonne6]]+1)</f>
        <v>3</v>
      </c>
      <c r="Z20" s="17">
        <f>IF(Distances[[#This Row],[Colonne7]]=$G20,Y20,Distances[[#This Row],[Colonne7]]+1)</f>
        <v>4</v>
      </c>
      <c r="AA20" s="17">
        <f>IF(Distances[[#This Row],[Colonne8]]=$G20,Z20,Distances[[#This Row],[Colonne8]]+1)</f>
        <v>5</v>
      </c>
      <c r="AB20" s="17">
        <f>IF(Distances[[#This Row],[Colonne9]]=$G20,AA20,Distances[[#This Row],[Colonne9]]+1)</f>
        <v>6</v>
      </c>
      <c r="AC20" s="17">
        <f>IF(Distances[[#This Row],[Colonne10]]=$G20,AB20,Distances[[#This Row],[Colonne10]]+1)</f>
        <v>7</v>
      </c>
      <c r="AD20" s="17">
        <f>IF(Distances[[#This Row],[Colonne11]]=$G20,AC20,Distances[[#This Row],[Colonne11]]+1)</f>
        <v>8</v>
      </c>
      <c r="AE20" s="17">
        <f>IF(Distances[[#This Row],[Colonne12]]=$G20,AD20,Distances[[#This Row],[Colonne12]]+1)</f>
        <v>9</v>
      </c>
      <c r="AF20" s="17">
        <f>IF(Distances[[#This Row],[Colonne13]]=$G20,AE20,Distances[[#This Row],[Colonne13]]+1)</f>
        <v>10</v>
      </c>
      <c r="AG20" s="17">
        <f>IF(Distances[[#This Row],[Colonne14]]=$G20,AF20,Distances[[#This Row],[Colonne14]]+1)</f>
        <v>11</v>
      </c>
      <c r="AH20" s="17">
        <f>IF(Distances[[#This Row],[Colonne15]]=$G20,AG20,Distances[[#This Row],[Colonne15]]+1)</f>
        <v>12</v>
      </c>
      <c r="AI20" s="17">
        <f>IF(Distances[[#This Row],[Colonne16]]=$G20,AH20,Distances[[#This Row],[Colonne16]]+1)</f>
        <v>13</v>
      </c>
      <c r="AJ20" s="17">
        <f>IF(Distances[[#This Row],[Colonne17]]=$G20,AI20,Distances[[#This Row],[Colonne17]]+1)</f>
        <v>14</v>
      </c>
      <c r="AK20" s="17">
        <f>IF(Distances[[#This Row],[Colonne18]]=$G20,AJ20,Distances[[#This Row],[Colonne18]]+1)</f>
        <v>15</v>
      </c>
      <c r="AL20" s="17">
        <f>IF(Distances[[#This Row],[Colonne19]]=$G20,AK20,Distances[[#This Row],[Colonne19]]+1)</f>
        <v>16</v>
      </c>
      <c r="AM20" s="17">
        <f>IF(Distances[[#This Row],[Colonne20]]=$G20,AL20,Distances[[#This Row],[Colonne20]]+1)</f>
        <v>17</v>
      </c>
      <c r="AN20" s="17">
        <f>IF(Distances[[#This Row],[Colonne21]]=$G20,AM20,Distances[[#This Row],[Colonne21]]+1)</f>
        <v>18</v>
      </c>
      <c r="AO20" s="17">
        <f>IF(Distances[[#This Row],[Colonne22]]=$G20,AN20,Distances[[#This Row],[Colonne22]]+1)</f>
        <v>19</v>
      </c>
      <c r="AP20" s="17">
        <f>IF(Distances[[#This Row],[Colonne23]]=$G20,AO20,Distances[[#This Row],[Colonne23]]+1)</f>
        <v>20</v>
      </c>
      <c r="AQ20" s="17">
        <f>IF(Distances[[#This Row],[Colonne24]]=$G20,AP20,Distances[[#This Row],[Colonne24]]+1)</f>
        <v>21</v>
      </c>
      <c r="AR20" s="17">
        <f>IF(Distances[[#This Row],[Colonne25]]=$G20,AQ20,Distances[[#This Row],[Colonne25]]+1)</f>
        <v>22</v>
      </c>
      <c r="AS20" s="17">
        <f>IF(Distances[[#This Row],[Colonne26]]=$G20,AR20,Distances[[#This Row],[Colonne26]]+1)</f>
        <v>23</v>
      </c>
      <c r="AT20" s="17">
        <f>IF(Distances[[#This Row],[Colonne27]]=$G20,AS20,Distances[[#This Row],[Colonne27]]+1)</f>
        <v>24</v>
      </c>
      <c r="AU20" s="17">
        <f>IF(Distances[[#This Row],[Colonne28]]=$G20,AT20,Distances[[#This Row],[Colonne28]]+1)</f>
        <v>25</v>
      </c>
      <c r="AV20" s="17">
        <f>IF(Distances[[#This Row],[Colonne29]]=$G20,AU20,Distances[[#This Row],[Colonne29]]+1)</f>
        <v>26</v>
      </c>
      <c r="AW20" s="17">
        <f>IF(Distances[[#This Row],[Colonne30]]=$G20,AV20,Distances[[#This Row],[Colonne30]]+1)</f>
        <v>27</v>
      </c>
      <c r="AX20" s="17">
        <f>IF(Distances[[#This Row],[Colonne31]]=$G20,AW20,Distances[[#This Row],[Colonne31]]+1)</f>
        <v>28</v>
      </c>
      <c r="AY20" s="17">
        <f>IF(Distances[[#This Row],[Colonne32]]=$G20,AX20,Distances[[#This Row],[Colonne32]]+1)</f>
        <v>29</v>
      </c>
      <c r="AZ20" s="17">
        <f>IF(Distances[[#This Row],[Colonne33]]=$G20,AY20,Distances[[#This Row],[Colonne33]]+1)</f>
        <v>30</v>
      </c>
      <c r="BA20" s="17">
        <f>IF(Distances[[#This Row],[Colonne34]]=$G20,AZ20,Distances[[#This Row],[Colonne34]]+1)</f>
        <v>31</v>
      </c>
      <c r="BB20" s="17">
        <f>IF(Distances[[#This Row],[Colonne35]]=$G20,BA20,Distances[[#This Row],[Colonne35]]+1)</f>
        <v>32</v>
      </c>
      <c r="BC20" s="17">
        <f>IF(Distances[[#This Row],[Colonne36]]=$G20,BB20,Distances[[#This Row],[Colonne36]]+1)</f>
        <v>33</v>
      </c>
      <c r="BD20" s="17">
        <f>IF(Distances[[#This Row],[Colonne37]]=$G20,BC20,Distances[[#This Row],[Colonne37]]+1)</f>
        <v>34</v>
      </c>
      <c r="BE20" s="17">
        <f>IF(Distances[[#This Row],[Colonne38]]=$G20,BD20,Distances[[#This Row],[Colonne38]]+1)</f>
        <v>35</v>
      </c>
      <c r="BF20" s="17">
        <f>IF(Distances[[#This Row],[Colonne39]]=$G20,BE20,Distances[[#This Row],[Colonne39]]+1)</f>
        <v>36</v>
      </c>
      <c r="BG20" s="17">
        <f>IF(Distances[[#This Row],[Colonne40]]=$G20,BF20,Distances[[#This Row],[Colonne40]]+1)</f>
        <v>37</v>
      </c>
      <c r="BH20" s="17">
        <f>IF(Distances[[#This Row],[Colonne41]]=$G20,BG20,Distances[[#This Row],[Colonne41]]+1)</f>
        <v>38</v>
      </c>
      <c r="BI20" s="17">
        <f>IF(Distances[[#This Row],[Colonne42]]=$G20,BH20,Distances[[#This Row],[Colonne42]]+1)</f>
        <v>39</v>
      </c>
      <c r="BJ20" s="17">
        <f>IF(Distances[[#This Row],[Colonne43]]=$G20,BI20,Distances[[#This Row],[Colonne43]]+1)</f>
        <v>40</v>
      </c>
      <c r="BK20" s="17">
        <f>IF(Distances[[#This Row],[Colonne44]]=$G20,BJ20,Distances[[#This Row],[Colonne44]]+1)</f>
        <v>41</v>
      </c>
      <c r="BL20" s="17">
        <f>IF(Distances[[#This Row],[Colonne45]]=$G20,BK20,Distances[[#This Row],[Colonne45]]+1)</f>
        <v>42</v>
      </c>
      <c r="BM20" s="17">
        <f>IF(Distances[[#This Row],[Colonne46]]=$G20,BL20,Distances[[#This Row],[Colonne46]]+1)</f>
        <v>43</v>
      </c>
      <c r="BN20" s="17">
        <f>IF(Distances[[#This Row],[Colonne47]]=$G20,BM20,Distances[[#This Row],[Colonne47]]+1)</f>
        <v>44</v>
      </c>
      <c r="BO20" s="17">
        <f>IF(Distances[[#This Row],[Colonne48]]=$G20,BN20,Distances[[#This Row],[Colonne48]]+1)</f>
        <v>45</v>
      </c>
      <c r="BP20" s="17">
        <f>IF(Distances[[#This Row],[Colonne49]]=$G20,BO20,Distances[[#This Row],[Colonne49]]+1)</f>
        <v>46</v>
      </c>
      <c r="BQ20" s="17">
        <f>IF(Distances[[#This Row],[Colonne50]]=$G20,BP20,Distances[[#This Row],[Colonne50]]+1)</f>
        <v>47</v>
      </c>
      <c r="BR20" s="17">
        <f>IF(Distances[[#This Row],[Colonne51]]=$G20,BQ20,Distances[[#This Row],[Colonne51]]+1)</f>
        <v>48</v>
      </c>
      <c r="BS20" s="17">
        <f>IF(Distances[[#This Row],[Colonne52]]=$G20,BR20,Distances[[#This Row],[Colonne52]]+1)</f>
        <v>49</v>
      </c>
      <c r="BT20" s="17">
        <f>IF(Distances[[#This Row],[Colonne53]]=$G20,BS20,Distances[[#This Row],[Colonne53]]+1)</f>
        <v>50</v>
      </c>
      <c r="BU20" s="17">
        <f>IF(Distances[[#This Row],[Colonne54]]=$G20,BT20,Distances[[#This Row],[Colonne54]]+1)</f>
        <v>51</v>
      </c>
      <c r="BV20" s="17">
        <f>IF(Distances[[#This Row],[Colonne55]]=$G20,BU20,Distances[[#This Row],[Colonne55]]+1)</f>
        <v>52</v>
      </c>
      <c r="BW20" s="17">
        <f>IF(Distances[[#This Row],[Colonne56]]=$G20,BV20,Distances[[#This Row],[Colonne56]]+1)</f>
        <v>53</v>
      </c>
      <c r="BX20" s="17">
        <f>IF(Distances[[#This Row],[Colonne57]]=$G20,BW20,Distances[[#This Row],[Colonne57]]+1)</f>
        <v>54</v>
      </c>
      <c r="BY20" s="17">
        <f>IF(Distances[[#This Row],[Colonne58]]=$G20,BX20,Distances[[#This Row],[Colonne58]]+1)</f>
        <v>55</v>
      </c>
      <c r="BZ20" s="17">
        <f>IF(Distances[[#This Row],[Colonne59]]=$G20,BY20,Distances[[#This Row],[Colonne59]]+1)</f>
        <v>56</v>
      </c>
      <c r="CA20" s="17">
        <f>IF(Distances[[#This Row],[Colonne60]]=$G20,BZ20,Distances[[#This Row],[Colonne60]]+1)</f>
        <v>57</v>
      </c>
      <c r="CB20" s="17">
        <f>IF(Distances[[#This Row],[Colonne61]]=$G20,CA20,Distances[[#This Row],[Colonne61]]+1)</f>
        <v>58</v>
      </c>
      <c r="CC20" s="17">
        <f>IF(Distances[[#This Row],[Colonne62]]=$G20,CB20,Distances[[#This Row],[Colonne62]]+1)</f>
        <v>59</v>
      </c>
      <c r="CD20" s="17">
        <f>IF(Distances[[#This Row],[Colonne63]]=$G20,CC20,Distances[[#This Row],[Colonne63]]+1)</f>
        <v>60</v>
      </c>
      <c r="CE20" s="17">
        <f>IF(Distances[[#This Row],[Colonne64]]=$G20,CD20,Distances[[#This Row],[Colonne64]]+1)</f>
        <v>61</v>
      </c>
      <c r="CF20" s="17">
        <f>IF(Distances[[#This Row],[Colonne65]]=$G20,CE20,Distances[[#This Row],[Colonne65]]+1)</f>
        <v>62</v>
      </c>
      <c r="CG20" s="17">
        <f>IF(Distances[[#This Row],[Colonne66]]=$G20,CF20,Distances[[#This Row],[Colonne66]]+1)</f>
        <v>63</v>
      </c>
      <c r="CH20" s="17">
        <f>IF(Distances[[#This Row],[Colonne67]]=$G20,CG20,Distances[[#This Row],[Colonne67]]+1)</f>
        <v>64</v>
      </c>
      <c r="CI20" s="17">
        <f>IF(Distances[[#This Row],[Colonne68]]=$G20,CH20,Distances[[#This Row],[Colonne68]]+1)</f>
        <v>65</v>
      </c>
      <c r="CJ20" s="17">
        <f>IF(Distances[[#This Row],[Colonne69]]=$G20,CI20,Distances[[#This Row],[Colonne69]]+1)</f>
        <v>66</v>
      </c>
      <c r="CK20" s="17">
        <f>IF(Distances[[#This Row],[Colonne70]]=$G20,CJ20,Distances[[#This Row],[Colonne70]]+1)</f>
        <v>67</v>
      </c>
      <c r="CL20" s="17">
        <f>IF(Distances[[#This Row],[Colonne71]]=$G20,CK20,Distances[[#This Row],[Colonne71]]+1)</f>
        <v>68</v>
      </c>
      <c r="CM20" s="17">
        <f>IF(Distances[[#This Row],[Colonne72]]=$G20,CL20,Distances[[#This Row],[Colonne72]]+1)</f>
        <v>69</v>
      </c>
      <c r="CN20" s="17">
        <f>IF(Distances[[#This Row],[Colonne73]]=$G20,CM20,Distances[[#This Row],[Colonne73]]+1)</f>
        <v>70</v>
      </c>
      <c r="CO20" s="17">
        <f>IF(Distances[[#This Row],[Colonne74]]=$G20,CN20,Distances[[#This Row],[Colonne74]]+1)</f>
        <v>71</v>
      </c>
      <c r="CP20" s="17">
        <f>IF(Distances[[#This Row],[Colonne75]]=$G20,CO20,Distances[[#This Row],[Colonne75]]+1)</f>
        <v>72</v>
      </c>
      <c r="CQ20" s="17">
        <f>IF(Distances[[#This Row],[Colonne76]]=$G20,CP20,Distances[[#This Row],[Colonne76]]+1)</f>
        <v>73</v>
      </c>
      <c r="CR20" s="17">
        <f>IF(Distances[[#This Row],[Colonne77]]=$G20,CQ20,Distances[[#This Row],[Colonne77]]+1)</f>
        <v>74</v>
      </c>
      <c r="CS20" s="17">
        <f>IF(Distances[[#This Row],[Colonne78]]=$G20,CR20,Distances[[#This Row],[Colonne78]]+1)</f>
        <v>75</v>
      </c>
      <c r="CT20" s="17">
        <f>IF(Distances[[#This Row],[Colonne79]]=$G20,CS20,Distances[[#This Row],[Colonne79]]+1)</f>
        <v>76</v>
      </c>
      <c r="CU20" s="17">
        <f>IF(Distances[[#This Row],[Colonne80]]=$G20,CT20,Distances[[#This Row],[Colonne80]]+1)</f>
        <v>77</v>
      </c>
      <c r="CV20" s="17">
        <f>IF(Distances[[#This Row],[Colonne81]]=$G20,CU20,Distances[[#This Row],[Colonne81]]+1)</f>
        <v>78</v>
      </c>
      <c r="CW20" s="17">
        <f>IF(Distances[[#This Row],[Colonne82]]=$G20,CV20,Distances[[#This Row],[Colonne82]]+1)</f>
        <v>79</v>
      </c>
      <c r="CX20" s="17">
        <f>IF(Distances[[#This Row],[Colonne83]]=$G20,CW20,Distances[[#This Row],[Colonne83]]+1)</f>
        <v>80</v>
      </c>
      <c r="CY20" s="17">
        <f>IF(Distances[[#This Row],[Colonne84]]=$G20,CX20,Distances[[#This Row],[Colonne84]]+1)</f>
        <v>81</v>
      </c>
      <c r="CZ20" s="17">
        <f>IF(Distances[[#This Row],[Colonne85]]=$G20,CY20,Distances[[#This Row],[Colonne85]]+1)</f>
        <v>82</v>
      </c>
      <c r="DA20" s="17">
        <f>IF(Distances[[#This Row],[Colonne86]]=$G20,CZ20,Distances[[#This Row],[Colonne86]]+1)</f>
        <v>83</v>
      </c>
      <c r="DB20" s="17">
        <f>IF(Distances[[#This Row],[Colonne87]]=$G20,DA20,Distances[[#This Row],[Colonne87]]+1)</f>
        <v>84</v>
      </c>
      <c r="DC20" s="17">
        <f>IF(Distances[[#This Row],[Colonne88]]=$G20,DB20,Distances[[#This Row],[Colonne88]]+1)</f>
        <v>85</v>
      </c>
      <c r="DD20" s="17">
        <f>IF(Distances[[#This Row],[Colonne89]]=$G20,DC20,Distances[[#This Row],[Colonne89]]+1)</f>
        <v>86</v>
      </c>
      <c r="DE20" s="17">
        <f>IF(Distances[[#This Row],[Colonne90]]=$G20,DD20,Distances[[#This Row],[Colonne90]]+1)</f>
        <v>87</v>
      </c>
      <c r="DF20" s="17">
        <f>IF(Distances[[#This Row],[Colonne91]]=$G20,DE20,Distances[[#This Row],[Colonne91]]+1)</f>
        <v>88</v>
      </c>
      <c r="DG20" s="17">
        <f>IF(Distances[[#This Row],[Colonne92]]=$G20,DF20,Distances[[#This Row],[Colonne92]]+1)</f>
        <v>89</v>
      </c>
      <c r="DH20" s="17">
        <f>IF(Distances[[#This Row],[Colonne93]]=$G20,DG20,Distances[[#This Row],[Colonne93]]+1)</f>
        <v>90</v>
      </c>
      <c r="DI20" s="17">
        <f>IF(Distances[[#This Row],[Colonne94]]=$G20,DH20,Distances[[#This Row],[Colonne94]]+1)</f>
        <v>91</v>
      </c>
      <c r="DJ20" s="17">
        <f>IF(Distances[[#This Row],[Colonne95]]=$G20,DI20,Distances[[#This Row],[Colonne95]]+1)</f>
        <v>92</v>
      </c>
      <c r="DK20" s="17">
        <f>IF(Distances[[#This Row],[Colonne96]]=$G20,DJ20,Distances[[#This Row],[Colonne96]]+1)</f>
        <v>93</v>
      </c>
      <c r="DL20" s="17">
        <f>IF(Distances[[#This Row],[Colonne97]]=$G20,DK20,Distances[[#This Row],[Colonne97]]+1)</f>
        <v>94</v>
      </c>
      <c r="DM20" s="17">
        <f>IF(Distances[[#This Row],[Colonne98]]=$G20,DL20,Distances[[#This Row],[Colonne98]]+1)</f>
        <v>95</v>
      </c>
      <c r="DN20" s="17">
        <f>IF(Distances[[#This Row],[Colonne99]]=$G20,DM20,Distances[[#This Row],[Colonne99]]+1)</f>
        <v>96</v>
      </c>
      <c r="DO20" s="17">
        <f>IF(Distances[[#This Row],[Colonne100]]=$G20,DN20,Distances[[#This Row],[Colonne100]]+1)</f>
        <v>97</v>
      </c>
      <c r="DP20" s="17">
        <f>IF(Distances[[#This Row],[Colonne101]]=$G20,DO20,Distances[[#This Row],[Colonne101]]+1)</f>
        <v>98</v>
      </c>
      <c r="DQ20" s="17">
        <f>IF(Distances[[#This Row],[Colonne102]]=$G20,DP20,Distances[[#This Row],[Colonne102]]+1)</f>
        <v>99</v>
      </c>
      <c r="DR20" s="17">
        <f>IF(Distances[[#This Row],[Colonne103]]=$G20,DQ20,Distances[[#This Row],[Colonne103]]+1)</f>
        <v>100</v>
      </c>
      <c r="DS20" s="17">
        <f>IF(Distances[[#This Row],[Colonne104]]=$G20,DR20,Distances[[#This Row],[Colonne104]]+1)</f>
        <v>100</v>
      </c>
      <c r="DT20" s="17">
        <f>IF(Distances[[#This Row],[Colonne105]]=$G20,DS20,Distances[[#This Row],[Colonne105]]+1)</f>
        <v>100</v>
      </c>
      <c r="DU20" s="17">
        <f>IF(Distances[[#This Row],[Colonne106]]=$G20,DT20,Distances[[#This Row],[Colonne106]]+1)</f>
        <v>100</v>
      </c>
      <c r="DV20" s="17">
        <f>IF(Distances[[#This Row],[Colonne107]]=$G20,DU20,Distances[[#This Row],[Colonne107]]+1)</f>
        <v>100</v>
      </c>
      <c r="DW20" s="17">
        <f>IF(Distances[[#This Row],[Colonne108]]=$G20,DV20,Distances[[#This Row],[Colonne108]]+1)</f>
        <v>100</v>
      </c>
      <c r="DX20" s="17">
        <f>IF(Distances[[#This Row],[Colonne109]]=$G20,DW20,Distances[[#This Row],[Colonne109]]+1)</f>
        <v>100</v>
      </c>
      <c r="DY20" s="17">
        <f>IF(Distances[[#This Row],[Colonne110]]=$G20,DX20,Distances[[#This Row],[Colonne110]]+1)</f>
        <v>100</v>
      </c>
      <c r="DZ20" s="17">
        <f>IF(Distances[[#This Row],[Colonne111]]=$G20,DY20,Distances[[#This Row],[Colonne111]]+1)</f>
        <v>100</v>
      </c>
      <c r="EA20" s="17">
        <f>IF(Distances[[#This Row],[Colonne112]]=$G20,DZ20,Distances[[#This Row],[Colonne112]]+1)</f>
        <v>100</v>
      </c>
      <c r="EB20" s="17">
        <f>IF(Distances[[#This Row],[Colonne113]]=$G20,EA20,Distances[[#This Row],[Colonne113]]+1)</f>
        <v>100</v>
      </c>
      <c r="EC20" s="17">
        <f>IF(Distances[[#This Row],[Colonne114]]=$G20,EB20,Distances[[#This Row],[Colonne114]]+1)</f>
        <v>100</v>
      </c>
      <c r="ED20" s="17">
        <f>IF(Distances[[#This Row],[Colonne115]]=$G20,EC20,Distances[[#This Row],[Colonne115]]+1)</f>
        <v>100</v>
      </c>
      <c r="EE20" s="17">
        <f>IF(Distances[[#This Row],[Colonne116]]=$G20,ED20,Distances[[#This Row],[Colonne116]]+1)</f>
        <v>100</v>
      </c>
      <c r="EF20" s="17">
        <f>IF(Distances[[#This Row],[Colonne117]]=$G20,EE20,Distances[[#This Row],[Colonne117]]+1)</f>
        <v>100</v>
      </c>
      <c r="EG20" s="17">
        <f>IF(Distances[[#This Row],[Colonne118]]=$G20,EF20,Distances[[#This Row],[Colonne118]]+1)</f>
        <v>100</v>
      </c>
      <c r="EH20" s="17">
        <f>IF(Distances[[#This Row],[Colonne119]]=$G20,EG20,Distances[[#This Row],[Colonne119]]+1)</f>
        <v>100</v>
      </c>
      <c r="EI20" s="17">
        <f>IF(Distances[[#This Row],[Colonne120]]=$G20,EH20,Distances[[#This Row],[Colonne120]]+1)</f>
        <v>100</v>
      </c>
      <c r="EJ20" s="17">
        <f>IF(Distances[[#This Row],[Colonne121]]=$G20,EI20,Distances[[#This Row],[Colonne121]]+1)</f>
        <v>100</v>
      </c>
      <c r="EK20" s="17">
        <f>IF(Distances[[#This Row],[Colonne122]]=$G20,EJ20,Distances[[#This Row],[Colonne122]]+1)</f>
        <v>100</v>
      </c>
      <c r="EL20" s="17">
        <f>IF(Distances[[#This Row],[Colonne123]]=$G20,EK20,Distances[[#This Row],[Colonne123]]+1)</f>
        <v>100</v>
      </c>
      <c r="EM20" s="17">
        <f>IF(Distances[[#This Row],[Colonne124]]=$G20,EL20,Distances[[#This Row],[Colonne124]]+1)</f>
        <v>100</v>
      </c>
      <c r="EN20" s="17">
        <f>IF(Distances[[#This Row],[Colonne125]]=$G20,EM20,Distances[[#This Row],[Colonne125]]+1)</f>
        <v>100</v>
      </c>
      <c r="EO20" s="17">
        <f>IF(Distances[[#This Row],[Colonne126]]=$G20,EN20,Distances[[#This Row],[Colonne126]]+1)</f>
        <v>100</v>
      </c>
      <c r="EP20" s="17">
        <f>IF(Distances[[#This Row],[Colonne127]]=$G20,EO20,Distances[[#This Row],[Colonne127]]+1)</f>
        <v>100</v>
      </c>
      <c r="EQ20" s="17">
        <f>IF(Distances[[#This Row],[Colonne128]]=$G20,EP20,Distances[[#This Row],[Colonne128]]+1)</f>
        <v>100</v>
      </c>
      <c r="ER20" s="17">
        <f>IF(Distances[[#This Row],[Colonne129]]=$G20,EQ20,Distances[[#This Row],[Colonne129]]+1)</f>
        <v>100</v>
      </c>
      <c r="ES20" s="17">
        <f>IF(Distances[[#This Row],[Colonne130]]=$G20,ER20,Distances[[#This Row],[Colonne130]]+1)</f>
        <v>100</v>
      </c>
      <c r="ET20" s="17">
        <f>IF(Distances[[#This Row],[Colonne131]]=$G20,ES20,Distances[[#This Row],[Colonne131]]+1)</f>
        <v>100</v>
      </c>
      <c r="EU20" s="17">
        <f>IF(Distances[[#This Row],[Colonne132]]=$G20,ET20,Distances[[#This Row],[Colonne132]]+1)</f>
        <v>100</v>
      </c>
      <c r="EV20" s="17">
        <f>IF(Distances[[#This Row],[Colonne133]]=$G20,EU20,Distances[[#This Row],[Colonne133]]+1)</f>
        <v>100</v>
      </c>
      <c r="EW20" s="17">
        <f>IF(Distances[[#This Row],[Colonne134]]=$G20,EV20,Distances[[#This Row],[Colonne134]]+1)</f>
        <v>100</v>
      </c>
      <c r="EX20" s="17">
        <f>IF(Distances[[#This Row],[Colonne135]]=$G20,EW20,Distances[[#This Row],[Colonne135]]+1)</f>
        <v>100</v>
      </c>
      <c r="EY20" s="17">
        <f>IF(Distances[[#This Row],[Colonne136]]=$G20,EX20,Distances[[#This Row],[Colonne136]]+1)</f>
        <v>100</v>
      </c>
      <c r="EZ20" s="17">
        <f>IF(Distances[[#This Row],[Colonne137]]=$G20,EY20,Distances[[#This Row],[Colonne137]]+1)</f>
        <v>100</v>
      </c>
      <c r="FA20" s="17">
        <f>IF(Distances[[#This Row],[Colonne138]]=$G20,EZ20,Distances[[#This Row],[Colonne138]]+1)</f>
        <v>100</v>
      </c>
      <c r="FB20" s="17">
        <f>IF(Distances[[#This Row],[Colonne139]]=$G20,FA20,Distances[[#This Row],[Colonne139]]+1)</f>
        <v>100</v>
      </c>
      <c r="FC20" s="17">
        <f>IF(Distances[[#This Row],[Colonne140]]=$G20,FB20,Distances[[#This Row],[Colonne140]]+1)</f>
        <v>100</v>
      </c>
      <c r="FD20" s="17">
        <f>IF(Distances[[#This Row],[Colonne141]]=$G20,FC20,Distances[[#This Row],[Colonne141]]+1)</f>
        <v>100</v>
      </c>
      <c r="FE20" s="17">
        <f>IF(Distances[[#This Row],[Colonne142]]=$G20,FD20,Distances[[#This Row],[Colonne142]]+1)</f>
        <v>100</v>
      </c>
      <c r="FF20" s="17">
        <f>IF(Distances[[#This Row],[Colonne143]]=$G20,FE20,Distances[[#This Row],[Colonne143]]+1)</f>
        <v>100</v>
      </c>
      <c r="FG20" s="17">
        <f>IF(Distances[[#This Row],[Colonne144]]=$G20,FF20,Distances[[#This Row],[Colonne144]]+1)</f>
        <v>100</v>
      </c>
      <c r="FH20" s="17">
        <f>IF(Distances[[#This Row],[Colonne145]]=$G20,FG20,Distances[[#This Row],[Colonne145]]+1)</f>
        <v>100</v>
      </c>
      <c r="FI20" s="17">
        <f>IF(Distances[[#This Row],[Colonne146]]=$G20,FH20,Distances[[#This Row],[Colonne146]]+1)</f>
        <v>100</v>
      </c>
      <c r="FJ20" s="17">
        <f>IF(Distances[[#This Row],[Colonne147]]=$G20,FI20,Distances[[#This Row],[Colonne147]]+1)</f>
        <v>100</v>
      </c>
      <c r="FK20" s="17">
        <f>IF(Distances[[#This Row],[Colonne148]]=$G20,FJ20,Distances[[#This Row],[Colonne148]]+1)</f>
        <v>100</v>
      </c>
      <c r="FL20" s="17">
        <f>IF(Distances[[#This Row],[Colonne149]]=$G20,FK20,Distances[[#This Row],[Colonne149]]+1)</f>
        <v>100</v>
      </c>
      <c r="FM20" s="17">
        <f>IF(Distances[[#This Row],[Colonne150]]=$G20,FL20,Distances[[#This Row],[Colonne150]]+1)</f>
        <v>100</v>
      </c>
      <c r="FN20" s="17">
        <f>IF(Distances[[#This Row],[Colonne151]]=$G20,FM20,Distances[[#This Row],[Colonne151]]+1)</f>
        <v>100</v>
      </c>
      <c r="FO20" s="17">
        <f>IF(Distances[[#This Row],[Colonne152]]=$G20,FN20,Distances[[#This Row],[Colonne152]]+1)</f>
        <v>100</v>
      </c>
      <c r="FP20" s="17">
        <f>IF(Distances[[#This Row],[Colonne153]]=$G20,FO20,Distances[[#This Row],[Colonne153]]+1)</f>
        <v>100</v>
      </c>
      <c r="FQ20" s="17">
        <f>IF(Distances[[#This Row],[Colonne154]]=$G20,FP20,Distances[[#This Row],[Colonne154]]+1)</f>
        <v>100</v>
      </c>
      <c r="FR20" s="17">
        <f>IF(Distances[[#This Row],[Colonne155]]=$G20,FQ20,Distances[[#This Row],[Colonne155]]+1)</f>
        <v>100</v>
      </c>
      <c r="FS20" s="17">
        <f>IF(Distances[[#This Row],[Colonne156]]=$G20,FR20,Distances[[#This Row],[Colonne156]]+1)</f>
        <v>100</v>
      </c>
      <c r="FT20" s="17">
        <f>IF(Distances[[#This Row],[Colonne157]]=$G20,FS20,Distances[[#This Row],[Colonne157]]+1)</f>
        <v>100</v>
      </c>
      <c r="FU20" s="17">
        <f>IF(Distances[[#This Row],[Colonne158]]=$G20,FT20,Distances[[#This Row],[Colonne158]]+1)</f>
        <v>100</v>
      </c>
      <c r="FV20" s="17">
        <f>IF(Distances[[#This Row],[Colonne159]]=$G20,FU20,Distances[[#This Row],[Colonne159]]+1)</f>
        <v>100</v>
      </c>
      <c r="FW20" s="17">
        <f>IF(Distances[[#This Row],[Colonne160]]=$G20,FV20,Distances[[#This Row],[Colonne160]]+1)</f>
        <v>100</v>
      </c>
      <c r="FX20" s="17">
        <f>IF(Distances[[#This Row],[Colonne161]]=$G20,FW20,Distances[[#This Row],[Colonne161]]+1)</f>
        <v>100</v>
      </c>
      <c r="FY20" s="17">
        <f>IF(Distances[[#This Row],[Colonne162]]=$G20,FX20,Distances[[#This Row],[Colonne162]]+1)</f>
        <v>100</v>
      </c>
      <c r="FZ20" s="17">
        <f>IF(Distances[[#This Row],[Colonne163]]=$G20,FY20,Distances[[#This Row],[Colonne163]]+1)</f>
        <v>100</v>
      </c>
      <c r="GA20" s="17">
        <f>IF(Distances[[#This Row],[Colonne164]]=$G20,FZ20,Distances[[#This Row],[Colonne164]]+1)</f>
        <v>100</v>
      </c>
      <c r="GB20" s="17">
        <f>IF(Distances[[#This Row],[Colonne165]]=$G20,GA20,Distances[[#This Row],[Colonne165]]+1)</f>
        <v>100</v>
      </c>
      <c r="GC20" s="17">
        <f>IF(Distances[[#This Row],[Colonne166]]=$G20,GB20,Distances[[#This Row],[Colonne166]]+1)</f>
        <v>100</v>
      </c>
      <c r="GD20" s="17">
        <f>IF(Distances[[#This Row],[Colonne167]]=$G20,GC20,Distances[[#This Row],[Colonne167]]+1)</f>
        <v>100</v>
      </c>
      <c r="GE20" s="17">
        <f>IF(Distances[[#This Row],[Colonne168]]=$G20,GD20,Distances[[#This Row],[Colonne168]]+1)</f>
        <v>100</v>
      </c>
      <c r="GF20" s="17">
        <f>IF(Distances[[#This Row],[Colonne169]]=$G20,GE20,Distances[[#This Row],[Colonne169]]+1)</f>
        <v>100</v>
      </c>
      <c r="GG20" s="17">
        <f>IF(Distances[[#This Row],[Colonne170]]=$G20,GF20,Distances[[#This Row],[Colonne170]]+1)</f>
        <v>100</v>
      </c>
      <c r="GH20" s="17">
        <f>IF(Distances[[#This Row],[Colonne171]]=$G20,GG20,Distances[[#This Row],[Colonne171]]+1)</f>
        <v>100</v>
      </c>
      <c r="GI20" s="17">
        <f>IF(Distances[[#This Row],[Colonne172]]=$G20,GH20,Distances[[#This Row],[Colonne172]]+1)</f>
        <v>100</v>
      </c>
      <c r="GJ20" s="17">
        <f>IF(Distances[[#This Row],[Colonne173]]=$G20,GI20,Distances[[#This Row],[Colonne173]]+1)</f>
        <v>100</v>
      </c>
      <c r="GK20" s="17">
        <f>IF(Distances[[#This Row],[Colonne174]]=$G20,GJ20,Distances[[#This Row],[Colonne174]]+1)</f>
        <v>100</v>
      </c>
      <c r="GL20" s="17">
        <f>IF(Distances[[#This Row],[Colonne175]]=$G20,GK20,Distances[[#This Row],[Colonne175]]+1)</f>
        <v>100</v>
      </c>
      <c r="GM20" s="17">
        <f>IF(Distances[[#This Row],[Colonne176]]=$G20,GL20,Distances[[#This Row],[Colonne176]]+1)</f>
        <v>100</v>
      </c>
      <c r="GN20" s="17">
        <f>IF(Distances[[#This Row],[Colonne177]]=$G20,GM20,Distances[[#This Row],[Colonne177]]+1)</f>
        <v>100</v>
      </c>
      <c r="GO20" s="17">
        <f>IF(Distances[[#This Row],[Colonne178]]=$G20,GN20,Distances[[#This Row],[Colonne178]]+1)</f>
        <v>100</v>
      </c>
      <c r="GP20" s="17">
        <f>IF(Distances[[#This Row],[Colonne179]]=$G20,GO20,Distances[[#This Row],[Colonne179]]+1)</f>
        <v>100</v>
      </c>
      <c r="GQ20" s="17">
        <f>IF(Distances[[#This Row],[Colonne180]]=$G20,GP20,Distances[[#This Row],[Colonne180]]+1)</f>
        <v>100</v>
      </c>
      <c r="GR20" s="17">
        <f>IF(Distances[[#This Row],[Colonne181]]=$G20,GQ20,Distances[[#This Row],[Colonne181]]+1)</f>
        <v>100</v>
      </c>
      <c r="GS20" s="17">
        <f>IF(Distances[[#This Row],[Colonne182]]=$G20,GR20,Distances[[#This Row],[Colonne182]]+1)</f>
        <v>100</v>
      </c>
      <c r="GT20" s="17">
        <f>IF(Distances[[#This Row],[Colonne183]]=$G20,GS20,Distances[[#This Row],[Colonne183]]+1)</f>
        <v>100</v>
      </c>
      <c r="GU20" s="17">
        <f>IF(Distances[[#This Row],[Colonne184]]=$G20,GT20,Distances[[#This Row],[Colonne184]]+1)</f>
        <v>100</v>
      </c>
      <c r="GV20" s="17">
        <f>IF(Distances[[#This Row],[Colonne185]]=$G20,GU20,Distances[[#This Row],[Colonne185]]+1)</f>
        <v>100</v>
      </c>
      <c r="GW20" s="17">
        <f>IF(Distances[[#This Row],[Colonne186]]=$G20,GV20,Distances[[#This Row],[Colonne186]]+1)</f>
        <v>100</v>
      </c>
      <c r="GX20" s="17">
        <f>IF(Distances[[#This Row],[Colonne187]]=$G20,GW20,Distances[[#This Row],[Colonne187]]+1)</f>
        <v>100</v>
      </c>
      <c r="GY20" s="17">
        <f>IF(Distances[[#This Row],[Colonne188]]=$G20,GX20,Distances[[#This Row],[Colonne188]]+1)</f>
        <v>100</v>
      </c>
      <c r="GZ20" s="17">
        <f>IF(Distances[[#This Row],[Colonne189]]=$G20,GY20,Distances[[#This Row],[Colonne189]]+1)</f>
        <v>100</v>
      </c>
      <c r="HA20" s="17">
        <f>IF(Distances[[#This Row],[Colonne190]]=$G20,GZ20,Distances[[#This Row],[Colonne190]]+1)</f>
        <v>100</v>
      </c>
      <c r="HB20" s="17">
        <f>IF(Distances[[#This Row],[Colonne191]]=$G20,HA20,Distances[[#This Row],[Colonne191]]+1)</f>
        <v>100</v>
      </c>
      <c r="HC20" s="17">
        <f>IF(Distances[[#This Row],[Colonne192]]=$G20,HB20,Distances[[#This Row],[Colonne192]]+1)</f>
        <v>100</v>
      </c>
      <c r="HD20" s="17">
        <f>IF(Distances[[#This Row],[Colonne193]]=$G20,HC20,Distances[[#This Row],[Colonne193]]+1)</f>
        <v>100</v>
      </c>
      <c r="HE20" s="17">
        <f>IF(Distances[[#This Row],[Colonne194]]=$G20,HD20,Distances[[#This Row],[Colonne194]]+1)</f>
        <v>100</v>
      </c>
      <c r="HF20" s="17">
        <f>IF(Distances[[#This Row],[Colonne195]]=$G20,HE20,Distances[[#This Row],[Colonne195]]+1)</f>
        <v>100</v>
      </c>
      <c r="HG20" s="17">
        <f>IF(Distances[[#This Row],[Colonne196]]=$G20,HF20,Distances[[#This Row],[Colonne196]]+1)</f>
        <v>100</v>
      </c>
      <c r="HH20" s="17">
        <f>IF(Distances[[#This Row],[Colonne197]]=$G20,HG20,Distances[[#This Row],[Colonne197]]+1)</f>
        <v>100</v>
      </c>
      <c r="HI20" s="17">
        <f>IF(Distances[[#This Row],[Colonne198]]=$G20,HH20,Distances[[#This Row],[Colonne198]]+1)</f>
        <v>100</v>
      </c>
      <c r="HJ20" s="17">
        <f>IF(Distances[[#This Row],[Colonne199]]=$G20,HI20,Distances[[#This Row],[Colonne199]]+1)</f>
        <v>100</v>
      </c>
      <c r="HK20" s="17">
        <f>IF(Distances[[#This Row],[Colonne200]]=$G20,HJ20,Distances[[#This Row],[Colonne200]]+1)</f>
        <v>100</v>
      </c>
      <c r="HL20" s="17">
        <f>IF(Distances[[#This Row],[Colonne201]]=$G20,HK20,Distances[[#This Row],[Colonne201]]+1)</f>
        <v>100</v>
      </c>
      <c r="HM20" s="17">
        <f>IF(Distances[[#This Row],[Colonne202]]=$G20,HL20,Distances[[#This Row],[Colonne202]]+1)</f>
        <v>100</v>
      </c>
      <c r="HN20" s="17">
        <f>IF(Distances[[#This Row],[Colonne203]]=$G20,HM20,Distances[[#This Row],[Colonne203]]+1)</f>
        <v>100</v>
      </c>
      <c r="HO20" s="17">
        <f>IF(Distances[[#This Row],[Colonne204]]=$G20,HN20,Distances[[#This Row],[Colonne204]]+1)</f>
        <v>100</v>
      </c>
      <c r="HP20" s="17">
        <f>IF(Distances[[#This Row],[Colonne205]]=$G20,HO20,Distances[[#This Row],[Colonne205]]+1)</f>
        <v>100</v>
      </c>
      <c r="HQ20" s="17">
        <f>IF(Distances[[#This Row],[Colonne206]]=$G20,HP20,Distances[[#This Row],[Colonne206]]+1)</f>
        <v>100</v>
      </c>
      <c r="HR20" s="17">
        <f>IF(Distances[[#This Row],[Colonne207]]=$G20,HQ20,Distances[[#This Row],[Colonne207]]+1)</f>
        <v>100</v>
      </c>
      <c r="HS20" s="17">
        <f>IF(Distances[[#This Row],[Colonne208]]=$G20,HR20,Distances[[#This Row],[Colonne208]]+1)</f>
        <v>100</v>
      </c>
      <c r="HT20" s="17">
        <f>IF(Distances[[#This Row],[Colonne209]]=$G20,HS20,Distances[[#This Row],[Colonne209]]+1)</f>
        <v>100</v>
      </c>
      <c r="HU20" s="17">
        <f>IF(Distances[[#This Row],[Colonne210]]=$G20,HT20,Distances[[#This Row],[Colonne210]]+1)</f>
        <v>100</v>
      </c>
      <c r="HV20" s="17">
        <f>IF(Distances[[#This Row],[Colonne211]]=$G20,HU20,Distances[[#This Row],[Colonne211]]+1)</f>
        <v>100</v>
      </c>
      <c r="HW20" s="17">
        <f>IF(Distances[[#This Row],[Colonne212]]=$G20,HV20,Distances[[#This Row],[Colonne212]]+1)</f>
        <v>100</v>
      </c>
      <c r="HX20" s="17">
        <f>IF(Distances[[#This Row],[Colonne213]]=$G20,HW20,Distances[[#This Row],[Colonne213]]+1)</f>
        <v>100</v>
      </c>
      <c r="HY20" s="17">
        <f>IF(Distances[[#This Row],[Colonne214]]=$G20,HX20,Distances[[#This Row],[Colonne214]]+1)</f>
        <v>100</v>
      </c>
      <c r="HZ20" s="17">
        <f>IF(Distances[[#This Row],[Colonne215]]=$G20,HY20,Distances[[#This Row],[Colonne215]]+1)</f>
        <v>100</v>
      </c>
      <c r="IA20" s="17">
        <f>IF(Distances[[#This Row],[Colonne216]]=$G20,HZ20,Distances[[#This Row],[Colonne216]]+1)</f>
        <v>100</v>
      </c>
      <c r="IB20" s="17">
        <f>IF(Distances[[#This Row],[Colonne217]]=$G20,IA20,Distances[[#This Row],[Colonne217]]+1)</f>
        <v>100</v>
      </c>
      <c r="IC20" s="17">
        <f>IF(Distances[[#This Row],[Colonne218]]=$G20,IB20,Distances[[#This Row],[Colonne218]]+1)</f>
        <v>100</v>
      </c>
      <c r="ID20" s="17">
        <f>IF(Distances[[#This Row],[Colonne219]]=$G20,IC20,Distances[[#This Row],[Colonne219]]+1)</f>
        <v>100</v>
      </c>
      <c r="IE20" s="17">
        <f>IF(Distances[[#This Row],[Colonne220]]=$G20,ID20,Distances[[#This Row],[Colonne220]]+1)</f>
        <v>100</v>
      </c>
      <c r="IF20" s="17">
        <f>IF(Distances[[#This Row],[Colonne221]]=$G20,IE20,Distances[[#This Row],[Colonne221]]+1)</f>
        <v>100</v>
      </c>
      <c r="IG20" s="17">
        <f>IF(Distances[[#This Row],[Colonne222]]=$G20,IF20,Distances[[#This Row],[Colonne222]]+1)</f>
        <v>100</v>
      </c>
      <c r="IH20" s="17">
        <f>IF(Distances[[#This Row],[Colonne223]]=$G20,IG20,Distances[[#This Row],[Colonne223]]+1)</f>
        <v>100</v>
      </c>
      <c r="II20" s="17">
        <f>IF(Distances[[#This Row],[Colonne224]]=$G20,IH20,Distances[[#This Row],[Colonne224]]+1)</f>
        <v>100</v>
      </c>
      <c r="IJ20" s="17">
        <f>IF(Distances[[#This Row],[Colonne225]]=$G20,II20,Distances[[#This Row],[Colonne225]]+1)</f>
        <v>100</v>
      </c>
      <c r="IK20" s="17">
        <f>IF(Distances[[#This Row],[Colonne226]]=$G20,IJ20,Distances[[#This Row],[Colonne226]]+1)</f>
        <v>100</v>
      </c>
      <c r="IL20" s="17">
        <f>IF(Distances[[#This Row],[Colonne227]]=$G20,IK20,Distances[[#This Row],[Colonne227]]+1)</f>
        <v>100</v>
      </c>
      <c r="IM20" s="17">
        <f>IF(Distances[[#This Row],[Colonne228]]=$G20,IL20,Distances[[#This Row],[Colonne228]]+1)</f>
        <v>100</v>
      </c>
      <c r="IN20" s="17">
        <f>IF(Distances[[#This Row],[Colonne229]]=$G20,IM20,Distances[[#This Row],[Colonne229]]+1)</f>
        <v>100</v>
      </c>
      <c r="IO20" s="17">
        <f>IF(Distances[[#This Row],[Colonne230]]=$G20,IN20,Distances[[#This Row],[Colonne230]]+1)</f>
        <v>100</v>
      </c>
      <c r="IP20" s="17">
        <f>IF(Distances[[#This Row],[Colonne231]]=$G20,IO20,Distances[[#This Row],[Colonne231]]+1)</f>
        <v>100</v>
      </c>
      <c r="IQ20" s="17">
        <f>IF(Distances[[#This Row],[Colonne232]]=$G20,IP20,Distances[[#This Row],[Colonne232]]+1)</f>
        <v>100</v>
      </c>
      <c r="IR20" s="17">
        <f>IF(Distances[[#This Row],[Colonne233]]=$G20,IQ20,Distances[[#This Row],[Colonne233]]+1)</f>
        <v>100</v>
      </c>
      <c r="IS20" s="17">
        <f>IF(Distances[[#This Row],[Colonne234]]=$G20,IR20,Distances[[#This Row],[Colonne234]]+1)</f>
        <v>100</v>
      </c>
      <c r="IT20" s="17">
        <f>IF(Distances[[#This Row],[Colonne235]]=$G20,IS20,Distances[[#This Row],[Colonne235]]+1)</f>
        <v>100</v>
      </c>
      <c r="IU20" s="17">
        <f>IF(Distances[[#This Row],[Colonne236]]=$G20,IT20,Distances[[#This Row],[Colonne236]]+1)</f>
        <v>100</v>
      </c>
      <c r="IV20" s="17">
        <f>IF(Distances[[#This Row],[Colonne237]]=$G20,IU20,Distances[[#This Row],[Colonne237]]+1)</f>
        <v>100</v>
      </c>
      <c r="IW20" s="17">
        <f>IF(Distances[[#This Row],[Colonne238]]=$G20,IV20,Distances[[#This Row],[Colonne238]]+1)</f>
        <v>100</v>
      </c>
      <c r="IX20" s="17">
        <f>IF(Distances[[#This Row],[Colonne239]]=$G20,IW20,Distances[[#This Row],[Colonne239]]+1)</f>
        <v>100</v>
      </c>
      <c r="IY20" s="17">
        <f>IF(Distances[[#This Row],[Colonne240]]=$G20,IX20,Distances[[#This Row],[Colonne240]]+1)</f>
        <v>100</v>
      </c>
      <c r="IZ20" s="17">
        <f>IF(Distances[[#This Row],[Colonne241]]=$G20,IY20,Distances[[#This Row],[Colonne241]]+1)</f>
        <v>100</v>
      </c>
      <c r="JA20" s="17">
        <f>IF(Distances[[#This Row],[Colonne242]]=$G20,IZ20,Distances[[#This Row],[Colonne242]]+1)</f>
        <v>100</v>
      </c>
      <c r="JB20" s="17">
        <f>IF(Distances[[#This Row],[Colonne243]]=$G20,JA20,Distances[[#This Row],[Colonne243]]+1)</f>
        <v>100</v>
      </c>
      <c r="JC20" s="17">
        <f>IF(Distances[[#This Row],[Colonne244]]=$G20,JB20,Distances[[#This Row],[Colonne244]]+1)</f>
        <v>100</v>
      </c>
      <c r="JD20" s="17">
        <f>IF(Distances[[#This Row],[Colonne245]]=$G20,JC20,Distances[[#This Row],[Colonne245]]+1)</f>
        <v>100</v>
      </c>
      <c r="JE20" s="17">
        <f>IF(Distances[[#This Row],[Colonne246]]=$G20,JD20,Distances[[#This Row],[Colonne246]]+1)</f>
        <v>100</v>
      </c>
      <c r="JF20" s="17">
        <f>IF(Distances[[#This Row],[Colonne247]]=$G20,JE20,Distances[[#This Row],[Colonne247]]+1)</f>
        <v>100</v>
      </c>
      <c r="JG20" s="17">
        <f>IF(Distances[[#This Row],[Colonne248]]=$G20,JF20,Distances[[#This Row],[Colonne248]]+1)</f>
        <v>100</v>
      </c>
      <c r="JH20" s="17">
        <f>IF(Distances[[#This Row],[Colonne249]]=$G20,JG20,Distances[[#This Row],[Colonne249]]+1)</f>
        <v>100</v>
      </c>
      <c r="JI20" s="17">
        <f>IF(Distances[[#This Row],[Colonne250]]=$G20,JH20,Distances[[#This Row],[Colonne250]]+1)</f>
        <v>100</v>
      </c>
      <c r="JJ20" s="17">
        <f>IF(Distances[[#This Row],[Colonne251]]=$G20,JI20,Distances[[#This Row],[Colonne251]]+1)</f>
        <v>100</v>
      </c>
      <c r="JK20" s="17">
        <f>IF(Distances[[#This Row],[Colonne252]]=$G20,JJ20,Distances[[#This Row],[Colonne252]]+1)</f>
        <v>100</v>
      </c>
      <c r="JL20" s="17">
        <f>IF(Distances[[#This Row],[Colonne253]]=$G20,JK20,Distances[[#This Row],[Colonne253]]+1)</f>
        <v>100</v>
      </c>
      <c r="JM20" s="17">
        <f>IF(Distances[[#This Row],[Colonne254]]=$G20,JL20,Distances[[#This Row],[Colonne254]]+1)</f>
        <v>100</v>
      </c>
      <c r="JN20" s="17">
        <f>IF(Distances[[#This Row],[Colonne255]]=$G20,JM20,Distances[[#This Row],[Colonne255]]+1)</f>
        <v>100</v>
      </c>
      <c r="JO20" s="17">
        <f>IF(Distances[[#This Row],[Colonne256]]=$G20,JN20,Distances[[#This Row],[Colonne256]]+1)</f>
        <v>100</v>
      </c>
      <c r="JP20" s="17">
        <f>IF(Distances[[#This Row],[Colonne257]]=$G20,JO20,Distances[[#This Row],[Colonne257]]+1)</f>
        <v>100</v>
      </c>
      <c r="JQ20" s="17">
        <f>IF(Distances[[#This Row],[Colonne258]]=$G20,JP20,Distances[[#This Row],[Colonne258]]+1)</f>
        <v>100</v>
      </c>
      <c r="JR20" s="17">
        <f>IF(Distances[[#This Row],[Colonne259]]=$G20,JQ20,Distances[[#This Row],[Colonne259]]+1)</f>
        <v>100</v>
      </c>
      <c r="JS20" s="17">
        <f>IF(Distances[[#This Row],[Colonne260]]=$G20,JR20,Distances[[#This Row],[Colonne260]]+1)</f>
        <v>100</v>
      </c>
      <c r="JT20" s="17">
        <f>IF(Distances[[#This Row],[Colonne261]]=$G20,JS20,Distances[[#This Row],[Colonne261]]+1)</f>
        <v>100</v>
      </c>
      <c r="JU20" s="17">
        <f>IF(Distances[[#This Row],[Colonne262]]=$G20,JT20,Distances[[#This Row],[Colonne262]]+1)</f>
        <v>100</v>
      </c>
      <c r="JV20" s="17">
        <f>IF(Distances[[#This Row],[Colonne263]]=$G20,JU20,Distances[[#This Row],[Colonne263]]+1)</f>
        <v>100</v>
      </c>
      <c r="JW20" s="17">
        <f>IF(Distances[[#This Row],[Colonne264]]=$G20,JV20,Distances[[#This Row],[Colonne264]]+1)</f>
        <v>100</v>
      </c>
      <c r="JX20" s="17">
        <f>IF(Distances[[#This Row],[Colonne265]]=$G20,JW20,Distances[[#This Row],[Colonne265]]+1)</f>
        <v>100</v>
      </c>
      <c r="JY20" s="17">
        <f>IF(Distances[[#This Row],[Colonne266]]=$G20,JX20,Distances[[#This Row],[Colonne266]]+1)</f>
        <v>100</v>
      </c>
      <c r="JZ20" s="17">
        <f>IF(Distances[[#This Row],[Colonne267]]=$G20,JY20,Distances[[#This Row],[Colonne267]]+1)</f>
        <v>100</v>
      </c>
      <c r="KA20" s="17">
        <f>IF(Distances[[#This Row],[Colonne268]]=$G20,JZ20,Distances[[#This Row],[Colonne268]]+1)</f>
        <v>100</v>
      </c>
      <c r="KB20" s="17">
        <f>IF(Distances[[#This Row],[Colonne269]]=$G20,KA20,Distances[[#This Row],[Colonne269]]+1)</f>
        <v>100</v>
      </c>
      <c r="KC20" s="17">
        <f>IF(Distances[[#This Row],[Colonne270]]=$G20,KB20,Distances[[#This Row],[Colonne270]]+1)</f>
        <v>100</v>
      </c>
      <c r="KD20" s="17">
        <f>IF(Distances[[#This Row],[Colonne271]]=$G20,KC20,Distances[[#This Row],[Colonne271]]+1)</f>
        <v>100</v>
      </c>
      <c r="KE20" s="17">
        <f>IF(Distances[[#This Row],[Colonne272]]=$G20,KD20,Distances[[#This Row],[Colonne272]]+1)</f>
        <v>100</v>
      </c>
      <c r="KF20" s="17">
        <f>IF(Distances[[#This Row],[Colonne273]]=$G20,KE20,Distances[[#This Row],[Colonne273]]+1)</f>
        <v>100</v>
      </c>
      <c r="KG20" s="17">
        <f>IF(Distances[[#This Row],[Colonne274]]=$G20,KF20,Distances[[#This Row],[Colonne274]]+1)</f>
        <v>100</v>
      </c>
      <c r="KH20" s="17">
        <f>IF(Distances[[#This Row],[Colonne275]]=$G20,KG20,Distances[[#This Row],[Colonne275]]+1)</f>
        <v>100</v>
      </c>
      <c r="KI20" s="17">
        <f>IF(Distances[[#This Row],[Colonne276]]=$G20,KH20,Distances[[#This Row],[Colonne276]]+1)</f>
        <v>100</v>
      </c>
      <c r="KJ20" s="17">
        <f>IF(Distances[[#This Row],[Colonne277]]=$G20,KI20,Distances[[#This Row],[Colonne277]]+1)</f>
        <v>100</v>
      </c>
      <c r="KK20" s="17">
        <f>IF(Distances[[#This Row],[Colonne278]]=$G20,KJ20,Distances[[#This Row],[Colonne278]]+1)</f>
        <v>100</v>
      </c>
      <c r="KL20" s="17">
        <f>IF(Distances[[#This Row],[Colonne279]]=$G20,KK20,Distances[[#This Row],[Colonne279]]+1)</f>
        <v>100</v>
      </c>
      <c r="KM20" s="17">
        <f>IF(Distances[[#This Row],[Colonne280]]=$G20,KL20,Distances[[#This Row],[Colonne280]]+1)</f>
        <v>100</v>
      </c>
      <c r="KN20" s="17">
        <f>IF(Distances[[#This Row],[Colonne281]]=$G20,KM20,Distances[[#This Row],[Colonne281]]+1)</f>
        <v>100</v>
      </c>
      <c r="KO20" s="17">
        <f>IF(Distances[[#This Row],[Colonne282]]=$G20,KN20,Distances[[#This Row],[Colonne282]]+1)</f>
        <v>100</v>
      </c>
      <c r="KP20" s="17">
        <f>IF(Distances[[#This Row],[Colonne283]]=$G20,KO20,Distances[[#This Row],[Colonne283]]+1)</f>
        <v>100</v>
      </c>
      <c r="KQ20" s="17">
        <f>IF(Distances[[#This Row],[Colonne284]]=$G20,KP20,Distances[[#This Row],[Colonne284]]+1)</f>
        <v>100</v>
      </c>
      <c r="KR20" s="17">
        <f>IF(Distances[[#This Row],[Colonne285]]=$G20,KQ20,Distances[[#This Row],[Colonne285]]+1)</f>
        <v>100</v>
      </c>
      <c r="KS20" s="17">
        <f>IF(Distances[[#This Row],[Colonne286]]=$G20,KR20,Distances[[#This Row],[Colonne286]]+1)</f>
        <v>100</v>
      </c>
      <c r="KT20" s="17">
        <f>IF(Distances[[#This Row],[Colonne287]]=$G20,KS20,Distances[[#This Row],[Colonne287]]+1)</f>
        <v>100</v>
      </c>
      <c r="KU20" s="17">
        <f>IF(Distances[[#This Row],[Colonne288]]=$G20,KT20,Distances[[#This Row],[Colonne288]]+1)</f>
        <v>100</v>
      </c>
      <c r="KV20" s="17">
        <f>IF(Distances[[#This Row],[Colonne289]]=$G20,KU20,Distances[[#This Row],[Colonne289]]+1)</f>
        <v>100</v>
      </c>
      <c r="KW20" s="17">
        <f>IF(Distances[[#This Row],[Colonne290]]=$G20,KV20,Distances[[#This Row],[Colonne290]]+1)</f>
        <v>100</v>
      </c>
      <c r="KX20" s="17">
        <f>IF(Distances[[#This Row],[Colonne291]]=$G20,KW20,Distances[[#This Row],[Colonne291]]+1)</f>
        <v>100</v>
      </c>
      <c r="KY20" s="17">
        <f>IF(Distances[[#This Row],[Colonne292]]=$G20,KX20,Distances[[#This Row],[Colonne292]]+1)</f>
        <v>100</v>
      </c>
      <c r="KZ20" s="17">
        <f>IF(Distances[[#This Row],[Colonne293]]=$G20,KY20,Distances[[#This Row],[Colonne293]]+1)</f>
        <v>100</v>
      </c>
      <c r="LA20" s="17">
        <f>IF(Distances[[#This Row],[Colonne294]]=$G20,KZ20,Distances[[#This Row],[Colonne294]]+1)</f>
        <v>100</v>
      </c>
      <c r="LB20" s="17">
        <f>IF(Distances[[#This Row],[Colonne295]]=$G20,LA20,Distances[[#This Row],[Colonne295]]+1)</f>
        <v>100</v>
      </c>
      <c r="LC20" s="17">
        <f>IF(Distances[[#This Row],[Colonne296]]=$G20,LB20,Distances[[#This Row],[Colonne296]]+1)</f>
        <v>100</v>
      </c>
      <c r="LD20" s="17">
        <f>IF(Distances[[#This Row],[Colonne297]]=$G20,LC20,Distances[[#This Row],[Colonne297]]+1)</f>
        <v>100</v>
      </c>
      <c r="LE20" s="17">
        <f>IF(Distances[[#This Row],[Colonne298]]=$G20,LD20,Distances[[#This Row],[Colonne298]]+1)</f>
        <v>100</v>
      </c>
      <c r="LF20" s="17">
        <f>IF(Distances[[#This Row],[Colonne299]]=$G20,LE20,Distances[[#This Row],[Colonne299]]+1)</f>
        <v>100</v>
      </c>
      <c r="LG20" s="17">
        <f>IF(Distances[[#This Row],[Colonne300]]=$G20,LF20,Distances[[#This Row],[Colonne300]]+1)</f>
        <v>100</v>
      </c>
      <c r="LH20" s="17">
        <f>IF(Distances[[#This Row],[Colonne301]]=$G20,LG20,Distances[[#This Row],[Colonne301]]+1)</f>
        <v>100</v>
      </c>
      <c r="LI20" s="17">
        <f>IF(Distances[[#This Row],[Colonne302]]=$G20,LH20,Distances[[#This Row],[Colonne302]]+1)</f>
        <v>100</v>
      </c>
      <c r="LJ20" s="17">
        <f>IF(Distances[[#This Row],[Colonne303]]=$G20,LI20,Distances[[#This Row],[Colonne303]]+1)</f>
        <v>100</v>
      </c>
      <c r="LK20" s="51"/>
      <c r="LL20" s="17">
        <f t="shared" ref="LL20:NW20" si="38">IF(LK20=$H20,LK20,LK20+1)</f>
        <v>1</v>
      </c>
      <c r="LM20" s="17">
        <f t="shared" si="38"/>
        <v>2</v>
      </c>
      <c r="LN20" s="17">
        <f t="shared" si="38"/>
        <v>3</v>
      </c>
      <c r="LO20" s="17">
        <f t="shared" si="38"/>
        <v>4</v>
      </c>
      <c r="LP20" s="17">
        <f t="shared" si="38"/>
        <v>5</v>
      </c>
      <c r="LQ20" s="17">
        <f t="shared" si="38"/>
        <v>6</v>
      </c>
      <c r="LR20" s="17">
        <f t="shared" si="38"/>
        <v>7</v>
      </c>
      <c r="LS20" s="17">
        <f t="shared" si="38"/>
        <v>8</v>
      </c>
      <c r="LT20" s="17">
        <f t="shared" si="38"/>
        <v>9</v>
      </c>
      <c r="LU20" s="17">
        <f t="shared" si="38"/>
        <v>10</v>
      </c>
      <c r="LV20" s="17">
        <f t="shared" si="38"/>
        <v>11</v>
      </c>
      <c r="LW20" s="17">
        <f t="shared" si="38"/>
        <v>12</v>
      </c>
      <c r="LX20" s="17">
        <f t="shared" si="38"/>
        <v>13</v>
      </c>
      <c r="LY20" s="17">
        <f t="shared" si="38"/>
        <v>14</v>
      </c>
      <c r="LZ20" s="17">
        <f t="shared" si="38"/>
        <v>15</v>
      </c>
      <c r="MA20" s="17">
        <f t="shared" si="38"/>
        <v>16</v>
      </c>
      <c r="MB20" s="17">
        <f t="shared" si="38"/>
        <v>17</v>
      </c>
      <c r="MC20" s="17">
        <f t="shared" si="38"/>
        <v>18</v>
      </c>
      <c r="MD20" s="17">
        <f t="shared" si="38"/>
        <v>19</v>
      </c>
      <c r="ME20" s="17">
        <f t="shared" si="38"/>
        <v>20</v>
      </c>
      <c r="MF20" s="17">
        <f t="shared" si="38"/>
        <v>21</v>
      </c>
      <c r="MG20" s="17">
        <f t="shared" si="38"/>
        <v>22</v>
      </c>
      <c r="MH20" s="17">
        <f t="shared" si="38"/>
        <v>23</v>
      </c>
      <c r="MI20" s="17">
        <f t="shared" si="38"/>
        <v>24</v>
      </c>
      <c r="MJ20" s="17">
        <f t="shared" si="38"/>
        <v>25</v>
      </c>
      <c r="MK20" s="17">
        <f t="shared" si="38"/>
        <v>26</v>
      </c>
      <c r="ML20" s="17">
        <f t="shared" si="38"/>
        <v>27</v>
      </c>
      <c r="MM20" s="17">
        <f t="shared" si="38"/>
        <v>28</v>
      </c>
      <c r="MN20" s="17">
        <f t="shared" si="38"/>
        <v>29</v>
      </c>
      <c r="MO20" s="17">
        <f t="shared" si="38"/>
        <v>30</v>
      </c>
      <c r="MP20" s="17">
        <f t="shared" si="38"/>
        <v>31</v>
      </c>
      <c r="MQ20" s="17">
        <f t="shared" si="38"/>
        <v>32</v>
      </c>
      <c r="MR20" s="17">
        <f t="shared" si="38"/>
        <v>33</v>
      </c>
      <c r="MS20" s="17">
        <f t="shared" si="38"/>
        <v>34</v>
      </c>
      <c r="MT20" s="17">
        <f t="shared" si="38"/>
        <v>35</v>
      </c>
      <c r="MU20" s="17">
        <f t="shared" si="38"/>
        <v>35</v>
      </c>
      <c r="MV20" s="17">
        <f t="shared" si="38"/>
        <v>35</v>
      </c>
      <c r="MW20" s="17">
        <f t="shared" si="38"/>
        <v>35</v>
      </c>
      <c r="MX20" s="17">
        <f t="shared" si="38"/>
        <v>35</v>
      </c>
      <c r="MY20" s="17">
        <f t="shared" si="38"/>
        <v>35</v>
      </c>
      <c r="MZ20" s="17">
        <f t="shared" si="38"/>
        <v>35</v>
      </c>
      <c r="NA20" s="17">
        <f t="shared" si="38"/>
        <v>35</v>
      </c>
      <c r="NB20" s="17">
        <f t="shared" si="38"/>
        <v>35</v>
      </c>
      <c r="NC20" s="17">
        <f t="shared" si="38"/>
        <v>35</v>
      </c>
      <c r="ND20" s="17">
        <f t="shared" si="38"/>
        <v>35</v>
      </c>
      <c r="NE20" s="17">
        <f t="shared" si="38"/>
        <v>35</v>
      </c>
      <c r="NF20" s="17">
        <f t="shared" si="38"/>
        <v>35</v>
      </c>
      <c r="NG20" s="17">
        <f t="shared" si="38"/>
        <v>35</v>
      </c>
      <c r="NH20" s="17">
        <f t="shared" si="38"/>
        <v>35</v>
      </c>
      <c r="NI20" s="17">
        <f t="shared" si="38"/>
        <v>35</v>
      </c>
      <c r="NJ20" s="17">
        <f t="shared" si="38"/>
        <v>35</v>
      </c>
      <c r="NK20" s="17">
        <f t="shared" si="38"/>
        <v>35</v>
      </c>
      <c r="NL20" s="17">
        <f t="shared" si="38"/>
        <v>35</v>
      </c>
      <c r="NM20" s="17">
        <f t="shared" si="38"/>
        <v>35</v>
      </c>
      <c r="NN20" s="17">
        <f t="shared" si="38"/>
        <v>35</v>
      </c>
      <c r="NO20" s="17">
        <f t="shared" si="38"/>
        <v>35</v>
      </c>
      <c r="NP20" s="17">
        <f t="shared" si="38"/>
        <v>35</v>
      </c>
      <c r="NQ20" s="17">
        <f t="shared" si="38"/>
        <v>35</v>
      </c>
      <c r="NR20" s="17">
        <f t="shared" si="38"/>
        <v>35</v>
      </c>
      <c r="NS20" s="17">
        <f t="shared" si="38"/>
        <v>35</v>
      </c>
      <c r="NT20" s="17">
        <f t="shared" si="38"/>
        <v>35</v>
      </c>
      <c r="NU20" s="17">
        <f t="shared" si="38"/>
        <v>35</v>
      </c>
      <c r="NV20" s="17">
        <f t="shared" si="38"/>
        <v>35</v>
      </c>
      <c r="NW20" s="17">
        <f t="shared" si="38"/>
        <v>35</v>
      </c>
      <c r="NX20" s="17">
        <f t="shared" ref="NX20:PG20" si="39">IF(NW20=$H20,NW20,NW20+1)</f>
        <v>35</v>
      </c>
      <c r="NY20" s="17">
        <f t="shared" si="39"/>
        <v>35</v>
      </c>
      <c r="NZ20" s="17">
        <f t="shared" si="39"/>
        <v>35</v>
      </c>
      <c r="OA20" s="17">
        <f t="shared" si="39"/>
        <v>35</v>
      </c>
      <c r="OB20" s="17">
        <f t="shared" si="39"/>
        <v>35</v>
      </c>
      <c r="OC20" s="17">
        <f t="shared" si="39"/>
        <v>35</v>
      </c>
      <c r="OD20" s="17">
        <f t="shared" si="39"/>
        <v>35</v>
      </c>
      <c r="OE20" s="17">
        <f t="shared" si="39"/>
        <v>35</v>
      </c>
      <c r="OF20" s="17">
        <f t="shared" si="39"/>
        <v>35</v>
      </c>
      <c r="OG20" s="17">
        <f t="shared" si="39"/>
        <v>35</v>
      </c>
      <c r="OH20" s="17">
        <f t="shared" si="39"/>
        <v>35</v>
      </c>
      <c r="OI20" s="17">
        <f t="shared" si="39"/>
        <v>35</v>
      </c>
      <c r="OJ20" s="17">
        <f t="shared" si="39"/>
        <v>35</v>
      </c>
      <c r="OK20" s="17">
        <f t="shared" si="39"/>
        <v>35</v>
      </c>
      <c r="OL20" s="17">
        <f t="shared" si="39"/>
        <v>35</v>
      </c>
      <c r="OM20" s="17">
        <f t="shared" si="39"/>
        <v>35</v>
      </c>
      <c r="ON20" s="17">
        <f t="shared" si="39"/>
        <v>35</v>
      </c>
      <c r="OO20" s="17">
        <f t="shared" si="39"/>
        <v>35</v>
      </c>
      <c r="OP20" s="17">
        <f t="shared" si="39"/>
        <v>35</v>
      </c>
      <c r="OQ20" s="17">
        <f t="shared" si="39"/>
        <v>35</v>
      </c>
      <c r="OR20" s="17">
        <f t="shared" si="39"/>
        <v>35</v>
      </c>
      <c r="OS20" s="17">
        <f t="shared" si="39"/>
        <v>35</v>
      </c>
      <c r="OT20" s="17">
        <f t="shared" si="39"/>
        <v>35</v>
      </c>
      <c r="OU20" s="17">
        <f t="shared" si="39"/>
        <v>35</v>
      </c>
      <c r="OV20" s="17">
        <f t="shared" si="39"/>
        <v>35</v>
      </c>
      <c r="OW20" s="17">
        <f t="shared" si="39"/>
        <v>35</v>
      </c>
      <c r="OX20" s="17">
        <f t="shared" si="39"/>
        <v>35</v>
      </c>
      <c r="OY20" s="17">
        <f t="shared" si="39"/>
        <v>35</v>
      </c>
      <c r="OZ20" s="17">
        <f t="shared" si="39"/>
        <v>35</v>
      </c>
      <c r="PA20" s="17">
        <f t="shared" si="39"/>
        <v>35</v>
      </c>
      <c r="PB20" s="17">
        <f t="shared" si="39"/>
        <v>35</v>
      </c>
      <c r="PC20" s="17">
        <f t="shared" si="39"/>
        <v>35</v>
      </c>
      <c r="PD20" s="17">
        <f t="shared" si="39"/>
        <v>35</v>
      </c>
      <c r="PE20" s="17">
        <f t="shared" si="39"/>
        <v>35</v>
      </c>
      <c r="PF20" s="17">
        <f t="shared" si="39"/>
        <v>35</v>
      </c>
      <c r="PG20" s="17">
        <f t="shared" si="39"/>
        <v>35</v>
      </c>
    </row>
    <row r="21" spans="1:423" x14ac:dyDescent="0.25">
      <c r="A21" s="8" t="s">
        <v>5507</v>
      </c>
      <c r="B21" s="9" t="s">
        <v>26</v>
      </c>
      <c r="C21" s="9" t="str">
        <f t="shared" si="0"/>
        <v>BN3</v>
      </c>
      <c r="D21" s="1" t="str">
        <f t="shared" si="1"/>
        <v>Bande N3</v>
      </c>
      <c r="E21" s="1" t="s">
        <v>15</v>
      </c>
      <c r="F21" s="9" t="s">
        <v>5452</v>
      </c>
      <c r="G21" s="9">
        <v>80</v>
      </c>
      <c r="H21" s="9">
        <v>40</v>
      </c>
      <c r="I21" s="127">
        <v>2.8</v>
      </c>
      <c r="J21" s="30"/>
      <c r="K21" s="281"/>
      <c r="L21" s="8">
        <v>1.75</v>
      </c>
      <c r="M21" s="9">
        <v>1.75</v>
      </c>
      <c r="N21" s="10">
        <v>2.5790000000000002</v>
      </c>
      <c r="O21" s="269"/>
      <c r="P21" s="331"/>
      <c r="Q21" s="335"/>
      <c r="R21" s="128">
        <v>1</v>
      </c>
      <c r="S21" s="9">
        <v>1</v>
      </c>
      <c r="T21" s="10">
        <v>2</v>
      </c>
      <c r="U21" t="s">
        <v>5523</v>
      </c>
      <c r="V21" s="17">
        <v>0</v>
      </c>
      <c r="W21" s="17">
        <f>IF(Distances[[#This Row],[Colonne4]]=$G21,V21,Distances[[#This Row],[Colonne4]]+1)</f>
        <v>1</v>
      </c>
      <c r="X21" s="17">
        <f>IF(Distances[[#This Row],[Colonne5]]=$G21,W21,Distances[[#This Row],[Colonne5]]+1)</f>
        <v>2</v>
      </c>
      <c r="Y21" s="17">
        <f>IF(Distances[[#This Row],[Colonne6]]=$G21,X21,Distances[[#This Row],[Colonne6]]+1)</f>
        <v>3</v>
      </c>
      <c r="Z21" s="17">
        <f>IF(Distances[[#This Row],[Colonne7]]=$G21,Y21,Distances[[#This Row],[Colonne7]]+1)</f>
        <v>4</v>
      </c>
      <c r="AA21" s="17">
        <f>IF(Distances[[#This Row],[Colonne8]]=$G21,Z21,Distances[[#This Row],[Colonne8]]+1)</f>
        <v>5</v>
      </c>
      <c r="AB21" s="17">
        <f>IF(Distances[[#This Row],[Colonne9]]=$G21,AA21,Distances[[#This Row],[Colonne9]]+1)</f>
        <v>6</v>
      </c>
      <c r="AC21" s="17">
        <f>IF(Distances[[#This Row],[Colonne10]]=$G21,AB21,Distances[[#This Row],[Colonne10]]+1)</f>
        <v>7</v>
      </c>
      <c r="AD21" s="17">
        <f>IF(Distances[[#This Row],[Colonne11]]=$G21,AC21,Distances[[#This Row],[Colonne11]]+1)</f>
        <v>8</v>
      </c>
      <c r="AE21" s="17">
        <f>IF(Distances[[#This Row],[Colonne12]]=$G21,AD21,Distances[[#This Row],[Colonne12]]+1)</f>
        <v>9</v>
      </c>
      <c r="AF21" s="17">
        <f>IF(Distances[[#This Row],[Colonne13]]=$G21,AE21,Distances[[#This Row],[Colonne13]]+1)</f>
        <v>10</v>
      </c>
      <c r="AG21" s="17">
        <f>IF(Distances[[#This Row],[Colonne14]]=$G21,AF21,Distances[[#This Row],[Colonne14]]+1)</f>
        <v>11</v>
      </c>
      <c r="AH21" s="17">
        <f>IF(Distances[[#This Row],[Colonne15]]=$G21,AG21,Distances[[#This Row],[Colonne15]]+1)</f>
        <v>12</v>
      </c>
      <c r="AI21" s="17">
        <f>IF(Distances[[#This Row],[Colonne16]]=$G21,AH21,Distances[[#This Row],[Colonne16]]+1)</f>
        <v>13</v>
      </c>
      <c r="AJ21" s="17">
        <f>IF(Distances[[#This Row],[Colonne17]]=$G21,AI21,Distances[[#This Row],[Colonne17]]+1)</f>
        <v>14</v>
      </c>
      <c r="AK21" s="17">
        <f>IF(Distances[[#This Row],[Colonne18]]=$G21,AJ21,Distances[[#This Row],[Colonne18]]+1)</f>
        <v>15</v>
      </c>
      <c r="AL21" s="17">
        <f>IF(Distances[[#This Row],[Colonne19]]=$G21,AK21,Distances[[#This Row],[Colonne19]]+1)</f>
        <v>16</v>
      </c>
      <c r="AM21" s="17">
        <f>IF(Distances[[#This Row],[Colonne20]]=$G21,AL21,Distances[[#This Row],[Colonne20]]+1)</f>
        <v>17</v>
      </c>
      <c r="AN21" s="17">
        <f>IF(Distances[[#This Row],[Colonne21]]=$G21,AM21,Distances[[#This Row],[Colonne21]]+1)</f>
        <v>18</v>
      </c>
      <c r="AO21" s="17">
        <f>IF(Distances[[#This Row],[Colonne22]]=$G21,AN21,Distances[[#This Row],[Colonne22]]+1)</f>
        <v>19</v>
      </c>
      <c r="AP21" s="17">
        <f>IF(Distances[[#This Row],[Colonne23]]=$G21,AO21,Distances[[#This Row],[Colonne23]]+1)</f>
        <v>20</v>
      </c>
      <c r="AQ21" s="17">
        <f>IF(Distances[[#This Row],[Colonne24]]=$G21,AP21,Distances[[#This Row],[Colonne24]]+1)</f>
        <v>21</v>
      </c>
      <c r="AR21" s="17">
        <f>IF(Distances[[#This Row],[Colonne25]]=$G21,AQ21,Distances[[#This Row],[Colonne25]]+1)</f>
        <v>22</v>
      </c>
      <c r="AS21" s="17">
        <f>IF(Distances[[#This Row],[Colonne26]]=$G21,AR21,Distances[[#This Row],[Colonne26]]+1)</f>
        <v>23</v>
      </c>
      <c r="AT21" s="17">
        <f>IF(Distances[[#This Row],[Colonne27]]=$G21,AS21,Distances[[#This Row],[Colonne27]]+1)</f>
        <v>24</v>
      </c>
      <c r="AU21" s="17">
        <f>IF(Distances[[#This Row],[Colonne28]]=$G21,AT21,Distances[[#This Row],[Colonne28]]+1)</f>
        <v>25</v>
      </c>
      <c r="AV21" s="17">
        <f>IF(Distances[[#This Row],[Colonne29]]=$G21,AU21,Distances[[#This Row],[Colonne29]]+1)</f>
        <v>26</v>
      </c>
      <c r="AW21" s="17">
        <f>IF(Distances[[#This Row],[Colonne30]]=$G21,AV21,Distances[[#This Row],[Colonne30]]+1)</f>
        <v>27</v>
      </c>
      <c r="AX21" s="17">
        <f>IF(Distances[[#This Row],[Colonne31]]=$G21,AW21,Distances[[#This Row],[Colonne31]]+1)</f>
        <v>28</v>
      </c>
      <c r="AY21" s="17">
        <f>IF(Distances[[#This Row],[Colonne32]]=$G21,AX21,Distances[[#This Row],[Colonne32]]+1)</f>
        <v>29</v>
      </c>
      <c r="AZ21" s="17">
        <f>IF(Distances[[#This Row],[Colonne33]]=$G21,AY21,Distances[[#This Row],[Colonne33]]+1)</f>
        <v>30</v>
      </c>
      <c r="BA21" s="17">
        <f>IF(Distances[[#This Row],[Colonne34]]=$G21,AZ21,Distances[[#This Row],[Colonne34]]+1)</f>
        <v>31</v>
      </c>
      <c r="BB21" s="17">
        <f>IF(Distances[[#This Row],[Colonne35]]=$G21,BA21,Distances[[#This Row],[Colonne35]]+1)</f>
        <v>32</v>
      </c>
      <c r="BC21" s="17">
        <f>IF(Distances[[#This Row],[Colonne36]]=$G21,BB21,Distances[[#This Row],[Colonne36]]+1)</f>
        <v>33</v>
      </c>
      <c r="BD21" s="17">
        <f>IF(Distances[[#This Row],[Colonne37]]=$G21,BC21,Distances[[#This Row],[Colonne37]]+1)</f>
        <v>34</v>
      </c>
      <c r="BE21" s="17">
        <f>IF(Distances[[#This Row],[Colonne38]]=$G21,BD21,Distances[[#This Row],[Colonne38]]+1)</f>
        <v>35</v>
      </c>
      <c r="BF21" s="17">
        <f>IF(Distances[[#This Row],[Colonne39]]=$G21,BE21,Distances[[#This Row],[Colonne39]]+1)</f>
        <v>36</v>
      </c>
      <c r="BG21" s="17">
        <f>IF(Distances[[#This Row],[Colonne40]]=$G21,BF21,Distances[[#This Row],[Colonne40]]+1)</f>
        <v>37</v>
      </c>
      <c r="BH21" s="17">
        <f>IF(Distances[[#This Row],[Colonne41]]=$G21,BG21,Distances[[#This Row],[Colonne41]]+1)</f>
        <v>38</v>
      </c>
      <c r="BI21" s="17">
        <f>IF(Distances[[#This Row],[Colonne42]]=$G21,BH21,Distances[[#This Row],[Colonne42]]+1)</f>
        <v>39</v>
      </c>
      <c r="BJ21" s="17">
        <f>IF(Distances[[#This Row],[Colonne43]]=$G21,BI21,Distances[[#This Row],[Colonne43]]+1)</f>
        <v>40</v>
      </c>
      <c r="BK21" s="17">
        <f>IF(Distances[[#This Row],[Colonne44]]=$G21,BJ21,Distances[[#This Row],[Colonne44]]+1)</f>
        <v>41</v>
      </c>
      <c r="BL21" s="17">
        <f>IF(Distances[[#This Row],[Colonne45]]=$G21,BK21,Distances[[#This Row],[Colonne45]]+1)</f>
        <v>42</v>
      </c>
      <c r="BM21" s="17">
        <f>IF(Distances[[#This Row],[Colonne46]]=$G21,BL21,Distances[[#This Row],[Colonne46]]+1)</f>
        <v>43</v>
      </c>
      <c r="BN21" s="17">
        <f>IF(Distances[[#This Row],[Colonne47]]=$G21,BM21,Distances[[#This Row],[Colonne47]]+1)</f>
        <v>44</v>
      </c>
      <c r="BO21" s="17">
        <f>IF(Distances[[#This Row],[Colonne48]]=$G21,BN21,Distances[[#This Row],[Colonne48]]+1)</f>
        <v>45</v>
      </c>
      <c r="BP21" s="17">
        <f>IF(Distances[[#This Row],[Colonne49]]=$G21,BO21,Distances[[#This Row],[Colonne49]]+1)</f>
        <v>46</v>
      </c>
      <c r="BQ21" s="17">
        <f>IF(Distances[[#This Row],[Colonne50]]=$G21,BP21,Distances[[#This Row],[Colonne50]]+1)</f>
        <v>47</v>
      </c>
      <c r="BR21" s="17">
        <f>IF(Distances[[#This Row],[Colonne51]]=$G21,BQ21,Distances[[#This Row],[Colonne51]]+1)</f>
        <v>48</v>
      </c>
      <c r="BS21" s="17">
        <f>IF(Distances[[#This Row],[Colonne52]]=$G21,BR21,Distances[[#This Row],[Colonne52]]+1)</f>
        <v>49</v>
      </c>
      <c r="BT21" s="17">
        <f>IF(Distances[[#This Row],[Colonne53]]=$G21,BS21,Distances[[#This Row],[Colonne53]]+1)</f>
        <v>50</v>
      </c>
      <c r="BU21" s="17">
        <f>IF(Distances[[#This Row],[Colonne54]]=$G21,BT21,Distances[[#This Row],[Colonne54]]+1)</f>
        <v>51</v>
      </c>
      <c r="BV21" s="17">
        <f>IF(Distances[[#This Row],[Colonne55]]=$G21,BU21,Distances[[#This Row],[Colonne55]]+1)</f>
        <v>52</v>
      </c>
      <c r="BW21" s="17">
        <f>IF(Distances[[#This Row],[Colonne56]]=$G21,BV21,Distances[[#This Row],[Colonne56]]+1)</f>
        <v>53</v>
      </c>
      <c r="BX21" s="17">
        <f>IF(Distances[[#This Row],[Colonne57]]=$G21,BW21,Distances[[#This Row],[Colonne57]]+1)</f>
        <v>54</v>
      </c>
      <c r="BY21" s="17">
        <f>IF(Distances[[#This Row],[Colonne58]]=$G21,BX21,Distances[[#This Row],[Colonne58]]+1)</f>
        <v>55</v>
      </c>
      <c r="BZ21" s="17">
        <f>IF(Distances[[#This Row],[Colonne59]]=$G21,BY21,Distances[[#This Row],[Colonne59]]+1)</f>
        <v>56</v>
      </c>
      <c r="CA21" s="17">
        <f>IF(Distances[[#This Row],[Colonne60]]=$G21,BZ21,Distances[[#This Row],[Colonne60]]+1)</f>
        <v>57</v>
      </c>
      <c r="CB21" s="17">
        <f>IF(Distances[[#This Row],[Colonne61]]=$G21,CA21,Distances[[#This Row],[Colonne61]]+1)</f>
        <v>58</v>
      </c>
      <c r="CC21" s="17">
        <f>IF(Distances[[#This Row],[Colonne62]]=$G21,CB21,Distances[[#This Row],[Colonne62]]+1)</f>
        <v>59</v>
      </c>
      <c r="CD21" s="17">
        <f>IF(Distances[[#This Row],[Colonne63]]=$G21,CC21,Distances[[#This Row],[Colonne63]]+1)</f>
        <v>60</v>
      </c>
      <c r="CE21" s="17">
        <f>IF(Distances[[#This Row],[Colonne64]]=$G21,CD21,Distances[[#This Row],[Colonne64]]+1)</f>
        <v>61</v>
      </c>
      <c r="CF21" s="17">
        <f>IF(Distances[[#This Row],[Colonne65]]=$G21,CE21,Distances[[#This Row],[Colonne65]]+1)</f>
        <v>62</v>
      </c>
      <c r="CG21" s="17">
        <f>IF(Distances[[#This Row],[Colonne66]]=$G21,CF21,Distances[[#This Row],[Colonne66]]+1)</f>
        <v>63</v>
      </c>
      <c r="CH21" s="17">
        <f>IF(Distances[[#This Row],[Colonne67]]=$G21,CG21,Distances[[#This Row],[Colonne67]]+1)</f>
        <v>64</v>
      </c>
      <c r="CI21" s="17">
        <f>IF(Distances[[#This Row],[Colonne68]]=$G21,CH21,Distances[[#This Row],[Colonne68]]+1)</f>
        <v>65</v>
      </c>
      <c r="CJ21" s="17">
        <f>IF(Distances[[#This Row],[Colonne69]]=$G21,CI21,Distances[[#This Row],[Colonne69]]+1)</f>
        <v>66</v>
      </c>
      <c r="CK21" s="17">
        <f>IF(Distances[[#This Row],[Colonne70]]=$G21,CJ21,Distances[[#This Row],[Colonne70]]+1)</f>
        <v>67</v>
      </c>
      <c r="CL21" s="17">
        <f>IF(Distances[[#This Row],[Colonne71]]=$G21,CK21,Distances[[#This Row],[Colonne71]]+1)</f>
        <v>68</v>
      </c>
      <c r="CM21" s="17">
        <f>IF(Distances[[#This Row],[Colonne72]]=$G21,CL21,Distances[[#This Row],[Colonne72]]+1)</f>
        <v>69</v>
      </c>
      <c r="CN21" s="17">
        <f>IF(Distances[[#This Row],[Colonne73]]=$G21,CM21,Distances[[#This Row],[Colonne73]]+1)</f>
        <v>70</v>
      </c>
      <c r="CO21" s="17">
        <f>IF(Distances[[#This Row],[Colonne74]]=$G21,CN21,Distances[[#This Row],[Colonne74]]+1)</f>
        <v>71</v>
      </c>
      <c r="CP21" s="17">
        <f>IF(Distances[[#This Row],[Colonne75]]=$G21,CO21,Distances[[#This Row],[Colonne75]]+1)</f>
        <v>72</v>
      </c>
      <c r="CQ21" s="17">
        <f>IF(Distances[[#This Row],[Colonne76]]=$G21,CP21,Distances[[#This Row],[Colonne76]]+1)</f>
        <v>73</v>
      </c>
      <c r="CR21" s="17">
        <f>IF(Distances[[#This Row],[Colonne77]]=$G21,CQ21,Distances[[#This Row],[Colonne77]]+1)</f>
        <v>74</v>
      </c>
      <c r="CS21" s="17">
        <f>IF(Distances[[#This Row],[Colonne78]]=$G21,CR21,Distances[[#This Row],[Colonne78]]+1)</f>
        <v>75</v>
      </c>
      <c r="CT21" s="17">
        <f>IF(Distances[[#This Row],[Colonne79]]=$G21,CS21,Distances[[#This Row],[Colonne79]]+1)</f>
        <v>76</v>
      </c>
      <c r="CU21" s="17">
        <f>IF(Distances[[#This Row],[Colonne80]]=$G21,CT21,Distances[[#This Row],[Colonne80]]+1)</f>
        <v>77</v>
      </c>
      <c r="CV21" s="17">
        <f>IF(Distances[[#This Row],[Colonne81]]=$G21,CU21,Distances[[#This Row],[Colonne81]]+1)</f>
        <v>78</v>
      </c>
      <c r="CW21" s="17">
        <f>IF(Distances[[#This Row],[Colonne82]]=$G21,CV21,Distances[[#This Row],[Colonne82]]+1)</f>
        <v>79</v>
      </c>
      <c r="CX21" s="17">
        <f>IF(Distances[[#This Row],[Colonne83]]=$G21,CW21,Distances[[#This Row],[Colonne83]]+1)</f>
        <v>80</v>
      </c>
      <c r="CY21" s="17">
        <f>IF(Distances[[#This Row],[Colonne84]]=$G21,CX21,Distances[[#This Row],[Colonne84]]+1)</f>
        <v>80</v>
      </c>
      <c r="CZ21" s="17">
        <f>IF(Distances[[#This Row],[Colonne85]]=$G21,CY21,Distances[[#This Row],[Colonne85]]+1)</f>
        <v>80</v>
      </c>
      <c r="DA21" s="17">
        <f>IF(Distances[[#This Row],[Colonne86]]=$G21,CZ21,Distances[[#This Row],[Colonne86]]+1)</f>
        <v>80</v>
      </c>
      <c r="DB21" s="17">
        <f>IF(Distances[[#This Row],[Colonne87]]=$G21,DA21,Distances[[#This Row],[Colonne87]]+1)</f>
        <v>80</v>
      </c>
      <c r="DC21" s="17">
        <f>IF(Distances[[#This Row],[Colonne88]]=$G21,DB21,Distances[[#This Row],[Colonne88]]+1)</f>
        <v>80</v>
      </c>
      <c r="DD21" s="17">
        <f>IF(Distances[[#This Row],[Colonne89]]=$G21,DC21,Distances[[#This Row],[Colonne89]]+1)</f>
        <v>80</v>
      </c>
      <c r="DE21" s="17">
        <f>IF(Distances[[#This Row],[Colonne90]]=$G21,DD21,Distances[[#This Row],[Colonne90]]+1)</f>
        <v>80</v>
      </c>
      <c r="DF21" s="17">
        <f>IF(Distances[[#This Row],[Colonne91]]=$G21,DE21,Distances[[#This Row],[Colonne91]]+1)</f>
        <v>80</v>
      </c>
      <c r="DG21" s="17">
        <f>IF(Distances[[#This Row],[Colonne92]]=$G21,DF21,Distances[[#This Row],[Colonne92]]+1)</f>
        <v>80</v>
      </c>
      <c r="DH21" s="17">
        <f>IF(Distances[[#This Row],[Colonne93]]=$G21,DG21,Distances[[#This Row],[Colonne93]]+1)</f>
        <v>80</v>
      </c>
      <c r="DI21" s="17">
        <f>IF(Distances[[#This Row],[Colonne94]]=$G21,DH21,Distances[[#This Row],[Colonne94]]+1)</f>
        <v>80</v>
      </c>
      <c r="DJ21" s="17">
        <f>IF(Distances[[#This Row],[Colonne95]]=$G21,DI21,Distances[[#This Row],[Colonne95]]+1)</f>
        <v>80</v>
      </c>
      <c r="DK21" s="17">
        <f>IF(Distances[[#This Row],[Colonne96]]=$G21,DJ21,Distances[[#This Row],[Colonne96]]+1)</f>
        <v>80</v>
      </c>
      <c r="DL21" s="17">
        <f>IF(Distances[[#This Row],[Colonne97]]=$G21,DK21,Distances[[#This Row],[Colonne97]]+1)</f>
        <v>80</v>
      </c>
      <c r="DM21" s="17">
        <f>IF(Distances[[#This Row],[Colonne98]]=$G21,DL21,Distances[[#This Row],[Colonne98]]+1)</f>
        <v>80</v>
      </c>
      <c r="DN21" s="17">
        <f>IF(Distances[[#This Row],[Colonne99]]=$G21,DM21,Distances[[#This Row],[Colonne99]]+1)</f>
        <v>80</v>
      </c>
      <c r="DO21" s="17">
        <f>IF(Distances[[#This Row],[Colonne100]]=$G21,DN21,Distances[[#This Row],[Colonne100]]+1)</f>
        <v>80</v>
      </c>
      <c r="DP21" s="17">
        <f>IF(Distances[[#This Row],[Colonne101]]=$G21,DO21,Distances[[#This Row],[Colonne101]]+1)</f>
        <v>80</v>
      </c>
      <c r="DQ21" s="17">
        <f>IF(Distances[[#This Row],[Colonne102]]=$G21,DP21,Distances[[#This Row],[Colonne102]]+1)</f>
        <v>80</v>
      </c>
      <c r="DR21" s="17">
        <f>IF(Distances[[#This Row],[Colonne103]]=$G21,DQ21,Distances[[#This Row],[Colonne103]]+1)</f>
        <v>80</v>
      </c>
      <c r="DS21" s="17">
        <f>IF(Distances[[#This Row],[Colonne104]]=$G21,DR21,Distances[[#This Row],[Colonne104]]+1)</f>
        <v>80</v>
      </c>
      <c r="DT21" s="17">
        <f>IF(Distances[[#This Row],[Colonne105]]=$G21,DS21,Distances[[#This Row],[Colonne105]]+1)</f>
        <v>80</v>
      </c>
      <c r="DU21" s="17">
        <f>IF(Distances[[#This Row],[Colonne106]]=$G21,DT21,Distances[[#This Row],[Colonne106]]+1)</f>
        <v>80</v>
      </c>
      <c r="DV21" s="17">
        <f>IF(Distances[[#This Row],[Colonne107]]=$G21,DU21,Distances[[#This Row],[Colonne107]]+1)</f>
        <v>80</v>
      </c>
      <c r="DW21" s="17">
        <f>IF(Distances[[#This Row],[Colonne108]]=$G21,DV21,Distances[[#This Row],[Colonne108]]+1)</f>
        <v>80</v>
      </c>
      <c r="DX21" s="17">
        <f>IF(Distances[[#This Row],[Colonne109]]=$G21,DW21,Distances[[#This Row],[Colonne109]]+1)</f>
        <v>80</v>
      </c>
      <c r="DY21" s="17">
        <f>IF(Distances[[#This Row],[Colonne110]]=$G21,DX21,Distances[[#This Row],[Colonne110]]+1)</f>
        <v>80</v>
      </c>
      <c r="DZ21" s="17">
        <f>IF(Distances[[#This Row],[Colonne111]]=$G21,DY21,Distances[[#This Row],[Colonne111]]+1)</f>
        <v>80</v>
      </c>
      <c r="EA21" s="17">
        <f>IF(Distances[[#This Row],[Colonne112]]=$G21,DZ21,Distances[[#This Row],[Colonne112]]+1)</f>
        <v>80</v>
      </c>
      <c r="EB21" s="17">
        <f>IF(Distances[[#This Row],[Colonne113]]=$G21,EA21,Distances[[#This Row],[Colonne113]]+1)</f>
        <v>80</v>
      </c>
      <c r="EC21" s="17">
        <f>IF(Distances[[#This Row],[Colonne114]]=$G21,EB21,Distances[[#This Row],[Colonne114]]+1)</f>
        <v>80</v>
      </c>
      <c r="ED21" s="17">
        <f>IF(Distances[[#This Row],[Colonne115]]=$G21,EC21,Distances[[#This Row],[Colonne115]]+1)</f>
        <v>80</v>
      </c>
      <c r="EE21" s="17">
        <f>IF(Distances[[#This Row],[Colonne116]]=$G21,ED21,Distances[[#This Row],[Colonne116]]+1)</f>
        <v>80</v>
      </c>
      <c r="EF21" s="17">
        <f>IF(Distances[[#This Row],[Colonne117]]=$G21,EE21,Distances[[#This Row],[Colonne117]]+1)</f>
        <v>80</v>
      </c>
      <c r="EG21" s="17">
        <f>IF(Distances[[#This Row],[Colonne118]]=$G21,EF21,Distances[[#This Row],[Colonne118]]+1)</f>
        <v>80</v>
      </c>
      <c r="EH21" s="17">
        <f>IF(Distances[[#This Row],[Colonne119]]=$G21,EG21,Distances[[#This Row],[Colonne119]]+1)</f>
        <v>80</v>
      </c>
      <c r="EI21" s="17">
        <f>IF(Distances[[#This Row],[Colonne120]]=$G21,EH21,Distances[[#This Row],[Colonne120]]+1)</f>
        <v>80</v>
      </c>
      <c r="EJ21" s="17">
        <f>IF(Distances[[#This Row],[Colonne121]]=$G21,EI21,Distances[[#This Row],[Colonne121]]+1)</f>
        <v>80</v>
      </c>
      <c r="EK21" s="17">
        <f>IF(Distances[[#This Row],[Colonne122]]=$G21,EJ21,Distances[[#This Row],[Colonne122]]+1)</f>
        <v>80</v>
      </c>
      <c r="EL21" s="17">
        <f>IF(Distances[[#This Row],[Colonne123]]=$G21,EK21,Distances[[#This Row],[Colonne123]]+1)</f>
        <v>80</v>
      </c>
      <c r="EM21" s="17">
        <f>IF(Distances[[#This Row],[Colonne124]]=$G21,EL21,Distances[[#This Row],[Colonne124]]+1)</f>
        <v>80</v>
      </c>
      <c r="EN21" s="17">
        <f>IF(Distances[[#This Row],[Colonne125]]=$G21,EM21,Distances[[#This Row],[Colonne125]]+1)</f>
        <v>80</v>
      </c>
      <c r="EO21" s="17">
        <f>IF(Distances[[#This Row],[Colonne126]]=$G21,EN21,Distances[[#This Row],[Colonne126]]+1)</f>
        <v>80</v>
      </c>
      <c r="EP21" s="17">
        <f>IF(Distances[[#This Row],[Colonne127]]=$G21,EO21,Distances[[#This Row],[Colonne127]]+1)</f>
        <v>80</v>
      </c>
      <c r="EQ21" s="17">
        <f>IF(Distances[[#This Row],[Colonne128]]=$G21,EP21,Distances[[#This Row],[Colonne128]]+1)</f>
        <v>80</v>
      </c>
      <c r="ER21" s="17">
        <f>IF(Distances[[#This Row],[Colonne129]]=$G21,EQ21,Distances[[#This Row],[Colonne129]]+1)</f>
        <v>80</v>
      </c>
      <c r="ES21" s="17">
        <f>IF(Distances[[#This Row],[Colonne130]]=$G21,ER21,Distances[[#This Row],[Colonne130]]+1)</f>
        <v>80</v>
      </c>
      <c r="ET21" s="17">
        <f>IF(Distances[[#This Row],[Colonne131]]=$G21,ES21,Distances[[#This Row],[Colonne131]]+1)</f>
        <v>80</v>
      </c>
      <c r="EU21" s="17">
        <f>IF(Distances[[#This Row],[Colonne132]]=$G21,ET21,Distances[[#This Row],[Colonne132]]+1)</f>
        <v>80</v>
      </c>
      <c r="EV21" s="17">
        <f>IF(Distances[[#This Row],[Colonne133]]=$G21,EU21,Distances[[#This Row],[Colonne133]]+1)</f>
        <v>80</v>
      </c>
      <c r="EW21" s="17">
        <f>IF(Distances[[#This Row],[Colonne134]]=$G21,EV21,Distances[[#This Row],[Colonne134]]+1)</f>
        <v>80</v>
      </c>
      <c r="EX21" s="17">
        <f>IF(Distances[[#This Row],[Colonne135]]=$G21,EW21,Distances[[#This Row],[Colonne135]]+1)</f>
        <v>80</v>
      </c>
      <c r="EY21" s="17">
        <f>IF(Distances[[#This Row],[Colonne136]]=$G21,EX21,Distances[[#This Row],[Colonne136]]+1)</f>
        <v>80</v>
      </c>
      <c r="EZ21" s="17">
        <f>IF(Distances[[#This Row],[Colonne137]]=$G21,EY21,Distances[[#This Row],[Colonne137]]+1)</f>
        <v>80</v>
      </c>
      <c r="FA21" s="17">
        <f>IF(Distances[[#This Row],[Colonne138]]=$G21,EZ21,Distances[[#This Row],[Colonne138]]+1)</f>
        <v>80</v>
      </c>
      <c r="FB21" s="17">
        <f>IF(Distances[[#This Row],[Colonne139]]=$G21,FA21,Distances[[#This Row],[Colonne139]]+1)</f>
        <v>80</v>
      </c>
      <c r="FC21" s="17">
        <f>IF(Distances[[#This Row],[Colonne140]]=$G21,FB21,Distances[[#This Row],[Colonne140]]+1)</f>
        <v>80</v>
      </c>
      <c r="FD21" s="17">
        <f>IF(Distances[[#This Row],[Colonne141]]=$G21,FC21,Distances[[#This Row],[Colonne141]]+1)</f>
        <v>80</v>
      </c>
      <c r="FE21" s="17">
        <f>IF(Distances[[#This Row],[Colonne142]]=$G21,FD21,Distances[[#This Row],[Colonne142]]+1)</f>
        <v>80</v>
      </c>
      <c r="FF21" s="17">
        <f>IF(Distances[[#This Row],[Colonne143]]=$G21,FE21,Distances[[#This Row],[Colonne143]]+1)</f>
        <v>80</v>
      </c>
      <c r="FG21" s="17">
        <f>IF(Distances[[#This Row],[Colonne144]]=$G21,FF21,Distances[[#This Row],[Colonne144]]+1)</f>
        <v>80</v>
      </c>
      <c r="FH21" s="17">
        <f>IF(Distances[[#This Row],[Colonne145]]=$G21,FG21,Distances[[#This Row],[Colonne145]]+1)</f>
        <v>80</v>
      </c>
      <c r="FI21" s="17">
        <f>IF(Distances[[#This Row],[Colonne146]]=$G21,FH21,Distances[[#This Row],[Colonne146]]+1)</f>
        <v>80</v>
      </c>
      <c r="FJ21" s="17">
        <f>IF(Distances[[#This Row],[Colonne147]]=$G21,FI21,Distances[[#This Row],[Colonne147]]+1)</f>
        <v>80</v>
      </c>
      <c r="FK21" s="17">
        <f>IF(Distances[[#This Row],[Colonne148]]=$G21,FJ21,Distances[[#This Row],[Colonne148]]+1)</f>
        <v>80</v>
      </c>
      <c r="FL21" s="17">
        <f>IF(Distances[[#This Row],[Colonne149]]=$G21,FK21,Distances[[#This Row],[Colonne149]]+1)</f>
        <v>80</v>
      </c>
      <c r="FM21" s="17">
        <f>IF(Distances[[#This Row],[Colonne150]]=$G21,FL21,Distances[[#This Row],[Colonne150]]+1)</f>
        <v>80</v>
      </c>
      <c r="FN21" s="17">
        <f>IF(Distances[[#This Row],[Colonne151]]=$G21,FM21,Distances[[#This Row],[Colonne151]]+1)</f>
        <v>80</v>
      </c>
      <c r="FO21" s="17">
        <f>IF(Distances[[#This Row],[Colonne152]]=$G21,FN21,Distances[[#This Row],[Colonne152]]+1)</f>
        <v>80</v>
      </c>
      <c r="FP21" s="17">
        <f>IF(Distances[[#This Row],[Colonne153]]=$G21,FO21,Distances[[#This Row],[Colonne153]]+1)</f>
        <v>80</v>
      </c>
      <c r="FQ21" s="17">
        <f>IF(Distances[[#This Row],[Colonne154]]=$G21,FP21,Distances[[#This Row],[Colonne154]]+1)</f>
        <v>80</v>
      </c>
      <c r="FR21" s="17">
        <f>IF(Distances[[#This Row],[Colonne155]]=$G21,FQ21,Distances[[#This Row],[Colonne155]]+1)</f>
        <v>80</v>
      </c>
      <c r="FS21" s="17">
        <f>IF(Distances[[#This Row],[Colonne156]]=$G21,FR21,Distances[[#This Row],[Colonne156]]+1)</f>
        <v>80</v>
      </c>
      <c r="FT21" s="17">
        <f>IF(Distances[[#This Row],[Colonne157]]=$G21,FS21,Distances[[#This Row],[Colonne157]]+1)</f>
        <v>80</v>
      </c>
      <c r="FU21" s="17">
        <f>IF(Distances[[#This Row],[Colonne158]]=$G21,FT21,Distances[[#This Row],[Colonne158]]+1)</f>
        <v>80</v>
      </c>
      <c r="FV21" s="17">
        <f>IF(Distances[[#This Row],[Colonne159]]=$G21,FU21,Distances[[#This Row],[Colonne159]]+1)</f>
        <v>80</v>
      </c>
      <c r="FW21" s="17">
        <f>IF(Distances[[#This Row],[Colonne160]]=$G21,FV21,Distances[[#This Row],[Colonne160]]+1)</f>
        <v>80</v>
      </c>
      <c r="FX21" s="17">
        <f>IF(Distances[[#This Row],[Colonne161]]=$G21,FW21,Distances[[#This Row],[Colonne161]]+1)</f>
        <v>80</v>
      </c>
      <c r="FY21" s="17">
        <f>IF(Distances[[#This Row],[Colonne162]]=$G21,FX21,Distances[[#This Row],[Colonne162]]+1)</f>
        <v>80</v>
      </c>
      <c r="FZ21" s="17">
        <f>IF(Distances[[#This Row],[Colonne163]]=$G21,FY21,Distances[[#This Row],[Colonne163]]+1)</f>
        <v>80</v>
      </c>
      <c r="GA21" s="17">
        <f>IF(Distances[[#This Row],[Colonne164]]=$G21,FZ21,Distances[[#This Row],[Colonne164]]+1)</f>
        <v>80</v>
      </c>
      <c r="GB21" s="17">
        <f>IF(Distances[[#This Row],[Colonne165]]=$G21,GA21,Distances[[#This Row],[Colonne165]]+1)</f>
        <v>80</v>
      </c>
      <c r="GC21" s="17">
        <f>IF(Distances[[#This Row],[Colonne166]]=$G21,GB21,Distances[[#This Row],[Colonne166]]+1)</f>
        <v>80</v>
      </c>
      <c r="GD21" s="17">
        <f>IF(Distances[[#This Row],[Colonne167]]=$G21,GC21,Distances[[#This Row],[Colonne167]]+1)</f>
        <v>80</v>
      </c>
      <c r="GE21" s="17">
        <f>IF(Distances[[#This Row],[Colonne168]]=$G21,GD21,Distances[[#This Row],[Colonne168]]+1)</f>
        <v>80</v>
      </c>
      <c r="GF21" s="17">
        <f>IF(Distances[[#This Row],[Colonne169]]=$G21,GE21,Distances[[#This Row],[Colonne169]]+1)</f>
        <v>80</v>
      </c>
      <c r="GG21" s="17">
        <f>IF(Distances[[#This Row],[Colonne170]]=$G21,GF21,Distances[[#This Row],[Colonne170]]+1)</f>
        <v>80</v>
      </c>
      <c r="GH21" s="17">
        <f>IF(Distances[[#This Row],[Colonne171]]=$G21,GG21,Distances[[#This Row],[Colonne171]]+1)</f>
        <v>80</v>
      </c>
      <c r="GI21" s="17">
        <f>IF(Distances[[#This Row],[Colonne172]]=$G21,GH21,Distances[[#This Row],[Colonne172]]+1)</f>
        <v>80</v>
      </c>
      <c r="GJ21" s="17">
        <f>IF(Distances[[#This Row],[Colonne173]]=$G21,GI21,Distances[[#This Row],[Colonne173]]+1)</f>
        <v>80</v>
      </c>
      <c r="GK21" s="17">
        <f>IF(Distances[[#This Row],[Colonne174]]=$G21,GJ21,Distances[[#This Row],[Colonne174]]+1)</f>
        <v>80</v>
      </c>
      <c r="GL21" s="17">
        <f>IF(Distances[[#This Row],[Colonne175]]=$G21,GK21,Distances[[#This Row],[Colonne175]]+1)</f>
        <v>80</v>
      </c>
      <c r="GM21" s="17">
        <f>IF(Distances[[#This Row],[Colonne176]]=$G21,GL21,Distances[[#This Row],[Colonne176]]+1)</f>
        <v>80</v>
      </c>
      <c r="GN21" s="17">
        <f>IF(Distances[[#This Row],[Colonne177]]=$G21,GM21,Distances[[#This Row],[Colonne177]]+1)</f>
        <v>80</v>
      </c>
      <c r="GO21" s="17">
        <f>IF(Distances[[#This Row],[Colonne178]]=$G21,GN21,Distances[[#This Row],[Colonne178]]+1)</f>
        <v>80</v>
      </c>
      <c r="GP21" s="17">
        <f>IF(Distances[[#This Row],[Colonne179]]=$G21,GO21,Distances[[#This Row],[Colonne179]]+1)</f>
        <v>80</v>
      </c>
      <c r="GQ21" s="17">
        <f>IF(Distances[[#This Row],[Colonne180]]=$G21,GP21,Distances[[#This Row],[Colonne180]]+1)</f>
        <v>80</v>
      </c>
      <c r="GR21" s="17">
        <f>IF(Distances[[#This Row],[Colonne181]]=$G21,GQ21,Distances[[#This Row],[Colonne181]]+1)</f>
        <v>80</v>
      </c>
      <c r="GS21" s="17">
        <f>IF(Distances[[#This Row],[Colonne182]]=$G21,GR21,Distances[[#This Row],[Colonne182]]+1)</f>
        <v>80</v>
      </c>
      <c r="GT21" s="17">
        <f>IF(Distances[[#This Row],[Colonne183]]=$G21,GS21,Distances[[#This Row],[Colonne183]]+1)</f>
        <v>80</v>
      </c>
      <c r="GU21" s="17">
        <f>IF(Distances[[#This Row],[Colonne184]]=$G21,GT21,Distances[[#This Row],[Colonne184]]+1)</f>
        <v>80</v>
      </c>
      <c r="GV21" s="17">
        <f>IF(Distances[[#This Row],[Colonne185]]=$G21,GU21,Distances[[#This Row],[Colonne185]]+1)</f>
        <v>80</v>
      </c>
      <c r="GW21" s="17">
        <f>IF(Distances[[#This Row],[Colonne186]]=$G21,GV21,Distances[[#This Row],[Colonne186]]+1)</f>
        <v>80</v>
      </c>
      <c r="GX21" s="17">
        <f>IF(Distances[[#This Row],[Colonne187]]=$G21,GW21,Distances[[#This Row],[Colonne187]]+1)</f>
        <v>80</v>
      </c>
      <c r="GY21" s="17">
        <f>IF(Distances[[#This Row],[Colonne188]]=$G21,GX21,Distances[[#This Row],[Colonne188]]+1)</f>
        <v>80</v>
      </c>
      <c r="GZ21" s="17">
        <f>IF(Distances[[#This Row],[Colonne189]]=$G21,GY21,Distances[[#This Row],[Colonne189]]+1)</f>
        <v>80</v>
      </c>
      <c r="HA21" s="17">
        <f>IF(Distances[[#This Row],[Colonne190]]=$G21,GZ21,Distances[[#This Row],[Colonne190]]+1)</f>
        <v>80</v>
      </c>
      <c r="HB21" s="17">
        <f>IF(Distances[[#This Row],[Colonne191]]=$G21,HA21,Distances[[#This Row],[Colonne191]]+1)</f>
        <v>80</v>
      </c>
      <c r="HC21" s="17">
        <f>IF(Distances[[#This Row],[Colonne192]]=$G21,HB21,Distances[[#This Row],[Colonne192]]+1)</f>
        <v>80</v>
      </c>
      <c r="HD21" s="17">
        <f>IF(Distances[[#This Row],[Colonne193]]=$G21,HC21,Distances[[#This Row],[Colonne193]]+1)</f>
        <v>80</v>
      </c>
      <c r="HE21" s="17">
        <f>IF(Distances[[#This Row],[Colonne194]]=$G21,HD21,Distances[[#This Row],[Colonne194]]+1)</f>
        <v>80</v>
      </c>
      <c r="HF21" s="17">
        <f>IF(Distances[[#This Row],[Colonne195]]=$G21,HE21,Distances[[#This Row],[Colonne195]]+1)</f>
        <v>80</v>
      </c>
      <c r="HG21" s="17">
        <f>IF(Distances[[#This Row],[Colonne196]]=$G21,HF21,Distances[[#This Row],[Colonne196]]+1)</f>
        <v>80</v>
      </c>
      <c r="HH21" s="17">
        <f>IF(Distances[[#This Row],[Colonne197]]=$G21,HG21,Distances[[#This Row],[Colonne197]]+1)</f>
        <v>80</v>
      </c>
      <c r="HI21" s="17">
        <f>IF(Distances[[#This Row],[Colonne198]]=$G21,HH21,Distances[[#This Row],[Colonne198]]+1)</f>
        <v>80</v>
      </c>
      <c r="HJ21" s="17">
        <f>IF(Distances[[#This Row],[Colonne199]]=$G21,HI21,Distances[[#This Row],[Colonne199]]+1)</f>
        <v>80</v>
      </c>
      <c r="HK21" s="17">
        <f>IF(Distances[[#This Row],[Colonne200]]=$G21,HJ21,Distances[[#This Row],[Colonne200]]+1)</f>
        <v>80</v>
      </c>
      <c r="HL21" s="17">
        <f>IF(Distances[[#This Row],[Colonne201]]=$G21,HK21,Distances[[#This Row],[Colonne201]]+1)</f>
        <v>80</v>
      </c>
      <c r="HM21" s="17">
        <f>IF(Distances[[#This Row],[Colonne202]]=$G21,HL21,Distances[[#This Row],[Colonne202]]+1)</f>
        <v>80</v>
      </c>
      <c r="HN21" s="17">
        <f>IF(Distances[[#This Row],[Colonne203]]=$G21,HM21,Distances[[#This Row],[Colonne203]]+1)</f>
        <v>80</v>
      </c>
      <c r="HO21" s="17">
        <f>IF(Distances[[#This Row],[Colonne204]]=$G21,HN21,Distances[[#This Row],[Colonne204]]+1)</f>
        <v>80</v>
      </c>
      <c r="HP21" s="17">
        <f>IF(Distances[[#This Row],[Colonne205]]=$G21,HO21,Distances[[#This Row],[Colonne205]]+1)</f>
        <v>80</v>
      </c>
      <c r="HQ21" s="17">
        <f>IF(Distances[[#This Row],[Colonne206]]=$G21,HP21,Distances[[#This Row],[Colonne206]]+1)</f>
        <v>80</v>
      </c>
      <c r="HR21" s="17">
        <f>IF(Distances[[#This Row],[Colonne207]]=$G21,HQ21,Distances[[#This Row],[Colonne207]]+1)</f>
        <v>80</v>
      </c>
      <c r="HS21" s="17">
        <f>IF(Distances[[#This Row],[Colonne208]]=$G21,HR21,Distances[[#This Row],[Colonne208]]+1)</f>
        <v>80</v>
      </c>
      <c r="HT21" s="17">
        <f>IF(Distances[[#This Row],[Colonne209]]=$G21,HS21,Distances[[#This Row],[Colonne209]]+1)</f>
        <v>80</v>
      </c>
      <c r="HU21" s="17">
        <f>IF(Distances[[#This Row],[Colonne210]]=$G21,HT21,Distances[[#This Row],[Colonne210]]+1)</f>
        <v>80</v>
      </c>
      <c r="HV21" s="17">
        <f>IF(Distances[[#This Row],[Colonne211]]=$G21,HU21,Distances[[#This Row],[Colonne211]]+1)</f>
        <v>80</v>
      </c>
      <c r="HW21" s="17">
        <f>IF(Distances[[#This Row],[Colonne212]]=$G21,HV21,Distances[[#This Row],[Colonne212]]+1)</f>
        <v>80</v>
      </c>
      <c r="HX21" s="17">
        <f>IF(Distances[[#This Row],[Colonne213]]=$G21,HW21,Distances[[#This Row],[Colonne213]]+1)</f>
        <v>80</v>
      </c>
      <c r="HY21" s="17">
        <f>IF(Distances[[#This Row],[Colonne214]]=$G21,HX21,Distances[[#This Row],[Colonne214]]+1)</f>
        <v>80</v>
      </c>
      <c r="HZ21" s="17">
        <f>IF(Distances[[#This Row],[Colonne215]]=$G21,HY21,Distances[[#This Row],[Colonne215]]+1)</f>
        <v>80</v>
      </c>
      <c r="IA21" s="17">
        <f>IF(Distances[[#This Row],[Colonne216]]=$G21,HZ21,Distances[[#This Row],[Colonne216]]+1)</f>
        <v>80</v>
      </c>
      <c r="IB21" s="17">
        <f>IF(Distances[[#This Row],[Colonne217]]=$G21,IA21,Distances[[#This Row],[Colonne217]]+1)</f>
        <v>80</v>
      </c>
      <c r="IC21" s="17">
        <f>IF(Distances[[#This Row],[Colonne218]]=$G21,IB21,Distances[[#This Row],[Colonne218]]+1)</f>
        <v>80</v>
      </c>
      <c r="ID21" s="17">
        <f>IF(Distances[[#This Row],[Colonne219]]=$G21,IC21,Distances[[#This Row],[Colonne219]]+1)</f>
        <v>80</v>
      </c>
      <c r="IE21" s="17">
        <f>IF(Distances[[#This Row],[Colonne220]]=$G21,ID21,Distances[[#This Row],[Colonne220]]+1)</f>
        <v>80</v>
      </c>
      <c r="IF21" s="17">
        <f>IF(Distances[[#This Row],[Colonne221]]=$G21,IE21,Distances[[#This Row],[Colonne221]]+1)</f>
        <v>80</v>
      </c>
      <c r="IG21" s="17">
        <f>IF(Distances[[#This Row],[Colonne222]]=$G21,IF21,Distances[[#This Row],[Colonne222]]+1)</f>
        <v>80</v>
      </c>
      <c r="IH21" s="17">
        <f>IF(Distances[[#This Row],[Colonne223]]=$G21,IG21,Distances[[#This Row],[Colonne223]]+1)</f>
        <v>80</v>
      </c>
      <c r="II21" s="17">
        <f>IF(Distances[[#This Row],[Colonne224]]=$G21,IH21,Distances[[#This Row],[Colonne224]]+1)</f>
        <v>80</v>
      </c>
      <c r="IJ21" s="17">
        <f>IF(Distances[[#This Row],[Colonne225]]=$G21,II21,Distances[[#This Row],[Colonne225]]+1)</f>
        <v>80</v>
      </c>
      <c r="IK21" s="17">
        <f>IF(Distances[[#This Row],[Colonne226]]=$G21,IJ21,Distances[[#This Row],[Colonne226]]+1)</f>
        <v>80</v>
      </c>
      <c r="IL21" s="17">
        <f>IF(Distances[[#This Row],[Colonne227]]=$G21,IK21,Distances[[#This Row],[Colonne227]]+1)</f>
        <v>80</v>
      </c>
      <c r="IM21" s="17">
        <f>IF(Distances[[#This Row],[Colonne228]]=$G21,IL21,Distances[[#This Row],[Colonne228]]+1)</f>
        <v>80</v>
      </c>
      <c r="IN21" s="17">
        <f>IF(Distances[[#This Row],[Colonne229]]=$G21,IM21,Distances[[#This Row],[Colonne229]]+1)</f>
        <v>80</v>
      </c>
      <c r="IO21" s="17">
        <f>IF(Distances[[#This Row],[Colonne230]]=$G21,IN21,Distances[[#This Row],[Colonne230]]+1)</f>
        <v>80</v>
      </c>
      <c r="IP21" s="17">
        <f>IF(Distances[[#This Row],[Colonne231]]=$G21,IO21,Distances[[#This Row],[Colonne231]]+1)</f>
        <v>80</v>
      </c>
      <c r="IQ21" s="17">
        <f>IF(Distances[[#This Row],[Colonne232]]=$G21,IP21,Distances[[#This Row],[Colonne232]]+1)</f>
        <v>80</v>
      </c>
      <c r="IR21" s="17">
        <f>IF(Distances[[#This Row],[Colonne233]]=$G21,IQ21,Distances[[#This Row],[Colonne233]]+1)</f>
        <v>80</v>
      </c>
      <c r="IS21" s="17">
        <f>IF(Distances[[#This Row],[Colonne234]]=$G21,IR21,Distances[[#This Row],[Colonne234]]+1)</f>
        <v>80</v>
      </c>
      <c r="IT21" s="17">
        <f>IF(Distances[[#This Row],[Colonne235]]=$G21,IS21,Distances[[#This Row],[Colonne235]]+1)</f>
        <v>80</v>
      </c>
      <c r="IU21" s="17">
        <f>IF(Distances[[#This Row],[Colonne236]]=$G21,IT21,Distances[[#This Row],[Colonne236]]+1)</f>
        <v>80</v>
      </c>
      <c r="IV21" s="17">
        <f>IF(Distances[[#This Row],[Colonne237]]=$G21,IU21,Distances[[#This Row],[Colonne237]]+1)</f>
        <v>80</v>
      </c>
      <c r="IW21" s="17">
        <f>IF(Distances[[#This Row],[Colonne238]]=$G21,IV21,Distances[[#This Row],[Colonne238]]+1)</f>
        <v>80</v>
      </c>
      <c r="IX21" s="17">
        <f>IF(Distances[[#This Row],[Colonne239]]=$G21,IW21,Distances[[#This Row],[Colonne239]]+1)</f>
        <v>80</v>
      </c>
      <c r="IY21" s="17">
        <f>IF(Distances[[#This Row],[Colonne240]]=$G21,IX21,Distances[[#This Row],[Colonne240]]+1)</f>
        <v>80</v>
      </c>
      <c r="IZ21" s="17">
        <f>IF(Distances[[#This Row],[Colonne241]]=$G21,IY21,Distances[[#This Row],[Colonne241]]+1)</f>
        <v>80</v>
      </c>
      <c r="JA21" s="17">
        <f>IF(Distances[[#This Row],[Colonne242]]=$G21,IZ21,Distances[[#This Row],[Colonne242]]+1)</f>
        <v>80</v>
      </c>
      <c r="JB21" s="17">
        <f>IF(Distances[[#This Row],[Colonne243]]=$G21,JA21,Distances[[#This Row],[Colonne243]]+1)</f>
        <v>80</v>
      </c>
      <c r="JC21" s="17">
        <f>IF(Distances[[#This Row],[Colonne244]]=$G21,JB21,Distances[[#This Row],[Colonne244]]+1)</f>
        <v>80</v>
      </c>
      <c r="JD21" s="17">
        <f>IF(Distances[[#This Row],[Colonne245]]=$G21,JC21,Distances[[#This Row],[Colonne245]]+1)</f>
        <v>80</v>
      </c>
      <c r="JE21" s="17">
        <f>IF(Distances[[#This Row],[Colonne246]]=$G21,JD21,Distances[[#This Row],[Colonne246]]+1)</f>
        <v>80</v>
      </c>
      <c r="JF21" s="17">
        <f>IF(Distances[[#This Row],[Colonne247]]=$G21,JE21,Distances[[#This Row],[Colonne247]]+1)</f>
        <v>80</v>
      </c>
      <c r="JG21" s="17">
        <f>IF(Distances[[#This Row],[Colonne248]]=$G21,JF21,Distances[[#This Row],[Colonne248]]+1)</f>
        <v>80</v>
      </c>
      <c r="JH21" s="17">
        <f>IF(Distances[[#This Row],[Colonne249]]=$G21,JG21,Distances[[#This Row],[Colonne249]]+1)</f>
        <v>80</v>
      </c>
      <c r="JI21" s="17">
        <f>IF(Distances[[#This Row],[Colonne250]]=$G21,JH21,Distances[[#This Row],[Colonne250]]+1)</f>
        <v>80</v>
      </c>
      <c r="JJ21" s="17">
        <f>IF(Distances[[#This Row],[Colonne251]]=$G21,JI21,Distances[[#This Row],[Colonne251]]+1)</f>
        <v>80</v>
      </c>
      <c r="JK21" s="17">
        <f>IF(Distances[[#This Row],[Colonne252]]=$G21,JJ21,Distances[[#This Row],[Colonne252]]+1)</f>
        <v>80</v>
      </c>
      <c r="JL21" s="17">
        <f>IF(Distances[[#This Row],[Colonne253]]=$G21,JK21,Distances[[#This Row],[Colonne253]]+1)</f>
        <v>80</v>
      </c>
      <c r="JM21" s="17">
        <f>IF(Distances[[#This Row],[Colonne254]]=$G21,JL21,Distances[[#This Row],[Colonne254]]+1)</f>
        <v>80</v>
      </c>
      <c r="JN21" s="17">
        <f>IF(Distances[[#This Row],[Colonne255]]=$G21,JM21,Distances[[#This Row],[Colonne255]]+1)</f>
        <v>80</v>
      </c>
      <c r="JO21" s="17">
        <f>IF(Distances[[#This Row],[Colonne256]]=$G21,JN21,Distances[[#This Row],[Colonne256]]+1)</f>
        <v>80</v>
      </c>
      <c r="JP21" s="17">
        <f>IF(Distances[[#This Row],[Colonne257]]=$G21,JO21,Distances[[#This Row],[Colonne257]]+1)</f>
        <v>80</v>
      </c>
      <c r="JQ21" s="17">
        <f>IF(Distances[[#This Row],[Colonne258]]=$G21,JP21,Distances[[#This Row],[Colonne258]]+1)</f>
        <v>80</v>
      </c>
      <c r="JR21" s="17">
        <f>IF(Distances[[#This Row],[Colonne259]]=$G21,JQ21,Distances[[#This Row],[Colonne259]]+1)</f>
        <v>80</v>
      </c>
      <c r="JS21" s="17">
        <f>IF(Distances[[#This Row],[Colonne260]]=$G21,JR21,Distances[[#This Row],[Colonne260]]+1)</f>
        <v>80</v>
      </c>
      <c r="JT21" s="17">
        <f>IF(Distances[[#This Row],[Colonne261]]=$G21,JS21,Distances[[#This Row],[Colonne261]]+1)</f>
        <v>80</v>
      </c>
      <c r="JU21" s="17">
        <f>IF(Distances[[#This Row],[Colonne262]]=$G21,JT21,Distances[[#This Row],[Colonne262]]+1)</f>
        <v>80</v>
      </c>
      <c r="JV21" s="17">
        <f>IF(Distances[[#This Row],[Colonne263]]=$G21,JU21,Distances[[#This Row],[Colonne263]]+1)</f>
        <v>80</v>
      </c>
      <c r="JW21" s="17">
        <f>IF(Distances[[#This Row],[Colonne264]]=$G21,JV21,Distances[[#This Row],[Colonne264]]+1)</f>
        <v>80</v>
      </c>
      <c r="JX21" s="17">
        <f>IF(Distances[[#This Row],[Colonne265]]=$G21,JW21,Distances[[#This Row],[Colonne265]]+1)</f>
        <v>80</v>
      </c>
      <c r="JY21" s="17">
        <f>IF(Distances[[#This Row],[Colonne266]]=$G21,JX21,Distances[[#This Row],[Colonne266]]+1)</f>
        <v>80</v>
      </c>
      <c r="JZ21" s="17">
        <f>IF(Distances[[#This Row],[Colonne267]]=$G21,JY21,Distances[[#This Row],[Colonne267]]+1)</f>
        <v>80</v>
      </c>
      <c r="KA21" s="17">
        <f>IF(Distances[[#This Row],[Colonne268]]=$G21,JZ21,Distances[[#This Row],[Colonne268]]+1)</f>
        <v>80</v>
      </c>
      <c r="KB21" s="17">
        <f>IF(Distances[[#This Row],[Colonne269]]=$G21,KA21,Distances[[#This Row],[Colonne269]]+1)</f>
        <v>80</v>
      </c>
      <c r="KC21" s="17">
        <f>IF(Distances[[#This Row],[Colonne270]]=$G21,KB21,Distances[[#This Row],[Colonne270]]+1)</f>
        <v>80</v>
      </c>
      <c r="KD21" s="17">
        <f>IF(Distances[[#This Row],[Colonne271]]=$G21,KC21,Distances[[#This Row],[Colonne271]]+1)</f>
        <v>80</v>
      </c>
      <c r="KE21" s="17">
        <f>IF(Distances[[#This Row],[Colonne272]]=$G21,KD21,Distances[[#This Row],[Colonne272]]+1)</f>
        <v>80</v>
      </c>
      <c r="KF21" s="17">
        <f>IF(Distances[[#This Row],[Colonne273]]=$G21,KE21,Distances[[#This Row],[Colonne273]]+1)</f>
        <v>80</v>
      </c>
      <c r="KG21" s="17">
        <f>IF(Distances[[#This Row],[Colonne274]]=$G21,KF21,Distances[[#This Row],[Colonne274]]+1)</f>
        <v>80</v>
      </c>
      <c r="KH21" s="17">
        <f>IF(Distances[[#This Row],[Colonne275]]=$G21,KG21,Distances[[#This Row],[Colonne275]]+1)</f>
        <v>80</v>
      </c>
      <c r="KI21" s="17">
        <f>IF(Distances[[#This Row],[Colonne276]]=$G21,KH21,Distances[[#This Row],[Colonne276]]+1)</f>
        <v>80</v>
      </c>
      <c r="KJ21" s="17">
        <f>IF(Distances[[#This Row],[Colonne277]]=$G21,KI21,Distances[[#This Row],[Colonne277]]+1)</f>
        <v>80</v>
      </c>
      <c r="KK21" s="17">
        <f>IF(Distances[[#This Row],[Colonne278]]=$G21,KJ21,Distances[[#This Row],[Colonne278]]+1)</f>
        <v>80</v>
      </c>
      <c r="KL21" s="17">
        <f>IF(Distances[[#This Row],[Colonne279]]=$G21,KK21,Distances[[#This Row],[Colonne279]]+1)</f>
        <v>80</v>
      </c>
      <c r="KM21" s="17">
        <f>IF(Distances[[#This Row],[Colonne280]]=$G21,KL21,Distances[[#This Row],[Colonne280]]+1)</f>
        <v>80</v>
      </c>
      <c r="KN21" s="17">
        <f>IF(Distances[[#This Row],[Colonne281]]=$G21,KM21,Distances[[#This Row],[Colonne281]]+1)</f>
        <v>80</v>
      </c>
      <c r="KO21" s="17">
        <f>IF(Distances[[#This Row],[Colonne282]]=$G21,KN21,Distances[[#This Row],[Colonne282]]+1)</f>
        <v>80</v>
      </c>
      <c r="KP21" s="17">
        <f>IF(Distances[[#This Row],[Colonne283]]=$G21,KO21,Distances[[#This Row],[Colonne283]]+1)</f>
        <v>80</v>
      </c>
      <c r="KQ21" s="17">
        <f>IF(Distances[[#This Row],[Colonne284]]=$G21,KP21,Distances[[#This Row],[Colonne284]]+1)</f>
        <v>80</v>
      </c>
      <c r="KR21" s="17">
        <f>IF(Distances[[#This Row],[Colonne285]]=$G21,KQ21,Distances[[#This Row],[Colonne285]]+1)</f>
        <v>80</v>
      </c>
      <c r="KS21" s="17">
        <f>IF(Distances[[#This Row],[Colonne286]]=$G21,KR21,Distances[[#This Row],[Colonne286]]+1)</f>
        <v>80</v>
      </c>
      <c r="KT21" s="17">
        <f>IF(Distances[[#This Row],[Colonne287]]=$G21,KS21,Distances[[#This Row],[Colonne287]]+1)</f>
        <v>80</v>
      </c>
      <c r="KU21" s="17">
        <f>IF(Distances[[#This Row],[Colonne288]]=$G21,KT21,Distances[[#This Row],[Colonne288]]+1)</f>
        <v>80</v>
      </c>
      <c r="KV21" s="17">
        <f>IF(Distances[[#This Row],[Colonne289]]=$G21,KU21,Distances[[#This Row],[Colonne289]]+1)</f>
        <v>80</v>
      </c>
      <c r="KW21" s="17">
        <f>IF(Distances[[#This Row],[Colonne290]]=$G21,KV21,Distances[[#This Row],[Colonne290]]+1)</f>
        <v>80</v>
      </c>
      <c r="KX21" s="17">
        <f>IF(Distances[[#This Row],[Colonne291]]=$G21,KW21,Distances[[#This Row],[Colonne291]]+1)</f>
        <v>80</v>
      </c>
      <c r="KY21" s="17">
        <f>IF(Distances[[#This Row],[Colonne292]]=$G21,KX21,Distances[[#This Row],[Colonne292]]+1)</f>
        <v>80</v>
      </c>
      <c r="KZ21" s="17">
        <f>IF(Distances[[#This Row],[Colonne293]]=$G21,KY21,Distances[[#This Row],[Colonne293]]+1)</f>
        <v>80</v>
      </c>
      <c r="LA21" s="17">
        <f>IF(Distances[[#This Row],[Colonne294]]=$G21,KZ21,Distances[[#This Row],[Colonne294]]+1)</f>
        <v>80</v>
      </c>
      <c r="LB21" s="17">
        <f>IF(Distances[[#This Row],[Colonne295]]=$G21,LA21,Distances[[#This Row],[Colonne295]]+1)</f>
        <v>80</v>
      </c>
      <c r="LC21" s="17">
        <f>IF(Distances[[#This Row],[Colonne296]]=$G21,LB21,Distances[[#This Row],[Colonne296]]+1)</f>
        <v>80</v>
      </c>
      <c r="LD21" s="17">
        <f>IF(Distances[[#This Row],[Colonne297]]=$G21,LC21,Distances[[#This Row],[Colonne297]]+1)</f>
        <v>80</v>
      </c>
      <c r="LE21" s="17">
        <f>IF(Distances[[#This Row],[Colonne298]]=$G21,LD21,Distances[[#This Row],[Colonne298]]+1)</f>
        <v>80</v>
      </c>
      <c r="LF21" s="17">
        <f>IF(Distances[[#This Row],[Colonne299]]=$G21,LE21,Distances[[#This Row],[Colonne299]]+1)</f>
        <v>80</v>
      </c>
      <c r="LG21" s="17">
        <f>IF(Distances[[#This Row],[Colonne300]]=$G21,LF21,Distances[[#This Row],[Colonne300]]+1)</f>
        <v>80</v>
      </c>
      <c r="LH21" s="17">
        <f>IF(Distances[[#This Row],[Colonne301]]=$G21,LG21,Distances[[#This Row],[Colonne301]]+1)</f>
        <v>80</v>
      </c>
      <c r="LI21" s="17">
        <f>IF(Distances[[#This Row],[Colonne302]]=$G21,LH21,Distances[[#This Row],[Colonne302]]+1)</f>
        <v>80</v>
      </c>
      <c r="LJ21" s="17">
        <f>IF(Distances[[#This Row],[Colonne303]]=$G21,LI21,Distances[[#This Row],[Colonne303]]+1)</f>
        <v>80</v>
      </c>
      <c r="LK21" s="51"/>
      <c r="LL21" s="17">
        <f t="shared" ref="LL21:NW21" si="40">IF(LK21=$H21,LK21,LK21+1)</f>
        <v>1</v>
      </c>
      <c r="LM21" s="17">
        <f t="shared" si="40"/>
        <v>2</v>
      </c>
      <c r="LN21" s="17">
        <f t="shared" si="40"/>
        <v>3</v>
      </c>
      <c r="LO21" s="17">
        <f t="shared" si="40"/>
        <v>4</v>
      </c>
      <c r="LP21" s="17">
        <f t="shared" si="40"/>
        <v>5</v>
      </c>
      <c r="LQ21" s="17">
        <f t="shared" si="40"/>
        <v>6</v>
      </c>
      <c r="LR21" s="17">
        <f t="shared" si="40"/>
        <v>7</v>
      </c>
      <c r="LS21" s="17">
        <f t="shared" si="40"/>
        <v>8</v>
      </c>
      <c r="LT21" s="17">
        <f t="shared" si="40"/>
        <v>9</v>
      </c>
      <c r="LU21" s="17">
        <f t="shared" si="40"/>
        <v>10</v>
      </c>
      <c r="LV21" s="17">
        <f t="shared" si="40"/>
        <v>11</v>
      </c>
      <c r="LW21" s="17">
        <f t="shared" si="40"/>
        <v>12</v>
      </c>
      <c r="LX21" s="17">
        <f t="shared" si="40"/>
        <v>13</v>
      </c>
      <c r="LY21" s="17">
        <f t="shared" si="40"/>
        <v>14</v>
      </c>
      <c r="LZ21" s="17">
        <f t="shared" si="40"/>
        <v>15</v>
      </c>
      <c r="MA21" s="17">
        <f t="shared" si="40"/>
        <v>16</v>
      </c>
      <c r="MB21" s="17">
        <f t="shared" si="40"/>
        <v>17</v>
      </c>
      <c r="MC21" s="17">
        <f t="shared" si="40"/>
        <v>18</v>
      </c>
      <c r="MD21" s="17">
        <f t="shared" si="40"/>
        <v>19</v>
      </c>
      <c r="ME21" s="17">
        <f t="shared" si="40"/>
        <v>20</v>
      </c>
      <c r="MF21" s="17">
        <f t="shared" si="40"/>
        <v>21</v>
      </c>
      <c r="MG21" s="17">
        <f t="shared" si="40"/>
        <v>22</v>
      </c>
      <c r="MH21" s="17">
        <f t="shared" si="40"/>
        <v>23</v>
      </c>
      <c r="MI21" s="17">
        <f t="shared" si="40"/>
        <v>24</v>
      </c>
      <c r="MJ21" s="17">
        <f t="shared" si="40"/>
        <v>25</v>
      </c>
      <c r="MK21" s="17">
        <f t="shared" si="40"/>
        <v>26</v>
      </c>
      <c r="ML21" s="17">
        <f t="shared" si="40"/>
        <v>27</v>
      </c>
      <c r="MM21" s="17">
        <f t="shared" si="40"/>
        <v>28</v>
      </c>
      <c r="MN21" s="17">
        <f t="shared" si="40"/>
        <v>29</v>
      </c>
      <c r="MO21" s="17">
        <f t="shared" si="40"/>
        <v>30</v>
      </c>
      <c r="MP21" s="17">
        <f t="shared" si="40"/>
        <v>31</v>
      </c>
      <c r="MQ21" s="17">
        <f t="shared" si="40"/>
        <v>32</v>
      </c>
      <c r="MR21" s="17">
        <f t="shared" si="40"/>
        <v>33</v>
      </c>
      <c r="MS21" s="17">
        <f t="shared" si="40"/>
        <v>34</v>
      </c>
      <c r="MT21" s="17">
        <f t="shared" si="40"/>
        <v>35</v>
      </c>
      <c r="MU21" s="17">
        <f t="shared" si="40"/>
        <v>36</v>
      </c>
      <c r="MV21" s="17">
        <f t="shared" si="40"/>
        <v>37</v>
      </c>
      <c r="MW21" s="17">
        <f t="shared" si="40"/>
        <v>38</v>
      </c>
      <c r="MX21" s="17">
        <f t="shared" si="40"/>
        <v>39</v>
      </c>
      <c r="MY21" s="17">
        <f t="shared" si="40"/>
        <v>40</v>
      </c>
      <c r="MZ21" s="17">
        <f t="shared" si="40"/>
        <v>40</v>
      </c>
      <c r="NA21" s="17">
        <f t="shared" si="40"/>
        <v>40</v>
      </c>
      <c r="NB21" s="17">
        <f t="shared" si="40"/>
        <v>40</v>
      </c>
      <c r="NC21" s="17">
        <f t="shared" si="40"/>
        <v>40</v>
      </c>
      <c r="ND21" s="17">
        <f t="shared" si="40"/>
        <v>40</v>
      </c>
      <c r="NE21" s="17">
        <f t="shared" si="40"/>
        <v>40</v>
      </c>
      <c r="NF21" s="17">
        <f t="shared" si="40"/>
        <v>40</v>
      </c>
      <c r="NG21" s="17">
        <f t="shared" si="40"/>
        <v>40</v>
      </c>
      <c r="NH21" s="17">
        <f t="shared" si="40"/>
        <v>40</v>
      </c>
      <c r="NI21" s="17">
        <f t="shared" si="40"/>
        <v>40</v>
      </c>
      <c r="NJ21" s="17">
        <f t="shared" si="40"/>
        <v>40</v>
      </c>
      <c r="NK21" s="17">
        <f t="shared" si="40"/>
        <v>40</v>
      </c>
      <c r="NL21" s="17">
        <f t="shared" si="40"/>
        <v>40</v>
      </c>
      <c r="NM21" s="17">
        <f t="shared" si="40"/>
        <v>40</v>
      </c>
      <c r="NN21" s="17">
        <f t="shared" si="40"/>
        <v>40</v>
      </c>
      <c r="NO21" s="17">
        <f t="shared" si="40"/>
        <v>40</v>
      </c>
      <c r="NP21" s="17">
        <f t="shared" si="40"/>
        <v>40</v>
      </c>
      <c r="NQ21" s="17">
        <f t="shared" si="40"/>
        <v>40</v>
      </c>
      <c r="NR21" s="17">
        <f t="shared" si="40"/>
        <v>40</v>
      </c>
      <c r="NS21" s="17">
        <f t="shared" si="40"/>
        <v>40</v>
      </c>
      <c r="NT21" s="17">
        <f t="shared" si="40"/>
        <v>40</v>
      </c>
      <c r="NU21" s="17">
        <f t="shared" si="40"/>
        <v>40</v>
      </c>
      <c r="NV21" s="17">
        <f t="shared" si="40"/>
        <v>40</v>
      </c>
      <c r="NW21" s="17">
        <f t="shared" si="40"/>
        <v>40</v>
      </c>
      <c r="NX21" s="17">
        <f t="shared" ref="NX21:PG21" si="41">IF(NW21=$H21,NW21,NW21+1)</f>
        <v>40</v>
      </c>
      <c r="NY21" s="17">
        <f t="shared" si="41"/>
        <v>40</v>
      </c>
      <c r="NZ21" s="17">
        <f t="shared" si="41"/>
        <v>40</v>
      </c>
      <c r="OA21" s="17">
        <f t="shared" si="41"/>
        <v>40</v>
      </c>
      <c r="OB21" s="17">
        <f t="shared" si="41"/>
        <v>40</v>
      </c>
      <c r="OC21" s="17">
        <f t="shared" si="41"/>
        <v>40</v>
      </c>
      <c r="OD21" s="17">
        <f t="shared" si="41"/>
        <v>40</v>
      </c>
      <c r="OE21" s="17">
        <f t="shared" si="41"/>
        <v>40</v>
      </c>
      <c r="OF21" s="17">
        <f t="shared" si="41"/>
        <v>40</v>
      </c>
      <c r="OG21" s="17">
        <f t="shared" si="41"/>
        <v>40</v>
      </c>
      <c r="OH21" s="17">
        <f t="shared" si="41"/>
        <v>40</v>
      </c>
      <c r="OI21" s="17">
        <f t="shared" si="41"/>
        <v>40</v>
      </c>
      <c r="OJ21" s="17">
        <f t="shared" si="41"/>
        <v>40</v>
      </c>
      <c r="OK21" s="17">
        <f t="shared" si="41"/>
        <v>40</v>
      </c>
      <c r="OL21" s="17">
        <f t="shared" si="41"/>
        <v>40</v>
      </c>
      <c r="OM21" s="17">
        <f t="shared" si="41"/>
        <v>40</v>
      </c>
      <c r="ON21" s="17">
        <f t="shared" si="41"/>
        <v>40</v>
      </c>
      <c r="OO21" s="17">
        <f t="shared" si="41"/>
        <v>40</v>
      </c>
      <c r="OP21" s="17">
        <f t="shared" si="41"/>
        <v>40</v>
      </c>
      <c r="OQ21" s="17">
        <f t="shared" si="41"/>
        <v>40</v>
      </c>
      <c r="OR21" s="17">
        <f t="shared" si="41"/>
        <v>40</v>
      </c>
      <c r="OS21" s="17">
        <f t="shared" si="41"/>
        <v>40</v>
      </c>
      <c r="OT21" s="17">
        <f t="shared" si="41"/>
        <v>40</v>
      </c>
      <c r="OU21" s="17">
        <f t="shared" si="41"/>
        <v>40</v>
      </c>
      <c r="OV21" s="17">
        <f t="shared" si="41"/>
        <v>40</v>
      </c>
      <c r="OW21" s="17">
        <f t="shared" si="41"/>
        <v>40</v>
      </c>
      <c r="OX21" s="17">
        <f t="shared" si="41"/>
        <v>40</v>
      </c>
      <c r="OY21" s="17">
        <f t="shared" si="41"/>
        <v>40</v>
      </c>
      <c r="OZ21" s="17">
        <f t="shared" si="41"/>
        <v>40</v>
      </c>
      <c r="PA21" s="17">
        <f t="shared" si="41"/>
        <v>40</v>
      </c>
      <c r="PB21" s="17">
        <f t="shared" si="41"/>
        <v>40</v>
      </c>
      <c r="PC21" s="17">
        <f t="shared" si="41"/>
        <v>40</v>
      </c>
      <c r="PD21" s="17">
        <f t="shared" si="41"/>
        <v>40</v>
      </c>
      <c r="PE21" s="17">
        <f t="shared" si="41"/>
        <v>40</v>
      </c>
      <c r="PF21" s="17">
        <f t="shared" si="41"/>
        <v>40</v>
      </c>
      <c r="PG21" s="17">
        <f t="shared" si="41"/>
        <v>40</v>
      </c>
    </row>
    <row r="22" spans="1:423" x14ac:dyDescent="0.25">
      <c r="A22" s="8" t="s">
        <v>5507</v>
      </c>
      <c r="B22" s="9" t="s">
        <v>8504</v>
      </c>
      <c r="C22" s="9" t="str">
        <f t="shared" si="0"/>
        <v>BDames N3</v>
      </c>
      <c r="D22" s="1" t="str">
        <f t="shared" si="1"/>
        <v>Bande Dames N3</v>
      </c>
      <c r="E22" s="1" t="s">
        <v>8498</v>
      </c>
      <c r="F22" s="9" t="s">
        <v>5452</v>
      </c>
      <c r="G22" s="9">
        <v>30</v>
      </c>
      <c r="H22" s="9">
        <v>60</v>
      </c>
      <c r="I22" s="127">
        <v>2.8</v>
      </c>
      <c r="J22" s="30"/>
      <c r="K22" s="10"/>
      <c r="L22" s="8">
        <v>1.75</v>
      </c>
      <c r="M22" s="9"/>
      <c r="N22" s="10">
        <v>2.5790000000000002</v>
      </c>
      <c r="O22" s="269"/>
      <c r="P22" s="331"/>
      <c r="Q22" s="335"/>
      <c r="R22" s="128"/>
      <c r="S22" s="9"/>
      <c r="T22" s="10"/>
      <c r="U22" t="s">
        <v>5523</v>
      </c>
      <c r="V22" s="17">
        <v>0</v>
      </c>
      <c r="W22" s="17">
        <f>IF(Distances[[#This Row],[Colonne4]]=$G22,V22,Distances[[#This Row],[Colonne4]]+1)</f>
        <v>1</v>
      </c>
      <c r="X22" s="17">
        <f>IF(Distances[[#This Row],[Colonne5]]=$G22,W22,Distances[[#This Row],[Colonne5]]+1)</f>
        <v>2</v>
      </c>
      <c r="Y22" s="17">
        <f>IF(Distances[[#This Row],[Colonne6]]=$G22,X22,Distances[[#This Row],[Colonne6]]+1)</f>
        <v>3</v>
      </c>
      <c r="Z22" s="17">
        <f>IF(Distances[[#This Row],[Colonne7]]=$G22,Y22,Distances[[#This Row],[Colonne7]]+1)</f>
        <v>4</v>
      </c>
      <c r="AA22" s="17">
        <f>IF(Distances[[#This Row],[Colonne8]]=$G22,Z22,Distances[[#This Row],[Colonne8]]+1)</f>
        <v>5</v>
      </c>
      <c r="AB22" s="17">
        <f>IF(Distances[[#This Row],[Colonne9]]=$G22,AA22,Distances[[#This Row],[Colonne9]]+1)</f>
        <v>6</v>
      </c>
      <c r="AC22" s="17">
        <f>IF(Distances[[#This Row],[Colonne10]]=$G22,AB22,Distances[[#This Row],[Colonne10]]+1)</f>
        <v>7</v>
      </c>
      <c r="AD22" s="17">
        <f>IF(Distances[[#This Row],[Colonne11]]=$G22,AC22,Distances[[#This Row],[Colonne11]]+1)</f>
        <v>8</v>
      </c>
      <c r="AE22" s="17">
        <f>IF(Distances[[#This Row],[Colonne12]]=$G22,AD22,Distances[[#This Row],[Colonne12]]+1)</f>
        <v>9</v>
      </c>
      <c r="AF22" s="17">
        <f>IF(Distances[[#This Row],[Colonne13]]=$G22,AE22,Distances[[#This Row],[Colonne13]]+1)</f>
        <v>10</v>
      </c>
      <c r="AG22" s="17">
        <f>IF(Distances[[#This Row],[Colonne14]]=$G22,AF22,Distances[[#This Row],[Colonne14]]+1)</f>
        <v>11</v>
      </c>
      <c r="AH22" s="17">
        <f>IF(Distances[[#This Row],[Colonne15]]=$G22,AG22,Distances[[#This Row],[Colonne15]]+1)</f>
        <v>12</v>
      </c>
      <c r="AI22" s="17">
        <f>IF(Distances[[#This Row],[Colonne16]]=$G22,AH22,Distances[[#This Row],[Colonne16]]+1)</f>
        <v>13</v>
      </c>
      <c r="AJ22" s="17">
        <f>IF(Distances[[#This Row],[Colonne17]]=$G22,AI22,Distances[[#This Row],[Colonne17]]+1)</f>
        <v>14</v>
      </c>
      <c r="AK22" s="17">
        <f>IF(Distances[[#This Row],[Colonne18]]=$G22,AJ22,Distances[[#This Row],[Colonne18]]+1)</f>
        <v>15</v>
      </c>
      <c r="AL22" s="17">
        <f>IF(Distances[[#This Row],[Colonne19]]=$G22,AK22,Distances[[#This Row],[Colonne19]]+1)</f>
        <v>16</v>
      </c>
      <c r="AM22" s="17">
        <f>IF(Distances[[#This Row],[Colonne20]]=$G22,AL22,Distances[[#This Row],[Colonne20]]+1)</f>
        <v>17</v>
      </c>
      <c r="AN22" s="17">
        <f>IF(Distances[[#This Row],[Colonne21]]=$G22,AM22,Distances[[#This Row],[Colonne21]]+1)</f>
        <v>18</v>
      </c>
      <c r="AO22" s="17">
        <f>IF(Distances[[#This Row],[Colonne22]]=$G22,AN22,Distances[[#This Row],[Colonne22]]+1)</f>
        <v>19</v>
      </c>
      <c r="AP22" s="17">
        <f>IF(Distances[[#This Row],[Colonne23]]=$G22,AO22,Distances[[#This Row],[Colonne23]]+1)</f>
        <v>20</v>
      </c>
      <c r="AQ22" s="17">
        <f>IF(Distances[[#This Row],[Colonne24]]=$G22,AP22,Distances[[#This Row],[Colonne24]]+1)</f>
        <v>21</v>
      </c>
      <c r="AR22" s="17">
        <f>IF(Distances[[#This Row],[Colonne25]]=$G22,AQ22,Distances[[#This Row],[Colonne25]]+1)</f>
        <v>22</v>
      </c>
      <c r="AS22" s="17">
        <f>IF(Distances[[#This Row],[Colonne26]]=$G22,AR22,Distances[[#This Row],[Colonne26]]+1)</f>
        <v>23</v>
      </c>
      <c r="AT22" s="17">
        <f>IF(Distances[[#This Row],[Colonne27]]=$G22,AS22,Distances[[#This Row],[Colonne27]]+1)</f>
        <v>24</v>
      </c>
      <c r="AU22" s="17">
        <f>IF(Distances[[#This Row],[Colonne28]]=$G22,AT22,Distances[[#This Row],[Colonne28]]+1)</f>
        <v>25</v>
      </c>
      <c r="AV22" s="17">
        <f>IF(Distances[[#This Row],[Colonne29]]=$G22,AU22,Distances[[#This Row],[Colonne29]]+1)</f>
        <v>26</v>
      </c>
      <c r="AW22" s="17">
        <f>IF(Distances[[#This Row],[Colonne30]]=$G22,AV22,Distances[[#This Row],[Colonne30]]+1)</f>
        <v>27</v>
      </c>
      <c r="AX22" s="17">
        <f>IF(Distances[[#This Row],[Colonne31]]=$G22,AW22,Distances[[#This Row],[Colonne31]]+1)</f>
        <v>28</v>
      </c>
      <c r="AY22" s="17">
        <f>IF(Distances[[#This Row],[Colonne32]]=$G22,AX22,Distances[[#This Row],[Colonne32]]+1)</f>
        <v>29</v>
      </c>
      <c r="AZ22" s="17">
        <f>IF(Distances[[#This Row],[Colonne33]]=$G22,AY22,Distances[[#This Row],[Colonne33]]+1)</f>
        <v>30</v>
      </c>
      <c r="BA22" s="17">
        <f>IF(Distances[[#This Row],[Colonne34]]=$G22,AZ22,Distances[[#This Row],[Colonne34]]+1)</f>
        <v>30</v>
      </c>
      <c r="BB22" s="17">
        <f>IF(Distances[[#This Row],[Colonne35]]=$G22,BA22,Distances[[#This Row],[Colonne35]]+1)</f>
        <v>30</v>
      </c>
      <c r="BC22" s="17">
        <f>IF(Distances[[#This Row],[Colonne36]]=$G22,BB22,Distances[[#This Row],[Colonne36]]+1)</f>
        <v>30</v>
      </c>
      <c r="BD22" s="17">
        <f>IF(Distances[[#This Row],[Colonne37]]=$G22,BC22,Distances[[#This Row],[Colonne37]]+1)</f>
        <v>30</v>
      </c>
      <c r="BE22" s="17">
        <f>IF(Distances[[#This Row],[Colonne38]]=$G22,BD22,Distances[[#This Row],[Colonne38]]+1)</f>
        <v>30</v>
      </c>
      <c r="BF22" s="17">
        <f>IF(Distances[[#This Row],[Colonne39]]=$G22,BE22,Distances[[#This Row],[Colonne39]]+1)</f>
        <v>30</v>
      </c>
      <c r="BG22" s="17">
        <f>IF(Distances[[#This Row],[Colonne40]]=$G22,BF22,Distances[[#This Row],[Colonne40]]+1)</f>
        <v>30</v>
      </c>
      <c r="BH22" s="17">
        <f>IF(Distances[[#This Row],[Colonne41]]=$G22,BG22,Distances[[#This Row],[Colonne41]]+1)</f>
        <v>30</v>
      </c>
      <c r="BI22" s="17">
        <f>IF(Distances[[#This Row],[Colonne42]]=$G22,BH22,Distances[[#This Row],[Colonne42]]+1)</f>
        <v>30</v>
      </c>
      <c r="BJ22" s="17">
        <f>IF(Distances[[#This Row],[Colonne43]]=$G22,BI22,Distances[[#This Row],[Colonne43]]+1)</f>
        <v>30</v>
      </c>
      <c r="BK22" s="17">
        <f>IF(Distances[[#This Row],[Colonne44]]=$G22,BJ22,Distances[[#This Row],[Colonne44]]+1)</f>
        <v>30</v>
      </c>
      <c r="BL22" s="17">
        <f>IF(Distances[[#This Row],[Colonne45]]=$G22,BK22,Distances[[#This Row],[Colonne45]]+1)</f>
        <v>30</v>
      </c>
      <c r="BM22" s="17">
        <f>IF(Distances[[#This Row],[Colonne46]]=$G22,BL22,Distances[[#This Row],[Colonne46]]+1)</f>
        <v>30</v>
      </c>
      <c r="BN22" s="17">
        <f>IF(Distances[[#This Row],[Colonne47]]=$G22,BM22,Distances[[#This Row],[Colonne47]]+1)</f>
        <v>30</v>
      </c>
      <c r="BO22" s="17">
        <f>IF(Distances[[#This Row],[Colonne48]]=$G22,BN22,Distances[[#This Row],[Colonne48]]+1)</f>
        <v>30</v>
      </c>
      <c r="BP22" s="17">
        <f>IF(Distances[[#This Row],[Colonne49]]=$G22,BO22,Distances[[#This Row],[Colonne49]]+1)</f>
        <v>30</v>
      </c>
      <c r="BQ22" s="17">
        <f>IF(Distances[[#This Row],[Colonne50]]=$G22,BP22,Distances[[#This Row],[Colonne50]]+1)</f>
        <v>30</v>
      </c>
      <c r="BR22" s="17">
        <f>IF(Distances[[#This Row],[Colonne51]]=$G22,BQ22,Distances[[#This Row],[Colonne51]]+1)</f>
        <v>30</v>
      </c>
      <c r="BS22" s="17">
        <f>IF(Distances[[#This Row],[Colonne52]]=$G22,BR22,Distances[[#This Row],[Colonne52]]+1)</f>
        <v>30</v>
      </c>
      <c r="BT22" s="17">
        <f>IF(Distances[[#This Row],[Colonne53]]=$G22,BS22,Distances[[#This Row],[Colonne53]]+1)</f>
        <v>30</v>
      </c>
      <c r="BU22" s="17">
        <f>IF(Distances[[#This Row],[Colonne54]]=$G22,BT22,Distances[[#This Row],[Colonne54]]+1)</f>
        <v>30</v>
      </c>
      <c r="BV22" s="17">
        <f>IF(Distances[[#This Row],[Colonne55]]=$G22,BU22,Distances[[#This Row],[Colonne55]]+1)</f>
        <v>30</v>
      </c>
      <c r="BW22" s="17">
        <f>IF(Distances[[#This Row],[Colonne56]]=$G22,BV22,Distances[[#This Row],[Colonne56]]+1)</f>
        <v>30</v>
      </c>
      <c r="BX22" s="17">
        <f>IF(Distances[[#This Row],[Colonne57]]=$G22,BW22,Distances[[#This Row],[Colonne57]]+1)</f>
        <v>30</v>
      </c>
      <c r="BY22" s="17">
        <f>IF(Distances[[#This Row],[Colonne58]]=$G22,BX22,Distances[[#This Row],[Colonne58]]+1)</f>
        <v>30</v>
      </c>
      <c r="BZ22" s="17">
        <f>IF(Distances[[#This Row],[Colonne59]]=$G22,BY22,Distances[[#This Row],[Colonne59]]+1)</f>
        <v>30</v>
      </c>
      <c r="CA22" s="17">
        <f>IF(Distances[[#This Row],[Colonne60]]=$G22,BZ22,Distances[[#This Row],[Colonne60]]+1)</f>
        <v>30</v>
      </c>
      <c r="CB22" s="17">
        <f>IF(Distances[[#This Row],[Colonne61]]=$G22,CA22,Distances[[#This Row],[Colonne61]]+1)</f>
        <v>30</v>
      </c>
      <c r="CC22" s="17">
        <f>IF(Distances[[#This Row],[Colonne62]]=$G22,CB22,Distances[[#This Row],[Colonne62]]+1)</f>
        <v>30</v>
      </c>
      <c r="CD22" s="17">
        <f>IF(Distances[[#This Row],[Colonne63]]=$G22,CC22,Distances[[#This Row],[Colonne63]]+1)</f>
        <v>30</v>
      </c>
      <c r="CE22" s="17">
        <f>IF(Distances[[#This Row],[Colonne64]]=$G22,CD22,Distances[[#This Row],[Colonne64]]+1)</f>
        <v>30</v>
      </c>
      <c r="CF22" s="17">
        <f>IF(Distances[[#This Row],[Colonne65]]=$G22,CE22,Distances[[#This Row],[Colonne65]]+1)</f>
        <v>30</v>
      </c>
      <c r="CG22" s="17">
        <f>IF(Distances[[#This Row],[Colonne66]]=$G22,CF22,Distances[[#This Row],[Colonne66]]+1)</f>
        <v>30</v>
      </c>
      <c r="CH22" s="17">
        <f>IF(Distances[[#This Row],[Colonne67]]=$G22,CG22,Distances[[#This Row],[Colonne67]]+1)</f>
        <v>30</v>
      </c>
      <c r="CI22" s="17">
        <f>IF(Distances[[#This Row],[Colonne68]]=$G22,CH22,Distances[[#This Row],[Colonne68]]+1)</f>
        <v>30</v>
      </c>
      <c r="CJ22" s="17">
        <f>IF(Distances[[#This Row],[Colonne69]]=$G22,CI22,Distances[[#This Row],[Colonne69]]+1)</f>
        <v>30</v>
      </c>
      <c r="CK22" s="17">
        <f>IF(Distances[[#This Row],[Colonne70]]=$G22,CJ22,Distances[[#This Row],[Colonne70]]+1)</f>
        <v>30</v>
      </c>
      <c r="CL22" s="17">
        <f>IF(Distances[[#This Row],[Colonne71]]=$G22,CK22,Distances[[#This Row],[Colonne71]]+1)</f>
        <v>30</v>
      </c>
      <c r="CM22" s="17">
        <f>IF(Distances[[#This Row],[Colonne72]]=$G22,CL22,Distances[[#This Row],[Colonne72]]+1)</f>
        <v>30</v>
      </c>
      <c r="CN22" s="17">
        <f>IF(Distances[[#This Row],[Colonne73]]=$G22,CM22,Distances[[#This Row],[Colonne73]]+1)</f>
        <v>30</v>
      </c>
      <c r="CO22" s="17">
        <f>IF(Distances[[#This Row],[Colonne74]]=$G22,CN22,Distances[[#This Row],[Colonne74]]+1)</f>
        <v>30</v>
      </c>
      <c r="CP22" s="17">
        <f>IF(Distances[[#This Row],[Colonne75]]=$G22,CO22,Distances[[#This Row],[Colonne75]]+1)</f>
        <v>30</v>
      </c>
      <c r="CQ22" s="17">
        <f>IF(Distances[[#This Row],[Colonne76]]=$G22,CP22,Distances[[#This Row],[Colonne76]]+1)</f>
        <v>30</v>
      </c>
      <c r="CR22" s="17">
        <f>IF(Distances[[#This Row],[Colonne77]]=$G22,CQ22,Distances[[#This Row],[Colonne77]]+1)</f>
        <v>30</v>
      </c>
      <c r="CS22" s="17">
        <f>IF(Distances[[#This Row],[Colonne78]]=$G22,CR22,Distances[[#This Row],[Colonne78]]+1)</f>
        <v>30</v>
      </c>
      <c r="CT22" s="17">
        <f>IF(Distances[[#This Row],[Colonne79]]=$G22,CS22,Distances[[#This Row],[Colonne79]]+1)</f>
        <v>30</v>
      </c>
      <c r="CU22" s="17">
        <f>IF(Distances[[#This Row],[Colonne80]]=$G22,CT22,Distances[[#This Row],[Colonne80]]+1)</f>
        <v>30</v>
      </c>
      <c r="CV22" s="17">
        <f>IF(Distances[[#This Row],[Colonne81]]=$G22,CU22,Distances[[#This Row],[Colonne81]]+1)</f>
        <v>30</v>
      </c>
      <c r="CW22" s="17">
        <f>IF(Distances[[#This Row],[Colonne82]]=$G22,CV22,Distances[[#This Row],[Colonne82]]+1)</f>
        <v>30</v>
      </c>
      <c r="CX22" s="17">
        <f>IF(Distances[[#This Row],[Colonne83]]=$G22,CW22,Distances[[#This Row],[Colonne83]]+1)</f>
        <v>30</v>
      </c>
      <c r="CY22" s="17">
        <f>IF(Distances[[#This Row],[Colonne84]]=$G22,CX22,Distances[[#This Row],[Colonne84]]+1)</f>
        <v>30</v>
      </c>
      <c r="CZ22" s="17">
        <f>IF(Distances[[#This Row],[Colonne85]]=$G22,CY22,Distances[[#This Row],[Colonne85]]+1)</f>
        <v>30</v>
      </c>
      <c r="DA22" s="17">
        <f>IF(Distances[[#This Row],[Colonne86]]=$G22,CZ22,Distances[[#This Row],[Colonne86]]+1)</f>
        <v>30</v>
      </c>
      <c r="DB22" s="17">
        <f>IF(Distances[[#This Row],[Colonne87]]=$G22,DA22,Distances[[#This Row],[Colonne87]]+1)</f>
        <v>30</v>
      </c>
      <c r="DC22" s="17">
        <f>IF(Distances[[#This Row],[Colonne88]]=$G22,DB22,Distances[[#This Row],[Colonne88]]+1)</f>
        <v>30</v>
      </c>
      <c r="DD22" s="17">
        <f>IF(Distances[[#This Row],[Colonne89]]=$G22,DC22,Distances[[#This Row],[Colonne89]]+1)</f>
        <v>30</v>
      </c>
      <c r="DE22" s="17">
        <f>IF(Distances[[#This Row],[Colonne90]]=$G22,DD22,Distances[[#This Row],[Colonne90]]+1)</f>
        <v>30</v>
      </c>
      <c r="DF22" s="17">
        <f>IF(Distances[[#This Row],[Colonne91]]=$G22,DE22,Distances[[#This Row],[Colonne91]]+1)</f>
        <v>30</v>
      </c>
      <c r="DG22" s="17">
        <f>IF(Distances[[#This Row],[Colonne92]]=$G22,DF22,Distances[[#This Row],[Colonne92]]+1)</f>
        <v>30</v>
      </c>
      <c r="DH22" s="17">
        <f>IF(Distances[[#This Row],[Colonne93]]=$G22,DG22,Distances[[#This Row],[Colonne93]]+1)</f>
        <v>30</v>
      </c>
      <c r="DI22" s="17">
        <f>IF(Distances[[#This Row],[Colonne94]]=$G22,DH22,Distances[[#This Row],[Colonne94]]+1)</f>
        <v>30</v>
      </c>
      <c r="DJ22" s="17">
        <f>IF(Distances[[#This Row],[Colonne95]]=$G22,DI22,Distances[[#This Row],[Colonne95]]+1)</f>
        <v>30</v>
      </c>
      <c r="DK22" s="17">
        <f>IF(Distances[[#This Row],[Colonne96]]=$G22,DJ22,Distances[[#This Row],[Colonne96]]+1)</f>
        <v>30</v>
      </c>
      <c r="DL22" s="17">
        <f>IF(Distances[[#This Row],[Colonne97]]=$G22,DK22,Distances[[#This Row],[Colonne97]]+1)</f>
        <v>30</v>
      </c>
      <c r="DM22" s="17">
        <f>IF(Distances[[#This Row],[Colonne98]]=$G22,DL22,Distances[[#This Row],[Colonne98]]+1)</f>
        <v>30</v>
      </c>
      <c r="DN22" s="17">
        <f>IF(Distances[[#This Row],[Colonne99]]=$G22,DM22,Distances[[#This Row],[Colonne99]]+1)</f>
        <v>30</v>
      </c>
      <c r="DO22" s="17">
        <f>IF(Distances[[#This Row],[Colonne100]]=$G22,DN22,Distances[[#This Row],[Colonne100]]+1)</f>
        <v>30</v>
      </c>
      <c r="DP22" s="17">
        <f>IF(Distances[[#This Row],[Colonne101]]=$G22,DO22,Distances[[#This Row],[Colonne101]]+1)</f>
        <v>30</v>
      </c>
      <c r="DQ22" s="17">
        <f>IF(Distances[[#This Row],[Colonne102]]=$G22,DP22,Distances[[#This Row],[Colonne102]]+1)</f>
        <v>30</v>
      </c>
      <c r="DR22" s="17">
        <f>IF(Distances[[#This Row],[Colonne103]]=$G22,DQ22,Distances[[#This Row],[Colonne103]]+1)</f>
        <v>30</v>
      </c>
      <c r="DS22" s="17">
        <f>IF(Distances[[#This Row],[Colonne104]]=$G22,DR22,Distances[[#This Row],[Colonne104]]+1)</f>
        <v>30</v>
      </c>
      <c r="DT22" s="17">
        <f>IF(Distances[[#This Row],[Colonne105]]=$G22,DS22,Distances[[#This Row],[Colonne105]]+1)</f>
        <v>30</v>
      </c>
      <c r="DU22" s="17">
        <f>IF(Distances[[#This Row],[Colonne106]]=$G22,DT22,Distances[[#This Row],[Colonne106]]+1)</f>
        <v>30</v>
      </c>
      <c r="DV22" s="17">
        <f>IF(Distances[[#This Row],[Colonne107]]=$G22,DU22,Distances[[#This Row],[Colonne107]]+1)</f>
        <v>30</v>
      </c>
      <c r="DW22" s="17">
        <f>IF(Distances[[#This Row],[Colonne108]]=$G22,DV22,Distances[[#This Row],[Colonne108]]+1)</f>
        <v>30</v>
      </c>
      <c r="DX22" s="17">
        <f>IF(Distances[[#This Row],[Colonne109]]=$G22,DW22,Distances[[#This Row],[Colonne109]]+1)</f>
        <v>30</v>
      </c>
      <c r="DY22" s="17">
        <f>IF(Distances[[#This Row],[Colonne110]]=$G22,DX22,Distances[[#This Row],[Colonne110]]+1)</f>
        <v>30</v>
      </c>
      <c r="DZ22" s="17">
        <f>IF(Distances[[#This Row],[Colonne111]]=$G22,DY22,Distances[[#This Row],[Colonne111]]+1)</f>
        <v>30</v>
      </c>
      <c r="EA22" s="17">
        <f>IF(Distances[[#This Row],[Colonne112]]=$G22,DZ22,Distances[[#This Row],[Colonne112]]+1)</f>
        <v>30</v>
      </c>
      <c r="EB22" s="17">
        <f>IF(Distances[[#This Row],[Colonne113]]=$G22,EA22,Distances[[#This Row],[Colonne113]]+1)</f>
        <v>30</v>
      </c>
      <c r="EC22" s="17">
        <f>IF(Distances[[#This Row],[Colonne114]]=$G22,EB22,Distances[[#This Row],[Colonne114]]+1)</f>
        <v>30</v>
      </c>
      <c r="ED22" s="17">
        <f>IF(Distances[[#This Row],[Colonne115]]=$G22,EC22,Distances[[#This Row],[Colonne115]]+1)</f>
        <v>30</v>
      </c>
      <c r="EE22" s="17">
        <f>IF(Distances[[#This Row],[Colonne116]]=$G22,ED22,Distances[[#This Row],[Colonne116]]+1)</f>
        <v>30</v>
      </c>
      <c r="EF22" s="17">
        <f>IF(Distances[[#This Row],[Colonne117]]=$G22,EE22,Distances[[#This Row],[Colonne117]]+1)</f>
        <v>30</v>
      </c>
      <c r="EG22" s="17">
        <f>IF(Distances[[#This Row],[Colonne118]]=$G22,EF22,Distances[[#This Row],[Colonne118]]+1)</f>
        <v>30</v>
      </c>
      <c r="EH22" s="17">
        <f>IF(Distances[[#This Row],[Colonne119]]=$G22,EG22,Distances[[#This Row],[Colonne119]]+1)</f>
        <v>30</v>
      </c>
      <c r="EI22" s="17">
        <f>IF(Distances[[#This Row],[Colonne120]]=$G22,EH22,Distances[[#This Row],[Colonne120]]+1)</f>
        <v>30</v>
      </c>
      <c r="EJ22" s="17">
        <f>IF(Distances[[#This Row],[Colonne121]]=$G22,EI22,Distances[[#This Row],[Colonne121]]+1)</f>
        <v>30</v>
      </c>
      <c r="EK22" s="17">
        <f>IF(Distances[[#This Row],[Colonne122]]=$G22,EJ22,Distances[[#This Row],[Colonne122]]+1)</f>
        <v>30</v>
      </c>
      <c r="EL22" s="17">
        <f>IF(Distances[[#This Row],[Colonne123]]=$G22,EK22,Distances[[#This Row],[Colonne123]]+1)</f>
        <v>30</v>
      </c>
      <c r="EM22" s="17">
        <f>IF(Distances[[#This Row],[Colonne124]]=$G22,EL22,Distances[[#This Row],[Colonne124]]+1)</f>
        <v>30</v>
      </c>
      <c r="EN22" s="17">
        <f>IF(Distances[[#This Row],[Colonne125]]=$G22,EM22,Distances[[#This Row],[Colonne125]]+1)</f>
        <v>30</v>
      </c>
      <c r="EO22" s="17">
        <f>IF(Distances[[#This Row],[Colonne126]]=$G22,EN22,Distances[[#This Row],[Colonne126]]+1)</f>
        <v>30</v>
      </c>
      <c r="EP22" s="17">
        <f>IF(Distances[[#This Row],[Colonne127]]=$G22,EO22,Distances[[#This Row],[Colonne127]]+1)</f>
        <v>30</v>
      </c>
      <c r="EQ22" s="17">
        <f>IF(Distances[[#This Row],[Colonne128]]=$G22,EP22,Distances[[#This Row],[Colonne128]]+1)</f>
        <v>30</v>
      </c>
      <c r="ER22" s="17">
        <f>IF(Distances[[#This Row],[Colonne129]]=$G22,EQ22,Distances[[#This Row],[Colonne129]]+1)</f>
        <v>30</v>
      </c>
      <c r="ES22" s="17">
        <f>IF(Distances[[#This Row],[Colonne130]]=$G22,ER22,Distances[[#This Row],[Colonne130]]+1)</f>
        <v>30</v>
      </c>
      <c r="ET22" s="17">
        <f>IF(Distances[[#This Row],[Colonne131]]=$G22,ES22,Distances[[#This Row],[Colonne131]]+1)</f>
        <v>30</v>
      </c>
      <c r="EU22" s="17">
        <f>IF(Distances[[#This Row],[Colonne132]]=$G22,ET22,Distances[[#This Row],[Colonne132]]+1)</f>
        <v>30</v>
      </c>
      <c r="EV22" s="17">
        <f>IF(Distances[[#This Row],[Colonne133]]=$G22,EU22,Distances[[#This Row],[Colonne133]]+1)</f>
        <v>30</v>
      </c>
      <c r="EW22" s="17">
        <f>IF(Distances[[#This Row],[Colonne134]]=$G22,EV22,Distances[[#This Row],[Colonne134]]+1)</f>
        <v>30</v>
      </c>
      <c r="EX22" s="17">
        <f>IF(Distances[[#This Row],[Colonne135]]=$G22,EW22,Distances[[#This Row],[Colonne135]]+1)</f>
        <v>30</v>
      </c>
      <c r="EY22" s="17">
        <f>IF(Distances[[#This Row],[Colonne136]]=$G22,EX22,Distances[[#This Row],[Colonne136]]+1)</f>
        <v>30</v>
      </c>
      <c r="EZ22" s="17">
        <f>IF(Distances[[#This Row],[Colonne137]]=$G22,EY22,Distances[[#This Row],[Colonne137]]+1)</f>
        <v>30</v>
      </c>
      <c r="FA22" s="17">
        <f>IF(Distances[[#This Row],[Colonne138]]=$G22,EZ22,Distances[[#This Row],[Colonne138]]+1)</f>
        <v>30</v>
      </c>
      <c r="FB22" s="17">
        <f>IF(Distances[[#This Row],[Colonne139]]=$G22,FA22,Distances[[#This Row],[Colonne139]]+1)</f>
        <v>30</v>
      </c>
      <c r="FC22" s="17">
        <f>IF(Distances[[#This Row],[Colonne140]]=$G22,FB22,Distances[[#This Row],[Colonne140]]+1)</f>
        <v>30</v>
      </c>
      <c r="FD22" s="17">
        <f>IF(Distances[[#This Row],[Colonne141]]=$G22,FC22,Distances[[#This Row],[Colonne141]]+1)</f>
        <v>30</v>
      </c>
      <c r="FE22" s="17">
        <f>IF(Distances[[#This Row],[Colonne142]]=$G22,FD22,Distances[[#This Row],[Colonne142]]+1)</f>
        <v>30</v>
      </c>
      <c r="FF22" s="17">
        <f>IF(Distances[[#This Row],[Colonne143]]=$G22,FE22,Distances[[#This Row],[Colonne143]]+1)</f>
        <v>30</v>
      </c>
      <c r="FG22" s="17">
        <f>IF(Distances[[#This Row],[Colonne144]]=$G22,FF22,Distances[[#This Row],[Colonne144]]+1)</f>
        <v>30</v>
      </c>
      <c r="FH22" s="17">
        <f>IF(Distances[[#This Row],[Colonne145]]=$G22,FG22,Distances[[#This Row],[Colonne145]]+1)</f>
        <v>30</v>
      </c>
      <c r="FI22" s="17">
        <f>IF(Distances[[#This Row],[Colonne146]]=$G22,FH22,Distances[[#This Row],[Colonne146]]+1)</f>
        <v>30</v>
      </c>
      <c r="FJ22" s="17">
        <f>IF(Distances[[#This Row],[Colonne147]]=$G22,FI22,Distances[[#This Row],[Colonne147]]+1)</f>
        <v>30</v>
      </c>
      <c r="FK22" s="17">
        <f>IF(Distances[[#This Row],[Colonne148]]=$G22,FJ22,Distances[[#This Row],[Colonne148]]+1)</f>
        <v>30</v>
      </c>
      <c r="FL22" s="17">
        <f>IF(Distances[[#This Row],[Colonne149]]=$G22,FK22,Distances[[#This Row],[Colonne149]]+1)</f>
        <v>30</v>
      </c>
      <c r="FM22" s="17">
        <f>IF(Distances[[#This Row],[Colonne150]]=$G22,FL22,Distances[[#This Row],[Colonne150]]+1)</f>
        <v>30</v>
      </c>
      <c r="FN22" s="17">
        <f>IF(Distances[[#This Row],[Colonne151]]=$G22,FM22,Distances[[#This Row],[Colonne151]]+1)</f>
        <v>30</v>
      </c>
      <c r="FO22" s="17">
        <f>IF(Distances[[#This Row],[Colonne152]]=$G22,FN22,Distances[[#This Row],[Colonne152]]+1)</f>
        <v>30</v>
      </c>
      <c r="FP22" s="17">
        <f>IF(Distances[[#This Row],[Colonne153]]=$G22,FO22,Distances[[#This Row],[Colonne153]]+1)</f>
        <v>30</v>
      </c>
      <c r="FQ22" s="17">
        <f>IF(Distances[[#This Row],[Colonne154]]=$G22,FP22,Distances[[#This Row],[Colonne154]]+1)</f>
        <v>30</v>
      </c>
      <c r="FR22" s="17">
        <f>IF(Distances[[#This Row],[Colonne155]]=$G22,FQ22,Distances[[#This Row],[Colonne155]]+1)</f>
        <v>30</v>
      </c>
      <c r="FS22" s="17">
        <f>IF(Distances[[#This Row],[Colonne156]]=$G22,FR22,Distances[[#This Row],[Colonne156]]+1)</f>
        <v>30</v>
      </c>
      <c r="FT22" s="17">
        <f>IF(Distances[[#This Row],[Colonne157]]=$G22,FS22,Distances[[#This Row],[Colonne157]]+1)</f>
        <v>30</v>
      </c>
      <c r="FU22" s="17">
        <f>IF(Distances[[#This Row],[Colonne158]]=$G22,FT22,Distances[[#This Row],[Colonne158]]+1)</f>
        <v>30</v>
      </c>
      <c r="FV22" s="17">
        <f>IF(Distances[[#This Row],[Colonne159]]=$G22,FU22,Distances[[#This Row],[Colonne159]]+1)</f>
        <v>30</v>
      </c>
      <c r="FW22" s="17">
        <f>IF(Distances[[#This Row],[Colonne160]]=$G22,FV22,Distances[[#This Row],[Colonne160]]+1)</f>
        <v>30</v>
      </c>
      <c r="FX22" s="17">
        <f>IF(Distances[[#This Row],[Colonne161]]=$G22,FW22,Distances[[#This Row],[Colonne161]]+1)</f>
        <v>30</v>
      </c>
      <c r="FY22" s="17">
        <f>IF(Distances[[#This Row],[Colonne162]]=$G22,FX22,Distances[[#This Row],[Colonne162]]+1)</f>
        <v>30</v>
      </c>
      <c r="FZ22" s="17">
        <f>IF(Distances[[#This Row],[Colonne163]]=$G22,FY22,Distances[[#This Row],[Colonne163]]+1)</f>
        <v>30</v>
      </c>
      <c r="GA22" s="17">
        <f>IF(Distances[[#This Row],[Colonne164]]=$G22,FZ22,Distances[[#This Row],[Colonne164]]+1)</f>
        <v>30</v>
      </c>
      <c r="GB22" s="17">
        <f>IF(Distances[[#This Row],[Colonne165]]=$G22,GA22,Distances[[#This Row],[Colonne165]]+1)</f>
        <v>30</v>
      </c>
      <c r="GC22" s="17">
        <f>IF(Distances[[#This Row],[Colonne166]]=$G22,GB22,Distances[[#This Row],[Colonne166]]+1)</f>
        <v>30</v>
      </c>
      <c r="GD22" s="17">
        <f>IF(Distances[[#This Row],[Colonne167]]=$G22,GC22,Distances[[#This Row],[Colonne167]]+1)</f>
        <v>30</v>
      </c>
      <c r="GE22" s="17">
        <f>IF(Distances[[#This Row],[Colonne168]]=$G22,GD22,Distances[[#This Row],[Colonne168]]+1)</f>
        <v>30</v>
      </c>
      <c r="GF22" s="17">
        <f>IF(Distances[[#This Row],[Colonne169]]=$G22,GE22,Distances[[#This Row],[Colonne169]]+1)</f>
        <v>30</v>
      </c>
      <c r="GG22" s="17">
        <f>IF(Distances[[#This Row],[Colonne170]]=$G22,GF22,Distances[[#This Row],[Colonne170]]+1)</f>
        <v>30</v>
      </c>
      <c r="GH22" s="17">
        <f>IF(Distances[[#This Row],[Colonne171]]=$G22,GG22,Distances[[#This Row],[Colonne171]]+1)</f>
        <v>30</v>
      </c>
      <c r="GI22" s="17">
        <f>IF(Distances[[#This Row],[Colonne172]]=$G22,GH22,Distances[[#This Row],[Colonne172]]+1)</f>
        <v>30</v>
      </c>
      <c r="GJ22" s="17">
        <f>IF(Distances[[#This Row],[Colonne173]]=$G22,GI22,Distances[[#This Row],[Colonne173]]+1)</f>
        <v>30</v>
      </c>
      <c r="GK22" s="17">
        <f>IF(Distances[[#This Row],[Colonne174]]=$G22,GJ22,Distances[[#This Row],[Colonne174]]+1)</f>
        <v>30</v>
      </c>
      <c r="GL22" s="17">
        <f>IF(Distances[[#This Row],[Colonne175]]=$G22,GK22,Distances[[#This Row],[Colonne175]]+1)</f>
        <v>30</v>
      </c>
      <c r="GM22" s="17">
        <f>IF(Distances[[#This Row],[Colonne176]]=$G22,GL22,Distances[[#This Row],[Colonne176]]+1)</f>
        <v>30</v>
      </c>
      <c r="GN22" s="17">
        <f>IF(Distances[[#This Row],[Colonne177]]=$G22,GM22,Distances[[#This Row],[Colonne177]]+1)</f>
        <v>30</v>
      </c>
      <c r="GO22" s="17">
        <f>IF(Distances[[#This Row],[Colonne178]]=$G22,GN22,Distances[[#This Row],[Colonne178]]+1)</f>
        <v>30</v>
      </c>
      <c r="GP22" s="17">
        <f>IF(Distances[[#This Row],[Colonne179]]=$G22,GO22,Distances[[#This Row],[Colonne179]]+1)</f>
        <v>30</v>
      </c>
      <c r="GQ22" s="17">
        <f>IF(Distances[[#This Row],[Colonne180]]=$G22,GP22,Distances[[#This Row],[Colonne180]]+1)</f>
        <v>30</v>
      </c>
      <c r="GR22" s="17">
        <f>IF(Distances[[#This Row],[Colonne181]]=$G22,GQ22,Distances[[#This Row],[Colonne181]]+1)</f>
        <v>30</v>
      </c>
      <c r="GS22" s="17">
        <f>IF(Distances[[#This Row],[Colonne182]]=$G22,GR22,Distances[[#This Row],[Colonne182]]+1)</f>
        <v>30</v>
      </c>
      <c r="GT22" s="17">
        <f>IF(Distances[[#This Row],[Colonne183]]=$G22,GS22,Distances[[#This Row],[Colonne183]]+1)</f>
        <v>30</v>
      </c>
      <c r="GU22" s="17">
        <f>IF(Distances[[#This Row],[Colonne184]]=$G22,GT22,Distances[[#This Row],[Colonne184]]+1)</f>
        <v>30</v>
      </c>
      <c r="GV22" s="17">
        <f>IF(Distances[[#This Row],[Colonne185]]=$G22,GU22,Distances[[#This Row],[Colonne185]]+1)</f>
        <v>30</v>
      </c>
      <c r="GW22" s="17">
        <f>IF(Distances[[#This Row],[Colonne186]]=$G22,GV22,Distances[[#This Row],[Colonne186]]+1)</f>
        <v>30</v>
      </c>
      <c r="GX22" s="17">
        <f>IF(Distances[[#This Row],[Colonne187]]=$G22,GW22,Distances[[#This Row],[Colonne187]]+1)</f>
        <v>30</v>
      </c>
      <c r="GY22" s="17">
        <f>IF(Distances[[#This Row],[Colonne188]]=$G22,GX22,Distances[[#This Row],[Colonne188]]+1)</f>
        <v>30</v>
      </c>
      <c r="GZ22" s="17">
        <f>IF(Distances[[#This Row],[Colonne189]]=$G22,GY22,Distances[[#This Row],[Colonne189]]+1)</f>
        <v>30</v>
      </c>
      <c r="HA22" s="17">
        <f>IF(Distances[[#This Row],[Colonne190]]=$G22,GZ22,Distances[[#This Row],[Colonne190]]+1)</f>
        <v>30</v>
      </c>
      <c r="HB22" s="17">
        <f>IF(Distances[[#This Row],[Colonne191]]=$G22,HA22,Distances[[#This Row],[Colonne191]]+1)</f>
        <v>30</v>
      </c>
      <c r="HC22" s="17">
        <f>IF(Distances[[#This Row],[Colonne192]]=$G22,HB22,Distances[[#This Row],[Colonne192]]+1)</f>
        <v>30</v>
      </c>
      <c r="HD22" s="17">
        <f>IF(Distances[[#This Row],[Colonne193]]=$G22,HC22,Distances[[#This Row],[Colonne193]]+1)</f>
        <v>30</v>
      </c>
      <c r="HE22" s="17">
        <f>IF(Distances[[#This Row],[Colonne194]]=$G22,HD22,Distances[[#This Row],[Colonne194]]+1)</f>
        <v>30</v>
      </c>
      <c r="HF22" s="17">
        <f>IF(Distances[[#This Row],[Colonne195]]=$G22,HE22,Distances[[#This Row],[Colonne195]]+1)</f>
        <v>30</v>
      </c>
      <c r="HG22" s="17">
        <f>IF(Distances[[#This Row],[Colonne196]]=$G22,HF22,Distances[[#This Row],[Colonne196]]+1)</f>
        <v>30</v>
      </c>
      <c r="HH22" s="17">
        <f>IF(Distances[[#This Row],[Colonne197]]=$G22,HG22,Distances[[#This Row],[Colonne197]]+1)</f>
        <v>30</v>
      </c>
      <c r="HI22" s="17">
        <f>IF(Distances[[#This Row],[Colonne198]]=$G22,HH22,Distances[[#This Row],[Colonne198]]+1)</f>
        <v>30</v>
      </c>
      <c r="HJ22" s="17">
        <f>IF(Distances[[#This Row],[Colonne199]]=$G22,HI22,Distances[[#This Row],[Colonne199]]+1)</f>
        <v>30</v>
      </c>
      <c r="HK22" s="17">
        <f>IF(Distances[[#This Row],[Colonne200]]=$G22,HJ22,Distances[[#This Row],[Colonne200]]+1)</f>
        <v>30</v>
      </c>
      <c r="HL22" s="17">
        <f>IF(Distances[[#This Row],[Colonne201]]=$G22,HK22,Distances[[#This Row],[Colonne201]]+1)</f>
        <v>30</v>
      </c>
      <c r="HM22" s="17">
        <f>IF(Distances[[#This Row],[Colonne202]]=$G22,HL22,Distances[[#This Row],[Colonne202]]+1)</f>
        <v>30</v>
      </c>
      <c r="HN22" s="17">
        <f>IF(Distances[[#This Row],[Colonne203]]=$G22,HM22,Distances[[#This Row],[Colonne203]]+1)</f>
        <v>30</v>
      </c>
      <c r="HO22" s="17">
        <f>IF(Distances[[#This Row],[Colonne204]]=$G22,HN22,Distances[[#This Row],[Colonne204]]+1)</f>
        <v>30</v>
      </c>
      <c r="HP22" s="17">
        <f>IF(Distances[[#This Row],[Colonne205]]=$G22,HO22,Distances[[#This Row],[Colonne205]]+1)</f>
        <v>30</v>
      </c>
      <c r="HQ22" s="17">
        <f>IF(Distances[[#This Row],[Colonne206]]=$G22,HP22,Distances[[#This Row],[Colonne206]]+1)</f>
        <v>30</v>
      </c>
      <c r="HR22" s="17">
        <f>IF(Distances[[#This Row],[Colonne207]]=$G22,HQ22,Distances[[#This Row],[Colonne207]]+1)</f>
        <v>30</v>
      </c>
      <c r="HS22" s="17">
        <f>IF(Distances[[#This Row],[Colonne208]]=$G22,HR22,Distances[[#This Row],[Colonne208]]+1)</f>
        <v>30</v>
      </c>
      <c r="HT22" s="17">
        <f>IF(Distances[[#This Row],[Colonne209]]=$G22,HS22,Distances[[#This Row],[Colonne209]]+1)</f>
        <v>30</v>
      </c>
      <c r="HU22" s="17">
        <f>IF(Distances[[#This Row],[Colonne210]]=$G22,HT22,Distances[[#This Row],[Colonne210]]+1)</f>
        <v>30</v>
      </c>
      <c r="HV22" s="17">
        <f>IF(Distances[[#This Row],[Colonne211]]=$G22,HU22,Distances[[#This Row],[Colonne211]]+1)</f>
        <v>30</v>
      </c>
      <c r="HW22" s="17">
        <f>IF(Distances[[#This Row],[Colonne212]]=$G22,HV22,Distances[[#This Row],[Colonne212]]+1)</f>
        <v>30</v>
      </c>
      <c r="HX22" s="17">
        <f>IF(Distances[[#This Row],[Colonne213]]=$G22,HW22,Distances[[#This Row],[Colonne213]]+1)</f>
        <v>30</v>
      </c>
      <c r="HY22" s="17">
        <f>IF(Distances[[#This Row],[Colonne214]]=$G22,HX22,Distances[[#This Row],[Colonne214]]+1)</f>
        <v>30</v>
      </c>
      <c r="HZ22" s="17">
        <f>IF(Distances[[#This Row],[Colonne215]]=$G22,HY22,Distances[[#This Row],[Colonne215]]+1)</f>
        <v>30</v>
      </c>
      <c r="IA22" s="17">
        <f>IF(Distances[[#This Row],[Colonne216]]=$G22,HZ22,Distances[[#This Row],[Colonne216]]+1)</f>
        <v>30</v>
      </c>
      <c r="IB22" s="17">
        <f>IF(Distances[[#This Row],[Colonne217]]=$G22,IA22,Distances[[#This Row],[Colonne217]]+1)</f>
        <v>30</v>
      </c>
      <c r="IC22" s="17">
        <f>IF(Distances[[#This Row],[Colonne218]]=$G22,IB22,Distances[[#This Row],[Colonne218]]+1)</f>
        <v>30</v>
      </c>
      <c r="ID22" s="17">
        <f>IF(Distances[[#This Row],[Colonne219]]=$G22,IC22,Distances[[#This Row],[Colonne219]]+1)</f>
        <v>30</v>
      </c>
      <c r="IE22" s="17">
        <f>IF(Distances[[#This Row],[Colonne220]]=$G22,ID22,Distances[[#This Row],[Colonne220]]+1)</f>
        <v>30</v>
      </c>
      <c r="IF22" s="17">
        <f>IF(Distances[[#This Row],[Colonne221]]=$G22,IE22,Distances[[#This Row],[Colonne221]]+1)</f>
        <v>30</v>
      </c>
      <c r="IG22" s="17">
        <f>IF(Distances[[#This Row],[Colonne222]]=$G22,IF22,Distances[[#This Row],[Colonne222]]+1)</f>
        <v>30</v>
      </c>
      <c r="IH22" s="17">
        <f>IF(Distances[[#This Row],[Colonne223]]=$G22,IG22,Distances[[#This Row],[Colonne223]]+1)</f>
        <v>30</v>
      </c>
      <c r="II22" s="17">
        <f>IF(Distances[[#This Row],[Colonne224]]=$G22,IH22,Distances[[#This Row],[Colonne224]]+1)</f>
        <v>30</v>
      </c>
      <c r="IJ22" s="17">
        <f>IF(Distances[[#This Row],[Colonne225]]=$G22,II22,Distances[[#This Row],[Colonne225]]+1)</f>
        <v>30</v>
      </c>
      <c r="IK22" s="17">
        <f>IF(Distances[[#This Row],[Colonne226]]=$G22,IJ22,Distances[[#This Row],[Colonne226]]+1)</f>
        <v>30</v>
      </c>
      <c r="IL22" s="17">
        <f>IF(Distances[[#This Row],[Colonne227]]=$G22,IK22,Distances[[#This Row],[Colonne227]]+1)</f>
        <v>30</v>
      </c>
      <c r="IM22" s="17">
        <f>IF(Distances[[#This Row],[Colonne228]]=$G22,IL22,Distances[[#This Row],[Colonne228]]+1)</f>
        <v>30</v>
      </c>
      <c r="IN22" s="17">
        <f>IF(Distances[[#This Row],[Colonne229]]=$G22,IM22,Distances[[#This Row],[Colonne229]]+1)</f>
        <v>30</v>
      </c>
      <c r="IO22" s="17">
        <f>IF(Distances[[#This Row],[Colonne230]]=$G22,IN22,Distances[[#This Row],[Colonne230]]+1)</f>
        <v>30</v>
      </c>
      <c r="IP22" s="17">
        <f>IF(Distances[[#This Row],[Colonne231]]=$G22,IO22,Distances[[#This Row],[Colonne231]]+1)</f>
        <v>30</v>
      </c>
      <c r="IQ22" s="17">
        <f>IF(Distances[[#This Row],[Colonne232]]=$G22,IP22,Distances[[#This Row],[Colonne232]]+1)</f>
        <v>30</v>
      </c>
      <c r="IR22" s="17">
        <f>IF(Distances[[#This Row],[Colonne233]]=$G22,IQ22,Distances[[#This Row],[Colonne233]]+1)</f>
        <v>30</v>
      </c>
      <c r="IS22" s="17">
        <f>IF(Distances[[#This Row],[Colonne234]]=$G22,IR22,Distances[[#This Row],[Colonne234]]+1)</f>
        <v>30</v>
      </c>
      <c r="IT22" s="17">
        <f>IF(Distances[[#This Row],[Colonne235]]=$G22,IS22,Distances[[#This Row],[Colonne235]]+1)</f>
        <v>30</v>
      </c>
      <c r="IU22" s="17">
        <f>IF(Distances[[#This Row],[Colonne236]]=$G22,IT22,Distances[[#This Row],[Colonne236]]+1)</f>
        <v>30</v>
      </c>
      <c r="IV22" s="17">
        <f>IF(Distances[[#This Row],[Colonne237]]=$G22,IU22,Distances[[#This Row],[Colonne237]]+1)</f>
        <v>30</v>
      </c>
      <c r="IW22" s="17">
        <f>IF(Distances[[#This Row],[Colonne238]]=$G22,IV22,Distances[[#This Row],[Colonne238]]+1)</f>
        <v>30</v>
      </c>
      <c r="IX22" s="17">
        <f>IF(Distances[[#This Row],[Colonne239]]=$G22,IW22,Distances[[#This Row],[Colonne239]]+1)</f>
        <v>30</v>
      </c>
      <c r="IY22" s="17">
        <f>IF(Distances[[#This Row],[Colonne240]]=$G22,IX22,Distances[[#This Row],[Colonne240]]+1)</f>
        <v>30</v>
      </c>
      <c r="IZ22" s="17">
        <f>IF(Distances[[#This Row],[Colonne241]]=$G22,IY22,Distances[[#This Row],[Colonne241]]+1)</f>
        <v>30</v>
      </c>
      <c r="JA22" s="17">
        <f>IF(Distances[[#This Row],[Colonne242]]=$G22,IZ22,Distances[[#This Row],[Colonne242]]+1)</f>
        <v>30</v>
      </c>
      <c r="JB22" s="17">
        <f>IF(Distances[[#This Row],[Colonne243]]=$G22,JA22,Distances[[#This Row],[Colonne243]]+1)</f>
        <v>30</v>
      </c>
      <c r="JC22" s="17">
        <f>IF(Distances[[#This Row],[Colonne244]]=$G22,JB22,Distances[[#This Row],[Colonne244]]+1)</f>
        <v>30</v>
      </c>
      <c r="JD22" s="17">
        <f>IF(Distances[[#This Row],[Colonne245]]=$G22,JC22,Distances[[#This Row],[Colonne245]]+1)</f>
        <v>30</v>
      </c>
      <c r="JE22" s="17">
        <f>IF(Distances[[#This Row],[Colonne246]]=$G22,JD22,Distances[[#This Row],[Colonne246]]+1)</f>
        <v>30</v>
      </c>
      <c r="JF22" s="17">
        <f>IF(Distances[[#This Row],[Colonne247]]=$G22,JE22,Distances[[#This Row],[Colonne247]]+1)</f>
        <v>30</v>
      </c>
      <c r="JG22" s="17">
        <f>IF(Distances[[#This Row],[Colonne248]]=$G22,JF22,Distances[[#This Row],[Colonne248]]+1)</f>
        <v>30</v>
      </c>
      <c r="JH22" s="17">
        <f>IF(Distances[[#This Row],[Colonne249]]=$G22,JG22,Distances[[#This Row],[Colonne249]]+1)</f>
        <v>30</v>
      </c>
      <c r="JI22" s="17">
        <f>IF(Distances[[#This Row],[Colonne250]]=$G22,JH22,Distances[[#This Row],[Colonne250]]+1)</f>
        <v>30</v>
      </c>
      <c r="JJ22" s="17">
        <f>IF(Distances[[#This Row],[Colonne251]]=$G22,JI22,Distances[[#This Row],[Colonne251]]+1)</f>
        <v>30</v>
      </c>
      <c r="JK22" s="17">
        <f>IF(Distances[[#This Row],[Colonne252]]=$G22,JJ22,Distances[[#This Row],[Colonne252]]+1)</f>
        <v>30</v>
      </c>
      <c r="JL22" s="17">
        <f>IF(Distances[[#This Row],[Colonne253]]=$G22,JK22,Distances[[#This Row],[Colonne253]]+1)</f>
        <v>30</v>
      </c>
      <c r="JM22" s="17">
        <f>IF(Distances[[#This Row],[Colonne254]]=$G22,JL22,Distances[[#This Row],[Colonne254]]+1)</f>
        <v>30</v>
      </c>
      <c r="JN22" s="17">
        <f>IF(Distances[[#This Row],[Colonne255]]=$G22,JM22,Distances[[#This Row],[Colonne255]]+1)</f>
        <v>30</v>
      </c>
      <c r="JO22" s="17">
        <f>IF(Distances[[#This Row],[Colonne256]]=$G22,JN22,Distances[[#This Row],[Colonne256]]+1)</f>
        <v>30</v>
      </c>
      <c r="JP22" s="17">
        <f>IF(Distances[[#This Row],[Colonne257]]=$G22,JO22,Distances[[#This Row],[Colonne257]]+1)</f>
        <v>30</v>
      </c>
      <c r="JQ22" s="17">
        <f>IF(Distances[[#This Row],[Colonne258]]=$G22,JP22,Distances[[#This Row],[Colonne258]]+1)</f>
        <v>30</v>
      </c>
      <c r="JR22" s="17">
        <f>IF(Distances[[#This Row],[Colonne259]]=$G22,JQ22,Distances[[#This Row],[Colonne259]]+1)</f>
        <v>30</v>
      </c>
      <c r="JS22" s="17">
        <f>IF(Distances[[#This Row],[Colonne260]]=$G22,JR22,Distances[[#This Row],[Colonne260]]+1)</f>
        <v>30</v>
      </c>
      <c r="JT22" s="17">
        <f>IF(Distances[[#This Row],[Colonne261]]=$G22,JS22,Distances[[#This Row],[Colonne261]]+1)</f>
        <v>30</v>
      </c>
      <c r="JU22" s="17">
        <f>IF(Distances[[#This Row],[Colonne262]]=$G22,JT22,Distances[[#This Row],[Colonne262]]+1)</f>
        <v>30</v>
      </c>
      <c r="JV22" s="17">
        <f>IF(Distances[[#This Row],[Colonne263]]=$G22,JU22,Distances[[#This Row],[Colonne263]]+1)</f>
        <v>30</v>
      </c>
      <c r="JW22" s="17">
        <f>IF(Distances[[#This Row],[Colonne264]]=$G22,JV22,Distances[[#This Row],[Colonne264]]+1)</f>
        <v>30</v>
      </c>
      <c r="JX22" s="17">
        <f>IF(Distances[[#This Row],[Colonne265]]=$G22,JW22,Distances[[#This Row],[Colonne265]]+1)</f>
        <v>30</v>
      </c>
      <c r="JY22" s="17">
        <f>IF(Distances[[#This Row],[Colonne266]]=$G22,JX22,Distances[[#This Row],[Colonne266]]+1)</f>
        <v>30</v>
      </c>
      <c r="JZ22" s="17">
        <f>IF(Distances[[#This Row],[Colonne267]]=$G22,JY22,Distances[[#This Row],[Colonne267]]+1)</f>
        <v>30</v>
      </c>
      <c r="KA22" s="17">
        <f>IF(Distances[[#This Row],[Colonne268]]=$G22,JZ22,Distances[[#This Row],[Colonne268]]+1)</f>
        <v>30</v>
      </c>
      <c r="KB22" s="17">
        <f>IF(Distances[[#This Row],[Colonne269]]=$G22,KA22,Distances[[#This Row],[Colonne269]]+1)</f>
        <v>30</v>
      </c>
      <c r="KC22" s="17">
        <f>IF(Distances[[#This Row],[Colonne270]]=$G22,KB22,Distances[[#This Row],[Colonne270]]+1)</f>
        <v>30</v>
      </c>
      <c r="KD22" s="17">
        <f>IF(Distances[[#This Row],[Colonne271]]=$G22,KC22,Distances[[#This Row],[Colonne271]]+1)</f>
        <v>30</v>
      </c>
      <c r="KE22" s="17">
        <f>IF(Distances[[#This Row],[Colonne272]]=$G22,KD22,Distances[[#This Row],[Colonne272]]+1)</f>
        <v>30</v>
      </c>
      <c r="KF22" s="17">
        <f>IF(Distances[[#This Row],[Colonne273]]=$G22,KE22,Distances[[#This Row],[Colonne273]]+1)</f>
        <v>30</v>
      </c>
      <c r="KG22" s="17">
        <f>IF(Distances[[#This Row],[Colonne274]]=$G22,KF22,Distances[[#This Row],[Colonne274]]+1)</f>
        <v>30</v>
      </c>
      <c r="KH22" s="17">
        <f>IF(Distances[[#This Row],[Colonne275]]=$G22,KG22,Distances[[#This Row],[Colonne275]]+1)</f>
        <v>30</v>
      </c>
      <c r="KI22" s="17">
        <f>IF(Distances[[#This Row],[Colonne276]]=$G22,KH22,Distances[[#This Row],[Colonne276]]+1)</f>
        <v>30</v>
      </c>
      <c r="KJ22" s="17">
        <f>IF(Distances[[#This Row],[Colonne277]]=$G22,KI22,Distances[[#This Row],[Colonne277]]+1)</f>
        <v>30</v>
      </c>
      <c r="KK22" s="17">
        <f>IF(Distances[[#This Row],[Colonne278]]=$G22,KJ22,Distances[[#This Row],[Colonne278]]+1)</f>
        <v>30</v>
      </c>
      <c r="KL22" s="17">
        <f>IF(Distances[[#This Row],[Colonne279]]=$G22,KK22,Distances[[#This Row],[Colonne279]]+1)</f>
        <v>30</v>
      </c>
      <c r="KM22" s="17">
        <f>IF(Distances[[#This Row],[Colonne280]]=$G22,KL22,Distances[[#This Row],[Colonne280]]+1)</f>
        <v>30</v>
      </c>
      <c r="KN22" s="17">
        <f>IF(Distances[[#This Row],[Colonne281]]=$G22,KM22,Distances[[#This Row],[Colonne281]]+1)</f>
        <v>30</v>
      </c>
      <c r="KO22" s="17">
        <f>IF(Distances[[#This Row],[Colonne282]]=$G22,KN22,Distances[[#This Row],[Colonne282]]+1)</f>
        <v>30</v>
      </c>
      <c r="KP22" s="17">
        <f>IF(Distances[[#This Row],[Colonne283]]=$G22,KO22,Distances[[#This Row],[Colonne283]]+1)</f>
        <v>30</v>
      </c>
      <c r="KQ22" s="17">
        <f>IF(Distances[[#This Row],[Colonne284]]=$G22,KP22,Distances[[#This Row],[Colonne284]]+1)</f>
        <v>30</v>
      </c>
      <c r="KR22" s="17">
        <f>IF(Distances[[#This Row],[Colonne285]]=$G22,KQ22,Distances[[#This Row],[Colonne285]]+1)</f>
        <v>30</v>
      </c>
      <c r="KS22" s="17">
        <f>IF(Distances[[#This Row],[Colonne286]]=$G22,KR22,Distances[[#This Row],[Colonne286]]+1)</f>
        <v>30</v>
      </c>
      <c r="KT22" s="17">
        <f>IF(Distances[[#This Row],[Colonne287]]=$G22,KS22,Distances[[#This Row],[Colonne287]]+1)</f>
        <v>30</v>
      </c>
      <c r="KU22" s="17">
        <f>IF(Distances[[#This Row],[Colonne288]]=$G22,KT22,Distances[[#This Row],[Colonne288]]+1)</f>
        <v>30</v>
      </c>
      <c r="KV22" s="17">
        <f>IF(Distances[[#This Row],[Colonne289]]=$G22,KU22,Distances[[#This Row],[Colonne289]]+1)</f>
        <v>30</v>
      </c>
      <c r="KW22" s="17">
        <f>IF(Distances[[#This Row],[Colonne290]]=$G22,KV22,Distances[[#This Row],[Colonne290]]+1)</f>
        <v>30</v>
      </c>
      <c r="KX22" s="17">
        <f>IF(Distances[[#This Row],[Colonne291]]=$G22,KW22,Distances[[#This Row],[Colonne291]]+1)</f>
        <v>30</v>
      </c>
      <c r="KY22" s="17">
        <f>IF(Distances[[#This Row],[Colonne292]]=$G22,KX22,Distances[[#This Row],[Colonne292]]+1)</f>
        <v>30</v>
      </c>
      <c r="KZ22" s="17">
        <f>IF(Distances[[#This Row],[Colonne293]]=$G22,KY22,Distances[[#This Row],[Colonne293]]+1)</f>
        <v>30</v>
      </c>
      <c r="LA22" s="17">
        <f>IF(Distances[[#This Row],[Colonne294]]=$G22,KZ22,Distances[[#This Row],[Colonne294]]+1)</f>
        <v>30</v>
      </c>
      <c r="LB22" s="17">
        <f>IF(Distances[[#This Row],[Colonne295]]=$G22,LA22,Distances[[#This Row],[Colonne295]]+1)</f>
        <v>30</v>
      </c>
      <c r="LC22" s="17">
        <f>IF(Distances[[#This Row],[Colonne296]]=$G22,LB22,Distances[[#This Row],[Colonne296]]+1)</f>
        <v>30</v>
      </c>
      <c r="LD22" s="17">
        <f>IF(Distances[[#This Row],[Colonne297]]=$G22,LC22,Distances[[#This Row],[Colonne297]]+1)</f>
        <v>30</v>
      </c>
      <c r="LE22" s="17">
        <f>IF(Distances[[#This Row],[Colonne298]]=$G22,LD22,Distances[[#This Row],[Colonne298]]+1)</f>
        <v>30</v>
      </c>
      <c r="LF22" s="17">
        <f>IF(Distances[[#This Row],[Colonne299]]=$G22,LE22,Distances[[#This Row],[Colonne299]]+1)</f>
        <v>30</v>
      </c>
      <c r="LG22" s="17">
        <f>IF(Distances[[#This Row],[Colonne300]]=$G22,LF22,Distances[[#This Row],[Colonne300]]+1)</f>
        <v>30</v>
      </c>
      <c r="LH22" s="17">
        <f>IF(Distances[[#This Row],[Colonne301]]=$G22,LG22,Distances[[#This Row],[Colonne301]]+1)</f>
        <v>30</v>
      </c>
      <c r="LI22" s="17">
        <f>IF(Distances[[#This Row],[Colonne302]]=$G22,LH22,Distances[[#This Row],[Colonne302]]+1)</f>
        <v>30</v>
      </c>
      <c r="LJ22" s="17">
        <f>IF(Distances[[#This Row],[Colonne303]]=$G22,LI22,Distances[[#This Row],[Colonne303]]+1)</f>
        <v>30</v>
      </c>
      <c r="LK22" s="51"/>
      <c r="LL22" s="17">
        <f t="shared" ref="LL22:NW22" si="42">IF(LK22=$H22,LK22,LK22+1)</f>
        <v>1</v>
      </c>
      <c r="LM22" s="17">
        <f t="shared" si="42"/>
        <v>2</v>
      </c>
      <c r="LN22" s="17">
        <f t="shared" si="42"/>
        <v>3</v>
      </c>
      <c r="LO22" s="17">
        <f t="shared" si="42"/>
        <v>4</v>
      </c>
      <c r="LP22" s="17">
        <f t="shared" si="42"/>
        <v>5</v>
      </c>
      <c r="LQ22" s="17">
        <f t="shared" si="42"/>
        <v>6</v>
      </c>
      <c r="LR22" s="17">
        <f t="shared" si="42"/>
        <v>7</v>
      </c>
      <c r="LS22" s="17">
        <f t="shared" si="42"/>
        <v>8</v>
      </c>
      <c r="LT22" s="17">
        <f t="shared" si="42"/>
        <v>9</v>
      </c>
      <c r="LU22" s="17">
        <f t="shared" si="42"/>
        <v>10</v>
      </c>
      <c r="LV22" s="17">
        <f t="shared" si="42"/>
        <v>11</v>
      </c>
      <c r="LW22" s="17">
        <f t="shared" si="42"/>
        <v>12</v>
      </c>
      <c r="LX22" s="17">
        <f t="shared" si="42"/>
        <v>13</v>
      </c>
      <c r="LY22" s="17">
        <f t="shared" si="42"/>
        <v>14</v>
      </c>
      <c r="LZ22" s="17">
        <f t="shared" si="42"/>
        <v>15</v>
      </c>
      <c r="MA22" s="17">
        <f t="shared" si="42"/>
        <v>16</v>
      </c>
      <c r="MB22" s="17">
        <f t="shared" si="42"/>
        <v>17</v>
      </c>
      <c r="MC22" s="17">
        <f t="shared" si="42"/>
        <v>18</v>
      </c>
      <c r="MD22" s="17">
        <f t="shared" si="42"/>
        <v>19</v>
      </c>
      <c r="ME22" s="17">
        <f t="shared" si="42"/>
        <v>20</v>
      </c>
      <c r="MF22" s="17">
        <f t="shared" si="42"/>
        <v>21</v>
      </c>
      <c r="MG22" s="17">
        <f t="shared" si="42"/>
        <v>22</v>
      </c>
      <c r="MH22" s="17">
        <f t="shared" si="42"/>
        <v>23</v>
      </c>
      <c r="MI22" s="17">
        <f t="shared" si="42"/>
        <v>24</v>
      </c>
      <c r="MJ22" s="17">
        <f t="shared" si="42"/>
        <v>25</v>
      </c>
      <c r="MK22" s="17">
        <f t="shared" si="42"/>
        <v>26</v>
      </c>
      <c r="ML22" s="17">
        <f t="shared" si="42"/>
        <v>27</v>
      </c>
      <c r="MM22" s="17">
        <f t="shared" si="42"/>
        <v>28</v>
      </c>
      <c r="MN22" s="17">
        <f t="shared" si="42"/>
        <v>29</v>
      </c>
      <c r="MO22" s="17">
        <f t="shared" si="42"/>
        <v>30</v>
      </c>
      <c r="MP22" s="17">
        <f t="shared" si="42"/>
        <v>31</v>
      </c>
      <c r="MQ22" s="17">
        <f t="shared" si="42"/>
        <v>32</v>
      </c>
      <c r="MR22" s="17">
        <f t="shared" si="42"/>
        <v>33</v>
      </c>
      <c r="MS22" s="17">
        <f t="shared" si="42"/>
        <v>34</v>
      </c>
      <c r="MT22" s="17">
        <f t="shared" si="42"/>
        <v>35</v>
      </c>
      <c r="MU22" s="17">
        <f t="shared" si="42"/>
        <v>36</v>
      </c>
      <c r="MV22" s="17">
        <f t="shared" si="42"/>
        <v>37</v>
      </c>
      <c r="MW22" s="17">
        <f t="shared" si="42"/>
        <v>38</v>
      </c>
      <c r="MX22" s="17">
        <f t="shared" si="42"/>
        <v>39</v>
      </c>
      <c r="MY22" s="17">
        <f t="shared" si="42"/>
        <v>40</v>
      </c>
      <c r="MZ22" s="17">
        <f t="shared" si="42"/>
        <v>41</v>
      </c>
      <c r="NA22" s="17">
        <f t="shared" si="42"/>
        <v>42</v>
      </c>
      <c r="NB22" s="17">
        <f t="shared" si="42"/>
        <v>43</v>
      </c>
      <c r="NC22" s="17">
        <f t="shared" si="42"/>
        <v>44</v>
      </c>
      <c r="ND22" s="17">
        <f t="shared" si="42"/>
        <v>45</v>
      </c>
      <c r="NE22" s="17">
        <f t="shared" si="42"/>
        <v>46</v>
      </c>
      <c r="NF22" s="17">
        <f t="shared" si="42"/>
        <v>47</v>
      </c>
      <c r="NG22" s="17">
        <f t="shared" si="42"/>
        <v>48</v>
      </c>
      <c r="NH22" s="17">
        <f t="shared" si="42"/>
        <v>49</v>
      </c>
      <c r="NI22" s="17">
        <f t="shared" si="42"/>
        <v>50</v>
      </c>
      <c r="NJ22" s="17">
        <f t="shared" si="42"/>
        <v>51</v>
      </c>
      <c r="NK22" s="17">
        <f t="shared" si="42"/>
        <v>52</v>
      </c>
      <c r="NL22" s="17">
        <f t="shared" si="42"/>
        <v>53</v>
      </c>
      <c r="NM22" s="17">
        <f t="shared" si="42"/>
        <v>54</v>
      </c>
      <c r="NN22" s="17">
        <f t="shared" si="42"/>
        <v>55</v>
      </c>
      <c r="NO22" s="17">
        <f t="shared" si="42"/>
        <v>56</v>
      </c>
      <c r="NP22" s="17">
        <f t="shared" si="42"/>
        <v>57</v>
      </c>
      <c r="NQ22" s="17">
        <f t="shared" si="42"/>
        <v>58</v>
      </c>
      <c r="NR22" s="17">
        <f t="shared" si="42"/>
        <v>59</v>
      </c>
      <c r="NS22" s="17">
        <f t="shared" si="42"/>
        <v>60</v>
      </c>
      <c r="NT22" s="17">
        <f t="shared" si="42"/>
        <v>60</v>
      </c>
      <c r="NU22" s="17">
        <f t="shared" si="42"/>
        <v>60</v>
      </c>
      <c r="NV22" s="17">
        <f t="shared" si="42"/>
        <v>60</v>
      </c>
      <c r="NW22" s="17">
        <f t="shared" si="42"/>
        <v>60</v>
      </c>
      <c r="NX22" s="17">
        <f t="shared" ref="NX22:PG22" si="43">IF(NW22=$H22,NW22,NW22+1)</f>
        <v>60</v>
      </c>
      <c r="NY22" s="17">
        <f t="shared" si="43"/>
        <v>60</v>
      </c>
      <c r="NZ22" s="17">
        <f t="shared" si="43"/>
        <v>60</v>
      </c>
      <c r="OA22" s="17">
        <f t="shared" si="43"/>
        <v>60</v>
      </c>
      <c r="OB22" s="17">
        <f t="shared" si="43"/>
        <v>60</v>
      </c>
      <c r="OC22" s="17">
        <f t="shared" si="43"/>
        <v>60</v>
      </c>
      <c r="OD22" s="17">
        <f t="shared" si="43"/>
        <v>60</v>
      </c>
      <c r="OE22" s="17">
        <f t="shared" si="43"/>
        <v>60</v>
      </c>
      <c r="OF22" s="17">
        <f t="shared" si="43"/>
        <v>60</v>
      </c>
      <c r="OG22" s="17">
        <f t="shared" si="43"/>
        <v>60</v>
      </c>
      <c r="OH22" s="17">
        <f t="shared" si="43"/>
        <v>60</v>
      </c>
      <c r="OI22" s="17">
        <f t="shared" si="43"/>
        <v>60</v>
      </c>
      <c r="OJ22" s="17">
        <f t="shared" si="43"/>
        <v>60</v>
      </c>
      <c r="OK22" s="17">
        <f t="shared" si="43"/>
        <v>60</v>
      </c>
      <c r="OL22" s="17">
        <f t="shared" si="43"/>
        <v>60</v>
      </c>
      <c r="OM22" s="17">
        <f t="shared" si="43"/>
        <v>60</v>
      </c>
      <c r="ON22" s="17">
        <f t="shared" si="43"/>
        <v>60</v>
      </c>
      <c r="OO22" s="17">
        <f t="shared" si="43"/>
        <v>60</v>
      </c>
      <c r="OP22" s="17">
        <f t="shared" si="43"/>
        <v>60</v>
      </c>
      <c r="OQ22" s="17">
        <f t="shared" si="43"/>
        <v>60</v>
      </c>
      <c r="OR22" s="17">
        <f t="shared" si="43"/>
        <v>60</v>
      </c>
      <c r="OS22" s="17">
        <f t="shared" si="43"/>
        <v>60</v>
      </c>
      <c r="OT22" s="17">
        <f t="shared" si="43"/>
        <v>60</v>
      </c>
      <c r="OU22" s="17">
        <f t="shared" si="43"/>
        <v>60</v>
      </c>
      <c r="OV22" s="17">
        <f t="shared" si="43"/>
        <v>60</v>
      </c>
      <c r="OW22" s="17">
        <f t="shared" si="43"/>
        <v>60</v>
      </c>
      <c r="OX22" s="17">
        <f t="shared" si="43"/>
        <v>60</v>
      </c>
      <c r="OY22" s="17">
        <f t="shared" si="43"/>
        <v>60</v>
      </c>
      <c r="OZ22" s="17">
        <f t="shared" si="43"/>
        <v>60</v>
      </c>
      <c r="PA22" s="17">
        <f t="shared" si="43"/>
        <v>60</v>
      </c>
      <c r="PB22" s="17">
        <f t="shared" si="43"/>
        <v>60</v>
      </c>
      <c r="PC22" s="17">
        <f t="shared" si="43"/>
        <v>60</v>
      </c>
      <c r="PD22" s="17">
        <f t="shared" si="43"/>
        <v>60</v>
      </c>
      <c r="PE22" s="17">
        <f t="shared" si="43"/>
        <v>60</v>
      </c>
      <c r="PF22" s="17">
        <f t="shared" si="43"/>
        <v>60</v>
      </c>
      <c r="PG22" s="17">
        <f t="shared" si="43"/>
        <v>60</v>
      </c>
    </row>
    <row r="23" spans="1:423" x14ac:dyDescent="0.25">
      <c r="A23" s="8" t="s">
        <v>5507</v>
      </c>
      <c r="B23" s="9" t="s">
        <v>8501</v>
      </c>
      <c r="C23" s="9" t="str">
        <f t="shared" si="0"/>
        <v>BN3 LBIF</v>
      </c>
      <c r="D23" s="1" t="str">
        <f t="shared" si="1"/>
        <v>Bande N3 LBIF</v>
      </c>
      <c r="E23" s="1" t="s">
        <v>18</v>
      </c>
      <c r="F23" s="9" t="s">
        <v>5452</v>
      </c>
      <c r="G23" s="9">
        <v>80</v>
      </c>
      <c r="H23" s="9">
        <v>35</v>
      </c>
      <c r="I23" s="127">
        <v>2.8</v>
      </c>
      <c r="J23" s="30"/>
      <c r="K23" s="281"/>
      <c r="L23" s="8"/>
      <c r="M23" s="9"/>
      <c r="N23" s="10"/>
      <c r="O23" s="269"/>
      <c r="P23" s="331"/>
      <c r="Q23" s="335"/>
      <c r="R23" s="128"/>
      <c r="S23" s="9"/>
      <c r="T23" s="10"/>
      <c r="U23" t="s">
        <v>5523</v>
      </c>
      <c r="V23" s="17">
        <v>0</v>
      </c>
      <c r="W23" s="17">
        <f>IF(Distances[[#This Row],[Colonne4]]=$G23,V23,Distances[[#This Row],[Colonne4]]+1)</f>
        <v>1</v>
      </c>
      <c r="X23" s="17">
        <f>IF(Distances[[#This Row],[Colonne5]]=$G23,W23,Distances[[#This Row],[Colonne5]]+1)</f>
        <v>2</v>
      </c>
      <c r="Y23" s="17">
        <f>IF(Distances[[#This Row],[Colonne6]]=$G23,X23,Distances[[#This Row],[Colonne6]]+1)</f>
        <v>3</v>
      </c>
      <c r="Z23" s="17">
        <f>IF(Distances[[#This Row],[Colonne7]]=$G23,Y23,Distances[[#This Row],[Colonne7]]+1)</f>
        <v>4</v>
      </c>
      <c r="AA23" s="17">
        <f>IF(Distances[[#This Row],[Colonne8]]=$G23,Z23,Distances[[#This Row],[Colonne8]]+1)</f>
        <v>5</v>
      </c>
      <c r="AB23" s="17">
        <f>IF(Distances[[#This Row],[Colonne9]]=$G23,AA23,Distances[[#This Row],[Colonne9]]+1)</f>
        <v>6</v>
      </c>
      <c r="AC23" s="17">
        <f>IF(Distances[[#This Row],[Colonne10]]=$G23,AB23,Distances[[#This Row],[Colonne10]]+1)</f>
        <v>7</v>
      </c>
      <c r="AD23" s="17">
        <f>IF(Distances[[#This Row],[Colonne11]]=$G23,AC23,Distances[[#This Row],[Colonne11]]+1)</f>
        <v>8</v>
      </c>
      <c r="AE23" s="17">
        <f>IF(Distances[[#This Row],[Colonne12]]=$G23,AD23,Distances[[#This Row],[Colonne12]]+1)</f>
        <v>9</v>
      </c>
      <c r="AF23" s="17">
        <f>IF(Distances[[#This Row],[Colonne13]]=$G23,AE23,Distances[[#This Row],[Colonne13]]+1)</f>
        <v>10</v>
      </c>
      <c r="AG23" s="17">
        <f>IF(Distances[[#This Row],[Colonne14]]=$G23,AF23,Distances[[#This Row],[Colonne14]]+1)</f>
        <v>11</v>
      </c>
      <c r="AH23" s="17">
        <f>IF(Distances[[#This Row],[Colonne15]]=$G23,AG23,Distances[[#This Row],[Colonne15]]+1)</f>
        <v>12</v>
      </c>
      <c r="AI23" s="17">
        <f>IF(Distances[[#This Row],[Colonne16]]=$G23,AH23,Distances[[#This Row],[Colonne16]]+1)</f>
        <v>13</v>
      </c>
      <c r="AJ23" s="17">
        <f>IF(Distances[[#This Row],[Colonne17]]=$G23,AI23,Distances[[#This Row],[Colonne17]]+1)</f>
        <v>14</v>
      </c>
      <c r="AK23" s="17">
        <f>IF(Distances[[#This Row],[Colonne18]]=$G23,AJ23,Distances[[#This Row],[Colonne18]]+1)</f>
        <v>15</v>
      </c>
      <c r="AL23" s="17">
        <f>IF(Distances[[#This Row],[Colonne19]]=$G23,AK23,Distances[[#This Row],[Colonne19]]+1)</f>
        <v>16</v>
      </c>
      <c r="AM23" s="17">
        <f>IF(Distances[[#This Row],[Colonne20]]=$G23,AL23,Distances[[#This Row],[Colonne20]]+1)</f>
        <v>17</v>
      </c>
      <c r="AN23" s="17">
        <f>IF(Distances[[#This Row],[Colonne21]]=$G23,AM23,Distances[[#This Row],[Colonne21]]+1)</f>
        <v>18</v>
      </c>
      <c r="AO23" s="17">
        <f>IF(Distances[[#This Row],[Colonne22]]=$G23,AN23,Distances[[#This Row],[Colonne22]]+1)</f>
        <v>19</v>
      </c>
      <c r="AP23" s="17">
        <f>IF(Distances[[#This Row],[Colonne23]]=$G23,AO23,Distances[[#This Row],[Colonne23]]+1)</f>
        <v>20</v>
      </c>
      <c r="AQ23" s="17">
        <f>IF(Distances[[#This Row],[Colonne24]]=$G23,AP23,Distances[[#This Row],[Colonne24]]+1)</f>
        <v>21</v>
      </c>
      <c r="AR23" s="17">
        <f>IF(Distances[[#This Row],[Colonne25]]=$G23,AQ23,Distances[[#This Row],[Colonne25]]+1)</f>
        <v>22</v>
      </c>
      <c r="AS23" s="17">
        <f>IF(Distances[[#This Row],[Colonne26]]=$G23,AR23,Distances[[#This Row],[Colonne26]]+1)</f>
        <v>23</v>
      </c>
      <c r="AT23" s="17">
        <f>IF(Distances[[#This Row],[Colonne27]]=$G23,AS23,Distances[[#This Row],[Colonne27]]+1)</f>
        <v>24</v>
      </c>
      <c r="AU23" s="17">
        <f>IF(Distances[[#This Row],[Colonne28]]=$G23,AT23,Distances[[#This Row],[Colonne28]]+1)</f>
        <v>25</v>
      </c>
      <c r="AV23" s="17">
        <f>IF(Distances[[#This Row],[Colonne29]]=$G23,AU23,Distances[[#This Row],[Colonne29]]+1)</f>
        <v>26</v>
      </c>
      <c r="AW23" s="17">
        <f>IF(Distances[[#This Row],[Colonne30]]=$G23,AV23,Distances[[#This Row],[Colonne30]]+1)</f>
        <v>27</v>
      </c>
      <c r="AX23" s="17">
        <f>IF(Distances[[#This Row],[Colonne31]]=$G23,AW23,Distances[[#This Row],[Colonne31]]+1)</f>
        <v>28</v>
      </c>
      <c r="AY23" s="17">
        <f>IF(Distances[[#This Row],[Colonne32]]=$G23,AX23,Distances[[#This Row],[Colonne32]]+1)</f>
        <v>29</v>
      </c>
      <c r="AZ23" s="17">
        <f>IF(Distances[[#This Row],[Colonne33]]=$G23,AY23,Distances[[#This Row],[Colonne33]]+1)</f>
        <v>30</v>
      </c>
      <c r="BA23" s="17">
        <f>IF(Distances[[#This Row],[Colonne34]]=$G23,AZ23,Distances[[#This Row],[Colonne34]]+1)</f>
        <v>31</v>
      </c>
      <c r="BB23" s="17">
        <f>IF(Distances[[#This Row],[Colonne35]]=$G23,BA23,Distances[[#This Row],[Colonne35]]+1)</f>
        <v>32</v>
      </c>
      <c r="BC23" s="17">
        <f>IF(Distances[[#This Row],[Colonne36]]=$G23,BB23,Distances[[#This Row],[Colonne36]]+1)</f>
        <v>33</v>
      </c>
      <c r="BD23" s="17">
        <f>IF(Distances[[#This Row],[Colonne37]]=$G23,BC23,Distances[[#This Row],[Colonne37]]+1)</f>
        <v>34</v>
      </c>
      <c r="BE23" s="17">
        <f>IF(Distances[[#This Row],[Colonne38]]=$G23,BD23,Distances[[#This Row],[Colonne38]]+1)</f>
        <v>35</v>
      </c>
      <c r="BF23" s="17">
        <f>IF(Distances[[#This Row],[Colonne39]]=$G23,BE23,Distances[[#This Row],[Colonne39]]+1)</f>
        <v>36</v>
      </c>
      <c r="BG23" s="17">
        <f>IF(Distances[[#This Row],[Colonne40]]=$G23,BF23,Distances[[#This Row],[Colonne40]]+1)</f>
        <v>37</v>
      </c>
      <c r="BH23" s="17">
        <f>IF(Distances[[#This Row],[Colonne41]]=$G23,BG23,Distances[[#This Row],[Colonne41]]+1)</f>
        <v>38</v>
      </c>
      <c r="BI23" s="17">
        <f>IF(Distances[[#This Row],[Colonne42]]=$G23,BH23,Distances[[#This Row],[Colonne42]]+1)</f>
        <v>39</v>
      </c>
      <c r="BJ23" s="17">
        <f>IF(Distances[[#This Row],[Colonne43]]=$G23,BI23,Distances[[#This Row],[Colonne43]]+1)</f>
        <v>40</v>
      </c>
      <c r="BK23" s="17">
        <f>IF(Distances[[#This Row],[Colonne44]]=$G23,BJ23,Distances[[#This Row],[Colonne44]]+1)</f>
        <v>41</v>
      </c>
      <c r="BL23" s="17">
        <f>IF(Distances[[#This Row],[Colonne45]]=$G23,BK23,Distances[[#This Row],[Colonne45]]+1)</f>
        <v>42</v>
      </c>
      <c r="BM23" s="17">
        <f>IF(Distances[[#This Row],[Colonne46]]=$G23,BL23,Distances[[#This Row],[Colonne46]]+1)</f>
        <v>43</v>
      </c>
      <c r="BN23" s="17">
        <f>IF(Distances[[#This Row],[Colonne47]]=$G23,BM23,Distances[[#This Row],[Colonne47]]+1)</f>
        <v>44</v>
      </c>
      <c r="BO23" s="17">
        <f>IF(Distances[[#This Row],[Colonne48]]=$G23,BN23,Distances[[#This Row],[Colonne48]]+1)</f>
        <v>45</v>
      </c>
      <c r="BP23" s="17">
        <f>IF(Distances[[#This Row],[Colonne49]]=$G23,BO23,Distances[[#This Row],[Colonne49]]+1)</f>
        <v>46</v>
      </c>
      <c r="BQ23" s="17">
        <f>IF(Distances[[#This Row],[Colonne50]]=$G23,BP23,Distances[[#This Row],[Colonne50]]+1)</f>
        <v>47</v>
      </c>
      <c r="BR23" s="17">
        <f>IF(Distances[[#This Row],[Colonne51]]=$G23,BQ23,Distances[[#This Row],[Colonne51]]+1)</f>
        <v>48</v>
      </c>
      <c r="BS23" s="17">
        <f>IF(Distances[[#This Row],[Colonne52]]=$G23,BR23,Distances[[#This Row],[Colonne52]]+1)</f>
        <v>49</v>
      </c>
      <c r="BT23" s="17">
        <f>IF(Distances[[#This Row],[Colonne53]]=$G23,BS23,Distances[[#This Row],[Colonne53]]+1)</f>
        <v>50</v>
      </c>
      <c r="BU23" s="17">
        <f>IF(Distances[[#This Row],[Colonne54]]=$G23,BT23,Distances[[#This Row],[Colonne54]]+1)</f>
        <v>51</v>
      </c>
      <c r="BV23" s="17">
        <f>IF(Distances[[#This Row],[Colonne55]]=$G23,BU23,Distances[[#This Row],[Colonne55]]+1)</f>
        <v>52</v>
      </c>
      <c r="BW23" s="17">
        <f>IF(Distances[[#This Row],[Colonne56]]=$G23,BV23,Distances[[#This Row],[Colonne56]]+1)</f>
        <v>53</v>
      </c>
      <c r="BX23" s="17">
        <f>IF(Distances[[#This Row],[Colonne57]]=$G23,BW23,Distances[[#This Row],[Colonne57]]+1)</f>
        <v>54</v>
      </c>
      <c r="BY23" s="17">
        <f>IF(Distances[[#This Row],[Colonne58]]=$G23,BX23,Distances[[#This Row],[Colonne58]]+1)</f>
        <v>55</v>
      </c>
      <c r="BZ23" s="17">
        <f>IF(Distances[[#This Row],[Colonne59]]=$G23,BY23,Distances[[#This Row],[Colonne59]]+1)</f>
        <v>56</v>
      </c>
      <c r="CA23" s="17">
        <f>IF(Distances[[#This Row],[Colonne60]]=$G23,BZ23,Distances[[#This Row],[Colonne60]]+1)</f>
        <v>57</v>
      </c>
      <c r="CB23" s="17">
        <f>IF(Distances[[#This Row],[Colonne61]]=$G23,CA23,Distances[[#This Row],[Colonne61]]+1)</f>
        <v>58</v>
      </c>
      <c r="CC23" s="17">
        <f>IF(Distances[[#This Row],[Colonne62]]=$G23,CB23,Distances[[#This Row],[Colonne62]]+1)</f>
        <v>59</v>
      </c>
      <c r="CD23" s="17">
        <f>IF(Distances[[#This Row],[Colonne63]]=$G23,CC23,Distances[[#This Row],[Colonne63]]+1)</f>
        <v>60</v>
      </c>
      <c r="CE23" s="17">
        <f>IF(Distances[[#This Row],[Colonne64]]=$G23,CD23,Distances[[#This Row],[Colonne64]]+1)</f>
        <v>61</v>
      </c>
      <c r="CF23" s="17">
        <f>IF(Distances[[#This Row],[Colonne65]]=$G23,CE23,Distances[[#This Row],[Colonne65]]+1)</f>
        <v>62</v>
      </c>
      <c r="CG23" s="17">
        <f>IF(Distances[[#This Row],[Colonne66]]=$G23,CF23,Distances[[#This Row],[Colonne66]]+1)</f>
        <v>63</v>
      </c>
      <c r="CH23" s="17">
        <f>IF(Distances[[#This Row],[Colonne67]]=$G23,CG23,Distances[[#This Row],[Colonne67]]+1)</f>
        <v>64</v>
      </c>
      <c r="CI23" s="17">
        <f>IF(Distances[[#This Row],[Colonne68]]=$G23,CH23,Distances[[#This Row],[Colonne68]]+1)</f>
        <v>65</v>
      </c>
      <c r="CJ23" s="17">
        <f>IF(Distances[[#This Row],[Colonne69]]=$G23,CI23,Distances[[#This Row],[Colonne69]]+1)</f>
        <v>66</v>
      </c>
      <c r="CK23" s="17">
        <f>IF(Distances[[#This Row],[Colonne70]]=$G23,CJ23,Distances[[#This Row],[Colonne70]]+1)</f>
        <v>67</v>
      </c>
      <c r="CL23" s="17">
        <f>IF(Distances[[#This Row],[Colonne71]]=$G23,CK23,Distances[[#This Row],[Colonne71]]+1)</f>
        <v>68</v>
      </c>
      <c r="CM23" s="17">
        <f>IF(Distances[[#This Row],[Colonne72]]=$G23,CL23,Distances[[#This Row],[Colonne72]]+1)</f>
        <v>69</v>
      </c>
      <c r="CN23" s="17">
        <f>IF(Distances[[#This Row],[Colonne73]]=$G23,CM23,Distances[[#This Row],[Colonne73]]+1)</f>
        <v>70</v>
      </c>
      <c r="CO23" s="17">
        <f>IF(Distances[[#This Row],[Colonne74]]=$G23,CN23,Distances[[#This Row],[Colonne74]]+1)</f>
        <v>71</v>
      </c>
      <c r="CP23" s="17">
        <f>IF(Distances[[#This Row],[Colonne75]]=$G23,CO23,Distances[[#This Row],[Colonne75]]+1)</f>
        <v>72</v>
      </c>
      <c r="CQ23" s="17">
        <f>IF(Distances[[#This Row],[Colonne76]]=$G23,CP23,Distances[[#This Row],[Colonne76]]+1)</f>
        <v>73</v>
      </c>
      <c r="CR23" s="17">
        <f>IF(Distances[[#This Row],[Colonne77]]=$G23,CQ23,Distances[[#This Row],[Colonne77]]+1)</f>
        <v>74</v>
      </c>
      <c r="CS23" s="17">
        <f>IF(Distances[[#This Row],[Colonne78]]=$G23,CR23,Distances[[#This Row],[Colonne78]]+1)</f>
        <v>75</v>
      </c>
      <c r="CT23" s="17">
        <f>IF(Distances[[#This Row],[Colonne79]]=$G23,CS23,Distances[[#This Row],[Colonne79]]+1)</f>
        <v>76</v>
      </c>
      <c r="CU23" s="17">
        <f>IF(Distances[[#This Row],[Colonne80]]=$G23,CT23,Distances[[#This Row],[Colonne80]]+1)</f>
        <v>77</v>
      </c>
      <c r="CV23" s="17">
        <f>IF(Distances[[#This Row],[Colonne81]]=$G23,CU23,Distances[[#This Row],[Colonne81]]+1)</f>
        <v>78</v>
      </c>
      <c r="CW23" s="17">
        <f>IF(Distances[[#This Row],[Colonne82]]=$G23,CV23,Distances[[#This Row],[Colonne82]]+1)</f>
        <v>79</v>
      </c>
      <c r="CX23" s="17">
        <f>IF(Distances[[#This Row],[Colonne83]]=$G23,CW23,Distances[[#This Row],[Colonne83]]+1)</f>
        <v>80</v>
      </c>
      <c r="CY23" s="17">
        <f>IF(Distances[[#This Row],[Colonne84]]=$G23,CX23,Distances[[#This Row],[Colonne84]]+1)</f>
        <v>80</v>
      </c>
      <c r="CZ23" s="17">
        <f>IF(Distances[[#This Row],[Colonne85]]=$G23,CY23,Distances[[#This Row],[Colonne85]]+1)</f>
        <v>80</v>
      </c>
      <c r="DA23" s="17">
        <f>IF(Distances[[#This Row],[Colonne86]]=$G23,CZ23,Distances[[#This Row],[Colonne86]]+1)</f>
        <v>80</v>
      </c>
      <c r="DB23" s="17">
        <f>IF(Distances[[#This Row],[Colonne87]]=$G23,DA23,Distances[[#This Row],[Colonne87]]+1)</f>
        <v>80</v>
      </c>
      <c r="DC23" s="17">
        <f>IF(Distances[[#This Row],[Colonne88]]=$G23,DB23,Distances[[#This Row],[Colonne88]]+1)</f>
        <v>80</v>
      </c>
      <c r="DD23" s="17">
        <f>IF(Distances[[#This Row],[Colonne89]]=$G23,DC23,Distances[[#This Row],[Colonne89]]+1)</f>
        <v>80</v>
      </c>
      <c r="DE23" s="17">
        <f>IF(Distances[[#This Row],[Colonne90]]=$G23,DD23,Distances[[#This Row],[Colonne90]]+1)</f>
        <v>80</v>
      </c>
      <c r="DF23" s="17">
        <f>IF(Distances[[#This Row],[Colonne91]]=$G23,DE23,Distances[[#This Row],[Colonne91]]+1)</f>
        <v>80</v>
      </c>
      <c r="DG23" s="17">
        <f>IF(Distances[[#This Row],[Colonne92]]=$G23,DF23,Distances[[#This Row],[Colonne92]]+1)</f>
        <v>80</v>
      </c>
      <c r="DH23" s="17">
        <f>IF(Distances[[#This Row],[Colonne93]]=$G23,DG23,Distances[[#This Row],[Colonne93]]+1)</f>
        <v>80</v>
      </c>
      <c r="DI23" s="17">
        <f>IF(Distances[[#This Row],[Colonne94]]=$G23,DH23,Distances[[#This Row],[Colonne94]]+1)</f>
        <v>80</v>
      </c>
      <c r="DJ23" s="17">
        <f>IF(Distances[[#This Row],[Colonne95]]=$G23,DI23,Distances[[#This Row],[Colonne95]]+1)</f>
        <v>80</v>
      </c>
      <c r="DK23" s="17">
        <f>IF(Distances[[#This Row],[Colonne96]]=$G23,DJ23,Distances[[#This Row],[Colonne96]]+1)</f>
        <v>80</v>
      </c>
      <c r="DL23" s="17">
        <f>IF(Distances[[#This Row],[Colonne97]]=$G23,DK23,Distances[[#This Row],[Colonne97]]+1)</f>
        <v>80</v>
      </c>
      <c r="DM23" s="17">
        <f>IF(Distances[[#This Row],[Colonne98]]=$G23,DL23,Distances[[#This Row],[Colonne98]]+1)</f>
        <v>80</v>
      </c>
      <c r="DN23" s="17">
        <f>IF(Distances[[#This Row],[Colonne99]]=$G23,DM23,Distances[[#This Row],[Colonne99]]+1)</f>
        <v>80</v>
      </c>
      <c r="DO23" s="17">
        <f>IF(Distances[[#This Row],[Colonne100]]=$G23,DN23,Distances[[#This Row],[Colonne100]]+1)</f>
        <v>80</v>
      </c>
      <c r="DP23" s="17">
        <f>IF(Distances[[#This Row],[Colonne101]]=$G23,DO23,Distances[[#This Row],[Colonne101]]+1)</f>
        <v>80</v>
      </c>
      <c r="DQ23" s="17">
        <f>IF(Distances[[#This Row],[Colonne102]]=$G23,DP23,Distances[[#This Row],[Colonne102]]+1)</f>
        <v>80</v>
      </c>
      <c r="DR23" s="17">
        <f>IF(Distances[[#This Row],[Colonne103]]=$G23,DQ23,Distances[[#This Row],[Colonne103]]+1)</f>
        <v>80</v>
      </c>
      <c r="DS23" s="17">
        <f>IF(Distances[[#This Row],[Colonne104]]=$G23,DR23,Distances[[#This Row],[Colonne104]]+1)</f>
        <v>80</v>
      </c>
      <c r="DT23" s="17">
        <f>IF(Distances[[#This Row],[Colonne105]]=$G23,DS23,Distances[[#This Row],[Colonne105]]+1)</f>
        <v>80</v>
      </c>
      <c r="DU23" s="17">
        <f>IF(Distances[[#This Row],[Colonne106]]=$G23,DT23,Distances[[#This Row],[Colonne106]]+1)</f>
        <v>80</v>
      </c>
      <c r="DV23" s="17">
        <f>IF(Distances[[#This Row],[Colonne107]]=$G23,DU23,Distances[[#This Row],[Colonne107]]+1)</f>
        <v>80</v>
      </c>
      <c r="DW23" s="17">
        <f>IF(Distances[[#This Row],[Colonne108]]=$G23,DV23,Distances[[#This Row],[Colonne108]]+1)</f>
        <v>80</v>
      </c>
      <c r="DX23" s="17">
        <f>IF(Distances[[#This Row],[Colonne109]]=$G23,DW23,Distances[[#This Row],[Colonne109]]+1)</f>
        <v>80</v>
      </c>
      <c r="DY23" s="17">
        <f>IF(Distances[[#This Row],[Colonne110]]=$G23,DX23,Distances[[#This Row],[Colonne110]]+1)</f>
        <v>80</v>
      </c>
      <c r="DZ23" s="17">
        <f>IF(Distances[[#This Row],[Colonne111]]=$G23,DY23,Distances[[#This Row],[Colonne111]]+1)</f>
        <v>80</v>
      </c>
      <c r="EA23" s="17">
        <f>IF(Distances[[#This Row],[Colonne112]]=$G23,DZ23,Distances[[#This Row],[Colonne112]]+1)</f>
        <v>80</v>
      </c>
      <c r="EB23" s="17">
        <f>IF(Distances[[#This Row],[Colonne113]]=$G23,EA23,Distances[[#This Row],[Colonne113]]+1)</f>
        <v>80</v>
      </c>
      <c r="EC23" s="17">
        <f>IF(Distances[[#This Row],[Colonne114]]=$G23,EB23,Distances[[#This Row],[Colonne114]]+1)</f>
        <v>80</v>
      </c>
      <c r="ED23" s="17">
        <f>IF(Distances[[#This Row],[Colonne115]]=$G23,EC23,Distances[[#This Row],[Colonne115]]+1)</f>
        <v>80</v>
      </c>
      <c r="EE23" s="17">
        <f>IF(Distances[[#This Row],[Colonne116]]=$G23,ED23,Distances[[#This Row],[Colonne116]]+1)</f>
        <v>80</v>
      </c>
      <c r="EF23" s="17">
        <f>IF(Distances[[#This Row],[Colonne117]]=$G23,EE23,Distances[[#This Row],[Colonne117]]+1)</f>
        <v>80</v>
      </c>
      <c r="EG23" s="17">
        <f>IF(Distances[[#This Row],[Colonne118]]=$G23,EF23,Distances[[#This Row],[Colonne118]]+1)</f>
        <v>80</v>
      </c>
      <c r="EH23" s="17">
        <f>IF(Distances[[#This Row],[Colonne119]]=$G23,EG23,Distances[[#This Row],[Colonne119]]+1)</f>
        <v>80</v>
      </c>
      <c r="EI23" s="17">
        <f>IF(Distances[[#This Row],[Colonne120]]=$G23,EH23,Distances[[#This Row],[Colonne120]]+1)</f>
        <v>80</v>
      </c>
      <c r="EJ23" s="17">
        <f>IF(Distances[[#This Row],[Colonne121]]=$G23,EI23,Distances[[#This Row],[Colonne121]]+1)</f>
        <v>80</v>
      </c>
      <c r="EK23" s="17">
        <f>IF(Distances[[#This Row],[Colonne122]]=$G23,EJ23,Distances[[#This Row],[Colonne122]]+1)</f>
        <v>80</v>
      </c>
      <c r="EL23" s="17">
        <f>IF(Distances[[#This Row],[Colonne123]]=$G23,EK23,Distances[[#This Row],[Colonne123]]+1)</f>
        <v>80</v>
      </c>
      <c r="EM23" s="17">
        <f>IF(Distances[[#This Row],[Colonne124]]=$G23,EL23,Distances[[#This Row],[Colonne124]]+1)</f>
        <v>80</v>
      </c>
      <c r="EN23" s="17">
        <f>IF(Distances[[#This Row],[Colonne125]]=$G23,EM23,Distances[[#This Row],[Colonne125]]+1)</f>
        <v>80</v>
      </c>
      <c r="EO23" s="17">
        <f>IF(Distances[[#This Row],[Colonne126]]=$G23,EN23,Distances[[#This Row],[Colonne126]]+1)</f>
        <v>80</v>
      </c>
      <c r="EP23" s="17">
        <f>IF(Distances[[#This Row],[Colonne127]]=$G23,EO23,Distances[[#This Row],[Colonne127]]+1)</f>
        <v>80</v>
      </c>
      <c r="EQ23" s="17">
        <f>IF(Distances[[#This Row],[Colonne128]]=$G23,EP23,Distances[[#This Row],[Colonne128]]+1)</f>
        <v>80</v>
      </c>
      <c r="ER23" s="17">
        <f>IF(Distances[[#This Row],[Colonne129]]=$G23,EQ23,Distances[[#This Row],[Colonne129]]+1)</f>
        <v>80</v>
      </c>
      <c r="ES23" s="17">
        <f>IF(Distances[[#This Row],[Colonne130]]=$G23,ER23,Distances[[#This Row],[Colonne130]]+1)</f>
        <v>80</v>
      </c>
      <c r="ET23" s="17">
        <f>IF(Distances[[#This Row],[Colonne131]]=$G23,ES23,Distances[[#This Row],[Colonne131]]+1)</f>
        <v>80</v>
      </c>
      <c r="EU23" s="17">
        <f>IF(Distances[[#This Row],[Colonne132]]=$G23,ET23,Distances[[#This Row],[Colonne132]]+1)</f>
        <v>80</v>
      </c>
      <c r="EV23" s="17">
        <f>IF(Distances[[#This Row],[Colonne133]]=$G23,EU23,Distances[[#This Row],[Colonne133]]+1)</f>
        <v>80</v>
      </c>
      <c r="EW23" s="17">
        <f>IF(Distances[[#This Row],[Colonne134]]=$G23,EV23,Distances[[#This Row],[Colonne134]]+1)</f>
        <v>80</v>
      </c>
      <c r="EX23" s="17">
        <f>IF(Distances[[#This Row],[Colonne135]]=$G23,EW23,Distances[[#This Row],[Colonne135]]+1)</f>
        <v>80</v>
      </c>
      <c r="EY23" s="17">
        <f>IF(Distances[[#This Row],[Colonne136]]=$G23,EX23,Distances[[#This Row],[Colonne136]]+1)</f>
        <v>80</v>
      </c>
      <c r="EZ23" s="17">
        <f>IF(Distances[[#This Row],[Colonne137]]=$G23,EY23,Distances[[#This Row],[Colonne137]]+1)</f>
        <v>80</v>
      </c>
      <c r="FA23" s="17">
        <f>IF(Distances[[#This Row],[Colonne138]]=$G23,EZ23,Distances[[#This Row],[Colonne138]]+1)</f>
        <v>80</v>
      </c>
      <c r="FB23" s="17">
        <f>IF(Distances[[#This Row],[Colonne139]]=$G23,FA23,Distances[[#This Row],[Colonne139]]+1)</f>
        <v>80</v>
      </c>
      <c r="FC23" s="17">
        <f>IF(Distances[[#This Row],[Colonne140]]=$G23,FB23,Distances[[#This Row],[Colonne140]]+1)</f>
        <v>80</v>
      </c>
      <c r="FD23" s="17">
        <f>IF(Distances[[#This Row],[Colonne141]]=$G23,FC23,Distances[[#This Row],[Colonne141]]+1)</f>
        <v>80</v>
      </c>
      <c r="FE23" s="17">
        <f>IF(Distances[[#This Row],[Colonne142]]=$G23,FD23,Distances[[#This Row],[Colonne142]]+1)</f>
        <v>80</v>
      </c>
      <c r="FF23" s="17">
        <f>IF(Distances[[#This Row],[Colonne143]]=$G23,FE23,Distances[[#This Row],[Colonne143]]+1)</f>
        <v>80</v>
      </c>
      <c r="FG23" s="17">
        <f>IF(Distances[[#This Row],[Colonne144]]=$G23,FF23,Distances[[#This Row],[Colonne144]]+1)</f>
        <v>80</v>
      </c>
      <c r="FH23" s="17">
        <f>IF(Distances[[#This Row],[Colonne145]]=$G23,FG23,Distances[[#This Row],[Colonne145]]+1)</f>
        <v>80</v>
      </c>
      <c r="FI23" s="17">
        <f>IF(Distances[[#This Row],[Colonne146]]=$G23,FH23,Distances[[#This Row],[Colonne146]]+1)</f>
        <v>80</v>
      </c>
      <c r="FJ23" s="17">
        <f>IF(Distances[[#This Row],[Colonne147]]=$G23,FI23,Distances[[#This Row],[Colonne147]]+1)</f>
        <v>80</v>
      </c>
      <c r="FK23" s="17">
        <f>IF(Distances[[#This Row],[Colonne148]]=$G23,FJ23,Distances[[#This Row],[Colonne148]]+1)</f>
        <v>80</v>
      </c>
      <c r="FL23" s="17">
        <f>IF(Distances[[#This Row],[Colonne149]]=$G23,FK23,Distances[[#This Row],[Colonne149]]+1)</f>
        <v>80</v>
      </c>
      <c r="FM23" s="17">
        <f>IF(Distances[[#This Row],[Colonne150]]=$G23,FL23,Distances[[#This Row],[Colonne150]]+1)</f>
        <v>80</v>
      </c>
      <c r="FN23" s="17">
        <f>IF(Distances[[#This Row],[Colonne151]]=$G23,FM23,Distances[[#This Row],[Colonne151]]+1)</f>
        <v>80</v>
      </c>
      <c r="FO23" s="17">
        <f>IF(Distances[[#This Row],[Colonne152]]=$G23,FN23,Distances[[#This Row],[Colonne152]]+1)</f>
        <v>80</v>
      </c>
      <c r="FP23" s="17">
        <f>IF(Distances[[#This Row],[Colonne153]]=$G23,FO23,Distances[[#This Row],[Colonne153]]+1)</f>
        <v>80</v>
      </c>
      <c r="FQ23" s="17">
        <f>IF(Distances[[#This Row],[Colonne154]]=$G23,FP23,Distances[[#This Row],[Colonne154]]+1)</f>
        <v>80</v>
      </c>
      <c r="FR23" s="17">
        <f>IF(Distances[[#This Row],[Colonne155]]=$G23,FQ23,Distances[[#This Row],[Colonne155]]+1)</f>
        <v>80</v>
      </c>
      <c r="FS23" s="17">
        <f>IF(Distances[[#This Row],[Colonne156]]=$G23,FR23,Distances[[#This Row],[Colonne156]]+1)</f>
        <v>80</v>
      </c>
      <c r="FT23" s="17">
        <f>IF(Distances[[#This Row],[Colonne157]]=$G23,FS23,Distances[[#This Row],[Colonne157]]+1)</f>
        <v>80</v>
      </c>
      <c r="FU23" s="17">
        <f>IF(Distances[[#This Row],[Colonne158]]=$G23,FT23,Distances[[#This Row],[Colonne158]]+1)</f>
        <v>80</v>
      </c>
      <c r="FV23" s="17">
        <f>IF(Distances[[#This Row],[Colonne159]]=$G23,FU23,Distances[[#This Row],[Colonne159]]+1)</f>
        <v>80</v>
      </c>
      <c r="FW23" s="17">
        <f>IF(Distances[[#This Row],[Colonne160]]=$G23,FV23,Distances[[#This Row],[Colonne160]]+1)</f>
        <v>80</v>
      </c>
      <c r="FX23" s="17">
        <f>IF(Distances[[#This Row],[Colonne161]]=$G23,FW23,Distances[[#This Row],[Colonne161]]+1)</f>
        <v>80</v>
      </c>
      <c r="FY23" s="17">
        <f>IF(Distances[[#This Row],[Colonne162]]=$G23,FX23,Distances[[#This Row],[Colonne162]]+1)</f>
        <v>80</v>
      </c>
      <c r="FZ23" s="17">
        <f>IF(Distances[[#This Row],[Colonne163]]=$G23,FY23,Distances[[#This Row],[Colonne163]]+1)</f>
        <v>80</v>
      </c>
      <c r="GA23" s="17">
        <f>IF(Distances[[#This Row],[Colonne164]]=$G23,FZ23,Distances[[#This Row],[Colonne164]]+1)</f>
        <v>80</v>
      </c>
      <c r="GB23" s="17">
        <f>IF(Distances[[#This Row],[Colonne165]]=$G23,GA23,Distances[[#This Row],[Colonne165]]+1)</f>
        <v>80</v>
      </c>
      <c r="GC23" s="17">
        <f>IF(Distances[[#This Row],[Colonne166]]=$G23,GB23,Distances[[#This Row],[Colonne166]]+1)</f>
        <v>80</v>
      </c>
      <c r="GD23" s="17">
        <f>IF(Distances[[#This Row],[Colonne167]]=$G23,GC23,Distances[[#This Row],[Colonne167]]+1)</f>
        <v>80</v>
      </c>
      <c r="GE23" s="17">
        <f>IF(Distances[[#This Row],[Colonne168]]=$G23,GD23,Distances[[#This Row],[Colonne168]]+1)</f>
        <v>80</v>
      </c>
      <c r="GF23" s="17">
        <f>IF(Distances[[#This Row],[Colonne169]]=$G23,GE23,Distances[[#This Row],[Colonne169]]+1)</f>
        <v>80</v>
      </c>
      <c r="GG23" s="17">
        <f>IF(Distances[[#This Row],[Colonne170]]=$G23,GF23,Distances[[#This Row],[Colonne170]]+1)</f>
        <v>80</v>
      </c>
      <c r="GH23" s="17">
        <f>IF(Distances[[#This Row],[Colonne171]]=$G23,GG23,Distances[[#This Row],[Colonne171]]+1)</f>
        <v>80</v>
      </c>
      <c r="GI23" s="17">
        <f>IF(Distances[[#This Row],[Colonne172]]=$G23,GH23,Distances[[#This Row],[Colonne172]]+1)</f>
        <v>80</v>
      </c>
      <c r="GJ23" s="17">
        <f>IF(Distances[[#This Row],[Colonne173]]=$G23,GI23,Distances[[#This Row],[Colonne173]]+1)</f>
        <v>80</v>
      </c>
      <c r="GK23" s="17">
        <f>IF(Distances[[#This Row],[Colonne174]]=$G23,GJ23,Distances[[#This Row],[Colonne174]]+1)</f>
        <v>80</v>
      </c>
      <c r="GL23" s="17">
        <f>IF(Distances[[#This Row],[Colonne175]]=$G23,GK23,Distances[[#This Row],[Colonne175]]+1)</f>
        <v>80</v>
      </c>
      <c r="GM23" s="17">
        <f>IF(Distances[[#This Row],[Colonne176]]=$G23,GL23,Distances[[#This Row],[Colonne176]]+1)</f>
        <v>80</v>
      </c>
      <c r="GN23" s="17">
        <f>IF(Distances[[#This Row],[Colonne177]]=$G23,GM23,Distances[[#This Row],[Colonne177]]+1)</f>
        <v>80</v>
      </c>
      <c r="GO23" s="17">
        <f>IF(Distances[[#This Row],[Colonne178]]=$G23,GN23,Distances[[#This Row],[Colonne178]]+1)</f>
        <v>80</v>
      </c>
      <c r="GP23" s="17">
        <f>IF(Distances[[#This Row],[Colonne179]]=$G23,GO23,Distances[[#This Row],[Colonne179]]+1)</f>
        <v>80</v>
      </c>
      <c r="GQ23" s="17">
        <f>IF(Distances[[#This Row],[Colonne180]]=$G23,GP23,Distances[[#This Row],[Colonne180]]+1)</f>
        <v>80</v>
      </c>
      <c r="GR23" s="17">
        <f>IF(Distances[[#This Row],[Colonne181]]=$G23,GQ23,Distances[[#This Row],[Colonne181]]+1)</f>
        <v>80</v>
      </c>
      <c r="GS23" s="17">
        <f>IF(Distances[[#This Row],[Colonne182]]=$G23,GR23,Distances[[#This Row],[Colonne182]]+1)</f>
        <v>80</v>
      </c>
      <c r="GT23" s="17">
        <f>IF(Distances[[#This Row],[Colonne183]]=$G23,GS23,Distances[[#This Row],[Colonne183]]+1)</f>
        <v>80</v>
      </c>
      <c r="GU23" s="17">
        <f>IF(Distances[[#This Row],[Colonne184]]=$G23,GT23,Distances[[#This Row],[Colonne184]]+1)</f>
        <v>80</v>
      </c>
      <c r="GV23" s="17">
        <f>IF(Distances[[#This Row],[Colonne185]]=$G23,GU23,Distances[[#This Row],[Colonne185]]+1)</f>
        <v>80</v>
      </c>
      <c r="GW23" s="17">
        <f>IF(Distances[[#This Row],[Colonne186]]=$G23,GV23,Distances[[#This Row],[Colonne186]]+1)</f>
        <v>80</v>
      </c>
      <c r="GX23" s="17">
        <f>IF(Distances[[#This Row],[Colonne187]]=$G23,GW23,Distances[[#This Row],[Colonne187]]+1)</f>
        <v>80</v>
      </c>
      <c r="GY23" s="17">
        <f>IF(Distances[[#This Row],[Colonne188]]=$G23,GX23,Distances[[#This Row],[Colonne188]]+1)</f>
        <v>80</v>
      </c>
      <c r="GZ23" s="17">
        <f>IF(Distances[[#This Row],[Colonne189]]=$G23,GY23,Distances[[#This Row],[Colonne189]]+1)</f>
        <v>80</v>
      </c>
      <c r="HA23" s="17">
        <f>IF(Distances[[#This Row],[Colonne190]]=$G23,GZ23,Distances[[#This Row],[Colonne190]]+1)</f>
        <v>80</v>
      </c>
      <c r="HB23" s="17">
        <f>IF(Distances[[#This Row],[Colonne191]]=$G23,HA23,Distances[[#This Row],[Colonne191]]+1)</f>
        <v>80</v>
      </c>
      <c r="HC23" s="17">
        <f>IF(Distances[[#This Row],[Colonne192]]=$G23,HB23,Distances[[#This Row],[Colonne192]]+1)</f>
        <v>80</v>
      </c>
      <c r="HD23" s="17">
        <f>IF(Distances[[#This Row],[Colonne193]]=$G23,HC23,Distances[[#This Row],[Colonne193]]+1)</f>
        <v>80</v>
      </c>
      <c r="HE23" s="17">
        <f>IF(Distances[[#This Row],[Colonne194]]=$G23,HD23,Distances[[#This Row],[Colonne194]]+1)</f>
        <v>80</v>
      </c>
      <c r="HF23" s="17">
        <f>IF(Distances[[#This Row],[Colonne195]]=$G23,HE23,Distances[[#This Row],[Colonne195]]+1)</f>
        <v>80</v>
      </c>
      <c r="HG23" s="17">
        <f>IF(Distances[[#This Row],[Colonne196]]=$G23,HF23,Distances[[#This Row],[Colonne196]]+1)</f>
        <v>80</v>
      </c>
      <c r="HH23" s="17">
        <f>IF(Distances[[#This Row],[Colonne197]]=$G23,HG23,Distances[[#This Row],[Colonne197]]+1)</f>
        <v>80</v>
      </c>
      <c r="HI23" s="17">
        <f>IF(Distances[[#This Row],[Colonne198]]=$G23,HH23,Distances[[#This Row],[Colonne198]]+1)</f>
        <v>80</v>
      </c>
      <c r="HJ23" s="17">
        <f>IF(Distances[[#This Row],[Colonne199]]=$G23,HI23,Distances[[#This Row],[Colonne199]]+1)</f>
        <v>80</v>
      </c>
      <c r="HK23" s="17">
        <f>IF(Distances[[#This Row],[Colonne200]]=$G23,HJ23,Distances[[#This Row],[Colonne200]]+1)</f>
        <v>80</v>
      </c>
      <c r="HL23" s="17">
        <f>IF(Distances[[#This Row],[Colonne201]]=$G23,HK23,Distances[[#This Row],[Colonne201]]+1)</f>
        <v>80</v>
      </c>
      <c r="HM23" s="17">
        <f>IF(Distances[[#This Row],[Colonne202]]=$G23,HL23,Distances[[#This Row],[Colonne202]]+1)</f>
        <v>80</v>
      </c>
      <c r="HN23" s="17">
        <f>IF(Distances[[#This Row],[Colonne203]]=$G23,HM23,Distances[[#This Row],[Colonne203]]+1)</f>
        <v>80</v>
      </c>
      <c r="HO23" s="17">
        <f>IF(Distances[[#This Row],[Colonne204]]=$G23,HN23,Distances[[#This Row],[Colonne204]]+1)</f>
        <v>80</v>
      </c>
      <c r="HP23" s="17">
        <f>IF(Distances[[#This Row],[Colonne205]]=$G23,HO23,Distances[[#This Row],[Colonne205]]+1)</f>
        <v>80</v>
      </c>
      <c r="HQ23" s="17">
        <f>IF(Distances[[#This Row],[Colonne206]]=$G23,HP23,Distances[[#This Row],[Colonne206]]+1)</f>
        <v>80</v>
      </c>
      <c r="HR23" s="17">
        <f>IF(Distances[[#This Row],[Colonne207]]=$G23,HQ23,Distances[[#This Row],[Colonne207]]+1)</f>
        <v>80</v>
      </c>
      <c r="HS23" s="17">
        <f>IF(Distances[[#This Row],[Colonne208]]=$G23,HR23,Distances[[#This Row],[Colonne208]]+1)</f>
        <v>80</v>
      </c>
      <c r="HT23" s="17">
        <f>IF(Distances[[#This Row],[Colonne209]]=$G23,HS23,Distances[[#This Row],[Colonne209]]+1)</f>
        <v>80</v>
      </c>
      <c r="HU23" s="17">
        <f>IF(Distances[[#This Row],[Colonne210]]=$G23,HT23,Distances[[#This Row],[Colonne210]]+1)</f>
        <v>80</v>
      </c>
      <c r="HV23" s="17">
        <f>IF(Distances[[#This Row],[Colonne211]]=$G23,HU23,Distances[[#This Row],[Colonne211]]+1)</f>
        <v>80</v>
      </c>
      <c r="HW23" s="17">
        <f>IF(Distances[[#This Row],[Colonne212]]=$G23,HV23,Distances[[#This Row],[Colonne212]]+1)</f>
        <v>80</v>
      </c>
      <c r="HX23" s="17">
        <f>IF(Distances[[#This Row],[Colonne213]]=$G23,HW23,Distances[[#This Row],[Colonne213]]+1)</f>
        <v>80</v>
      </c>
      <c r="HY23" s="17">
        <f>IF(Distances[[#This Row],[Colonne214]]=$G23,HX23,Distances[[#This Row],[Colonne214]]+1)</f>
        <v>80</v>
      </c>
      <c r="HZ23" s="17">
        <f>IF(Distances[[#This Row],[Colonne215]]=$G23,HY23,Distances[[#This Row],[Colonne215]]+1)</f>
        <v>80</v>
      </c>
      <c r="IA23" s="17">
        <f>IF(Distances[[#This Row],[Colonne216]]=$G23,HZ23,Distances[[#This Row],[Colonne216]]+1)</f>
        <v>80</v>
      </c>
      <c r="IB23" s="17">
        <f>IF(Distances[[#This Row],[Colonne217]]=$G23,IA23,Distances[[#This Row],[Colonne217]]+1)</f>
        <v>80</v>
      </c>
      <c r="IC23" s="17">
        <f>IF(Distances[[#This Row],[Colonne218]]=$G23,IB23,Distances[[#This Row],[Colonne218]]+1)</f>
        <v>80</v>
      </c>
      <c r="ID23" s="17">
        <f>IF(Distances[[#This Row],[Colonne219]]=$G23,IC23,Distances[[#This Row],[Colonne219]]+1)</f>
        <v>80</v>
      </c>
      <c r="IE23" s="17">
        <f>IF(Distances[[#This Row],[Colonne220]]=$G23,ID23,Distances[[#This Row],[Colonne220]]+1)</f>
        <v>80</v>
      </c>
      <c r="IF23" s="17">
        <f>IF(Distances[[#This Row],[Colonne221]]=$G23,IE23,Distances[[#This Row],[Colonne221]]+1)</f>
        <v>80</v>
      </c>
      <c r="IG23" s="17">
        <f>IF(Distances[[#This Row],[Colonne222]]=$G23,IF23,Distances[[#This Row],[Colonne222]]+1)</f>
        <v>80</v>
      </c>
      <c r="IH23" s="17">
        <f>IF(Distances[[#This Row],[Colonne223]]=$G23,IG23,Distances[[#This Row],[Colonne223]]+1)</f>
        <v>80</v>
      </c>
      <c r="II23" s="17">
        <f>IF(Distances[[#This Row],[Colonne224]]=$G23,IH23,Distances[[#This Row],[Colonne224]]+1)</f>
        <v>80</v>
      </c>
      <c r="IJ23" s="17">
        <f>IF(Distances[[#This Row],[Colonne225]]=$G23,II23,Distances[[#This Row],[Colonne225]]+1)</f>
        <v>80</v>
      </c>
      <c r="IK23" s="17">
        <f>IF(Distances[[#This Row],[Colonne226]]=$G23,IJ23,Distances[[#This Row],[Colonne226]]+1)</f>
        <v>80</v>
      </c>
      <c r="IL23" s="17">
        <f>IF(Distances[[#This Row],[Colonne227]]=$G23,IK23,Distances[[#This Row],[Colonne227]]+1)</f>
        <v>80</v>
      </c>
      <c r="IM23" s="17">
        <f>IF(Distances[[#This Row],[Colonne228]]=$G23,IL23,Distances[[#This Row],[Colonne228]]+1)</f>
        <v>80</v>
      </c>
      <c r="IN23" s="17">
        <f>IF(Distances[[#This Row],[Colonne229]]=$G23,IM23,Distances[[#This Row],[Colonne229]]+1)</f>
        <v>80</v>
      </c>
      <c r="IO23" s="17">
        <f>IF(Distances[[#This Row],[Colonne230]]=$G23,IN23,Distances[[#This Row],[Colonne230]]+1)</f>
        <v>80</v>
      </c>
      <c r="IP23" s="17">
        <f>IF(Distances[[#This Row],[Colonne231]]=$G23,IO23,Distances[[#This Row],[Colonne231]]+1)</f>
        <v>80</v>
      </c>
      <c r="IQ23" s="17">
        <f>IF(Distances[[#This Row],[Colonne232]]=$G23,IP23,Distances[[#This Row],[Colonne232]]+1)</f>
        <v>80</v>
      </c>
      <c r="IR23" s="17">
        <f>IF(Distances[[#This Row],[Colonne233]]=$G23,IQ23,Distances[[#This Row],[Colonne233]]+1)</f>
        <v>80</v>
      </c>
      <c r="IS23" s="17">
        <f>IF(Distances[[#This Row],[Colonne234]]=$G23,IR23,Distances[[#This Row],[Colonne234]]+1)</f>
        <v>80</v>
      </c>
      <c r="IT23" s="17">
        <f>IF(Distances[[#This Row],[Colonne235]]=$G23,IS23,Distances[[#This Row],[Colonne235]]+1)</f>
        <v>80</v>
      </c>
      <c r="IU23" s="17">
        <f>IF(Distances[[#This Row],[Colonne236]]=$G23,IT23,Distances[[#This Row],[Colonne236]]+1)</f>
        <v>80</v>
      </c>
      <c r="IV23" s="17">
        <f>IF(Distances[[#This Row],[Colonne237]]=$G23,IU23,Distances[[#This Row],[Colonne237]]+1)</f>
        <v>80</v>
      </c>
      <c r="IW23" s="17">
        <f>IF(Distances[[#This Row],[Colonne238]]=$G23,IV23,Distances[[#This Row],[Colonne238]]+1)</f>
        <v>80</v>
      </c>
      <c r="IX23" s="17">
        <f>IF(Distances[[#This Row],[Colonne239]]=$G23,IW23,Distances[[#This Row],[Colonne239]]+1)</f>
        <v>80</v>
      </c>
      <c r="IY23" s="17">
        <f>IF(Distances[[#This Row],[Colonne240]]=$G23,IX23,Distances[[#This Row],[Colonne240]]+1)</f>
        <v>80</v>
      </c>
      <c r="IZ23" s="17">
        <f>IF(Distances[[#This Row],[Colonne241]]=$G23,IY23,Distances[[#This Row],[Colonne241]]+1)</f>
        <v>80</v>
      </c>
      <c r="JA23" s="17">
        <f>IF(Distances[[#This Row],[Colonne242]]=$G23,IZ23,Distances[[#This Row],[Colonne242]]+1)</f>
        <v>80</v>
      </c>
      <c r="JB23" s="17">
        <f>IF(Distances[[#This Row],[Colonne243]]=$G23,JA23,Distances[[#This Row],[Colonne243]]+1)</f>
        <v>80</v>
      </c>
      <c r="JC23" s="17">
        <f>IF(Distances[[#This Row],[Colonne244]]=$G23,JB23,Distances[[#This Row],[Colonne244]]+1)</f>
        <v>80</v>
      </c>
      <c r="JD23" s="17">
        <f>IF(Distances[[#This Row],[Colonne245]]=$G23,JC23,Distances[[#This Row],[Colonne245]]+1)</f>
        <v>80</v>
      </c>
      <c r="JE23" s="17">
        <f>IF(Distances[[#This Row],[Colonne246]]=$G23,JD23,Distances[[#This Row],[Colonne246]]+1)</f>
        <v>80</v>
      </c>
      <c r="JF23" s="17">
        <f>IF(Distances[[#This Row],[Colonne247]]=$G23,JE23,Distances[[#This Row],[Colonne247]]+1)</f>
        <v>80</v>
      </c>
      <c r="JG23" s="17">
        <f>IF(Distances[[#This Row],[Colonne248]]=$G23,JF23,Distances[[#This Row],[Colonne248]]+1)</f>
        <v>80</v>
      </c>
      <c r="JH23" s="17">
        <f>IF(Distances[[#This Row],[Colonne249]]=$G23,JG23,Distances[[#This Row],[Colonne249]]+1)</f>
        <v>80</v>
      </c>
      <c r="JI23" s="17">
        <f>IF(Distances[[#This Row],[Colonne250]]=$G23,JH23,Distances[[#This Row],[Colonne250]]+1)</f>
        <v>80</v>
      </c>
      <c r="JJ23" s="17">
        <f>IF(Distances[[#This Row],[Colonne251]]=$G23,JI23,Distances[[#This Row],[Colonne251]]+1)</f>
        <v>80</v>
      </c>
      <c r="JK23" s="17">
        <f>IF(Distances[[#This Row],[Colonne252]]=$G23,JJ23,Distances[[#This Row],[Colonne252]]+1)</f>
        <v>80</v>
      </c>
      <c r="JL23" s="17">
        <f>IF(Distances[[#This Row],[Colonne253]]=$G23,JK23,Distances[[#This Row],[Colonne253]]+1)</f>
        <v>80</v>
      </c>
      <c r="JM23" s="17">
        <f>IF(Distances[[#This Row],[Colonne254]]=$G23,JL23,Distances[[#This Row],[Colonne254]]+1)</f>
        <v>80</v>
      </c>
      <c r="JN23" s="17">
        <f>IF(Distances[[#This Row],[Colonne255]]=$G23,JM23,Distances[[#This Row],[Colonne255]]+1)</f>
        <v>80</v>
      </c>
      <c r="JO23" s="17">
        <f>IF(Distances[[#This Row],[Colonne256]]=$G23,JN23,Distances[[#This Row],[Colonne256]]+1)</f>
        <v>80</v>
      </c>
      <c r="JP23" s="17">
        <f>IF(Distances[[#This Row],[Colonne257]]=$G23,JO23,Distances[[#This Row],[Colonne257]]+1)</f>
        <v>80</v>
      </c>
      <c r="JQ23" s="17">
        <f>IF(Distances[[#This Row],[Colonne258]]=$G23,JP23,Distances[[#This Row],[Colonne258]]+1)</f>
        <v>80</v>
      </c>
      <c r="JR23" s="17">
        <f>IF(Distances[[#This Row],[Colonne259]]=$G23,JQ23,Distances[[#This Row],[Colonne259]]+1)</f>
        <v>80</v>
      </c>
      <c r="JS23" s="17">
        <f>IF(Distances[[#This Row],[Colonne260]]=$G23,JR23,Distances[[#This Row],[Colonne260]]+1)</f>
        <v>80</v>
      </c>
      <c r="JT23" s="17">
        <f>IF(Distances[[#This Row],[Colonne261]]=$G23,JS23,Distances[[#This Row],[Colonne261]]+1)</f>
        <v>80</v>
      </c>
      <c r="JU23" s="17">
        <f>IF(Distances[[#This Row],[Colonne262]]=$G23,JT23,Distances[[#This Row],[Colonne262]]+1)</f>
        <v>80</v>
      </c>
      <c r="JV23" s="17">
        <f>IF(Distances[[#This Row],[Colonne263]]=$G23,JU23,Distances[[#This Row],[Colonne263]]+1)</f>
        <v>80</v>
      </c>
      <c r="JW23" s="17">
        <f>IF(Distances[[#This Row],[Colonne264]]=$G23,JV23,Distances[[#This Row],[Colonne264]]+1)</f>
        <v>80</v>
      </c>
      <c r="JX23" s="17">
        <f>IF(Distances[[#This Row],[Colonne265]]=$G23,JW23,Distances[[#This Row],[Colonne265]]+1)</f>
        <v>80</v>
      </c>
      <c r="JY23" s="17">
        <f>IF(Distances[[#This Row],[Colonne266]]=$G23,JX23,Distances[[#This Row],[Colonne266]]+1)</f>
        <v>80</v>
      </c>
      <c r="JZ23" s="17">
        <f>IF(Distances[[#This Row],[Colonne267]]=$G23,JY23,Distances[[#This Row],[Colonne267]]+1)</f>
        <v>80</v>
      </c>
      <c r="KA23" s="17">
        <f>IF(Distances[[#This Row],[Colonne268]]=$G23,JZ23,Distances[[#This Row],[Colonne268]]+1)</f>
        <v>80</v>
      </c>
      <c r="KB23" s="17">
        <f>IF(Distances[[#This Row],[Colonne269]]=$G23,KA23,Distances[[#This Row],[Colonne269]]+1)</f>
        <v>80</v>
      </c>
      <c r="KC23" s="17">
        <f>IF(Distances[[#This Row],[Colonne270]]=$G23,KB23,Distances[[#This Row],[Colonne270]]+1)</f>
        <v>80</v>
      </c>
      <c r="KD23" s="17">
        <f>IF(Distances[[#This Row],[Colonne271]]=$G23,KC23,Distances[[#This Row],[Colonne271]]+1)</f>
        <v>80</v>
      </c>
      <c r="KE23" s="17">
        <f>IF(Distances[[#This Row],[Colonne272]]=$G23,KD23,Distances[[#This Row],[Colonne272]]+1)</f>
        <v>80</v>
      </c>
      <c r="KF23" s="17">
        <f>IF(Distances[[#This Row],[Colonne273]]=$G23,KE23,Distances[[#This Row],[Colonne273]]+1)</f>
        <v>80</v>
      </c>
      <c r="KG23" s="17">
        <f>IF(Distances[[#This Row],[Colonne274]]=$G23,KF23,Distances[[#This Row],[Colonne274]]+1)</f>
        <v>80</v>
      </c>
      <c r="KH23" s="17">
        <f>IF(Distances[[#This Row],[Colonne275]]=$G23,KG23,Distances[[#This Row],[Colonne275]]+1)</f>
        <v>80</v>
      </c>
      <c r="KI23" s="17">
        <f>IF(Distances[[#This Row],[Colonne276]]=$G23,KH23,Distances[[#This Row],[Colonne276]]+1)</f>
        <v>80</v>
      </c>
      <c r="KJ23" s="17">
        <f>IF(Distances[[#This Row],[Colonne277]]=$G23,KI23,Distances[[#This Row],[Colonne277]]+1)</f>
        <v>80</v>
      </c>
      <c r="KK23" s="17">
        <f>IF(Distances[[#This Row],[Colonne278]]=$G23,KJ23,Distances[[#This Row],[Colonne278]]+1)</f>
        <v>80</v>
      </c>
      <c r="KL23" s="17">
        <f>IF(Distances[[#This Row],[Colonne279]]=$G23,KK23,Distances[[#This Row],[Colonne279]]+1)</f>
        <v>80</v>
      </c>
      <c r="KM23" s="17">
        <f>IF(Distances[[#This Row],[Colonne280]]=$G23,KL23,Distances[[#This Row],[Colonne280]]+1)</f>
        <v>80</v>
      </c>
      <c r="KN23" s="17">
        <f>IF(Distances[[#This Row],[Colonne281]]=$G23,KM23,Distances[[#This Row],[Colonne281]]+1)</f>
        <v>80</v>
      </c>
      <c r="KO23" s="17">
        <f>IF(Distances[[#This Row],[Colonne282]]=$G23,KN23,Distances[[#This Row],[Colonne282]]+1)</f>
        <v>80</v>
      </c>
      <c r="KP23" s="17">
        <f>IF(Distances[[#This Row],[Colonne283]]=$G23,KO23,Distances[[#This Row],[Colonne283]]+1)</f>
        <v>80</v>
      </c>
      <c r="KQ23" s="17">
        <f>IF(Distances[[#This Row],[Colonne284]]=$G23,KP23,Distances[[#This Row],[Colonne284]]+1)</f>
        <v>80</v>
      </c>
      <c r="KR23" s="17">
        <f>IF(Distances[[#This Row],[Colonne285]]=$G23,KQ23,Distances[[#This Row],[Colonne285]]+1)</f>
        <v>80</v>
      </c>
      <c r="KS23" s="17">
        <f>IF(Distances[[#This Row],[Colonne286]]=$G23,KR23,Distances[[#This Row],[Colonne286]]+1)</f>
        <v>80</v>
      </c>
      <c r="KT23" s="17">
        <f>IF(Distances[[#This Row],[Colonne287]]=$G23,KS23,Distances[[#This Row],[Colonne287]]+1)</f>
        <v>80</v>
      </c>
      <c r="KU23" s="17">
        <f>IF(Distances[[#This Row],[Colonne288]]=$G23,KT23,Distances[[#This Row],[Colonne288]]+1)</f>
        <v>80</v>
      </c>
      <c r="KV23" s="17">
        <f>IF(Distances[[#This Row],[Colonne289]]=$G23,KU23,Distances[[#This Row],[Colonne289]]+1)</f>
        <v>80</v>
      </c>
      <c r="KW23" s="17">
        <f>IF(Distances[[#This Row],[Colonne290]]=$G23,KV23,Distances[[#This Row],[Colonne290]]+1)</f>
        <v>80</v>
      </c>
      <c r="KX23" s="17">
        <f>IF(Distances[[#This Row],[Colonne291]]=$G23,KW23,Distances[[#This Row],[Colonne291]]+1)</f>
        <v>80</v>
      </c>
      <c r="KY23" s="17">
        <f>IF(Distances[[#This Row],[Colonne292]]=$G23,KX23,Distances[[#This Row],[Colonne292]]+1)</f>
        <v>80</v>
      </c>
      <c r="KZ23" s="17">
        <f>IF(Distances[[#This Row],[Colonne293]]=$G23,KY23,Distances[[#This Row],[Colonne293]]+1)</f>
        <v>80</v>
      </c>
      <c r="LA23" s="17">
        <f>IF(Distances[[#This Row],[Colonne294]]=$G23,KZ23,Distances[[#This Row],[Colonne294]]+1)</f>
        <v>80</v>
      </c>
      <c r="LB23" s="17">
        <f>IF(Distances[[#This Row],[Colonne295]]=$G23,LA23,Distances[[#This Row],[Colonne295]]+1)</f>
        <v>80</v>
      </c>
      <c r="LC23" s="17">
        <f>IF(Distances[[#This Row],[Colonne296]]=$G23,LB23,Distances[[#This Row],[Colonne296]]+1)</f>
        <v>80</v>
      </c>
      <c r="LD23" s="17">
        <f>IF(Distances[[#This Row],[Colonne297]]=$G23,LC23,Distances[[#This Row],[Colonne297]]+1)</f>
        <v>80</v>
      </c>
      <c r="LE23" s="17">
        <f>IF(Distances[[#This Row],[Colonne298]]=$G23,LD23,Distances[[#This Row],[Colonne298]]+1)</f>
        <v>80</v>
      </c>
      <c r="LF23" s="17">
        <f>IF(Distances[[#This Row],[Colonne299]]=$G23,LE23,Distances[[#This Row],[Colonne299]]+1)</f>
        <v>80</v>
      </c>
      <c r="LG23" s="17">
        <f>IF(Distances[[#This Row],[Colonne300]]=$G23,LF23,Distances[[#This Row],[Colonne300]]+1)</f>
        <v>80</v>
      </c>
      <c r="LH23" s="17">
        <f>IF(Distances[[#This Row],[Colonne301]]=$G23,LG23,Distances[[#This Row],[Colonne301]]+1)</f>
        <v>80</v>
      </c>
      <c r="LI23" s="17">
        <f>IF(Distances[[#This Row],[Colonne302]]=$G23,LH23,Distances[[#This Row],[Colonne302]]+1)</f>
        <v>80</v>
      </c>
      <c r="LJ23" s="17">
        <f>IF(Distances[[#This Row],[Colonne303]]=$G23,LI23,Distances[[#This Row],[Colonne303]]+1)</f>
        <v>80</v>
      </c>
      <c r="LK23" s="51"/>
      <c r="LL23" s="17">
        <f t="shared" ref="LL23:NW23" si="44">IF(LK23=$H23,LK23,LK23+1)</f>
        <v>1</v>
      </c>
      <c r="LM23" s="17">
        <f t="shared" si="44"/>
        <v>2</v>
      </c>
      <c r="LN23" s="17">
        <f t="shared" si="44"/>
        <v>3</v>
      </c>
      <c r="LO23" s="17">
        <f t="shared" si="44"/>
        <v>4</v>
      </c>
      <c r="LP23" s="17">
        <f t="shared" si="44"/>
        <v>5</v>
      </c>
      <c r="LQ23" s="17">
        <f t="shared" si="44"/>
        <v>6</v>
      </c>
      <c r="LR23" s="17">
        <f t="shared" si="44"/>
        <v>7</v>
      </c>
      <c r="LS23" s="17">
        <f t="shared" si="44"/>
        <v>8</v>
      </c>
      <c r="LT23" s="17">
        <f t="shared" si="44"/>
        <v>9</v>
      </c>
      <c r="LU23" s="17">
        <f t="shared" si="44"/>
        <v>10</v>
      </c>
      <c r="LV23" s="17">
        <f t="shared" si="44"/>
        <v>11</v>
      </c>
      <c r="LW23" s="17">
        <f t="shared" si="44"/>
        <v>12</v>
      </c>
      <c r="LX23" s="17">
        <f t="shared" si="44"/>
        <v>13</v>
      </c>
      <c r="LY23" s="17">
        <f t="shared" si="44"/>
        <v>14</v>
      </c>
      <c r="LZ23" s="17">
        <f t="shared" si="44"/>
        <v>15</v>
      </c>
      <c r="MA23" s="17">
        <f t="shared" si="44"/>
        <v>16</v>
      </c>
      <c r="MB23" s="17">
        <f t="shared" si="44"/>
        <v>17</v>
      </c>
      <c r="MC23" s="17">
        <f t="shared" si="44"/>
        <v>18</v>
      </c>
      <c r="MD23" s="17">
        <f t="shared" si="44"/>
        <v>19</v>
      </c>
      <c r="ME23" s="17">
        <f t="shared" si="44"/>
        <v>20</v>
      </c>
      <c r="MF23" s="17">
        <f t="shared" si="44"/>
        <v>21</v>
      </c>
      <c r="MG23" s="17">
        <f t="shared" si="44"/>
        <v>22</v>
      </c>
      <c r="MH23" s="17">
        <f t="shared" si="44"/>
        <v>23</v>
      </c>
      <c r="MI23" s="17">
        <f t="shared" si="44"/>
        <v>24</v>
      </c>
      <c r="MJ23" s="17">
        <f t="shared" si="44"/>
        <v>25</v>
      </c>
      <c r="MK23" s="17">
        <f t="shared" si="44"/>
        <v>26</v>
      </c>
      <c r="ML23" s="17">
        <f t="shared" si="44"/>
        <v>27</v>
      </c>
      <c r="MM23" s="17">
        <f t="shared" si="44"/>
        <v>28</v>
      </c>
      <c r="MN23" s="17">
        <f t="shared" si="44"/>
        <v>29</v>
      </c>
      <c r="MO23" s="17">
        <f t="shared" si="44"/>
        <v>30</v>
      </c>
      <c r="MP23" s="17">
        <f t="shared" si="44"/>
        <v>31</v>
      </c>
      <c r="MQ23" s="17">
        <f t="shared" si="44"/>
        <v>32</v>
      </c>
      <c r="MR23" s="17">
        <f t="shared" si="44"/>
        <v>33</v>
      </c>
      <c r="MS23" s="17">
        <f t="shared" si="44"/>
        <v>34</v>
      </c>
      <c r="MT23" s="17">
        <f t="shared" si="44"/>
        <v>35</v>
      </c>
      <c r="MU23" s="17">
        <f t="shared" si="44"/>
        <v>35</v>
      </c>
      <c r="MV23" s="17">
        <f t="shared" si="44"/>
        <v>35</v>
      </c>
      <c r="MW23" s="17">
        <f t="shared" si="44"/>
        <v>35</v>
      </c>
      <c r="MX23" s="17">
        <f t="shared" si="44"/>
        <v>35</v>
      </c>
      <c r="MY23" s="17">
        <f t="shared" si="44"/>
        <v>35</v>
      </c>
      <c r="MZ23" s="17">
        <f t="shared" si="44"/>
        <v>35</v>
      </c>
      <c r="NA23" s="17">
        <f t="shared" si="44"/>
        <v>35</v>
      </c>
      <c r="NB23" s="17">
        <f t="shared" si="44"/>
        <v>35</v>
      </c>
      <c r="NC23" s="17">
        <f t="shared" si="44"/>
        <v>35</v>
      </c>
      <c r="ND23" s="17">
        <f t="shared" si="44"/>
        <v>35</v>
      </c>
      <c r="NE23" s="17">
        <f t="shared" si="44"/>
        <v>35</v>
      </c>
      <c r="NF23" s="17">
        <f t="shared" si="44"/>
        <v>35</v>
      </c>
      <c r="NG23" s="17">
        <f t="shared" si="44"/>
        <v>35</v>
      </c>
      <c r="NH23" s="17">
        <f t="shared" si="44"/>
        <v>35</v>
      </c>
      <c r="NI23" s="17">
        <f t="shared" si="44"/>
        <v>35</v>
      </c>
      <c r="NJ23" s="17">
        <f t="shared" si="44"/>
        <v>35</v>
      </c>
      <c r="NK23" s="17">
        <f t="shared" si="44"/>
        <v>35</v>
      </c>
      <c r="NL23" s="17">
        <f t="shared" si="44"/>
        <v>35</v>
      </c>
      <c r="NM23" s="17">
        <f t="shared" si="44"/>
        <v>35</v>
      </c>
      <c r="NN23" s="17">
        <f t="shared" si="44"/>
        <v>35</v>
      </c>
      <c r="NO23" s="17">
        <f t="shared" si="44"/>
        <v>35</v>
      </c>
      <c r="NP23" s="17">
        <f t="shared" si="44"/>
        <v>35</v>
      </c>
      <c r="NQ23" s="17">
        <f t="shared" si="44"/>
        <v>35</v>
      </c>
      <c r="NR23" s="17">
        <f t="shared" si="44"/>
        <v>35</v>
      </c>
      <c r="NS23" s="17">
        <f t="shared" si="44"/>
        <v>35</v>
      </c>
      <c r="NT23" s="17">
        <f t="shared" si="44"/>
        <v>35</v>
      </c>
      <c r="NU23" s="17">
        <f t="shared" si="44"/>
        <v>35</v>
      </c>
      <c r="NV23" s="17">
        <f t="shared" si="44"/>
        <v>35</v>
      </c>
      <c r="NW23" s="17">
        <f t="shared" si="44"/>
        <v>35</v>
      </c>
      <c r="NX23" s="17">
        <f t="shared" ref="NX23:PG23" si="45">IF(NW23=$H23,NW23,NW23+1)</f>
        <v>35</v>
      </c>
      <c r="NY23" s="17">
        <f t="shared" si="45"/>
        <v>35</v>
      </c>
      <c r="NZ23" s="17">
        <f t="shared" si="45"/>
        <v>35</v>
      </c>
      <c r="OA23" s="17">
        <f t="shared" si="45"/>
        <v>35</v>
      </c>
      <c r="OB23" s="17">
        <f t="shared" si="45"/>
        <v>35</v>
      </c>
      <c r="OC23" s="17">
        <f t="shared" si="45"/>
        <v>35</v>
      </c>
      <c r="OD23" s="17">
        <f t="shared" si="45"/>
        <v>35</v>
      </c>
      <c r="OE23" s="17">
        <f t="shared" si="45"/>
        <v>35</v>
      </c>
      <c r="OF23" s="17">
        <f t="shared" si="45"/>
        <v>35</v>
      </c>
      <c r="OG23" s="17">
        <f t="shared" si="45"/>
        <v>35</v>
      </c>
      <c r="OH23" s="17">
        <f t="shared" si="45"/>
        <v>35</v>
      </c>
      <c r="OI23" s="17">
        <f t="shared" si="45"/>
        <v>35</v>
      </c>
      <c r="OJ23" s="17">
        <f t="shared" si="45"/>
        <v>35</v>
      </c>
      <c r="OK23" s="17">
        <f t="shared" si="45"/>
        <v>35</v>
      </c>
      <c r="OL23" s="17">
        <f t="shared" si="45"/>
        <v>35</v>
      </c>
      <c r="OM23" s="17">
        <f t="shared" si="45"/>
        <v>35</v>
      </c>
      <c r="ON23" s="17">
        <f t="shared" si="45"/>
        <v>35</v>
      </c>
      <c r="OO23" s="17">
        <f t="shared" si="45"/>
        <v>35</v>
      </c>
      <c r="OP23" s="17">
        <f t="shared" si="45"/>
        <v>35</v>
      </c>
      <c r="OQ23" s="17">
        <f t="shared" si="45"/>
        <v>35</v>
      </c>
      <c r="OR23" s="17">
        <f t="shared" si="45"/>
        <v>35</v>
      </c>
      <c r="OS23" s="17">
        <f t="shared" si="45"/>
        <v>35</v>
      </c>
      <c r="OT23" s="17">
        <f t="shared" si="45"/>
        <v>35</v>
      </c>
      <c r="OU23" s="17">
        <f t="shared" si="45"/>
        <v>35</v>
      </c>
      <c r="OV23" s="17">
        <f t="shared" si="45"/>
        <v>35</v>
      </c>
      <c r="OW23" s="17">
        <f t="shared" si="45"/>
        <v>35</v>
      </c>
      <c r="OX23" s="17">
        <f t="shared" si="45"/>
        <v>35</v>
      </c>
      <c r="OY23" s="17">
        <f t="shared" si="45"/>
        <v>35</v>
      </c>
      <c r="OZ23" s="17">
        <f t="shared" si="45"/>
        <v>35</v>
      </c>
      <c r="PA23" s="17">
        <f t="shared" si="45"/>
        <v>35</v>
      </c>
      <c r="PB23" s="17">
        <f t="shared" si="45"/>
        <v>35</v>
      </c>
      <c r="PC23" s="17">
        <f t="shared" si="45"/>
        <v>35</v>
      </c>
      <c r="PD23" s="17">
        <f t="shared" si="45"/>
        <v>35</v>
      </c>
      <c r="PE23" s="17">
        <f t="shared" si="45"/>
        <v>35</v>
      </c>
      <c r="PF23" s="17">
        <f t="shared" si="45"/>
        <v>35</v>
      </c>
      <c r="PG23" s="17">
        <f t="shared" si="45"/>
        <v>35</v>
      </c>
    </row>
    <row r="24" spans="1:423" x14ac:dyDescent="0.25">
      <c r="A24" s="8" t="s">
        <v>5507</v>
      </c>
      <c r="B24" s="9" t="s">
        <v>5503</v>
      </c>
      <c r="C24" s="9" t="str">
        <f t="shared" si="0"/>
        <v>BR1</v>
      </c>
      <c r="D24" s="1" t="str">
        <f t="shared" si="1"/>
        <v>Bande R1</v>
      </c>
      <c r="E24" s="1" t="s">
        <v>15</v>
      </c>
      <c r="F24" s="9" t="s">
        <v>5452</v>
      </c>
      <c r="G24" s="9">
        <v>60</v>
      </c>
      <c r="H24" s="9">
        <v>40</v>
      </c>
      <c r="I24" s="127">
        <v>2.8</v>
      </c>
      <c r="J24" s="30"/>
      <c r="K24" s="281"/>
      <c r="L24" s="8">
        <v>1</v>
      </c>
      <c r="M24" s="9">
        <v>1</v>
      </c>
      <c r="N24" s="10">
        <v>1.7490000000000001</v>
      </c>
      <c r="O24" s="269"/>
      <c r="P24" s="331"/>
      <c r="Q24" s="335"/>
      <c r="R24" s="128">
        <v>1</v>
      </c>
      <c r="S24" s="9">
        <v>1</v>
      </c>
      <c r="T24" s="10">
        <v>2</v>
      </c>
      <c r="U24" t="s">
        <v>5523</v>
      </c>
      <c r="V24" s="17">
        <v>0</v>
      </c>
      <c r="W24" s="17">
        <f>IF(Distances[[#This Row],[Colonne4]]=$G24,V24,Distances[[#This Row],[Colonne4]]+1)</f>
        <v>1</v>
      </c>
      <c r="X24" s="17">
        <f>IF(Distances[[#This Row],[Colonne5]]=$G24,W24,Distances[[#This Row],[Colonne5]]+1)</f>
        <v>2</v>
      </c>
      <c r="Y24" s="17">
        <f>IF(Distances[[#This Row],[Colonne6]]=$G24,X24,Distances[[#This Row],[Colonne6]]+1)</f>
        <v>3</v>
      </c>
      <c r="Z24" s="17">
        <f>IF(Distances[[#This Row],[Colonne7]]=$G24,Y24,Distances[[#This Row],[Colonne7]]+1)</f>
        <v>4</v>
      </c>
      <c r="AA24" s="17">
        <f>IF(Distances[[#This Row],[Colonne8]]=$G24,Z24,Distances[[#This Row],[Colonne8]]+1)</f>
        <v>5</v>
      </c>
      <c r="AB24" s="17">
        <f>IF(Distances[[#This Row],[Colonne9]]=$G24,AA24,Distances[[#This Row],[Colonne9]]+1)</f>
        <v>6</v>
      </c>
      <c r="AC24" s="17">
        <f>IF(Distances[[#This Row],[Colonne10]]=$G24,AB24,Distances[[#This Row],[Colonne10]]+1)</f>
        <v>7</v>
      </c>
      <c r="AD24" s="17">
        <f>IF(Distances[[#This Row],[Colonne11]]=$G24,AC24,Distances[[#This Row],[Colonne11]]+1)</f>
        <v>8</v>
      </c>
      <c r="AE24" s="17">
        <f>IF(Distances[[#This Row],[Colonne12]]=$G24,AD24,Distances[[#This Row],[Colonne12]]+1)</f>
        <v>9</v>
      </c>
      <c r="AF24" s="17">
        <f>IF(Distances[[#This Row],[Colonne13]]=$G24,AE24,Distances[[#This Row],[Colonne13]]+1)</f>
        <v>10</v>
      </c>
      <c r="AG24" s="17">
        <f>IF(Distances[[#This Row],[Colonne14]]=$G24,AF24,Distances[[#This Row],[Colonne14]]+1)</f>
        <v>11</v>
      </c>
      <c r="AH24" s="17">
        <f>IF(Distances[[#This Row],[Colonne15]]=$G24,AG24,Distances[[#This Row],[Colonne15]]+1)</f>
        <v>12</v>
      </c>
      <c r="AI24" s="17">
        <f>IF(Distances[[#This Row],[Colonne16]]=$G24,AH24,Distances[[#This Row],[Colonne16]]+1)</f>
        <v>13</v>
      </c>
      <c r="AJ24" s="17">
        <f>IF(Distances[[#This Row],[Colonne17]]=$G24,AI24,Distances[[#This Row],[Colonne17]]+1)</f>
        <v>14</v>
      </c>
      <c r="AK24" s="17">
        <f>IF(Distances[[#This Row],[Colonne18]]=$G24,AJ24,Distances[[#This Row],[Colonne18]]+1)</f>
        <v>15</v>
      </c>
      <c r="AL24" s="17">
        <f>IF(Distances[[#This Row],[Colonne19]]=$G24,AK24,Distances[[#This Row],[Colonne19]]+1)</f>
        <v>16</v>
      </c>
      <c r="AM24" s="17">
        <f>IF(Distances[[#This Row],[Colonne20]]=$G24,AL24,Distances[[#This Row],[Colonne20]]+1)</f>
        <v>17</v>
      </c>
      <c r="AN24" s="17">
        <f>IF(Distances[[#This Row],[Colonne21]]=$G24,AM24,Distances[[#This Row],[Colonne21]]+1)</f>
        <v>18</v>
      </c>
      <c r="AO24" s="17">
        <f>IF(Distances[[#This Row],[Colonne22]]=$G24,AN24,Distances[[#This Row],[Colonne22]]+1)</f>
        <v>19</v>
      </c>
      <c r="AP24" s="17">
        <f>IF(Distances[[#This Row],[Colonne23]]=$G24,AO24,Distances[[#This Row],[Colonne23]]+1)</f>
        <v>20</v>
      </c>
      <c r="AQ24" s="17">
        <f>IF(Distances[[#This Row],[Colonne24]]=$G24,AP24,Distances[[#This Row],[Colonne24]]+1)</f>
        <v>21</v>
      </c>
      <c r="AR24" s="17">
        <f>IF(Distances[[#This Row],[Colonne25]]=$G24,AQ24,Distances[[#This Row],[Colonne25]]+1)</f>
        <v>22</v>
      </c>
      <c r="AS24" s="17">
        <f>IF(Distances[[#This Row],[Colonne26]]=$G24,AR24,Distances[[#This Row],[Colonne26]]+1)</f>
        <v>23</v>
      </c>
      <c r="AT24" s="17">
        <f>IF(Distances[[#This Row],[Colonne27]]=$G24,AS24,Distances[[#This Row],[Colonne27]]+1)</f>
        <v>24</v>
      </c>
      <c r="AU24" s="17">
        <f>IF(Distances[[#This Row],[Colonne28]]=$G24,AT24,Distances[[#This Row],[Colonne28]]+1)</f>
        <v>25</v>
      </c>
      <c r="AV24" s="17">
        <f>IF(Distances[[#This Row],[Colonne29]]=$G24,AU24,Distances[[#This Row],[Colonne29]]+1)</f>
        <v>26</v>
      </c>
      <c r="AW24" s="17">
        <f>IF(Distances[[#This Row],[Colonne30]]=$G24,AV24,Distances[[#This Row],[Colonne30]]+1)</f>
        <v>27</v>
      </c>
      <c r="AX24" s="17">
        <f>IF(Distances[[#This Row],[Colonne31]]=$G24,AW24,Distances[[#This Row],[Colonne31]]+1)</f>
        <v>28</v>
      </c>
      <c r="AY24" s="17">
        <f>IF(Distances[[#This Row],[Colonne32]]=$G24,AX24,Distances[[#This Row],[Colonne32]]+1)</f>
        <v>29</v>
      </c>
      <c r="AZ24" s="17">
        <f>IF(Distances[[#This Row],[Colonne33]]=$G24,AY24,Distances[[#This Row],[Colonne33]]+1)</f>
        <v>30</v>
      </c>
      <c r="BA24" s="17">
        <f>IF(Distances[[#This Row],[Colonne34]]=$G24,AZ24,Distances[[#This Row],[Colonne34]]+1)</f>
        <v>31</v>
      </c>
      <c r="BB24" s="17">
        <f>IF(Distances[[#This Row],[Colonne35]]=$G24,BA24,Distances[[#This Row],[Colonne35]]+1)</f>
        <v>32</v>
      </c>
      <c r="BC24" s="17">
        <f>IF(Distances[[#This Row],[Colonne36]]=$G24,BB24,Distances[[#This Row],[Colonne36]]+1)</f>
        <v>33</v>
      </c>
      <c r="BD24" s="17">
        <f>IF(Distances[[#This Row],[Colonne37]]=$G24,BC24,Distances[[#This Row],[Colonne37]]+1)</f>
        <v>34</v>
      </c>
      <c r="BE24" s="17">
        <f>IF(Distances[[#This Row],[Colonne38]]=$G24,BD24,Distances[[#This Row],[Colonne38]]+1)</f>
        <v>35</v>
      </c>
      <c r="BF24" s="17">
        <f>IF(Distances[[#This Row],[Colonne39]]=$G24,BE24,Distances[[#This Row],[Colonne39]]+1)</f>
        <v>36</v>
      </c>
      <c r="BG24" s="17">
        <f>IF(Distances[[#This Row],[Colonne40]]=$G24,BF24,Distances[[#This Row],[Colonne40]]+1)</f>
        <v>37</v>
      </c>
      <c r="BH24" s="17">
        <f>IF(Distances[[#This Row],[Colonne41]]=$G24,BG24,Distances[[#This Row],[Colonne41]]+1)</f>
        <v>38</v>
      </c>
      <c r="BI24" s="17">
        <f>IF(Distances[[#This Row],[Colonne42]]=$G24,BH24,Distances[[#This Row],[Colonne42]]+1)</f>
        <v>39</v>
      </c>
      <c r="BJ24" s="17">
        <f>IF(Distances[[#This Row],[Colonne43]]=$G24,BI24,Distances[[#This Row],[Colonne43]]+1)</f>
        <v>40</v>
      </c>
      <c r="BK24" s="17">
        <f>IF(Distances[[#This Row],[Colonne44]]=$G24,BJ24,Distances[[#This Row],[Colonne44]]+1)</f>
        <v>41</v>
      </c>
      <c r="BL24" s="17">
        <f>IF(Distances[[#This Row],[Colonne45]]=$G24,BK24,Distances[[#This Row],[Colonne45]]+1)</f>
        <v>42</v>
      </c>
      <c r="BM24" s="17">
        <f>IF(Distances[[#This Row],[Colonne46]]=$G24,BL24,Distances[[#This Row],[Colonne46]]+1)</f>
        <v>43</v>
      </c>
      <c r="BN24" s="17">
        <f>IF(Distances[[#This Row],[Colonne47]]=$G24,BM24,Distances[[#This Row],[Colonne47]]+1)</f>
        <v>44</v>
      </c>
      <c r="BO24" s="17">
        <f>IF(Distances[[#This Row],[Colonne48]]=$G24,BN24,Distances[[#This Row],[Colonne48]]+1)</f>
        <v>45</v>
      </c>
      <c r="BP24" s="17">
        <f>IF(Distances[[#This Row],[Colonne49]]=$G24,BO24,Distances[[#This Row],[Colonne49]]+1)</f>
        <v>46</v>
      </c>
      <c r="BQ24" s="17">
        <f>IF(Distances[[#This Row],[Colonne50]]=$G24,BP24,Distances[[#This Row],[Colonne50]]+1)</f>
        <v>47</v>
      </c>
      <c r="BR24" s="17">
        <f>IF(Distances[[#This Row],[Colonne51]]=$G24,BQ24,Distances[[#This Row],[Colonne51]]+1)</f>
        <v>48</v>
      </c>
      <c r="BS24" s="17">
        <f>IF(Distances[[#This Row],[Colonne52]]=$G24,BR24,Distances[[#This Row],[Colonne52]]+1)</f>
        <v>49</v>
      </c>
      <c r="BT24" s="17">
        <f>IF(Distances[[#This Row],[Colonne53]]=$G24,BS24,Distances[[#This Row],[Colonne53]]+1)</f>
        <v>50</v>
      </c>
      <c r="BU24" s="17">
        <f>IF(Distances[[#This Row],[Colonne54]]=$G24,BT24,Distances[[#This Row],[Colonne54]]+1)</f>
        <v>51</v>
      </c>
      <c r="BV24" s="17">
        <f>IF(Distances[[#This Row],[Colonne55]]=$G24,BU24,Distances[[#This Row],[Colonne55]]+1)</f>
        <v>52</v>
      </c>
      <c r="BW24" s="17">
        <f>IF(Distances[[#This Row],[Colonne56]]=$G24,BV24,Distances[[#This Row],[Colonne56]]+1)</f>
        <v>53</v>
      </c>
      <c r="BX24" s="17">
        <f>IF(Distances[[#This Row],[Colonne57]]=$G24,BW24,Distances[[#This Row],[Colonne57]]+1)</f>
        <v>54</v>
      </c>
      <c r="BY24" s="17">
        <f>IF(Distances[[#This Row],[Colonne58]]=$G24,BX24,Distances[[#This Row],[Colonne58]]+1)</f>
        <v>55</v>
      </c>
      <c r="BZ24" s="17">
        <f>IF(Distances[[#This Row],[Colonne59]]=$G24,BY24,Distances[[#This Row],[Colonne59]]+1)</f>
        <v>56</v>
      </c>
      <c r="CA24" s="17">
        <f>IF(Distances[[#This Row],[Colonne60]]=$G24,BZ24,Distances[[#This Row],[Colonne60]]+1)</f>
        <v>57</v>
      </c>
      <c r="CB24" s="17">
        <f>IF(Distances[[#This Row],[Colonne61]]=$G24,CA24,Distances[[#This Row],[Colonne61]]+1)</f>
        <v>58</v>
      </c>
      <c r="CC24" s="17">
        <f>IF(Distances[[#This Row],[Colonne62]]=$G24,CB24,Distances[[#This Row],[Colonne62]]+1)</f>
        <v>59</v>
      </c>
      <c r="CD24" s="17">
        <f>IF(Distances[[#This Row],[Colonne63]]=$G24,CC24,Distances[[#This Row],[Colonne63]]+1)</f>
        <v>60</v>
      </c>
      <c r="CE24" s="17">
        <f>IF(Distances[[#This Row],[Colonne64]]=$G24,CD24,Distances[[#This Row],[Colonne64]]+1)</f>
        <v>60</v>
      </c>
      <c r="CF24" s="17">
        <f>IF(Distances[[#This Row],[Colonne65]]=$G24,CE24,Distances[[#This Row],[Colonne65]]+1)</f>
        <v>60</v>
      </c>
      <c r="CG24" s="17">
        <f>IF(Distances[[#This Row],[Colonne66]]=$G24,CF24,Distances[[#This Row],[Colonne66]]+1)</f>
        <v>60</v>
      </c>
      <c r="CH24" s="17">
        <f>IF(Distances[[#This Row],[Colonne67]]=$G24,CG24,Distances[[#This Row],[Colonne67]]+1)</f>
        <v>60</v>
      </c>
      <c r="CI24" s="17">
        <f>IF(Distances[[#This Row],[Colonne68]]=$G24,CH24,Distances[[#This Row],[Colonne68]]+1)</f>
        <v>60</v>
      </c>
      <c r="CJ24" s="17">
        <f>IF(Distances[[#This Row],[Colonne69]]=$G24,CI24,Distances[[#This Row],[Colonne69]]+1)</f>
        <v>60</v>
      </c>
      <c r="CK24" s="17">
        <f>IF(Distances[[#This Row],[Colonne70]]=$G24,CJ24,Distances[[#This Row],[Colonne70]]+1)</f>
        <v>60</v>
      </c>
      <c r="CL24" s="17">
        <f>IF(Distances[[#This Row],[Colonne71]]=$G24,CK24,Distances[[#This Row],[Colonne71]]+1)</f>
        <v>60</v>
      </c>
      <c r="CM24" s="17">
        <f>IF(Distances[[#This Row],[Colonne72]]=$G24,CL24,Distances[[#This Row],[Colonne72]]+1)</f>
        <v>60</v>
      </c>
      <c r="CN24" s="17">
        <f>IF(Distances[[#This Row],[Colonne73]]=$G24,CM24,Distances[[#This Row],[Colonne73]]+1)</f>
        <v>60</v>
      </c>
      <c r="CO24" s="17">
        <f>IF(Distances[[#This Row],[Colonne74]]=$G24,CN24,Distances[[#This Row],[Colonne74]]+1)</f>
        <v>60</v>
      </c>
      <c r="CP24" s="17">
        <f>IF(Distances[[#This Row],[Colonne75]]=$G24,CO24,Distances[[#This Row],[Colonne75]]+1)</f>
        <v>60</v>
      </c>
      <c r="CQ24" s="17">
        <f>IF(Distances[[#This Row],[Colonne76]]=$G24,CP24,Distances[[#This Row],[Colonne76]]+1)</f>
        <v>60</v>
      </c>
      <c r="CR24" s="17">
        <f>IF(Distances[[#This Row],[Colonne77]]=$G24,CQ24,Distances[[#This Row],[Colonne77]]+1)</f>
        <v>60</v>
      </c>
      <c r="CS24" s="17">
        <f>IF(Distances[[#This Row],[Colonne78]]=$G24,CR24,Distances[[#This Row],[Colonne78]]+1)</f>
        <v>60</v>
      </c>
      <c r="CT24" s="17">
        <f>IF(Distances[[#This Row],[Colonne79]]=$G24,CS24,Distances[[#This Row],[Colonne79]]+1)</f>
        <v>60</v>
      </c>
      <c r="CU24" s="17">
        <f>IF(Distances[[#This Row],[Colonne80]]=$G24,CT24,Distances[[#This Row],[Colonne80]]+1)</f>
        <v>60</v>
      </c>
      <c r="CV24" s="17">
        <f>IF(Distances[[#This Row],[Colonne81]]=$G24,CU24,Distances[[#This Row],[Colonne81]]+1)</f>
        <v>60</v>
      </c>
      <c r="CW24" s="17">
        <f>IF(Distances[[#This Row],[Colonne82]]=$G24,CV24,Distances[[#This Row],[Colonne82]]+1)</f>
        <v>60</v>
      </c>
      <c r="CX24" s="17">
        <f>IF(Distances[[#This Row],[Colonne83]]=$G24,CW24,Distances[[#This Row],[Colonne83]]+1)</f>
        <v>60</v>
      </c>
      <c r="CY24" s="17">
        <f>IF(Distances[[#This Row],[Colonne84]]=$G24,CX24,Distances[[#This Row],[Colonne84]]+1)</f>
        <v>60</v>
      </c>
      <c r="CZ24" s="17">
        <f>IF(Distances[[#This Row],[Colonne85]]=$G24,CY24,Distances[[#This Row],[Colonne85]]+1)</f>
        <v>60</v>
      </c>
      <c r="DA24" s="17">
        <f>IF(Distances[[#This Row],[Colonne86]]=$G24,CZ24,Distances[[#This Row],[Colonne86]]+1)</f>
        <v>60</v>
      </c>
      <c r="DB24" s="17">
        <f>IF(Distances[[#This Row],[Colonne87]]=$G24,DA24,Distances[[#This Row],[Colonne87]]+1)</f>
        <v>60</v>
      </c>
      <c r="DC24" s="17">
        <f>IF(Distances[[#This Row],[Colonne88]]=$G24,DB24,Distances[[#This Row],[Colonne88]]+1)</f>
        <v>60</v>
      </c>
      <c r="DD24" s="17">
        <f>IF(Distances[[#This Row],[Colonne89]]=$G24,DC24,Distances[[#This Row],[Colonne89]]+1)</f>
        <v>60</v>
      </c>
      <c r="DE24" s="17">
        <f>IF(Distances[[#This Row],[Colonne90]]=$G24,DD24,Distances[[#This Row],[Colonne90]]+1)</f>
        <v>60</v>
      </c>
      <c r="DF24" s="17">
        <f>IF(Distances[[#This Row],[Colonne91]]=$G24,DE24,Distances[[#This Row],[Colonne91]]+1)</f>
        <v>60</v>
      </c>
      <c r="DG24" s="17">
        <f>IF(Distances[[#This Row],[Colonne92]]=$G24,DF24,Distances[[#This Row],[Colonne92]]+1)</f>
        <v>60</v>
      </c>
      <c r="DH24" s="17">
        <f>IF(Distances[[#This Row],[Colonne93]]=$G24,DG24,Distances[[#This Row],[Colonne93]]+1)</f>
        <v>60</v>
      </c>
      <c r="DI24" s="17">
        <f>IF(Distances[[#This Row],[Colonne94]]=$G24,DH24,Distances[[#This Row],[Colonne94]]+1)</f>
        <v>60</v>
      </c>
      <c r="DJ24" s="17">
        <f>IF(Distances[[#This Row],[Colonne95]]=$G24,DI24,Distances[[#This Row],[Colonne95]]+1)</f>
        <v>60</v>
      </c>
      <c r="DK24" s="17">
        <f>IF(Distances[[#This Row],[Colonne96]]=$G24,DJ24,Distances[[#This Row],[Colonne96]]+1)</f>
        <v>60</v>
      </c>
      <c r="DL24" s="17">
        <f>IF(Distances[[#This Row],[Colonne97]]=$G24,DK24,Distances[[#This Row],[Colonne97]]+1)</f>
        <v>60</v>
      </c>
      <c r="DM24" s="17">
        <f>IF(Distances[[#This Row],[Colonne98]]=$G24,DL24,Distances[[#This Row],[Colonne98]]+1)</f>
        <v>60</v>
      </c>
      <c r="DN24" s="17">
        <f>IF(Distances[[#This Row],[Colonne99]]=$G24,DM24,Distances[[#This Row],[Colonne99]]+1)</f>
        <v>60</v>
      </c>
      <c r="DO24" s="17">
        <f>IF(Distances[[#This Row],[Colonne100]]=$G24,DN24,Distances[[#This Row],[Colonne100]]+1)</f>
        <v>60</v>
      </c>
      <c r="DP24" s="17">
        <f>IF(Distances[[#This Row],[Colonne101]]=$G24,DO24,Distances[[#This Row],[Colonne101]]+1)</f>
        <v>60</v>
      </c>
      <c r="DQ24" s="17">
        <f>IF(Distances[[#This Row],[Colonne102]]=$G24,DP24,Distances[[#This Row],[Colonne102]]+1)</f>
        <v>60</v>
      </c>
      <c r="DR24" s="17">
        <f>IF(Distances[[#This Row],[Colonne103]]=$G24,DQ24,Distances[[#This Row],[Colonne103]]+1)</f>
        <v>60</v>
      </c>
      <c r="DS24" s="17">
        <f>IF(Distances[[#This Row],[Colonne104]]=$G24,DR24,Distances[[#This Row],[Colonne104]]+1)</f>
        <v>60</v>
      </c>
      <c r="DT24" s="17">
        <f>IF(Distances[[#This Row],[Colonne105]]=$G24,DS24,Distances[[#This Row],[Colonne105]]+1)</f>
        <v>60</v>
      </c>
      <c r="DU24" s="17">
        <f>IF(Distances[[#This Row],[Colonne106]]=$G24,DT24,Distances[[#This Row],[Colonne106]]+1)</f>
        <v>60</v>
      </c>
      <c r="DV24" s="17">
        <f>IF(Distances[[#This Row],[Colonne107]]=$G24,DU24,Distances[[#This Row],[Colonne107]]+1)</f>
        <v>60</v>
      </c>
      <c r="DW24" s="17">
        <f>IF(Distances[[#This Row],[Colonne108]]=$G24,DV24,Distances[[#This Row],[Colonne108]]+1)</f>
        <v>60</v>
      </c>
      <c r="DX24" s="17">
        <f>IF(Distances[[#This Row],[Colonne109]]=$G24,DW24,Distances[[#This Row],[Colonne109]]+1)</f>
        <v>60</v>
      </c>
      <c r="DY24" s="17">
        <f>IF(Distances[[#This Row],[Colonne110]]=$G24,DX24,Distances[[#This Row],[Colonne110]]+1)</f>
        <v>60</v>
      </c>
      <c r="DZ24" s="17">
        <f>IF(Distances[[#This Row],[Colonne111]]=$G24,DY24,Distances[[#This Row],[Colonne111]]+1)</f>
        <v>60</v>
      </c>
      <c r="EA24" s="17">
        <f>IF(Distances[[#This Row],[Colonne112]]=$G24,DZ24,Distances[[#This Row],[Colonne112]]+1)</f>
        <v>60</v>
      </c>
      <c r="EB24" s="17">
        <f>IF(Distances[[#This Row],[Colonne113]]=$G24,EA24,Distances[[#This Row],[Colonne113]]+1)</f>
        <v>60</v>
      </c>
      <c r="EC24" s="17">
        <f>IF(Distances[[#This Row],[Colonne114]]=$G24,EB24,Distances[[#This Row],[Colonne114]]+1)</f>
        <v>60</v>
      </c>
      <c r="ED24" s="17">
        <f>IF(Distances[[#This Row],[Colonne115]]=$G24,EC24,Distances[[#This Row],[Colonne115]]+1)</f>
        <v>60</v>
      </c>
      <c r="EE24" s="17">
        <f>IF(Distances[[#This Row],[Colonne116]]=$G24,ED24,Distances[[#This Row],[Colonne116]]+1)</f>
        <v>60</v>
      </c>
      <c r="EF24" s="17">
        <f>IF(Distances[[#This Row],[Colonne117]]=$G24,EE24,Distances[[#This Row],[Colonne117]]+1)</f>
        <v>60</v>
      </c>
      <c r="EG24" s="17">
        <f>IF(Distances[[#This Row],[Colonne118]]=$G24,EF24,Distances[[#This Row],[Colonne118]]+1)</f>
        <v>60</v>
      </c>
      <c r="EH24" s="17">
        <f>IF(Distances[[#This Row],[Colonne119]]=$G24,EG24,Distances[[#This Row],[Colonne119]]+1)</f>
        <v>60</v>
      </c>
      <c r="EI24" s="17">
        <f>IF(Distances[[#This Row],[Colonne120]]=$G24,EH24,Distances[[#This Row],[Colonne120]]+1)</f>
        <v>60</v>
      </c>
      <c r="EJ24" s="17">
        <f>IF(Distances[[#This Row],[Colonne121]]=$G24,EI24,Distances[[#This Row],[Colonne121]]+1)</f>
        <v>60</v>
      </c>
      <c r="EK24" s="17">
        <f>IF(Distances[[#This Row],[Colonne122]]=$G24,EJ24,Distances[[#This Row],[Colonne122]]+1)</f>
        <v>60</v>
      </c>
      <c r="EL24" s="17">
        <f>IF(Distances[[#This Row],[Colonne123]]=$G24,EK24,Distances[[#This Row],[Colonne123]]+1)</f>
        <v>60</v>
      </c>
      <c r="EM24" s="17">
        <f>IF(Distances[[#This Row],[Colonne124]]=$G24,EL24,Distances[[#This Row],[Colonne124]]+1)</f>
        <v>60</v>
      </c>
      <c r="EN24" s="17">
        <f>IF(Distances[[#This Row],[Colonne125]]=$G24,EM24,Distances[[#This Row],[Colonne125]]+1)</f>
        <v>60</v>
      </c>
      <c r="EO24" s="17">
        <f>IF(Distances[[#This Row],[Colonne126]]=$G24,EN24,Distances[[#This Row],[Colonne126]]+1)</f>
        <v>60</v>
      </c>
      <c r="EP24" s="17">
        <f>IF(Distances[[#This Row],[Colonne127]]=$G24,EO24,Distances[[#This Row],[Colonne127]]+1)</f>
        <v>60</v>
      </c>
      <c r="EQ24" s="17">
        <f>IF(Distances[[#This Row],[Colonne128]]=$G24,EP24,Distances[[#This Row],[Colonne128]]+1)</f>
        <v>60</v>
      </c>
      <c r="ER24" s="17">
        <f>IF(Distances[[#This Row],[Colonne129]]=$G24,EQ24,Distances[[#This Row],[Colonne129]]+1)</f>
        <v>60</v>
      </c>
      <c r="ES24" s="17">
        <f>IF(Distances[[#This Row],[Colonne130]]=$G24,ER24,Distances[[#This Row],[Colonne130]]+1)</f>
        <v>60</v>
      </c>
      <c r="ET24" s="17">
        <f>IF(Distances[[#This Row],[Colonne131]]=$G24,ES24,Distances[[#This Row],[Colonne131]]+1)</f>
        <v>60</v>
      </c>
      <c r="EU24" s="17">
        <f>IF(Distances[[#This Row],[Colonne132]]=$G24,ET24,Distances[[#This Row],[Colonne132]]+1)</f>
        <v>60</v>
      </c>
      <c r="EV24" s="17">
        <f>IF(Distances[[#This Row],[Colonne133]]=$G24,EU24,Distances[[#This Row],[Colonne133]]+1)</f>
        <v>60</v>
      </c>
      <c r="EW24" s="17">
        <f>IF(Distances[[#This Row],[Colonne134]]=$G24,EV24,Distances[[#This Row],[Colonne134]]+1)</f>
        <v>60</v>
      </c>
      <c r="EX24" s="17">
        <f>IF(Distances[[#This Row],[Colonne135]]=$G24,EW24,Distances[[#This Row],[Colonne135]]+1)</f>
        <v>60</v>
      </c>
      <c r="EY24" s="17">
        <f>IF(Distances[[#This Row],[Colonne136]]=$G24,EX24,Distances[[#This Row],[Colonne136]]+1)</f>
        <v>60</v>
      </c>
      <c r="EZ24" s="17">
        <f>IF(Distances[[#This Row],[Colonne137]]=$G24,EY24,Distances[[#This Row],[Colonne137]]+1)</f>
        <v>60</v>
      </c>
      <c r="FA24" s="17">
        <f>IF(Distances[[#This Row],[Colonne138]]=$G24,EZ24,Distances[[#This Row],[Colonne138]]+1)</f>
        <v>60</v>
      </c>
      <c r="FB24" s="17">
        <f>IF(Distances[[#This Row],[Colonne139]]=$G24,FA24,Distances[[#This Row],[Colonne139]]+1)</f>
        <v>60</v>
      </c>
      <c r="FC24" s="17">
        <f>IF(Distances[[#This Row],[Colonne140]]=$G24,FB24,Distances[[#This Row],[Colonne140]]+1)</f>
        <v>60</v>
      </c>
      <c r="FD24" s="17">
        <f>IF(Distances[[#This Row],[Colonne141]]=$G24,FC24,Distances[[#This Row],[Colonne141]]+1)</f>
        <v>60</v>
      </c>
      <c r="FE24" s="17">
        <f>IF(Distances[[#This Row],[Colonne142]]=$G24,FD24,Distances[[#This Row],[Colonne142]]+1)</f>
        <v>60</v>
      </c>
      <c r="FF24" s="17">
        <f>IF(Distances[[#This Row],[Colonne143]]=$G24,FE24,Distances[[#This Row],[Colonne143]]+1)</f>
        <v>60</v>
      </c>
      <c r="FG24" s="17">
        <f>IF(Distances[[#This Row],[Colonne144]]=$G24,FF24,Distances[[#This Row],[Colonne144]]+1)</f>
        <v>60</v>
      </c>
      <c r="FH24" s="17">
        <f>IF(Distances[[#This Row],[Colonne145]]=$G24,FG24,Distances[[#This Row],[Colonne145]]+1)</f>
        <v>60</v>
      </c>
      <c r="FI24" s="17">
        <f>IF(Distances[[#This Row],[Colonne146]]=$G24,FH24,Distances[[#This Row],[Colonne146]]+1)</f>
        <v>60</v>
      </c>
      <c r="FJ24" s="17">
        <f>IF(Distances[[#This Row],[Colonne147]]=$G24,FI24,Distances[[#This Row],[Colonne147]]+1)</f>
        <v>60</v>
      </c>
      <c r="FK24" s="17">
        <f>IF(Distances[[#This Row],[Colonne148]]=$G24,FJ24,Distances[[#This Row],[Colonne148]]+1)</f>
        <v>60</v>
      </c>
      <c r="FL24" s="17">
        <f>IF(Distances[[#This Row],[Colonne149]]=$G24,FK24,Distances[[#This Row],[Colonne149]]+1)</f>
        <v>60</v>
      </c>
      <c r="FM24" s="17">
        <f>IF(Distances[[#This Row],[Colonne150]]=$G24,FL24,Distances[[#This Row],[Colonne150]]+1)</f>
        <v>60</v>
      </c>
      <c r="FN24" s="17">
        <f>IF(Distances[[#This Row],[Colonne151]]=$G24,FM24,Distances[[#This Row],[Colonne151]]+1)</f>
        <v>60</v>
      </c>
      <c r="FO24" s="17">
        <f>IF(Distances[[#This Row],[Colonne152]]=$G24,FN24,Distances[[#This Row],[Colonne152]]+1)</f>
        <v>60</v>
      </c>
      <c r="FP24" s="17">
        <f>IF(Distances[[#This Row],[Colonne153]]=$G24,FO24,Distances[[#This Row],[Colonne153]]+1)</f>
        <v>60</v>
      </c>
      <c r="FQ24" s="17">
        <f>IF(Distances[[#This Row],[Colonne154]]=$G24,FP24,Distances[[#This Row],[Colonne154]]+1)</f>
        <v>60</v>
      </c>
      <c r="FR24" s="17">
        <f>IF(Distances[[#This Row],[Colonne155]]=$G24,FQ24,Distances[[#This Row],[Colonne155]]+1)</f>
        <v>60</v>
      </c>
      <c r="FS24" s="17">
        <f>IF(Distances[[#This Row],[Colonne156]]=$G24,FR24,Distances[[#This Row],[Colonne156]]+1)</f>
        <v>60</v>
      </c>
      <c r="FT24" s="17">
        <f>IF(Distances[[#This Row],[Colonne157]]=$G24,FS24,Distances[[#This Row],[Colonne157]]+1)</f>
        <v>60</v>
      </c>
      <c r="FU24" s="17">
        <f>IF(Distances[[#This Row],[Colonne158]]=$G24,FT24,Distances[[#This Row],[Colonne158]]+1)</f>
        <v>60</v>
      </c>
      <c r="FV24" s="17">
        <f>IF(Distances[[#This Row],[Colonne159]]=$G24,FU24,Distances[[#This Row],[Colonne159]]+1)</f>
        <v>60</v>
      </c>
      <c r="FW24" s="17">
        <f>IF(Distances[[#This Row],[Colonne160]]=$G24,FV24,Distances[[#This Row],[Colonne160]]+1)</f>
        <v>60</v>
      </c>
      <c r="FX24" s="17">
        <f>IF(Distances[[#This Row],[Colonne161]]=$G24,FW24,Distances[[#This Row],[Colonne161]]+1)</f>
        <v>60</v>
      </c>
      <c r="FY24" s="17">
        <f>IF(Distances[[#This Row],[Colonne162]]=$G24,FX24,Distances[[#This Row],[Colonne162]]+1)</f>
        <v>60</v>
      </c>
      <c r="FZ24" s="17">
        <f>IF(Distances[[#This Row],[Colonne163]]=$G24,FY24,Distances[[#This Row],[Colonne163]]+1)</f>
        <v>60</v>
      </c>
      <c r="GA24" s="17">
        <f>IF(Distances[[#This Row],[Colonne164]]=$G24,FZ24,Distances[[#This Row],[Colonne164]]+1)</f>
        <v>60</v>
      </c>
      <c r="GB24" s="17">
        <f>IF(Distances[[#This Row],[Colonne165]]=$G24,GA24,Distances[[#This Row],[Colonne165]]+1)</f>
        <v>60</v>
      </c>
      <c r="GC24" s="17">
        <f>IF(Distances[[#This Row],[Colonne166]]=$G24,GB24,Distances[[#This Row],[Colonne166]]+1)</f>
        <v>60</v>
      </c>
      <c r="GD24" s="17">
        <f>IF(Distances[[#This Row],[Colonne167]]=$G24,GC24,Distances[[#This Row],[Colonne167]]+1)</f>
        <v>60</v>
      </c>
      <c r="GE24" s="17">
        <f>IF(Distances[[#This Row],[Colonne168]]=$G24,GD24,Distances[[#This Row],[Colonne168]]+1)</f>
        <v>60</v>
      </c>
      <c r="GF24" s="17">
        <f>IF(Distances[[#This Row],[Colonne169]]=$G24,GE24,Distances[[#This Row],[Colonne169]]+1)</f>
        <v>60</v>
      </c>
      <c r="GG24" s="17">
        <f>IF(Distances[[#This Row],[Colonne170]]=$G24,GF24,Distances[[#This Row],[Colonne170]]+1)</f>
        <v>60</v>
      </c>
      <c r="GH24" s="17">
        <f>IF(Distances[[#This Row],[Colonne171]]=$G24,GG24,Distances[[#This Row],[Colonne171]]+1)</f>
        <v>60</v>
      </c>
      <c r="GI24" s="17">
        <f>IF(Distances[[#This Row],[Colonne172]]=$G24,GH24,Distances[[#This Row],[Colonne172]]+1)</f>
        <v>60</v>
      </c>
      <c r="GJ24" s="17">
        <f>IF(Distances[[#This Row],[Colonne173]]=$G24,GI24,Distances[[#This Row],[Colonne173]]+1)</f>
        <v>60</v>
      </c>
      <c r="GK24" s="17">
        <f>IF(Distances[[#This Row],[Colonne174]]=$G24,GJ24,Distances[[#This Row],[Colonne174]]+1)</f>
        <v>60</v>
      </c>
      <c r="GL24" s="17">
        <f>IF(Distances[[#This Row],[Colonne175]]=$G24,GK24,Distances[[#This Row],[Colonne175]]+1)</f>
        <v>60</v>
      </c>
      <c r="GM24" s="17">
        <f>IF(Distances[[#This Row],[Colonne176]]=$G24,GL24,Distances[[#This Row],[Colonne176]]+1)</f>
        <v>60</v>
      </c>
      <c r="GN24" s="17">
        <f>IF(Distances[[#This Row],[Colonne177]]=$G24,GM24,Distances[[#This Row],[Colonne177]]+1)</f>
        <v>60</v>
      </c>
      <c r="GO24" s="17">
        <f>IF(Distances[[#This Row],[Colonne178]]=$G24,GN24,Distances[[#This Row],[Colonne178]]+1)</f>
        <v>60</v>
      </c>
      <c r="GP24" s="17">
        <f>IF(Distances[[#This Row],[Colonne179]]=$G24,GO24,Distances[[#This Row],[Colonne179]]+1)</f>
        <v>60</v>
      </c>
      <c r="GQ24" s="17">
        <f>IF(Distances[[#This Row],[Colonne180]]=$G24,GP24,Distances[[#This Row],[Colonne180]]+1)</f>
        <v>60</v>
      </c>
      <c r="GR24" s="17">
        <f>IF(Distances[[#This Row],[Colonne181]]=$G24,GQ24,Distances[[#This Row],[Colonne181]]+1)</f>
        <v>60</v>
      </c>
      <c r="GS24" s="17">
        <f>IF(Distances[[#This Row],[Colonne182]]=$G24,GR24,Distances[[#This Row],[Colonne182]]+1)</f>
        <v>60</v>
      </c>
      <c r="GT24" s="17">
        <f>IF(Distances[[#This Row],[Colonne183]]=$G24,GS24,Distances[[#This Row],[Colonne183]]+1)</f>
        <v>60</v>
      </c>
      <c r="GU24" s="17">
        <f>IF(Distances[[#This Row],[Colonne184]]=$G24,GT24,Distances[[#This Row],[Colonne184]]+1)</f>
        <v>60</v>
      </c>
      <c r="GV24" s="17">
        <f>IF(Distances[[#This Row],[Colonne185]]=$G24,GU24,Distances[[#This Row],[Colonne185]]+1)</f>
        <v>60</v>
      </c>
      <c r="GW24" s="17">
        <f>IF(Distances[[#This Row],[Colonne186]]=$G24,GV24,Distances[[#This Row],[Colonne186]]+1)</f>
        <v>60</v>
      </c>
      <c r="GX24" s="17">
        <f>IF(Distances[[#This Row],[Colonne187]]=$G24,GW24,Distances[[#This Row],[Colonne187]]+1)</f>
        <v>60</v>
      </c>
      <c r="GY24" s="17">
        <f>IF(Distances[[#This Row],[Colonne188]]=$G24,GX24,Distances[[#This Row],[Colonne188]]+1)</f>
        <v>60</v>
      </c>
      <c r="GZ24" s="17">
        <f>IF(Distances[[#This Row],[Colonne189]]=$G24,GY24,Distances[[#This Row],[Colonne189]]+1)</f>
        <v>60</v>
      </c>
      <c r="HA24" s="17">
        <f>IF(Distances[[#This Row],[Colonne190]]=$G24,GZ24,Distances[[#This Row],[Colonne190]]+1)</f>
        <v>60</v>
      </c>
      <c r="HB24" s="17">
        <f>IF(Distances[[#This Row],[Colonne191]]=$G24,HA24,Distances[[#This Row],[Colonne191]]+1)</f>
        <v>60</v>
      </c>
      <c r="HC24" s="17">
        <f>IF(Distances[[#This Row],[Colonne192]]=$G24,HB24,Distances[[#This Row],[Colonne192]]+1)</f>
        <v>60</v>
      </c>
      <c r="HD24" s="17">
        <f>IF(Distances[[#This Row],[Colonne193]]=$G24,HC24,Distances[[#This Row],[Colonne193]]+1)</f>
        <v>60</v>
      </c>
      <c r="HE24" s="17">
        <f>IF(Distances[[#This Row],[Colonne194]]=$G24,HD24,Distances[[#This Row],[Colonne194]]+1)</f>
        <v>60</v>
      </c>
      <c r="HF24" s="17">
        <f>IF(Distances[[#This Row],[Colonne195]]=$G24,HE24,Distances[[#This Row],[Colonne195]]+1)</f>
        <v>60</v>
      </c>
      <c r="HG24" s="17">
        <f>IF(Distances[[#This Row],[Colonne196]]=$G24,HF24,Distances[[#This Row],[Colonne196]]+1)</f>
        <v>60</v>
      </c>
      <c r="HH24" s="17">
        <f>IF(Distances[[#This Row],[Colonne197]]=$G24,HG24,Distances[[#This Row],[Colonne197]]+1)</f>
        <v>60</v>
      </c>
      <c r="HI24" s="17">
        <f>IF(Distances[[#This Row],[Colonne198]]=$G24,HH24,Distances[[#This Row],[Colonne198]]+1)</f>
        <v>60</v>
      </c>
      <c r="HJ24" s="17">
        <f>IF(Distances[[#This Row],[Colonne199]]=$G24,HI24,Distances[[#This Row],[Colonne199]]+1)</f>
        <v>60</v>
      </c>
      <c r="HK24" s="17">
        <f>IF(Distances[[#This Row],[Colonne200]]=$G24,HJ24,Distances[[#This Row],[Colonne200]]+1)</f>
        <v>60</v>
      </c>
      <c r="HL24" s="17">
        <f>IF(Distances[[#This Row],[Colonne201]]=$G24,HK24,Distances[[#This Row],[Colonne201]]+1)</f>
        <v>60</v>
      </c>
      <c r="HM24" s="17">
        <f>IF(Distances[[#This Row],[Colonne202]]=$G24,HL24,Distances[[#This Row],[Colonne202]]+1)</f>
        <v>60</v>
      </c>
      <c r="HN24" s="17">
        <f>IF(Distances[[#This Row],[Colonne203]]=$G24,HM24,Distances[[#This Row],[Colonne203]]+1)</f>
        <v>60</v>
      </c>
      <c r="HO24" s="17">
        <f>IF(Distances[[#This Row],[Colonne204]]=$G24,HN24,Distances[[#This Row],[Colonne204]]+1)</f>
        <v>60</v>
      </c>
      <c r="HP24" s="17">
        <f>IF(Distances[[#This Row],[Colonne205]]=$G24,HO24,Distances[[#This Row],[Colonne205]]+1)</f>
        <v>60</v>
      </c>
      <c r="HQ24" s="17">
        <f>IF(Distances[[#This Row],[Colonne206]]=$G24,HP24,Distances[[#This Row],[Colonne206]]+1)</f>
        <v>60</v>
      </c>
      <c r="HR24" s="17">
        <f>IF(Distances[[#This Row],[Colonne207]]=$G24,HQ24,Distances[[#This Row],[Colonne207]]+1)</f>
        <v>60</v>
      </c>
      <c r="HS24" s="17">
        <f>IF(Distances[[#This Row],[Colonne208]]=$G24,HR24,Distances[[#This Row],[Colonne208]]+1)</f>
        <v>60</v>
      </c>
      <c r="HT24" s="17">
        <f>IF(Distances[[#This Row],[Colonne209]]=$G24,HS24,Distances[[#This Row],[Colonne209]]+1)</f>
        <v>60</v>
      </c>
      <c r="HU24" s="17">
        <f>IF(Distances[[#This Row],[Colonne210]]=$G24,HT24,Distances[[#This Row],[Colonne210]]+1)</f>
        <v>60</v>
      </c>
      <c r="HV24" s="17">
        <f>IF(Distances[[#This Row],[Colonne211]]=$G24,HU24,Distances[[#This Row],[Colonne211]]+1)</f>
        <v>60</v>
      </c>
      <c r="HW24" s="17">
        <f>IF(Distances[[#This Row],[Colonne212]]=$G24,HV24,Distances[[#This Row],[Colonne212]]+1)</f>
        <v>60</v>
      </c>
      <c r="HX24" s="17">
        <f>IF(Distances[[#This Row],[Colonne213]]=$G24,HW24,Distances[[#This Row],[Colonne213]]+1)</f>
        <v>60</v>
      </c>
      <c r="HY24" s="17">
        <f>IF(Distances[[#This Row],[Colonne214]]=$G24,HX24,Distances[[#This Row],[Colonne214]]+1)</f>
        <v>60</v>
      </c>
      <c r="HZ24" s="17">
        <f>IF(Distances[[#This Row],[Colonne215]]=$G24,HY24,Distances[[#This Row],[Colonne215]]+1)</f>
        <v>60</v>
      </c>
      <c r="IA24" s="17">
        <f>IF(Distances[[#This Row],[Colonne216]]=$G24,HZ24,Distances[[#This Row],[Colonne216]]+1)</f>
        <v>60</v>
      </c>
      <c r="IB24" s="17">
        <f>IF(Distances[[#This Row],[Colonne217]]=$G24,IA24,Distances[[#This Row],[Colonne217]]+1)</f>
        <v>60</v>
      </c>
      <c r="IC24" s="17">
        <f>IF(Distances[[#This Row],[Colonne218]]=$G24,IB24,Distances[[#This Row],[Colonne218]]+1)</f>
        <v>60</v>
      </c>
      <c r="ID24" s="17">
        <f>IF(Distances[[#This Row],[Colonne219]]=$G24,IC24,Distances[[#This Row],[Colonne219]]+1)</f>
        <v>60</v>
      </c>
      <c r="IE24" s="17">
        <f>IF(Distances[[#This Row],[Colonne220]]=$G24,ID24,Distances[[#This Row],[Colonne220]]+1)</f>
        <v>60</v>
      </c>
      <c r="IF24" s="17">
        <f>IF(Distances[[#This Row],[Colonne221]]=$G24,IE24,Distances[[#This Row],[Colonne221]]+1)</f>
        <v>60</v>
      </c>
      <c r="IG24" s="17">
        <f>IF(Distances[[#This Row],[Colonne222]]=$G24,IF24,Distances[[#This Row],[Colonne222]]+1)</f>
        <v>60</v>
      </c>
      <c r="IH24" s="17">
        <f>IF(Distances[[#This Row],[Colonne223]]=$G24,IG24,Distances[[#This Row],[Colonne223]]+1)</f>
        <v>60</v>
      </c>
      <c r="II24" s="17">
        <f>IF(Distances[[#This Row],[Colonne224]]=$G24,IH24,Distances[[#This Row],[Colonne224]]+1)</f>
        <v>60</v>
      </c>
      <c r="IJ24" s="17">
        <f>IF(Distances[[#This Row],[Colonne225]]=$G24,II24,Distances[[#This Row],[Colonne225]]+1)</f>
        <v>60</v>
      </c>
      <c r="IK24" s="17">
        <f>IF(Distances[[#This Row],[Colonne226]]=$G24,IJ24,Distances[[#This Row],[Colonne226]]+1)</f>
        <v>60</v>
      </c>
      <c r="IL24" s="17">
        <f>IF(Distances[[#This Row],[Colonne227]]=$G24,IK24,Distances[[#This Row],[Colonne227]]+1)</f>
        <v>60</v>
      </c>
      <c r="IM24" s="17">
        <f>IF(Distances[[#This Row],[Colonne228]]=$G24,IL24,Distances[[#This Row],[Colonne228]]+1)</f>
        <v>60</v>
      </c>
      <c r="IN24" s="17">
        <f>IF(Distances[[#This Row],[Colonne229]]=$G24,IM24,Distances[[#This Row],[Colonne229]]+1)</f>
        <v>60</v>
      </c>
      <c r="IO24" s="17">
        <f>IF(Distances[[#This Row],[Colonne230]]=$G24,IN24,Distances[[#This Row],[Colonne230]]+1)</f>
        <v>60</v>
      </c>
      <c r="IP24" s="17">
        <f>IF(Distances[[#This Row],[Colonne231]]=$G24,IO24,Distances[[#This Row],[Colonne231]]+1)</f>
        <v>60</v>
      </c>
      <c r="IQ24" s="17">
        <f>IF(Distances[[#This Row],[Colonne232]]=$G24,IP24,Distances[[#This Row],[Colonne232]]+1)</f>
        <v>60</v>
      </c>
      <c r="IR24" s="17">
        <f>IF(Distances[[#This Row],[Colonne233]]=$G24,IQ24,Distances[[#This Row],[Colonne233]]+1)</f>
        <v>60</v>
      </c>
      <c r="IS24" s="17">
        <f>IF(Distances[[#This Row],[Colonne234]]=$G24,IR24,Distances[[#This Row],[Colonne234]]+1)</f>
        <v>60</v>
      </c>
      <c r="IT24" s="17">
        <f>IF(Distances[[#This Row],[Colonne235]]=$G24,IS24,Distances[[#This Row],[Colonne235]]+1)</f>
        <v>60</v>
      </c>
      <c r="IU24" s="17">
        <f>IF(Distances[[#This Row],[Colonne236]]=$G24,IT24,Distances[[#This Row],[Colonne236]]+1)</f>
        <v>60</v>
      </c>
      <c r="IV24" s="17">
        <f>IF(Distances[[#This Row],[Colonne237]]=$G24,IU24,Distances[[#This Row],[Colonne237]]+1)</f>
        <v>60</v>
      </c>
      <c r="IW24" s="17">
        <f>IF(Distances[[#This Row],[Colonne238]]=$G24,IV24,Distances[[#This Row],[Colonne238]]+1)</f>
        <v>60</v>
      </c>
      <c r="IX24" s="17">
        <f>IF(Distances[[#This Row],[Colonne239]]=$G24,IW24,Distances[[#This Row],[Colonne239]]+1)</f>
        <v>60</v>
      </c>
      <c r="IY24" s="17">
        <f>IF(Distances[[#This Row],[Colonne240]]=$G24,IX24,Distances[[#This Row],[Colonne240]]+1)</f>
        <v>60</v>
      </c>
      <c r="IZ24" s="17">
        <f>IF(Distances[[#This Row],[Colonne241]]=$G24,IY24,Distances[[#This Row],[Colonne241]]+1)</f>
        <v>60</v>
      </c>
      <c r="JA24" s="17">
        <f>IF(Distances[[#This Row],[Colonne242]]=$G24,IZ24,Distances[[#This Row],[Colonne242]]+1)</f>
        <v>60</v>
      </c>
      <c r="JB24" s="17">
        <f>IF(Distances[[#This Row],[Colonne243]]=$G24,JA24,Distances[[#This Row],[Colonne243]]+1)</f>
        <v>60</v>
      </c>
      <c r="JC24" s="17">
        <f>IF(Distances[[#This Row],[Colonne244]]=$G24,JB24,Distances[[#This Row],[Colonne244]]+1)</f>
        <v>60</v>
      </c>
      <c r="JD24" s="17">
        <f>IF(Distances[[#This Row],[Colonne245]]=$G24,JC24,Distances[[#This Row],[Colonne245]]+1)</f>
        <v>60</v>
      </c>
      <c r="JE24" s="17">
        <f>IF(Distances[[#This Row],[Colonne246]]=$G24,JD24,Distances[[#This Row],[Colonne246]]+1)</f>
        <v>60</v>
      </c>
      <c r="JF24" s="17">
        <f>IF(Distances[[#This Row],[Colonne247]]=$G24,JE24,Distances[[#This Row],[Colonne247]]+1)</f>
        <v>60</v>
      </c>
      <c r="JG24" s="17">
        <f>IF(Distances[[#This Row],[Colonne248]]=$G24,JF24,Distances[[#This Row],[Colonne248]]+1)</f>
        <v>60</v>
      </c>
      <c r="JH24" s="17">
        <f>IF(Distances[[#This Row],[Colonne249]]=$G24,JG24,Distances[[#This Row],[Colonne249]]+1)</f>
        <v>60</v>
      </c>
      <c r="JI24" s="17">
        <f>IF(Distances[[#This Row],[Colonne250]]=$G24,JH24,Distances[[#This Row],[Colonne250]]+1)</f>
        <v>60</v>
      </c>
      <c r="JJ24" s="17">
        <f>IF(Distances[[#This Row],[Colonne251]]=$G24,JI24,Distances[[#This Row],[Colonne251]]+1)</f>
        <v>60</v>
      </c>
      <c r="JK24" s="17">
        <f>IF(Distances[[#This Row],[Colonne252]]=$G24,JJ24,Distances[[#This Row],[Colonne252]]+1)</f>
        <v>60</v>
      </c>
      <c r="JL24" s="17">
        <f>IF(Distances[[#This Row],[Colonne253]]=$G24,JK24,Distances[[#This Row],[Colonne253]]+1)</f>
        <v>60</v>
      </c>
      <c r="JM24" s="17">
        <f>IF(Distances[[#This Row],[Colonne254]]=$G24,JL24,Distances[[#This Row],[Colonne254]]+1)</f>
        <v>60</v>
      </c>
      <c r="JN24" s="17">
        <f>IF(Distances[[#This Row],[Colonne255]]=$G24,JM24,Distances[[#This Row],[Colonne255]]+1)</f>
        <v>60</v>
      </c>
      <c r="JO24" s="17">
        <f>IF(Distances[[#This Row],[Colonne256]]=$G24,JN24,Distances[[#This Row],[Colonne256]]+1)</f>
        <v>60</v>
      </c>
      <c r="JP24" s="17">
        <f>IF(Distances[[#This Row],[Colonne257]]=$G24,JO24,Distances[[#This Row],[Colonne257]]+1)</f>
        <v>60</v>
      </c>
      <c r="JQ24" s="17">
        <f>IF(Distances[[#This Row],[Colonne258]]=$G24,JP24,Distances[[#This Row],[Colonne258]]+1)</f>
        <v>60</v>
      </c>
      <c r="JR24" s="17">
        <f>IF(Distances[[#This Row],[Colonne259]]=$G24,JQ24,Distances[[#This Row],[Colonne259]]+1)</f>
        <v>60</v>
      </c>
      <c r="JS24" s="17">
        <f>IF(Distances[[#This Row],[Colonne260]]=$G24,JR24,Distances[[#This Row],[Colonne260]]+1)</f>
        <v>60</v>
      </c>
      <c r="JT24" s="17">
        <f>IF(Distances[[#This Row],[Colonne261]]=$G24,JS24,Distances[[#This Row],[Colonne261]]+1)</f>
        <v>60</v>
      </c>
      <c r="JU24" s="17">
        <f>IF(Distances[[#This Row],[Colonne262]]=$G24,JT24,Distances[[#This Row],[Colonne262]]+1)</f>
        <v>60</v>
      </c>
      <c r="JV24" s="17">
        <f>IF(Distances[[#This Row],[Colonne263]]=$G24,JU24,Distances[[#This Row],[Colonne263]]+1)</f>
        <v>60</v>
      </c>
      <c r="JW24" s="17">
        <f>IF(Distances[[#This Row],[Colonne264]]=$G24,JV24,Distances[[#This Row],[Colonne264]]+1)</f>
        <v>60</v>
      </c>
      <c r="JX24" s="17">
        <f>IF(Distances[[#This Row],[Colonne265]]=$G24,JW24,Distances[[#This Row],[Colonne265]]+1)</f>
        <v>60</v>
      </c>
      <c r="JY24" s="17">
        <f>IF(Distances[[#This Row],[Colonne266]]=$G24,JX24,Distances[[#This Row],[Colonne266]]+1)</f>
        <v>60</v>
      </c>
      <c r="JZ24" s="17">
        <f>IF(Distances[[#This Row],[Colonne267]]=$G24,JY24,Distances[[#This Row],[Colonne267]]+1)</f>
        <v>60</v>
      </c>
      <c r="KA24" s="17">
        <f>IF(Distances[[#This Row],[Colonne268]]=$G24,JZ24,Distances[[#This Row],[Colonne268]]+1)</f>
        <v>60</v>
      </c>
      <c r="KB24" s="17">
        <f>IF(Distances[[#This Row],[Colonne269]]=$G24,KA24,Distances[[#This Row],[Colonne269]]+1)</f>
        <v>60</v>
      </c>
      <c r="KC24" s="17">
        <f>IF(Distances[[#This Row],[Colonne270]]=$G24,KB24,Distances[[#This Row],[Colonne270]]+1)</f>
        <v>60</v>
      </c>
      <c r="KD24" s="17">
        <f>IF(Distances[[#This Row],[Colonne271]]=$G24,KC24,Distances[[#This Row],[Colonne271]]+1)</f>
        <v>60</v>
      </c>
      <c r="KE24" s="17">
        <f>IF(Distances[[#This Row],[Colonne272]]=$G24,KD24,Distances[[#This Row],[Colonne272]]+1)</f>
        <v>60</v>
      </c>
      <c r="KF24" s="17">
        <f>IF(Distances[[#This Row],[Colonne273]]=$G24,KE24,Distances[[#This Row],[Colonne273]]+1)</f>
        <v>60</v>
      </c>
      <c r="KG24" s="17">
        <f>IF(Distances[[#This Row],[Colonne274]]=$G24,KF24,Distances[[#This Row],[Colonne274]]+1)</f>
        <v>60</v>
      </c>
      <c r="KH24" s="17">
        <f>IF(Distances[[#This Row],[Colonne275]]=$G24,KG24,Distances[[#This Row],[Colonne275]]+1)</f>
        <v>60</v>
      </c>
      <c r="KI24" s="17">
        <f>IF(Distances[[#This Row],[Colonne276]]=$G24,KH24,Distances[[#This Row],[Colonne276]]+1)</f>
        <v>60</v>
      </c>
      <c r="KJ24" s="17">
        <f>IF(Distances[[#This Row],[Colonne277]]=$G24,KI24,Distances[[#This Row],[Colonne277]]+1)</f>
        <v>60</v>
      </c>
      <c r="KK24" s="17">
        <f>IF(Distances[[#This Row],[Colonne278]]=$G24,KJ24,Distances[[#This Row],[Colonne278]]+1)</f>
        <v>60</v>
      </c>
      <c r="KL24" s="17">
        <f>IF(Distances[[#This Row],[Colonne279]]=$G24,KK24,Distances[[#This Row],[Colonne279]]+1)</f>
        <v>60</v>
      </c>
      <c r="KM24" s="17">
        <f>IF(Distances[[#This Row],[Colonne280]]=$G24,KL24,Distances[[#This Row],[Colonne280]]+1)</f>
        <v>60</v>
      </c>
      <c r="KN24" s="17">
        <f>IF(Distances[[#This Row],[Colonne281]]=$G24,KM24,Distances[[#This Row],[Colonne281]]+1)</f>
        <v>60</v>
      </c>
      <c r="KO24" s="17">
        <f>IF(Distances[[#This Row],[Colonne282]]=$G24,KN24,Distances[[#This Row],[Colonne282]]+1)</f>
        <v>60</v>
      </c>
      <c r="KP24" s="17">
        <f>IF(Distances[[#This Row],[Colonne283]]=$G24,KO24,Distances[[#This Row],[Colonne283]]+1)</f>
        <v>60</v>
      </c>
      <c r="KQ24" s="17">
        <f>IF(Distances[[#This Row],[Colonne284]]=$G24,KP24,Distances[[#This Row],[Colonne284]]+1)</f>
        <v>60</v>
      </c>
      <c r="KR24" s="17">
        <f>IF(Distances[[#This Row],[Colonne285]]=$G24,KQ24,Distances[[#This Row],[Colonne285]]+1)</f>
        <v>60</v>
      </c>
      <c r="KS24" s="17">
        <f>IF(Distances[[#This Row],[Colonne286]]=$G24,KR24,Distances[[#This Row],[Colonne286]]+1)</f>
        <v>60</v>
      </c>
      <c r="KT24" s="17">
        <f>IF(Distances[[#This Row],[Colonne287]]=$G24,KS24,Distances[[#This Row],[Colonne287]]+1)</f>
        <v>60</v>
      </c>
      <c r="KU24" s="17">
        <f>IF(Distances[[#This Row],[Colonne288]]=$G24,KT24,Distances[[#This Row],[Colonne288]]+1)</f>
        <v>60</v>
      </c>
      <c r="KV24" s="17">
        <f>IF(Distances[[#This Row],[Colonne289]]=$G24,KU24,Distances[[#This Row],[Colonne289]]+1)</f>
        <v>60</v>
      </c>
      <c r="KW24" s="17">
        <f>IF(Distances[[#This Row],[Colonne290]]=$G24,KV24,Distances[[#This Row],[Colonne290]]+1)</f>
        <v>60</v>
      </c>
      <c r="KX24" s="17">
        <f>IF(Distances[[#This Row],[Colonne291]]=$G24,KW24,Distances[[#This Row],[Colonne291]]+1)</f>
        <v>60</v>
      </c>
      <c r="KY24" s="17">
        <f>IF(Distances[[#This Row],[Colonne292]]=$G24,KX24,Distances[[#This Row],[Colonne292]]+1)</f>
        <v>60</v>
      </c>
      <c r="KZ24" s="17">
        <f>IF(Distances[[#This Row],[Colonne293]]=$G24,KY24,Distances[[#This Row],[Colonne293]]+1)</f>
        <v>60</v>
      </c>
      <c r="LA24" s="17">
        <f>IF(Distances[[#This Row],[Colonne294]]=$G24,KZ24,Distances[[#This Row],[Colonne294]]+1)</f>
        <v>60</v>
      </c>
      <c r="LB24" s="17">
        <f>IF(Distances[[#This Row],[Colonne295]]=$G24,LA24,Distances[[#This Row],[Colonne295]]+1)</f>
        <v>60</v>
      </c>
      <c r="LC24" s="17">
        <f>IF(Distances[[#This Row],[Colonne296]]=$G24,LB24,Distances[[#This Row],[Colonne296]]+1)</f>
        <v>60</v>
      </c>
      <c r="LD24" s="17">
        <f>IF(Distances[[#This Row],[Colonne297]]=$G24,LC24,Distances[[#This Row],[Colonne297]]+1)</f>
        <v>60</v>
      </c>
      <c r="LE24" s="17">
        <f>IF(Distances[[#This Row],[Colonne298]]=$G24,LD24,Distances[[#This Row],[Colonne298]]+1)</f>
        <v>60</v>
      </c>
      <c r="LF24" s="17">
        <f>IF(Distances[[#This Row],[Colonne299]]=$G24,LE24,Distances[[#This Row],[Colonne299]]+1)</f>
        <v>60</v>
      </c>
      <c r="LG24" s="17">
        <f>IF(Distances[[#This Row],[Colonne300]]=$G24,LF24,Distances[[#This Row],[Colonne300]]+1)</f>
        <v>60</v>
      </c>
      <c r="LH24" s="17">
        <f>IF(Distances[[#This Row],[Colonne301]]=$G24,LG24,Distances[[#This Row],[Colonne301]]+1)</f>
        <v>60</v>
      </c>
      <c r="LI24" s="17">
        <f>IF(Distances[[#This Row],[Colonne302]]=$G24,LH24,Distances[[#This Row],[Colonne302]]+1)</f>
        <v>60</v>
      </c>
      <c r="LJ24" s="17">
        <f>IF(Distances[[#This Row],[Colonne303]]=$G24,LI24,Distances[[#This Row],[Colonne303]]+1)</f>
        <v>60</v>
      </c>
      <c r="LK24" s="51"/>
      <c r="LL24" s="17">
        <f t="shared" ref="LL24:NW24" si="46">IF(LK24=$H24,LK24,LK24+1)</f>
        <v>1</v>
      </c>
      <c r="LM24" s="17">
        <f t="shared" si="46"/>
        <v>2</v>
      </c>
      <c r="LN24" s="17">
        <f t="shared" si="46"/>
        <v>3</v>
      </c>
      <c r="LO24" s="17">
        <f t="shared" si="46"/>
        <v>4</v>
      </c>
      <c r="LP24" s="17">
        <f t="shared" si="46"/>
        <v>5</v>
      </c>
      <c r="LQ24" s="17">
        <f t="shared" si="46"/>
        <v>6</v>
      </c>
      <c r="LR24" s="17">
        <f t="shared" si="46"/>
        <v>7</v>
      </c>
      <c r="LS24" s="17">
        <f t="shared" si="46"/>
        <v>8</v>
      </c>
      <c r="LT24" s="17">
        <f t="shared" si="46"/>
        <v>9</v>
      </c>
      <c r="LU24" s="17">
        <f t="shared" si="46"/>
        <v>10</v>
      </c>
      <c r="LV24" s="17">
        <f t="shared" si="46"/>
        <v>11</v>
      </c>
      <c r="LW24" s="17">
        <f t="shared" si="46"/>
        <v>12</v>
      </c>
      <c r="LX24" s="17">
        <f t="shared" si="46"/>
        <v>13</v>
      </c>
      <c r="LY24" s="17">
        <f t="shared" si="46"/>
        <v>14</v>
      </c>
      <c r="LZ24" s="17">
        <f t="shared" si="46"/>
        <v>15</v>
      </c>
      <c r="MA24" s="17">
        <f t="shared" si="46"/>
        <v>16</v>
      </c>
      <c r="MB24" s="17">
        <f t="shared" si="46"/>
        <v>17</v>
      </c>
      <c r="MC24" s="17">
        <f t="shared" si="46"/>
        <v>18</v>
      </c>
      <c r="MD24" s="17">
        <f t="shared" si="46"/>
        <v>19</v>
      </c>
      <c r="ME24" s="17">
        <f t="shared" si="46"/>
        <v>20</v>
      </c>
      <c r="MF24" s="17">
        <f t="shared" si="46"/>
        <v>21</v>
      </c>
      <c r="MG24" s="17">
        <f t="shared" si="46"/>
        <v>22</v>
      </c>
      <c r="MH24" s="17">
        <f t="shared" si="46"/>
        <v>23</v>
      </c>
      <c r="MI24" s="17">
        <f t="shared" si="46"/>
        <v>24</v>
      </c>
      <c r="MJ24" s="17">
        <f t="shared" si="46"/>
        <v>25</v>
      </c>
      <c r="MK24" s="17">
        <f t="shared" si="46"/>
        <v>26</v>
      </c>
      <c r="ML24" s="17">
        <f t="shared" si="46"/>
        <v>27</v>
      </c>
      <c r="MM24" s="17">
        <f t="shared" si="46"/>
        <v>28</v>
      </c>
      <c r="MN24" s="17">
        <f t="shared" si="46"/>
        <v>29</v>
      </c>
      <c r="MO24" s="17">
        <f t="shared" si="46"/>
        <v>30</v>
      </c>
      <c r="MP24" s="17">
        <f t="shared" si="46"/>
        <v>31</v>
      </c>
      <c r="MQ24" s="17">
        <f t="shared" si="46"/>
        <v>32</v>
      </c>
      <c r="MR24" s="17">
        <f t="shared" si="46"/>
        <v>33</v>
      </c>
      <c r="MS24" s="17">
        <f t="shared" si="46"/>
        <v>34</v>
      </c>
      <c r="MT24" s="17">
        <f t="shared" si="46"/>
        <v>35</v>
      </c>
      <c r="MU24" s="17">
        <f t="shared" si="46"/>
        <v>36</v>
      </c>
      <c r="MV24" s="17">
        <f t="shared" si="46"/>
        <v>37</v>
      </c>
      <c r="MW24" s="17">
        <f t="shared" si="46"/>
        <v>38</v>
      </c>
      <c r="MX24" s="17">
        <f t="shared" si="46"/>
        <v>39</v>
      </c>
      <c r="MY24" s="17">
        <f t="shared" si="46"/>
        <v>40</v>
      </c>
      <c r="MZ24" s="17">
        <f t="shared" si="46"/>
        <v>40</v>
      </c>
      <c r="NA24" s="17">
        <f t="shared" si="46"/>
        <v>40</v>
      </c>
      <c r="NB24" s="17">
        <f t="shared" si="46"/>
        <v>40</v>
      </c>
      <c r="NC24" s="17">
        <f t="shared" si="46"/>
        <v>40</v>
      </c>
      <c r="ND24" s="17">
        <f t="shared" si="46"/>
        <v>40</v>
      </c>
      <c r="NE24" s="17">
        <f t="shared" si="46"/>
        <v>40</v>
      </c>
      <c r="NF24" s="17">
        <f t="shared" si="46"/>
        <v>40</v>
      </c>
      <c r="NG24" s="17">
        <f t="shared" si="46"/>
        <v>40</v>
      </c>
      <c r="NH24" s="17">
        <f t="shared" si="46"/>
        <v>40</v>
      </c>
      <c r="NI24" s="17">
        <f t="shared" si="46"/>
        <v>40</v>
      </c>
      <c r="NJ24" s="17">
        <f t="shared" si="46"/>
        <v>40</v>
      </c>
      <c r="NK24" s="17">
        <f t="shared" si="46"/>
        <v>40</v>
      </c>
      <c r="NL24" s="17">
        <f t="shared" si="46"/>
        <v>40</v>
      </c>
      <c r="NM24" s="17">
        <f t="shared" si="46"/>
        <v>40</v>
      </c>
      <c r="NN24" s="17">
        <f t="shared" si="46"/>
        <v>40</v>
      </c>
      <c r="NO24" s="17">
        <f t="shared" si="46"/>
        <v>40</v>
      </c>
      <c r="NP24" s="17">
        <f t="shared" si="46"/>
        <v>40</v>
      </c>
      <c r="NQ24" s="17">
        <f t="shared" si="46"/>
        <v>40</v>
      </c>
      <c r="NR24" s="17">
        <f t="shared" si="46"/>
        <v>40</v>
      </c>
      <c r="NS24" s="17">
        <f t="shared" si="46"/>
        <v>40</v>
      </c>
      <c r="NT24" s="17">
        <f t="shared" si="46"/>
        <v>40</v>
      </c>
      <c r="NU24" s="17">
        <f t="shared" si="46"/>
        <v>40</v>
      </c>
      <c r="NV24" s="17">
        <f t="shared" si="46"/>
        <v>40</v>
      </c>
      <c r="NW24" s="17">
        <f t="shared" si="46"/>
        <v>40</v>
      </c>
      <c r="NX24" s="17">
        <f t="shared" ref="NX24:PG24" si="47">IF(NW24=$H24,NW24,NW24+1)</f>
        <v>40</v>
      </c>
      <c r="NY24" s="17">
        <f t="shared" si="47"/>
        <v>40</v>
      </c>
      <c r="NZ24" s="17">
        <f t="shared" si="47"/>
        <v>40</v>
      </c>
      <c r="OA24" s="17">
        <f t="shared" si="47"/>
        <v>40</v>
      </c>
      <c r="OB24" s="17">
        <f t="shared" si="47"/>
        <v>40</v>
      </c>
      <c r="OC24" s="17">
        <f t="shared" si="47"/>
        <v>40</v>
      </c>
      <c r="OD24" s="17">
        <f t="shared" si="47"/>
        <v>40</v>
      </c>
      <c r="OE24" s="17">
        <f t="shared" si="47"/>
        <v>40</v>
      </c>
      <c r="OF24" s="17">
        <f t="shared" si="47"/>
        <v>40</v>
      </c>
      <c r="OG24" s="17">
        <f t="shared" si="47"/>
        <v>40</v>
      </c>
      <c r="OH24" s="17">
        <f t="shared" si="47"/>
        <v>40</v>
      </c>
      <c r="OI24" s="17">
        <f t="shared" si="47"/>
        <v>40</v>
      </c>
      <c r="OJ24" s="17">
        <f t="shared" si="47"/>
        <v>40</v>
      </c>
      <c r="OK24" s="17">
        <f t="shared" si="47"/>
        <v>40</v>
      </c>
      <c r="OL24" s="17">
        <f t="shared" si="47"/>
        <v>40</v>
      </c>
      <c r="OM24" s="17">
        <f t="shared" si="47"/>
        <v>40</v>
      </c>
      <c r="ON24" s="17">
        <f t="shared" si="47"/>
        <v>40</v>
      </c>
      <c r="OO24" s="17">
        <f t="shared" si="47"/>
        <v>40</v>
      </c>
      <c r="OP24" s="17">
        <f t="shared" si="47"/>
        <v>40</v>
      </c>
      <c r="OQ24" s="17">
        <f t="shared" si="47"/>
        <v>40</v>
      </c>
      <c r="OR24" s="17">
        <f t="shared" si="47"/>
        <v>40</v>
      </c>
      <c r="OS24" s="17">
        <f t="shared" si="47"/>
        <v>40</v>
      </c>
      <c r="OT24" s="17">
        <f t="shared" si="47"/>
        <v>40</v>
      </c>
      <c r="OU24" s="17">
        <f t="shared" si="47"/>
        <v>40</v>
      </c>
      <c r="OV24" s="17">
        <f t="shared" si="47"/>
        <v>40</v>
      </c>
      <c r="OW24" s="17">
        <f t="shared" si="47"/>
        <v>40</v>
      </c>
      <c r="OX24" s="17">
        <f t="shared" si="47"/>
        <v>40</v>
      </c>
      <c r="OY24" s="17">
        <f t="shared" si="47"/>
        <v>40</v>
      </c>
      <c r="OZ24" s="17">
        <f t="shared" si="47"/>
        <v>40</v>
      </c>
      <c r="PA24" s="17">
        <f t="shared" si="47"/>
        <v>40</v>
      </c>
      <c r="PB24" s="17">
        <f t="shared" si="47"/>
        <v>40</v>
      </c>
      <c r="PC24" s="17">
        <f t="shared" si="47"/>
        <v>40</v>
      </c>
      <c r="PD24" s="17">
        <f t="shared" si="47"/>
        <v>40</v>
      </c>
      <c r="PE24" s="17">
        <f t="shared" si="47"/>
        <v>40</v>
      </c>
      <c r="PF24" s="17">
        <f t="shared" si="47"/>
        <v>40</v>
      </c>
      <c r="PG24" s="17">
        <f t="shared" si="47"/>
        <v>40</v>
      </c>
    </row>
    <row r="25" spans="1:423" x14ac:dyDescent="0.25">
      <c r="A25" s="8" t="s">
        <v>5507</v>
      </c>
      <c r="B25" s="9" t="s">
        <v>8502</v>
      </c>
      <c r="C25" s="9" t="str">
        <f t="shared" si="0"/>
        <v>BR1 LBIF</v>
      </c>
      <c r="D25" s="1" t="str">
        <f t="shared" si="1"/>
        <v>Bande R1 LBIF</v>
      </c>
      <c r="E25" s="1" t="s">
        <v>18</v>
      </c>
      <c r="F25" s="9" t="s">
        <v>5452</v>
      </c>
      <c r="G25" s="9">
        <v>60</v>
      </c>
      <c r="H25" s="9">
        <v>35</v>
      </c>
      <c r="I25" s="127">
        <v>2.8</v>
      </c>
      <c r="J25" s="30"/>
      <c r="K25" s="281"/>
      <c r="L25" s="8"/>
      <c r="M25" s="9"/>
      <c r="N25" s="10"/>
      <c r="O25" s="269"/>
      <c r="P25" s="331"/>
      <c r="Q25" s="335"/>
      <c r="R25" s="128"/>
      <c r="S25" s="9"/>
      <c r="T25" s="10"/>
      <c r="U25" t="s">
        <v>5523</v>
      </c>
      <c r="V25" s="17">
        <v>0</v>
      </c>
      <c r="W25" s="17">
        <f>IF(Distances[[#This Row],[Colonne4]]=$G25,V25,Distances[[#This Row],[Colonne4]]+1)</f>
        <v>1</v>
      </c>
      <c r="X25" s="17">
        <f>IF(Distances[[#This Row],[Colonne5]]=$G25,W25,Distances[[#This Row],[Colonne5]]+1)</f>
        <v>2</v>
      </c>
      <c r="Y25" s="17">
        <f>IF(Distances[[#This Row],[Colonne6]]=$G25,X25,Distances[[#This Row],[Colonne6]]+1)</f>
        <v>3</v>
      </c>
      <c r="Z25" s="17">
        <f>IF(Distances[[#This Row],[Colonne7]]=$G25,Y25,Distances[[#This Row],[Colonne7]]+1)</f>
        <v>4</v>
      </c>
      <c r="AA25" s="17">
        <f>IF(Distances[[#This Row],[Colonne8]]=$G25,Z25,Distances[[#This Row],[Colonne8]]+1)</f>
        <v>5</v>
      </c>
      <c r="AB25" s="17">
        <f>IF(Distances[[#This Row],[Colonne9]]=$G25,AA25,Distances[[#This Row],[Colonne9]]+1)</f>
        <v>6</v>
      </c>
      <c r="AC25" s="17">
        <f>IF(Distances[[#This Row],[Colonne10]]=$G25,AB25,Distances[[#This Row],[Colonne10]]+1)</f>
        <v>7</v>
      </c>
      <c r="AD25" s="17">
        <f>IF(Distances[[#This Row],[Colonne11]]=$G25,AC25,Distances[[#This Row],[Colonne11]]+1)</f>
        <v>8</v>
      </c>
      <c r="AE25" s="17">
        <f>IF(Distances[[#This Row],[Colonne12]]=$G25,AD25,Distances[[#This Row],[Colonne12]]+1)</f>
        <v>9</v>
      </c>
      <c r="AF25" s="17">
        <f>IF(Distances[[#This Row],[Colonne13]]=$G25,AE25,Distances[[#This Row],[Colonne13]]+1)</f>
        <v>10</v>
      </c>
      <c r="AG25" s="17">
        <f>IF(Distances[[#This Row],[Colonne14]]=$G25,AF25,Distances[[#This Row],[Colonne14]]+1)</f>
        <v>11</v>
      </c>
      <c r="AH25" s="17">
        <f>IF(Distances[[#This Row],[Colonne15]]=$G25,AG25,Distances[[#This Row],[Colonne15]]+1)</f>
        <v>12</v>
      </c>
      <c r="AI25" s="17">
        <f>IF(Distances[[#This Row],[Colonne16]]=$G25,AH25,Distances[[#This Row],[Colonne16]]+1)</f>
        <v>13</v>
      </c>
      <c r="AJ25" s="17">
        <f>IF(Distances[[#This Row],[Colonne17]]=$G25,AI25,Distances[[#This Row],[Colonne17]]+1)</f>
        <v>14</v>
      </c>
      <c r="AK25" s="17">
        <f>IF(Distances[[#This Row],[Colonne18]]=$G25,AJ25,Distances[[#This Row],[Colonne18]]+1)</f>
        <v>15</v>
      </c>
      <c r="AL25" s="17">
        <f>IF(Distances[[#This Row],[Colonne19]]=$G25,AK25,Distances[[#This Row],[Colonne19]]+1)</f>
        <v>16</v>
      </c>
      <c r="AM25" s="17">
        <f>IF(Distances[[#This Row],[Colonne20]]=$G25,AL25,Distances[[#This Row],[Colonne20]]+1)</f>
        <v>17</v>
      </c>
      <c r="AN25" s="17">
        <f>IF(Distances[[#This Row],[Colonne21]]=$G25,AM25,Distances[[#This Row],[Colonne21]]+1)</f>
        <v>18</v>
      </c>
      <c r="AO25" s="17">
        <f>IF(Distances[[#This Row],[Colonne22]]=$G25,AN25,Distances[[#This Row],[Colonne22]]+1)</f>
        <v>19</v>
      </c>
      <c r="AP25" s="17">
        <f>IF(Distances[[#This Row],[Colonne23]]=$G25,AO25,Distances[[#This Row],[Colonne23]]+1)</f>
        <v>20</v>
      </c>
      <c r="AQ25" s="17">
        <f>IF(Distances[[#This Row],[Colonne24]]=$G25,AP25,Distances[[#This Row],[Colonne24]]+1)</f>
        <v>21</v>
      </c>
      <c r="AR25" s="17">
        <f>IF(Distances[[#This Row],[Colonne25]]=$G25,AQ25,Distances[[#This Row],[Colonne25]]+1)</f>
        <v>22</v>
      </c>
      <c r="AS25" s="17">
        <f>IF(Distances[[#This Row],[Colonne26]]=$G25,AR25,Distances[[#This Row],[Colonne26]]+1)</f>
        <v>23</v>
      </c>
      <c r="AT25" s="17">
        <f>IF(Distances[[#This Row],[Colonne27]]=$G25,AS25,Distances[[#This Row],[Colonne27]]+1)</f>
        <v>24</v>
      </c>
      <c r="AU25" s="17">
        <f>IF(Distances[[#This Row],[Colonne28]]=$G25,AT25,Distances[[#This Row],[Colonne28]]+1)</f>
        <v>25</v>
      </c>
      <c r="AV25" s="17">
        <f>IF(Distances[[#This Row],[Colonne29]]=$G25,AU25,Distances[[#This Row],[Colonne29]]+1)</f>
        <v>26</v>
      </c>
      <c r="AW25" s="17">
        <f>IF(Distances[[#This Row],[Colonne30]]=$G25,AV25,Distances[[#This Row],[Colonne30]]+1)</f>
        <v>27</v>
      </c>
      <c r="AX25" s="17">
        <f>IF(Distances[[#This Row],[Colonne31]]=$G25,AW25,Distances[[#This Row],[Colonne31]]+1)</f>
        <v>28</v>
      </c>
      <c r="AY25" s="17">
        <f>IF(Distances[[#This Row],[Colonne32]]=$G25,AX25,Distances[[#This Row],[Colonne32]]+1)</f>
        <v>29</v>
      </c>
      <c r="AZ25" s="17">
        <f>IF(Distances[[#This Row],[Colonne33]]=$G25,AY25,Distances[[#This Row],[Colonne33]]+1)</f>
        <v>30</v>
      </c>
      <c r="BA25" s="17">
        <f>IF(Distances[[#This Row],[Colonne34]]=$G25,AZ25,Distances[[#This Row],[Colonne34]]+1)</f>
        <v>31</v>
      </c>
      <c r="BB25" s="17">
        <f>IF(Distances[[#This Row],[Colonne35]]=$G25,BA25,Distances[[#This Row],[Colonne35]]+1)</f>
        <v>32</v>
      </c>
      <c r="BC25" s="17">
        <f>IF(Distances[[#This Row],[Colonne36]]=$G25,BB25,Distances[[#This Row],[Colonne36]]+1)</f>
        <v>33</v>
      </c>
      <c r="BD25" s="17">
        <f>IF(Distances[[#This Row],[Colonne37]]=$G25,BC25,Distances[[#This Row],[Colonne37]]+1)</f>
        <v>34</v>
      </c>
      <c r="BE25" s="17">
        <f>IF(Distances[[#This Row],[Colonne38]]=$G25,BD25,Distances[[#This Row],[Colonne38]]+1)</f>
        <v>35</v>
      </c>
      <c r="BF25" s="17">
        <f>IF(Distances[[#This Row],[Colonne39]]=$G25,BE25,Distances[[#This Row],[Colonne39]]+1)</f>
        <v>36</v>
      </c>
      <c r="BG25" s="17">
        <f>IF(Distances[[#This Row],[Colonne40]]=$G25,BF25,Distances[[#This Row],[Colonne40]]+1)</f>
        <v>37</v>
      </c>
      <c r="BH25" s="17">
        <f>IF(Distances[[#This Row],[Colonne41]]=$G25,BG25,Distances[[#This Row],[Colonne41]]+1)</f>
        <v>38</v>
      </c>
      <c r="BI25" s="17">
        <f>IF(Distances[[#This Row],[Colonne42]]=$G25,BH25,Distances[[#This Row],[Colonne42]]+1)</f>
        <v>39</v>
      </c>
      <c r="BJ25" s="17">
        <f>IF(Distances[[#This Row],[Colonne43]]=$G25,BI25,Distances[[#This Row],[Colonne43]]+1)</f>
        <v>40</v>
      </c>
      <c r="BK25" s="17">
        <f>IF(Distances[[#This Row],[Colonne44]]=$G25,BJ25,Distances[[#This Row],[Colonne44]]+1)</f>
        <v>41</v>
      </c>
      <c r="BL25" s="17">
        <f>IF(Distances[[#This Row],[Colonne45]]=$G25,BK25,Distances[[#This Row],[Colonne45]]+1)</f>
        <v>42</v>
      </c>
      <c r="BM25" s="17">
        <f>IF(Distances[[#This Row],[Colonne46]]=$G25,BL25,Distances[[#This Row],[Colonne46]]+1)</f>
        <v>43</v>
      </c>
      <c r="BN25" s="17">
        <f>IF(Distances[[#This Row],[Colonne47]]=$G25,BM25,Distances[[#This Row],[Colonne47]]+1)</f>
        <v>44</v>
      </c>
      <c r="BO25" s="17">
        <f>IF(Distances[[#This Row],[Colonne48]]=$G25,BN25,Distances[[#This Row],[Colonne48]]+1)</f>
        <v>45</v>
      </c>
      <c r="BP25" s="17">
        <f>IF(Distances[[#This Row],[Colonne49]]=$G25,BO25,Distances[[#This Row],[Colonne49]]+1)</f>
        <v>46</v>
      </c>
      <c r="BQ25" s="17">
        <f>IF(Distances[[#This Row],[Colonne50]]=$G25,BP25,Distances[[#This Row],[Colonne50]]+1)</f>
        <v>47</v>
      </c>
      <c r="BR25" s="17">
        <f>IF(Distances[[#This Row],[Colonne51]]=$G25,BQ25,Distances[[#This Row],[Colonne51]]+1)</f>
        <v>48</v>
      </c>
      <c r="BS25" s="17">
        <f>IF(Distances[[#This Row],[Colonne52]]=$G25,BR25,Distances[[#This Row],[Colonne52]]+1)</f>
        <v>49</v>
      </c>
      <c r="BT25" s="17">
        <f>IF(Distances[[#This Row],[Colonne53]]=$G25,BS25,Distances[[#This Row],[Colonne53]]+1)</f>
        <v>50</v>
      </c>
      <c r="BU25" s="17">
        <f>IF(Distances[[#This Row],[Colonne54]]=$G25,BT25,Distances[[#This Row],[Colonne54]]+1)</f>
        <v>51</v>
      </c>
      <c r="BV25" s="17">
        <f>IF(Distances[[#This Row],[Colonne55]]=$G25,BU25,Distances[[#This Row],[Colonne55]]+1)</f>
        <v>52</v>
      </c>
      <c r="BW25" s="17">
        <f>IF(Distances[[#This Row],[Colonne56]]=$G25,BV25,Distances[[#This Row],[Colonne56]]+1)</f>
        <v>53</v>
      </c>
      <c r="BX25" s="17">
        <f>IF(Distances[[#This Row],[Colonne57]]=$G25,BW25,Distances[[#This Row],[Colonne57]]+1)</f>
        <v>54</v>
      </c>
      <c r="BY25" s="17">
        <f>IF(Distances[[#This Row],[Colonne58]]=$G25,BX25,Distances[[#This Row],[Colonne58]]+1)</f>
        <v>55</v>
      </c>
      <c r="BZ25" s="17">
        <f>IF(Distances[[#This Row],[Colonne59]]=$G25,BY25,Distances[[#This Row],[Colonne59]]+1)</f>
        <v>56</v>
      </c>
      <c r="CA25" s="17">
        <f>IF(Distances[[#This Row],[Colonne60]]=$G25,BZ25,Distances[[#This Row],[Colonne60]]+1)</f>
        <v>57</v>
      </c>
      <c r="CB25" s="17">
        <f>IF(Distances[[#This Row],[Colonne61]]=$G25,CA25,Distances[[#This Row],[Colonne61]]+1)</f>
        <v>58</v>
      </c>
      <c r="CC25" s="17">
        <f>IF(Distances[[#This Row],[Colonne62]]=$G25,CB25,Distances[[#This Row],[Colonne62]]+1)</f>
        <v>59</v>
      </c>
      <c r="CD25" s="17">
        <f>IF(Distances[[#This Row],[Colonne63]]=$G25,CC25,Distances[[#This Row],[Colonne63]]+1)</f>
        <v>60</v>
      </c>
      <c r="CE25" s="17">
        <f>IF(Distances[[#This Row],[Colonne64]]=$G25,CD25,Distances[[#This Row],[Colonne64]]+1)</f>
        <v>60</v>
      </c>
      <c r="CF25" s="17">
        <f>IF(Distances[[#This Row],[Colonne65]]=$G25,CE25,Distances[[#This Row],[Colonne65]]+1)</f>
        <v>60</v>
      </c>
      <c r="CG25" s="17">
        <f>IF(Distances[[#This Row],[Colonne66]]=$G25,CF25,Distances[[#This Row],[Colonne66]]+1)</f>
        <v>60</v>
      </c>
      <c r="CH25" s="17">
        <f>IF(Distances[[#This Row],[Colonne67]]=$G25,CG25,Distances[[#This Row],[Colonne67]]+1)</f>
        <v>60</v>
      </c>
      <c r="CI25" s="17">
        <f>IF(Distances[[#This Row],[Colonne68]]=$G25,CH25,Distances[[#This Row],[Colonne68]]+1)</f>
        <v>60</v>
      </c>
      <c r="CJ25" s="17">
        <f>IF(Distances[[#This Row],[Colonne69]]=$G25,CI25,Distances[[#This Row],[Colonne69]]+1)</f>
        <v>60</v>
      </c>
      <c r="CK25" s="17">
        <f>IF(Distances[[#This Row],[Colonne70]]=$G25,CJ25,Distances[[#This Row],[Colonne70]]+1)</f>
        <v>60</v>
      </c>
      <c r="CL25" s="17">
        <f>IF(Distances[[#This Row],[Colonne71]]=$G25,CK25,Distances[[#This Row],[Colonne71]]+1)</f>
        <v>60</v>
      </c>
      <c r="CM25" s="17">
        <f>IF(Distances[[#This Row],[Colonne72]]=$G25,CL25,Distances[[#This Row],[Colonne72]]+1)</f>
        <v>60</v>
      </c>
      <c r="CN25" s="17">
        <f>IF(Distances[[#This Row],[Colonne73]]=$G25,CM25,Distances[[#This Row],[Colonne73]]+1)</f>
        <v>60</v>
      </c>
      <c r="CO25" s="17">
        <f>IF(Distances[[#This Row],[Colonne74]]=$G25,CN25,Distances[[#This Row],[Colonne74]]+1)</f>
        <v>60</v>
      </c>
      <c r="CP25" s="17">
        <f>IF(Distances[[#This Row],[Colonne75]]=$G25,CO25,Distances[[#This Row],[Colonne75]]+1)</f>
        <v>60</v>
      </c>
      <c r="CQ25" s="17">
        <f>IF(Distances[[#This Row],[Colonne76]]=$G25,CP25,Distances[[#This Row],[Colonne76]]+1)</f>
        <v>60</v>
      </c>
      <c r="CR25" s="17">
        <f>IF(Distances[[#This Row],[Colonne77]]=$G25,CQ25,Distances[[#This Row],[Colonne77]]+1)</f>
        <v>60</v>
      </c>
      <c r="CS25" s="17">
        <f>IF(Distances[[#This Row],[Colonne78]]=$G25,CR25,Distances[[#This Row],[Colonne78]]+1)</f>
        <v>60</v>
      </c>
      <c r="CT25" s="17">
        <f>IF(Distances[[#This Row],[Colonne79]]=$G25,CS25,Distances[[#This Row],[Colonne79]]+1)</f>
        <v>60</v>
      </c>
      <c r="CU25" s="17">
        <f>IF(Distances[[#This Row],[Colonne80]]=$G25,CT25,Distances[[#This Row],[Colonne80]]+1)</f>
        <v>60</v>
      </c>
      <c r="CV25" s="17">
        <f>IF(Distances[[#This Row],[Colonne81]]=$G25,CU25,Distances[[#This Row],[Colonne81]]+1)</f>
        <v>60</v>
      </c>
      <c r="CW25" s="17">
        <f>IF(Distances[[#This Row],[Colonne82]]=$G25,CV25,Distances[[#This Row],[Colonne82]]+1)</f>
        <v>60</v>
      </c>
      <c r="CX25" s="17">
        <f>IF(Distances[[#This Row],[Colonne83]]=$G25,CW25,Distances[[#This Row],[Colonne83]]+1)</f>
        <v>60</v>
      </c>
      <c r="CY25" s="17">
        <f>IF(Distances[[#This Row],[Colonne84]]=$G25,CX25,Distances[[#This Row],[Colonne84]]+1)</f>
        <v>60</v>
      </c>
      <c r="CZ25" s="17">
        <f>IF(Distances[[#This Row],[Colonne85]]=$G25,CY25,Distances[[#This Row],[Colonne85]]+1)</f>
        <v>60</v>
      </c>
      <c r="DA25" s="17">
        <f>IF(Distances[[#This Row],[Colonne86]]=$G25,CZ25,Distances[[#This Row],[Colonne86]]+1)</f>
        <v>60</v>
      </c>
      <c r="DB25" s="17">
        <f>IF(Distances[[#This Row],[Colonne87]]=$G25,DA25,Distances[[#This Row],[Colonne87]]+1)</f>
        <v>60</v>
      </c>
      <c r="DC25" s="17">
        <f>IF(Distances[[#This Row],[Colonne88]]=$G25,DB25,Distances[[#This Row],[Colonne88]]+1)</f>
        <v>60</v>
      </c>
      <c r="DD25" s="17">
        <f>IF(Distances[[#This Row],[Colonne89]]=$G25,DC25,Distances[[#This Row],[Colonne89]]+1)</f>
        <v>60</v>
      </c>
      <c r="DE25" s="17">
        <f>IF(Distances[[#This Row],[Colonne90]]=$G25,DD25,Distances[[#This Row],[Colonne90]]+1)</f>
        <v>60</v>
      </c>
      <c r="DF25" s="17">
        <f>IF(Distances[[#This Row],[Colonne91]]=$G25,DE25,Distances[[#This Row],[Colonne91]]+1)</f>
        <v>60</v>
      </c>
      <c r="DG25" s="17">
        <f>IF(Distances[[#This Row],[Colonne92]]=$G25,DF25,Distances[[#This Row],[Colonne92]]+1)</f>
        <v>60</v>
      </c>
      <c r="DH25" s="17">
        <f>IF(Distances[[#This Row],[Colonne93]]=$G25,DG25,Distances[[#This Row],[Colonne93]]+1)</f>
        <v>60</v>
      </c>
      <c r="DI25" s="17">
        <f>IF(Distances[[#This Row],[Colonne94]]=$G25,DH25,Distances[[#This Row],[Colonne94]]+1)</f>
        <v>60</v>
      </c>
      <c r="DJ25" s="17">
        <f>IF(Distances[[#This Row],[Colonne95]]=$G25,DI25,Distances[[#This Row],[Colonne95]]+1)</f>
        <v>60</v>
      </c>
      <c r="DK25" s="17">
        <f>IF(Distances[[#This Row],[Colonne96]]=$G25,DJ25,Distances[[#This Row],[Colonne96]]+1)</f>
        <v>60</v>
      </c>
      <c r="DL25" s="17">
        <f>IF(Distances[[#This Row],[Colonne97]]=$G25,DK25,Distances[[#This Row],[Colonne97]]+1)</f>
        <v>60</v>
      </c>
      <c r="DM25" s="17">
        <f>IF(Distances[[#This Row],[Colonne98]]=$G25,DL25,Distances[[#This Row],[Colonne98]]+1)</f>
        <v>60</v>
      </c>
      <c r="DN25" s="17">
        <f>IF(Distances[[#This Row],[Colonne99]]=$G25,DM25,Distances[[#This Row],[Colonne99]]+1)</f>
        <v>60</v>
      </c>
      <c r="DO25" s="17">
        <f>IF(Distances[[#This Row],[Colonne100]]=$G25,DN25,Distances[[#This Row],[Colonne100]]+1)</f>
        <v>60</v>
      </c>
      <c r="DP25" s="17">
        <f>IF(Distances[[#This Row],[Colonne101]]=$G25,DO25,Distances[[#This Row],[Colonne101]]+1)</f>
        <v>60</v>
      </c>
      <c r="DQ25" s="17">
        <f>IF(Distances[[#This Row],[Colonne102]]=$G25,DP25,Distances[[#This Row],[Colonne102]]+1)</f>
        <v>60</v>
      </c>
      <c r="DR25" s="17">
        <f>IF(Distances[[#This Row],[Colonne103]]=$G25,DQ25,Distances[[#This Row],[Colonne103]]+1)</f>
        <v>60</v>
      </c>
      <c r="DS25" s="17">
        <f>IF(Distances[[#This Row],[Colonne104]]=$G25,DR25,Distances[[#This Row],[Colonne104]]+1)</f>
        <v>60</v>
      </c>
      <c r="DT25" s="17">
        <f>IF(Distances[[#This Row],[Colonne105]]=$G25,DS25,Distances[[#This Row],[Colonne105]]+1)</f>
        <v>60</v>
      </c>
      <c r="DU25" s="17">
        <f>IF(Distances[[#This Row],[Colonne106]]=$G25,DT25,Distances[[#This Row],[Colonne106]]+1)</f>
        <v>60</v>
      </c>
      <c r="DV25" s="17">
        <f>IF(Distances[[#This Row],[Colonne107]]=$G25,DU25,Distances[[#This Row],[Colonne107]]+1)</f>
        <v>60</v>
      </c>
      <c r="DW25" s="17">
        <f>IF(Distances[[#This Row],[Colonne108]]=$G25,DV25,Distances[[#This Row],[Colonne108]]+1)</f>
        <v>60</v>
      </c>
      <c r="DX25" s="17">
        <f>IF(Distances[[#This Row],[Colonne109]]=$G25,DW25,Distances[[#This Row],[Colonne109]]+1)</f>
        <v>60</v>
      </c>
      <c r="DY25" s="17">
        <f>IF(Distances[[#This Row],[Colonne110]]=$G25,DX25,Distances[[#This Row],[Colonne110]]+1)</f>
        <v>60</v>
      </c>
      <c r="DZ25" s="17">
        <f>IF(Distances[[#This Row],[Colonne111]]=$G25,DY25,Distances[[#This Row],[Colonne111]]+1)</f>
        <v>60</v>
      </c>
      <c r="EA25" s="17">
        <f>IF(Distances[[#This Row],[Colonne112]]=$G25,DZ25,Distances[[#This Row],[Colonne112]]+1)</f>
        <v>60</v>
      </c>
      <c r="EB25" s="17">
        <f>IF(Distances[[#This Row],[Colonne113]]=$G25,EA25,Distances[[#This Row],[Colonne113]]+1)</f>
        <v>60</v>
      </c>
      <c r="EC25" s="17">
        <f>IF(Distances[[#This Row],[Colonne114]]=$G25,EB25,Distances[[#This Row],[Colonne114]]+1)</f>
        <v>60</v>
      </c>
      <c r="ED25" s="17">
        <f>IF(Distances[[#This Row],[Colonne115]]=$G25,EC25,Distances[[#This Row],[Colonne115]]+1)</f>
        <v>60</v>
      </c>
      <c r="EE25" s="17">
        <f>IF(Distances[[#This Row],[Colonne116]]=$G25,ED25,Distances[[#This Row],[Colonne116]]+1)</f>
        <v>60</v>
      </c>
      <c r="EF25" s="17">
        <f>IF(Distances[[#This Row],[Colonne117]]=$G25,EE25,Distances[[#This Row],[Colonne117]]+1)</f>
        <v>60</v>
      </c>
      <c r="EG25" s="17">
        <f>IF(Distances[[#This Row],[Colonne118]]=$G25,EF25,Distances[[#This Row],[Colonne118]]+1)</f>
        <v>60</v>
      </c>
      <c r="EH25" s="17">
        <f>IF(Distances[[#This Row],[Colonne119]]=$G25,EG25,Distances[[#This Row],[Colonne119]]+1)</f>
        <v>60</v>
      </c>
      <c r="EI25" s="17">
        <f>IF(Distances[[#This Row],[Colonne120]]=$G25,EH25,Distances[[#This Row],[Colonne120]]+1)</f>
        <v>60</v>
      </c>
      <c r="EJ25" s="17">
        <f>IF(Distances[[#This Row],[Colonne121]]=$G25,EI25,Distances[[#This Row],[Colonne121]]+1)</f>
        <v>60</v>
      </c>
      <c r="EK25" s="17">
        <f>IF(Distances[[#This Row],[Colonne122]]=$G25,EJ25,Distances[[#This Row],[Colonne122]]+1)</f>
        <v>60</v>
      </c>
      <c r="EL25" s="17">
        <f>IF(Distances[[#This Row],[Colonne123]]=$G25,EK25,Distances[[#This Row],[Colonne123]]+1)</f>
        <v>60</v>
      </c>
      <c r="EM25" s="17">
        <f>IF(Distances[[#This Row],[Colonne124]]=$G25,EL25,Distances[[#This Row],[Colonne124]]+1)</f>
        <v>60</v>
      </c>
      <c r="EN25" s="17">
        <f>IF(Distances[[#This Row],[Colonne125]]=$G25,EM25,Distances[[#This Row],[Colonne125]]+1)</f>
        <v>60</v>
      </c>
      <c r="EO25" s="17">
        <f>IF(Distances[[#This Row],[Colonne126]]=$G25,EN25,Distances[[#This Row],[Colonne126]]+1)</f>
        <v>60</v>
      </c>
      <c r="EP25" s="17">
        <f>IF(Distances[[#This Row],[Colonne127]]=$G25,EO25,Distances[[#This Row],[Colonne127]]+1)</f>
        <v>60</v>
      </c>
      <c r="EQ25" s="17">
        <f>IF(Distances[[#This Row],[Colonne128]]=$G25,EP25,Distances[[#This Row],[Colonne128]]+1)</f>
        <v>60</v>
      </c>
      <c r="ER25" s="17">
        <f>IF(Distances[[#This Row],[Colonne129]]=$G25,EQ25,Distances[[#This Row],[Colonne129]]+1)</f>
        <v>60</v>
      </c>
      <c r="ES25" s="17">
        <f>IF(Distances[[#This Row],[Colonne130]]=$G25,ER25,Distances[[#This Row],[Colonne130]]+1)</f>
        <v>60</v>
      </c>
      <c r="ET25" s="17">
        <f>IF(Distances[[#This Row],[Colonne131]]=$G25,ES25,Distances[[#This Row],[Colonne131]]+1)</f>
        <v>60</v>
      </c>
      <c r="EU25" s="17">
        <f>IF(Distances[[#This Row],[Colonne132]]=$G25,ET25,Distances[[#This Row],[Colonne132]]+1)</f>
        <v>60</v>
      </c>
      <c r="EV25" s="17">
        <f>IF(Distances[[#This Row],[Colonne133]]=$G25,EU25,Distances[[#This Row],[Colonne133]]+1)</f>
        <v>60</v>
      </c>
      <c r="EW25" s="17">
        <f>IF(Distances[[#This Row],[Colonne134]]=$G25,EV25,Distances[[#This Row],[Colonne134]]+1)</f>
        <v>60</v>
      </c>
      <c r="EX25" s="17">
        <f>IF(Distances[[#This Row],[Colonne135]]=$G25,EW25,Distances[[#This Row],[Colonne135]]+1)</f>
        <v>60</v>
      </c>
      <c r="EY25" s="17">
        <f>IF(Distances[[#This Row],[Colonne136]]=$G25,EX25,Distances[[#This Row],[Colonne136]]+1)</f>
        <v>60</v>
      </c>
      <c r="EZ25" s="17">
        <f>IF(Distances[[#This Row],[Colonne137]]=$G25,EY25,Distances[[#This Row],[Colonne137]]+1)</f>
        <v>60</v>
      </c>
      <c r="FA25" s="17">
        <f>IF(Distances[[#This Row],[Colonne138]]=$G25,EZ25,Distances[[#This Row],[Colonne138]]+1)</f>
        <v>60</v>
      </c>
      <c r="FB25" s="17">
        <f>IF(Distances[[#This Row],[Colonne139]]=$G25,FA25,Distances[[#This Row],[Colonne139]]+1)</f>
        <v>60</v>
      </c>
      <c r="FC25" s="17">
        <f>IF(Distances[[#This Row],[Colonne140]]=$G25,FB25,Distances[[#This Row],[Colonne140]]+1)</f>
        <v>60</v>
      </c>
      <c r="FD25" s="17">
        <f>IF(Distances[[#This Row],[Colonne141]]=$G25,FC25,Distances[[#This Row],[Colonne141]]+1)</f>
        <v>60</v>
      </c>
      <c r="FE25" s="17">
        <f>IF(Distances[[#This Row],[Colonne142]]=$G25,FD25,Distances[[#This Row],[Colonne142]]+1)</f>
        <v>60</v>
      </c>
      <c r="FF25" s="17">
        <f>IF(Distances[[#This Row],[Colonne143]]=$G25,FE25,Distances[[#This Row],[Colonne143]]+1)</f>
        <v>60</v>
      </c>
      <c r="FG25" s="17">
        <f>IF(Distances[[#This Row],[Colonne144]]=$G25,FF25,Distances[[#This Row],[Colonne144]]+1)</f>
        <v>60</v>
      </c>
      <c r="FH25" s="17">
        <f>IF(Distances[[#This Row],[Colonne145]]=$G25,FG25,Distances[[#This Row],[Colonne145]]+1)</f>
        <v>60</v>
      </c>
      <c r="FI25" s="17">
        <f>IF(Distances[[#This Row],[Colonne146]]=$G25,FH25,Distances[[#This Row],[Colonne146]]+1)</f>
        <v>60</v>
      </c>
      <c r="FJ25" s="17">
        <f>IF(Distances[[#This Row],[Colonne147]]=$G25,FI25,Distances[[#This Row],[Colonne147]]+1)</f>
        <v>60</v>
      </c>
      <c r="FK25" s="17">
        <f>IF(Distances[[#This Row],[Colonne148]]=$G25,FJ25,Distances[[#This Row],[Colonne148]]+1)</f>
        <v>60</v>
      </c>
      <c r="FL25" s="17">
        <f>IF(Distances[[#This Row],[Colonne149]]=$G25,FK25,Distances[[#This Row],[Colonne149]]+1)</f>
        <v>60</v>
      </c>
      <c r="FM25" s="17">
        <f>IF(Distances[[#This Row],[Colonne150]]=$G25,FL25,Distances[[#This Row],[Colonne150]]+1)</f>
        <v>60</v>
      </c>
      <c r="FN25" s="17">
        <f>IF(Distances[[#This Row],[Colonne151]]=$G25,FM25,Distances[[#This Row],[Colonne151]]+1)</f>
        <v>60</v>
      </c>
      <c r="FO25" s="17">
        <f>IF(Distances[[#This Row],[Colonne152]]=$G25,FN25,Distances[[#This Row],[Colonne152]]+1)</f>
        <v>60</v>
      </c>
      <c r="FP25" s="17">
        <f>IF(Distances[[#This Row],[Colonne153]]=$G25,FO25,Distances[[#This Row],[Colonne153]]+1)</f>
        <v>60</v>
      </c>
      <c r="FQ25" s="17">
        <f>IF(Distances[[#This Row],[Colonne154]]=$G25,FP25,Distances[[#This Row],[Colonne154]]+1)</f>
        <v>60</v>
      </c>
      <c r="FR25" s="17">
        <f>IF(Distances[[#This Row],[Colonne155]]=$G25,FQ25,Distances[[#This Row],[Colonne155]]+1)</f>
        <v>60</v>
      </c>
      <c r="FS25" s="17">
        <f>IF(Distances[[#This Row],[Colonne156]]=$G25,FR25,Distances[[#This Row],[Colonne156]]+1)</f>
        <v>60</v>
      </c>
      <c r="FT25" s="17">
        <f>IF(Distances[[#This Row],[Colonne157]]=$G25,FS25,Distances[[#This Row],[Colonne157]]+1)</f>
        <v>60</v>
      </c>
      <c r="FU25" s="17">
        <f>IF(Distances[[#This Row],[Colonne158]]=$G25,FT25,Distances[[#This Row],[Colonne158]]+1)</f>
        <v>60</v>
      </c>
      <c r="FV25" s="17">
        <f>IF(Distances[[#This Row],[Colonne159]]=$G25,FU25,Distances[[#This Row],[Colonne159]]+1)</f>
        <v>60</v>
      </c>
      <c r="FW25" s="17">
        <f>IF(Distances[[#This Row],[Colonne160]]=$G25,FV25,Distances[[#This Row],[Colonne160]]+1)</f>
        <v>60</v>
      </c>
      <c r="FX25" s="17">
        <f>IF(Distances[[#This Row],[Colonne161]]=$G25,FW25,Distances[[#This Row],[Colonne161]]+1)</f>
        <v>60</v>
      </c>
      <c r="FY25" s="17">
        <f>IF(Distances[[#This Row],[Colonne162]]=$G25,FX25,Distances[[#This Row],[Colonne162]]+1)</f>
        <v>60</v>
      </c>
      <c r="FZ25" s="17">
        <f>IF(Distances[[#This Row],[Colonne163]]=$G25,FY25,Distances[[#This Row],[Colonne163]]+1)</f>
        <v>60</v>
      </c>
      <c r="GA25" s="17">
        <f>IF(Distances[[#This Row],[Colonne164]]=$G25,FZ25,Distances[[#This Row],[Colonne164]]+1)</f>
        <v>60</v>
      </c>
      <c r="GB25" s="17">
        <f>IF(Distances[[#This Row],[Colonne165]]=$G25,GA25,Distances[[#This Row],[Colonne165]]+1)</f>
        <v>60</v>
      </c>
      <c r="GC25" s="17">
        <f>IF(Distances[[#This Row],[Colonne166]]=$G25,GB25,Distances[[#This Row],[Colonne166]]+1)</f>
        <v>60</v>
      </c>
      <c r="GD25" s="17">
        <f>IF(Distances[[#This Row],[Colonne167]]=$G25,GC25,Distances[[#This Row],[Colonne167]]+1)</f>
        <v>60</v>
      </c>
      <c r="GE25" s="17">
        <f>IF(Distances[[#This Row],[Colonne168]]=$G25,GD25,Distances[[#This Row],[Colonne168]]+1)</f>
        <v>60</v>
      </c>
      <c r="GF25" s="17">
        <f>IF(Distances[[#This Row],[Colonne169]]=$G25,GE25,Distances[[#This Row],[Colonne169]]+1)</f>
        <v>60</v>
      </c>
      <c r="GG25" s="17">
        <f>IF(Distances[[#This Row],[Colonne170]]=$G25,GF25,Distances[[#This Row],[Colonne170]]+1)</f>
        <v>60</v>
      </c>
      <c r="GH25" s="17">
        <f>IF(Distances[[#This Row],[Colonne171]]=$G25,GG25,Distances[[#This Row],[Colonne171]]+1)</f>
        <v>60</v>
      </c>
      <c r="GI25" s="17">
        <f>IF(Distances[[#This Row],[Colonne172]]=$G25,GH25,Distances[[#This Row],[Colonne172]]+1)</f>
        <v>60</v>
      </c>
      <c r="GJ25" s="17">
        <f>IF(Distances[[#This Row],[Colonne173]]=$G25,GI25,Distances[[#This Row],[Colonne173]]+1)</f>
        <v>60</v>
      </c>
      <c r="GK25" s="17">
        <f>IF(Distances[[#This Row],[Colonne174]]=$G25,GJ25,Distances[[#This Row],[Colonne174]]+1)</f>
        <v>60</v>
      </c>
      <c r="GL25" s="17">
        <f>IF(Distances[[#This Row],[Colonne175]]=$G25,GK25,Distances[[#This Row],[Colonne175]]+1)</f>
        <v>60</v>
      </c>
      <c r="GM25" s="17">
        <f>IF(Distances[[#This Row],[Colonne176]]=$G25,GL25,Distances[[#This Row],[Colonne176]]+1)</f>
        <v>60</v>
      </c>
      <c r="GN25" s="17">
        <f>IF(Distances[[#This Row],[Colonne177]]=$G25,GM25,Distances[[#This Row],[Colonne177]]+1)</f>
        <v>60</v>
      </c>
      <c r="GO25" s="17">
        <f>IF(Distances[[#This Row],[Colonne178]]=$G25,GN25,Distances[[#This Row],[Colonne178]]+1)</f>
        <v>60</v>
      </c>
      <c r="GP25" s="17">
        <f>IF(Distances[[#This Row],[Colonne179]]=$G25,GO25,Distances[[#This Row],[Colonne179]]+1)</f>
        <v>60</v>
      </c>
      <c r="GQ25" s="17">
        <f>IF(Distances[[#This Row],[Colonne180]]=$G25,GP25,Distances[[#This Row],[Colonne180]]+1)</f>
        <v>60</v>
      </c>
      <c r="GR25" s="17">
        <f>IF(Distances[[#This Row],[Colonne181]]=$G25,GQ25,Distances[[#This Row],[Colonne181]]+1)</f>
        <v>60</v>
      </c>
      <c r="GS25" s="17">
        <f>IF(Distances[[#This Row],[Colonne182]]=$G25,GR25,Distances[[#This Row],[Colonne182]]+1)</f>
        <v>60</v>
      </c>
      <c r="GT25" s="17">
        <f>IF(Distances[[#This Row],[Colonne183]]=$G25,GS25,Distances[[#This Row],[Colonne183]]+1)</f>
        <v>60</v>
      </c>
      <c r="GU25" s="17">
        <f>IF(Distances[[#This Row],[Colonne184]]=$G25,GT25,Distances[[#This Row],[Colonne184]]+1)</f>
        <v>60</v>
      </c>
      <c r="GV25" s="17">
        <f>IF(Distances[[#This Row],[Colonne185]]=$G25,GU25,Distances[[#This Row],[Colonne185]]+1)</f>
        <v>60</v>
      </c>
      <c r="GW25" s="17">
        <f>IF(Distances[[#This Row],[Colonne186]]=$G25,GV25,Distances[[#This Row],[Colonne186]]+1)</f>
        <v>60</v>
      </c>
      <c r="GX25" s="17">
        <f>IF(Distances[[#This Row],[Colonne187]]=$G25,GW25,Distances[[#This Row],[Colonne187]]+1)</f>
        <v>60</v>
      </c>
      <c r="GY25" s="17">
        <f>IF(Distances[[#This Row],[Colonne188]]=$G25,GX25,Distances[[#This Row],[Colonne188]]+1)</f>
        <v>60</v>
      </c>
      <c r="GZ25" s="17">
        <f>IF(Distances[[#This Row],[Colonne189]]=$G25,GY25,Distances[[#This Row],[Colonne189]]+1)</f>
        <v>60</v>
      </c>
      <c r="HA25" s="17">
        <f>IF(Distances[[#This Row],[Colonne190]]=$G25,GZ25,Distances[[#This Row],[Colonne190]]+1)</f>
        <v>60</v>
      </c>
      <c r="HB25" s="17">
        <f>IF(Distances[[#This Row],[Colonne191]]=$G25,HA25,Distances[[#This Row],[Colonne191]]+1)</f>
        <v>60</v>
      </c>
      <c r="HC25" s="17">
        <f>IF(Distances[[#This Row],[Colonne192]]=$G25,HB25,Distances[[#This Row],[Colonne192]]+1)</f>
        <v>60</v>
      </c>
      <c r="HD25" s="17">
        <f>IF(Distances[[#This Row],[Colonne193]]=$G25,HC25,Distances[[#This Row],[Colonne193]]+1)</f>
        <v>60</v>
      </c>
      <c r="HE25" s="17">
        <f>IF(Distances[[#This Row],[Colonne194]]=$G25,HD25,Distances[[#This Row],[Colonne194]]+1)</f>
        <v>60</v>
      </c>
      <c r="HF25" s="17">
        <f>IF(Distances[[#This Row],[Colonne195]]=$G25,HE25,Distances[[#This Row],[Colonne195]]+1)</f>
        <v>60</v>
      </c>
      <c r="HG25" s="17">
        <f>IF(Distances[[#This Row],[Colonne196]]=$G25,HF25,Distances[[#This Row],[Colonne196]]+1)</f>
        <v>60</v>
      </c>
      <c r="HH25" s="17">
        <f>IF(Distances[[#This Row],[Colonne197]]=$G25,HG25,Distances[[#This Row],[Colonne197]]+1)</f>
        <v>60</v>
      </c>
      <c r="HI25" s="17">
        <f>IF(Distances[[#This Row],[Colonne198]]=$G25,HH25,Distances[[#This Row],[Colonne198]]+1)</f>
        <v>60</v>
      </c>
      <c r="HJ25" s="17">
        <f>IF(Distances[[#This Row],[Colonne199]]=$G25,HI25,Distances[[#This Row],[Colonne199]]+1)</f>
        <v>60</v>
      </c>
      <c r="HK25" s="17">
        <f>IF(Distances[[#This Row],[Colonne200]]=$G25,HJ25,Distances[[#This Row],[Colonne200]]+1)</f>
        <v>60</v>
      </c>
      <c r="HL25" s="17">
        <f>IF(Distances[[#This Row],[Colonne201]]=$G25,HK25,Distances[[#This Row],[Colonne201]]+1)</f>
        <v>60</v>
      </c>
      <c r="HM25" s="17">
        <f>IF(Distances[[#This Row],[Colonne202]]=$G25,HL25,Distances[[#This Row],[Colonne202]]+1)</f>
        <v>60</v>
      </c>
      <c r="HN25" s="17">
        <f>IF(Distances[[#This Row],[Colonne203]]=$G25,HM25,Distances[[#This Row],[Colonne203]]+1)</f>
        <v>60</v>
      </c>
      <c r="HO25" s="17">
        <f>IF(Distances[[#This Row],[Colonne204]]=$G25,HN25,Distances[[#This Row],[Colonne204]]+1)</f>
        <v>60</v>
      </c>
      <c r="HP25" s="17">
        <f>IF(Distances[[#This Row],[Colonne205]]=$G25,HO25,Distances[[#This Row],[Colonne205]]+1)</f>
        <v>60</v>
      </c>
      <c r="HQ25" s="17">
        <f>IF(Distances[[#This Row],[Colonne206]]=$G25,HP25,Distances[[#This Row],[Colonne206]]+1)</f>
        <v>60</v>
      </c>
      <c r="HR25" s="17">
        <f>IF(Distances[[#This Row],[Colonne207]]=$G25,HQ25,Distances[[#This Row],[Colonne207]]+1)</f>
        <v>60</v>
      </c>
      <c r="HS25" s="17">
        <f>IF(Distances[[#This Row],[Colonne208]]=$G25,HR25,Distances[[#This Row],[Colonne208]]+1)</f>
        <v>60</v>
      </c>
      <c r="HT25" s="17">
        <f>IF(Distances[[#This Row],[Colonne209]]=$G25,HS25,Distances[[#This Row],[Colonne209]]+1)</f>
        <v>60</v>
      </c>
      <c r="HU25" s="17">
        <f>IF(Distances[[#This Row],[Colonne210]]=$G25,HT25,Distances[[#This Row],[Colonne210]]+1)</f>
        <v>60</v>
      </c>
      <c r="HV25" s="17">
        <f>IF(Distances[[#This Row],[Colonne211]]=$G25,HU25,Distances[[#This Row],[Colonne211]]+1)</f>
        <v>60</v>
      </c>
      <c r="HW25" s="17">
        <f>IF(Distances[[#This Row],[Colonne212]]=$G25,HV25,Distances[[#This Row],[Colonne212]]+1)</f>
        <v>60</v>
      </c>
      <c r="HX25" s="17">
        <f>IF(Distances[[#This Row],[Colonne213]]=$G25,HW25,Distances[[#This Row],[Colonne213]]+1)</f>
        <v>60</v>
      </c>
      <c r="HY25" s="17">
        <f>IF(Distances[[#This Row],[Colonne214]]=$G25,HX25,Distances[[#This Row],[Colonne214]]+1)</f>
        <v>60</v>
      </c>
      <c r="HZ25" s="17">
        <f>IF(Distances[[#This Row],[Colonne215]]=$G25,HY25,Distances[[#This Row],[Colonne215]]+1)</f>
        <v>60</v>
      </c>
      <c r="IA25" s="17">
        <f>IF(Distances[[#This Row],[Colonne216]]=$G25,HZ25,Distances[[#This Row],[Colonne216]]+1)</f>
        <v>60</v>
      </c>
      <c r="IB25" s="17">
        <f>IF(Distances[[#This Row],[Colonne217]]=$G25,IA25,Distances[[#This Row],[Colonne217]]+1)</f>
        <v>60</v>
      </c>
      <c r="IC25" s="17">
        <f>IF(Distances[[#This Row],[Colonne218]]=$G25,IB25,Distances[[#This Row],[Colonne218]]+1)</f>
        <v>60</v>
      </c>
      <c r="ID25" s="17">
        <f>IF(Distances[[#This Row],[Colonne219]]=$G25,IC25,Distances[[#This Row],[Colonne219]]+1)</f>
        <v>60</v>
      </c>
      <c r="IE25" s="17">
        <f>IF(Distances[[#This Row],[Colonne220]]=$G25,ID25,Distances[[#This Row],[Colonne220]]+1)</f>
        <v>60</v>
      </c>
      <c r="IF25" s="17">
        <f>IF(Distances[[#This Row],[Colonne221]]=$G25,IE25,Distances[[#This Row],[Colonne221]]+1)</f>
        <v>60</v>
      </c>
      <c r="IG25" s="17">
        <f>IF(Distances[[#This Row],[Colonne222]]=$G25,IF25,Distances[[#This Row],[Colonne222]]+1)</f>
        <v>60</v>
      </c>
      <c r="IH25" s="17">
        <f>IF(Distances[[#This Row],[Colonne223]]=$G25,IG25,Distances[[#This Row],[Colonne223]]+1)</f>
        <v>60</v>
      </c>
      <c r="II25" s="17">
        <f>IF(Distances[[#This Row],[Colonne224]]=$G25,IH25,Distances[[#This Row],[Colonne224]]+1)</f>
        <v>60</v>
      </c>
      <c r="IJ25" s="17">
        <f>IF(Distances[[#This Row],[Colonne225]]=$G25,II25,Distances[[#This Row],[Colonne225]]+1)</f>
        <v>60</v>
      </c>
      <c r="IK25" s="17">
        <f>IF(Distances[[#This Row],[Colonne226]]=$G25,IJ25,Distances[[#This Row],[Colonne226]]+1)</f>
        <v>60</v>
      </c>
      <c r="IL25" s="17">
        <f>IF(Distances[[#This Row],[Colonne227]]=$G25,IK25,Distances[[#This Row],[Colonne227]]+1)</f>
        <v>60</v>
      </c>
      <c r="IM25" s="17">
        <f>IF(Distances[[#This Row],[Colonne228]]=$G25,IL25,Distances[[#This Row],[Colonne228]]+1)</f>
        <v>60</v>
      </c>
      <c r="IN25" s="17">
        <f>IF(Distances[[#This Row],[Colonne229]]=$G25,IM25,Distances[[#This Row],[Colonne229]]+1)</f>
        <v>60</v>
      </c>
      <c r="IO25" s="17">
        <f>IF(Distances[[#This Row],[Colonne230]]=$G25,IN25,Distances[[#This Row],[Colonne230]]+1)</f>
        <v>60</v>
      </c>
      <c r="IP25" s="17">
        <f>IF(Distances[[#This Row],[Colonne231]]=$G25,IO25,Distances[[#This Row],[Colonne231]]+1)</f>
        <v>60</v>
      </c>
      <c r="IQ25" s="17">
        <f>IF(Distances[[#This Row],[Colonne232]]=$G25,IP25,Distances[[#This Row],[Colonne232]]+1)</f>
        <v>60</v>
      </c>
      <c r="IR25" s="17">
        <f>IF(Distances[[#This Row],[Colonne233]]=$G25,IQ25,Distances[[#This Row],[Colonne233]]+1)</f>
        <v>60</v>
      </c>
      <c r="IS25" s="17">
        <f>IF(Distances[[#This Row],[Colonne234]]=$G25,IR25,Distances[[#This Row],[Colonne234]]+1)</f>
        <v>60</v>
      </c>
      <c r="IT25" s="17">
        <f>IF(Distances[[#This Row],[Colonne235]]=$G25,IS25,Distances[[#This Row],[Colonne235]]+1)</f>
        <v>60</v>
      </c>
      <c r="IU25" s="17">
        <f>IF(Distances[[#This Row],[Colonne236]]=$G25,IT25,Distances[[#This Row],[Colonne236]]+1)</f>
        <v>60</v>
      </c>
      <c r="IV25" s="17">
        <f>IF(Distances[[#This Row],[Colonne237]]=$G25,IU25,Distances[[#This Row],[Colonne237]]+1)</f>
        <v>60</v>
      </c>
      <c r="IW25" s="17">
        <f>IF(Distances[[#This Row],[Colonne238]]=$G25,IV25,Distances[[#This Row],[Colonne238]]+1)</f>
        <v>60</v>
      </c>
      <c r="IX25" s="17">
        <f>IF(Distances[[#This Row],[Colonne239]]=$G25,IW25,Distances[[#This Row],[Colonne239]]+1)</f>
        <v>60</v>
      </c>
      <c r="IY25" s="17">
        <f>IF(Distances[[#This Row],[Colonne240]]=$G25,IX25,Distances[[#This Row],[Colonne240]]+1)</f>
        <v>60</v>
      </c>
      <c r="IZ25" s="17">
        <f>IF(Distances[[#This Row],[Colonne241]]=$G25,IY25,Distances[[#This Row],[Colonne241]]+1)</f>
        <v>60</v>
      </c>
      <c r="JA25" s="17">
        <f>IF(Distances[[#This Row],[Colonne242]]=$G25,IZ25,Distances[[#This Row],[Colonne242]]+1)</f>
        <v>60</v>
      </c>
      <c r="JB25" s="17">
        <f>IF(Distances[[#This Row],[Colonne243]]=$G25,JA25,Distances[[#This Row],[Colonne243]]+1)</f>
        <v>60</v>
      </c>
      <c r="JC25" s="17">
        <f>IF(Distances[[#This Row],[Colonne244]]=$G25,JB25,Distances[[#This Row],[Colonne244]]+1)</f>
        <v>60</v>
      </c>
      <c r="JD25" s="17">
        <f>IF(Distances[[#This Row],[Colonne245]]=$G25,JC25,Distances[[#This Row],[Colonne245]]+1)</f>
        <v>60</v>
      </c>
      <c r="JE25" s="17">
        <f>IF(Distances[[#This Row],[Colonne246]]=$G25,JD25,Distances[[#This Row],[Colonne246]]+1)</f>
        <v>60</v>
      </c>
      <c r="JF25" s="17">
        <f>IF(Distances[[#This Row],[Colonne247]]=$G25,JE25,Distances[[#This Row],[Colonne247]]+1)</f>
        <v>60</v>
      </c>
      <c r="JG25" s="17">
        <f>IF(Distances[[#This Row],[Colonne248]]=$G25,JF25,Distances[[#This Row],[Colonne248]]+1)</f>
        <v>60</v>
      </c>
      <c r="JH25" s="17">
        <f>IF(Distances[[#This Row],[Colonne249]]=$G25,JG25,Distances[[#This Row],[Colonne249]]+1)</f>
        <v>60</v>
      </c>
      <c r="JI25" s="17">
        <f>IF(Distances[[#This Row],[Colonne250]]=$G25,JH25,Distances[[#This Row],[Colonne250]]+1)</f>
        <v>60</v>
      </c>
      <c r="JJ25" s="17">
        <f>IF(Distances[[#This Row],[Colonne251]]=$G25,JI25,Distances[[#This Row],[Colonne251]]+1)</f>
        <v>60</v>
      </c>
      <c r="JK25" s="17">
        <f>IF(Distances[[#This Row],[Colonne252]]=$G25,JJ25,Distances[[#This Row],[Colonne252]]+1)</f>
        <v>60</v>
      </c>
      <c r="JL25" s="17">
        <f>IF(Distances[[#This Row],[Colonne253]]=$G25,JK25,Distances[[#This Row],[Colonne253]]+1)</f>
        <v>60</v>
      </c>
      <c r="JM25" s="17">
        <f>IF(Distances[[#This Row],[Colonne254]]=$G25,JL25,Distances[[#This Row],[Colonne254]]+1)</f>
        <v>60</v>
      </c>
      <c r="JN25" s="17">
        <f>IF(Distances[[#This Row],[Colonne255]]=$G25,JM25,Distances[[#This Row],[Colonne255]]+1)</f>
        <v>60</v>
      </c>
      <c r="JO25" s="17">
        <f>IF(Distances[[#This Row],[Colonne256]]=$G25,JN25,Distances[[#This Row],[Colonne256]]+1)</f>
        <v>60</v>
      </c>
      <c r="JP25" s="17">
        <f>IF(Distances[[#This Row],[Colonne257]]=$G25,JO25,Distances[[#This Row],[Colonne257]]+1)</f>
        <v>60</v>
      </c>
      <c r="JQ25" s="17">
        <f>IF(Distances[[#This Row],[Colonne258]]=$G25,JP25,Distances[[#This Row],[Colonne258]]+1)</f>
        <v>60</v>
      </c>
      <c r="JR25" s="17">
        <f>IF(Distances[[#This Row],[Colonne259]]=$G25,JQ25,Distances[[#This Row],[Colonne259]]+1)</f>
        <v>60</v>
      </c>
      <c r="JS25" s="17">
        <f>IF(Distances[[#This Row],[Colonne260]]=$G25,JR25,Distances[[#This Row],[Colonne260]]+1)</f>
        <v>60</v>
      </c>
      <c r="JT25" s="17">
        <f>IF(Distances[[#This Row],[Colonne261]]=$G25,JS25,Distances[[#This Row],[Colonne261]]+1)</f>
        <v>60</v>
      </c>
      <c r="JU25" s="17">
        <f>IF(Distances[[#This Row],[Colonne262]]=$G25,JT25,Distances[[#This Row],[Colonne262]]+1)</f>
        <v>60</v>
      </c>
      <c r="JV25" s="17">
        <f>IF(Distances[[#This Row],[Colonne263]]=$G25,JU25,Distances[[#This Row],[Colonne263]]+1)</f>
        <v>60</v>
      </c>
      <c r="JW25" s="17">
        <f>IF(Distances[[#This Row],[Colonne264]]=$G25,JV25,Distances[[#This Row],[Colonne264]]+1)</f>
        <v>60</v>
      </c>
      <c r="JX25" s="17">
        <f>IF(Distances[[#This Row],[Colonne265]]=$G25,JW25,Distances[[#This Row],[Colonne265]]+1)</f>
        <v>60</v>
      </c>
      <c r="JY25" s="17">
        <f>IF(Distances[[#This Row],[Colonne266]]=$G25,JX25,Distances[[#This Row],[Colonne266]]+1)</f>
        <v>60</v>
      </c>
      <c r="JZ25" s="17">
        <f>IF(Distances[[#This Row],[Colonne267]]=$G25,JY25,Distances[[#This Row],[Colonne267]]+1)</f>
        <v>60</v>
      </c>
      <c r="KA25" s="17">
        <f>IF(Distances[[#This Row],[Colonne268]]=$G25,JZ25,Distances[[#This Row],[Colonne268]]+1)</f>
        <v>60</v>
      </c>
      <c r="KB25" s="17">
        <f>IF(Distances[[#This Row],[Colonne269]]=$G25,KA25,Distances[[#This Row],[Colonne269]]+1)</f>
        <v>60</v>
      </c>
      <c r="KC25" s="17">
        <f>IF(Distances[[#This Row],[Colonne270]]=$G25,KB25,Distances[[#This Row],[Colonne270]]+1)</f>
        <v>60</v>
      </c>
      <c r="KD25" s="17">
        <f>IF(Distances[[#This Row],[Colonne271]]=$G25,KC25,Distances[[#This Row],[Colonne271]]+1)</f>
        <v>60</v>
      </c>
      <c r="KE25" s="17">
        <f>IF(Distances[[#This Row],[Colonne272]]=$G25,KD25,Distances[[#This Row],[Colonne272]]+1)</f>
        <v>60</v>
      </c>
      <c r="KF25" s="17">
        <f>IF(Distances[[#This Row],[Colonne273]]=$G25,KE25,Distances[[#This Row],[Colonne273]]+1)</f>
        <v>60</v>
      </c>
      <c r="KG25" s="17">
        <f>IF(Distances[[#This Row],[Colonne274]]=$G25,KF25,Distances[[#This Row],[Colonne274]]+1)</f>
        <v>60</v>
      </c>
      <c r="KH25" s="17">
        <f>IF(Distances[[#This Row],[Colonne275]]=$G25,KG25,Distances[[#This Row],[Colonne275]]+1)</f>
        <v>60</v>
      </c>
      <c r="KI25" s="17">
        <f>IF(Distances[[#This Row],[Colonne276]]=$G25,KH25,Distances[[#This Row],[Colonne276]]+1)</f>
        <v>60</v>
      </c>
      <c r="KJ25" s="17">
        <f>IF(Distances[[#This Row],[Colonne277]]=$G25,KI25,Distances[[#This Row],[Colonne277]]+1)</f>
        <v>60</v>
      </c>
      <c r="KK25" s="17">
        <f>IF(Distances[[#This Row],[Colonne278]]=$G25,KJ25,Distances[[#This Row],[Colonne278]]+1)</f>
        <v>60</v>
      </c>
      <c r="KL25" s="17">
        <f>IF(Distances[[#This Row],[Colonne279]]=$G25,KK25,Distances[[#This Row],[Colonne279]]+1)</f>
        <v>60</v>
      </c>
      <c r="KM25" s="17">
        <f>IF(Distances[[#This Row],[Colonne280]]=$G25,KL25,Distances[[#This Row],[Colonne280]]+1)</f>
        <v>60</v>
      </c>
      <c r="KN25" s="17">
        <f>IF(Distances[[#This Row],[Colonne281]]=$G25,KM25,Distances[[#This Row],[Colonne281]]+1)</f>
        <v>60</v>
      </c>
      <c r="KO25" s="17">
        <f>IF(Distances[[#This Row],[Colonne282]]=$G25,KN25,Distances[[#This Row],[Colonne282]]+1)</f>
        <v>60</v>
      </c>
      <c r="KP25" s="17">
        <f>IF(Distances[[#This Row],[Colonne283]]=$G25,KO25,Distances[[#This Row],[Colonne283]]+1)</f>
        <v>60</v>
      </c>
      <c r="KQ25" s="17">
        <f>IF(Distances[[#This Row],[Colonne284]]=$G25,KP25,Distances[[#This Row],[Colonne284]]+1)</f>
        <v>60</v>
      </c>
      <c r="KR25" s="17">
        <f>IF(Distances[[#This Row],[Colonne285]]=$G25,KQ25,Distances[[#This Row],[Colonne285]]+1)</f>
        <v>60</v>
      </c>
      <c r="KS25" s="17">
        <f>IF(Distances[[#This Row],[Colonne286]]=$G25,KR25,Distances[[#This Row],[Colonne286]]+1)</f>
        <v>60</v>
      </c>
      <c r="KT25" s="17">
        <f>IF(Distances[[#This Row],[Colonne287]]=$G25,KS25,Distances[[#This Row],[Colonne287]]+1)</f>
        <v>60</v>
      </c>
      <c r="KU25" s="17">
        <f>IF(Distances[[#This Row],[Colonne288]]=$G25,KT25,Distances[[#This Row],[Colonne288]]+1)</f>
        <v>60</v>
      </c>
      <c r="KV25" s="17">
        <f>IF(Distances[[#This Row],[Colonne289]]=$G25,KU25,Distances[[#This Row],[Colonne289]]+1)</f>
        <v>60</v>
      </c>
      <c r="KW25" s="17">
        <f>IF(Distances[[#This Row],[Colonne290]]=$G25,KV25,Distances[[#This Row],[Colonne290]]+1)</f>
        <v>60</v>
      </c>
      <c r="KX25" s="17">
        <f>IF(Distances[[#This Row],[Colonne291]]=$G25,KW25,Distances[[#This Row],[Colonne291]]+1)</f>
        <v>60</v>
      </c>
      <c r="KY25" s="17">
        <f>IF(Distances[[#This Row],[Colonne292]]=$G25,KX25,Distances[[#This Row],[Colonne292]]+1)</f>
        <v>60</v>
      </c>
      <c r="KZ25" s="17">
        <f>IF(Distances[[#This Row],[Colonne293]]=$G25,KY25,Distances[[#This Row],[Colonne293]]+1)</f>
        <v>60</v>
      </c>
      <c r="LA25" s="17">
        <f>IF(Distances[[#This Row],[Colonne294]]=$G25,KZ25,Distances[[#This Row],[Colonne294]]+1)</f>
        <v>60</v>
      </c>
      <c r="LB25" s="17">
        <f>IF(Distances[[#This Row],[Colonne295]]=$G25,LA25,Distances[[#This Row],[Colonne295]]+1)</f>
        <v>60</v>
      </c>
      <c r="LC25" s="17">
        <f>IF(Distances[[#This Row],[Colonne296]]=$G25,LB25,Distances[[#This Row],[Colonne296]]+1)</f>
        <v>60</v>
      </c>
      <c r="LD25" s="17">
        <f>IF(Distances[[#This Row],[Colonne297]]=$G25,LC25,Distances[[#This Row],[Colonne297]]+1)</f>
        <v>60</v>
      </c>
      <c r="LE25" s="17">
        <f>IF(Distances[[#This Row],[Colonne298]]=$G25,LD25,Distances[[#This Row],[Colonne298]]+1)</f>
        <v>60</v>
      </c>
      <c r="LF25" s="17">
        <f>IF(Distances[[#This Row],[Colonne299]]=$G25,LE25,Distances[[#This Row],[Colonne299]]+1)</f>
        <v>60</v>
      </c>
      <c r="LG25" s="17">
        <f>IF(Distances[[#This Row],[Colonne300]]=$G25,LF25,Distances[[#This Row],[Colonne300]]+1)</f>
        <v>60</v>
      </c>
      <c r="LH25" s="17">
        <f>IF(Distances[[#This Row],[Colonne301]]=$G25,LG25,Distances[[#This Row],[Colonne301]]+1)</f>
        <v>60</v>
      </c>
      <c r="LI25" s="17">
        <f>IF(Distances[[#This Row],[Colonne302]]=$G25,LH25,Distances[[#This Row],[Colonne302]]+1)</f>
        <v>60</v>
      </c>
      <c r="LJ25" s="17">
        <f>IF(Distances[[#This Row],[Colonne303]]=$G25,LI25,Distances[[#This Row],[Colonne303]]+1)</f>
        <v>60</v>
      </c>
      <c r="LK25" s="51"/>
      <c r="LL25" s="17">
        <f t="shared" ref="LL25:NW25" si="48">IF(LK25=$H25,LK25,LK25+1)</f>
        <v>1</v>
      </c>
      <c r="LM25" s="17">
        <f t="shared" si="48"/>
        <v>2</v>
      </c>
      <c r="LN25" s="17">
        <f t="shared" si="48"/>
        <v>3</v>
      </c>
      <c r="LO25" s="17">
        <f t="shared" si="48"/>
        <v>4</v>
      </c>
      <c r="LP25" s="17">
        <f t="shared" si="48"/>
        <v>5</v>
      </c>
      <c r="LQ25" s="17">
        <f t="shared" si="48"/>
        <v>6</v>
      </c>
      <c r="LR25" s="17">
        <f t="shared" si="48"/>
        <v>7</v>
      </c>
      <c r="LS25" s="17">
        <f t="shared" si="48"/>
        <v>8</v>
      </c>
      <c r="LT25" s="17">
        <f t="shared" si="48"/>
        <v>9</v>
      </c>
      <c r="LU25" s="17">
        <f t="shared" si="48"/>
        <v>10</v>
      </c>
      <c r="LV25" s="17">
        <f t="shared" si="48"/>
        <v>11</v>
      </c>
      <c r="LW25" s="17">
        <f t="shared" si="48"/>
        <v>12</v>
      </c>
      <c r="LX25" s="17">
        <f t="shared" si="48"/>
        <v>13</v>
      </c>
      <c r="LY25" s="17">
        <f t="shared" si="48"/>
        <v>14</v>
      </c>
      <c r="LZ25" s="17">
        <f t="shared" si="48"/>
        <v>15</v>
      </c>
      <c r="MA25" s="17">
        <f t="shared" si="48"/>
        <v>16</v>
      </c>
      <c r="MB25" s="17">
        <f t="shared" si="48"/>
        <v>17</v>
      </c>
      <c r="MC25" s="17">
        <f t="shared" si="48"/>
        <v>18</v>
      </c>
      <c r="MD25" s="17">
        <f t="shared" si="48"/>
        <v>19</v>
      </c>
      <c r="ME25" s="17">
        <f t="shared" si="48"/>
        <v>20</v>
      </c>
      <c r="MF25" s="17">
        <f t="shared" si="48"/>
        <v>21</v>
      </c>
      <c r="MG25" s="17">
        <f t="shared" si="48"/>
        <v>22</v>
      </c>
      <c r="MH25" s="17">
        <f t="shared" si="48"/>
        <v>23</v>
      </c>
      <c r="MI25" s="17">
        <f t="shared" si="48"/>
        <v>24</v>
      </c>
      <c r="MJ25" s="17">
        <f t="shared" si="48"/>
        <v>25</v>
      </c>
      <c r="MK25" s="17">
        <f t="shared" si="48"/>
        <v>26</v>
      </c>
      <c r="ML25" s="17">
        <f t="shared" si="48"/>
        <v>27</v>
      </c>
      <c r="MM25" s="17">
        <f t="shared" si="48"/>
        <v>28</v>
      </c>
      <c r="MN25" s="17">
        <f t="shared" si="48"/>
        <v>29</v>
      </c>
      <c r="MO25" s="17">
        <f t="shared" si="48"/>
        <v>30</v>
      </c>
      <c r="MP25" s="17">
        <f t="shared" si="48"/>
        <v>31</v>
      </c>
      <c r="MQ25" s="17">
        <f t="shared" si="48"/>
        <v>32</v>
      </c>
      <c r="MR25" s="17">
        <f t="shared" si="48"/>
        <v>33</v>
      </c>
      <c r="MS25" s="17">
        <f t="shared" si="48"/>
        <v>34</v>
      </c>
      <c r="MT25" s="17">
        <f t="shared" si="48"/>
        <v>35</v>
      </c>
      <c r="MU25" s="17">
        <f t="shared" si="48"/>
        <v>35</v>
      </c>
      <c r="MV25" s="17">
        <f t="shared" si="48"/>
        <v>35</v>
      </c>
      <c r="MW25" s="17">
        <f t="shared" si="48"/>
        <v>35</v>
      </c>
      <c r="MX25" s="17">
        <f t="shared" si="48"/>
        <v>35</v>
      </c>
      <c r="MY25" s="17">
        <f t="shared" si="48"/>
        <v>35</v>
      </c>
      <c r="MZ25" s="17">
        <f t="shared" si="48"/>
        <v>35</v>
      </c>
      <c r="NA25" s="17">
        <f t="shared" si="48"/>
        <v>35</v>
      </c>
      <c r="NB25" s="17">
        <f t="shared" si="48"/>
        <v>35</v>
      </c>
      <c r="NC25" s="17">
        <f t="shared" si="48"/>
        <v>35</v>
      </c>
      <c r="ND25" s="17">
        <f t="shared" si="48"/>
        <v>35</v>
      </c>
      <c r="NE25" s="17">
        <f t="shared" si="48"/>
        <v>35</v>
      </c>
      <c r="NF25" s="17">
        <f t="shared" si="48"/>
        <v>35</v>
      </c>
      <c r="NG25" s="17">
        <f t="shared" si="48"/>
        <v>35</v>
      </c>
      <c r="NH25" s="17">
        <f t="shared" si="48"/>
        <v>35</v>
      </c>
      <c r="NI25" s="17">
        <f t="shared" si="48"/>
        <v>35</v>
      </c>
      <c r="NJ25" s="17">
        <f t="shared" si="48"/>
        <v>35</v>
      </c>
      <c r="NK25" s="17">
        <f t="shared" si="48"/>
        <v>35</v>
      </c>
      <c r="NL25" s="17">
        <f t="shared" si="48"/>
        <v>35</v>
      </c>
      <c r="NM25" s="17">
        <f t="shared" si="48"/>
        <v>35</v>
      </c>
      <c r="NN25" s="17">
        <f t="shared" si="48"/>
        <v>35</v>
      </c>
      <c r="NO25" s="17">
        <f t="shared" si="48"/>
        <v>35</v>
      </c>
      <c r="NP25" s="17">
        <f t="shared" si="48"/>
        <v>35</v>
      </c>
      <c r="NQ25" s="17">
        <f t="shared" si="48"/>
        <v>35</v>
      </c>
      <c r="NR25" s="17">
        <f t="shared" si="48"/>
        <v>35</v>
      </c>
      <c r="NS25" s="17">
        <f t="shared" si="48"/>
        <v>35</v>
      </c>
      <c r="NT25" s="17">
        <f t="shared" si="48"/>
        <v>35</v>
      </c>
      <c r="NU25" s="17">
        <f t="shared" si="48"/>
        <v>35</v>
      </c>
      <c r="NV25" s="17">
        <f t="shared" si="48"/>
        <v>35</v>
      </c>
      <c r="NW25" s="17">
        <f t="shared" si="48"/>
        <v>35</v>
      </c>
      <c r="NX25" s="17">
        <f t="shared" ref="NX25:PG25" si="49">IF(NW25=$H25,NW25,NW25+1)</f>
        <v>35</v>
      </c>
      <c r="NY25" s="17">
        <f t="shared" si="49"/>
        <v>35</v>
      </c>
      <c r="NZ25" s="17">
        <f t="shared" si="49"/>
        <v>35</v>
      </c>
      <c r="OA25" s="17">
        <f t="shared" si="49"/>
        <v>35</v>
      </c>
      <c r="OB25" s="17">
        <f t="shared" si="49"/>
        <v>35</v>
      </c>
      <c r="OC25" s="17">
        <f t="shared" si="49"/>
        <v>35</v>
      </c>
      <c r="OD25" s="17">
        <f t="shared" si="49"/>
        <v>35</v>
      </c>
      <c r="OE25" s="17">
        <f t="shared" si="49"/>
        <v>35</v>
      </c>
      <c r="OF25" s="17">
        <f t="shared" si="49"/>
        <v>35</v>
      </c>
      <c r="OG25" s="17">
        <f t="shared" si="49"/>
        <v>35</v>
      </c>
      <c r="OH25" s="17">
        <f t="shared" si="49"/>
        <v>35</v>
      </c>
      <c r="OI25" s="17">
        <f t="shared" si="49"/>
        <v>35</v>
      </c>
      <c r="OJ25" s="17">
        <f t="shared" si="49"/>
        <v>35</v>
      </c>
      <c r="OK25" s="17">
        <f t="shared" si="49"/>
        <v>35</v>
      </c>
      <c r="OL25" s="17">
        <f t="shared" si="49"/>
        <v>35</v>
      </c>
      <c r="OM25" s="17">
        <f t="shared" si="49"/>
        <v>35</v>
      </c>
      <c r="ON25" s="17">
        <f t="shared" si="49"/>
        <v>35</v>
      </c>
      <c r="OO25" s="17">
        <f t="shared" si="49"/>
        <v>35</v>
      </c>
      <c r="OP25" s="17">
        <f t="shared" si="49"/>
        <v>35</v>
      </c>
      <c r="OQ25" s="17">
        <f t="shared" si="49"/>
        <v>35</v>
      </c>
      <c r="OR25" s="17">
        <f t="shared" si="49"/>
        <v>35</v>
      </c>
      <c r="OS25" s="17">
        <f t="shared" si="49"/>
        <v>35</v>
      </c>
      <c r="OT25" s="17">
        <f t="shared" si="49"/>
        <v>35</v>
      </c>
      <c r="OU25" s="17">
        <f t="shared" si="49"/>
        <v>35</v>
      </c>
      <c r="OV25" s="17">
        <f t="shared" si="49"/>
        <v>35</v>
      </c>
      <c r="OW25" s="17">
        <f t="shared" si="49"/>
        <v>35</v>
      </c>
      <c r="OX25" s="17">
        <f t="shared" si="49"/>
        <v>35</v>
      </c>
      <c r="OY25" s="17">
        <f t="shared" si="49"/>
        <v>35</v>
      </c>
      <c r="OZ25" s="17">
        <f t="shared" si="49"/>
        <v>35</v>
      </c>
      <c r="PA25" s="17">
        <f t="shared" si="49"/>
        <v>35</v>
      </c>
      <c r="PB25" s="17">
        <f t="shared" si="49"/>
        <v>35</v>
      </c>
      <c r="PC25" s="17">
        <f t="shared" si="49"/>
        <v>35</v>
      </c>
      <c r="PD25" s="17">
        <f t="shared" si="49"/>
        <v>35</v>
      </c>
      <c r="PE25" s="17">
        <f t="shared" si="49"/>
        <v>35</v>
      </c>
      <c r="PF25" s="17">
        <f t="shared" si="49"/>
        <v>35</v>
      </c>
      <c r="PG25" s="17">
        <f t="shared" si="49"/>
        <v>35</v>
      </c>
    </row>
    <row r="26" spans="1:423" x14ac:dyDescent="0.25">
      <c r="A26" s="8" t="s">
        <v>5507</v>
      </c>
      <c r="B26" s="9" t="s">
        <v>5504</v>
      </c>
      <c r="C26" s="9" t="str">
        <f t="shared" si="0"/>
        <v>BR2</v>
      </c>
      <c r="D26" s="1" t="str">
        <f t="shared" si="1"/>
        <v>Bande R2</v>
      </c>
      <c r="E26" s="1" t="s">
        <v>15</v>
      </c>
      <c r="F26" s="9" t="s">
        <v>5452</v>
      </c>
      <c r="G26" s="9">
        <v>40</v>
      </c>
      <c r="H26" s="9">
        <v>40</v>
      </c>
      <c r="I26" s="127">
        <v>2.8</v>
      </c>
      <c r="J26" s="30"/>
      <c r="K26" s="281"/>
      <c r="L26" s="8">
        <v>0</v>
      </c>
      <c r="M26" s="9">
        <v>0</v>
      </c>
      <c r="N26" s="10">
        <v>0.999</v>
      </c>
      <c r="O26" s="269"/>
      <c r="P26" s="331"/>
      <c r="Q26" s="335"/>
      <c r="R26" s="128">
        <v>1</v>
      </c>
      <c r="S26" s="9">
        <v>1</v>
      </c>
      <c r="T26" s="10">
        <v>2</v>
      </c>
      <c r="U26" t="s">
        <v>5523</v>
      </c>
      <c r="V26" s="17">
        <v>0</v>
      </c>
      <c r="W26" s="17">
        <f>IF(Distances[[#This Row],[Colonne4]]=$G26,V26,Distances[[#This Row],[Colonne4]]+1)</f>
        <v>1</v>
      </c>
      <c r="X26" s="17">
        <f>IF(Distances[[#This Row],[Colonne5]]=$G26,W26,Distances[[#This Row],[Colonne5]]+1)</f>
        <v>2</v>
      </c>
      <c r="Y26" s="17">
        <f>IF(Distances[[#This Row],[Colonne6]]=$G26,X26,Distances[[#This Row],[Colonne6]]+1)</f>
        <v>3</v>
      </c>
      <c r="Z26" s="17">
        <f>IF(Distances[[#This Row],[Colonne7]]=$G26,Y26,Distances[[#This Row],[Colonne7]]+1)</f>
        <v>4</v>
      </c>
      <c r="AA26" s="17">
        <f>IF(Distances[[#This Row],[Colonne8]]=$G26,Z26,Distances[[#This Row],[Colonne8]]+1)</f>
        <v>5</v>
      </c>
      <c r="AB26" s="17">
        <f>IF(Distances[[#This Row],[Colonne9]]=$G26,AA26,Distances[[#This Row],[Colonne9]]+1)</f>
        <v>6</v>
      </c>
      <c r="AC26" s="17">
        <f>IF(Distances[[#This Row],[Colonne10]]=$G26,AB26,Distances[[#This Row],[Colonne10]]+1)</f>
        <v>7</v>
      </c>
      <c r="AD26" s="17">
        <f>IF(Distances[[#This Row],[Colonne11]]=$G26,AC26,Distances[[#This Row],[Colonne11]]+1)</f>
        <v>8</v>
      </c>
      <c r="AE26" s="17">
        <f>IF(Distances[[#This Row],[Colonne12]]=$G26,AD26,Distances[[#This Row],[Colonne12]]+1)</f>
        <v>9</v>
      </c>
      <c r="AF26" s="17">
        <f>IF(Distances[[#This Row],[Colonne13]]=$G26,AE26,Distances[[#This Row],[Colonne13]]+1)</f>
        <v>10</v>
      </c>
      <c r="AG26" s="17">
        <f>IF(Distances[[#This Row],[Colonne14]]=$G26,AF26,Distances[[#This Row],[Colonne14]]+1)</f>
        <v>11</v>
      </c>
      <c r="AH26" s="17">
        <f>IF(Distances[[#This Row],[Colonne15]]=$G26,AG26,Distances[[#This Row],[Colonne15]]+1)</f>
        <v>12</v>
      </c>
      <c r="AI26" s="17">
        <f>IF(Distances[[#This Row],[Colonne16]]=$G26,AH26,Distances[[#This Row],[Colonne16]]+1)</f>
        <v>13</v>
      </c>
      <c r="AJ26" s="17">
        <f>IF(Distances[[#This Row],[Colonne17]]=$G26,AI26,Distances[[#This Row],[Colonne17]]+1)</f>
        <v>14</v>
      </c>
      <c r="AK26" s="17">
        <f>IF(Distances[[#This Row],[Colonne18]]=$G26,AJ26,Distances[[#This Row],[Colonne18]]+1)</f>
        <v>15</v>
      </c>
      <c r="AL26" s="17">
        <f>IF(Distances[[#This Row],[Colonne19]]=$G26,AK26,Distances[[#This Row],[Colonne19]]+1)</f>
        <v>16</v>
      </c>
      <c r="AM26" s="17">
        <f>IF(Distances[[#This Row],[Colonne20]]=$G26,AL26,Distances[[#This Row],[Colonne20]]+1)</f>
        <v>17</v>
      </c>
      <c r="AN26" s="17">
        <f>IF(Distances[[#This Row],[Colonne21]]=$G26,AM26,Distances[[#This Row],[Colonne21]]+1)</f>
        <v>18</v>
      </c>
      <c r="AO26" s="17">
        <f>IF(Distances[[#This Row],[Colonne22]]=$G26,AN26,Distances[[#This Row],[Colonne22]]+1)</f>
        <v>19</v>
      </c>
      <c r="AP26" s="17">
        <f>IF(Distances[[#This Row],[Colonne23]]=$G26,AO26,Distances[[#This Row],[Colonne23]]+1)</f>
        <v>20</v>
      </c>
      <c r="AQ26" s="17">
        <f>IF(Distances[[#This Row],[Colonne24]]=$G26,AP26,Distances[[#This Row],[Colonne24]]+1)</f>
        <v>21</v>
      </c>
      <c r="AR26" s="17">
        <f>IF(Distances[[#This Row],[Colonne25]]=$G26,AQ26,Distances[[#This Row],[Colonne25]]+1)</f>
        <v>22</v>
      </c>
      <c r="AS26" s="17">
        <f>IF(Distances[[#This Row],[Colonne26]]=$G26,AR26,Distances[[#This Row],[Colonne26]]+1)</f>
        <v>23</v>
      </c>
      <c r="AT26" s="17">
        <f>IF(Distances[[#This Row],[Colonne27]]=$G26,AS26,Distances[[#This Row],[Colonne27]]+1)</f>
        <v>24</v>
      </c>
      <c r="AU26" s="17">
        <f>IF(Distances[[#This Row],[Colonne28]]=$G26,AT26,Distances[[#This Row],[Colonne28]]+1)</f>
        <v>25</v>
      </c>
      <c r="AV26" s="17">
        <f>IF(Distances[[#This Row],[Colonne29]]=$G26,AU26,Distances[[#This Row],[Colonne29]]+1)</f>
        <v>26</v>
      </c>
      <c r="AW26" s="17">
        <f>IF(Distances[[#This Row],[Colonne30]]=$G26,AV26,Distances[[#This Row],[Colonne30]]+1)</f>
        <v>27</v>
      </c>
      <c r="AX26" s="17">
        <f>IF(Distances[[#This Row],[Colonne31]]=$G26,AW26,Distances[[#This Row],[Colonne31]]+1)</f>
        <v>28</v>
      </c>
      <c r="AY26" s="17">
        <f>IF(Distances[[#This Row],[Colonne32]]=$G26,AX26,Distances[[#This Row],[Colonne32]]+1)</f>
        <v>29</v>
      </c>
      <c r="AZ26" s="17">
        <f>IF(Distances[[#This Row],[Colonne33]]=$G26,AY26,Distances[[#This Row],[Colonne33]]+1)</f>
        <v>30</v>
      </c>
      <c r="BA26" s="17">
        <f>IF(Distances[[#This Row],[Colonne34]]=$G26,AZ26,Distances[[#This Row],[Colonne34]]+1)</f>
        <v>31</v>
      </c>
      <c r="BB26" s="17">
        <f>IF(Distances[[#This Row],[Colonne35]]=$G26,BA26,Distances[[#This Row],[Colonne35]]+1)</f>
        <v>32</v>
      </c>
      <c r="BC26" s="17">
        <f>IF(Distances[[#This Row],[Colonne36]]=$G26,BB26,Distances[[#This Row],[Colonne36]]+1)</f>
        <v>33</v>
      </c>
      <c r="BD26" s="17">
        <f>IF(Distances[[#This Row],[Colonne37]]=$G26,BC26,Distances[[#This Row],[Colonne37]]+1)</f>
        <v>34</v>
      </c>
      <c r="BE26" s="17">
        <f>IF(Distances[[#This Row],[Colonne38]]=$G26,BD26,Distances[[#This Row],[Colonne38]]+1)</f>
        <v>35</v>
      </c>
      <c r="BF26" s="17">
        <f>IF(Distances[[#This Row],[Colonne39]]=$G26,BE26,Distances[[#This Row],[Colonne39]]+1)</f>
        <v>36</v>
      </c>
      <c r="BG26" s="17">
        <f>IF(Distances[[#This Row],[Colonne40]]=$G26,BF26,Distances[[#This Row],[Colonne40]]+1)</f>
        <v>37</v>
      </c>
      <c r="BH26" s="17">
        <f>IF(Distances[[#This Row],[Colonne41]]=$G26,BG26,Distances[[#This Row],[Colonne41]]+1)</f>
        <v>38</v>
      </c>
      <c r="BI26" s="17">
        <f>IF(Distances[[#This Row],[Colonne42]]=$G26,BH26,Distances[[#This Row],[Colonne42]]+1)</f>
        <v>39</v>
      </c>
      <c r="BJ26" s="17">
        <f>IF(Distances[[#This Row],[Colonne43]]=$G26,BI26,Distances[[#This Row],[Colonne43]]+1)</f>
        <v>40</v>
      </c>
      <c r="BK26" s="17">
        <f>IF(Distances[[#This Row],[Colonne44]]=$G26,BJ26,Distances[[#This Row],[Colonne44]]+1)</f>
        <v>40</v>
      </c>
      <c r="BL26" s="17">
        <f>IF(Distances[[#This Row],[Colonne45]]=$G26,BK26,Distances[[#This Row],[Colonne45]]+1)</f>
        <v>40</v>
      </c>
      <c r="BM26" s="17">
        <f>IF(Distances[[#This Row],[Colonne46]]=$G26,BL26,Distances[[#This Row],[Colonne46]]+1)</f>
        <v>40</v>
      </c>
      <c r="BN26" s="17">
        <f>IF(Distances[[#This Row],[Colonne47]]=$G26,BM26,Distances[[#This Row],[Colonne47]]+1)</f>
        <v>40</v>
      </c>
      <c r="BO26" s="17">
        <f>IF(Distances[[#This Row],[Colonne48]]=$G26,BN26,Distances[[#This Row],[Colonne48]]+1)</f>
        <v>40</v>
      </c>
      <c r="BP26" s="17">
        <f>IF(Distances[[#This Row],[Colonne49]]=$G26,BO26,Distances[[#This Row],[Colonne49]]+1)</f>
        <v>40</v>
      </c>
      <c r="BQ26" s="17">
        <f>IF(Distances[[#This Row],[Colonne50]]=$G26,BP26,Distances[[#This Row],[Colonne50]]+1)</f>
        <v>40</v>
      </c>
      <c r="BR26" s="17">
        <f>IF(Distances[[#This Row],[Colonne51]]=$G26,BQ26,Distances[[#This Row],[Colonne51]]+1)</f>
        <v>40</v>
      </c>
      <c r="BS26" s="17">
        <f>IF(Distances[[#This Row],[Colonne52]]=$G26,BR26,Distances[[#This Row],[Colonne52]]+1)</f>
        <v>40</v>
      </c>
      <c r="BT26" s="17">
        <f>IF(Distances[[#This Row],[Colonne53]]=$G26,BS26,Distances[[#This Row],[Colonne53]]+1)</f>
        <v>40</v>
      </c>
      <c r="BU26" s="17">
        <f>IF(Distances[[#This Row],[Colonne54]]=$G26,BT26,Distances[[#This Row],[Colonne54]]+1)</f>
        <v>40</v>
      </c>
      <c r="BV26" s="17">
        <f>IF(Distances[[#This Row],[Colonne55]]=$G26,BU26,Distances[[#This Row],[Colonne55]]+1)</f>
        <v>40</v>
      </c>
      <c r="BW26" s="17">
        <f>IF(Distances[[#This Row],[Colonne56]]=$G26,BV26,Distances[[#This Row],[Colonne56]]+1)</f>
        <v>40</v>
      </c>
      <c r="BX26" s="17">
        <f>IF(Distances[[#This Row],[Colonne57]]=$G26,BW26,Distances[[#This Row],[Colonne57]]+1)</f>
        <v>40</v>
      </c>
      <c r="BY26" s="17">
        <f>IF(Distances[[#This Row],[Colonne58]]=$G26,BX26,Distances[[#This Row],[Colonne58]]+1)</f>
        <v>40</v>
      </c>
      <c r="BZ26" s="17">
        <f>IF(Distances[[#This Row],[Colonne59]]=$G26,BY26,Distances[[#This Row],[Colonne59]]+1)</f>
        <v>40</v>
      </c>
      <c r="CA26" s="17">
        <f>IF(Distances[[#This Row],[Colonne60]]=$G26,BZ26,Distances[[#This Row],[Colonne60]]+1)</f>
        <v>40</v>
      </c>
      <c r="CB26" s="17">
        <f>IF(Distances[[#This Row],[Colonne61]]=$G26,CA26,Distances[[#This Row],[Colonne61]]+1)</f>
        <v>40</v>
      </c>
      <c r="CC26" s="17">
        <f>IF(Distances[[#This Row],[Colonne62]]=$G26,CB26,Distances[[#This Row],[Colonne62]]+1)</f>
        <v>40</v>
      </c>
      <c r="CD26" s="17">
        <f>IF(Distances[[#This Row],[Colonne63]]=$G26,CC26,Distances[[#This Row],[Colonne63]]+1)</f>
        <v>40</v>
      </c>
      <c r="CE26" s="17">
        <f>IF(Distances[[#This Row],[Colonne64]]=$G26,CD26,Distances[[#This Row],[Colonne64]]+1)</f>
        <v>40</v>
      </c>
      <c r="CF26" s="17">
        <f>IF(Distances[[#This Row],[Colonne65]]=$G26,CE26,Distances[[#This Row],[Colonne65]]+1)</f>
        <v>40</v>
      </c>
      <c r="CG26" s="17">
        <f>IF(Distances[[#This Row],[Colonne66]]=$G26,CF26,Distances[[#This Row],[Colonne66]]+1)</f>
        <v>40</v>
      </c>
      <c r="CH26" s="17">
        <f>IF(Distances[[#This Row],[Colonne67]]=$G26,CG26,Distances[[#This Row],[Colonne67]]+1)</f>
        <v>40</v>
      </c>
      <c r="CI26" s="17">
        <f>IF(Distances[[#This Row],[Colonne68]]=$G26,CH26,Distances[[#This Row],[Colonne68]]+1)</f>
        <v>40</v>
      </c>
      <c r="CJ26" s="17">
        <f>IF(Distances[[#This Row],[Colonne69]]=$G26,CI26,Distances[[#This Row],[Colonne69]]+1)</f>
        <v>40</v>
      </c>
      <c r="CK26" s="17">
        <f>IF(Distances[[#This Row],[Colonne70]]=$G26,CJ26,Distances[[#This Row],[Colonne70]]+1)</f>
        <v>40</v>
      </c>
      <c r="CL26" s="17">
        <f>IF(Distances[[#This Row],[Colonne71]]=$G26,CK26,Distances[[#This Row],[Colonne71]]+1)</f>
        <v>40</v>
      </c>
      <c r="CM26" s="17">
        <f>IF(Distances[[#This Row],[Colonne72]]=$G26,CL26,Distances[[#This Row],[Colonne72]]+1)</f>
        <v>40</v>
      </c>
      <c r="CN26" s="17">
        <f>IF(Distances[[#This Row],[Colonne73]]=$G26,CM26,Distances[[#This Row],[Colonne73]]+1)</f>
        <v>40</v>
      </c>
      <c r="CO26" s="17">
        <f>IF(Distances[[#This Row],[Colonne74]]=$G26,CN26,Distances[[#This Row],[Colonne74]]+1)</f>
        <v>40</v>
      </c>
      <c r="CP26" s="17">
        <f>IF(Distances[[#This Row],[Colonne75]]=$G26,CO26,Distances[[#This Row],[Colonne75]]+1)</f>
        <v>40</v>
      </c>
      <c r="CQ26" s="17">
        <f>IF(Distances[[#This Row],[Colonne76]]=$G26,CP26,Distances[[#This Row],[Colonne76]]+1)</f>
        <v>40</v>
      </c>
      <c r="CR26" s="17">
        <f>IF(Distances[[#This Row],[Colonne77]]=$G26,CQ26,Distances[[#This Row],[Colonne77]]+1)</f>
        <v>40</v>
      </c>
      <c r="CS26" s="17">
        <f>IF(Distances[[#This Row],[Colonne78]]=$G26,CR26,Distances[[#This Row],[Colonne78]]+1)</f>
        <v>40</v>
      </c>
      <c r="CT26" s="17">
        <f>IF(Distances[[#This Row],[Colonne79]]=$G26,CS26,Distances[[#This Row],[Colonne79]]+1)</f>
        <v>40</v>
      </c>
      <c r="CU26" s="17">
        <f>IF(Distances[[#This Row],[Colonne80]]=$G26,CT26,Distances[[#This Row],[Colonne80]]+1)</f>
        <v>40</v>
      </c>
      <c r="CV26" s="17">
        <f>IF(Distances[[#This Row],[Colonne81]]=$G26,CU26,Distances[[#This Row],[Colonne81]]+1)</f>
        <v>40</v>
      </c>
      <c r="CW26" s="17">
        <f>IF(Distances[[#This Row],[Colonne82]]=$G26,CV26,Distances[[#This Row],[Colonne82]]+1)</f>
        <v>40</v>
      </c>
      <c r="CX26" s="17">
        <f>IF(Distances[[#This Row],[Colonne83]]=$G26,CW26,Distances[[#This Row],[Colonne83]]+1)</f>
        <v>40</v>
      </c>
      <c r="CY26" s="17">
        <f>IF(Distances[[#This Row],[Colonne84]]=$G26,CX26,Distances[[#This Row],[Colonne84]]+1)</f>
        <v>40</v>
      </c>
      <c r="CZ26" s="17">
        <f>IF(Distances[[#This Row],[Colonne85]]=$G26,CY26,Distances[[#This Row],[Colonne85]]+1)</f>
        <v>40</v>
      </c>
      <c r="DA26" s="17">
        <f>IF(Distances[[#This Row],[Colonne86]]=$G26,CZ26,Distances[[#This Row],[Colonne86]]+1)</f>
        <v>40</v>
      </c>
      <c r="DB26" s="17">
        <f>IF(Distances[[#This Row],[Colonne87]]=$G26,DA26,Distances[[#This Row],[Colonne87]]+1)</f>
        <v>40</v>
      </c>
      <c r="DC26" s="17">
        <f>IF(Distances[[#This Row],[Colonne88]]=$G26,DB26,Distances[[#This Row],[Colonne88]]+1)</f>
        <v>40</v>
      </c>
      <c r="DD26" s="17">
        <f>IF(Distances[[#This Row],[Colonne89]]=$G26,DC26,Distances[[#This Row],[Colonne89]]+1)</f>
        <v>40</v>
      </c>
      <c r="DE26" s="17">
        <f>IF(Distances[[#This Row],[Colonne90]]=$G26,DD26,Distances[[#This Row],[Colonne90]]+1)</f>
        <v>40</v>
      </c>
      <c r="DF26" s="17">
        <f>IF(Distances[[#This Row],[Colonne91]]=$G26,DE26,Distances[[#This Row],[Colonne91]]+1)</f>
        <v>40</v>
      </c>
      <c r="DG26" s="17">
        <f>IF(Distances[[#This Row],[Colonne92]]=$G26,DF26,Distances[[#This Row],[Colonne92]]+1)</f>
        <v>40</v>
      </c>
      <c r="DH26" s="17">
        <f>IF(Distances[[#This Row],[Colonne93]]=$G26,DG26,Distances[[#This Row],[Colonne93]]+1)</f>
        <v>40</v>
      </c>
      <c r="DI26" s="17">
        <f>IF(Distances[[#This Row],[Colonne94]]=$G26,DH26,Distances[[#This Row],[Colonne94]]+1)</f>
        <v>40</v>
      </c>
      <c r="DJ26" s="17">
        <f>IF(Distances[[#This Row],[Colonne95]]=$G26,DI26,Distances[[#This Row],[Colonne95]]+1)</f>
        <v>40</v>
      </c>
      <c r="DK26" s="17">
        <f>IF(Distances[[#This Row],[Colonne96]]=$G26,DJ26,Distances[[#This Row],[Colonne96]]+1)</f>
        <v>40</v>
      </c>
      <c r="DL26" s="17">
        <f>IF(Distances[[#This Row],[Colonne97]]=$G26,DK26,Distances[[#This Row],[Colonne97]]+1)</f>
        <v>40</v>
      </c>
      <c r="DM26" s="17">
        <f>IF(Distances[[#This Row],[Colonne98]]=$G26,DL26,Distances[[#This Row],[Colonne98]]+1)</f>
        <v>40</v>
      </c>
      <c r="DN26" s="17">
        <f>IF(Distances[[#This Row],[Colonne99]]=$G26,DM26,Distances[[#This Row],[Colonne99]]+1)</f>
        <v>40</v>
      </c>
      <c r="DO26" s="17">
        <f>IF(Distances[[#This Row],[Colonne100]]=$G26,DN26,Distances[[#This Row],[Colonne100]]+1)</f>
        <v>40</v>
      </c>
      <c r="DP26" s="17">
        <f>IF(Distances[[#This Row],[Colonne101]]=$G26,DO26,Distances[[#This Row],[Colonne101]]+1)</f>
        <v>40</v>
      </c>
      <c r="DQ26" s="17">
        <f>IF(Distances[[#This Row],[Colonne102]]=$G26,DP26,Distances[[#This Row],[Colonne102]]+1)</f>
        <v>40</v>
      </c>
      <c r="DR26" s="17">
        <f>IF(Distances[[#This Row],[Colonne103]]=$G26,DQ26,Distances[[#This Row],[Colonne103]]+1)</f>
        <v>40</v>
      </c>
      <c r="DS26" s="17">
        <f>IF(Distances[[#This Row],[Colonne104]]=$G26,DR26,Distances[[#This Row],[Colonne104]]+1)</f>
        <v>40</v>
      </c>
      <c r="DT26" s="17">
        <f>IF(Distances[[#This Row],[Colonne105]]=$G26,DS26,Distances[[#This Row],[Colonne105]]+1)</f>
        <v>40</v>
      </c>
      <c r="DU26" s="17">
        <f>IF(Distances[[#This Row],[Colonne106]]=$G26,DT26,Distances[[#This Row],[Colonne106]]+1)</f>
        <v>40</v>
      </c>
      <c r="DV26" s="17">
        <f>IF(Distances[[#This Row],[Colonne107]]=$G26,DU26,Distances[[#This Row],[Colonne107]]+1)</f>
        <v>40</v>
      </c>
      <c r="DW26" s="17">
        <f>IF(Distances[[#This Row],[Colonne108]]=$G26,DV26,Distances[[#This Row],[Colonne108]]+1)</f>
        <v>40</v>
      </c>
      <c r="DX26" s="17">
        <f>IF(Distances[[#This Row],[Colonne109]]=$G26,DW26,Distances[[#This Row],[Colonne109]]+1)</f>
        <v>40</v>
      </c>
      <c r="DY26" s="17">
        <f>IF(Distances[[#This Row],[Colonne110]]=$G26,DX26,Distances[[#This Row],[Colonne110]]+1)</f>
        <v>40</v>
      </c>
      <c r="DZ26" s="17">
        <f>IF(Distances[[#This Row],[Colonne111]]=$G26,DY26,Distances[[#This Row],[Colonne111]]+1)</f>
        <v>40</v>
      </c>
      <c r="EA26" s="17">
        <f>IF(Distances[[#This Row],[Colonne112]]=$G26,DZ26,Distances[[#This Row],[Colonne112]]+1)</f>
        <v>40</v>
      </c>
      <c r="EB26" s="17">
        <f>IF(Distances[[#This Row],[Colonne113]]=$G26,EA26,Distances[[#This Row],[Colonne113]]+1)</f>
        <v>40</v>
      </c>
      <c r="EC26" s="17">
        <f>IF(Distances[[#This Row],[Colonne114]]=$G26,EB26,Distances[[#This Row],[Colonne114]]+1)</f>
        <v>40</v>
      </c>
      <c r="ED26" s="17">
        <f>IF(Distances[[#This Row],[Colonne115]]=$G26,EC26,Distances[[#This Row],[Colonne115]]+1)</f>
        <v>40</v>
      </c>
      <c r="EE26" s="17">
        <f>IF(Distances[[#This Row],[Colonne116]]=$G26,ED26,Distances[[#This Row],[Colonne116]]+1)</f>
        <v>40</v>
      </c>
      <c r="EF26" s="17">
        <f>IF(Distances[[#This Row],[Colonne117]]=$G26,EE26,Distances[[#This Row],[Colonne117]]+1)</f>
        <v>40</v>
      </c>
      <c r="EG26" s="17">
        <f>IF(Distances[[#This Row],[Colonne118]]=$G26,EF26,Distances[[#This Row],[Colonne118]]+1)</f>
        <v>40</v>
      </c>
      <c r="EH26" s="17">
        <f>IF(Distances[[#This Row],[Colonne119]]=$G26,EG26,Distances[[#This Row],[Colonne119]]+1)</f>
        <v>40</v>
      </c>
      <c r="EI26" s="17">
        <f>IF(Distances[[#This Row],[Colonne120]]=$G26,EH26,Distances[[#This Row],[Colonne120]]+1)</f>
        <v>40</v>
      </c>
      <c r="EJ26" s="17">
        <f>IF(Distances[[#This Row],[Colonne121]]=$G26,EI26,Distances[[#This Row],[Colonne121]]+1)</f>
        <v>40</v>
      </c>
      <c r="EK26" s="17">
        <f>IF(Distances[[#This Row],[Colonne122]]=$G26,EJ26,Distances[[#This Row],[Colonne122]]+1)</f>
        <v>40</v>
      </c>
      <c r="EL26" s="17">
        <f>IF(Distances[[#This Row],[Colonne123]]=$G26,EK26,Distances[[#This Row],[Colonne123]]+1)</f>
        <v>40</v>
      </c>
      <c r="EM26" s="17">
        <f>IF(Distances[[#This Row],[Colonne124]]=$G26,EL26,Distances[[#This Row],[Colonne124]]+1)</f>
        <v>40</v>
      </c>
      <c r="EN26" s="17">
        <f>IF(Distances[[#This Row],[Colonne125]]=$G26,EM26,Distances[[#This Row],[Colonne125]]+1)</f>
        <v>40</v>
      </c>
      <c r="EO26" s="17">
        <f>IF(Distances[[#This Row],[Colonne126]]=$G26,EN26,Distances[[#This Row],[Colonne126]]+1)</f>
        <v>40</v>
      </c>
      <c r="EP26" s="17">
        <f>IF(Distances[[#This Row],[Colonne127]]=$G26,EO26,Distances[[#This Row],[Colonne127]]+1)</f>
        <v>40</v>
      </c>
      <c r="EQ26" s="17">
        <f>IF(Distances[[#This Row],[Colonne128]]=$G26,EP26,Distances[[#This Row],[Colonne128]]+1)</f>
        <v>40</v>
      </c>
      <c r="ER26" s="17">
        <f>IF(Distances[[#This Row],[Colonne129]]=$G26,EQ26,Distances[[#This Row],[Colonne129]]+1)</f>
        <v>40</v>
      </c>
      <c r="ES26" s="17">
        <f>IF(Distances[[#This Row],[Colonne130]]=$G26,ER26,Distances[[#This Row],[Colonne130]]+1)</f>
        <v>40</v>
      </c>
      <c r="ET26" s="17">
        <f>IF(Distances[[#This Row],[Colonne131]]=$G26,ES26,Distances[[#This Row],[Colonne131]]+1)</f>
        <v>40</v>
      </c>
      <c r="EU26" s="17">
        <f>IF(Distances[[#This Row],[Colonne132]]=$G26,ET26,Distances[[#This Row],[Colonne132]]+1)</f>
        <v>40</v>
      </c>
      <c r="EV26" s="17">
        <f>IF(Distances[[#This Row],[Colonne133]]=$G26,EU26,Distances[[#This Row],[Colonne133]]+1)</f>
        <v>40</v>
      </c>
      <c r="EW26" s="17">
        <f>IF(Distances[[#This Row],[Colonne134]]=$G26,EV26,Distances[[#This Row],[Colonne134]]+1)</f>
        <v>40</v>
      </c>
      <c r="EX26" s="17">
        <f>IF(Distances[[#This Row],[Colonne135]]=$G26,EW26,Distances[[#This Row],[Colonne135]]+1)</f>
        <v>40</v>
      </c>
      <c r="EY26" s="17">
        <f>IF(Distances[[#This Row],[Colonne136]]=$G26,EX26,Distances[[#This Row],[Colonne136]]+1)</f>
        <v>40</v>
      </c>
      <c r="EZ26" s="17">
        <f>IF(Distances[[#This Row],[Colonne137]]=$G26,EY26,Distances[[#This Row],[Colonne137]]+1)</f>
        <v>40</v>
      </c>
      <c r="FA26" s="17">
        <f>IF(Distances[[#This Row],[Colonne138]]=$G26,EZ26,Distances[[#This Row],[Colonne138]]+1)</f>
        <v>40</v>
      </c>
      <c r="FB26" s="17">
        <f>IF(Distances[[#This Row],[Colonne139]]=$G26,FA26,Distances[[#This Row],[Colonne139]]+1)</f>
        <v>40</v>
      </c>
      <c r="FC26" s="17">
        <f>IF(Distances[[#This Row],[Colonne140]]=$G26,FB26,Distances[[#This Row],[Colonne140]]+1)</f>
        <v>40</v>
      </c>
      <c r="FD26" s="17">
        <f>IF(Distances[[#This Row],[Colonne141]]=$G26,FC26,Distances[[#This Row],[Colonne141]]+1)</f>
        <v>40</v>
      </c>
      <c r="FE26" s="17">
        <f>IF(Distances[[#This Row],[Colonne142]]=$G26,FD26,Distances[[#This Row],[Colonne142]]+1)</f>
        <v>40</v>
      </c>
      <c r="FF26" s="17">
        <f>IF(Distances[[#This Row],[Colonne143]]=$G26,FE26,Distances[[#This Row],[Colonne143]]+1)</f>
        <v>40</v>
      </c>
      <c r="FG26" s="17">
        <f>IF(Distances[[#This Row],[Colonne144]]=$G26,FF26,Distances[[#This Row],[Colonne144]]+1)</f>
        <v>40</v>
      </c>
      <c r="FH26" s="17">
        <f>IF(Distances[[#This Row],[Colonne145]]=$G26,FG26,Distances[[#This Row],[Colonne145]]+1)</f>
        <v>40</v>
      </c>
      <c r="FI26" s="17">
        <f>IF(Distances[[#This Row],[Colonne146]]=$G26,FH26,Distances[[#This Row],[Colonne146]]+1)</f>
        <v>40</v>
      </c>
      <c r="FJ26" s="17">
        <f>IF(Distances[[#This Row],[Colonne147]]=$G26,FI26,Distances[[#This Row],[Colonne147]]+1)</f>
        <v>40</v>
      </c>
      <c r="FK26" s="17">
        <f>IF(Distances[[#This Row],[Colonne148]]=$G26,FJ26,Distances[[#This Row],[Colonne148]]+1)</f>
        <v>40</v>
      </c>
      <c r="FL26" s="17">
        <f>IF(Distances[[#This Row],[Colonne149]]=$G26,FK26,Distances[[#This Row],[Colonne149]]+1)</f>
        <v>40</v>
      </c>
      <c r="FM26" s="17">
        <f>IF(Distances[[#This Row],[Colonne150]]=$G26,FL26,Distances[[#This Row],[Colonne150]]+1)</f>
        <v>40</v>
      </c>
      <c r="FN26" s="17">
        <f>IF(Distances[[#This Row],[Colonne151]]=$G26,FM26,Distances[[#This Row],[Colonne151]]+1)</f>
        <v>40</v>
      </c>
      <c r="FO26" s="17">
        <f>IF(Distances[[#This Row],[Colonne152]]=$G26,FN26,Distances[[#This Row],[Colonne152]]+1)</f>
        <v>40</v>
      </c>
      <c r="FP26" s="17">
        <f>IF(Distances[[#This Row],[Colonne153]]=$G26,FO26,Distances[[#This Row],[Colonne153]]+1)</f>
        <v>40</v>
      </c>
      <c r="FQ26" s="17">
        <f>IF(Distances[[#This Row],[Colonne154]]=$G26,FP26,Distances[[#This Row],[Colonne154]]+1)</f>
        <v>40</v>
      </c>
      <c r="FR26" s="17">
        <f>IF(Distances[[#This Row],[Colonne155]]=$G26,FQ26,Distances[[#This Row],[Colonne155]]+1)</f>
        <v>40</v>
      </c>
      <c r="FS26" s="17">
        <f>IF(Distances[[#This Row],[Colonne156]]=$G26,FR26,Distances[[#This Row],[Colonne156]]+1)</f>
        <v>40</v>
      </c>
      <c r="FT26" s="17">
        <f>IF(Distances[[#This Row],[Colonne157]]=$G26,FS26,Distances[[#This Row],[Colonne157]]+1)</f>
        <v>40</v>
      </c>
      <c r="FU26" s="17">
        <f>IF(Distances[[#This Row],[Colonne158]]=$G26,FT26,Distances[[#This Row],[Colonne158]]+1)</f>
        <v>40</v>
      </c>
      <c r="FV26" s="17">
        <f>IF(Distances[[#This Row],[Colonne159]]=$G26,FU26,Distances[[#This Row],[Colonne159]]+1)</f>
        <v>40</v>
      </c>
      <c r="FW26" s="17">
        <f>IF(Distances[[#This Row],[Colonne160]]=$G26,FV26,Distances[[#This Row],[Colonne160]]+1)</f>
        <v>40</v>
      </c>
      <c r="FX26" s="17">
        <f>IF(Distances[[#This Row],[Colonne161]]=$G26,FW26,Distances[[#This Row],[Colonne161]]+1)</f>
        <v>40</v>
      </c>
      <c r="FY26" s="17">
        <f>IF(Distances[[#This Row],[Colonne162]]=$G26,FX26,Distances[[#This Row],[Colonne162]]+1)</f>
        <v>40</v>
      </c>
      <c r="FZ26" s="17">
        <f>IF(Distances[[#This Row],[Colonne163]]=$G26,FY26,Distances[[#This Row],[Colonne163]]+1)</f>
        <v>40</v>
      </c>
      <c r="GA26" s="17">
        <f>IF(Distances[[#This Row],[Colonne164]]=$G26,FZ26,Distances[[#This Row],[Colonne164]]+1)</f>
        <v>40</v>
      </c>
      <c r="GB26" s="17">
        <f>IF(Distances[[#This Row],[Colonne165]]=$G26,GA26,Distances[[#This Row],[Colonne165]]+1)</f>
        <v>40</v>
      </c>
      <c r="GC26" s="17">
        <f>IF(Distances[[#This Row],[Colonne166]]=$G26,GB26,Distances[[#This Row],[Colonne166]]+1)</f>
        <v>40</v>
      </c>
      <c r="GD26" s="17">
        <f>IF(Distances[[#This Row],[Colonne167]]=$G26,GC26,Distances[[#This Row],[Colonne167]]+1)</f>
        <v>40</v>
      </c>
      <c r="GE26" s="17">
        <f>IF(Distances[[#This Row],[Colonne168]]=$G26,GD26,Distances[[#This Row],[Colonne168]]+1)</f>
        <v>40</v>
      </c>
      <c r="GF26" s="17">
        <f>IF(Distances[[#This Row],[Colonne169]]=$G26,GE26,Distances[[#This Row],[Colonne169]]+1)</f>
        <v>40</v>
      </c>
      <c r="GG26" s="17">
        <f>IF(Distances[[#This Row],[Colonne170]]=$G26,GF26,Distances[[#This Row],[Colonne170]]+1)</f>
        <v>40</v>
      </c>
      <c r="GH26" s="17">
        <f>IF(Distances[[#This Row],[Colonne171]]=$G26,GG26,Distances[[#This Row],[Colonne171]]+1)</f>
        <v>40</v>
      </c>
      <c r="GI26" s="17">
        <f>IF(Distances[[#This Row],[Colonne172]]=$G26,GH26,Distances[[#This Row],[Colonne172]]+1)</f>
        <v>40</v>
      </c>
      <c r="GJ26" s="17">
        <f>IF(Distances[[#This Row],[Colonne173]]=$G26,GI26,Distances[[#This Row],[Colonne173]]+1)</f>
        <v>40</v>
      </c>
      <c r="GK26" s="17">
        <f>IF(Distances[[#This Row],[Colonne174]]=$G26,GJ26,Distances[[#This Row],[Colonne174]]+1)</f>
        <v>40</v>
      </c>
      <c r="GL26" s="17">
        <f>IF(Distances[[#This Row],[Colonne175]]=$G26,GK26,Distances[[#This Row],[Colonne175]]+1)</f>
        <v>40</v>
      </c>
      <c r="GM26" s="17">
        <f>IF(Distances[[#This Row],[Colonne176]]=$G26,GL26,Distances[[#This Row],[Colonne176]]+1)</f>
        <v>40</v>
      </c>
      <c r="GN26" s="17">
        <f>IF(Distances[[#This Row],[Colonne177]]=$G26,GM26,Distances[[#This Row],[Colonne177]]+1)</f>
        <v>40</v>
      </c>
      <c r="GO26" s="17">
        <f>IF(Distances[[#This Row],[Colonne178]]=$G26,GN26,Distances[[#This Row],[Colonne178]]+1)</f>
        <v>40</v>
      </c>
      <c r="GP26" s="17">
        <f>IF(Distances[[#This Row],[Colonne179]]=$G26,GO26,Distances[[#This Row],[Colonne179]]+1)</f>
        <v>40</v>
      </c>
      <c r="GQ26" s="17">
        <f>IF(Distances[[#This Row],[Colonne180]]=$G26,GP26,Distances[[#This Row],[Colonne180]]+1)</f>
        <v>40</v>
      </c>
      <c r="GR26" s="17">
        <f>IF(Distances[[#This Row],[Colonne181]]=$G26,GQ26,Distances[[#This Row],[Colonne181]]+1)</f>
        <v>40</v>
      </c>
      <c r="GS26" s="17">
        <f>IF(Distances[[#This Row],[Colonne182]]=$G26,GR26,Distances[[#This Row],[Colonne182]]+1)</f>
        <v>40</v>
      </c>
      <c r="GT26" s="17">
        <f>IF(Distances[[#This Row],[Colonne183]]=$G26,GS26,Distances[[#This Row],[Colonne183]]+1)</f>
        <v>40</v>
      </c>
      <c r="GU26" s="17">
        <f>IF(Distances[[#This Row],[Colonne184]]=$G26,GT26,Distances[[#This Row],[Colonne184]]+1)</f>
        <v>40</v>
      </c>
      <c r="GV26" s="17">
        <f>IF(Distances[[#This Row],[Colonne185]]=$G26,GU26,Distances[[#This Row],[Colonne185]]+1)</f>
        <v>40</v>
      </c>
      <c r="GW26" s="17">
        <f>IF(Distances[[#This Row],[Colonne186]]=$G26,GV26,Distances[[#This Row],[Colonne186]]+1)</f>
        <v>40</v>
      </c>
      <c r="GX26" s="17">
        <f>IF(Distances[[#This Row],[Colonne187]]=$G26,GW26,Distances[[#This Row],[Colonne187]]+1)</f>
        <v>40</v>
      </c>
      <c r="GY26" s="17">
        <f>IF(Distances[[#This Row],[Colonne188]]=$G26,GX26,Distances[[#This Row],[Colonne188]]+1)</f>
        <v>40</v>
      </c>
      <c r="GZ26" s="17">
        <f>IF(Distances[[#This Row],[Colonne189]]=$G26,GY26,Distances[[#This Row],[Colonne189]]+1)</f>
        <v>40</v>
      </c>
      <c r="HA26" s="17">
        <f>IF(Distances[[#This Row],[Colonne190]]=$G26,GZ26,Distances[[#This Row],[Colonne190]]+1)</f>
        <v>40</v>
      </c>
      <c r="HB26" s="17">
        <f>IF(Distances[[#This Row],[Colonne191]]=$G26,HA26,Distances[[#This Row],[Colonne191]]+1)</f>
        <v>40</v>
      </c>
      <c r="HC26" s="17">
        <f>IF(Distances[[#This Row],[Colonne192]]=$G26,HB26,Distances[[#This Row],[Colonne192]]+1)</f>
        <v>40</v>
      </c>
      <c r="HD26" s="17">
        <f>IF(Distances[[#This Row],[Colonne193]]=$G26,HC26,Distances[[#This Row],[Colonne193]]+1)</f>
        <v>40</v>
      </c>
      <c r="HE26" s="17">
        <f>IF(Distances[[#This Row],[Colonne194]]=$G26,HD26,Distances[[#This Row],[Colonne194]]+1)</f>
        <v>40</v>
      </c>
      <c r="HF26" s="17">
        <f>IF(Distances[[#This Row],[Colonne195]]=$G26,HE26,Distances[[#This Row],[Colonne195]]+1)</f>
        <v>40</v>
      </c>
      <c r="HG26" s="17">
        <f>IF(Distances[[#This Row],[Colonne196]]=$G26,HF26,Distances[[#This Row],[Colonne196]]+1)</f>
        <v>40</v>
      </c>
      <c r="HH26" s="17">
        <f>IF(Distances[[#This Row],[Colonne197]]=$G26,HG26,Distances[[#This Row],[Colonne197]]+1)</f>
        <v>40</v>
      </c>
      <c r="HI26" s="17">
        <f>IF(Distances[[#This Row],[Colonne198]]=$G26,HH26,Distances[[#This Row],[Colonne198]]+1)</f>
        <v>40</v>
      </c>
      <c r="HJ26" s="17">
        <f>IF(Distances[[#This Row],[Colonne199]]=$G26,HI26,Distances[[#This Row],[Colonne199]]+1)</f>
        <v>40</v>
      </c>
      <c r="HK26" s="17">
        <f>IF(Distances[[#This Row],[Colonne200]]=$G26,HJ26,Distances[[#This Row],[Colonne200]]+1)</f>
        <v>40</v>
      </c>
      <c r="HL26" s="17">
        <f>IF(Distances[[#This Row],[Colonne201]]=$G26,HK26,Distances[[#This Row],[Colonne201]]+1)</f>
        <v>40</v>
      </c>
      <c r="HM26" s="17">
        <f>IF(Distances[[#This Row],[Colonne202]]=$G26,HL26,Distances[[#This Row],[Colonne202]]+1)</f>
        <v>40</v>
      </c>
      <c r="HN26" s="17">
        <f>IF(Distances[[#This Row],[Colonne203]]=$G26,HM26,Distances[[#This Row],[Colonne203]]+1)</f>
        <v>40</v>
      </c>
      <c r="HO26" s="17">
        <f>IF(Distances[[#This Row],[Colonne204]]=$G26,HN26,Distances[[#This Row],[Colonne204]]+1)</f>
        <v>40</v>
      </c>
      <c r="HP26" s="17">
        <f>IF(Distances[[#This Row],[Colonne205]]=$G26,HO26,Distances[[#This Row],[Colonne205]]+1)</f>
        <v>40</v>
      </c>
      <c r="HQ26" s="17">
        <f>IF(Distances[[#This Row],[Colonne206]]=$G26,HP26,Distances[[#This Row],[Colonne206]]+1)</f>
        <v>40</v>
      </c>
      <c r="HR26" s="17">
        <f>IF(Distances[[#This Row],[Colonne207]]=$G26,HQ26,Distances[[#This Row],[Colonne207]]+1)</f>
        <v>40</v>
      </c>
      <c r="HS26" s="17">
        <f>IF(Distances[[#This Row],[Colonne208]]=$G26,HR26,Distances[[#This Row],[Colonne208]]+1)</f>
        <v>40</v>
      </c>
      <c r="HT26" s="17">
        <f>IF(Distances[[#This Row],[Colonne209]]=$G26,HS26,Distances[[#This Row],[Colonne209]]+1)</f>
        <v>40</v>
      </c>
      <c r="HU26" s="17">
        <f>IF(Distances[[#This Row],[Colonne210]]=$G26,HT26,Distances[[#This Row],[Colonne210]]+1)</f>
        <v>40</v>
      </c>
      <c r="HV26" s="17">
        <f>IF(Distances[[#This Row],[Colonne211]]=$G26,HU26,Distances[[#This Row],[Colonne211]]+1)</f>
        <v>40</v>
      </c>
      <c r="HW26" s="17">
        <f>IF(Distances[[#This Row],[Colonne212]]=$G26,HV26,Distances[[#This Row],[Colonne212]]+1)</f>
        <v>40</v>
      </c>
      <c r="HX26" s="17">
        <f>IF(Distances[[#This Row],[Colonne213]]=$G26,HW26,Distances[[#This Row],[Colonne213]]+1)</f>
        <v>40</v>
      </c>
      <c r="HY26" s="17">
        <f>IF(Distances[[#This Row],[Colonne214]]=$G26,HX26,Distances[[#This Row],[Colonne214]]+1)</f>
        <v>40</v>
      </c>
      <c r="HZ26" s="17">
        <f>IF(Distances[[#This Row],[Colonne215]]=$G26,HY26,Distances[[#This Row],[Colonne215]]+1)</f>
        <v>40</v>
      </c>
      <c r="IA26" s="17">
        <f>IF(Distances[[#This Row],[Colonne216]]=$G26,HZ26,Distances[[#This Row],[Colonne216]]+1)</f>
        <v>40</v>
      </c>
      <c r="IB26" s="17">
        <f>IF(Distances[[#This Row],[Colonne217]]=$G26,IA26,Distances[[#This Row],[Colonne217]]+1)</f>
        <v>40</v>
      </c>
      <c r="IC26" s="17">
        <f>IF(Distances[[#This Row],[Colonne218]]=$G26,IB26,Distances[[#This Row],[Colonne218]]+1)</f>
        <v>40</v>
      </c>
      <c r="ID26" s="17">
        <f>IF(Distances[[#This Row],[Colonne219]]=$G26,IC26,Distances[[#This Row],[Colonne219]]+1)</f>
        <v>40</v>
      </c>
      <c r="IE26" s="17">
        <f>IF(Distances[[#This Row],[Colonne220]]=$G26,ID26,Distances[[#This Row],[Colonne220]]+1)</f>
        <v>40</v>
      </c>
      <c r="IF26" s="17">
        <f>IF(Distances[[#This Row],[Colonne221]]=$G26,IE26,Distances[[#This Row],[Colonne221]]+1)</f>
        <v>40</v>
      </c>
      <c r="IG26" s="17">
        <f>IF(Distances[[#This Row],[Colonne222]]=$G26,IF26,Distances[[#This Row],[Colonne222]]+1)</f>
        <v>40</v>
      </c>
      <c r="IH26" s="17">
        <f>IF(Distances[[#This Row],[Colonne223]]=$G26,IG26,Distances[[#This Row],[Colonne223]]+1)</f>
        <v>40</v>
      </c>
      <c r="II26" s="17">
        <f>IF(Distances[[#This Row],[Colonne224]]=$G26,IH26,Distances[[#This Row],[Colonne224]]+1)</f>
        <v>40</v>
      </c>
      <c r="IJ26" s="17">
        <f>IF(Distances[[#This Row],[Colonne225]]=$G26,II26,Distances[[#This Row],[Colonne225]]+1)</f>
        <v>40</v>
      </c>
      <c r="IK26" s="17">
        <f>IF(Distances[[#This Row],[Colonne226]]=$G26,IJ26,Distances[[#This Row],[Colonne226]]+1)</f>
        <v>40</v>
      </c>
      <c r="IL26" s="17">
        <f>IF(Distances[[#This Row],[Colonne227]]=$G26,IK26,Distances[[#This Row],[Colonne227]]+1)</f>
        <v>40</v>
      </c>
      <c r="IM26" s="17">
        <f>IF(Distances[[#This Row],[Colonne228]]=$G26,IL26,Distances[[#This Row],[Colonne228]]+1)</f>
        <v>40</v>
      </c>
      <c r="IN26" s="17">
        <f>IF(Distances[[#This Row],[Colonne229]]=$G26,IM26,Distances[[#This Row],[Colonne229]]+1)</f>
        <v>40</v>
      </c>
      <c r="IO26" s="17">
        <f>IF(Distances[[#This Row],[Colonne230]]=$G26,IN26,Distances[[#This Row],[Colonne230]]+1)</f>
        <v>40</v>
      </c>
      <c r="IP26" s="17">
        <f>IF(Distances[[#This Row],[Colonne231]]=$G26,IO26,Distances[[#This Row],[Colonne231]]+1)</f>
        <v>40</v>
      </c>
      <c r="IQ26" s="17">
        <f>IF(Distances[[#This Row],[Colonne232]]=$G26,IP26,Distances[[#This Row],[Colonne232]]+1)</f>
        <v>40</v>
      </c>
      <c r="IR26" s="17">
        <f>IF(Distances[[#This Row],[Colonne233]]=$G26,IQ26,Distances[[#This Row],[Colonne233]]+1)</f>
        <v>40</v>
      </c>
      <c r="IS26" s="17">
        <f>IF(Distances[[#This Row],[Colonne234]]=$G26,IR26,Distances[[#This Row],[Colonne234]]+1)</f>
        <v>40</v>
      </c>
      <c r="IT26" s="17">
        <f>IF(Distances[[#This Row],[Colonne235]]=$G26,IS26,Distances[[#This Row],[Colonne235]]+1)</f>
        <v>40</v>
      </c>
      <c r="IU26" s="17">
        <f>IF(Distances[[#This Row],[Colonne236]]=$G26,IT26,Distances[[#This Row],[Colonne236]]+1)</f>
        <v>40</v>
      </c>
      <c r="IV26" s="17">
        <f>IF(Distances[[#This Row],[Colonne237]]=$G26,IU26,Distances[[#This Row],[Colonne237]]+1)</f>
        <v>40</v>
      </c>
      <c r="IW26" s="17">
        <f>IF(Distances[[#This Row],[Colonne238]]=$G26,IV26,Distances[[#This Row],[Colonne238]]+1)</f>
        <v>40</v>
      </c>
      <c r="IX26" s="17">
        <f>IF(Distances[[#This Row],[Colonne239]]=$G26,IW26,Distances[[#This Row],[Colonne239]]+1)</f>
        <v>40</v>
      </c>
      <c r="IY26" s="17">
        <f>IF(Distances[[#This Row],[Colonne240]]=$G26,IX26,Distances[[#This Row],[Colonne240]]+1)</f>
        <v>40</v>
      </c>
      <c r="IZ26" s="17">
        <f>IF(Distances[[#This Row],[Colonne241]]=$G26,IY26,Distances[[#This Row],[Colonne241]]+1)</f>
        <v>40</v>
      </c>
      <c r="JA26" s="17">
        <f>IF(Distances[[#This Row],[Colonne242]]=$G26,IZ26,Distances[[#This Row],[Colonne242]]+1)</f>
        <v>40</v>
      </c>
      <c r="JB26" s="17">
        <f>IF(Distances[[#This Row],[Colonne243]]=$G26,JA26,Distances[[#This Row],[Colonne243]]+1)</f>
        <v>40</v>
      </c>
      <c r="JC26" s="17">
        <f>IF(Distances[[#This Row],[Colonne244]]=$G26,JB26,Distances[[#This Row],[Colonne244]]+1)</f>
        <v>40</v>
      </c>
      <c r="JD26" s="17">
        <f>IF(Distances[[#This Row],[Colonne245]]=$G26,JC26,Distances[[#This Row],[Colonne245]]+1)</f>
        <v>40</v>
      </c>
      <c r="JE26" s="17">
        <f>IF(Distances[[#This Row],[Colonne246]]=$G26,JD26,Distances[[#This Row],[Colonne246]]+1)</f>
        <v>40</v>
      </c>
      <c r="JF26" s="17">
        <f>IF(Distances[[#This Row],[Colonne247]]=$G26,JE26,Distances[[#This Row],[Colonne247]]+1)</f>
        <v>40</v>
      </c>
      <c r="JG26" s="17">
        <f>IF(Distances[[#This Row],[Colonne248]]=$G26,JF26,Distances[[#This Row],[Colonne248]]+1)</f>
        <v>40</v>
      </c>
      <c r="JH26" s="17">
        <f>IF(Distances[[#This Row],[Colonne249]]=$G26,JG26,Distances[[#This Row],[Colonne249]]+1)</f>
        <v>40</v>
      </c>
      <c r="JI26" s="17">
        <f>IF(Distances[[#This Row],[Colonne250]]=$G26,JH26,Distances[[#This Row],[Colonne250]]+1)</f>
        <v>40</v>
      </c>
      <c r="JJ26" s="17">
        <f>IF(Distances[[#This Row],[Colonne251]]=$G26,JI26,Distances[[#This Row],[Colonne251]]+1)</f>
        <v>40</v>
      </c>
      <c r="JK26" s="17">
        <f>IF(Distances[[#This Row],[Colonne252]]=$G26,JJ26,Distances[[#This Row],[Colonne252]]+1)</f>
        <v>40</v>
      </c>
      <c r="JL26" s="17">
        <f>IF(Distances[[#This Row],[Colonne253]]=$G26,JK26,Distances[[#This Row],[Colonne253]]+1)</f>
        <v>40</v>
      </c>
      <c r="JM26" s="17">
        <f>IF(Distances[[#This Row],[Colonne254]]=$G26,JL26,Distances[[#This Row],[Colonne254]]+1)</f>
        <v>40</v>
      </c>
      <c r="JN26" s="17">
        <f>IF(Distances[[#This Row],[Colonne255]]=$G26,JM26,Distances[[#This Row],[Colonne255]]+1)</f>
        <v>40</v>
      </c>
      <c r="JO26" s="17">
        <f>IF(Distances[[#This Row],[Colonne256]]=$G26,JN26,Distances[[#This Row],[Colonne256]]+1)</f>
        <v>40</v>
      </c>
      <c r="JP26" s="17">
        <f>IF(Distances[[#This Row],[Colonne257]]=$G26,JO26,Distances[[#This Row],[Colonne257]]+1)</f>
        <v>40</v>
      </c>
      <c r="JQ26" s="17">
        <f>IF(Distances[[#This Row],[Colonne258]]=$G26,JP26,Distances[[#This Row],[Colonne258]]+1)</f>
        <v>40</v>
      </c>
      <c r="JR26" s="17">
        <f>IF(Distances[[#This Row],[Colonne259]]=$G26,JQ26,Distances[[#This Row],[Colonne259]]+1)</f>
        <v>40</v>
      </c>
      <c r="JS26" s="17">
        <f>IF(Distances[[#This Row],[Colonne260]]=$G26,JR26,Distances[[#This Row],[Colonne260]]+1)</f>
        <v>40</v>
      </c>
      <c r="JT26" s="17">
        <f>IF(Distances[[#This Row],[Colonne261]]=$G26,JS26,Distances[[#This Row],[Colonne261]]+1)</f>
        <v>40</v>
      </c>
      <c r="JU26" s="17">
        <f>IF(Distances[[#This Row],[Colonne262]]=$G26,JT26,Distances[[#This Row],[Colonne262]]+1)</f>
        <v>40</v>
      </c>
      <c r="JV26" s="17">
        <f>IF(Distances[[#This Row],[Colonne263]]=$G26,JU26,Distances[[#This Row],[Colonne263]]+1)</f>
        <v>40</v>
      </c>
      <c r="JW26" s="17">
        <f>IF(Distances[[#This Row],[Colonne264]]=$G26,JV26,Distances[[#This Row],[Colonne264]]+1)</f>
        <v>40</v>
      </c>
      <c r="JX26" s="17">
        <f>IF(Distances[[#This Row],[Colonne265]]=$G26,JW26,Distances[[#This Row],[Colonne265]]+1)</f>
        <v>40</v>
      </c>
      <c r="JY26" s="17">
        <f>IF(Distances[[#This Row],[Colonne266]]=$G26,JX26,Distances[[#This Row],[Colonne266]]+1)</f>
        <v>40</v>
      </c>
      <c r="JZ26" s="17">
        <f>IF(Distances[[#This Row],[Colonne267]]=$G26,JY26,Distances[[#This Row],[Colonne267]]+1)</f>
        <v>40</v>
      </c>
      <c r="KA26" s="17">
        <f>IF(Distances[[#This Row],[Colonne268]]=$G26,JZ26,Distances[[#This Row],[Colonne268]]+1)</f>
        <v>40</v>
      </c>
      <c r="KB26" s="17">
        <f>IF(Distances[[#This Row],[Colonne269]]=$G26,KA26,Distances[[#This Row],[Colonne269]]+1)</f>
        <v>40</v>
      </c>
      <c r="KC26" s="17">
        <f>IF(Distances[[#This Row],[Colonne270]]=$G26,KB26,Distances[[#This Row],[Colonne270]]+1)</f>
        <v>40</v>
      </c>
      <c r="KD26" s="17">
        <f>IF(Distances[[#This Row],[Colonne271]]=$G26,KC26,Distances[[#This Row],[Colonne271]]+1)</f>
        <v>40</v>
      </c>
      <c r="KE26" s="17">
        <f>IF(Distances[[#This Row],[Colonne272]]=$G26,KD26,Distances[[#This Row],[Colonne272]]+1)</f>
        <v>40</v>
      </c>
      <c r="KF26" s="17">
        <f>IF(Distances[[#This Row],[Colonne273]]=$G26,KE26,Distances[[#This Row],[Colonne273]]+1)</f>
        <v>40</v>
      </c>
      <c r="KG26" s="17">
        <f>IF(Distances[[#This Row],[Colonne274]]=$G26,KF26,Distances[[#This Row],[Colonne274]]+1)</f>
        <v>40</v>
      </c>
      <c r="KH26" s="17">
        <f>IF(Distances[[#This Row],[Colonne275]]=$G26,KG26,Distances[[#This Row],[Colonne275]]+1)</f>
        <v>40</v>
      </c>
      <c r="KI26" s="17">
        <f>IF(Distances[[#This Row],[Colonne276]]=$G26,KH26,Distances[[#This Row],[Colonne276]]+1)</f>
        <v>40</v>
      </c>
      <c r="KJ26" s="17">
        <f>IF(Distances[[#This Row],[Colonne277]]=$G26,KI26,Distances[[#This Row],[Colonne277]]+1)</f>
        <v>40</v>
      </c>
      <c r="KK26" s="17">
        <f>IF(Distances[[#This Row],[Colonne278]]=$G26,KJ26,Distances[[#This Row],[Colonne278]]+1)</f>
        <v>40</v>
      </c>
      <c r="KL26" s="17">
        <f>IF(Distances[[#This Row],[Colonne279]]=$G26,KK26,Distances[[#This Row],[Colonne279]]+1)</f>
        <v>40</v>
      </c>
      <c r="KM26" s="17">
        <f>IF(Distances[[#This Row],[Colonne280]]=$G26,KL26,Distances[[#This Row],[Colonne280]]+1)</f>
        <v>40</v>
      </c>
      <c r="KN26" s="17">
        <f>IF(Distances[[#This Row],[Colonne281]]=$G26,KM26,Distances[[#This Row],[Colonne281]]+1)</f>
        <v>40</v>
      </c>
      <c r="KO26" s="17">
        <f>IF(Distances[[#This Row],[Colonne282]]=$G26,KN26,Distances[[#This Row],[Colonne282]]+1)</f>
        <v>40</v>
      </c>
      <c r="KP26" s="17">
        <f>IF(Distances[[#This Row],[Colonne283]]=$G26,KO26,Distances[[#This Row],[Colonne283]]+1)</f>
        <v>40</v>
      </c>
      <c r="KQ26" s="17">
        <f>IF(Distances[[#This Row],[Colonne284]]=$G26,KP26,Distances[[#This Row],[Colonne284]]+1)</f>
        <v>40</v>
      </c>
      <c r="KR26" s="17">
        <f>IF(Distances[[#This Row],[Colonne285]]=$G26,KQ26,Distances[[#This Row],[Colonne285]]+1)</f>
        <v>40</v>
      </c>
      <c r="KS26" s="17">
        <f>IF(Distances[[#This Row],[Colonne286]]=$G26,KR26,Distances[[#This Row],[Colonne286]]+1)</f>
        <v>40</v>
      </c>
      <c r="KT26" s="17">
        <f>IF(Distances[[#This Row],[Colonne287]]=$G26,KS26,Distances[[#This Row],[Colonne287]]+1)</f>
        <v>40</v>
      </c>
      <c r="KU26" s="17">
        <f>IF(Distances[[#This Row],[Colonne288]]=$G26,KT26,Distances[[#This Row],[Colonne288]]+1)</f>
        <v>40</v>
      </c>
      <c r="KV26" s="17">
        <f>IF(Distances[[#This Row],[Colonne289]]=$G26,KU26,Distances[[#This Row],[Colonne289]]+1)</f>
        <v>40</v>
      </c>
      <c r="KW26" s="17">
        <f>IF(Distances[[#This Row],[Colonne290]]=$G26,KV26,Distances[[#This Row],[Colonne290]]+1)</f>
        <v>40</v>
      </c>
      <c r="KX26" s="17">
        <f>IF(Distances[[#This Row],[Colonne291]]=$G26,KW26,Distances[[#This Row],[Colonne291]]+1)</f>
        <v>40</v>
      </c>
      <c r="KY26" s="17">
        <f>IF(Distances[[#This Row],[Colonne292]]=$G26,KX26,Distances[[#This Row],[Colonne292]]+1)</f>
        <v>40</v>
      </c>
      <c r="KZ26" s="17">
        <f>IF(Distances[[#This Row],[Colonne293]]=$G26,KY26,Distances[[#This Row],[Colonne293]]+1)</f>
        <v>40</v>
      </c>
      <c r="LA26" s="17">
        <f>IF(Distances[[#This Row],[Colonne294]]=$G26,KZ26,Distances[[#This Row],[Colonne294]]+1)</f>
        <v>40</v>
      </c>
      <c r="LB26" s="17">
        <f>IF(Distances[[#This Row],[Colonne295]]=$G26,LA26,Distances[[#This Row],[Colonne295]]+1)</f>
        <v>40</v>
      </c>
      <c r="LC26" s="17">
        <f>IF(Distances[[#This Row],[Colonne296]]=$G26,LB26,Distances[[#This Row],[Colonne296]]+1)</f>
        <v>40</v>
      </c>
      <c r="LD26" s="17">
        <f>IF(Distances[[#This Row],[Colonne297]]=$G26,LC26,Distances[[#This Row],[Colonne297]]+1)</f>
        <v>40</v>
      </c>
      <c r="LE26" s="17">
        <f>IF(Distances[[#This Row],[Colonne298]]=$G26,LD26,Distances[[#This Row],[Colonne298]]+1)</f>
        <v>40</v>
      </c>
      <c r="LF26" s="17">
        <f>IF(Distances[[#This Row],[Colonne299]]=$G26,LE26,Distances[[#This Row],[Colonne299]]+1)</f>
        <v>40</v>
      </c>
      <c r="LG26" s="17">
        <f>IF(Distances[[#This Row],[Colonne300]]=$G26,LF26,Distances[[#This Row],[Colonne300]]+1)</f>
        <v>40</v>
      </c>
      <c r="LH26" s="17">
        <f>IF(Distances[[#This Row],[Colonne301]]=$G26,LG26,Distances[[#This Row],[Colonne301]]+1)</f>
        <v>40</v>
      </c>
      <c r="LI26" s="17">
        <f>IF(Distances[[#This Row],[Colonne302]]=$G26,LH26,Distances[[#This Row],[Colonne302]]+1)</f>
        <v>40</v>
      </c>
      <c r="LJ26" s="17">
        <f>IF(Distances[[#This Row],[Colonne303]]=$G26,LI26,Distances[[#This Row],[Colonne303]]+1)</f>
        <v>40</v>
      </c>
      <c r="LK26" s="51"/>
      <c r="LL26" s="17">
        <f t="shared" ref="LL26:NW26" si="50">IF(LK26=$H26,LK26,LK26+1)</f>
        <v>1</v>
      </c>
      <c r="LM26" s="17">
        <f t="shared" si="50"/>
        <v>2</v>
      </c>
      <c r="LN26" s="17">
        <f t="shared" si="50"/>
        <v>3</v>
      </c>
      <c r="LO26" s="17">
        <f t="shared" si="50"/>
        <v>4</v>
      </c>
      <c r="LP26" s="17">
        <f t="shared" si="50"/>
        <v>5</v>
      </c>
      <c r="LQ26" s="17">
        <f t="shared" si="50"/>
        <v>6</v>
      </c>
      <c r="LR26" s="17">
        <f t="shared" si="50"/>
        <v>7</v>
      </c>
      <c r="LS26" s="17">
        <f t="shared" si="50"/>
        <v>8</v>
      </c>
      <c r="LT26" s="17">
        <f t="shared" si="50"/>
        <v>9</v>
      </c>
      <c r="LU26" s="17">
        <f t="shared" si="50"/>
        <v>10</v>
      </c>
      <c r="LV26" s="17">
        <f t="shared" si="50"/>
        <v>11</v>
      </c>
      <c r="LW26" s="17">
        <f t="shared" si="50"/>
        <v>12</v>
      </c>
      <c r="LX26" s="17">
        <f t="shared" si="50"/>
        <v>13</v>
      </c>
      <c r="LY26" s="17">
        <f t="shared" si="50"/>
        <v>14</v>
      </c>
      <c r="LZ26" s="17">
        <f t="shared" si="50"/>
        <v>15</v>
      </c>
      <c r="MA26" s="17">
        <f t="shared" si="50"/>
        <v>16</v>
      </c>
      <c r="MB26" s="17">
        <f t="shared" si="50"/>
        <v>17</v>
      </c>
      <c r="MC26" s="17">
        <f t="shared" si="50"/>
        <v>18</v>
      </c>
      <c r="MD26" s="17">
        <f t="shared" si="50"/>
        <v>19</v>
      </c>
      <c r="ME26" s="17">
        <f t="shared" si="50"/>
        <v>20</v>
      </c>
      <c r="MF26" s="17">
        <f t="shared" si="50"/>
        <v>21</v>
      </c>
      <c r="MG26" s="17">
        <f t="shared" si="50"/>
        <v>22</v>
      </c>
      <c r="MH26" s="17">
        <f t="shared" si="50"/>
        <v>23</v>
      </c>
      <c r="MI26" s="17">
        <f t="shared" si="50"/>
        <v>24</v>
      </c>
      <c r="MJ26" s="17">
        <f t="shared" si="50"/>
        <v>25</v>
      </c>
      <c r="MK26" s="17">
        <f t="shared" si="50"/>
        <v>26</v>
      </c>
      <c r="ML26" s="17">
        <f t="shared" si="50"/>
        <v>27</v>
      </c>
      <c r="MM26" s="17">
        <f t="shared" si="50"/>
        <v>28</v>
      </c>
      <c r="MN26" s="17">
        <f t="shared" si="50"/>
        <v>29</v>
      </c>
      <c r="MO26" s="17">
        <f t="shared" si="50"/>
        <v>30</v>
      </c>
      <c r="MP26" s="17">
        <f t="shared" si="50"/>
        <v>31</v>
      </c>
      <c r="MQ26" s="17">
        <f t="shared" si="50"/>
        <v>32</v>
      </c>
      <c r="MR26" s="17">
        <f t="shared" si="50"/>
        <v>33</v>
      </c>
      <c r="MS26" s="17">
        <f t="shared" si="50"/>
        <v>34</v>
      </c>
      <c r="MT26" s="17">
        <f t="shared" si="50"/>
        <v>35</v>
      </c>
      <c r="MU26" s="17">
        <f t="shared" si="50"/>
        <v>36</v>
      </c>
      <c r="MV26" s="17">
        <f t="shared" si="50"/>
        <v>37</v>
      </c>
      <c r="MW26" s="17">
        <f t="shared" si="50"/>
        <v>38</v>
      </c>
      <c r="MX26" s="17">
        <f t="shared" si="50"/>
        <v>39</v>
      </c>
      <c r="MY26" s="17">
        <f t="shared" si="50"/>
        <v>40</v>
      </c>
      <c r="MZ26" s="17">
        <f t="shared" si="50"/>
        <v>40</v>
      </c>
      <c r="NA26" s="17">
        <f t="shared" si="50"/>
        <v>40</v>
      </c>
      <c r="NB26" s="17">
        <f t="shared" si="50"/>
        <v>40</v>
      </c>
      <c r="NC26" s="17">
        <f t="shared" si="50"/>
        <v>40</v>
      </c>
      <c r="ND26" s="17">
        <f t="shared" si="50"/>
        <v>40</v>
      </c>
      <c r="NE26" s="17">
        <f t="shared" si="50"/>
        <v>40</v>
      </c>
      <c r="NF26" s="17">
        <f t="shared" si="50"/>
        <v>40</v>
      </c>
      <c r="NG26" s="17">
        <f t="shared" si="50"/>
        <v>40</v>
      </c>
      <c r="NH26" s="17">
        <f t="shared" si="50"/>
        <v>40</v>
      </c>
      <c r="NI26" s="17">
        <f t="shared" si="50"/>
        <v>40</v>
      </c>
      <c r="NJ26" s="17">
        <f t="shared" si="50"/>
        <v>40</v>
      </c>
      <c r="NK26" s="17">
        <f t="shared" si="50"/>
        <v>40</v>
      </c>
      <c r="NL26" s="17">
        <f t="shared" si="50"/>
        <v>40</v>
      </c>
      <c r="NM26" s="17">
        <f t="shared" si="50"/>
        <v>40</v>
      </c>
      <c r="NN26" s="17">
        <f t="shared" si="50"/>
        <v>40</v>
      </c>
      <c r="NO26" s="17">
        <f t="shared" si="50"/>
        <v>40</v>
      </c>
      <c r="NP26" s="17">
        <f t="shared" si="50"/>
        <v>40</v>
      </c>
      <c r="NQ26" s="17">
        <f t="shared" si="50"/>
        <v>40</v>
      </c>
      <c r="NR26" s="17">
        <f t="shared" si="50"/>
        <v>40</v>
      </c>
      <c r="NS26" s="17">
        <f t="shared" si="50"/>
        <v>40</v>
      </c>
      <c r="NT26" s="17">
        <f t="shared" si="50"/>
        <v>40</v>
      </c>
      <c r="NU26" s="17">
        <f t="shared" si="50"/>
        <v>40</v>
      </c>
      <c r="NV26" s="17">
        <f t="shared" si="50"/>
        <v>40</v>
      </c>
      <c r="NW26" s="17">
        <f t="shared" si="50"/>
        <v>40</v>
      </c>
      <c r="NX26" s="17">
        <f t="shared" ref="NX26:PG26" si="51">IF(NW26=$H26,NW26,NW26+1)</f>
        <v>40</v>
      </c>
      <c r="NY26" s="17">
        <f t="shared" si="51"/>
        <v>40</v>
      </c>
      <c r="NZ26" s="17">
        <f t="shared" si="51"/>
        <v>40</v>
      </c>
      <c r="OA26" s="17">
        <f t="shared" si="51"/>
        <v>40</v>
      </c>
      <c r="OB26" s="17">
        <f t="shared" si="51"/>
        <v>40</v>
      </c>
      <c r="OC26" s="17">
        <f t="shared" si="51"/>
        <v>40</v>
      </c>
      <c r="OD26" s="17">
        <f t="shared" si="51"/>
        <v>40</v>
      </c>
      <c r="OE26" s="17">
        <f t="shared" si="51"/>
        <v>40</v>
      </c>
      <c r="OF26" s="17">
        <f t="shared" si="51"/>
        <v>40</v>
      </c>
      <c r="OG26" s="17">
        <f t="shared" si="51"/>
        <v>40</v>
      </c>
      <c r="OH26" s="17">
        <f t="shared" si="51"/>
        <v>40</v>
      </c>
      <c r="OI26" s="17">
        <f t="shared" si="51"/>
        <v>40</v>
      </c>
      <c r="OJ26" s="17">
        <f t="shared" si="51"/>
        <v>40</v>
      </c>
      <c r="OK26" s="17">
        <f t="shared" si="51"/>
        <v>40</v>
      </c>
      <c r="OL26" s="17">
        <f t="shared" si="51"/>
        <v>40</v>
      </c>
      <c r="OM26" s="17">
        <f t="shared" si="51"/>
        <v>40</v>
      </c>
      <c r="ON26" s="17">
        <f t="shared" si="51"/>
        <v>40</v>
      </c>
      <c r="OO26" s="17">
        <f t="shared" si="51"/>
        <v>40</v>
      </c>
      <c r="OP26" s="17">
        <f t="shared" si="51"/>
        <v>40</v>
      </c>
      <c r="OQ26" s="17">
        <f t="shared" si="51"/>
        <v>40</v>
      </c>
      <c r="OR26" s="17">
        <f t="shared" si="51"/>
        <v>40</v>
      </c>
      <c r="OS26" s="17">
        <f t="shared" si="51"/>
        <v>40</v>
      </c>
      <c r="OT26" s="17">
        <f t="shared" si="51"/>
        <v>40</v>
      </c>
      <c r="OU26" s="17">
        <f t="shared" si="51"/>
        <v>40</v>
      </c>
      <c r="OV26" s="17">
        <f t="shared" si="51"/>
        <v>40</v>
      </c>
      <c r="OW26" s="17">
        <f t="shared" si="51"/>
        <v>40</v>
      </c>
      <c r="OX26" s="17">
        <f t="shared" si="51"/>
        <v>40</v>
      </c>
      <c r="OY26" s="17">
        <f t="shared" si="51"/>
        <v>40</v>
      </c>
      <c r="OZ26" s="17">
        <f t="shared" si="51"/>
        <v>40</v>
      </c>
      <c r="PA26" s="17">
        <f t="shared" si="51"/>
        <v>40</v>
      </c>
      <c r="PB26" s="17">
        <f t="shared" si="51"/>
        <v>40</v>
      </c>
      <c r="PC26" s="17">
        <f t="shared" si="51"/>
        <v>40</v>
      </c>
      <c r="PD26" s="17">
        <f t="shared" si="51"/>
        <v>40</v>
      </c>
      <c r="PE26" s="17">
        <f t="shared" si="51"/>
        <v>40</v>
      </c>
      <c r="PF26" s="17">
        <f t="shared" si="51"/>
        <v>40</v>
      </c>
      <c r="PG26" s="17">
        <f t="shared" si="51"/>
        <v>40</v>
      </c>
    </row>
    <row r="27" spans="1:423" x14ac:dyDescent="0.25">
      <c r="A27" s="8" t="s">
        <v>5507</v>
      </c>
      <c r="B27" s="9" t="s">
        <v>8505</v>
      </c>
      <c r="C27" s="9" t="str">
        <f t="shared" si="0"/>
        <v>BDames LBIF 1</v>
      </c>
      <c r="D27" s="1" t="str">
        <f t="shared" si="1"/>
        <v>Bande Dames LBIF 1</v>
      </c>
      <c r="E27" s="1" t="s">
        <v>8498</v>
      </c>
      <c r="F27" s="9" t="s">
        <v>5452</v>
      </c>
      <c r="G27" s="9">
        <v>18</v>
      </c>
      <c r="H27" s="9">
        <v>30</v>
      </c>
      <c r="I27" s="127">
        <v>2.8</v>
      </c>
      <c r="J27" s="30"/>
      <c r="K27" s="10"/>
      <c r="L27" s="8"/>
      <c r="M27" s="9"/>
      <c r="N27" s="10"/>
      <c r="O27" s="269"/>
      <c r="P27" s="331"/>
      <c r="Q27" s="335"/>
      <c r="R27" s="128"/>
      <c r="S27" s="9"/>
      <c r="T27" s="10"/>
      <c r="U27" t="s">
        <v>5523</v>
      </c>
      <c r="V27" s="17">
        <v>0</v>
      </c>
      <c r="W27" s="17">
        <f>IF(Distances[[#This Row],[Colonne4]]=$G27,V27,Distances[[#This Row],[Colonne4]]+1)</f>
        <v>1</v>
      </c>
      <c r="X27" s="17">
        <f>IF(Distances[[#This Row],[Colonne5]]=$G27,W27,Distances[[#This Row],[Colonne5]]+1)</f>
        <v>2</v>
      </c>
      <c r="Y27" s="17">
        <f>IF(Distances[[#This Row],[Colonne6]]=$G27,X27,Distances[[#This Row],[Colonne6]]+1)</f>
        <v>3</v>
      </c>
      <c r="Z27" s="17">
        <f>IF(Distances[[#This Row],[Colonne7]]=$G27,Y27,Distances[[#This Row],[Colonne7]]+1)</f>
        <v>4</v>
      </c>
      <c r="AA27" s="17">
        <f>IF(Distances[[#This Row],[Colonne8]]=$G27,Z27,Distances[[#This Row],[Colonne8]]+1)</f>
        <v>5</v>
      </c>
      <c r="AB27" s="17">
        <f>IF(Distances[[#This Row],[Colonne9]]=$G27,AA27,Distances[[#This Row],[Colonne9]]+1)</f>
        <v>6</v>
      </c>
      <c r="AC27" s="17">
        <f>IF(Distances[[#This Row],[Colonne10]]=$G27,AB27,Distances[[#This Row],[Colonne10]]+1)</f>
        <v>7</v>
      </c>
      <c r="AD27" s="17">
        <f>IF(Distances[[#This Row],[Colonne11]]=$G27,AC27,Distances[[#This Row],[Colonne11]]+1)</f>
        <v>8</v>
      </c>
      <c r="AE27" s="17">
        <f>IF(Distances[[#This Row],[Colonne12]]=$G27,AD27,Distances[[#This Row],[Colonne12]]+1)</f>
        <v>9</v>
      </c>
      <c r="AF27" s="17">
        <f>IF(Distances[[#This Row],[Colonne13]]=$G27,AE27,Distances[[#This Row],[Colonne13]]+1)</f>
        <v>10</v>
      </c>
      <c r="AG27" s="17">
        <f>IF(Distances[[#This Row],[Colonne14]]=$G27,AF27,Distances[[#This Row],[Colonne14]]+1)</f>
        <v>11</v>
      </c>
      <c r="AH27" s="17">
        <f>IF(Distances[[#This Row],[Colonne15]]=$G27,AG27,Distances[[#This Row],[Colonne15]]+1)</f>
        <v>12</v>
      </c>
      <c r="AI27" s="17">
        <f>IF(Distances[[#This Row],[Colonne16]]=$G27,AH27,Distances[[#This Row],[Colonne16]]+1)</f>
        <v>13</v>
      </c>
      <c r="AJ27" s="17">
        <f>IF(Distances[[#This Row],[Colonne17]]=$G27,AI27,Distances[[#This Row],[Colonne17]]+1)</f>
        <v>14</v>
      </c>
      <c r="AK27" s="17">
        <f>IF(Distances[[#This Row],[Colonne18]]=$G27,AJ27,Distances[[#This Row],[Colonne18]]+1)</f>
        <v>15</v>
      </c>
      <c r="AL27" s="17">
        <f>IF(Distances[[#This Row],[Colonne19]]=$G27,AK27,Distances[[#This Row],[Colonne19]]+1)</f>
        <v>16</v>
      </c>
      <c r="AM27" s="17">
        <f>IF(Distances[[#This Row],[Colonne20]]=$G27,AL27,Distances[[#This Row],[Colonne20]]+1)</f>
        <v>17</v>
      </c>
      <c r="AN27" s="17">
        <f>IF(Distances[[#This Row],[Colonne21]]=$G27,AM27,Distances[[#This Row],[Colonne21]]+1)</f>
        <v>18</v>
      </c>
      <c r="AO27" s="17">
        <f>IF(Distances[[#This Row],[Colonne22]]=$G27,AN27,Distances[[#This Row],[Colonne22]]+1)</f>
        <v>18</v>
      </c>
      <c r="AP27" s="17">
        <f>IF(Distances[[#This Row],[Colonne23]]=$G27,AO27,Distances[[#This Row],[Colonne23]]+1)</f>
        <v>18</v>
      </c>
      <c r="AQ27" s="17">
        <f>IF(Distances[[#This Row],[Colonne24]]=$G27,AP27,Distances[[#This Row],[Colonne24]]+1)</f>
        <v>18</v>
      </c>
      <c r="AR27" s="17">
        <f>IF(Distances[[#This Row],[Colonne25]]=$G27,AQ27,Distances[[#This Row],[Colonne25]]+1)</f>
        <v>18</v>
      </c>
      <c r="AS27" s="17">
        <f>IF(Distances[[#This Row],[Colonne26]]=$G27,AR27,Distances[[#This Row],[Colonne26]]+1)</f>
        <v>18</v>
      </c>
      <c r="AT27" s="17">
        <f>IF(Distances[[#This Row],[Colonne27]]=$G27,AS27,Distances[[#This Row],[Colonne27]]+1)</f>
        <v>18</v>
      </c>
      <c r="AU27" s="17">
        <f>IF(Distances[[#This Row],[Colonne28]]=$G27,AT27,Distances[[#This Row],[Colonne28]]+1)</f>
        <v>18</v>
      </c>
      <c r="AV27" s="17">
        <f>IF(Distances[[#This Row],[Colonne29]]=$G27,AU27,Distances[[#This Row],[Colonne29]]+1)</f>
        <v>18</v>
      </c>
      <c r="AW27" s="17">
        <f>IF(Distances[[#This Row],[Colonne30]]=$G27,AV27,Distances[[#This Row],[Colonne30]]+1)</f>
        <v>18</v>
      </c>
      <c r="AX27" s="17">
        <f>IF(Distances[[#This Row],[Colonne31]]=$G27,AW27,Distances[[#This Row],[Colonne31]]+1)</f>
        <v>18</v>
      </c>
      <c r="AY27" s="17">
        <f>IF(Distances[[#This Row],[Colonne32]]=$G27,AX27,Distances[[#This Row],[Colonne32]]+1)</f>
        <v>18</v>
      </c>
      <c r="AZ27" s="17">
        <f>IF(Distances[[#This Row],[Colonne33]]=$G27,AY27,Distances[[#This Row],[Colonne33]]+1)</f>
        <v>18</v>
      </c>
      <c r="BA27" s="17">
        <f>IF(Distances[[#This Row],[Colonne34]]=$G27,AZ27,Distances[[#This Row],[Colonne34]]+1)</f>
        <v>18</v>
      </c>
      <c r="BB27" s="17">
        <f>IF(Distances[[#This Row],[Colonne35]]=$G27,BA27,Distances[[#This Row],[Colonne35]]+1)</f>
        <v>18</v>
      </c>
      <c r="BC27" s="17">
        <f>IF(Distances[[#This Row],[Colonne36]]=$G27,BB27,Distances[[#This Row],[Colonne36]]+1)</f>
        <v>18</v>
      </c>
      <c r="BD27" s="17">
        <f>IF(Distances[[#This Row],[Colonne37]]=$G27,BC27,Distances[[#This Row],[Colonne37]]+1)</f>
        <v>18</v>
      </c>
      <c r="BE27" s="17">
        <f>IF(Distances[[#This Row],[Colonne38]]=$G27,BD27,Distances[[#This Row],[Colonne38]]+1)</f>
        <v>18</v>
      </c>
      <c r="BF27" s="17">
        <f>IF(Distances[[#This Row],[Colonne39]]=$G27,BE27,Distances[[#This Row],[Colonne39]]+1)</f>
        <v>18</v>
      </c>
      <c r="BG27" s="17">
        <f>IF(Distances[[#This Row],[Colonne40]]=$G27,BF27,Distances[[#This Row],[Colonne40]]+1)</f>
        <v>18</v>
      </c>
      <c r="BH27" s="17">
        <f>IF(Distances[[#This Row],[Colonne41]]=$G27,BG27,Distances[[#This Row],[Colonne41]]+1)</f>
        <v>18</v>
      </c>
      <c r="BI27" s="17">
        <f>IF(Distances[[#This Row],[Colonne42]]=$G27,BH27,Distances[[#This Row],[Colonne42]]+1)</f>
        <v>18</v>
      </c>
      <c r="BJ27" s="17">
        <f>IF(Distances[[#This Row],[Colonne43]]=$G27,BI27,Distances[[#This Row],[Colonne43]]+1)</f>
        <v>18</v>
      </c>
      <c r="BK27" s="17">
        <f>IF(Distances[[#This Row],[Colonne44]]=$G27,BJ27,Distances[[#This Row],[Colonne44]]+1)</f>
        <v>18</v>
      </c>
      <c r="BL27" s="17">
        <f>IF(Distances[[#This Row],[Colonne45]]=$G27,BK27,Distances[[#This Row],[Colonne45]]+1)</f>
        <v>18</v>
      </c>
      <c r="BM27" s="17">
        <f>IF(Distances[[#This Row],[Colonne46]]=$G27,BL27,Distances[[#This Row],[Colonne46]]+1)</f>
        <v>18</v>
      </c>
      <c r="BN27" s="17">
        <f>IF(Distances[[#This Row],[Colonne47]]=$G27,BM27,Distances[[#This Row],[Colonne47]]+1)</f>
        <v>18</v>
      </c>
      <c r="BO27" s="17">
        <f>IF(Distances[[#This Row],[Colonne48]]=$G27,BN27,Distances[[#This Row],[Colonne48]]+1)</f>
        <v>18</v>
      </c>
      <c r="BP27" s="17">
        <f>IF(Distances[[#This Row],[Colonne49]]=$G27,BO27,Distances[[#This Row],[Colonne49]]+1)</f>
        <v>18</v>
      </c>
      <c r="BQ27" s="17">
        <f>IF(Distances[[#This Row],[Colonne50]]=$G27,BP27,Distances[[#This Row],[Colonne50]]+1)</f>
        <v>18</v>
      </c>
      <c r="BR27" s="17">
        <f>IF(Distances[[#This Row],[Colonne51]]=$G27,BQ27,Distances[[#This Row],[Colonne51]]+1)</f>
        <v>18</v>
      </c>
      <c r="BS27" s="17">
        <f>IF(Distances[[#This Row],[Colonne52]]=$G27,BR27,Distances[[#This Row],[Colonne52]]+1)</f>
        <v>18</v>
      </c>
      <c r="BT27" s="17">
        <f>IF(Distances[[#This Row],[Colonne53]]=$G27,BS27,Distances[[#This Row],[Colonne53]]+1)</f>
        <v>18</v>
      </c>
      <c r="BU27" s="17">
        <f>IF(Distances[[#This Row],[Colonne54]]=$G27,BT27,Distances[[#This Row],[Colonne54]]+1)</f>
        <v>18</v>
      </c>
      <c r="BV27" s="17">
        <f>IF(Distances[[#This Row],[Colonne55]]=$G27,BU27,Distances[[#This Row],[Colonne55]]+1)</f>
        <v>18</v>
      </c>
      <c r="BW27" s="17">
        <f>IF(Distances[[#This Row],[Colonne56]]=$G27,BV27,Distances[[#This Row],[Colonne56]]+1)</f>
        <v>18</v>
      </c>
      <c r="BX27" s="17">
        <f>IF(Distances[[#This Row],[Colonne57]]=$G27,BW27,Distances[[#This Row],[Colonne57]]+1)</f>
        <v>18</v>
      </c>
      <c r="BY27" s="17">
        <f>IF(Distances[[#This Row],[Colonne58]]=$G27,BX27,Distances[[#This Row],[Colonne58]]+1)</f>
        <v>18</v>
      </c>
      <c r="BZ27" s="17">
        <f>IF(Distances[[#This Row],[Colonne59]]=$G27,BY27,Distances[[#This Row],[Colonne59]]+1)</f>
        <v>18</v>
      </c>
      <c r="CA27" s="17">
        <f>IF(Distances[[#This Row],[Colonne60]]=$G27,BZ27,Distances[[#This Row],[Colonne60]]+1)</f>
        <v>18</v>
      </c>
      <c r="CB27" s="17">
        <f>IF(Distances[[#This Row],[Colonne61]]=$G27,CA27,Distances[[#This Row],[Colonne61]]+1)</f>
        <v>18</v>
      </c>
      <c r="CC27" s="17">
        <f>IF(Distances[[#This Row],[Colonne62]]=$G27,CB27,Distances[[#This Row],[Colonne62]]+1)</f>
        <v>18</v>
      </c>
      <c r="CD27" s="17">
        <f>IF(Distances[[#This Row],[Colonne63]]=$G27,CC27,Distances[[#This Row],[Colonne63]]+1)</f>
        <v>18</v>
      </c>
      <c r="CE27" s="17">
        <f>IF(Distances[[#This Row],[Colonne64]]=$G27,CD27,Distances[[#This Row],[Colonne64]]+1)</f>
        <v>18</v>
      </c>
      <c r="CF27" s="17">
        <f>IF(Distances[[#This Row],[Colonne65]]=$G27,CE27,Distances[[#This Row],[Colonne65]]+1)</f>
        <v>18</v>
      </c>
      <c r="CG27" s="17">
        <f>IF(Distances[[#This Row],[Colonne66]]=$G27,CF27,Distances[[#This Row],[Colonne66]]+1)</f>
        <v>18</v>
      </c>
      <c r="CH27" s="17">
        <f>IF(Distances[[#This Row],[Colonne67]]=$G27,CG27,Distances[[#This Row],[Colonne67]]+1)</f>
        <v>18</v>
      </c>
      <c r="CI27" s="17">
        <f>IF(Distances[[#This Row],[Colonne68]]=$G27,CH27,Distances[[#This Row],[Colonne68]]+1)</f>
        <v>18</v>
      </c>
      <c r="CJ27" s="17">
        <f>IF(Distances[[#This Row],[Colonne69]]=$G27,CI27,Distances[[#This Row],[Colonne69]]+1)</f>
        <v>18</v>
      </c>
      <c r="CK27" s="17">
        <f>IF(Distances[[#This Row],[Colonne70]]=$G27,CJ27,Distances[[#This Row],[Colonne70]]+1)</f>
        <v>18</v>
      </c>
      <c r="CL27" s="17">
        <f>IF(Distances[[#This Row],[Colonne71]]=$G27,CK27,Distances[[#This Row],[Colonne71]]+1)</f>
        <v>18</v>
      </c>
      <c r="CM27" s="17">
        <f>IF(Distances[[#This Row],[Colonne72]]=$G27,CL27,Distances[[#This Row],[Colonne72]]+1)</f>
        <v>18</v>
      </c>
      <c r="CN27" s="17">
        <f>IF(Distances[[#This Row],[Colonne73]]=$G27,CM27,Distances[[#This Row],[Colonne73]]+1)</f>
        <v>18</v>
      </c>
      <c r="CO27" s="17">
        <f>IF(Distances[[#This Row],[Colonne74]]=$G27,CN27,Distances[[#This Row],[Colonne74]]+1)</f>
        <v>18</v>
      </c>
      <c r="CP27" s="17">
        <f>IF(Distances[[#This Row],[Colonne75]]=$G27,CO27,Distances[[#This Row],[Colonne75]]+1)</f>
        <v>18</v>
      </c>
      <c r="CQ27" s="17">
        <f>IF(Distances[[#This Row],[Colonne76]]=$G27,CP27,Distances[[#This Row],[Colonne76]]+1)</f>
        <v>18</v>
      </c>
      <c r="CR27" s="17">
        <f>IF(Distances[[#This Row],[Colonne77]]=$G27,CQ27,Distances[[#This Row],[Colonne77]]+1)</f>
        <v>18</v>
      </c>
      <c r="CS27" s="17">
        <f>IF(Distances[[#This Row],[Colonne78]]=$G27,CR27,Distances[[#This Row],[Colonne78]]+1)</f>
        <v>18</v>
      </c>
      <c r="CT27" s="17">
        <f>IF(Distances[[#This Row],[Colonne79]]=$G27,CS27,Distances[[#This Row],[Colonne79]]+1)</f>
        <v>18</v>
      </c>
      <c r="CU27" s="17">
        <f>IF(Distances[[#This Row],[Colonne80]]=$G27,CT27,Distances[[#This Row],[Colonne80]]+1)</f>
        <v>18</v>
      </c>
      <c r="CV27" s="17">
        <f>IF(Distances[[#This Row],[Colonne81]]=$G27,CU27,Distances[[#This Row],[Colonne81]]+1)</f>
        <v>18</v>
      </c>
      <c r="CW27" s="17">
        <f>IF(Distances[[#This Row],[Colonne82]]=$G27,CV27,Distances[[#This Row],[Colonne82]]+1)</f>
        <v>18</v>
      </c>
      <c r="CX27" s="17">
        <f>IF(Distances[[#This Row],[Colonne83]]=$G27,CW27,Distances[[#This Row],[Colonne83]]+1)</f>
        <v>18</v>
      </c>
      <c r="CY27" s="17">
        <f>IF(Distances[[#This Row],[Colonne84]]=$G27,CX27,Distances[[#This Row],[Colonne84]]+1)</f>
        <v>18</v>
      </c>
      <c r="CZ27" s="17">
        <f>IF(Distances[[#This Row],[Colonne85]]=$G27,CY27,Distances[[#This Row],[Colonne85]]+1)</f>
        <v>18</v>
      </c>
      <c r="DA27" s="17">
        <f>IF(Distances[[#This Row],[Colonne86]]=$G27,CZ27,Distances[[#This Row],[Colonne86]]+1)</f>
        <v>18</v>
      </c>
      <c r="DB27" s="17">
        <f>IF(Distances[[#This Row],[Colonne87]]=$G27,DA27,Distances[[#This Row],[Colonne87]]+1)</f>
        <v>18</v>
      </c>
      <c r="DC27" s="17">
        <f>IF(Distances[[#This Row],[Colonne88]]=$G27,DB27,Distances[[#This Row],[Colonne88]]+1)</f>
        <v>18</v>
      </c>
      <c r="DD27" s="17">
        <f>IF(Distances[[#This Row],[Colonne89]]=$G27,DC27,Distances[[#This Row],[Colonne89]]+1)</f>
        <v>18</v>
      </c>
      <c r="DE27" s="17">
        <f>IF(Distances[[#This Row],[Colonne90]]=$G27,DD27,Distances[[#This Row],[Colonne90]]+1)</f>
        <v>18</v>
      </c>
      <c r="DF27" s="17">
        <f>IF(Distances[[#This Row],[Colonne91]]=$G27,DE27,Distances[[#This Row],[Colonne91]]+1)</f>
        <v>18</v>
      </c>
      <c r="DG27" s="17">
        <f>IF(Distances[[#This Row],[Colonne92]]=$G27,DF27,Distances[[#This Row],[Colonne92]]+1)</f>
        <v>18</v>
      </c>
      <c r="DH27" s="17">
        <f>IF(Distances[[#This Row],[Colonne93]]=$G27,DG27,Distances[[#This Row],[Colonne93]]+1)</f>
        <v>18</v>
      </c>
      <c r="DI27" s="17">
        <f>IF(Distances[[#This Row],[Colonne94]]=$G27,DH27,Distances[[#This Row],[Colonne94]]+1)</f>
        <v>18</v>
      </c>
      <c r="DJ27" s="17">
        <f>IF(Distances[[#This Row],[Colonne95]]=$G27,DI27,Distances[[#This Row],[Colonne95]]+1)</f>
        <v>18</v>
      </c>
      <c r="DK27" s="17">
        <f>IF(Distances[[#This Row],[Colonne96]]=$G27,DJ27,Distances[[#This Row],[Colonne96]]+1)</f>
        <v>18</v>
      </c>
      <c r="DL27" s="17">
        <f>IF(Distances[[#This Row],[Colonne97]]=$G27,DK27,Distances[[#This Row],[Colonne97]]+1)</f>
        <v>18</v>
      </c>
      <c r="DM27" s="17">
        <f>IF(Distances[[#This Row],[Colonne98]]=$G27,DL27,Distances[[#This Row],[Colonne98]]+1)</f>
        <v>18</v>
      </c>
      <c r="DN27" s="17">
        <f>IF(Distances[[#This Row],[Colonne99]]=$G27,DM27,Distances[[#This Row],[Colonne99]]+1)</f>
        <v>18</v>
      </c>
      <c r="DO27" s="17">
        <f>IF(Distances[[#This Row],[Colonne100]]=$G27,DN27,Distances[[#This Row],[Colonne100]]+1)</f>
        <v>18</v>
      </c>
      <c r="DP27" s="17">
        <f>IF(Distances[[#This Row],[Colonne101]]=$G27,DO27,Distances[[#This Row],[Colonne101]]+1)</f>
        <v>18</v>
      </c>
      <c r="DQ27" s="17">
        <f>IF(Distances[[#This Row],[Colonne102]]=$G27,DP27,Distances[[#This Row],[Colonne102]]+1)</f>
        <v>18</v>
      </c>
      <c r="DR27" s="17">
        <f>IF(Distances[[#This Row],[Colonne103]]=$G27,DQ27,Distances[[#This Row],[Colonne103]]+1)</f>
        <v>18</v>
      </c>
      <c r="DS27" s="17">
        <f>IF(Distances[[#This Row],[Colonne104]]=$G27,DR27,Distances[[#This Row],[Colonne104]]+1)</f>
        <v>18</v>
      </c>
      <c r="DT27" s="17">
        <f>IF(Distances[[#This Row],[Colonne105]]=$G27,DS27,Distances[[#This Row],[Colonne105]]+1)</f>
        <v>18</v>
      </c>
      <c r="DU27" s="17">
        <f>IF(Distances[[#This Row],[Colonne106]]=$G27,DT27,Distances[[#This Row],[Colonne106]]+1)</f>
        <v>18</v>
      </c>
      <c r="DV27" s="17">
        <f>IF(Distances[[#This Row],[Colonne107]]=$G27,DU27,Distances[[#This Row],[Colonne107]]+1)</f>
        <v>18</v>
      </c>
      <c r="DW27" s="17">
        <f>IF(Distances[[#This Row],[Colonne108]]=$G27,DV27,Distances[[#This Row],[Colonne108]]+1)</f>
        <v>18</v>
      </c>
      <c r="DX27" s="17">
        <f>IF(Distances[[#This Row],[Colonne109]]=$G27,DW27,Distances[[#This Row],[Colonne109]]+1)</f>
        <v>18</v>
      </c>
      <c r="DY27" s="17">
        <f>IF(Distances[[#This Row],[Colonne110]]=$G27,DX27,Distances[[#This Row],[Colonne110]]+1)</f>
        <v>18</v>
      </c>
      <c r="DZ27" s="17">
        <f>IF(Distances[[#This Row],[Colonne111]]=$G27,DY27,Distances[[#This Row],[Colonne111]]+1)</f>
        <v>18</v>
      </c>
      <c r="EA27" s="17">
        <f>IF(Distances[[#This Row],[Colonne112]]=$G27,DZ27,Distances[[#This Row],[Colonne112]]+1)</f>
        <v>18</v>
      </c>
      <c r="EB27" s="17">
        <f>IF(Distances[[#This Row],[Colonne113]]=$G27,EA27,Distances[[#This Row],[Colonne113]]+1)</f>
        <v>18</v>
      </c>
      <c r="EC27" s="17">
        <f>IF(Distances[[#This Row],[Colonne114]]=$G27,EB27,Distances[[#This Row],[Colonne114]]+1)</f>
        <v>18</v>
      </c>
      <c r="ED27" s="17">
        <f>IF(Distances[[#This Row],[Colonne115]]=$G27,EC27,Distances[[#This Row],[Colonne115]]+1)</f>
        <v>18</v>
      </c>
      <c r="EE27" s="17">
        <f>IF(Distances[[#This Row],[Colonne116]]=$G27,ED27,Distances[[#This Row],[Colonne116]]+1)</f>
        <v>18</v>
      </c>
      <c r="EF27" s="17">
        <f>IF(Distances[[#This Row],[Colonne117]]=$G27,EE27,Distances[[#This Row],[Colonne117]]+1)</f>
        <v>18</v>
      </c>
      <c r="EG27" s="17">
        <f>IF(Distances[[#This Row],[Colonne118]]=$G27,EF27,Distances[[#This Row],[Colonne118]]+1)</f>
        <v>18</v>
      </c>
      <c r="EH27" s="17">
        <f>IF(Distances[[#This Row],[Colonne119]]=$G27,EG27,Distances[[#This Row],[Colonne119]]+1)</f>
        <v>18</v>
      </c>
      <c r="EI27" s="17">
        <f>IF(Distances[[#This Row],[Colonne120]]=$G27,EH27,Distances[[#This Row],[Colonne120]]+1)</f>
        <v>18</v>
      </c>
      <c r="EJ27" s="17">
        <f>IF(Distances[[#This Row],[Colonne121]]=$G27,EI27,Distances[[#This Row],[Colonne121]]+1)</f>
        <v>18</v>
      </c>
      <c r="EK27" s="17">
        <f>IF(Distances[[#This Row],[Colonne122]]=$G27,EJ27,Distances[[#This Row],[Colonne122]]+1)</f>
        <v>18</v>
      </c>
      <c r="EL27" s="17">
        <f>IF(Distances[[#This Row],[Colonne123]]=$G27,EK27,Distances[[#This Row],[Colonne123]]+1)</f>
        <v>18</v>
      </c>
      <c r="EM27" s="17">
        <f>IF(Distances[[#This Row],[Colonne124]]=$G27,EL27,Distances[[#This Row],[Colonne124]]+1)</f>
        <v>18</v>
      </c>
      <c r="EN27" s="17">
        <f>IF(Distances[[#This Row],[Colonne125]]=$G27,EM27,Distances[[#This Row],[Colonne125]]+1)</f>
        <v>18</v>
      </c>
      <c r="EO27" s="17">
        <f>IF(Distances[[#This Row],[Colonne126]]=$G27,EN27,Distances[[#This Row],[Colonne126]]+1)</f>
        <v>18</v>
      </c>
      <c r="EP27" s="17">
        <f>IF(Distances[[#This Row],[Colonne127]]=$G27,EO27,Distances[[#This Row],[Colonne127]]+1)</f>
        <v>18</v>
      </c>
      <c r="EQ27" s="17">
        <f>IF(Distances[[#This Row],[Colonne128]]=$G27,EP27,Distances[[#This Row],[Colonne128]]+1)</f>
        <v>18</v>
      </c>
      <c r="ER27" s="17">
        <f>IF(Distances[[#This Row],[Colonne129]]=$G27,EQ27,Distances[[#This Row],[Colonne129]]+1)</f>
        <v>18</v>
      </c>
      <c r="ES27" s="17">
        <f>IF(Distances[[#This Row],[Colonne130]]=$G27,ER27,Distances[[#This Row],[Colonne130]]+1)</f>
        <v>18</v>
      </c>
      <c r="ET27" s="17">
        <f>IF(Distances[[#This Row],[Colonne131]]=$G27,ES27,Distances[[#This Row],[Colonne131]]+1)</f>
        <v>18</v>
      </c>
      <c r="EU27" s="17">
        <f>IF(Distances[[#This Row],[Colonne132]]=$G27,ET27,Distances[[#This Row],[Colonne132]]+1)</f>
        <v>18</v>
      </c>
      <c r="EV27" s="17">
        <f>IF(Distances[[#This Row],[Colonne133]]=$G27,EU27,Distances[[#This Row],[Colonne133]]+1)</f>
        <v>18</v>
      </c>
      <c r="EW27" s="17">
        <f>IF(Distances[[#This Row],[Colonne134]]=$G27,EV27,Distances[[#This Row],[Colonne134]]+1)</f>
        <v>18</v>
      </c>
      <c r="EX27" s="17">
        <f>IF(Distances[[#This Row],[Colonne135]]=$G27,EW27,Distances[[#This Row],[Colonne135]]+1)</f>
        <v>18</v>
      </c>
      <c r="EY27" s="17">
        <f>IF(Distances[[#This Row],[Colonne136]]=$G27,EX27,Distances[[#This Row],[Colonne136]]+1)</f>
        <v>18</v>
      </c>
      <c r="EZ27" s="17">
        <f>IF(Distances[[#This Row],[Colonne137]]=$G27,EY27,Distances[[#This Row],[Colonne137]]+1)</f>
        <v>18</v>
      </c>
      <c r="FA27" s="17">
        <f>IF(Distances[[#This Row],[Colonne138]]=$G27,EZ27,Distances[[#This Row],[Colonne138]]+1)</f>
        <v>18</v>
      </c>
      <c r="FB27" s="17">
        <f>IF(Distances[[#This Row],[Colonne139]]=$G27,FA27,Distances[[#This Row],[Colonne139]]+1)</f>
        <v>18</v>
      </c>
      <c r="FC27" s="17">
        <f>IF(Distances[[#This Row],[Colonne140]]=$G27,FB27,Distances[[#This Row],[Colonne140]]+1)</f>
        <v>18</v>
      </c>
      <c r="FD27" s="17">
        <f>IF(Distances[[#This Row],[Colonne141]]=$G27,FC27,Distances[[#This Row],[Colonne141]]+1)</f>
        <v>18</v>
      </c>
      <c r="FE27" s="17">
        <f>IF(Distances[[#This Row],[Colonne142]]=$G27,FD27,Distances[[#This Row],[Colonne142]]+1)</f>
        <v>18</v>
      </c>
      <c r="FF27" s="17">
        <f>IF(Distances[[#This Row],[Colonne143]]=$G27,FE27,Distances[[#This Row],[Colonne143]]+1)</f>
        <v>18</v>
      </c>
      <c r="FG27" s="17">
        <f>IF(Distances[[#This Row],[Colonne144]]=$G27,FF27,Distances[[#This Row],[Colonne144]]+1)</f>
        <v>18</v>
      </c>
      <c r="FH27" s="17">
        <f>IF(Distances[[#This Row],[Colonne145]]=$G27,FG27,Distances[[#This Row],[Colonne145]]+1)</f>
        <v>18</v>
      </c>
      <c r="FI27" s="17">
        <f>IF(Distances[[#This Row],[Colonne146]]=$G27,FH27,Distances[[#This Row],[Colonne146]]+1)</f>
        <v>18</v>
      </c>
      <c r="FJ27" s="17">
        <f>IF(Distances[[#This Row],[Colonne147]]=$G27,FI27,Distances[[#This Row],[Colonne147]]+1)</f>
        <v>18</v>
      </c>
      <c r="FK27" s="17">
        <f>IF(Distances[[#This Row],[Colonne148]]=$G27,FJ27,Distances[[#This Row],[Colonne148]]+1)</f>
        <v>18</v>
      </c>
      <c r="FL27" s="17">
        <f>IF(Distances[[#This Row],[Colonne149]]=$G27,FK27,Distances[[#This Row],[Colonne149]]+1)</f>
        <v>18</v>
      </c>
      <c r="FM27" s="17">
        <f>IF(Distances[[#This Row],[Colonne150]]=$G27,FL27,Distances[[#This Row],[Colonne150]]+1)</f>
        <v>18</v>
      </c>
      <c r="FN27" s="17">
        <f>IF(Distances[[#This Row],[Colonne151]]=$G27,FM27,Distances[[#This Row],[Colonne151]]+1)</f>
        <v>18</v>
      </c>
      <c r="FO27" s="17">
        <f>IF(Distances[[#This Row],[Colonne152]]=$G27,FN27,Distances[[#This Row],[Colonne152]]+1)</f>
        <v>18</v>
      </c>
      <c r="FP27" s="17">
        <f>IF(Distances[[#This Row],[Colonne153]]=$G27,FO27,Distances[[#This Row],[Colonne153]]+1)</f>
        <v>18</v>
      </c>
      <c r="FQ27" s="17">
        <f>IF(Distances[[#This Row],[Colonne154]]=$G27,FP27,Distances[[#This Row],[Colonne154]]+1)</f>
        <v>18</v>
      </c>
      <c r="FR27" s="17">
        <f>IF(Distances[[#This Row],[Colonne155]]=$G27,FQ27,Distances[[#This Row],[Colonne155]]+1)</f>
        <v>18</v>
      </c>
      <c r="FS27" s="17">
        <f>IF(Distances[[#This Row],[Colonne156]]=$G27,FR27,Distances[[#This Row],[Colonne156]]+1)</f>
        <v>18</v>
      </c>
      <c r="FT27" s="17">
        <f>IF(Distances[[#This Row],[Colonne157]]=$G27,FS27,Distances[[#This Row],[Colonne157]]+1)</f>
        <v>18</v>
      </c>
      <c r="FU27" s="17">
        <f>IF(Distances[[#This Row],[Colonne158]]=$G27,FT27,Distances[[#This Row],[Colonne158]]+1)</f>
        <v>18</v>
      </c>
      <c r="FV27" s="17">
        <f>IF(Distances[[#This Row],[Colonne159]]=$G27,FU27,Distances[[#This Row],[Colonne159]]+1)</f>
        <v>18</v>
      </c>
      <c r="FW27" s="17">
        <f>IF(Distances[[#This Row],[Colonne160]]=$G27,FV27,Distances[[#This Row],[Colonne160]]+1)</f>
        <v>18</v>
      </c>
      <c r="FX27" s="17">
        <f>IF(Distances[[#This Row],[Colonne161]]=$G27,FW27,Distances[[#This Row],[Colonne161]]+1)</f>
        <v>18</v>
      </c>
      <c r="FY27" s="17">
        <f>IF(Distances[[#This Row],[Colonne162]]=$G27,FX27,Distances[[#This Row],[Colonne162]]+1)</f>
        <v>18</v>
      </c>
      <c r="FZ27" s="17">
        <f>IF(Distances[[#This Row],[Colonne163]]=$G27,FY27,Distances[[#This Row],[Colonne163]]+1)</f>
        <v>18</v>
      </c>
      <c r="GA27" s="17">
        <f>IF(Distances[[#This Row],[Colonne164]]=$G27,FZ27,Distances[[#This Row],[Colonne164]]+1)</f>
        <v>18</v>
      </c>
      <c r="GB27" s="17">
        <f>IF(Distances[[#This Row],[Colonne165]]=$G27,GA27,Distances[[#This Row],[Colonne165]]+1)</f>
        <v>18</v>
      </c>
      <c r="GC27" s="17">
        <f>IF(Distances[[#This Row],[Colonne166]]=$G27,GB27,Distances[[#This Row],[Colonne166]]+1)</f>
        <v>18</v>
      </c>
      <c r="GD27" s="17">
        <f>IF(Distances[[#This Row],[Colonne167]]=$G27,GC27,Distances[[#This Row],[Colonne167]]+1)</f>
        <v>18</v>
      </c>
      <c r="GE27" s="17">
        <f>IF(Distances[[#This Row],[Colonne168]]=$G27,GD27,Distances[[#This Row],[Colonne168]]+1)</f>
        <v>18</v>
      </c>
      <c r="GF27" s="17">
        <f>IF(Distances[[#This Row],[Colonne169]]=$G27,GE27,Distances[[#This Row],[Colonne169]]+1)</f>
        <v>18</v>
      </c>
      <c r="GG27" s="17">
        <f>IF(Distances[[#This Row],[Colonne170]]=$G27,GF27,Distances[[#This Row],[Colonne170]]+1)</f>
        <v>18</v>
      </c>
      <c r="GH27" s="17">
        <f>IF(Distances[[#This Row],[Colonne171]]=$G27,GG27,Distances[[#This Row],[Colonne171]]+1)</f>
        <v>18</v>
      </c>
      <c r="GI27" s="17">
        <f>IF(Distances[[#This Row],[Colonne172]]=$G27,GH27,Distances[[#This Row],[Colonne172]]+1)</f>
        <v>18</v>
      </c>
      <c r="GJ27" s="17">
        <f>IF(Distances[[#This Row],[Colonne173]]=$G27,GI27,Distances[[#This Row],[Colonne173]]+1)</f>
        <v>18</v>
      </c>
      <c r="GK27" s="17">
        <f>IF(Distances[[#This Row],[Colonne174]]=$G27,GJ27,Distances[[#This Row],[Colonne174]]+1)</f>
        <v>18</v>
      </c>
      <c r="GL27" s="17">
        <f>IF(Distances[[#This Row],[Colonne175]]=$G27,GK27,Distances[[#This Row],[Colonne175]]+1)</f>
        <v>18</v>
      </c>
      <c r="GM27" s="17">
        <f>IF(Distances[[#This Row],[Colonne176]]=$G27,GL27,Distances[[#This Row],[Colonne176]]+1)</f>
        <v>18</v>
      </c>
      <c r="GN27" s="17">
        <f>IF(Distances[[#This Row],[Colonne177]]=$G27,GM27,Distances[[#This Row],[Colonne177]]+1)</f>
        <v>18</v>
      </c>
      <c r="GO27" s="17">
        <f>IF(Distances[[#This Row],[Colonne178]]=$G27,GN27,Distances[[#This Row],[Colonne178]]+1)</f>
        <v>18</v>
      </c>
      <c r="GP27" s="17">
        <f>IF(Distances[[#This Row],[Colonne179]]=$G27,GO27,Distances[[#This Row],[Colonne179]]+1)</f>
        <v>18</v>
      </c>
      <c r="GQ27" s="17">
        <f>IF(Distances[[#This Row],[Colonne180]]=$G27,GP27,Distances[[#This Row],[Colonne180]]+1)</f>
        <v>18</v>
      </c>
      <c r="GR27" s="17">
        <f>IF(Distances[[#This Row],[Colonne181]]=$G27,GQ27,Distances[[#This Row],[Colonne181]]+1)</f>
        <v>18</v>
      </c>
      <c r="GS27" s="17">
        <f>IF(Distances[[#This Row],[Colonne182]]=$G27,GR27,Distances[[#This Row],[Colonne182]]+1)</f>
        <v>18</v>
      </c>
      <c r="GT27" s="17">
        <f>IF(Distances[[#This Row],[Colonne183]]=$G27,GS27,Distances[[#This Row],[Colonne183]]+1)</f>
        <v>18</v>
      </c>
      <c r="GU27" s="17">
        <f>IF(Distances[[#This Row],[Colonne184]]=$G27,GT27,Distances[[#This Row],[Colonne184]]+1)</f>
        <v>18</v>
      </c>
      <c r="GV27" s="17">
        <f>IF(Distances[[#This Row],[Colonne185]]=$G27,GU27,Distances[[#This Row],[Colonne185]]+1)</f>
        <v>18</v>
      </c>
      <c r="GW27" s="17">
        <f>IF(Distances[[#This Row],[Colonne186]]=$G27,GV27,Distances[[#This Row],[Colonne186]]+1)</f>
        <v>18</v>
      </c>
      <c r="GX27" s="17">
        <f>IF(Distances[[#This Row],[Colonne187]]=$G27,GW27,Distances[[#This Row],[Colonne187]]+1)</f>
        <v>18</v>
      </c>
      <c r="GY27" s="17">
        <f>IF(Distances[[#This Row],[Colonne188]]=$G27,GX27,Distances[[#This Row],[Colonne188]]+1)</f>
        <v>18</v>
      </c>
      <c r="GZ27" s="17">
        <f>IF(Distances[[#This Row],[Colonne189]]=$G27,GY27,Distances[[#This Row],[Colonne189]]+1)</f>
        <v>18</v>
      </c>
      <c r="HA27" s="17">
        <f>IF(Distances[[#This Row],[Colonne190]]=$G27,GZ27,Distances[[#This Row],[Colonne190]]+1)</f>
        <v>18</v>
      </c>
      <c r="HB27" s="17">
        <f>IF(Distances[[#This Row],[Colonne191]]=$G27,HA27,Distances[[#This Row],[Colonne191]]+1)</f>
        <v>18</v>
      </c>
      <c r="HC27" s="17">
        <f>IF(Distances[[#This Row],[Colonne192]]=$G27,HB27,Distances[[#This Row],[Colonne192]]+1)</f>
        <v>18</v>
      </c>
      <c r="HD27" s="17">
        <f>IF(Distances[[#This Row],[Colonne193]]=$G27,HC27,Distances[[#This Row],[Colonne193]]+1)</f>
        <v>18</v>
      </c>
      <c r="HE27" s="17">
        <f>IF(Distances[[#This Row],[Colonne194]]=$G27,HD27,Distances[[#This Row],[Colonne194]]+1)</f>
        <v>18</v>
      </c>
      <c r="HF27" s="17">
        <f>IF(Distances[[#This Row],[Colonne195]]=$G27,HE27,Distances[[#This Row],[Colonne195]]+1)</f>
        <v>18</v>
      </c>
      <c r="HG27" s="17">
        <f>IF(Distances[[#This Row],[Colonne196]]=$G27,HF27,Distances[[#This Row],[Colonne196]]+1)</f>
        <v>18</v>
      </c>
      <c r="HH27" s="17">
        <f>IF(Distances[[#This Row],[Colonne197]]=$G27,HG27,Distances[[#This Row],[Colonne197]]+1)</f>
        <v>18</v>
      </c>
      <c r="HI27" s="17">
        <f>IF(Distances[[#This Row],[Colonne198]]=$G27,HH27,Distances[[#This Row],[Colonne198]]+1)</f>
        <v>18</v>
      </c>
      <c r="HJ27" s="17">
        <f>IF(Distances[[#This Row],[Colonne199]]=$G27,HI27,Distances[[#This Row],[Colonne199]]+1)</f>
        <v>18</v>
      </c>
      <c r="HK27" s="17">
        <f>IF(Distances[[#This Row],[Colonne200]]=$G27,HJ27,Distances[[#This Row],[Colonne200]]+1)</f>
        <v>18</v>
      </c>
      <c r="HL27" s="17">
        <f>IF(Distances[[#This Row],[Colonne201]]=$G27,HK27,Distances[[#This Row],[Colonne201]]+1)</f>
        <v>18</v>
      </c>
      <c r="HM27" s="17">
        <f>IF(Distances[[#This Row],[Colonne202]]=$G27,HL27,Distances[[#This Row],[Colonne202]]+1)</f>
        <v>18</v>
      </c>
      <c r="HN27" s="17">
        <f>IF(Distances[[#This Row],[Colonne203]]=$G27,HM27,Distances[[#This Row],[Colonne203]]+1)</f>
        <v>18</v>
      </c>
      <c r="HO27" s="17">
        <f>IF(Distances[[#This Row],[Colonne204]]=$G27,HN27,Distances[[#This Row],[Colonne204]]+1)</f>
        <v>18</v>
      </c>
      <c r="HP27" s="17">
        <f>IF(Distances[[#This Row],[Colonne205]]=$G27,HO27,Distances[[#This Row],[Colonne205]]+1)</f>
        <v>18</v>
      </c>
      <c r="HQ27" s="17">
        <f>IF(Distances[[#This Row],[Colonne206]]=$G27,HP27,Distances[[#This Row],[Colonne206]]+1)</f>
        <v>18</v>
      </c>
      <c r="HR27" s="17">
        <f>IF(Distances[[#This Row],[Colonne207]]=$G27,HQ27,Distances[[#This Row],[Colonne207]]+1)</f>
        <v>18</v>
      </c>
      <c r="HS27" s="17">
        <f>IF(Distances[[#This Row],[Colonne208]]=$G27,HR27,Distances[[#This Row],[Colonne208]]+1)</f>
        <v>18</v>
      </c>
      <c r="HT27" s="17">
        <f>IF(Distances[[#This Row],[Colonne209]]=$G27,HS27,Distances[[#This Row],[Colonne209]]+1)</f>
        <v>18</v>
      </c>
      <c r="HU27" s="17">
        <f>IF(Distances[[#This Row],[Colonne210]]=$G27,HT27,Distances[[#This Row],[Colonne210]]+1)</f>
        <v>18</v>
      </c>
      <c r="HV27" s="17">
        <f>IF(Distances[[#This Row],[Colonne211]]=$G27,HU27,Distances[[#This Row],[Colonne211]]+1)</f>
        <v>18</v>
      </c>
      <c r="HW27" s="17">
        <f>IF(Distances[[#This Row],[Colonne212]]=$G27,HV27,Distances[[#This Row],[Colonne212]]+1)</f>
        <v>18</v>
      </c>
      <c r="HX27" s="17">
        <f>IF(Distances[[#This Row],[Colonne213]]=$G27,HW27,Distances[[#This Row],[Colonne213]]+1)</f>
        <v>18</v>
      </c>
      <c r="HY27" s="17">
        <f>IF(Distances[[#This Row],[Colonne214]]=$G27,HX27,Distances[[#This Row],[Colonne214]]+1)</f>
        <v>18</v>
      </c>
      <c r="HZ27" s="17">
        <f>IF(Distances[[#This Row],[Colonne215]]=$G27,HY27,Distances[[#This Row],[Colonne215]]+1)</f>
        <v>18</v>
      </c>
      <c r="IA27" s="17">
        <f>IF(Distances[[#This Row],[Colonne216]]=$G27,HZ27,Distances[[#This Row],[Colonne216]]+1)</f>
        <v>18</v>
      </c>
      <c r="IB27" s="17">
        <f>IF(Distances[[#This Row],[Colonne217]]=$G27,IA27,Distances[[#This Row],[Colonne217]]+1)</f>
        <v>18</v>
      </c>
      <c r="IC27" s="17">
        <f>IF(Distances[[#This Row],[Colonne218]]=$G27,IB27,Distances[[#This Row],[Colonne218]]+1)</f>
        <v>18</v>
      </c>
      <c r="ID27" s="17">
        <f>IF(Distances[[#This Row],[Colonne219]]=$G27,IC27,Distances[[#This Row],[Colonne219]]+1)</f>
        <v>18</v>
      </c>
      <c r="IE27" s="17">
        <f>IF(Distances[[#This Row],[Colonne220]]=$G27,ID27,Distances[[#This Row],[Colonne220]]+1)</f>
        <v>18</v>
      </c>
      <c r="IF27" s="17">
        <f>IF(Distances[[#This Row],[Colonne221]]=$G27,IE27,Distances[[#This Row],[Colonne221]]+1)</f>
        <v>18</v>
      </c>
      <c r="IG27" s="17">
        <f>IF(Distances[[#This Row],[Colonne222]]=$G27,IF27,Distances[[#This Row],[Colonne222]]+1)</f>
        <v>18</v>
      </c>
      <c r="IH27" s="17">
        <f>IF(Distances[[#This Row],[Colonne223]]=$G27,IG27,Distances[[#This Row],[Colonne223]]+1)</f>
        <v>18</v>
      </c>
      <c r="II27" s="17">
        <f>IF(Distances[[#This Row],[Colonne224]]=$G27,IH27,Distances[[#This Row],[Colonne224]]+1)</f>
        <v>18</v>
      </c>
      <c r="IJ27" s="17">
        <f>IF(Distances[[#This Row],[Colonne225]]=$G27,II27,Distances[[#This Row],[Colonne225]]+1)</f>
        <v>18</v>
      </c>
      <c r="IK27" s="17">
        <f>IF(Distances[[#This Row],[Colonne226]]=$G27,IJ27,Distances[[#This Row],[Colonne226]]+1)</f>
        <v>18</v>
      </c>
      <c r="IL27" s="17">
        <f>IF(Distances[[#This Row],[Colonne227]]=$G27,IK27,Distances[[#This Row],[Colonne227]]+1)</f>
        <v>18</v>
      </c>
      <c r="IM27" s="17">
        <f>IF(Distances[[#This Row],[Colonne228]]=$G27,IL27,Distances[[#This Row],[Colonne228]]+1)</f>
        <v>18</v>
      </c>
      <c r="IN27" s="17">
        <f>IF(Distances[[#This Row],[Colonne229]]=$G27,IM27,Distances[[#This Row],[Colonne229]]+1)</f>
        <v>18</v>
      </c>
      <c r="IO27" s="17">
        <f>IF(Distances[[#This Row],[Colonne230]]=$G27,IN27,Distances[[#This Row],[Colonne230]]+1)</f>
        <v>18</v>
      </c>
      <c r="IP27" s="17">
        <f>IF(Distances[[#This Row],[Colonne231]]=$G27,IO27,Distances[[#This Row],[Colonne231]]+1)</f>
        <v>18</v>
      </c>
      <c r="IQ27" s="17">
        <f>IF(Distances[[#This Row],[Colonne232]]=$G27,IP27,Distances[[#This Row],[Colonne232]]+1)</f>
        <v>18</v>
      </c>
      <c r="IR27" s="17">
        <f>IF(Distances[[#This Row],[Colonne233]]=$G27,IQ27,Distances[[#This Row],[Colonne233]]+1)</f>
        <v>18</v>
      </c>
      <c r="IS27" s="17">
        <f>IF(Distances[[#This Row],[Colonne234]]=$G27,IR27,Distances[[#This Row],[Colonne234]]+1)</f>
        <v>18</v>
      </c>
      <c r="IT27" s="17">
        <f>IF(Distances[[#This Row],[Colonne235]]=$G27,IS27,Distances[[#This Row],[Colonne235]]+1)</f>
        <v>18</v>
      </c>
      <c r="IU27" s="17">
        <f>IF(Distances[[#This Row],[Colonne236]]=$G27,IT27,Distances[[#This Row],[Colonne236]]+1)</f>
        <v>18</v>
      </c>
      <c r="IV27" s="17">
        <f>IF(Distances[[#This Row],[Colonne237]]=$G27,IU27,Distances[[#This Row],[Colonne237]]+1)</f>
        <v>18</v>
      </c>
      <c r="IW27" s="17">
        <f>IF(Distances[[#This Row],[Colonne238]]=$G27,IV27,Distances[[#This Row],[Colonne238]]+1)</f>
        <v>18</v>
      </c>
      <c r="IX27" s="17">
        <f>IF(Distances[[#This Row],[Colonne239]]=$G27,IW27,Distances[[#This Row],[Colonne239]]+1)</f>
        <v>18</v>
      </c>
      <c r="IY27" s="17">
        <f>IF(Distances[[#This Row],[Colonne240]]=$G27,IX27,Distances[[#This Row],[Colonne240]]+1)</f>
        <v>18</v>
      </c>
      <c r="IZ27" s="17">
        <f>IF(Distances[[#This Row],[Colonne241]]=$G27,IY27,Distances[[#This Row],[Colonne241]]+1)</f>
        <v>18</v>
      </c>
      <c r="JA27" s="17">
        <f>IF(Distances[[#This Row],[Colonne242]]=$G27,IZ27,Distances[[#This Row],[Colonne242]]+1)</f>
        <v>18</v>
      </c>
      <c r="JB27" s="17">
        <f>IF(Distances[[#This Row],[Colonne243]]=$G27,JA27,Distances[[#This Row],[Colonne243]]+1)</f>
        <v>18</v>
      </c>
      <c r="JC27" s="17">
        <f>IF(Distances[[#This Row],[Colonne244]]=$G27,JB27,Distances[[#This Row],[Colonne244]]+1)</f>
        <v>18</v>
      </c>
      <c r="JD27" s="17">
        <f>IF(Distances[[#This Row],[Colonne245]]=$G27,JC27,Distances[[#This Row],[Colonne245]]+1)</f>
        <v>18</v>
      </c>
      <c r="JE27" s="17">
        <f>IF(Distances[[#This Row],[Colonne246]]=$G27,JD27,Distances[[#This Row],[Colonne246]]+1)</f>
        <v>18</v>
      </c>
      <c r="JF27" s="17">
        <f>IF(Distances[[#This Row],[Colonne247]]=$G27,JE27,Distances[[#This Row],[Colonne247]]+1)</f>
        <v>18</v>
      </c>
      <c r="JG27" s="17">
        <f>IF(Distances[[#This Row],[Colonne248]]=$G27,JF27,Distances[[#This Row],[Colonne248]]+1)</f>
        <v>18</v>
      </c>
      <c r="JH27" s="17">
        <f>IF(Distances[[#This Row],[Colonne249]]=$G27,JG27,Distances[[#This Row],[Colonne249]]+1)</f>
        <v>18</v>
      </c>
      <c r="JI27" s="17">
        <f>IF(Distances[[#This Row],[Colonne250]]=$G27,JH27,Distances[[#This Row],[Colonne250]]+1)</f>
        <v>18</v>
      </c>
      <c r="JJ27" s="17">
        <f>IF(Distances[[#This Row],[Colonne251]]=$G27,JI27,Distances[[#This Row],[Colonne251]]+1)</f>
        <v>18</v>
      </c>
      <c r="JK27" s="17">
        <f>IF(Distances[[#This Row],[Colonne252]]=$G27,JJ27,Distances[[#This Row],[Colonne252]]+1)</f>
        <v>18</v>
      </c>
      <c r="JL27" s="17">
        <f>IF(Distances[[#This Row],[Colonne253]]=$G27,JK27,Distances[[#This Row],[Colonne253]]+1)</f>
        <v>18</v>
      </c>
      <c r="JM27" s="17">
        <f>IF(Distances[[#This Row],[Colonne254]]=$G27,JL27,Distances[[#This Row],[Colonne254]]+1)</f>
        <v>18</v>
      </c>
      <c r="JN27" s="17">
        <f>IF(Distances[[#This Row],[Colonne255]]=$G27,JM27,Distances[[#This Row],[Colonne255]]+1)</f>
        <v>18</v>
      </c>
      <c r="JO27" s="17">
        <f>IF(Distances[[#This Row],[Colonne256]]=$G27,JN27,Distances[[#This Row],[Colonne256]]+1)</f>
        <v>18</v>
      </c>
      <c r="JP27" s="17">
        <f>IF(Distances[[#This Row],[Colonne257]]=$G27,JO27,Distances[[#This Row],[Colonne257]]+1)</f>
        <v>18</v>
      </c>
      <c r="JQ27" s="17">
        <f>IF(Distances[[#This Row],[Colonne258]]=$G27,JP27,Distances[[#This Row],[Colonne258]]+1)</f>
        <v>18</v>
      </c>
      <c r="JR27" s="17">
        <f>IF(Distances[[#This Row],[Colonne259]]=$G27,JQ27,Distances[[#This Row],[Colonne259]]+1)</f>
        <v>18</v>
      </c>
      <c r="JS27" s="17">
        <f>IF(Distances[[#This Row],[Colonne260]]=$G27,JR27,Distances[[#This Row],[Colonne260]]+1)</f>
        <v>18</v>
      </c>
      <c r="JT27" s="17">
        <f>IF(Distances[[#This Row],[Colonne261]]=$G27,JS27,Distances[[#This Row],[Colonne261]]+1)</f>
        <v>18</v>
      </c>
      <c r="JU27" s="17">
        <f>IF(Distances[[#This Row],[Colonne262]]=$G27,JT27,Distances[[#This Row],[Colonne262]]+1)</f>
        <v>18</v>
      </c>
      <c r="JV27" s="17">
        <f>IF(Distances[[#This Row],[Colonne263]]=$G27,JU27,Distances[[#This Row],[Colonne263]]+1)</f>
        <v>18</v>
      </c>
      <c r="JW27" s="17">
        <f>IF(Distances[[#This Row],[Colonne264]]=$G27,JV27,Distances[[#This Row],[Colonne264]]+1)</f>
        <v>18</v>
      </c>
      <c r="JX27" s="17">
        <f>IF(Distances[[#This Row],[Colonne265]]=$G27,JW27,Distances[[#This Row],[Colonne265]]+1)</f>
        <v>18</v>
      </c>
      <c r="JY27" s="17">
        <f>IF(Distances[[#This Row],[Colonne266]]=$G27,JX27,Distances[[#This Row],[Colonne266]]+1)</f>
        <v>18</v>
      </c>
      <c r="JZ27" s="17">
        <f>IF(Distances[[#This Row],[Colonne267]]=$G27,JY27,Distances[[#This Row],[Colonne267]]+1)</f>
        <v>18</v>
      </c>
      <c r="KA27" s="17">
        <f>IF(Distances[[#This Row],[Colonne268]]=$G27,JZ27,Distances[[#This Row],[Colonne268]]+1)</f>
        <v>18</v>
      </c>
      <c r="KB27" s="17">
        <f>IF(Distances[[#This Row],[Colonne269]]=$G27,KA27,Distances[[#This Row],[Colonne269]]+1)</f>
        <v>18</v>
      </c>
      <c r="KC27" s="17">
        <f>IF(Distances[[#This Row],[Colonne270]]=$G27,KB27,Distances[[#This Row],[Colonne270]]+1)</f>
        <v>18</v>
      </c>
      <c r="KD27" s="17">
        <f>IF(Distances[[#This Row],[Colonne271]]=$G27,KC27,Distances[[#This Row],[Colonne271]]+1)</f>
        <v>18</v>
      </c>
      <c r="KE27" s="17">
        <f>IF(Distances[[#This Row],[Colonne272]]=$G27,KD27,Distances[[#This Row],[Colonne272]]+1)</f>
        <v>18</v>
      </c>
      <c r="KF27" s="17">
        <f>IF(Distances[[#This Row],[Colonne273]]=$G27,KE27,Distances[[#This Row],[Colonne273]]+1)</f>
        <v>18</v>
      </c>
      <c r="KG27" s="17">
        <f>IF(Distances[[#This Row],[Colonne274]]=$G27,KF27,Distances[[#This Row],[Colonne274]]+1)</f>
        <v>18</v>
      </c>
      <c r="KH27" s="17">
        <f>IF(Distances[[#This Row],[Colonne275]]=$G27,KG27,Distances[[#This Row],[Colonne275]]+1)</f>
        <v>18</v>
      </c>
      <c r="KI27" s="17">
        <f>IF(Distances[[#This Row],[Colonne276]]=$G27,KH27,Distances[[#This Row],[Colonne276]]+1)</f>
        <v>18</v>
      </c>
      <c r="KJ27" s="17">
        <f>IF(Distances[[#This Row],[Colonne277]]=$G27,KI27,Distances[[#This Row],[Colonne277]]+1)</f>
        <v>18</v>
      </c>
      <c r="KK27" s="17">
        <f>IF(Distances[[#This Row],[Colonne278]]=$G27,KJ27,Distances[[#This Row],[Colonne278]]+1)</f>
        <v>18</v>
      </c>
      <c r="KL27" s="17">
        <f>IF(Distances[[#This Row],[Colonne279]]=$G27,KK27,Distances[[#This Row],[Colonne279]]+1)</f>
        <v>18</v>
      </c>
      <c r="KM27" s="17">
        <f>IF(Distances[[#This Row],[Colonne280]]=$G27,KL27,Distances[[#This Row],[Colonne280]]+1)</f>
        <v>18</v>
      </c>
      <c r="KN27" s="17">
        <f>IF(Distances[[#This Row],[Colonne281]]=$G27,KM27,Distances[[#This Row],[Colonne281]]+1)</f>
        <v>18</v>
      </c>
      <c r="KO27" s="17">
        <f>IF(Distances[[#This Row],[Colonne282]]=$G27,KN27,Distances[[#This Row],[Colonne282]]+1)</f>
        <v>18</v>
      </c>
      <c r="KP27" s="17">
        <f>IF(Distances[[#This Row],[Colonne283]]=$G27,KO27,Distances[[#This Row],[Colonne283]]+1)</f>
        <v>18</v>
      </c>
      <c r="KQ27" s="17">
        <f>IF(Distances[[#This Row],[Colonne284]]=$G27,KP27,Distances[[#This Row],[Colonne284]]+1)</f>
        <v>18</v>
      </c>
      <c r="KR27" s="17">
        <f>IF(Distances[[#This Row],[Colonne285]]=$G27,KQ27,Distances[[#This Row],[Colonne285]]+1)</f>
        <v>18</v>
      </c>
      <c r="KS27" s="17">
        <f>IF(Distances[[#This Row],[Colonne286]]=$G27,KR27,Distances[[#This Row],[Colonne286]]+1)</f>
        <v>18</v>
      </c>
      <c r="KT27" s="17">
        <f>IF(Distances[[#This Row],[Colonne287]]=$G27,KS27,Distances[[#This Row],[Colonne287]]+1)</f>
        <v>18</v>
      </c>
      <c r="KU27" s="17">
        <f>IF(Distances[[#This Row],[Colonne288]]=$G27,KT27,Distances[[#This Row],[Colonne288]]+1)</f>
        <v>18</v>
      </c>
      <c r="KV27" s="17">
        <f>IF(Distances[[#This Row],[Colonne289]]=$G27,KU27,Distances[[#This Row],[Colonne289]]+1)</f>
        <v>18</v>
      </c>
      <c r="KW27" s="17">
        <f>IF(Distances[[#This Row],[Colonne290]]=$G27,KV27,Distances[[#This Row],[Colonne290]]+1)</f>
        <v>18</v>
      </c>
      <c r="KX27" s="17">
        <f>IF(Distances[[#This Row],[Colonne291]]=$G27,KW27,Distances[[#This Row],[Colonne291]]+1)</f>
        <v>18</v>
      </c>
      <c r="KY27" s="17">
        <f>IF(Distances[[#This Row],[Colonne292]]=$G27,KX27,Distances[[#This Row],[Colonne292]]+1)</f>
        <v>18</v>
      </c>
      <c r="KZ27" s="17">
        <f>IF(Distances[[#This Row],[Colonne293]]=$G27,KY27,Distances[[#This Row],[Colonne293]]+1)</f>
        <v>18</v>
      </c>
      <c r="LA27" s="17">
        <f>IF(Distances[[#This Row],[Colonne294]]=$G27,KZ27,Distances[[#This Row],[Colonne294]]+1)</f>
        <v>18</v>
      </c>
      <c r="LB27" s="17">
        <f>IF(Distances[[#This Row],[Colonne295]]=$G27,LA27,Distances[[#This Row],[Colonne295]]+1)</f>
        <v>18</v>
      </c>
      <c r="LC27" s="17">
        <f>IF(Distances[[#This Row],[Colonne296]]=$G27,LB27,Distances[[#This Row],[Colonne296]]+1)</f>
        <v>18</v>
      </c>
      <c r="LD27" s="17">
        <f>IF(Distances[[#This Row],[Colonne297]]=$G27,LC27,Distances[[#This Row],[Colonne297]]+1)</f>
        <v>18</v>
      </c>
      <c r="LE27" s="17">
        <f>IF(Distances[[#This Row],[Colonne298]]=$G27,LD27,Distances[[#This Row],[Colonne298]]+1)</f>
        <v>18</v>
      </c>
      <c r="LF27" s="17">
        <f>IF(Distances[[#This Row],[Colonne299]]=$G27,LE27,Distances[[#This Row],[Colonne299]]+1)</f>
        <v>18</v>
      </c>
      <c r="LG27" s="17">
        <f>IF(Distances[[#This Row],[Colonne300]]=$G27,LF27,Distances[[#This Row],[Colonne300]]+1)</f>
        <v>18</v>
      </c>
      <c r="LH27" s="17">
        <f>IF(Distances[[#This Row],[Colonne301]]=$G27,LG27,Distances[[#This Row],[Colonne301]]+1)</f>
        <v>18</v>
      </c>
      <c r="LI27" s="17">
        <f>IF(Distances[[#This Row],[Colonne302]]=$G27,LH27,Distances[[#This Row],[Colonne302]]+1)</f>
        <v>18</v>
      </c>
      <c r="LJ27" s="17">
        <f>IF(Distances[[#This Row],[Colonne303]]=$G27,LI27,Distances[[#This Row],[Colonne303]]+1)</f>
        <v>18</v>
      </c>
      <c r="LK27" s="51"/>
      <c r="LL27" s="17">
        <f t="shared" ref="LL27:NW27" si="52">IF(LK27=$H27,LK27,LK27+1)</f>
        <v>1</v>
      </c>
      <c r="LM27" s="17">
        <f t="shared" si="52"/>
        <v>2</v>
      </c>
      <c r="LN27" s="17">
        <f t="shared" si="52"/>
        <v>3</v>
      </c>
      <c r="LO27" s="17">
        <f t="shared" si="52"/>
        <v>4</v>
      </c>
      <c r="LP27" s="17">
        <f t="shared" si="52"/>
        <v>5</v>
      </c>
      <c r="LQ27" s="17">
        <f t="shared" si="52"/>
        <v>6</v>
      </c>
      <c r="LR27" s="17">
        <f t="shared" si="52"/>
        <v>7</v>
      </c>
      <c r="LS27" s="17">
        <f t="shared" si="52"/>
        <v>8</v>
      </c>
      <c r="LT27" s="17">
        <f t="shared" si="52"/>
        <v>9</v>
      </c>
      <c r="LU27" s="17">
        <f t="shared" si="52"/>
        <v>10</v>
      </c>
      <c r="LV27" s="17">
        <f t="shared" si="52"/>
        <v>11</v>
      </c>
      <c r="LW27" s="17">
        <f t="shared" si="52"/>
        <v>12</v>
      </c>
      <c r="LX27" s="17">
        <f t="shared" si="52"/>
        <v>13</v>
      </c>
      <c r="LY27" s="17">
        <f t="shared" si="52"/>
        <v>14</v>
      </c>
      <c r="LZ27" s="17">
        <f t="shared" si="52"/>
        <v>15</v>
      </c>
      <c r="MA27" s="17">
        <f t="shared" si="52"/>
        <v>16</v>
      </c>
      <c r="MB27" s="17">
        <f t="shared" si="52"/>
        <v>17</v>
      </c>
      <c r="MC27" s="17">
        <f t="shared" si="52"/>
        <v>18</v>
      </c>
      <c r="MD27" s="17">
        <f t="shared" si="52"/>
        <v>19</v>
      </c>
      <c r="ME27" s="17">
        <f t="shared" si="52"/>
        <v>20</v>
      </c>
      <c r="MF27" s="17">
        <f t="shared" si="52"/>
        <v>21</v>
      </c>
      <c r="MG27" s="17">
        <f t="shared" si="52"/>
        <v>22</v>
      </c>
      <c r="MH27" s="17">
        <f t="shared" si="52"/>
        <v>23</v>
      </c>
      <c r="MI27" s="17">
        <f t="shared" si="52"/>
        <v>24</v>
      </c>
      <c r="MJ27" s="17">
        <f t="shared" si="52"/>
        <v>25</v>
      </c>
      <c r="MK27" s="17">
        <f t="shared" si="52"/>
        <v>26</v>
      </c>
      <c r="ML27" s="17">
        <f t="shared" si="52"/>
        <v>27</v>
      </c>
      <c r="MM27" s="17">
        <f t="shared" si="52"/>
        <v>28</v>
      </c>
      <c r="MN27" s="17">
        <f t="shared" si="52"/>
        <v>29</v>
      </c>
      <c r="MO27" s="17">
        <f t="shared" si="52"/>
        <v>30</v>
      </c>
      <c r="MP27" s="17">
        <f t="shared" si="52"/>
        <v>30</v>
      </c>
      <c r="MQ27" s="17">
        <f t="shared" si="52"/>
        <v>30</v>
      </c>
      <c r="MR27" s="17">
        <f t="shared" si="52"/>
        <v>30</v>
      </c>
      <c r="MS27" s="17">
        <f t="shared" si="52"/>
        <v>30</v>
      </c>
      <c r="MT27" s="17">
        <f t="shared" si="52"/>
        <v>30</v>
      </c>
      <c r="MU27" s="17">
        <f t="shared" si="52"/>
        <v>30</v>
      </c>
      <c r="MV27" s="17">
        <f t="shared" si="52"/>
        <v>30</v>
      </c>
      <c r="MW27" s="17">
        <f t="shared" si="52"/>
        <v>30</v>
      </c>
      <c r="MX27" s="17">
        <f t="shared" si="52"/>
        <v>30</v>
      </c>
      <c r="MY27" s="17">
        <f t="shared" si="52"/>
        <v>30</v>
      </c>
      <c r="MZ27" s="17">
        <f t="shared" si="52"/>
        <v>30</v>
      </c>
      <c r="NA27" s="17">
        <f t="shared" si="52"/>
        <v>30</v>
      </c>
      <c r="NB27" s="17">
        <f t="shared" si="52"/>
        <v>30</v>
      </c>
      <c r="NC27" s="17">
        <f t="shared" si="52"/>
        <v>30</v>
      </c>
      <c r="ND27" s="17">
        <f t="shared" si="52"/>
        <v>30</v>
      </c>
      <c r="NE27" s="17">
        <f t="shared" si="52"/>
        <v>30</v>
      </c>
      <c r="NF27" s="17">
        <f t="shared" si="52"/>
        <v>30</v>
      </c>
      <c r="NG27" s="17">
        <f t="shared" si="52"/>
        <v>30</v>
      </c>
      <c r="NH27" s="17">
        <f t="shared" si="52"/>
        <v>30</v>
      </c>
      <c r="NI27" s="17">
        <f t="shared" si="52"/>
        <v>30</v>
      </c>
      <c r="NJ27" s="17">
        <f t="shared" si="52"/>
        <v>30</v>
      </c>
      <c r="NK27" s="17">
        <f t="shared" si="52"/>
        <v>30</v>
      </c>
      <c r="NL27" s="17">
        <f t="shared" si="52"/>
        <v>30</v>
      </c>
      <c r="NM27" s="17">
        <f t="shared" si="52"/>
        <v>30</v>
      </c>
      <c r="NN27" s="17">
        <f t="shared" si="52"/>
        <v>30</v>
      </c>
      <c r="NO27" s="17">
        <f t="shared" si="52"/>
        <v>30</v>
      </c>
      <c r="NP27" s="17">
        <f t="shared" si="52"/>
        <v>30</v>
      </c>
      <c r="NQ27" s="17">
        <f t="shared" si="52"/>
        <v>30</v>
      </c>
      <c r="NR27" s="17">
        <f t="shared" si="52"/>
        <v>30</v>
      </c>
      <c r="NS27" s="17">
        <f t="shared" si="52"/>
        <v>30</v>
      </c>
      <c r="NT27" s="17">
        <f t="shared" si="52"/>
        <v>30</v>
      </c>
      <c r="NU27" s="17">
        <f t="shared" si="52"/>
        <v>30</v>
      </c>
      <c r="NV27" s="17">
        <f t="shared" si="52"/>
        <v>30</v>
      </c>
      <c r="NW27" s="17">
        <f t="shared" si="52"/>
        <v>30</v>
      </c>
      <c r="NX27" s="17">
        <f t="shared" ref="NX27:PG27" si="53">IF(NW27=$H27,NW27,NW27+1)</f>
        <v>30</v>
      </c>
      <c r="NY27" s="17">
        <f t="shared" si="53"/>
        <v>30</v>
      </c>
      <c r="NZ27" s="17">
        <f t="shared" si="53"/>
        <v>30</v>
      </c>
      <c r="OA27" s="17">
        <f t="shared" si="53"/>
        <v>30</v>
      </c>
      <c r="OB27" s="17">
        <f t="shared" si="53"/>
        <v>30</v>
      </c>
      <c r="OC27" s="17">
        <f t="shared" si="53"/>
        <v>30</v>
      </c>
      <c r="OD27" s="17">
        <f t="shared" si="53"/>
        <v>30</v>
      </c>
      <c r="OE27" s="17">
        <f t="shared" si="53"/>
        <v>30</v>
      </c>
      <c r="OF27" s="17">
        <f t="shared" si="53"/>
        <v>30</v>
      </c>
      <c r="OG27" s="17">
        <f t="shared" si="53"/>
        <v>30</v>
      </c>
      <c r="OH27" s="17">
        <f t="shared" si="53"/>
        <v>30</v>
      </c>
      <c r="OI27" s="17">
        <f t="shared" si="53"/>
        <v>30</v>
      </c>
      <c r="OJ27" s="17">
        <f t="shared" si="53"/>
        <v>30</v>
      </c>
      <c r="OK27" s="17">
        <f t="shared" si="53"/>
        <v>30</v>
      </c>
      <c r="OL27" s="17">
        <f t="shared" si="53"/>
        <v>30</v>
      </c>
      <c r="OM27" s="17">
        <f t="shared" si="53"/>
        <v>30</v>
      </c>
      <c r="ON27" s="17">
        <f t="shared" si="53"/>
        <v>30</v>
      </c>
      <c r="OO27" s="17">
        <f t="shared" si="53"/>
        <v>30</v>
      </c>
      <c r="OP27" s="17">
        <f t="shared" si="53"/>
        <v>30</v>
      </c>
      <c r="OQ27" s="17">
        <f t="shared" si="53"/>
        <v>30</v>
      </c>
      <c r="OR27" s="17">
        <f t="shared" si="53"/>
        <v>30</v>
      </c>
      <c r="OS27" s="17">
        <f t="shared" si="53"/>
        <v>30</v>
      </c>
      <c r="OT27" s="17">
        <f t="shared" si="53"/>
        <v>30</v>
      </c>
      <c r="OU27" s="17">
        <f t="shared" si="53"/>
        <v>30</v>
      </c>
      <c r="OV27" s="17">
        <f t="shared" si="53"/>
        <v>30</v>
      </c>
      <c r="OW27" s="17">
        <f t="shared" si="53"/>
        <v>30</v>
      </c>
      <c r="OX27" s="17">
        <f t="shared" si="53"/>
        <v>30</v>
      </c>
      <c r="OY27" s="17">
        <f t="shared" si="53"/>
        <v>30</v>
      </c>
      <c r="OZ27" s="17">
        <f t="shared" si="53"/>
        <v>30</v>
      </c>
      <c r="PA27" s="17">
        <f t="shared" si="53"/>
        <v>30</v>
      </c>
      <c r="PB27" s="17">
        <f t="shared" si="53"/>
        <v>30</v>
      </c>
      <c r="PC27" s="17">
        <f t="shared" si="53"/>
        <v>30</v>
      </c>
      <c r="PD27" s="17">
        <f t="shared" si="53"/>
        <v>30</v>
      </c>
      <c r="PE27" s="17">
        <f t="shared" si="53"/>
        <v>30</v>
      </c>
      <c r="PF27" s="17">
        <f t="shared" si="53"/>
        <v>30</v>
      </c>
      <c r="PG27" s="17">
        <f t="shared" si="53"/>
        <v>30</v>
      </c>
    </row>
    <row r="28" spans="1:423" x14ac:dyDescent="0.25">
      <c r="A28" s="8" t="s">
        <v>5507</v>
      </c>
      <c r="B28" s="9" t="s">
        <v>8506</v>
      </c>
      <c r="C28" s="9" t="str">
        <f t="shared" si="0"/>
        <v>BDames LBIF 2</v>
      </c>
      <c r="D28" s="1" t="str">
        <f t="shared" si="1"/>
        <v>Bande Dames LBIF 2</v>
      </c>
      <c r="E28" s="1" t="s">
        <v>8498</v>
      </c>
      <c r="F28" s="9" t="s">
        <v>5452</v>
      </c>
      <c r="G28" s="9">
        <v>15</v>
      </c>
      <c r="H28" s="9">
        <v>30</v>
      </c>
      <c r="I28" s="127">
        <v>2.8</v>
      </c>
      <c r="J28" s="30"/>
      <c r="K28" s="10"/>
      <c r="L28" s="8"/>
      <c r="M28" s="9"/>
      <c r="N28" s="10"/>
      <c r="O28" s="269"/>
      <c r="P28" s="331"/>
      <c r="Q28" s="335"/>
      <c r="R28" s="128"/>
      <c r="S28" s="9"/>
      <c r="T28" s="10"/>
      <c r="U28" t="s">
        <v>5523</v>
      </c>
      <c r="V28" s="17">
        <v>0</v>
      </c>
      <c r="W28" s="17">
        <f>IF(Distances[[#This Row],[Colonne4]]=$G28,V28,Distances[[#This Row],[Colonne4]]+1)</f>
        <v>1</v>
      </c>
      <c r="X28" s="17">
        <f>IF(Distances[[#This Row],[Colonne5]]=$G28,W28,Distances[[#This Row],[Colonne5]]+1)</f>
        <v>2</v>
      </c>
      <c r="Y28" s="17">
        <f>IF(Distances[[#This Row],[Colonne6]]=$G28,X28,Distances[[#This Row],[Colonne6]]+1)</f>
        <v>3</v>
      </c>
      <c r="Z28" s="17">
        <f>IF(Distances[[#This Row],[Colonne7]]=$G28,Y28,Distances[[#This Row],[Colonne7]]+1)</f>
        <v>4</v>
      </c>
      <c r="AA28" s="17">
        <f>IF(Distances[[#This Row],[Colonne8]]=$G28,Z28,Distances[[#This Row],[Colonne8]]+1)</f>
        <v>5</v>
      </c>
      <c r="AB28" s="17">
        <f>IF(Distances[[#This Row],[Colonne9]]=$G28,AA28,Distances[[#This Row],[Colonne9]]+1)</f>
        <v>6</v>
      </c>
      <c r="AC28" s="17">
        <f>IF(Distances[[#This Row],[Colonne10]]=$G28,AB28,Distances[[#This Row],[Colonne10]]+1)</f>
        <v>7</v>
      </c>
      <c r="AD28" s="17">
        <f>IF(Distances[[#This Row],[Colonne11]]=$G28,AC28,Distances[[#This Row],[Colonne11]]+1)</f>
        <v>8</v>
      </c>
      <c r="AE28" s="17">
        <f>IF(Distances[[#This Row],[Colonne12]]=$G28,AD28,Distances[[#This Row],[Colonne12]]+1)</f>
        <v>9</v>
      </c>
      <c r="AF28" s="17">
        <f>IF(Distances[[#This Row],[Colonne13]]=$G28,AE28,Distances[[#This Row],[Colonne13]]+1)</f>
        <v>10</v>
      </c>
      <c r="AG28" s="17">
        <f>IF(Distances[[#This Row],[Colonne14]]=$G28,AF28,Distances[[#This Row],[Colonne14]]+1)</f>
        <v>11</v>
      </c>
      <c r="AH28" s="17">
        <f>IF(Distances[[#This Row],[Colonne15]]=$G28,AG28,Distances[[#This Row],[Colonne15]]+1)</f>
        <v>12</v>
      </c>
      <c r="AI28" s="17">
        <f>IF(Distances[[#This Row],[Colonne16]]=$G28,AH28,Distances[[#This Row],[Colonne16]]+1)</f>
        <v>13</v>
      </c>
      <c r="AJ28" s="17">
        <f>IF(Distances[[#This Row],[Colonne17]]=$G28,AI28,Distances[[#This Row],[Colonne17]]+1)</f>
        <v>14</v>
      </c>
      <c r="AK28" s="17">
        <f>IF(Distances[[#This Row],[Colonne18]]=$G28,AJ28,Distances[[#This Row],[Colonne18]]+1)</f>
        <v>15</v>
      </c>
      <c r="AL28" s="17">
        <f>IF(Distances[[#This Row],[Colonne19]]=$G28,AK28,Distances[[#This Row],[Colonne19]]+1)</f>
        <v>15</v>
      </c>
      <c r="AM28" s="17">
        <f>IF(Distances[[#This Row],[Colonne20]]=$G28,AL28,Distances[[#This Row],[Colonne20]]+1)</f>
        <v>15</v>
      </c>
      <c r="AN28" s="17">
        <f>IF(Distances[[#This Row],[Colonne21]]=$G28,AM28,Distances[[#This Row],[Colonne21]]+1)</f>
        <v>15</v>
      </c>
      <c r="AO28" s="17">
        <f>IF(Distances[[#This Row],[Colonne22]]=$G28,AN28,Distances[[#This Row],[Colonne22]]+1)</f>
        <v>15</v>
      </c>
      <c r="AP28" s="17">
        <f>IF(Distances[[#This Row],[Colonne23]]=$G28,AO28,Distances[[#This Row],[Colonne23]]+1)</f>
        <v>15</v>
      </c>
      <c r="AQ28" s="17">
        <f>IF(Distances[[#This Row],[Colonne24]]=$G28,AP28,Distances[[#This Row],[Colonne24]]+1)</f>
        <v>15</v>
      </c>
      <c r="AR28" s="17">
        <f>IF(Distances[[#This Row],[Colonne25]]=$G28,AQ28,Distances[[#This Row],[Colonne25]]+1)</f>
        <v>15</v>
      </c>
      <c r="AS28" s="17">
        <f>IF(Distances[[#This Row],[Colonne26]]=$G28,AR28,Distances[[#This Row],[Colonne26]]+1)</f>
        <v>15</v>
      </c>
      <c r="AT28" s="17">
        <f>IF(Distances[[#This Row],[Colonne27]]=$G28,AS28,Distances[[#This Row],[Colonne27]]+1)</f>
        <v>15</v>
      </c>
      <c r="AU28" s="17">
        <f>IF(Distances[[#This Row],[Colonne28]]=$G28,AT28,Distances[[#This Row],[Colonne28]]+1)</f>
        <v>15</v>
      </c>
      <c r="AV28" s="17">
        <f>IF(Distances[[#This Row],[Colonne29]]=$G28,AU28,Distances[[#This Row],[Colonne29]]+1)</f>
        <v>15</v>
      </c>
      <c r="AW28" s="17">
        <f>IF(Distances[[#This Row],[Colonne30]]=$G28,AV28,Distances[[#This Row],[Colonne30]]+1)</f>
        <v>15</v>
      </c>
      <c r="AX28" s="17">
        <f>IF(Distances[[#This Row],[Colonne31]]=$G28,AW28,Distances[[#This Row],[Colonne31]]+1)</f>
        <v>15</v>
      </c>
      <c r="AY28" s="17">
        <f>IF(Distances[[#This Row],[Colonne32]]=$G28,AX28,Distances[[#This Row],[Colonne32]]+1)</f>
        <v>15</v>
      </c>
      <c r="AZ28" s="17">
        <f>IF(Distances[[#This Row],[Colonne33]]=$G28,AY28,Distances[[#This Row],[Colonne33]]+1)</f>
        <v>15</v>
      </c>
      <c r="BA28" s="17">
        <f>IF(Distances[[#This Row],[Colonne34]]=$G28,AZ28,Distances[[#This Row],[Colonne34]]+1)</f>
        <v>15</v>
      </c>
      <c r="BB28" s="17">
        <f>IF(Distances[[#This Row],[Colonne35]]=$G28,BA28,Distances[[#This Row],[Colonne35]]+1)</f>
        <v>15</v>
      </c>
      <c r="BC28" s="17">
        <f>IF(Distances[[#This Row],[Colonne36]]=$G28,BB28,Distances[[#This Row],[Colonne36]]+1)</f>
        <v>15</v>
      </c>
      <c r="BD28" s="17">
        <f>IF(Distances[[#This Row],[Colonne37]]=$G28,BC28,Distances[[#This Row],[Colonne37]]+1)</f>
        <v>15</v>
      </c>
      <c r="BE28" s="17">
        <f>IF(Distances[[#This Row],[Colonne38]]=$G28,BD28,Distances[[#This Row],[Colonne38]]+1)</f>
        <v>15</v>
      </c>
      <c r="BF28" s="17">
        <f>IF(Distances[[#This Row],[Colonne39]]=$G28,BE28,Distances[[#This Row],[Colonne39]]+1)</f>
        <v>15</v>
      </c>
      <c r="BG28" s="17">
        <f>IF(Distances[[#This Row],[Colonne40]]=$G28,BF28,Distances[[#This Row],[Colonne40]]+1)</f>
        <v>15</v>
      </c>
      <c r="BH28" s="17">
        <f>IF(Distances[[#This Row],[Colonne41]]=$G28,BG28,Distances[[#This Row],[Colonne41]]+1)</f>
        <v>15</v>
      </c>
      <c r="BI28" s="17">
        <f>IF(Distances[[#This Row],[Colonne42]]=$G28,BH28,Distances[[#This Row],[Colonne42]]+1)</f>
        <v>15</v>
      </c>
      <c r="BJ28" s="17">
        <f>IF(Distances[[#This Row],[Colonne43]]=$G28,BI28,Distances[[#This Row],[Colonne43]]+1)</f>
        <v>15</v>
      </c>
      <c r="BK28" s="17">
        <f>IF(Distances[[#This Row],[Colonne44]]=$G28,BJ28,Distances[[#This Row],[Colonne44]]+1)</f>
        <v>15</v>
      </c>
      <c r="BL28" s="17">
        <f>IF(Distances[[#This Row],[Colonne45]]=$G28,BK28,Distances[[#This Row],[Colonne45]]+1)</f>
        <v>15</v>
      </c>
      <c r="BM28" s="17">
        <f>IF(Distances[[#This Row],[Colonne46]]=$G28,BL28,Distances[[#This Row],[Colonne46]]+1)</f>
        <v>15</v>
      </c>
      <c r="BN28" s="17">
        <f>IF(Distances[[#This Row],[Colonne47]]=$G28,BM28,Distances[[#This Row],[Colonne47]]+1)</f>
        <v>15</v>
      </c>
      <c r="BO28" s="17">
        <f>IF(Distances[[#This Row],[Colonne48]]=$G28,BN28,Distances[[#This Row],[Colonne48]]+1)</f>
        <v>15</v>
      </c>
      <c r="BP28" s="17">
        <f>IF(Distances[[#This Row],[Colonne49]]=$G28,BO28,Distances[[#This Row],[Colonne49]]+1)</f>
        <v>15</v>
      </c>
      <c r="BQ28" s="17">
        <f>IF(Distances[[#This Row],[Colonne50]]=$G28,BP28,Distances[[#This Row],[Colonne50]]+1)</f>
        <v>15</v>
      </c>
      <c r="BR28" s="17">
        <f>IF(Distances[[#This Row],[Colonne51]]=$G28,BQ28,Distances[[#This Row],[Colonne51]]+1)</f>
        <v>15</v>
      </c>
      <c r="BS28" s="17">
        <f>IF(Distances[[#This Row],[Colonne52]]=$G28,BR28,Distances[[#This Row],[Colonne52]]+1)</f>
        <v>15</v>
      </c>
      <c r="BT28" s="17">
        <f>IF(Distances[[#This Row],[Colonne53]]=$G28,BS28,Distances[[#This Row],[Colonne53]]+1)</f>
        <v>15</v>
      </c>
      <c r="BU28" s="17">
        <f>IF(Distances[[#This Row],[Colonne54]]=$G28,BT28,Distances[[#This Row],[Colonne54]]+1)</f>
        <v>15</v>
      </c>
      <c r="BV28" s="17">
        <f>IF(Distances[[#This Row],[Colonne55]]=$G28,BU28,Distances[[#This Row],[Colonne55]]+1)</f>
        <v>15</v>
      </c>
      <c r="BW28" s="17">
        <f>IF(Distances[[#This Row],[Colonne56]]=$G28,BV28,Distances[[#This Row],[Colonne56]]+1)</f>
        <v>15</v>
      </c>
      <c r="BX28" s="17">
        <f>IF(Distances[[#This Row],[Colonne57]]=$G28,BW28,Distances[[#This Row],[Colonne57]]+1)</f>
        <v>15</v>
      </c>
      <c r="BY28" s="17">
        <f>IF(Distances[[#This Row],[Colonne58]]=$G28,BX28,Distances[[#This Row],[Colonne58]]+1)</f>
        <v>15</v>
      </c>
      <c r="BZ28" s="17">
        <f>IF(Distances[[#This Row],[Colonne59]]=$G28,BY28,Distances[[#This Row],[Colonne59]]+1)</f>
        <v>15</v>
      </c>
      <c r="CA28" s="17">
        <f>IF(Distances[[#This Row],[Colonne60]]=$G28,BZ28,Distances[[#This Row],[Colonne60]]+1)</f>
        <v>15</v>
      </c>
      <c r="CB28" s="17">
        <f>IF(Distances[[#This Row],[Colonne61]]=$G28,CA28,Distances[[#This Row],[Colonne61]]+1)</f>
        <v>15</v>
      </c>
      <c r="CC28" s="17">
        <f>IF(Distances[[#This Row],[Colonne62]]=$G28,CB28,Distances[[#This Row],[Colonne62]]+1)</f>
        <v>15</v>
      </c>
      <c r="CD28" s="17">
        <f>IF(Distances[[#This Row],[Colonne63]]=$G28,CC28,Distances[[#This Row],[Colonne63]]+1)</f>
        <v>15</v>
      </c>
      <c r="CE28" s="17">
        <f>IF(Distances[[#This Row],[Colonne64]]=$G28,CD28,Distances[[#This Row],[Colonne64]]+1)</f>
        <v>15</v>
      </c>
      <c r="CF28" s="17">
        <f>IF(Distances[[#This Row],[Colonne65]]=$G28,CE28,Distances[[#This Row],[Colonne65]]+1)</f>
        <v>15</v>
      </c>
      <c r="CG28" s="17">
        <f>IF(Distances[[#This Row],[Colonne66]]=$G28,CF28,Distances[[#This Row],[Colonne66]]+1)</f>
        <v>15</v>
      </c>
      <c r="CH28" s="17">
        <f>IF(Distances[[#This Row],[Colonne67]]=$G28,CG28,Distances[[#This Row],[Colonne67]]+1)</f>
        <v>15</v>
      </c>
      <c r="CI28" s="17">
        <f>IF(Distances[[#This Row],[Colonne68]]=$G28,CH28,Distances[[#This Row],[Colonne68]]+1)</f>
        <v>15</v>
      </c>
      <c r="CJ28" s="17">
        <f>IF(Distances[[#This Row],[Colonne69]]=$G28,CI28,Distances[[#This Row],[Colonne69]]+1)</f>
        <v>15</v>
      </c>
      <c r="CK28" s="17">
        <f>IF(Distances[[#This Row],[Colonne70]]=$G28,CJ28,Distances[[#This Row],[Colonne70]]+1)</f>
        <v>15</v>
      </c>
      <c r="CL28" s="17">
        <f>IF(Distances[[#This Row],[Colonne71]]=$G28,CK28,Distances[[#This Row],[Colonne71]]+1)</f>
        <v>15</v>
      </c>
      <c r="CM28" s="17">
        <f>IF(Distances[[#This Row],[Colonne72]]=$G28,CL28,Distances[[#This Row],[Colonne72]]+1)</f>
        <v>15</v>
      </c>
      <c r="CN28" s="17">
        <f>IF(Distances[[#This Row],[Colonne73]]=$G28,CM28,Distances[[#This Row],[Colonne73]]+1)</f>
        <v>15</v>
      </c>
      <c r="CO28" s="17">
        <f>IF(Distances[[#This Row],[Colonne74]]=$G28,CN28,Distances[[#This Row],[Colonne74]]+1)</f>
        <v>15</v>
      </c>
      <c r="CP28" s="17">
        <f>IF(Distances[[#This Row],[Colonne75]]=$G28,CO28,Distances[[#This Row],[Colonne75]]+1)</f>
        <v>15</v>
      </c>
      <c r="CQ28" s="17">
        <f>IF(Distances[[#This Row],[Colonne76]]=$G28,CP28,Distances[[#This Row],[Colonne76]]+1)</f>
        <v>15</v>
      </c>
      <c r="CR28" s="17">
        <f>IF(Distances[[#This Row],[Colonne77]]=$G28,CQ28,Distances[[#This Row],[Colonne77]]+1)</f>
        <v>15</v>
      </c>
      <c r="CS28" s="17">
        <f>IF(Distances[[#This Row],[Colonne78]]=$G28,CR28,Distances[[#This Row],[Colonne78]]+1)</f>
        <v>15</v>
      </c>
      <c r="CT28" s="17">
        <f>IF(Distances[[#This Row],[Colonne79]]=$G28,CS28,Distances[[#This Row],[Colonne79]]+1)</f>
        <v>15</v>
      </c>
      <c r="CU28" s="17">
        <f>IF(Distances[[#This Row],[Colonne80]]=$G28,CT28,Distances[[#This Row],[Colonne80]]+1)</f>
        <v>15</v>
      </c>
      <c r="CV28" s="17">
        <f>IF(Distances[[#This Row],[Colonne81]]=$G28,CU28,Distances[[#This Row],[Colonne81]]+1)</f>
        <v>15</v>
      </c>
      <c r="CW28" s="17">
        <f>IF(Distances[[#This Row],[Colonne82]]=$G28,CV28,Distances[[#This Row],[Colonne82]]+1)</f>
        <v>15</v>
      </c>
      <c r="CX28" s="17">
        <f>IF(Distances[[#This Row],[Colonne83]]=$G28,CW28,Distances[[#This Row],[Colonne83]]+1)</f>
        <v>15</v>
      </c>
      <c r="CY28" s="17">
        <f>IF(Distances[[#This Row],[Colonne84]]=$G28,CX28,Distances[[#This Row],[Colonne84]]+1)</f>
        <v>15</v>
      </c>
      <c r="CZ28" s="17">
        <f>IF(Distances[[#This Row],[Colonne85]]=$G28,CY28,Distances[[#This Row],[Colonne85]]+1)</f>
        <v>15</v>
      </c>
      <c r="DA28" s="17">
        <f>IF(Distances[[#This Row],[Colonne86]]=$G28,CZ28,Distances[[#This Row],[Colonne86]]+1)</f>
        <v>15</v>
      </c>
      <c r="DB28" s="17">
        <f>IF(Distances[[#This Row],[Colonne87]]=$G28,DA28,Distances[[#This Row],[Colonne87]]+1)</f>
        <v>15</v>
      </c>
      <c r="DC28" s="17">
        <f>IF(Distances[[#This Row],[Colonne88]]=$G28,DB28,Distances[[#This Row],[Colonne88]]+1)</f>
        <v>15</v>
      </c>
      <c r="DD28" s="17">
        <f>IF(Distances[[#This Row],[Colonne89]]=$G28,DC28,Distances[[#This Row],[Colonne89]]+1)</f>
        <v>15</v>
      </c>
      <c r="DE28" s="17">
        <f>IF(Distances[[#This Row],[Colonne90]]=$G28,DD28,Distances[[#This Row],[Colonne90]]+1)</f>
        <v>15</v>
      </c>
      <c r="DF28" s="17">
        <f>IF(Distances[[#This Row],[Colonne91]]=$G28,DE28,Distances[[#This Row],[Colonne91]]+1)</f>
        <v>15</v>
      </c>
      <c r="DG28" s="17">
        <f>IF(Distances[[#This Row],[Colonne92]]=$G28,DF28,Distances[[#This Row],[Colonne92]]+1)</f>
        <v>15</v>
      </c>
      <c r="DH28" s="17">
        <f>IF(Distances[[#This Row],[Colonne93]]=$G28,DG28,Distances[[#This Row],[Colonne93]]+1)</f>
        <v>15</v>
      </c>
      <c r="DI28" s="17">
        <f>IF(Distances[[#This Row],[Colonne94]]=$G28,DH28,Distances[[#This Row],[Colonne94]]+1)</f>
        <v>15</v>
      </c>
      <c r="DJ28" s="17">
        <f>IF(Distances[[#This Row],[Colonne95]]=$G28,DI28,Distances[[#This Row],[Colonne95]]+1)</f>
        <v>15</v>
      </c>
      <c r="DK28" s="17">
        <f>IF(Distances[[#This Row],[Colonne96]]=$G28,DJ28,Distances[[#This Row],[Colonne96]]+1)</f>
        <v>15</v>
      </c>
      <c r="DL28" s="17">
        <f>IF(Distances[[#This Row],[Colonne97]]=$G28,DK28,Distances[[#This Row],[Colonne97]]+1)</f>
        <v>15</v>
      </c>
      <c r="DM28" s="17">
        <f>IF(Distances[[#This Row],[Colonne98]]=$G28,DL28,Distances[[#This Row],[Colonne98]]+1)</f>
        <v>15</v>
      </c>
      <c r="DN28" s="17">
        <f>IF(Distances[[#This Row],[Colonne99]]=$G28,DM28,Distances[[#This Row],[Colonne99]]+1)</f>
        <v>15</v>
      </c>
      <c r="DO28" s="17">
        <f>IF(Distances[[#This Row],[Colonne100]]=$G28,DN28,Distances[[#This Row],[Colonne100]]+1)</f>
        <v>15</v>
      </c>
      <c r="DP28" s="17">
        <f>IF(Distances[[#This Row],[Colonne101]]=$G28,DO28,Distances[[#This Row],[Colonne101]]+1)</f>
        <v>15</v>
      </c>
      <c r="DQ28" s="17">
        <f>IF(Distances[[#This Row],[Colonne102]]=$G28,DP28,Distances[[#This Row],[Colonne102]]+1)</f>
        <v>15</v>
      </c>
      <c r="DR28" s="17">
        <f>IF(Distances[[#This Row],[Colonne103]]=$G28,DQ28,Distances[[#This Row],[Colonne103]]+1)</f>
        <v>15</v>
      </c>
      <c r="DS28" s="17">
        <f>IF(Distances[[#This Row],[Colonne104]]=$G28,DR28,Distances[[#This Row],[Colonne104]]+1)</f>
        <v>15</v>
      </c>
      <c r="DT28" s="17">
        <f>IF(Distances[[#This Row],[Colonne105]]=$G28,DS28,Distances[[#This Row],[Colonne105]]+1)</f>
        <v>15</v>
      </c>
      <c r="DU28" s="17">
        <f>IF(Distances[[#This Row],[Colonne106]]=$G28,DT28,Distances[[#This Row],[Colonne106]]+1)</f>
        <v>15</v>
      </c>
      <c r="DV28" s="17">
        <f>IF(Distances[[#This Row],[Colonne107]]=$G28,DU28,Distances[[#This Row],[Colonne107]]+1)</f>
        <v>15</v>
      </c>
      <c r="DW28" s="17">
        <f>IF(Distances[[#This Row],[Colonne108]]=$G28,DV28,Distances[[#This Row],[Colonne108]]+1)</f>
        <v>15</v>
      </c>
      <c r="DX28" s="17">
        <f>IF(Distances[[#This Row],[Colonne109]]=$G28,DW28,Distances[[#This Row],[Colonne109]]+1)</f>
        <v>15</v>
      </c>
      <c r="DY28" s="17">
        <f>IF(Distances[[#This Row],[Colonne110]]=$G28,DX28,Distances[[#This Row],[Colonne110]]+1)</f>
        <v>15</v>
      </c>
      <c r="DZ28" s="17">
        <f>IF(Distances[[#This Row],[Colonne111]]=$G28,DY28,Distances[[#This Row],[Colonne111]]+1)</f>
        <v>15</v>
      </c>
      <c r="EA28" s="17">
        <f>IF(Distances[[#This Row],[Colonne112]]=$G28,DZ28,Distances[[#This Row],[Colonne112]]+1)</f>
        <v>15</v>
      </c>
      <c r="EB28" s="17">
        <f>IF(Distances[[#This Row],[Colonne113]]=$G28,EA28,Distances[[#This Row],[Colonne113]]+1)</f>
        <v>15</v>
      </c>
      <c r="EC28" s="17">
        <f>IF(Distances[[#This Row],[Colonne114]]=$G28,EB28,Distances[[#This Row],[Colonne114]]+1)</f>
        <v>15</v>
      </c>
      <c r="ED28" s="17">
        <f>IF(Distances[[#This Row],[Colonne115]]=$G28,EC28,Distances[[#This Row],[Colonne115]]+1)</f>
        <v>15</v>
      </c>
      <c r="EE28" s="17">
        <f>IF(Distances[[#This Row],[Colonne116]]=$G28,ED28,Distances[[#This Row],[Colonne116]]+1)</f>
        <v>15</v>
      </c>
      <c r="EF28" s="17">
        <f>IF(Distances[[#This Row],[Colonne117]]=$G28,EE28,Distances[[#This Row],[Colonne117]]+1)</f>
        <v>15</v>
      </c>
      <c r="EG28" s="17">
        <f>IF(Distances[[#This Row],[Colonne118]]=$G28,EF28,Distances[[#This Row],[Colonne118]]+1)</f>
        <v>15</v>
      </c>
      <c r="EH28" s="17">
        <f>IF(Distances[[#This Row],[Colonne119]]=$G28,EG28,Distances[[#This Row],[Colonne119]]+1)</f>
        <v>15</v>
      </c>
      <c r="EI28" s="17">
        <f>IF(Distances[[#This Row],[Colonne120]]=$G28,EH28,Distances[[#This Row],[Colonne120]]+1)</f>
        <v>15</v>
      </c>
      <c r="EJ28" s="17">
        <f>IF(Distances[[#This Row],[Colonne121]]=$G28,EI28,Distances[[#This Row],[Colonne121]]+1)</f>
        <v>15</v>
      </c>
      <c r="EK28" s="17">
        <f>IF(Distances[[#This Row],[Colonne122]]=$G28,EJ28,Distances[[#This Row],[Colonne122]]+1)</f>
        <v>15</v>
      </c>
      <c r="EL28" s="17">
        <f>IF(Distances[[#This Row],[Colonne123]]=$G28,EK28,Distances[[#This Row],[Colonne123]]+1)</f>
        <v>15</v>
      </c>
      <c r="EM28" s="17">
        <f>IF(Distances[[#This Row],[Colonne124]]=$G28,EL28,Distances[[#This Row],[Colonne124]]+1)</f>
        <v>15</v>
      </c>
      <c r="EN28" s="17">
        <f>IF(Distances[[#This Row],[Colonne125]]=$G28,EM28,Distances[[#This Row],[Colonne125]]+1)</f>
        <v>15</v>
      </c>
      <c r="EO28" s="17">
        <f>IF(Distances[[#This Row],[Colonne126]]=$G28,EN28,Distances[[#This Row],[Colonne126]]+1)</f>
        <v>15</v>
      </c>
      <c r="EP28" s="17">
        <f>IF(Distances[[#This Row],[Colonne127]]=$G28,EO28,Distances[[#This Row],[Colonne127]]+1)</f>
        <v>15</v>
      </c>
      <c r="EQ28" s="17">
        <f>IF(Distances[[#This Row],[Colonne128]]=$G28,EP28,Distances[[#This Row],[Colonne128]]+1)</f>
        <v>15</v>
      </c>
      <c r="ER28" s="17">
        <f>IF(Distances[[#This Row],[Colonne129]]=$G28,EQ28,Distances[[#This Row],[Colonne129]]+1)</f>
        <v>15</v>
      </c>
      <c r="ES28" s="17">
        <f>IF(Distances[[#This Row],[Colonne130]]=$G28,ER28,Distances[[#This Row],[Colonne130]]+1)</f>
        <v>15</v>
      </c>
      <c r="ET28" s="17">
        <f>IF(Distances[[#This Row],[Colonne131]]=$G28,ES28,Distances[[#This Row],[Colonne131]]+1)</f>
        <v>15</v>
      </c>
      <c r="EU28" s="17">
        <f>IF(Distances[[#This Row],[Colonne132]]=$G28,ET28,Distances[[#This Row],[Colonne132]]+1)</f>
        <v>15</v>
      </c>
      <c r="EV28" s="17">
        <f>IF(Distances[[#This Row],[Colonne133]]=$G28,EU28,Distances[[#This Row],[Colonne133]]+1)</f>
        <v>15</v>
      </c>
      <c r="EW28" s="17">
        <f>IF(Distances[[#This Row],[Colonne134]]=$G28,EV28,Distances[[#This Row],[Colonne134]]+1)</f>
        <v>15</v>
      </c>
      <c r="EX28" s="17">
        <f>IF(Distances[[#This Row],[Colonne135]]=$G28,EW28,Distances[[#This Row],[Colonne135]]+1)</f>
        <v>15</v>
      </c>
      <c r="EY28" s="17">
        <f>IF(Distances[[#This Row],[Colonne136]]=$G28,EX28,Distances[[#This Row],[Colonne136]]+1)</f>
        <v>15</v>
      </c>
      <c r="EZ28" s="17">
        <f>IF(Distances[[#This Row],[Colonne137]]=$G28,EY28,Distances[[#This Row],[Colonne137]]+1)</f>
        <v>15</v>
      </c>
      <c r="FA28" s="17">
        <f>IF(Distances[[#This Row],[Colonne138]]=$G28,EZ28,Distances[[#This Row],[Colonne138]]+1)</f>
        <v>15</v>
      </c>
      <c r="FB28" s="17">
        <f>IF(Distances[[#This Row],[Colonne139]]=$G28,FA28,Distances[[#This Row],[Colonne139]]+1)</f>
        <v>15</v>
      </c>
      <c r="FC28" s="17">
        <f>IF(Distances[[#This Row],[Colonne140]]=$G28,FB28,Distances[[#This Row],[Colonne140]]+1)</f>
        <v>15</v>
      </c>
      <c r="FD28" s="17">
        <f>IF(Distances[[#This Row],[Colonne141]]=$G28,FC28,Distances[[#This Row],[Colonne141]]+1)</f>
        <v>15</v>
      </c>
      <c r="FE28" s="17">
        <f>IF(Distances[[#This Row],[Colonne142]]=$G28,FD28,Distances[[#This Row],[Colonne142]]+1)</f>
        <v>15</v>
      </c>
      <c r="FF28" s="17">
        <f>IF(Distances[[#This Row],[Colonne143]]=$G28,FE28,Distances[[#This Row],[Colonne143]]+1)</f>
        <v>15</v>
      </c>
      <c r="FG28" s="17">
        <f>IF(Distances[[#This Row],[Colonne144]]=$G28,FF28,Distances[[#This Row],[Colonne144]]+1)</f>
        <v>15</v>
      </c>
      <c r="FH28" s="17">
        <f>IF(Distances[[#This Row],[Colonne145]]=$G28,FG28,Distances[[#This Row],[Colonne145]]+1)</f>
        <v>15</v>
      </c>
      <c r="FI28" s="17">
        <f>IF(Distances[[#This Row],[Colonne146]]=$G28,FH28,Distances[[#This Row],[Colonne146]]+1)</f>
        <v>15</v>
      </c>
      <c r="FJ28" s="17">
        <f>IF(Distances[[#This Row],[Colonne147]]=$G28,FI28,Distances[[#This Row],[Colonne147]]+1)</f>
        <v>15</v>
      </c>
      <c r="FK28" s="17">
        <f>IF(Distances[[#This Row],[Colonne148]]=$G28,FJ28,Distances[[#This Row],[Colonne148]]+1)</f>
        <v>15</v>
      </c>
      <c r="FL28" s="17">
        <f>IF(Distances[[#This Row],[Colonne149]]=$G28,FK28,Distances[[#This Row],[Colonne149]]+1)</f>
        <v>15</v>
      </c>
      <c r="FM28" s="17">
        <f>IF(Distances[[#This Row],[Colonne150]]=$G28,FL28,Distances[[#This Row],[Colonne150]]+1)</f>
        <v>15</v>
      </c>
      <c r="FN28" s="17">
        <f>IF(Distances[[#This Row],[Colonne151]]=$G28,FM28,Distances[[#This Row],[Colonne151]]+1)</f>
        <v>15</v>
      </c>
      <c r="FO28" s="17">
        <f>IF(Distances[[#This Row],[Colonne152]]=$G28,FN28,Distances[[#This Row],[Colonne152]]+1)</f>
        <v>15</v>
      </c>
      <c r="FP28" s="17">
        <f>IF(Distances[[#This Row],[Colonne153]]=$G28,FO28,Distances[[#This Row],[Colonne153]]+1)</f>
        <v>15</v>
      </c>
      <c r="FQ28" s="17">
        <f>IF(Distances[[#This Row],[Colonne154]]=$G28,FP28,Distances[[#This Row],[Colonne154]]+1)</f>
        <v>15</v>
      </c>
      <c r="FR28" s="17">
        <f>IF(Distances[[#This Row],[Colonne155]]=$G28,FQ28,Distances[[#This Row],[Colonne155]]+1)</f>
        <v>15</v>
      </c>
      <c r="FS28" s="17">
        <f>IF(Distances[[#This Row],[Colonne156]]=$G28,FR28,Distances[[#This Row],[Colonne156]]+1)</f>
        <v>15</v>
      </c>
      <c r="FT28" s="17">
        <f>IF(Distances[[#This Row],[Colonne157]]=$G28,FS28,Distances[[#This Row],[Colonne157]]+1)</f>
        <v>15</v>
      </c>
      <c r="FU28" s="17">
        <f>IF(Distances[[#This Row],[Colonne158]]=$G28,FT28,Distances[[#This Row],[Colonne158]]+1)</f>
        <v>15</v>
      </c>
      <c r="FV28" s="17">
        <f>IF(Distances[[#This Row],[Colonne159]]=$G28,FU28,Distances[[#This Row],[Colonne159]]+1)</f>
        <v>15</v>
      </c>
      <c r="FW28" s="17">
        <f>IF(Distances[[#This Row],[Colonne160]]=$G28,FV28,Distances[[#This Row],[Colonne160]]+1)</f>
        <v>15</v>
      </c>
      <c r="FX28" s="17">
        <f>IF(Distances[[#This Row],[Colonne161]]=$G28,FW28,Distances[[#This Row],[Colonne161]]+1)</f>
        <v>15</v>
      </c>
      <c r="FY28" s="17">
        <f>IF(Distances[[#This Row],[Colonne162]]=$G28,FX28,Distances[[#This Row],[Colonne162]]+1)</f>
        <v>15</v>
      </c>
      <c r="FZ28" s="17">
        <f>IF(Distances[[#This Row],[Colonne163]]=$G28,FY28,Distances[[#This Row],[Colonne163]]+1)</f>
        <v>15</v>
      </c>
      <c r="GA28" s="17">
        <f>IF(Distances[[#This Row],[Colonne164]]=$G28,FZ28,Distances[[#This Row],[Colonne164]]+1)</f>
        <v>15</v>
      </c>
      <c r="GB28" s="17">
        <f>IF(Distances[[#This Row],[Colonne165]]=$G28,GA28,Distances[[#This Row],[Colonne165]]+1)</f>
        <v>15</v>
      </c>
      <c r="GC28" s="17">
        <f>IF(Distances[[#This Row],[Colonne166]]=$G28,GB28,Distances[[#This Row],[Colonne166]]+1)</f>
        <v>15</v>
      </c>
      <c r="GD28" s="17">
        <f>IF(Distances[[#This Row],[Colonne167]]=$G28,GC28,Distances[[#This Row],[Colonne167]]+1)</f>
        <v>15</v>
      </c>
      <c r="GE28" s="17">
        <f>IF(Distances[[#This Row],[Colonne168]]=$G28,GD28,Distances[[#This Row],[Colonne168]]+1)</f>
        <v>15</v>
      </c>
      <c r="GF28" s="17">
        <f>IF(Distances[[#This Row],[Colonne169]]=$G28,GE28,Distances[[#This Row],[Colonne169]]+1)</f>
        <v>15</v>
      </c>
      <c r="GG28" s="17">
        <f>IF(Distances[[#This Row],[Colonne170]]=$G28,GF28,Distances[[#This Row],[Colonne170]]+1)</f>
        <v>15</v>
      </c>
      <c r="GH28" s="17">
        <f>IF(Distances[[#This Row],[Colonne171]]=$G28,GG28,Distances[[#This Row],[Colonne171]]+1)</f>
        <v>15</v>
      </c>
      <c r="GI28" s="17">
        <f>IF(Distances[[#This Row],[Colonne172]]=$G28,GH28,Distances[[#This Row],[Colonne172]]+1)</f>
        <v>15</v>
      </c>
      <c r="GJ28" s="17">
        <f>IF(Distances[[#This Row],[Colonne173]]=$G28,GI28,Distances[[#This Row],[Colonne173]]+1)</f>
        <v>15</v>
      </c>
      <c r="GK28" s="17">
        <f>IF(Distances[[#This Row],[Colonne174]]=$G28,GJ28,Distances[[#This Row],[Colonne174]]+1)</f>
        <v>15</v>
      </c>
      <c r="GL28" s="17">
        <f>IF(Distances[[#This Row],[Colonne175]]=$G28,GK28,Distances[[#This Row],[Colonne175]]+1)</f>
        <v>15</v>
      </c>
      <c r="GM28" s="17">
        <f>IF(Distances[[#This Row],[Colonne176]]=$G28,GL28,Distances[[#This Row],[Colonne176]]+1)</f>
        <v>15</v>
      </c>
      <c r="GN28" s="17">
        <f>IF(Distances[[#This Row],[Colonne177]]=$G28,GM28,Distances[[#This Row],[Colonne177]]+1)</f>
        <v>15</v>
      </c>
      <c r="GO28" s="17">
        <f>IF(Distances[[#This Row],[Colonne178]]=$G28,GN28,Distances[[#This Row],[Colonne178]]+1)</f>
        <v>15</v>
      </c>
      <c r="GP28" s="17">
        <f>IF(Distances[[#This Row],[Colonne179]]=$G28,GO28,Distances[[#This Row],[Colonne179]]+1)</f>
        <v>15</v>
      </c>
      <c r="GQ28" s="17">
        <f>IF(Distances[[#This Row],[Colonne180]]=$G28,GP28,Distances[[#This Row],[Colonne180]]+1)</f>
        <v>15</v>
      </c>
      <c r="GR28" s="17">
        <f>IF(Distances[[#This Row],[Colonne181]]=$G28,GQ28,Distances[[#This Row],[Colonne181]]+1)</f>
        <v>15</v>
      </c>
      <c r="GS28" s="17">
        <f>IF(Distances[[#This Row],[Colonne182]]=$G28,GR28,Distances[[#This Row],[Colonne182]]+1)</f>
        <v>15</v>
      </c>
      <c r="GT28" s="17">
        <f>IF(Distances[[#This Row],[Colonne183]]=$G28,GS28,Distances[[#This Row],[Colonne183]]+1)</f>
        <v>15</v>
      </c>
      <c r="GU28" s="17">
        <f>IF(Distances[[#This Row],[Colonne184]]=$G28,GT28,Distances[[#This Row],[Colonne184]]+1)</f>
        <v>15</v>
      </c>
      <c r="GV28" s="17">
        <f>IF(Distances[[#This Row],[Colonne185]]=$G28,GU28,Distances[[#This Row],[Colonne185]]+1)</f>
        <v>15</v>
      </c>
      <c r="GW28" s="17">
        <f>IF(Distances[[#This Row],[Colonne186]]=$G28,GV28,Distances[[#This Row],[Colonne186]]+1)</f>
        <v>15</v>
      </c>
      <c r="GX28" s="17">
        <f>IF(Distances[[#This Row],[Colonne187]]=$G28,GW28,Distances[[#This Row],[Colonne187]]+1)</f>
        <v>15</v>
      </c>
      <c r="GY28" s="17">
        <f>IF(Distances[[#This Row],[Colonne188]]=$G28,GX28,Distances[[#This Row],[Colonne188]]+1)</f>
        <v>15</v>
      </c>
      <c r="GZ28" s="17">
        <f>IF(Distances[[#This Row],[Colonne189]]=$G28,GY28,Distances[[#This Row],[Colonne189]]+1)</f>
        <v>15</v>
      </c>
      <c r="HA28" s="17">
        <f>IF(Distances[[#This Row],[Colonne190]]=$G28,GZ28,Distances[[#This Row],[Colonne190]]+1)</f>
        <v>15</v>
      </c>
      <c r="HB28" s="17">
        <f>IF(Distances[[#This Row],[Colonne191]]=$G28,HA28,Distances[[#This Row],[Colonne191]]+1)</f>
        <v>15</v>
      </c>
      <c r="HC28" s="17">
        <f>IF(Distances[[#This Row],[Colonne192]]=$G28,HB28,Distances[[#This Row],[Colonne192]]+1)</f>
        <v>15</v>
      </c>
      <c r="HD28" s="17">
        <f>IF(Distances[[#This Row],[Colonne193]]=$G28,HC28,Distances[[#This Row],[Colonne193]]+1)</f>
        <v>15</v>
      </c>
      <c r="HE28" s="17">
        <f>IF(Distances[[#This Row],[Colonne194]]=$G28,HD28,Distances[[#This Row],[Colonne194]]+1)</f>
        <v>15</v>
      </c>
      <c r="HF28" s="17">
        <f>IF(Distances[[#This Row],[Colonne195]]=$G28,HE28,Distances[[#This Row],[Colonne195]]+1)</f>
        <v>15</v>
      </c>
      <c r="HG28" s="17">
        <f>IF(Distances[[#This Row],[Colonne196]]=$G28,HF28,Distances[[#This Row],[Colonne196]]+1)</f>
        <v>15</v>
      </c>
      <c r="HH28" s="17">
        <f>IF(Distances[[#This Row],[Colonne197]]=$G28,HG28,Distances[[#This Row],[Colonne197]]+1)</f>
        <v>15</v>
      </c>
      <c r="HI28" s="17">
        <f>IF(Distances[[#This Row],[Colonne198]]=$G28,HH28,Distances[[#This Row],[Colonne198]]+1)</f>
        <v>15</v>
      </c>
      <c r="HJ28" s="17">
        <f>IF(Distances[[#This Row],[Colonne199]]=$G28,HI28,Distances[[#This Row],[Colonne199]]+1)</f>
        <v>15</v>
      </c>
      <c r="HK28" s="17">
        <f>IF(Distances[[#This Row],[Colonne200]]=$G28,HJ28,Distances[[#This Row],[Colonne200]]+1)</f>
        <v>15</v>
      </c>
      <c r="HL28" s="17">
        <f>IF(Distances[[#This Row],[Colonne201]]=$G28,HK28,Distances[[#This Row],[Colonne201]]+1)</f>
        <v>15</v>
      </c>
      <c r="HM28" s="17">
        <f>IF(Distances[[#This Row],[Colonne202]]=$G28,HL28,Distances[[#This Row],[Colonne202]]+1)</f>
        <v>15</v>
      </c>
      <c r="HN28" s="17">
        <f>IF(Distances[[#This Row],[Colonne203]]=$G28,HM28,Distances[[#This Row],[Colonne203]]+1)</f>
        <v>15</v>
      </c>
      <c r="HO28" s="17">
        <f>IF(Distances[[#This Row],[Colonne204]]=$G28,HN28,Distances[[#This Row],[Colonne204]]+1)</f>
        <v>15</v>
      </c>
      <c r="HP28" s="17">
        <f>IF(Distances[[#This Row],[Colonne205]]=$G28,HO28,Distances[[#This Row],[Colonne205]]+1)</f>
        <v>15</v>
      </c>
      <c r="HQ28" s="17">
        <f>IF(Distances[[#This Row],[Colonne206]]=$G28,HP28,Distances[[#This Row],[Colonne206]]+1)</f>
        <v>15</v>
      </c>
      <c r="HR28" s="17">
        <f>IF(Distances[[#This Row],[Colonne207]]=$G28,HQ28,Distances[[#This Row],[Colonne207]]+1)</f>
        <v>15</v>
      </c>
      <c r="HS28" s="17">
        <f>IF(Distances[[#This Row],[Colonne208]]=$G28,HR28,Distances[[#This Row],[Colonne208]]+1)</f>
        <v>15</v>
      </c>
      <c r="HT28" s="17">
        <f>IF(Distances[[#This Row],[Colonne209]]=$G28,HS28,Distances[[#This Row],[Colonne209]]+1)</f>
        <v>15</v>
      </c>
      <c r="HU28" s="17">
        <f>IF(Distances[[#This Row],[Colonne210]]=$G28,HT28,Distances[[#This Row],[Colonne210]]+1)</f>
        <v>15</v>
      </c>
      <c r="HV28" s="17">
        <f>IF(Distances[[#This Row],[Colonne211]]=$G28,HU28,Distances[[#This Row],[Colonne211]]+1)</f>
        <v>15</v>
      </c>
      <c r="HW28" s="17">
        <f>IF(Distances[[#This Row],[Colonne212]]=$G28,HV28,Distances[[#This Row],[Colonne212]]+1)</f>
        <v>15</v>
      </c>
      <c r="HX28" s="17">
        <f>IF(Distances[[#This Row],[Colonne213]]=$G28,HW28,Distances[[#This Row],[Colonne213]]+1)</f>
        <v>15</v>
      </c>
      <c r="HY28" s="17">
        <f>IF(Distances[[#This Row],[Colonne214]]=$G28,HX28,Distances[[#This Row],[Colonne214]]+1)</f>
        <v>15</v>
      </c>
      <c r="HZ28" s="17">
        <f>IF(Distances[[#This Row],[Colonne215]]=$G28,HY28,Distances[[#This Row],[Colonne215]]+1)</f>
        <v>15</v>
      </c>
      <c r="IA28" s="17">
        <f>IF(Distances[[#This Row],[Colonne216]]=$G28,HZ28,Distances[[#This Row],[Colonne216]]+1)</f>
        <v>15</v>
      </c>
      <c r="IB28" s="17">
        <f>IF(Distances[[#This Row],[Colonne217]]=$G28,IA28,Distances[[#This Row],[Colonne217]]+1)</f>
        <v>15</v>
      </c>
      <c r="IC28" s="17">
        <f>IF(Distances[[#This Row],[Colonne218]]=$G28,IB28,Distances[[#This Row],[Colonne218]]+1)</f>
        <v>15</v>
      </c>
      <c r="ID28" s="17">
        <f>IF(Distances[[#This Row],[Colonne219]]=$G28,IC28,Distances[[#This Row],[Colonne219]]+1)</f>
        <v>15</v>
      </c>
      <c r="IE28" s="17">
        <f>IF(Distances[[#This Row],[Colonne220]]=$G28,ID28,Distances[[#This Row],[Colonne220]]+1)</f>
        <v>15</v>
      </c>
      <c r="IF28" s="17">
        <f>IF(Distances[[#This Row],[Colonne221]]=$G28,IE28,Distances[[#This Row],[Colonne221]]+1)</f>
        <v>15</v>
      </c>
      <c r="IG28" s="17">
        <f>IF(Distances[[#This Row],[Colonne222]]=$G28,IF28,Distances[[#This Row],[Colonne222]]+1)</f>
        <v>15</v>
      </c>
      <c r="IH28" s="17">
        <f>IF(Distances[[#This Row],[Colonne223]]=$G28,IG28,Distances[[#This Row],[Colonne223]]+1)</f>
        <v>15</v>
      </c>
      <c r="II28" s="17">
        <f>IF(Distances[[#This Row],[Colonne224]]=$G28,IH28,Distances[[#This Row],[Colonne224]]+1)</f>
        <v>15</v>
      </c>
      <c r="IJ28" s="17">
        <f>IF(Distances[[#This Row],[Colonne225]]=$G28,II28,Distances[[#This Row],[Colonne225]]+1)</f>
        <v>15</v>
      </c>
      <c r="IK28" s="17">
        <f>IF(Distances[[#This Row],[Colonne226]]=$G28,IJ28,Distances[[#This Row],[Colonne226]]+1)</f>
        <v>15</v>
      </c>
      <c r="IL28" s="17">
        <f>IF(Distances[[#This Row],[Colonne227]]=$G28,IK28,Distances[[#This Row],[Colonne227]]+1)</f>
        <v>15</v>
      </c>
      <c r="IM28" s="17">
        <f>IF(Distances[[#This Row],[Colonne228]]=$G28,IL28,Distances[[#This Row],[Colonne228]]+1)</f>
        <v>15</v>
      </c>
      <c r="IN28" s="17">
        <f>IF(Distances[[#This Row],[Colonne229]]=$G28,IM28,Distances[[#This Row],[Colonne229]]+1)</f>
        <v>15</v>
      </c>
      <c r="IO28" s="17">
        <f>IF(Distances[[#This Row],[Colonne230]]=$G28,IN28,Distances[[#This Row],[Colonne230]]+1)</f>
        <v>15</v>
      </c>
      <c r="IP28" s="17">
        <f>IF(Distances[[#This Row],[Colonne231]]=$G28,IO28,Distances[[#This Row],[Colonne231]]+1)</f>
        <v>15</v>
      </c>
      <c r="IQ28" s="17">
        <f>IF(Distances[[#This Row],[Colonne232]]=$G28,IP28,Distances[[#This Row],[Colonne232]]+1)</f>
        <v>15</v>
      </c>
      <c r="IR28" s="17">
        <f>IF(Distances[[#This Row],[Colonne233]]=$G28,IQ28,Distances[[#This Row],[Colonne233]]+1)</f>
        <v>15</v>
      </c>
      <c r="IS28" s="17">
        <f>IF(Distances[[#This Row],[Colonne234]]=$G28,IR28,Distances[[#This Row],[Colonne234]]+1)</f>
        <v>15</v>
      </c>
      <c r="IT28" s="17">
        <f>IF(Distances[[#This Row],[Colonne235]]=$G28,IS28,Distances[[#This Row],[Colonne235]]+1)</f>
        <v>15</v>
      </c>
      <c r="IU28" s="17">
        <f>IF(Distances[[#This Row],[Colonne236]]=$G28,IT28,Distances[[#This Row],[Colonne236]]+1)</f>
        <v>15</v>
      </c>
      <c r="IV28" s="17">
        <f>IF(Distances[[#This Row],[Colonne237]]=$G28,IU28,Distances[[#This Row],[Colonne237]]+1)</f>
        <v>15</v>
      </c>
      <c r="IW28" s="17">
        <f>IF(Distances[[#This Row],[Colonne238]]=$G28,IV28,Distances[[#This Row],[Colonne238]]+1)</f>
        <v>15</v>
      </c>
      <c r="IX28" s="17">
        <f>IF(Distances[[#This Row],[Colonne239]]=$G28,IW28,Distances[[#This Row],[Colonne239]]+1)</f>
        <v>15</v>
      </c>
      <c r="IY28" s="17">
        <f>IF(Distances[[#This Row],[Colonne240]]=$G28,IX28,Distances[[#This Row],[Colonne240]]+1)</f>
        <v>15</v>
      </c>
      <c r="IZ28" s="17">
        <f>IF(Distances[[#This Row],[Colonne241]]=$G28,IY28,Distances[[#This Row],[Colonne241]]+1)</f>
        <v>15</v>
      </c>
      <c r="JA28" s="17">
        <f>IF(Distances[[#This Row],[Colonne242]]=$G28,IZ28,Distances[[#This Row],[Colonne242]]+1)</f>
        <v>15</v>
      </c>
      <c r="JB28" s="17">
        <f>IF(Distances[[#This Row],[Colonne243]]=$G28,JA28,Distances[[#This Row],[Colonne243]]+1)</f>
        <v>15</v>
      </c>
      <c r="JC28" s="17">
        <f>IF(Distances[[#This Row],[Colonne244]]=$G28,JB28,Distances[[#This Row],[Colonne244]]+1)</f>
        <v>15</v>
      </c>
      <c r="JD28" s="17">
        <f>IF(Distances[[#This Row],[Colonne245]]=$G28,JC28,Distances[[#This Row],[Colonne245]]+1)</f>
        <v>15</v>
      </c>
      <c r="JE28" s="17">
        <f>IF(Distances[[#This Row],[Colonne246]]=$G28,JD28,Distances[[#This Row],[Colonne246]]+1)</f>
        <v>15</v>
      </c>
      <c r="JF28" s="17">
        <f>IF(Distances[[#This Row],[Colonne247]]=$G28,JE28,Distances[[#This Row],[Colonne247]]+1)</f>
        <v>15</v>
      </c>
      <c r="JG28" s="17">
        <f>IF(Distances[[#This Row],[Colonne248]]=$G28,JF28,Distances[[#This Row],[Colonne248]]+1)</f>
        <v>15</v>
      </c>
      <c r="JH28" s="17">
        <f>IF(Distances[[#This Row],[Colonne249]]=$G28,JG28,Distances[[#This Row],[Colonne249]]+1)</f>
        <v>15</v>
      </c>
      <c r="JI28" s="17">
        <f>IF(Distances[[#This Row],[Colonne250]]=$G28,JH28,Distances[[#This Row],[Colonne250]]+1)</f>
        <v>15</v>
      </c>
      <c r="JJ28" s="17">
        <f>IF(Distances[[#This Row],[Colonne251]]=$G28,JI28,Distances[[#This Row],[Colonne251]]+1)</f>
        <v>15</v>
      </c>
      <c r="JK28" s="17">
        <f>IF(Distances[[#This Row],[Colonne252]]=$G28,JJ28,Distances[[#This Row],[Colonne252]]+1)</f>
        <v>15</v>
      </c>
      <c r="JL28" s="17">
        <f>IF(Distances[[#This Row],[Colonne253]]=$G28,JK28,Distances[[#This Row],[Colonne253]]+1)</f>
        <v>15</v>
      </c>
      <c r="JM28" s="17">
        <f>IF(Distances[[#This Row],[Colonne254]]=$G28,JL28,Distances[[#This Row],[Colonne254]]+1)</f>
        <v>15</v>
      </c>
      <c r="JN28" s="17">
        <f>IF(Distances[[#This Row],[Colonne255]]=$G28,JM28,Distances[[#This Row],[Colonne255]]+1)</f>
        <v>15</v>
      </c>
      <c r="JO28" s="17">
        <f>IF(Distances[[#This Row],[Colonne256]]=$G28,JN28,Distances[[#This Row],[Colonne256]]+1)</f>
        <v>15</v>
      </c>
      <c r="JP28" s="17">
        <f>IF(Distances[[#This Row],[Colonne257]]=$G28,JO28,Distances[[#This Row],[Colonne257]]+1)</f>
        <v>15</v>
      </c>
      <c r="JQ28" s="17">
        <f>IF(Distances[[#This Row],[Colonne258]]=$G28,JP28,Distances[[#This Row],[Colonne258]]+1)</f>
        <v>15</v>
      </c>
      <c r="JR28" s="17">
        <f>IF(Distances[[#This Row],[Colonne259]]=$G28,JQ28,Distances[[#This Row],[Colonne259]]+1)</f>
        <v>15</v>
      </c>
      <c r="JS28" s="17">
        <f>IF(Distances[[#This Row],[Colonne260]]=$G28,JR28,Distances[[#This Row],[Colonne260]]+1)</f>
        <v>15</v>
      </c>
      <c r="JT28" s="17">
        <f>IF(Distances[[#This Row],[Colonne261]]=$G28,JS28,Distances[[#This Row],[Colonne261]]+1)</f>
        <v>15</v>
      </c>
      <c r="JU28" s="17">
        <f>IF(Distances[[#This Row],[Colonne262]]=$G28,JT28,Distances[[#This Row],[Colonne262]]+1)</f>
        <v>15</v>
      </c>
      <c r="JV28" s="17">
        <f>IF(Distances[[#This Row],[Colonne263]]=$G28,JU28,Distances[[#This Row],[Colonne263]]+1)</f>
        <v>15</v>
      </c>
      <c r="JW28" s="17">
        <f>IF(Distances[[#This Row],[Colonne264]]=$G28,JV28,Distances[[#This Row],[Colonne264]]+1)</f>
        <v>15</v>
      </c>
      <c r="JX28" s="17">
        <f>IF(Distances[[#This Row],[Colonne265]]=$G28,JW28,Distances[[#This Row],[Colonne265]]+1)</f>
        <v>15</v>
      </c>
      <c r="JY28" s="17">
        <f>IF(Distances[[#This Row],[Colonne266]]=$G28,JX28,Distances[[#This Row],[Colonne266]]+1)</f>
        <v>15</v>
      </c>
      <c r="JZ28" s="17">
        <f>IF(Distances[[#This Row],[Colonne267]]=$G28,JY28,Distances[[#This Row],[Colonne267]]+1)</f>
        <v>15</v>
      </c>
      <c r="KA28" s="17">
        <f>IF(Distances[[#This Row],[Colonne268]]=$G28,JZ28,Distances[[#This Row],[Colonne268]]+1)</f>
        <v>15</v>
      </c>
      <c r="KB28" s="17">
        <f>IF(Distances[[#This Row],[Colonne269]]=$G28,KA28,Distances[[#This Row],[Colonne269]]+1)</f>
        <v>15</v>
      </c>
      <c r="KC28" s="17">
        <f>IF(Distances[[#This Row],[Colonne270]]=$G28,KB28,Distances[[#This Row],[Colonne270]]+1)</f>
        <v>15</v>
      </c>
      <c r="KD28" s="17">
        <f>IF(Distances[[#This Row],[Colonne271]]=$G28,KC28,Distances[[#This Row],[Colonne271]]+1)</f>
        <v>15</v>
      </c>
      <c r="KE28" s="17">
        <f>IF(Distances[[#This Row],[Colonne272]]=$G28,KD28,Distances[[#This Row],[Colonne272]]+1)</f>
        <v>15</v>
      </c>
      <c r="KF28" s="17">
        <f>IF(Distances[[#This Row],[Colonne273]]=$G28,KE28,Distances[[#This Row],[Colonne273]]+1)</f>
        <v>15</v>
      </c>
      <c r="KG28" s="17">
        <f>IF(Distances[[#This Row],[Colonne274]]=$G28,KF28,Distances[[#This Row],[Colonne274]]+1)</f>
        <v>15</v>
      </c>
      <c r="KH28" s="17">
        <f>IF(Distances[[#This Row],[Colonne275]]=$G28,KG28,Distances[[#This Row],[Colonne275]]+1)</f>
        <v>15</v>
      </c>
      <c r="KI28" s="17">
        <f>IF(Distances[[#This Row],[Colonne276]]=$G28,KH28,Distances[[#This Row],[Colonne276]]+1)</f>
        <v>15</v>
      </c>
      <c r="KJ28" s="17">
        <f>IF(Distances[[#This Row],[Colonne277]]=$G28,KI28,Distances[[#This Row],[Colonne277]]+1)</f>
        <v>15</v>
      </c>
      <c r="KK28" s="17">
        <f>IF(Distances[[#This Row],[Colonne278]]=$G28,KJ28,Distances[[#This Row],[Colonne278]]+1)</f>
        <v>15</v>
      </c>
      <c r="KL28" s="17">
        <f>IF(Distances[[#This Row],[Colonne279]]=$G28,KK28,Distances[[#This Row],[Colonne279]]+1)</f>
        <v>15</v>
      </c>
      <c r="KM28" s="17">
        <f>IF(Distances[[#This Row],[Colonne280]]=$G28,KL28,Distances[[#This Row],[Colonne280]]+1)</f>
        <v>15</v>
      </c>
      <c r="KN28" s="17">
        <f>IF(Distances[[#This Row],[Colonne281]]=$G28,KM28,Distances[[#This Row],[Colonne281]]+1)</f>
        <v>15</v>
      </c>
      <c r="KO28" s="17">
        <f>IF(Distances[[#This Row],[Colonne282]]=$G28,KN28,Distances[[#This Row],[Colonne282]]+1)</f>
        <v>15</v>
      </c>
      <c r="KP28" s="17">
        <f>IF(Distances[[#This Row],[Colonne283]]=$G28,KO28,Distances[[#This Row],[Colonne283]]+1)</f>
        <v>15</v>
      </c>
      <c r="KQ28" s="17">
        <f>IF(Distances[[#This Row],[Colonne284]]=$G28,KP28,Distances[[#This Row],[Colonne284]]+1)</f>
        <v>15</v>
      </c>
      <c r="KR28" s="17">
        <f>IF(Distances[[#This Row],[Colonne285]]=$G28,KQ28,Distances[[#This Row],[Colonne285]]+1)</f>
        <v>15</v>
      </c>
      <c r="KS28" s="17">
        <f>IF(Distances[[#This Row],[Colonne286]]=$G28,KR28,Distances[[#This Row],[Colonne286]]+1)</f>
        <v>15</v>
      </c>
      <c r="KT28" s="17">
        <f>IF(Distances[[#This Row],[Colonne287]]=$G28,KS28,Distances[[#This Row],[Colonne287]]+1)</f>
        <v>15</v>
      </c>
      <c r="KU28" s="17">
        <f>IF(Distances[[#This Row],[Colonne288]]=$G28,KT28,Distances[[#This Row],[Colonne288]]+1)</f>
        <v>15</v>
      </c>
      <c r="KV28" s="17">
        <f>IF(Distances[[#This Row],[Colonne289]]=$G28,KU28,Distances[[#This Row],[Colonne289]]+1)</f>
        <v>15</v>
      </c>
      <c r="KW28" s="17">
        <f>IF(Distances[[#This Row],[Colonne290]]=$G28,KV28,Distances[[#This Row],[Colonne290]]+1)</f>
        <v>15</v>
      </c>
      <c r="KX28" s="17">
        <f>IF(Distances[[#This Row],[Colonne291]]=$G28,KW28,Distances[[#This Row],[Colonne291]]+1)</f>
        <v>15</v>
      </c>
      <c r="KY28" s="17">
        <f>IF(Distances[[#This Row],[Colonne292]]=$G28,KX28,Distances[[#This Row],[Colonne292]]+1)</f>
        <v>15</v>
      </c>
      <c r="KZ28" s="17">
        <f>IF(Distances[[#This Row],[Colonne293]]=$G28,KY28,Distances[[#This Row],[Colonne293]]+1)</f>
        <v>15</v>
      </c>
      <c r="LA28" s="17">
        <f>IF(Distances[[#This Row],[Colonne294]]=$G28,KZ28,Distances[[#This Row],[Colonne294]]+1)</f>
        <v>15</v>
      </c>
      <c r="LB28" s="17">
        <f>IF(Distances[[#This Row],[Colonne295]]=$G28,LA28,Distances[[#This Row],[Colonne295]]+1)</f>
        <v>15</v>
      </c>
      <c r="LC28" s="17">
        <f>IF(Distances[[#This Row],[Colonne296]]=$G28,LB28,Distances[[#This Row],[Colonne296]]+1)</f>
        <v>15</v>
      </c>
      <c r="LD28" s="17">
        <f>IF(Distances[[#This Row],[Colonne297]]=$G28,LC28,Distances[[#This Row],[Colonne297]]+1)</f>
        <v>15</v>
      </c>
      <c r="LE28" s="17">
        <f>IF(Distances[[#This Row],[Colonne298]]=$G28,LD28,Distances[[#This Row],[Colonne298]]+1)</f>
        <v>15</v>
      </c>
      <c r="LF28" s="17">
        <f>IF(Distances[[#This Row],[Colonne299]]=$G28,LE28,Distances[[#This Row],[Colonne299]]+1)</f>
        <v>15</v>
      </c>
      <c r="LG28" s="17">
        <f>IF(Distances[[#This Row],[Colonne300]]=$G28,LF28,Distances[[#This Row],[Colonne300]]+1)</f>
        <v>15</v>
      </c>
      <c r="LH28" s="17">
        <f>IF(Distances[[#This Row],[Colonne301]]=$G28,LG28,Distances[[#This Row],[Colonne301]]+1)</f>
        <v>15</v>
      </c>
      <c r="LI28" s="17">
        <f>IF(Distances[[#This Row],[Colonne302]]=$G28,LH28,Distances[[#This Row],[Colonne302]]+1)</f>
        <v>15</v>
      </c>
      <c r="LJ28" s="17">
        <f>IF(Distances[[#This Row],[Colonne303]]=$G28,LI28,Distances[[#This Row],[Colonne303]]+1)</f>
        <v>15</v>
      </c>
      <c r="LK28" s="51"/>
      <c r="LL28" s="17">
        <f t="shared" ref="LL28:NW28" si="54">IF(LK28=$H28,LK28,LK28+1)</f>
        <v>1</v>
      </c>
      <c r="LM28" s="17">
        <f t="shared" si="54"/>
        <v>2</v>
      </c>
      <c r="LN28" s="17">
        <f t="shared" si="54"/>
        <v>3</v>
      </c>
      <c r="LO28" s="17">
        <f t="shared" si="54"/>
        <v>4</v>
      </c>
      <c r="LP28" s="17">
        <f t="shared" si="54"/>
        <v>5</v>
      </c>
      <c r="LQ28" s="17">
        <f t="shared" si="54"/>
        <v>6</v>
      </c>
      <c r="LR28" s="17">
        <f t="shared" si="54"/>
        <v>7</v>
      </c>
      <c r="LS28" s="17">
        <f t="shared" si="54"/>
        <v>8</v>
      </c>
      <c r="LT28" s="17">
        <f t="shared" si="54"/>
        <v>9</v>
      </c>
      <c r="LU28" s="17">
        <f t="shared" si="54"/>
        <v>10</v>
      </c>
      <c r="LV28" s="17">
        <f t="shared" si="54"/>
        <v>11</v>
      </c>
      <c r="LW28" s="17">
        <f t="shared" si="54"/>
        <v>12</v>
      </c>
      <c r="LX28" s="17">
        <f t="shared" si="54"/>
        <v>13</v>
      </c>
      <c r="LY28" s="17">
        <f t="shared" si="54"/>
        <v>14</v>
      </c>
      <c r="LZ28" s="17">
        <f t="shared" si="54"/>
        <v>15</v>
      </c>
      <c r="MA28" s="17">
        <f t="shared" si="54"/>
        <v>16</v>
      </c>
      <c r="MB28" s="17">
        <f t="shared" si="54"/>
        <v>17</v>
      </c>
      <c r="MC28" s="17">
        <f t="shared" si="54"/>
        <v>18</v>
      </c>
      <c r="MD28" s="17">
        <f t="shared" si="54"/>
        <v>19</v>
      </c>
      <c r="ME28" s="17">
        <f t="shared" si="54"/>
        <v>20</v>
      </c>
      <c r="MF28" s="17">
        <f t="shared" si="54"/>
        <v>21</v>
      </c>
      <c r="MG28" s="17">
        <f t="shared" si="54"/>
        <v>22</v>
      </c>
      <c r="MH28" s="17">
        <f t="shared" si="54"/>
        <v>23</v>
      </c>
      <c r="MI28" s="17">
        <f t="shared" si="54"/>
        <v>24</v>
      </c>
      <c r="MJ28" s="17">
        <f t="shared" si="54"/>
        <v>25</v>
      </c>
      <c r="MK28" s="17">
        <f t="shared" si="54"/>
        <v>26</v>
      </c>
      <c r="ML28" s="17">
        <f t="shared" si="54"/>
        <v>27</v>
      </c>
      <c r="MM28" s="17">
        <f t="shared" si="54"/>
        <v>28</v>
      </c>
      <c r="MN28" s="17">
        <f t="shared" si="54"/>
        <v>29</v>
      </c>
      <c r="MO28" s="17">
        <f t="shared" si="54"/>
        <v>30</v>
      </c>
      <c r="MP28" s="17">
        <f t="shared" si="54"/>
        <v>30</v>
      </c>
      <c r="MQ28" s="17">
        <f t="shared" si="54"/>
        <v>30</v>
      </c>
      <c r="MR28" s="17">
        <f t="shared" si="54"/>
        <v>30</v>
      </c>
      <c r="MS28" s="17">
        <f t="shared" si="54"/>
        <v>30</v>
      </c>
      <c r="MT28" s="17">
        <f t="shared" si="54"/>
        <v>30</v>
      </c>
      <c r="MU28" s="17">
        <f t="shared" si="54"/>
        <v>30</v>
      </c>
      <c r="MV28" s="17">
        <f t="shared" si="54"/>
        <v>30</v>
      </c>
      <c r="MW28" s="17">
        <f t="shared" si="54"/>
        <v>30</v>
      </c>
      <c r="MX28" s="17">
        <f t="shared" si="54"/>
        <v>30</v>
      </c>
      <c r="MY28" s="17">
        <f t="shared" si="54"/>
        <v>30</v>
      </c>
      <c r="MZ28" s="17">
        <f t="shared" si="54"/>
        <v>30</v>
      </c>
      <c r="NA28" s="17">
        <f t="shared" si="54"/>
        <v>30</v>
      </c>
      <c r="NB28" s="17">
        <f t="shared" si="54"/>
        <v>30</v>
      </c>
      <c r="NC28" s="17">
        <f t="shared" si="54"/>
        <v>30</v>
      </c>
      <c r="ND28" s="17">
        <f t="shared" si="54"/>
        <v>30</v>
      </c>
      <c r="NE28" s="17">
        <f t="shared" si="54"/>
        <v>30</v>
      </c>
      <c r="NF28" s="17">
        <f t="shared" si="54"/>
        <v>30</v>
      </c>
      <c r="NG28" s="17">
        <f t="shared" si="54"/>
        <v>30</v>
      </c>
      <c r="NH28" s="17">
        <f t="shared" si="54"/>
        <v>30</v>
      </c>
      <c r="NI28" s="17">
        <f t="shared" si="54"/>
        <v>30</v>
      </c>
      <c r="NJ28" s="17">
        <f t="shared" si="54"/>
        <v>30</v>
      </c>
      <c r="NK28" s="17">
        <f t="shared" si="54"/>
        <v>30</v>
      </c>
      <c r="NL28" s="17">
        <f t="shared" si="54"/>
        <v>30</v>
      </c>
      <c r="NM28" s="17">
        <f t="shared" si="54"/>
        <v>30</v>
      </c>
      <c r="NN28" s="17">
        <f t="shared" si="54"/>
        <v>30</v>
      </c>
      <c r="NO28" s="17">
        <f t="shared" si="54"/>
        <v>30</v>
      </c>
      <c r="NP28" s="17">
        <f t="shared" si="54"/>
        <v>30</v>
      </c>
      <c r="NQ28" s="17">
        <f t="shared" si="54"/>
        <v>30</v>
      </c>
      <c r="NR28" s="17">
        <f t="shared" si="54"/>
        <v>30</v>
      </c>
      <c r="NS28" s="17">
        <f t="shared" si="54"/>
        <v>30</v>
      </c>
      <c r="NT28" s="17">
        <f t="shared" si="54"/>
        <v>30</v>
      </c>
      <c r="NU28" s="17">
        <f t="shared" si="54"/>
        <v>30</v>
      </c>
      <c r="NV28" s="17">
        <f t="shared" si="54"/>
        <v>30</v>
      </c>
      <c r="NW28" s="17">
        <f t="shared" si="54"/>
        <v>30</v>
      </c>
      <c r="NX28" s="17">
        <f t="shared" ref="NX28:PG28" si="55">IF(NW28=$H28,NW28,NW28+1)</f>
        <v>30</v>
      </c>
      <c r="NY28" s="17">
        <f t="shared" si="55"/>
        <v>30</v>
      </c>
      <c r="NZ28" s="17">
        <f t="shared" si="55"/>
        <v>30</v>
      </c>
      <c r="OA28" s="17">
        <f t="shared" si="55"/>
        <v>30</v>
      </c>
      <c r="OB28" s="17">
        <f t="shared" si="55"/>
        <v>30</v>
      </c>
      <c r="OC28" s="17">
        <f t="shared" si="55"/>
        <v>30</v>
      </c>
      <c r="OD28" s="17">
        <f t="shared" si="55"/>
        <v>30</v>
      </c>
      <c r="OE28" s="17">
        <f t="shared" si="55"/>
        <v>30</v>
      </c>
      <c r="OF28" s="17">
        <f t="shared" si="55"/>
        <v>30</v>
      </c>
      <c r="OG28" s="17">
        <f t="shared" si="55"/>
        <v>30</v>
      </c>
      <c r="OH28" s="17">
        <f t="shared" si="55"/>
        <v>30</v>
      </c>
      <c r="OI28" s="17">
        <f t="shared" si="55"/>
        <v>30</v>
      </c>
      <c r="OJ28" s="17">
        <f t="shared" si="55"/>
        <v>30</v>
      </c>
      <c r="OK28" s="17">
        <f t="shared" si="55"/>
        <v>30</v>
      </c>
      <c r="OL28" s="17">
        <f t="shared" si="55"/>
        <v>30</v>
      </c>
      <c r="OM28" s="17">
        <f t="shared" si="55"/>
        <v>30</v>
      </c>
      <c r="ON28" s="17">
        <f t="shared" si="55"/>
        <v>30</v>
      </c>
      <c r="OO28" s="17">
        <f t="shared" si="55"/>
        <v>30</v>
      </c>
      <c r="OP28" s="17">
        <f t="shared" si="55"/>
        <v>30</v>
      </c>
      <c r="OQ28" s="17">
        <f t="shared" si="55"/>
        <v>30</v>
      </c>
      <c r="OR28" s="17">
        <f t="shared" si="55"/>
        <v>30</v>
      </c>
      <c r="OS28" s="17">
        <f t="shared" si="55"/>
        <v>30</v>
      </c>
      <c r="OT28" s="17">
        <f t="shared" si="55"/>
        <v>30</v>
      </c>
      <c r="OU28" s="17">
        <f t="shared" si="55"/>
        <v>30</v>
      </c>
      <c r="OV28" s="17">
        <f t="shared" si="55"/>
        <v>30</v>
      </c>
      <c r="OW28" s="17">
        <f t="shared" si="55"/>
        <v>30</v>
      </c>
      <c r="OX28" s="17">
        <f t="shared" si="55"/>
        <v>30</v>
      </c>
      <c r="OY28" s="17">
        <f t="shared" si="55"/>
        <v>30</v>
      </c>
      <c r="OZ28" s="17">
        <f t="shared" si="55"/>
        <v>30</v>
      </c>
      <c r="PA28" s="17">
        <f t="shared" si="55"/>
        <v>30</v>
      </c>
      <c r="PB28" s="17">
        <f t="shared" si="55"/>
        <v>30</v>
      </c>
      <c r="PC28" s="17">
        <f t="shared" si="55"/>
        <v>30</v>
      </c>
      <c r="PD28" s="17">
        <f t="shared" si="55"/>
        <v>30</v>
      </c>
      <c r="PE28" s="17">
        <f t="shared" si="55"/>
        <v>30</v>
      </c>
      <c r="PF28" s="17">
        <f t="shared" si="55"/>
        <v>30</v>
      </c>
      <c r="PG28" s="17">
        <f t="shared" si="55"/>
        <v>30</v>
      </c>
    </row>
    <row r="29" spans="1:423" x14ac:dyDescent="0.25">
      <c r="A29" s="8" t="s">
        <v>5454</v>
      </c>
      <c r="B29" s="9" t="s">
        <v>24</v>
      </c>
      <c r="C29" s="9" t="str">
        <f t="shared" si="0"/>
        <v>3N1</v>
      </c>
      <c r="D29" s="1" t="str">
        <f t="shared" si="1"/>
        <v>3 Bandes N1</v>
      </c>
      <c r="E29" s="1" t="s">
        <v>18</v>
      </c>
      <c r="F29" s="9" t="s">
        <v>5452</v>
      </c>
      <c r="G29" s="9">
        <v>35</v>
      </c>
      <c r="H29" s="9">
        <v>50</v>
      </c>
      <c r="I29" s="127">
        <v>3.1</v>
      </c>
      <c r="J29" s="30"/>
      <c r="K29" s="281"/>
      <c r="L29" s="8">
        <v>0.6</v>
      </c>
      <c r="M29" s="9">
        <v>0.77490000000000003</v>
      </c>
      <c r="N29" s="10">
        <v>0.94989999999999997</v>
      </c>
      <c r="O29" s="269">
        <v>1</v>
      </c>
      <c r="P29" s="331">
        <v>2</v>
      </c>
      <c r="Q29" s="335">
        <v>3</v>
      </c>
      <c r="R29" s="128"/>
      <c r="S29" s="9"/>
      <c r="T29" s="10"/>
      <c r="U29" t="s">
        <v>5523</v>
      </c>
      <c r="V29" s="17">
        <v>0</v>
      </c>
      <c r="W29" s="17">
        <f>IF(Distances[[#This Row],[Colonne4]]=$G29,V29,Distances[[#This Row],[Colonne4]]+1)</f>
        <v>1</v>
      </c>
      <c r="X29" s="17">
        <f>IF(Distances[[#This Row],[Colonne5]]=$G29,W29,Distances[[#This Row],[Colonne5]]+1)</f>
        <v>2</v>
      </c>
      <c r="Y29" s="17">
        <f>IF(Distances[[#This Row],[Colonne6]]=$G29,X29,Distances[[#This Row],[Colonne6]]+1)</f>
        <v>3</v>
      </c>
      <c r="Z29" s="17">
        <f>IF(Distances[[#This Row],[Colonne7]]=$G29,Y29,Distances[[#This Row],[Colonne7]]+1)</f>
        <v>4</v>
      </c>
      <c r="AA29" s="17">
        <f>IF(Distances[[#This Row],[Colonne8]]=$G29,Z29,Distances[[#This Row],[Colonne8]]+1)</f>
        <v>5</v>
      </c>
      <c r="AB29" s="17">
        <f>IF(Distances[[#This Row],[Colonne9]]=$G29,AA29,Distances[[#This Row],[Colonne9]]+1)</f>
        <v>6</v>
      </c>
      <c r="AC29" s="17">
        <f>IF(Distances[[#This Row],[Colonne10]]=$G29,AB29,Distances[[#This Row],[Colonne10]]+1)</f>
        <v>7</v>
      </c>
      <c r="AD29" s="17">
        <f>IF(Distances[[#This Row],[Colonne11]]=$G29,AC29,Distances[[#This Row],[Colonne11]]+1)</f>
        <v>8</v>
      </c>
      <c r="AE29" s="17">
        <f>IF(Distances[[#This Row],[Colonne12]]=$G29,AD29,Distances[[#This Row],[Colonne12]]+1)</f>
        <v>9</v>
      </c>
      <c r="AF29" s="17">
        <f>IF(Distances[[#This Row],[Colonne13]]=$G29,AE29,Distances[[#This Row],[Colonne13]]+1)</f>
        <v>10</v>
      </c>
      <c r="AG29" s="17">
        <f>IF(Distances[[#This Row],[Colonne14]]=$G29,AF29,Distances[[#This Row],[Colonne14]]+1)</f>
        <v>11</v>
      </c>
      <c r="AH29" s="17">
        <f>IF(Distances[[#This Row],[Colonne15]]=$G29,AG29,Distances[[#This Row],[Colonne15]]+1)</f>
        <v>12</v>
      </c>
      <c r="AI29" s="17">
        <f>IF(Distances[[#This Row],[Colonne16]]=$G29,AH29,Distances[[#This Row],[Colonne16]]+1)</f>
        <v>13</v>
      </c>
      <c r="AJ29" s="17">
        <f>IF(Distances[[#This Row],[Colonne17]]=$G29,AI29,Distances[[#This Row],[Colonne17]]+1)</f>
        <v>14</v>
      </c>
      <c r="AK29" s="17">
        <f>IF(Distances[[#This Row],[Colonne18]]=$G29,AJ29,Distances[[#This Row],[Colonne18]]+1)</f>
        <v>15</v>
      </c>
      <c r="AL29" s="17">
        <f>IF(Distances[[#This Row],[Colonne19]]=$G29,AK29,Distances[[#This Row],[Colonne19]]+1)</f>
        <v>16</v>
      </c>
      <c r="AM29" s="17">
        <f>IF(Distances[[#This Row],[Colonne20]]=$G29,AL29,Distances[[#This Row],[Colonne20]]+1)</f>
        <v>17</v>
      </c>
      <c r="AN29" s="17">
        <f>IF(Distances[[#This Row],[Colonne21]]=$G29,AM29,Distances[[#This Row],[Colonne21]]+1)</f>
        <v>18</v>
      </c>
      <c r="AO29" s="17">
        <f>IF(Distances[[#This Row],[Colonne22]]=$G29,AN29,Distances[[#This Row],[Colonne22]]+1)</f>
        <v>19</v>
      </c>
      <c r="AP29" s="17">
        <f>IF(Distances[[#This Row],[Colonne23]]=$G29,AO29,Distances[[#This Row],[Colonne23]]+1)</f>
        <v>20</v>
      </c>
      <c r="AQ29" s="17">
        <f>IF(Distances[[#This Row],[Colonne24]]=$G29,AP29,Distances[[#This Row],[Colonne24]]+1)</f>
        <v>21</v>
      </c>
      <c r="AR29" s="17">
        <f>IF(Distances[[#This Row],[Colonne25]]=$G29,AQ29,Distances[[#This Row],[Colonne25]]+1)</f>
        <v>22</v>
      </c>
      <c r="AS29" s="17">
        <f>IF(Distances[[#This Row],[Colonne26]]=$G29,AR29,Distances[[#This Row],[Colonne26]]+1)</f>
        <v>23</v>
      </c>
      <c r="AT29" s="17">
        <f>IF(Distances[[#This Row],[Colonne27]]=$G29,AS29,Distances[[#This Row],[Colonne27]]+1)</f>
        <v>24</v>
      </c>
      <c r="AU29" s="17">
        <f>IF(Distances[[#This Row],[Colonne28]]=$G29,AT29,Distances[[#This Row],[Colonne28]]+1)</f>
        <v>25</v>
      </c>
      <c r="AV29" s="17">
        <f>IF(Distances[[#This Row],[Colonne29]]=$G29,AU29,Distances[[#This Row],[Colonne29]]+1)</f>
        <v>26</v>
      </c>
      <c r="AW29" s="17">
        <f>IF(Distances[[#This Row],[Colonne30]]=$G29,AV29,Distances[[#This Row],[Colonne30]]+1)</f>
        <v>27</v>
      </c>
      <c r="AX29" s="17">
        <f>IF(Distances[[#This Row],[Colonne31]]=$G29,AW29,Distances[[#This Row],[Colonne31]]+1)</f>
        <v>28</v>
      </c>
      <c r="AY29" s="17">
        <f>IF(Distances[[#This Row],[Colonne32]]=$G29,AX29,Distances[[#This Row],[Colonne32]]+1)</f>
        <v>29</v>
      </c>
      <c r="AZ29" s="17">
        <f>IF(Distances[[#This Row],[Colonne33]]=$G29,AY29,Distances[[#This Row],[Colonne33]]+1)</f>
        <v>30</v>
      </c>
      <c r="BA29" s="17">
        <f>IF(Distances[[#This Row],[Colonne34]]=$G29,AZ29,Distances[[#This Row],[Colonne34]]+1)</f>
        <v>31</v>
      </c>
      <c r="BB29" s="17">
        <f>IF(Distances[[#This Row],[Colonne35]]=$G29,BA29,Distances[[#This Row],[Colonne35]]+1)</f>
        <v>32</v>
      </c>
      <c r="BC29" s="17">
        <f>IF(Distances[[#This Row],[Colonne36]]=$G29,BB29,Distances[[#This Row],[Colonne36]]+1)</f>
        <v>33</v>
      </c>
      <c r="BD29" s="17">
        <f>IF(Distances[[#This Row],[Colonne37]]=$G29,BC29,Distances[[#This Row],[Colonne37]]+1)</f>
        <v>34</v>
      </c>
      <c r="BE29" s="17">
        <f>IF(Distances[[#This Row],[Colonne38]]=$G29,BD29,Distances[[#This Row],[Colonne38]]+1)</f>
        <v>35</v>
      </c>
      <c r="BF29" s="17">
        <f>IF(Distances[[#This Row],[Colonne39]]=$G29,BE29,Distances[[#This Row],[Colonne39]]+1)</f>
        <v>35</v>
      </c>
      <c r="BG29" s="17">
        <f>IF(Distances[[#This Row],[Colonne40]]=$G29,BF29,Distances[[#This Row],[Colonne40]]+1)</f>
        <v>35</v>
      </c>
      <c r="BH29" s="17">
        <f>IF(Distances[[#This Row],[Colonne41]]=$G29,BG29,Distances[[#This Row],[Colonne41]]+1)</f>
        <v>35</v>
      </c>
      <c r="BI29" s="17">
        <f>IF(Distances[[#This Row],[Colonne42]]=$G29,BH29,Distances[[#This Row],[Colonne42]]+1)</f>
        <v>35</v>
      </c>
      <c r="BJ29" s="17">
        <f>IF(Distances[[#This Row],[Colonne43]]=$G29,BI29,Distances[[#This Row],[Colonne43]]+1)</f>
        <v>35</v>
      </c>
      <c r="BK29" s="17">
        <f>IF(Distances[[#This Row],[Colonne44]]=$G29,BJ29,Distances[[#This Row],[Colonne44]]+1)</f>
        <v>35</v>
      </c>
      <c r="BL29" s="17">
        <f>IF(Distances[[#This Row],[Colonne45]]=$G29,BK29,Distances[[#This Row],[Colonne45]]+1)</f>
        <v>35</v>
      </c>
      <c r="BM29" s="17">
        <f>IF(Distances[[#This Row],[Colonne46]]=$G29,BL29,Distances[[#This Row],[Colonne46]]+1)</f>
        <v>35</v>
      </c>
      <c r="BN29" s="17">
        <f>IF(Distances[[#This Row],[Colonne47]]=$G29,BM29,Distances[[#This Row],[Colonne47]]+1)</f>
        <v>35</v>
      </c>
      <c r="BO29" s="17">
        <f>IF(Distances[[#This Row],[Colonne48]]=$G29,BN29,Distances[[#This Row],[Colonne48]]+1)</f>
        <v>35</v>
      </c>
      <c r="BP29" s="17">
        <f>IF(Distances[[#This Row],[Colonne49]]=$G29,BO29,Distances[[#This Row],[Colonne49]]+1)</f>
        <v>35</v>
      </c>
      <c r="BQ29" s="17">
        <f>IF(Distances[[#This Row],[Colonne50]]=$G29,BP29,Distances[[#This Row],[Colonne50]]+1)</f>
        <v>35</v>
      </c>
      <c r="BR29" s="17">
        <f>IF(Distances[[#This Row],[Colonne51]]=$G29,BQ29,Distances[[#This Row],[Colonne51]]+1)</f>
        <v>35</v>
      </c>
      <c r="BS29" s="17">
        <f>IF(Distances[[#This Row],[Colonne52]]=$G29,BR29,Distances[[#This Row],[Colonne52]]+1)</f>
        <v>35</v>
      </c>
      <c r="BT29" s="17">
        <f>IF(Distances[[#This Row],[Colonne53]]=$G29,BS29,Distances[[#This Row],[Colonne53]]+1)</f>
        <v>35</v>
      </c>
      <c r="BU29" s="17">
        <f>IF(Distances[[#This Row],[Colonne54]]=$G29,BT29,Distances[[#This Row],[Colonne54]]+1)</f>
        <v>35</v>
      </c>
      <c r="BV29" s="17">
        <f>IF(Distances[[#This Row],[Colonne55]]=$G29,BU29,Distances[[#This Row],[Colonne55]]+1)</f>
        <v>35</v>
      </c>
      <c r="BW29" s="17">
        <f>IF(Distances[[#This Row],[Colonne56]]=$G29,BV29,Distances[[#This Row],[Colonne56]]+1)</f>
        <v>35</v>
      </c>
      <c r="BX29" s="17">
        <f>IF(Distances[[#This Row],[Colonne57]]=$G29,BW29,Distances[[#This Row],[Colonne57]]+1)</f>
        <v>35</v>
      </c>
      <c r="BY29" s="17">
        <f>IF(Distances[[#This Row],[Colonne58]]=$G29,BX29,Distances[[#This Row],[Colonne58]]+1)</f>
        <v>35</v>
      </c>
      <c r="BZ29" s="17">
        <f>IF(Distances[[#This Row],[Colonne59]]=$G29,BY29,Distances[[#This Row],[Colonne59]]+1)</f>
        <v>35</v>
      </c>
      <c r="CA29" s="17">
        <f>IF(Distances[[#This Row],[Colonne60]]=$G29,BZ29,Distances[[#This Row],[Colonne60]]+1)</f>
        <v>35</v>
      </c>
      <c r="CB29" s="17">
        <f>IF(Distances[[#This Row],[Colonne61]]=$G29,CA29,Distances[[#This Row],[Colonne61]]+1)</f>
        <v>35</v>
      </c>
      <c r="CC29" s="17">
        <f>IF(Distances[[#This Row],[Colonne62]]=$G29,CB29,Distances[[#This Row],[Colonne62]]+1)</f>
        <v>35</v>
      </c>
      <c r="CD29" s="17">
        <f>IF(Distances[[#This Row],[Colonne63]]=$G29,CC29,Distances[[#This Row],[Colonne63]]+1)</f>
        <v>35</v>
      </c>
      <c r="CE29" s="17">
        <f>IF(Distances[[#This Row],[Colonne64]]=$G29,CD29,Distances[[#This Row],[Colonne64]]+1)</f>
        <v>35</v>
      </c>
      <c r="CF29" s="17">
        <f>IF(Distances[[#This Row],[Colonne65]]=$G29,CE29,Distances[[#This Row],[Colonne65]]+1)</f>
        <v>35</v>
      </c>
      <c r="CG29" s="17">
        <f>IF(Distances[[#This Row],[Colonne66]]=$G29,CF29,Distances[[#This Row],[Colonne66]]+1)</f>
        <v>35</v>
      </c>
      <c r="CH29" s="17">
        <f>IF(Distances[[#This Row],[Colonne67]]=$G29,CG29,Distances[[#This Row],[Colonne67]]+1)</f>
        <v>35</v>
      </c>
      <c r="CI29" s="17">
        <f>IF(Distances[[#This Row],[Colonne68]]=$G29,CH29,Distances[[#This Row],[Colonne68]]+1)</f>
        <v>35</v>
      </c>
      <c r="CJ29" s="17">
        <f>IF(Distances[[#This Row],[Colonne69]]=$G29,CI29,Distances[[#This Row],[Colonne69]]+1)</f>
        <v>35</v>
      </c>
      <c r="CK29" s="17">
        <f>IF(Distances[[#This Row],[Colonne70]]=$G29,CJ29,Distances[[#This Row],[Colonne70]]+1)</f>
        <v>35</v>
      </c>
      <c r="CL29" s="17">
        <f>IF(Distances[[#This Row],[Colonne71]]=$G29,CK29,Distances[[#This Row],[Colonne71]]+1)</f>
        <v>35</v>
      </c>
      <c r="CM29" s="17">
        <f>IF(Distances[[#This Row],[Colonne72]]=$G29,CL29,Distances[[#This Row],[Colonne72]]+1)</f>
        <v>35</v>
      </c>
      <c r="CN29" s="17">
        <f>IF(Distances[[#This Row],[Colonne73]]=$G29,CM29,Distances[[#This Row],[Colonne73]]+1)</f>
        <v>35</v>
      </c>
      <c r="CO29" s="17">
        <f>IF(Distances[[#This Row],[Colonne74]]=$G29,CN29,Distances[[#This Row],[Colonne74]]+1)</f>
        <v>35</v>
      </c>
      <c r="CP29" s="17">
        <f>IF(Distances[[#This Row],[Colonne75]]=$G29,CO29,Distances[[#This Row],[Colonne75]]+1)</f>
        <v>35</v>
      </c>
      <c r="CQ29" s="17">
        <f>IF(Distances[[#This Row],[Colonne76]]=$G29,CP29,Distances[[#This Row],[Colonne76]]+1)</f>
        <v>35</v>
      </c>
      <c r="CR29" s="17">
        <f>IF(Distances[[#This Row],[Colonne77]]=$G29,CQ29,Distances[[#This Row],[Colonne77]]+1)</f>
        <v>35</v>
      </c>
      <c r="CS29" s="17">
        <f>IF(Distances[[#This Row],[Colonne78]]=$G29,CR29,Distances[[#This Row],[Colonne78]]+1)</f>
        <v>35</v>
      </c>
      <c r="CT29" s="17">
        <f>IF(Distances[[#This Row],[Colonne79]]=$G29,CS29,Distances[[#This Row],[Colonne79]]+1)</f>
        <v>35</v>
      </c>
      <c r="CU29" s="17">
        <f>IF(Distances[[#This Row],[Colonne80]]=$G29,CT29,Distances[[#This Row],[Colonne80]]+1)</f>
        <v>35</v>
      </c>
      <c r="CV29" s="17">
        <f>IF(Distances[[#This Row],[Colonne81]]=$G29,CU29,Distances[[#This Row],[Colonne81]]+1)</f>
        <v>35</v>
      </c>
      <c r="CW29" s="17">
        <f>IF(Distances[[#This Row],[Colonne82]]=$G29,CV29,Distances[[#This Row],[Colonne82]]+1)</f>
        <v>35</v>
      </c>
      <c r="CX29" s="17">
        <f>IF(Distances[[#This Row],[Colonne83]]=$G29,CW29,Distances[[#This Row],[Colonne83]]+1)</f>
        <v>35</v>
      </c>
      <c r="CY29" s="17">
        <f>IF(Distances[[#This Row],[Colonne84]]=$G29,CX29,Distances[[#This Row],[Colonne84]]+1)</f>
        <v>35</v>
      </c>
      <c r="CZ29" s="17">
        <f>IF(Distances[[#This Row],[Colonne85]]=$G29,CY29,Distances[[#This Row],[Colonne85]]+1)</f>
        <v>35</v>
      </c>
      <c r="DA29" s="17">
        <f>IF(Distances[[#This Row],[Colonne86]]=$G29,CZ29,Distances[[#This Row],[Colonne86]]+1)</f>
        <v>35</v>
      </c>
      <c r="DB29" s="17">
        <f>IF(Distances[[#This Row],[Colonne87]]=$G29,DA29,Distances[[#This Row],[Colonne87]]+1)</f>
        <v>35</v>
      </c>
      <c r="DC29" s="17">
        <f>IF(Distances[[#This Row],[Colonne88]]=$G29,DB29,Distances[[#This Row],[Colonne88]]+1)</f>
        <v>35</v>
      </c>
      <c r="DD29" s="17">
        <f>IF(Distances[[#This Row],[Colonne89]]=$G29,DC29,Distances[[#This Row],[Colonne89]]+1)</f>
        <v>35</v>
      </c>
      <c r="DE29" s="17">
        <f>IF(Distances[[#This Row],[Colonne90]]=$G29,DD29,Distances[[#This Row],[Colonne90]]+1)</f>
        <v>35</v>
      </c>
      <c r="DF29" s="17">
        <f>IF(Distances[[#This Row],[Colonne91]]=$G29,DE29,Distances[[#This Row],[Colonne91]]+1)</f>
        <v>35</v>
      </c>
      <c r="DG29" s="17">
        <f>IF(Distances[[#This Row],[Colonne92]]=$G29,DF29,Distances[[#This Row],[Colonne92]]+1)</f>
        <v>35</v>
      </c>
      <c r="DH29" s="17">
        <f>IF(Distances[[#This Row],[Colonne93]]=$G29,DG29,Distances[[#This Row],[Colonne93]]+1)</f>
        <v>35</v>
      </c>
      <c r="DI29" s="17">
        <f>IF(Distances[[#This Row],[Colonne94]]=$G29,DH29,Distances[[#This Row],[Colonne94]]+1)</f>
        <v>35</v>
      </c>
      <c r="DJ29" s="17">
        <f>IF(Distances[[#This Row],[Colonne95]]=$G29,DI29,Distances[[#This Row],[Colonne95]]+1)</f>
        <v>35</v>
      </c>
      <c r="DK29" s="17">
        <f>IF(Distances[[#This Row],[Colonne96]]=$G29,DJ29,Distances[[#This Row],[Colonne96]]+1)</f>
        <v>35</v>
      </c>
      <c r="DL29" s="17">
        <f>IF(Distances[[#This Row],[Colonne97]]=$G29,DK29,Distances[[#This Row],[Colonne97]]+1)</f>
        <v>35</v>
      </c>
      <c r="DM29" s="17">
        <f>IF(Distances[[#This Row],[Colonne98]]=$G29,DL29,Distances[[#This Row],[Colonne98]]+1)</f>
        <v>35</v>
      </c>
      <c r="DN29" s="17">
        <f>IF(Distances[[#This Row],[Colonne99]]=$G29,DM29,Distances[[#This Row],[Colonne99]]+1)</f>
        <v>35</v>
      </c>
      <c r="DO29" s="17">
        <f>IF(Distances[[#This Row],[Colonne100]]=$G29,DN29,Distances[[#This Row],[Colonne100]]+1)</f>
        <v>35</v>
      </c>
      <c r="DP29" s="17">
        <f>IF(Distances[[#This Row],[Colonne101]]=$G29,DO29,Distances[[#This Row],[Colonne101]]+1)</f>
        <v>35</v>
      </c>
      <c r="DQ29" s="17">
        <f>IF(Distances[[#This Row],[Colonne102]]=$G29,DP29,Distances[[#This Row],[Colonne102]]+1)</f>
        <v>35</v>
      </c>
      <c r="DR29" s="17">
        <f>IF(Distances[[#This Row],[Colonne103]]=$G29,DQ29,Distances[[#This Row],[Colonne103]]+1)</f>
        <v>35</v>
      </c>
      <c r="DS29" s="17">
        <f>IF(Distances[[#This Row],[Colonne104]]=$G29,DR29,Distances[[#This Row],[Colonne104]]+1)</f>
        <v>35</v>
      </c>
      <c r="DT29" s="17">
        <f>IF(Distances[[#This Row],[Colonne105]]=$G29,DS29,Distances[[#This Row],[Colonne105]]+1)</f>
        <v>35</v>
      </c>
      <c r="DU29" s="17">
        <f>IF(Distances[[#This Row],[Colonne106]]=$G29,DT29,Distances[[#This Row],[Colonne106]]+1)</f>
        <v>35</v>
      </c>
      <c r="DV29" s="17">
        <f>IF(Distances[[#This Row],[Colonne107]]=$G29,DU29,Distances[[#This Row],[Colonne107]]+1)</f>
        <v>35</v>
      </c>
      <c r="DW29" s="17">
        <f>IF(Distances[[#This Row],[Colonne108]]=$G29,DV29,Distances[[#This Row],[Colonne108]]+1)</f>
        <v>35</v>
      </c>
      <c r="DX29" s="17">
        <f>IF(Distances[[#This Row],[Colonne109]]=$G29,DW29,Distances[[#This Row],[Colonne109]]+1)</f>
        <v>35</v>
      </c>
      <c r="DY29" s="17">
        <f>IF(Distances[[#This Row],[Colonne110]]=$G29,DX29,Distances[[#This Row],[Colonne110]]+1)</f>
        <v>35</v>
      </c>
      <c r="DZ29" s="17">
        <f>IF(Distances[[#This Row],[Colonne111]]=$G29,DY29,Distances[[#This Row],[Colonne111]]+1)</f>
        <v>35</v>
      </c>
      <c r="EA29" s="17">
        <f>IF(Distances[[#This Row],[Colonne112]]=$G29,DZ29,Distances[[#This Row],[Colonne112]]+1)</f>
        <v>35</v>
      </c>
      <c r="EB29" s="17">
        <f>IF(Distances[[#This Row],[Colonne113]]=$G29,EA29,Distances[[#This Row],[Colonne113]]+1)</f>
        <v>35</v>
      </c>
      <c r="EC29" s="17">
        <f>IF(Distances[[#This Row],[Colonne114]]=$G29,EB29,Distances[[#This Row],[Colonne114]]+1)</f>
        <v>35</v>
      </c>
      <c r="ED29" s="17">
        <f>IF(Distances[[#This Row],[Colonne115]]=$G29,EC29,Distances[[#This Row],[Colonne115]]+1)</f>
        <v>35</v>
      </c>
      <c r="EE29" s="17">
        <f>IF(Distances[[#This Row],[Colonne116]]=$G29,ED29,Distances[[#This Row],[Colonne116]]+1)</f>
        <v>35</v>
      </c>
      <c r="EF29" s="17">
        <f>IF(Distances[[#This Row],[Colonne117]]=$G29,EE29,Distances[[#This Row],[Colonne117]]+1)</f>
        <v>35</v>
      </c>
      <c r="EG29" s="17">
        <f>IF(Distances[[#This Row],[Colonne118]]=$G29,EF29,Distances[[#This Row],[Colonne118]]+1)</f>
        <v>35</v>
      </c>
      <c r="EH29" s="17">
        <f>IF(Distances[[#This Row],[Colonne119]]=$G29,EG29,Distances[[#This Row],[Colonne119]]+1)</f>
        <v>35</v>
      </c>
      <c r="EI29" s="17">
        <f>IF(Distances[[#This Row],[Colonne120]]=$G29,EH29,Distances[[#This Row],[Colonne120]]+1)</f>
        <v>35</v>
      </c>
      <c r="EJ29" s="17">
        <f>IF(Distances[[#This Row],[Colonne121]]=$G29,EI29,Distances[[#This Row],[Colonne121]]+1)</f>
        <v>35</v>
      </c>
      <c r="EK29" s="17">
        <f>IF(Distances[[#This Row],[Colonne122]]=$G29,EJ29,Distances[[#This Row],[Colonne122]]+1)</f>
        <v>35</v>
      </c>
      <c r="EL29" s="17">
        <f>IF(Distances[[#This Row],[Colonne123]]=$G29,EK29,Distances[[#This Row],[Colonne123]]+1)</f>
        <v>35</v>
      </c>
      <c r="EM29" s="17">
        <f>IF(Distances[[#This Row],[Colonne124]]=$G29,EL29,Distances[[#This Row],[Colonne124]]+1)</f>
        <v>35</v>
      </c>
      <c r="EN29" s="17">
        <f>IF(Distances[[#This Row],[Colonne125]]=$G29,EM29,Distances[[#This Row],[Colonne125]]+1)</f>
        <v>35</v>
      </c>
      <c r="EO29" s="17">
        <f>IF(Distances[[#This Row],[Colonne126]]=$G29,EN29,Distances[[#This Row],[Colonne126]]+1)</f>
        <v>35</v>
      </c>
      <c r="EP29" s="17">
        <f>IF(Distances[[#This Row],[Colonne127]]=$G29,EO29,Distances[[#This Row],[Colonne127]]+1)</f>
        <v>35</v>
      </c>
      <c r="EQ29" s="17">
        <f>IF(Distances[[#This Row],[Colonne128]]=$G29,EP29,Distances[[#This Row],[Colonne128]]+1)</f>
        <v>35</v>
      </c>
      <c r="ER29" s="17">
        <f>IF(Distances[[#This Row],[Colonne129]]=$G29,EQ29,Distances[[#This Row],[Colonne129]]+1)</f>
        <v>35</v>
      </c>
      <c r="ES29" s="17">
        <f>IF(Distances[[#This Row],[Colonne130]]=$G29,ER29,Distances[[#This Row],[Colonne130]]+1)</f>
        <v>35</v>
      </c>
      <c r="ET29" s="17">
        <f>IF(Distances[[#This Row],[Colonne131]]=$G29,ES29,Distances[[#This Row],[Colonne131]]+1)</f>
        <v>35</v>
      </c>
      <c r="EU29" s="17">
        <f>IF(Distances[[#This Row],[Colonne132]]=$G29,ET29,Distances[[#This Row],[Colonne132]]+1)</f>
        <v>35</v>
      </c>
      <c r="EV29" s="17">
        <f>IF(Distances[[#This Row],[Colonne133]]=$G29,EU29,Distances[[#This Row],[Colonne133]]+1)</f>
        <v>35</v>
      </c>
      <c r="EW29" s="17">
        <f>IF(Distances[[#This Row],[Colonne134]]=$G29,EV29,Distances[[#This Row],[Colonne134]]+1)</f>
        <v>35</v>
      </c>
      <c r="EX29" s="17">
        <f>IF(Distances[[#This Row],[Colonne135]]=$G29,EW29,Distances[[#This Row],[Colonne135]]+1)</f>
        <v>35</v>
      </c>
      <c r="EY29" s="17">
        <f>IF(Distances[[#This Row],[Colonne136]]=$G29,EX29,Distances[[#This Row],[Colonne136]]+1)</f>
        <v>35</v>
      </c>
      <c r="EZ29" s="17">
        <f>IF(Distances[[#This Row],[Colonne137]]=$G29,EY29,Distances[[#This Row],[Colonne137]]+1)</f>
        <v>35</v>
      </c>
      <c r="FA29" s="17">
        <f>IF(Distances[[#This Row],[Colonne138]]=$G29,EZ29,Distances[[#This Row],[Colonne138]]+1)</f>
        <v>35</v>
      </c>
      <c r="FB29" s="17">
        <f>IF(Distances[[#This Row],[Colonne139]]=$G29,FA29,Distances[[#This Row],[Colonne139]]+1)</f>
        <v>35</v>
      </c>
      <c r="FC29" s="17">
        <f>IF(Distances[[#This Row],[Colonne140]]=$G29,FB29,Distances[[#This Row],[Colonne140]]+1)</f>
        <v>35</v>
      </c>
      <c r="FD29" s="17">
        <f>IF(Distances[[#This Row],[Colonne141]]=$G29,FC29,Distances[[#This Row],[Colonne141]]+1)</f>
        <v>35</v>
      </c>
      <c r="FE29" s="17">
        <f>IF(Distances[[#This Row],[Colonne142]]=$G29,FD29,Distances[[#This Row],[Colonne142]]+1)</f>
        <v>35</v>
      </c>
      <c r="FF29" s="17">
        <f>IF(Distances[[#This Row],[Colonne143]]=$G29,FE29,Distances[[#This Row],[Colonne143]]+1)</f>
        <v>35</v>
      </c>
      <c r="FG29" s="17">
        <f>IF(Distances[[#This Row],[Colonne144]]=$G29,FF29,Distances[[#This Row],[Colonne144]]+1)</f>
        <v>35</v>
      </c>
      <c r="FH29" s="17">
        <f>IF(Distances[[#This Row],[Colonne145]]=$G29,FG29,Distances[[#This Row],[Colonne145]]+1)</f>
        <v>35</v>
      </c>
      <c r="FI29" s="17">
        <f>IF(Distances[[#This Row],[Colonne146]]=$G29,FH29,Distances[[#This Row],[Colonne146]]+1)</f>
        <v>35</v>
      </c>
      <c r="FJ29" s="17">
        <f>IF(Distances[[#This Row],[Colonne147]]=$G29,FI29,Distances[[#This Row],[Colonne147]]+1)</f>
        <v>35</v>
      </c>
      <c r="FK29" s="17">
        <f>IF(Distances[[#This Row],[Colonne148]]=$G29,FJ29,Distances[[#This Row],[Colonne148]]+1)</f>
        <v>35</v>
      </c>
      <c r="FL29" s="17">
        <f>IF(Distances[[#This Row],[Colonne149]]=$G29,FK29,Distances[[#This Row],[Colonne149]]+1)</f>
        <v>35</v>
      </c>
      <c r="FM29" s="17">
        <f>IF(Distances[[#This Row],[Colonne150]]=$G29,FL29,Distances[[#This Row],[Colonne150]]+1)</f>
        <v>35</v>
      </c>
      <c r="FN29" s="17">
        <f>IF(Distances[[#This Row],[Colonne151]]=$G29,FM29,Distances[[#This Row],[Colonne151]]+1)</f>
        <v>35</v>
      </c>
      <c r="FO29" s="17">
        <f>IF(Distances[[#This Row],[Colonne152]]=$G29,FN29,Distances[[#This Row],[Colonne152]]+1)</f>
        <v>35</v>
      </c>
      <c r="FP29" s="17">
        <f>IF(Distances[[#This Row],[Colonne153]]=$G29,FO29,Distances[[#This Row],[Colonne153]]+1)</f>
        <v>35</v>
      </c>
      <c r="FQ29" s="17">
        <f>IF(Distances[[#This Row],[Colonne154]]=$G29,FP29,Distances[[#This Row],[Colonne154]]+1)</f>
        <v>35</v>
      </c>
      <c r="FR29" s="17">
        <f>IF(Distances[[#This Row],[Colonne155]]=$G29,FQ29,Distances[[#This Row],[Colonne155]]+1)</f>
        <v>35</v>
      </c>
      <c r="FS29" s="17">
        <f>IF(Distances[[#This Row],[Colonne156]]=$G29,FR29,Distances[[#This Row],[Colonne156]]+1)</f>
        <v>35</v>
      </c>
      <c r="FT29" s="17">
        <f>IF(Distances[[#This Row],[Colonne157]]=$G29,FS29,Distances[[#This Row],[Colonne157]]+1)</f>
        <v>35</v>
      </c>
      <c r="FU29" s="17">
        <f>IF(Distances[[#This Row],[Colonne158]]=$G29,FT29,Distances[[#This Row],[Colonne158]]+1)</f>
        <v>35</v>
      </c>
      <c r="FV29" s="17">
        <f>IF(Distances[[#This Row],[Colonne159]]=$G29,FU29,Distances[[#This Row],[Colonne159]]+1)</f>
        <v>35</v>
      </c>
      <c r="FW29" s="17">
        <f>IF(Distances[[#This Row],[Colonne160]]=$G29,FV29,Distances[[#This Row],[Colonne160]]+1)</f>
        <v>35</v>
      </c>
      <c r="FX29" s="17">
        <f>IF(Distances[[#This Row],[Colonne161]]=$G29,FW29,Distances[[#This Row],[Colonne161]]+1)</f>
        <v>35</v>
      </c>
      <c r="FY29" s="17">
        <f>IF(Distances[[#This Row],[Colonne162]]=$G29,FX29,Distances[[#This Row],[Colonne162]]+1)</f>
        <v>35</v>
      </c>
      <c r="FZ29" s="17">
        <f>IF(Distances[[#This Row],[Colonne163]]=$G29,FY29,Distances[[#This Row],[Colonne163]]+1)</f>
        <v>35</v>
      </c>
      <c r="GA29" s="17">
        <f>IF(Distances[[#This Row],[Colonne164]]=$G29,FZ29,Distances[[#This Row],[Colonne164]]+1)</f>
        <v>35</v>
      </c>
      <c r="GB29" s="17">
        <f>IF(Distances[[#This Row],[Colonne165]]=$G29,GA29,Distances[[#This Row],[Colonne165]]+1)</f>
        <v>35</v>
      </c>
      <c r="GC29" s="17">
        <f>IF(Distances[[#This Row],[Colonne166]]=$G29,GB29,Distances[[#This Row],[Colonne166]]+1)</f>
        <v>35</v>
      </c>
      <c r="GD29" s="17">
        <f>IF(Distances[[#This Row],[Colonne167]]=$G29,GC29,Distances[[#This Row],[Colonne167]]+1)</f>
        <v>35</v>
      </c>
      <c r="GE29" s="17">
        <f>IF(Distances[[#This Row],[Colonne168]]=$G29,GD29,Distances[[#This Row],[Colonne168]]+1)</f>
        <v>35</v>
      </c>
      <c r="GF29" s="17">
        <f>IF(Distances[[#This Row],[Colonne169]]=$G29,GE29,Distances[[#This Row],[Colonne169]]+1)</f>
        <v>35</v>
      </c>
      <c r="GG29" s="17">
        <f>IF(Distances[[#This Row],[Colonne170]]=$G29,GF29,Distances[[#This Row],[Colonne170]]+1)</f>
        <v>35</v>
      </c>
      <c r="GH29" s="17">
        <f>IF(Distances[[#This Row],[Colonne171]]=$G29,GG29,Distances[[#This Row],[Colonne171]]+1)</f>
        <v>35</v>
      </c>
      <c r="GI29" s="17">
        <f>IF(Distances[[#This Row],[Colonne172]]=$G29,GH29,Distances[[#This Row],[Colonne172]]+1)</f>
        <v>35</v>
      </c>
      <c r="GJ29" s="17">
        <f>IF(Distances[[#This Row],[Colonne173]]=$G29,GI29,Distances[[#This Row],[Colonne173]]+1)</f>
        <v>35</v>
      </c>
      <c r="GK29" s="17">
        <f>IF(Distances[[#This Row],[Colonne174]]=$G29,GJ29,Distances[[#This Row],[Colonne174]]+1)</f>
        <v>35</v>
      </c>
      <c r="GL29" s="17">
        <f>IF(Distances[[#This Row],[Colonne175]]=$G29,GK29,Distances[[#This Row],[Colonne175]]+1)</f>
        <v>35</v>
      </c>
      <c r="GM29" s="17">
        <f>IF(Distances[[#This Row],[Colonne176]]=$G29,GL29,Distances[[#This Row],[Colonne176]]+1)</f>
        <v>35</v>
      </c>
      <c r="GN29" s="17">
        <f>IF(Distances[[#This Row],[Colonne177]]=$G29,GM29,Distances[[#This Row],[Colonne177]]+1)</f>
        <v>35</v>
      </c>
      <c r="GO29" s="17">
        <f>IF(Distances[[#This Row],[Colonne178]]=$G29,GN29,Distances[[#This Row],[Colonne178]]+1)</f>
        <v>35</v>
      </c>
      <c r="GP29" s="17">
        <f>IF(Distances[[#This Row],[Colonne179]]=$G29,GO29,Distances[[#This Row],[Colonne179]]+1)</f>
        <v>35</v>
      </c>
      <c r="GQ29" s="17">
        <f>IF(Distances[[#This Row],[Colonne180]]=$G29,GP29,Distances[[#This Row],[Colonne180]]+1)</f>
        <v>35</v>
      </c>
      <c r="GR29" s="17">
        <f>IF(Distances[[#This Row],[Colonne181]]=$G29,GQ29,Distances[[#This Row],[Colonne181]]+1)</f>
        <v>35</v>
      </c>
      <c r="GS29" s="17">
        <f>IF(Distances[[#This Row],[Colonne182]]=$G29,GR29,Distances[[#This Row],[Colonne182]]+1)</f>
        <v>35</v>
      </c>
      <c r="GT29" s="17">
        <f>IF(Distances[[#This Row],[Colonne183]]=$G29,GS29,Distances[[#This Row],[Colonne183]]+1)</f>
        <v>35</v>
      </c>
      <c r="GU29" s="17">
        <f>IF(Distances[[#This Row],[Colonne184]]=$G29,GT29,Distances[[#This Row],[Colonne184]]+1)</f>
        <v>35</v>
      </c>
      <c r="GV29" s="17">
        <f>IF(Distances[[#This Row],[Colonne185]]=$G29,GU29,Distances[[#This Row],[Colonne185]]+1)</f>
        <v>35</v>
      </c>
      <c r="GW29" s="17">
        <f>IF(Distances[[#This Row],[Colonne186]]=$G29,GV29,Distances[[#This Row],[Colonne186]]+1)</f>
        <v>35</v>
      </c>
      <c r="GX29" s="17">
        <f>IF(Distances[[#This Row],[Colonne187]]=$G29,GW29,Distances[[#This Row],[Colonne187]]+1)</f>
        <v>35</v>
      </c>
      <c r="GY29" s="17">
        <f>IF(Distances[[#This Row],[Colonne188]]=$G29,GX29,Distances[[#This Row],[Colonne188]]+1)</f>
        <v>35</v>
      </c>
      <c r="GZ29" s="17">
        <f>IF(Distances[[#This Row],[Colonne189]]=$G29,GY29,Distances[[#This Row],[Colonne189]]+1)</f>
        <v>35</v>
      </c>
      <c r="HA29" s="17">
        <f>IF(Distances[[#This Row],[Colonne190]]=$G29,GZ29,Distances[[#This Row],[Colonne190]]+1)</f>
        <v>35</v>
      </c>
      <c r="HB29" s="17">
        <f>IF(Distances[[#This Row],[Colonne191]]=$G29,HA29,Distances[[#This Row],[Colonne191]]+1)</f>
        <v>35</v>
      </c>
      <c r="HC29" s="17">
        <f>IF(Distances[[#This Row],[Colonne192]]=$G29,HB29,Distances[[#This Row],[Colonne192]]+1)</f>
        <v>35</v>
      </c>
      <c r="HD29" s="17">
        <f>IF(Distances[[#This Row],[Colonne193]]=$G29,HC29,Distances[[#This Row],[Colonne193]]+1)</f>
        <v>35</v>
      </c>
      <c r="HE29" s="17">
        <f>IF(Distances[[#This Row],[Colonne194]]=$G29,HD29,Distances[[#This Row],[Colonne194]]+1)</f>
        <v>35</v>
      </c>
      <c r="HF29" s="17">
        <f>IF(Distances[[#This Row],[Colonne195]]=$G29,HE29,Distances[[#This Row],[Colonne195]]+1)</f>
        <v>35</v>
      </c>
      <c r="HG29" s="17">
        <f>IF(Distances[[#This Row],[Colonne196]]=$G29,HF29,Distances[[#This Row],[Colonne196]]+1)</f>
        <v>35</v>
      </c>
      <c r="HH29" s="17">
        <f>IF(Distances[[#This Row],[Colonne197]]=$G29,HG29,Distances[[#This Row],[Colonne197]]+1)</f>
        <v>35</v>
      </c>
      <c r="HI29" s="17">
        <f>IF(Distances[[#This Row],[Colonne198]]=$G29,HH29,Distances[[#This Row],[Colonne198]]+1)</f>
        <v>35</v>
      </c>
      <c r="HJ29" s="17">
        <f>IF(Distances[[#This Row],[Colonne199]]=$G29,HI29,Distances[[#This Row],[Colonne199]]+1)</f>
        <v>35</v>
      </c>
      <c r="HK29" s="17">
        <f>IF(Distances[[#This Row],[Colonne200]]=$G29,HJ29,Distances[[#This Row],[Colonne200]]+1)</f>
        <v>35</v>
      </c>
      <c r="HL29" s="17">
        <f>IF(Distances[[#This Row],[Colonne201]]=$G29,HK29,Distances[[#This Row],[Colonne201]]+1)</f>
        <v>35</v>
      </c>
      <c r="HM29" s="17">
        <f>IF(Distances[[#This Row],[Colonne202]]=$G29,HL29,Distances[[#This Row],[Colonne202]]+1)</f>
        <v>35</v>
      </c>
      <c r="HN29" s="17">
        <f>IF(Distances[[#This Row],[Colonne203]]=$G29,HM29,Distances[[#This Row],[Colonne203]]+1)</f>
        <v>35</v>
      </c>
      <c r="HO29" s="17">
        <f>IF(Distances[[#This Row],[Colonne204]]=$G29,HN29,Distances[[#This Row],[Colonne204]]+1)</f>
        <v>35</v>
      </c>
      <c r="HP29" s="17">
        <f>IF(Distances[[#This Row],[Colonne205]]=$G29,HO29,Distances[[#This Row],[Colonne205]]+1)</f>
        <v>35</v>
      </c>
      <c r="HQ29" s="17">
        <f>IF(Distances[[#This Row],[Colonne206]]=$G29,HP29,Distances[[#This Row],[Colonne206]]+1)</f>
        <v>35</v>
      </c>
      <c r="HR29" s="17">
        <f>IF(Distances[[#This Row],[Colonne207]]=$G29,HQ29,Distances[[#This Row],[Colonne207]]+1)</f>
        <v>35</v>
      </c>
      <c r="HS29" s="17">
        <f>IF(Distances[[#This Row],[Colonne208]]=$G29,HR29,Distances[[#This Row],[Colonne208]]+1)</f>
        <v>35</v>
      </c>
      <c r="HT29" s="17">
        <f>IF(Distances[[#This Row],[Colonne209]]=$G29,HS29,Distances[[#This Row],[Colonne209]]+1)</f>
        <v>35</v>
      </c>
      <c r="HU29" s="17">
        <f>IF(Distances[[#This Row],[Colonne210]]=$G29,HT29,Distances[[#This Row],[Colonne210]]+1)</f>
        <v>35</v>
      </c>
      <c r="HV29" s="17">
        <f>IF(Distances[[#This Row],[Colonne211]]=$G29,HU29,Distances[[#This Row],[Colonne211]]+1)</f>
        <v>35</v>
      </c>
      <c r="HW29" s="17">
        <f>IF(Distances[[#This Row],[Colonne212]]=$G29,HV29,Distances[[#This Row],[Colonne212]]+1)</f>
        <v>35</v>
      </c>
      <c r="HX29" s="17">
        <f>IF(Distances[[#This Row],[Colonne213]]=$G29,HW29,Distances[[#This Row],[Colonne213]]+1)</f>
        <v>35</v>
      </c>
      <c r="HY29" s="17">
        <f>IF(Distances[[#This Row],[Colonne214]]=$G29,HX29,Distances[[#This Row],[Colonne214]]+1)</f>
        <v>35</v>
      </c>
      <c r="HZ29" s="17">
        <f>IF(Distances[[#This Row],[Colonne215]]=$G29,HY29,Distances[[#This Row],[Colonne215]]+1)</f>
        <v>35</v>
      </c>
      <c r="IA29" s="17">
        <f>IF(Distances[[#This Row],[Colonne216]]=$G29,HZ29,Distances[[#This Row],[Colonne216]]+1)</f>
        <v>35</v>
      </c>
      <c r="IB29" s="17">
        <f>IF(Distances[[#This Row],[Colonne217]]=$G29,IA29,Distances[[#This Row],[Colonne217]]+1)</f>
        <v>35</v>
      </c>
      <c r="IC29" s="17">
        <f>IF(Distances[[#This Row],[Colonne218]]=$G29,IB29,Distances[[#This Row],[Colonne218]]+1)</f>
        <v>35</v>
      </c>
      <c r="ID29" s="17">
        <f>IF(Distances[[#This Row],[Colonne219]]=$G29,IC29,Distances[[#This Row],[Colonne219]]+1)</f>
        <v>35</v>
      </c>
      <c r="IE29" s="17">
        <f>IF(Distances[[#This Row],[Colonne220]]=$G29,ID29,Distances[[#This Row],[Colonne220]]+1)</f>
        <v>35</v>
      </c>
      <c r="IF29" s="17">
        <f>IF(Distances[[#This Row],[Colonne221]]=$G29,IE29,Distances[[#This Row],[Colonne221]]+1)</f>
        <v>35</v>
      </c>
      <c r="IG29" s="17">
        <f>IF(Distances[[#This Row],[Colonne222]]=$G29,IF29,Distances[[#This Row],[Colonne222]]+1)</f>
        <v>35</v>
      </c>
      <c r="IH29" s="17">
        <f>IF(Distances[[#This Row],[Colonne223]]=$G29,IG29,Distances[[#This Row],[Colonne223]]+1)</f>
        <v>35</v>
      </c>
      <c r="II29" s="17">
        <f>IF(Distances[[#This Row],[Colonne224]]=$G29,IH29,Distances[[#This Row],[Colonne224]]+1)</f>
        <v>35</v>
      </c>
      <c r="IJ29" s="17">
        <f>IF(Distances[[#This Row],[Colonne225]]=$G29,II29,Distances[[#This Row],[Colonne225]]+1)</f>
        <v>35</v>
      </c>
      <c r="IK29" s="17">
        <f>IF(Distances[[#This Row],[Colonne226]]=$G29,IJ29,Distances[[#This Row],[Colonne226]]+1)</f>
        <v>35</v>
      </c>
      <c r="IL29" s="17">
        <f>IF(Distances[[#This Row],[Colonne227]]=$G29,IK29,Distances[[#This Row],[Colonne227]]+1)</f>
        <v>35</v>
      </c>
      <c r="IM29" s="17">
        <f>IF(Distances[[#This Row],[Colonne228]]=$G29,IL29,Distances[[#This Row],[Colonne228]]+1)</f>
        <v>35</v>
      </c>
      <c r="IN29" s="17">
        <f>IF(Distances[[#This Row],[Colonne229]]=$G29,IM29,Distances[[#This Row],[Colonne229]]+1)</f>
        <v>35</v>
      </c>
      <c r="IO29" s="17">
        <f>IF(Distances[[#This Row],[Colonne230]]=$G29,IN29,Distances[[#This Row],[Colonne230]]+1)</f>
        <v>35</v>
      </c>
      <c r="IP29" s="17">
        <f>IF(Distances[[#This Row],[Colonne231]]=$G29,IO29,Distances[[#This Row],[Colonne231]]+1)</f>
        <v>35</v>
      </c>
      <c r="IQ29" s="17">
        <f>IF(Distances[[#This Row],[Colonne232]]=$G29,IP29,Distances[[#This Row],[Colonne232]]+1)</f>
        <v>35</v>
      </c>
      <c r="IR29" s="17">
        <f>IF(Distances[[#This Row],[Colonne233]]=$G29,IQ29,Distances[[#This Row],[Colonne233]]+1)</f>
        <v>35</v>
      </c>
      <c r="IS29" s="17">
        <f>IF(Distances[[#This Row],[Colonne234]]=$G29,IR29,Distances[[#This Row],[Colonne234]]+1)</f>
        <v>35</v>
      </c>
      <c r="IT29" s="17">
        <f>IF(Distances[[#This Row],[Colonne235]]=$G29,IS29,Distances[[#This Row],[Colonne235]]+1)</f>
        <v>35</v>
      </c>
      <c r="IU29" s="17">
        <f>IF(Distances[[#This Row],[Colonne236]]=$G29,IT29,Distances[[#This Row],[Colonne236]]+1)</f>
        <v>35</v>
      </c>
      <c r="IV29" s="17">
        <f>IF(Distances[[#This Row],[Colonne237]]=$G29,IU29,Distances[[#This Row],[Colonne237]]+1)</f>
        <v>35</v>
      </c>
      <c r="IW29" s="17">
        <f>IF(Distances[[#This Row],[Colonne238]]=$G29,IV29,Distances[[#This Row],[Colonne238]]+1)</f>
        <v>35</v>
      </c>
      <c r="IX29" s="17">
        <f>IF(Distances[[#This Row],[Colonne239]]=$G29,IW29,Distances[[#This Row],[Colonne239]]+1)</f>
        <v>35</v>
      </c>
      <c r="IY29" s="17">
        <f>IF(Distances[[#This Row],[Colonne240]]=$G29,IX29,Distances[[#This Row],[Colonne240]]+1)</f>
        <v>35</v>
      </c>
      <c r="IZ29" s="17">
        <f>IF(Distances[[#This Row],[Colonne241]]=$G29,IY29,Distances[[#This Row],[Colonne241]]+1)</f>
        <v>35</v>
      </c>
      <c r="JA29" s="17">
        <f>IF(Distances[[#This Row],[Colonne242]]=$G29,IZ29,Distances[[#This Row],[Colonne242]]+1)</f>
        <v>35</v>
      </c>
      <c r="JB29" s="17">
        <f>IF(Distances[[#This Row],[Colonne243]]=$G29,JA29,Distances[[#This Row],[Colonne243]]+1)</f>
        <v>35</v>
      </c>
      <c r="JC29" s="17">
        <f>IF(Distances[[#This Row],[Colonne244]]=$G29,JB29,Distances[[#This Row],[Colonne244]]+1)</f>
        <v>35</v>
      </c>
      <c r="JD29" s="17">
        <f>IF(Distances[[#This Row],[Colonne245]]=$G29,JC29,Distances[[#This Row],[Colonne245]]+1)</f>
        <v>35</v>
      </c>
      <c r="JE29" s="17">
        <f>IF(Distances[[#This Row],[Colonne246]]=$G29,JD29,Distances[[#This Row],[Colonne246]]+1)</f>
        <v>35</v>
      </c>
      <c r="JF29" s="17">
        <f>IF(Distances[[#This Row],[Colonne247]]=$G29,JE29,Distances[[#This Row],[Colonne247]]+1)</f>
        <v>35</v>
      </c>
      <c r="JG29" s="17">
        <f>IF(Distances[[#This Row],[Colonne248]]=$G29,JF29,Distances[[#This Row],[Colonne248]]+1)</f>
        <v>35</v>
      </c>
      <c r="JH29" s="17">
        <f>IF(Distances[[#This Row],[Colonne249]]=$G29,JG29,Distances[[#This Row],[Colonne249]]+1)</f>
        <v>35</v>
      </c>
      <c r="JI29" s="17">
        <f>IF(Distances[[#This Row],[Colonne250]]=$G29,JH29,Distances[[#This Row],[Colonne250]]+1)</f>
        <v>35</v>
      </c>
      <c r="JJ29" s="17">
        <f>IF(Distances[[#This Row],[Colonne251]]=$G29,JI29,Distances[[#This Row],[Colonne251]]+1)</f>
        <v>35</v>
      </c>
      <c r="JK29" s="17">
        <f>IF(Distances[[#This Row],[Colonne252]]=$G29,JJ29,Distances[[#This Row],[Colonne252]]+1)</f>
        <v>35</v>
      </c>
      <c r="JL29" s="17">
        <f>IF(Distances[[#This Row],[Colonne253]]=$G29,JK29,Distances[[#This Row],[Colonne253]]+1)</f>
        <v>35</v>
      </c>
      <c r="JM29" s="17">
        <f>IF(Distances[[#This Row],[Colonne254]]=$G29,JL29,Distances[[#This Row],[Colonne254]]+1)</f>
        <v>35</v>
      </c>
      <c r="JN29" s="17">
        <f>IF(Distances[[#This Row],[Colonne255]]=$G29,JM29,Distances[[#This Row],[Colonne255]]+1)</f>
        <v>35</v>
      </c>
      <c r="JO29" s="17">
        <f>IF(Distances[[#This Row],[Colonne256]]=$G29,JN29,Distances[[#This Row],[Colonne256]]+1)</f>
        <v>35</v>
      </c>
      <c r="JP29" s="17">
        <f>IF(Distances[[#This Row],[Colonne257]]=$G29,JO29,Distances[[#This Row],[Colonne257]]+1)</f>
        <v>35</v>
      </c>
      <c r="JQ29" s="17">
        <f>IF(Distances[[#This Row],[Colonne258]]=$G29,JP29,Distances[[#This Row],[Colonne258]]+1)</f>
        <v>35</v>
      </c>
      <c r="JR29" s="17">
        <f>IF(Distances[[#This Row],[Colonne259]]=$G29,JQ29,Distances[[#This Row],[Colonne259]]+1)</f>
        <v>35</v>
      </c>
      <c r="JS29" s="17">
        <f>IF(Distances[[#This Row],[Colonne260]]=$G29,JR29,Distances[[#This Row],[Colonne260]]+1)</f>
        <v>35</v>
      </c>
      <c r="JT29" s="17">
        <f>IF(Distances[[#This Row],[Colonne261]]=$G29,JS29,Distances[[#This Row],[Colonne261]]+1)</f>
        <v>35</v>
      </c>
      <c r="JU29" s="17">
        <f>IF(Distances[[#This Row],[Colonne262]]=$G29,JT29,Distances[[#This Row],[Colonne262]]+1)</f>
        <v>35</v>
      </c>
      <c r="JV29" s="17">
        <f>IF(Distances[[#This Row],[Colonne263]]=$G29,JU29,Distances[[#This Row],[Colonne263]]+1)</f>
        <v>35</v>
      </c>
      <c r="JW29" s="17">
        <f>IF(Distances[[#This Row],[Colonne264]]=$G29,JV29,Distances[[#This Row],[Colonne264]]+1)</f>
        <v>35</v>
      </c>
      <c r="JX29" s="17">
        <f>IF(Distances[[#This Row],[Colonne265]]=$G29,JW29,Distances[[#This Row],[Colonne265]]+1)</f>
        <v>35</v>
      </c>
      <c r="JY29" s="17">
        <f>IF(Distances[[#This Row],[Colonne266]]=$G29,JX29,Distances[[#This Row],[Colonne266]]+1)</f>
        <v>35</v>
      </c>
      <c r="JZ29" s="17">
        <f>IF(Distances[[#This Row],[Colonne267]]=$G29,JY29,Distances[[#This Row],[Colonne267]]+1)</f>
        <v>35</v>
      </c>
      <c r="KA29" s="17">
        <f>IF(Distances[[#This Row],[Colonne268]]=$G29,JZ29,Distances[[#This Row],[Colonne268]]+1)</f>
        <v>35</v>
      </c>
      <c r="KB29" s="17">
        <f>IF(Distances[[#This Row],[Colonne269]]=$G29,KA29,Distances[[#This Row],[Colonne269]]+1)</f>
        <v>35</v>
      </c>
      <c r="KC29" s="17">
        <f>IF(Distances[[#This Row],[Colonne270]]=$G29,KB29,Distances[[#This Row],[Colonne270]]+1)</f>
        <v>35</v>
      </c>
      <c r="KD29" s="17">
        <f>IF(Distances[[#This Row],[Colonne271]]=$G29,KC29,Distances[[#This Row],[Colonne271]]+1)</f>
        <v>35</v>
      </c>
      <c r="KE29" s="17">
        <f>IF(Distances[[#This Row],[Colonne272]]=$G29,KD29,Distances[[#This Row],[Colonne272]]+1)</f>
        <v>35</v>
      </c>
      <c r="KF29" s="17">
        <f>IF(Distances[[#This Row],[Colonne273]]=$G29,KE29,Distances[[#This Row],[Colonne273]]+1)</f>
        <v>35</v>
      </c>
      <c r="KG29" s="17">
        <f>IF(Distances[[#This Row],[Colonne274]]=$G29,KF29,Distances[[#This Row],[Colonne274]]+1)</f>
        <v>35</v>
      </c>
      <c r="KH29" s="17">
        <f>IF(Distances[[#This Row],[Colonne275]]=$G29,KG29,Distances[[#This Row],[Colonne275]]+1)</f>
        <v>35</v>
      </c>
      <c r="KI29" s="17">
        <f>IF(Distances[[#This Row],[Colonne276]]=$G29,KH29,Distances[[#This Row],[Colonne276]]+1)</f>
        <v>35</v>
      </c>
      <c r="KJ29" s="17">
        <f>IF(Distances[[#This Row],[Colonne277]]=$G29,KI29,Distances[[#This Row],[Colonne277]]+1)</f>
        <v>35</v>
      </c>
      <c r="KK29" s="17">
        <f>IF(Distances[[#This Row],[Colonne278]]=$G29,KJ29,Distances[[#This Row],[Colonne278]]+1)</f>
        <v>35</v>
      </c>
      <c r="KL29" s="17">
        <f>IF(Distances[[#This Row],[Colonne279]]=$G29,KK29,Distances[[#This Row],[Colonne279]]+1)</f>
        <v>35</v>
      </c>
      <c r="KM29" s="17">
        <f>IF(Distances[[#This Row],[Colonne280]]=$G29,KL29,Distances[[#This Row],[Colonne280]]+1)</f>
        <v>35</v>
      </c>
      <c r="KN29" s="17">
        <f>IF(Distances[[#This Row],[Colonne281]]=$G29,KM29,Distances[[#This Row],[Colonne281]]+1)</f>
        <v>35</v>
      </c>
      <c r="KO29" s="17">
        <f>IF(Distances[[#This Row],[Colonne282]]=$G29,KN29,Distances[[#This Row],[Colonne282]]+1)</f>
        <v>35</v>
      </c>
      <c r="KP29" s="17">
        <f>IF(Distances[[#This Row],[Colonne283]]=$G29,KO29,Distances[[#This Row],[Colonne283]]+1)</f>
        <v>35</v>
      </c>
      <c r="KQ29" s="17">
        <f>IF(Distances[[#This Row],[Colonne284]]=$G29,KP29,Distances[[#This Row],[Colonne284]]+1)</f>
        <v>35</v>
      </c>
      <c r="KR29" s="17">
        <f>IF(Distances[[#This Row],[Colonne285]]=$G29,KQ29,Distances[[#This Row],[Colonne285]]+1)</f>
        <v>35</v>
      </c>
      <c r="KS29" s="17">
        <f>IF(Distances[[#This Row],[Colonne286]]=$G29,KR29,Distances[[#This Row],[Colonne286]]+1)</f>
        <v>35</v>
      </c>
      <c r="KT29" s="17">
        <f>IF(Distances[[#This Row],[Colonne287]]=$G29,KS29,Distances[[#This Row],[Colonne287]]+1)</f>
        <v>35</v>
      </c>
      <c r="KU29" s="17">
        <f>IF(Distances[[#This Row],[Colonne288]]=$G29,KT29,Distances[[#This Row],[Colonne288]]+1)</f>
        <v>35</v>
      </c>
      <c r="KV29" s="17">
        <f>IF(Distances[[#This Row],[Colonne289]]=$G29,KU29,Distances[[#This Row],[Colonne289]]+1)</f>
        <v>35</v>
      </c>
      <c r="KW29" s="17">
        <f>IF(Distances[[#This Row],[Colonne290]]=$G29,KV29,Distances[[#This Row],[Colonne290]]+1)</f>
        <v>35</v>
      </c>
      <c r="KX29" s="17">
        <f>IF(Distances[[#This Row],[Colonne291]]=$G29,KW29,Distances[[#This Row],[Colonne291]]+1)</f>
        <v>35</v>
      </c>
      <c r="KY29" s="17">
        <f>IF(Distances[[#This Row],[Colonne292]]=$G29,KX29,Distances[[#This Row],[Colonne292]]+1)</f>
        <v>35</v>
      </c>
      <c r="KZ29" s="17">
        <f>IF(Distances[[#This Row],[Colonne293]]=$G29,KY29,Distances[[#This Row],[Colonne293]]+1)</f>
        <v>35</v>
      </c>
      <c r="LA29" s="17">
        <f>IF(Distances[[#This Row],[Colonne294]]=$G29,KZ29,Distances[[#This Row],[Colonne294]]+1)</f>
        <v>35</v>
      </c>
      <c r="LB29" s="17">
        <f>IF(Distances[[#This Row],[Colonne295]]=$G29,LA29,Distances[[#This Row],[Colonne295]]+1)</f>
        <v>35</v>
      </c>
      <c r="LC29" s="17">
        <f>IF(Distances[[#This Row],[Colonne296]]=$G29,LB29,Distances[[#This Row],[Colonne296]]+1)</f>
        <v>35</v>
      </c>
      <c r="LD29" s="17">
        <f>IF(Distances[[#This Row],[Colonne297]]=$G29,LC29,Distances[[#This Row],[Colonne297]]+1)</f>
        <v>35</v>
      </c>
      <c r="LE29" s="17">
        <f>IF(Distances[[#This Row],[Colonne298]]=$G29,LD29,Distances[[#This Row],[Colonne298]]+1)</f>
        <v>35</v>
      </c>
      <c r="LF29" s="17">
        <f>IF(Distances[[#This Row],[Colonne299]]=$G29,LE29,Distances[[#This Row],[Colonne299]]+1)</f>
        <v>35</v>
      </c>
      <c r="LG29" s="17">
        <f>IF(Distances[[#This Row],[Colonne300]]=$G29,LF29,Distances[[#This Row],[Colonne300]]+1)</f>
        <v>35</v>
      </c>
      <c r="LH29" s="17">
        <f>IF(Distances[[#This Row],[Colonne301]]=$G29,LG29,Distances[[#This Row],[Colonne301]]+1)</f>
        <v>35</v>
      </c>
      <c r="LI29" s="17">
        <f>IF(Distances[[#This Row],[Colonne302]]=$G29,LH29,Distances[[#This Row],[Colonne302]]+1)</f>
        <v>35</v>
      </c>
      <c r="LJ29" s="17">
        <f>IF(Distances[[#This Row],[Colonne303]]=$G29,LI29,Distances[[#This Row],[Colonne303]]+1)</f>
        <v>35</v>
      </c>
      <c r="LK29" s="51"/>
      <c r="LL29" s="17">
        <f t="shared" ref="LL29:NW29" si="56">IF(LK29=$H29,LK29,LK29+1)</f>
        <v>1</v>
      </c>
      <c r="LM29" s="17">
        <f t="shared" si="56"/>
        <v>2</v>
      </c>
      <c r="LN29" s="17">
        <f t="shared" si="56"/>
        <v>3</v>
      </c>
      <c r="LO29" s="17">
        <f t="shared" si="56"/>
        <v>4</v>
      </c>
      <c r="LP29" s="17">
        <f t="shared" si="56"/>
        <v>5</v>
      </c>
      <c r="LQ29" s="17">
        <f t="shared" si="56"/>
        <v>6</v>
      </c>
      <c r="LR29" s="17">
        <f t="shared" si="56"/>
        <v>7</v>
      </c>
      <c r="LS29" s="17">
        <f t="shared" si="56"/>
        <v>8</v>
      </c>
      <c r="LT29" s="17">
        <f t="shared" si="56"/>
        <v>9</v>
      </c>
      <c r="LU29" s="17">
        <f t="shared" si="56"/>
        <v>10</v>
      </c>
      <c r="LV29" s="17">
        <f t="shared" si="56"/>
        <v>11</v>
      </c>
      <c r="LW29" s="17">
        <f t="shared" si="56"/>
        <v>12</v>
      </c>
      <c r="LX29" s="17">
        <f t="shared" si="56"/>
        <v>13</v>
      </c>
      <c r="LY29" s="17">
        <f t="shared" si="56"/>
        <v>14</v>
      </c>
      <c r="LZ29" s="17">
        <f t="shared" si="56"/>
        <v>15</v>
      </c>
      <c r="MA29" s="17">
        <f t="shared" si="56"/>
        <v>16</v>
      </c>
      <c r="MB29" s="17">
        <f t="shared" si="56"/>
        <v>17</v>
      </c>
      <c r="MC29" s="17">
        <f t="shared" si="56"/>
        <v>18</v>
      </c>
      <c r="MD29" s="17">
        <f t="shared" si="56"/>
        <v>19</v>
      </c>
      <c r="ME29" s="17">
        <f t="shared" si="56"/>
        <v>20</v>
      </c>
      <c r="MF29" s="17">
        <f t="shared" si="56"/>
        <v>21</v>
      </c>
      <c r="MG29" s="17">
        <f t="shared" si="56"/>
        <v>22</v>
      </c>
      <c r="MH29" s="17">
        <f t="shared" si="56"/>
        <v>23</v>
      </c>
      <c r="MI29" s="17">
        <f t="shared" si="56"/>
        <v>24</v>
      </c>
      <c r="MJ29" s="17">
        <f t="shared" si="56"/>
        <v>25</v>
      </c>
      <c r="MK29" s="17">
        <f t="shared" si="56"/>
        <v>26</v>
      </c>
      <c r="ML29" s="17">
        <f t="shared" si="56"/>
        <v>27</v>
      </c>
      <c r="MM29" s="17">
        <f t="shared" si="56"/>
        <v>28</v>
      </c>
      <c r="MN29" s="17">
        <f t="shared" si="56"/>
        <v>29</v>
      </c>
      <c r="MO29" s="17">
        <f t="shared" si="56"/>
        <v>30</v>
      </c>
      <c r="MP29" s="17">
        <f t="shared" si="56"/>
        <v>31</v>
      </c>
      <c r="MQ29" s="17">
        <f t="shared" si="56"/>
        <v>32</v>
      </c>
      <c r="MR29" s="17">
        <f t="shared" si="56"/>
        <v>33</v>
      </c>
      <c r="MS29" s="17">
        <f t="shared" si="56"/>
        <v>34</v>
      </c>
      <c r="MT29" s="17">
        <f t="shared" si="56"/>
        <v>35</v>
      </c>
      <c r="MU29" s="17">
        <f t="shared" si="56"/>
        <v>36</v>
      </c>
      <c r="MV29" s="17">
        <f t="shared" si="56"/>
        <v>37</v>
      </c>
      <c r="MW29" s="17">
        <f t="shared" si="56"/>
        <v>38</v>
      </c>
      <c r="MX29" s="17">
        <f t="shared" si="56"/>
        <v>39</v>
      </c>
      <c r="MY29" s="17">
        <f t="shared" si="56"/>
        <v>40</v>
      </c>
      <c r="MZ29" s="17">
        <f t="shared" si="56"/>
        <v>41</v>
      </c>
      <c r="NA29" s="17">
        <f t="shared" si="56"/>
        <v>42</v>
      </c>
      <c r="NB29" s="17">
        <f t="shared" si="56"/>
        <v>43</v>
      </c>
      <c r="NC29" s="17">
        <f t="shared" si="56"/>
        <v>44</v>
      </c>
      <c r="ND29" s="17">
        <f t="shared" si="56"/>
        <v>45</v>
      </c>
      <c r="NE29" s="17">
        <f t="shared" si="56"/>
        <v>46</v>
      </c>
      <c r="NF29" s="17">
        <f t="shared" si="56"/>
        <v>47</v>
      </c>
      <c r="NG29" s="17">
        <f t="shared" si="56"/>
        <v>48</v>
      </c>
      <c r="NH29" s="17">
        <f t="shared" si="56"/>
        <v>49</v>
      </c>
      <c r="NI29" s="17">
        <f t="shared" si="56"/>
        <v>50</v>
      </c>
      <c r="NJ29" s="17">
        <f t="shared" si="56"/>
        <v>50</v>
      </c>
      <c r="NK29" s="17">
        <f t="shared" si="56"/>
        <v>50</v>
      </c>
      <c r="NL29" s="17">
        <f t="shared" si="56"/>
        <v>50</v>
      </c>
      <c r="NM29" s="17">
        <f t="shared" si="56"/>
        <v>50</v>
      </c>
      <c r="NN29" s="17">
        <f t="shared" si="56"/>
        <v>50</v>
      </c>
      <c r="NO29" s="17">
        <f t="shared" si="56"/>
        <v>50</v>
      </c>
      <c r="NP29" s="17">
        <f t="shared" si="56"/>
        <v>50</v>
      </c>
      <c r="NQ29" s="17">
        <f t="shared" si="56"/>
        <v>50</v>
      </c>
      <c r="NR29" s="17">
        <f t="shared" si="56"/>
        <v>50</v>
      </c>
      <c r="NS29" s="17">
        <f t="shared" si="56"/>
        <v>50</v>
      </c>
      <c r="NT29" s="17">
        <f t="shared" si="56"/>
        <v>50</v>
      </c>
      <c r="NU29" s="17">
        <f t="shared" si="56"/>
        <v>50</v>
      </c>
      <c r="NV29" s="17">
        <f t="shared" si="56"/>
        <v>50</v>
      </c>
      <c r="NW29" s="17">
        <f t="shared" si="56"/>
        <v>50</v>
      </c>
      <c r="NX29" s="17">
        <f t="shared" ref="NX29:PG29" si="57">IF(NW29=$H29,NW29,NW29+1)</f>
        <v>50</v>
      </c>
      <c r="NY29" s="17">
        <f t="shared" si="57"/>
        <v>50</v>
      </c>
      <c r="NZ29" s="17">
        <f t="shared" si="57"/>
        <v>50</v>
      </c>
      <c r="OA29" s="17">
        <f t="shared" si="57"/>
        <v>50</v>
      </c>
      <c r="OB29" s="17">
        <f t="shared" si="57"/>
        <v>50</v>
      </c>
      <c r="OC29" s="17">
        <f t="shared" si="57"/>
        <v>50</v>
      </c>
      <c r="OD29" s="17">
        <f t="shared" si="57"/>
        <v>50</v>
      </c>
      <c r="OE29" s="17">
        <f t="shared" si="57"/>
        <v>50</v>
      </c>
      <c r="OF29" s="17">
        <f t="shared" si="57"/>
        <v>50</v>
      </c>
      <c r="OG29" s="17">
        <f t="shared" si="57"/>
        <v>50</v>
      </c>
      <c r="OH29" s="17">
        <f t="shared" si="57"/>
        <v>50</v>
      </c>
      <c r="OI29" s="17">
        <f t="shared" si="57"/>
        <v>50</v>
      </c>
      <c r="OJ29" s="17">
        <f t="shared" si="57"/>
        <v>50</v>
      </c>
      <c r="OK29" s="17">
        <f t="shared" si="57"/>
        <v>50</v>
      </c>
      <c r="OL29" s="17">
        <f t="shared" si="57"/>
        <v>50</v>
      </c>
      <c r="OM29" s="17">
        <f t="shared" si="57"/>
        <v>50</v>
      </c>
      <c r="ON29" s="17">
        <f t="shared" si="57"/>
        <v>50</v>
      </c>
      <c r="OO29" s="17">
        <f t="shared" si="57"/>
        <v>50</v>
      </c>
      <c r="OP29" s="17">
        <f t="shared" si="57"/>
        <v>50</v>
      </c>
      <c r="OQ29" s="17">
        <f t="shared" si="57"/>
        <v>50</v>
      </c>
      <c r="OR29" s="17">
        <f t="shared" si="57"/>
        <v>50</v>
      </c>
      <c r="OS29" s="17">
        <f t="shared" si="57"/>
        <v>50</v>
      </c>
      <c r="OT29" s="17">
        <f t="shared" si="57"/>
        <v>50</v>
      </c>
      <c r="OU29" s="17">
        <f t="shared" si="57"/>
        <v>50</v>
      </c>
      <c r="OV29" s="17">
        <f t="shared" si="57"/>
        <v>50</v>
      </c>
      <c r="OW29" s="17">
        <f t="shared" si="57"/>
        <v>50</v>
      </c>
      <c r="OX29" s="17">
        <f t="shared" si="57"/>
        <v>50</v>
      </c>
      <c r="OY29" s="17">
        <f t="shared" si="57"/>
        <v>50</v>
      </c>
      <c r="OZ29" s="17">
        <f t="shared" si="57"/>
        <v>50</v>
      </c>
      <c r="PA29" s="17">
        <f t="shared" si="57"/>
        <v>50</v>
      </c>
      <c r="PB29" s="17">
        <f t="shared" si="57"/>
        <v>50</v>
      </c>
      <c r="PC29" s="17">
        <f t="shared" si="57"/>
        <v>50</v>
      </c>
      <c r="PD29" s="17">
        <f t="shared" si="57"/>
        <v>50</v>
      </c>
      <c r="PE29" s="17">
        <f t="shared" si="57"/>
        <v>50</v>
      </c>
      <c r="PF29" s="17">
        <f t="shared" si="57"/>
        <v>50</v>
      </c>
      <c r="PG29" s="17">
        <f t="shared" si="57"/>
        <v>50</v>
      </c>
    </row>
    <row r="30" spans="1:423" x14ac:dyDescent="0.25">
      <c r="A30" s="8" t="s">
        <v>5454</v>
      </c>
      <c r="B30" s="9" t="s">
        <v>25</v>
      </c>
      <c r="C30" s="9" t="str">
        <f t="shared" si="0"/>
        <v>3N2</v>
      </c>
      <c r="D30" s="1" t="str">
        <f t="shared" si="1"/>
        <v>3 Bandes N2</v>
      </c>
      <c r="E30" s="1" t="s">
        <v>18</v>
      </c>
      <c r="F30" s="9" t="s">
        <v>5452</v>
      </c>
      <c r="G30" s="9">
        <v>30</v>
      </c>
      <c r="H30" s="9">
        <v>55</v>
      </c>
      <c r="I30" s="127">
        <v>3.1</v>
      </c>
      <c r="J30" s="30"/>
      <c r="K30" s="281"/>
      <c r="L30" s="8">
        <v>0.45</v>
      </c>
      <c r="M30" s="9">
        <v>0.52490000000000003</v>
      </c>
      <c r="N30" s="10">
        <v>0.59989999999999999</v>
      </c>
      <c r="O30" s="269">
        <v>1</v>
      </c>
      <c r="P30" s="331">
        <v>2</v>
      </c>
      <c r="Q30" s="335">
        <v>3</v>
      </c>
      <c r="R30" s="128"/>
      <c r="S30" s="9"/>
      <c r="T30" s="10"/>
      <c r="U30" t="s">
        <v>5523</v>
      </c>
      <c r="V30" s="17">
        <v>0</v>
      </c>
      <c r="W30" s="17">
        <f>IF(Distances[[#This Row],[Colonne4]]=$G30,V30,Distances[[#This Row],[Colonne4]]+1)</f>
        <v>1</v>
      </c>
      <c r="X30" s="17">
        <f>IF(Distances[[#This Row],[Colonne5]]=$G30,W30,Distances[[#This Row],[Colonne5]]+1)</f>
        <v>2</v>
      </c>
      <c r="Y30" s="17">
        <f>IF(Distances[[#This Row],[Colonne6]]=$G30,X30,Distances[[#This Row],[Colonne6]]+1)</f>
        <v>3</v>
      </c>
      <c r="Z30" s="17">
        <f>IF(Distances[[#This Row],[Colonne7]]=$G30,Y30,Distances[[#This Row],[Colonne7]]+1)</f>
        <v>4</v>
      </c>
      <c r="AA30" s="17">
        <f>IF(Distances[[#This Row],[Colonne8]]=$G30,Z30,Distances[[#This Row],[Colonne8]]+1)</f>
        <v>5</v>
      </c>
      <c r="AB30" s="17">
        <f>IF(Distances[[#This Row],[Colonne9]]=$G30,AA30,Distances[[#This Row],[Colonne9]]+1)</f>
        <v>6</v>
      </c>
      <c r="AC30" s="17">
        <f>IF(Distances[[#This Row],[Colonne10]]=$G30,AB30,Distances[[#This Row],[Colonne10]]+1)</f>
        <v>7</v>
      </c>
      <c r="AD30" s="17">
        <f>IF(Distances[[#This Row],[Colonne11]]=$G30,AC30,Distances[[#This Row],[Colonne11]]+1)</f>
        <v>8</v>
      </c>
      <c r="AE30" s="17">
        <f>IF(Distances[[#This Row],[Colonne12]]=$G30,AD30,Distances[[#This Row],[Colonne12]]+1)</f>
        <v>9</v>
      </c>
      <c r="AF30" s="17">
        <f>IF(Distances[[#This Row],[Colonne13]]=$G30,AE30,Distances[[#This Row],[Colonne13]]+1)</f>
        <v>10</v>
      </c>
      <c r="AG30" s="17">
        <f>IF(Distances[[#This Row],[Colonne14]]=$G30,AF30,Distances[[#This Row],[Colonne14]]+1)</f>
        <v>11</v>
      </c>
      <c r="AH30" s="17">
        <f>IF(Distances[[#This Row],[Colonne15]]=$G30,AG30,Distances[[#This Row],[Colonne15]]+1)</f>
        <v>12</v>
      </c>
      <c r="AI30" s="17">
        <f>IF(Distances[[#This Row],[Colonne16]]=$G30,AH30,Distances[[#This Row],[Colonne16]]+1)</f>
        <v>13</v>
      </c>
      <c r="AJ30" s="17">
        <f>IF(Distances[[#This Row],[Colonne17]]=$G30,AI30,Distances[[#This Row],[Colonne17]]+1)</f>
        <v>14</v>
      </c>
      <c r="AK30" s="17">
        <f>IF(Distances[[#This Row],[Colonne18]]=$G30,AJ30,Distances[[#This Row],[Colonne18]]+1)</f>
        <v>15</v>
      </c>
      <c r="AL30" s="17">
        <f>IF(Distances[[#This Row],[Colonne19]]=$G30,AK30,Distances[[#This Row],[Colonne19]]+1)</f>
        <v>16</v>
      </c>
      <c r="AM30" s="17">
        <f>IF(Distances[[#This Row],[Colonne20]]=$G30,AL30,Distances[[#This Row],[Colonne20]]+1)</f>
        <v>17</v>
      </c>
      <c r="AN30" s="17">
        <f>IF(Distances[[#This Row],[Colonne21]]=$G30,AM30,Distances[[#This Row],[Colonne21]]+1)</f>
        <v>18</v>
      </c>
      <c r="AO30" s="17">
        <f>IF(Distances[[#This Row],[Colonne22]]=$G30,AN30,Distances[[#This Row],[Colonne22]]+1)</f>
        <v>19</v>
      </c>
      <c r="AP30" s="17">
        <f>IF(Distances[[#This Row],[Colonne23]]=$G30,AO30,Distances[[#This Row],[Colonne23]]+1)</f>
        <v>20</v>
      </c>
      <c r="AQ30" s="17">
        <f>IF(Distances[[#This Row],[Colonne24]]=$G30,AP30,Distances[[#This Row],[Colonne24]]+1)</f>
        <v>21</v>
      </c>
      <c r="AR30" s="17">
        <f>IF(Distances[[#This Row],[Colonne25]]=$G30,AQ30,Distances[[#This Row],[Colonne25]]+1)</f>
        <v>22</v>
      </c>
      <c r="AS30" s="17">
        <f>IF(Distances[[#This Row],[Colonne26]]=$G30,AR30,Distances[[#This Row],[Colonne26]]+1)</f>
        <v>23</v>
      </c>
      <c r="AT30" s="17">
        <f>IF(Distances[[#This Row],[Colonne27]]=$G30,AS30,Distances[[#This Row],[Colonne27]]+1)</f>
        <v>24</v>
      </c>
      <c r="AU30" s="17">
        <f>IF(Distances[[#This Row],[Colonne28]]=$G30,AT30,Distances[[#This Row],[Colonne28]]+1)</f>
        <v>25</v>
      </c>
      <c r="AV30" s="17">
        <f>IF(Distances[[#This Row],[Colonne29]]=$G30,AU30,Distances[[#This Row],[Colonne29]]+1)</f>
        <v>26</v>
      </c>
      <c r="AW30" s="17">
        <f>IF(Distances[[#This Row],[Colonne30]]=$G30,AV30,Distances[[#This Row],[Colonne30]]+1)</f>
        <v>27</v>
      </c>
      <c r="AX30" s="17">
        <f>IF(Distances[[#This Row],[Colonne31]]=$G30,AW30,Distances[[#This Row],[Colonne31]]+1)</f>
        <v>28</v>
      </c>
      <c r="AY30" s="17">
        <f>IF(Distances[[#This Row],[Colonne32]]=$G30,AX30,Distances[[#This Row],[Colonne32]]+1)</f>
        <v>29</v>
      </c>
      <c r="AZ30" s="17">
        <f>IF(Distances[[#This Row],[Colonne33]]=$G30,AY30,Distances[[#This Row],[Colonne33]]+1)</f>
        <v>30</v>
      </c>
      <c r="BA30" s="17">
        <f>IF(Distances[[#This Row],[Colonne34]]=$G30,AZ30,Distances[[#This Row],[Colonne34]]+1)</f>
        <v>30</v>
      </c>
      <c r="BB30" s="17">
        <f>IF(Distances[[#This Row],[Colonne35]]=$G30,BA30,Distances[[#This Row],[Colonne35]]+1)</f>
        <v>30</v>
      </c>
      <c r="BC30" s="17">
        <f>IF(Distances[[#This Row],[Colonne36]]=$G30,BB30,Distances[[#This Row],[Colonne36]]+1)</f>
        <v>30</v>
      </c>
      <c r="BD30" s="17">
        <f>IF(Distances[[#This Row],[Colonne37]]=$G30,BC30,Distances[[#This Row],[Colonne37]]+1)</f>
        <v>30</v>
      </c>
      <c r="BE30" s="17">
        <f>IF(Distances[[#This Row],[Colonne38]]=$G30,BD30,Distances[[#This Row],[Colonne38]]+1)</f>
        <v>30</v>
      </c>
      <c r="BF30" s="17">
        <f>IF(Distances[[#This Row],[Colonne39]]=$G30,BE30,Distances[[#This Row],[Colonne39]]+1)</f>
        <v>30</v>
      </c>
      <c r="BG30" s="17">
        <f>IF(Distances[[#This Row],[Colonne40]]=$G30,BF30,Distances[[#This Row],[Colonne40]]+1)</f>
        <v>30</v>
      </c>
      <c r="BH30" s="17">
        <f>IF(Distances[[#This Row],[Colonne41]]=$G30,BG30,Distances[[#This Row],[Colonne41]]+1)</f>
        <v>30</v>
      </c>
      <c r="BI30" s="17">
        <f>IF(Distances[[#This Row],[Colonne42]]=$G30,BH30,Distances[[#This Row],[Colonne42]]+1)</f>
        <v>30</v>
      </c>
      <c r="BJ30" s="17">
        <f>IF(Distances[[#This Row],[Colonne43]]=$G30,BI30,Distances[[#This Row],[Colonne43]]+1)</f>
        <v>30</v>
      </c>
      <c r="BK30" s="17">
        <f>IF(Distances[[#This Row],[Colonne44]]=$G30,BJ30,Distances[[#This Row],[Colonne44]]+1)</f>
        <v>30</v>
      </c>
      <c r="BL30" s="17">
        <f>IF(Distances[[#This Row],[Colonne45]]=$G30,BK30,Distances[[#This Row],[Colonne45]]+1)</f>
        <v>30</v>
      </c>
      <c r="BM30" s="17">
        <f>IF(Distances[[#This Row],[Colonne46]]=$G30,BL30,Distances[[#This Row],[Colonne46]]+1)</f>
        <v>30</v>
      </c>
      <c r="BN30" s="17">
        <f>IF(Distances[[#This Row],[Colonne47]]=$G30,BM30,Distances[[#This Row],[Colonne47]]+1)</f>
        <v>30</v>
      </c>
      <c r="BO30" s="17">
        <f>IF(Distances[[#This Row],[Colonne48]]=$G30,BN30,Distances[[#This Row],[Colonne48]]+1)</f>
        <v>30</v>
      </c>
      <c r="BP30" s="17">
        <f>IF(Distances[[#This Row],[Colonne49]]=$G30,BO30,Distances[[#This Row],[Colonne49]]+1)</f>
        <v>30</v>
      </c>
      <c r="BQ30" s="17">
        <f>IF(Distances[[#This Row],[Colonne50]]=$G30,BP30,Distances[[#This Row],[Colonne50]]+1)</f>
        <v>30</v>
      </c>
      <c r="BR30" s="17">
        <f>IF(Distances[[#This Row],[Colonne51]]=$G30,BQ30,Distances[[#This Row],[Colonne51]]+1)</f>
        <v>30</v>
      </c>
      <c r="BS30" s="17">
        <f>IF(Distances[[#This Row],[Colonne52]]=$G30,BR30,Distances[[#This Row],[Colonne52]]+1)</f>
        <v>30</v>
      </c>
      <c r="BT30" s="17">
        <f>IF(Distances[[#This Row],[Colonne53]]=$G30,BS30,Distances[[#This Row],[Colonne53]]+1)</f>
        <v>30</v>
      </c>
      <c r="BU30" s="17">
        <f>IF(Distances[[#This Row],[Colonne54]]=$G30,BT30,Distances[[#This Row],[Colonne54]]+1)</f>
        <v>30</v>
      </c>
      <c r="BV30" s="17">
        <f>IF(Distances[[#This Row],[Colonne55]]=$G30,BU30,Distances[[#This Row],[Colonne55]]+1)</f>
        <v>30</v>
      </c>
      <c r="BW30" s="17">
        <f>IF(Distances[[#This Row],[Colonne56]]=$G30,BV30,Distances[[#This Row],[Colonne56]]+1)</f>
        <v>30</v>
      </c>
      <c r="BX30" s="17">
        <f>IF(Distances[[#This Row],[Colonne57]]=$G30,BW30,Distances[[#This Row],[Colonne57]]+1)</f>
        <v>30</v>
      </c>
      <c r="BY30" s="17">
        <f>IF(Distances[[#This Row],[Colonne58]]=$G30,BX30,Distances[[#This Row],[Colonne58]]+1)</f>
        <v>30</v>
      </c>
      <c r="BZ30" s="17">
        <f>IF(Distances[[#This Row],[Colonne59]]=$G30,BY30,Distances[[#This Row],[Colonne59]]+1)</f>
        <v>30</v>
      </c>
      <c r="CA30" s="17">
        <f>IF(Distances[[#This Row],[Colonne60]]=$G30,BZ30,Distances[[#This Row],[Colonne60]]+1)</f>
        <v>30</v>
      </c>
      <c r="CB30" s="17">
        <f>IF(Distances[[#This Row],[Colonne61]]=$G30,CA30,Distances[[#This Row],[Colonne61]]+1)</f>
        <v>30</v>
      </c>
      <c r="CC30" s="17">
        <f>IF(Distances[[#This Row],[Colonne62]]=$G30,CB30,Distances[[#This Row],[Colonne62]]+1)</f>
        <v>30</v>
      </c>
      <c r="CD30" s="17">
        <f>IF(Distances[[#This Row],[Colonne63]]=$G30,CC30,Distances[[#This Row],[Colonne63]]+1)</f>
        <v>30</v>
      </c>
      <c r="CE30" s="17">
        <f>IF(Distances[[#This Row],[Colonne64]]=$G30,CD30,Distances[[#This Row],[Colonne64]]+1)</f>
        <v>30</v>
      </c>
      <c r="CF30" s="17">
        <f>IF(Distances[[#This Row],[Colonne65]]=$G30,CE30,Distances[[#This Row],[Colonne65]]+1)</f>
        <v>30</v>
      </c>
      <c r="CG30" s="17">
        <f>IF(Distances[[#This Row],[Colonne66]]=$G30,CF30,Distances[[#This Row],[Colonne66]]+1)</f>
        <v>30</v>
      </c>
      <c r="CH30" s="17">
        <f>IF(Distances[[#This Row],[Colonne67]]=$G30,CG30,Distances[[#This Row],[Colonne67]]+1)</f>
        <v>30</v>
      </c>
      <c r="CI30" s="17">
        <f>IF(Distances[[#This Row],[Colonne68]]=$G30,CH30,Distances[[#This Row],[Colonne68]]+1)</f>
        <v>30</v>
      </c>
      <c r="CJ30" s="17">
        <f>IF(Distances[[#This Row],[Colonne69]]=$G30,CI30,Distances[[#This Row],[Colonne69]]+1)</f>
        <v>30</v>
      </c>
      <c r="CK30" s="17">
        <f>IF(Distances[[#This Row],[Colonne70]]=$G30,CJ30,Distances[[#This Row],[Colonne70]]+1)</f>
        <v>30</v>
      </c>
      <c r="CL30" s="17">
        <f>IF(Distances[[#This Row],[Colonne71]]=$G30,CK30,Distances[[#This Row],[Colonne71]]+1)</f>
        <v>30</v>
      </c>
      <c r="CM30" s="17">
        <f>IF(Distances[[#This Row],[Colonne72]]=$G30,CL30,Distances[[#This Row],[Colonne72]]+1)</f>
        <v>30</v>
      </c>
      <c r="CN30" s="17">
        <f>IF(Distances[[#This Row],[Colonne73]]=$G30,CM30,Distances[[#This Row],[Colonne73]]+1)</f>
        <v>30</v>
      </c>
      <c r="CO30" s="17">
        <f>IF(Distances[[#This Row],[Colonne74]]=$G30,CN30,Distances[[#This Row],[Colonne74]]+1)</f>
        <v>30</v>
      </c>
      <c r="CP30" s="17">
        <f>IF(Distances[[#This Row],[Colonne75]]=$G30,CO30,Distances[[#This Row],[Colonne75]]+1)</f>
        <v>30</v>
      </c>
      <c r="CQ30" s="17">
        <f>IF(Distances[[#This Row],[Colonne76]]=$G30,CP30,Distances[[#This Row],[Colonne76]]+1)</f>
        <v>30</v>
      </c>
      <c r="CR30" s="17">
        <f>IF(Distances[[#This Row],[Colonne77]]=$G30,CQ30,Distances[[#This Row],[Colonne77]]+1)</f>
        <v>30</v>
      </c>
      <c r="CS30" s="17">
        <f>IF(Distances[[#This Row],[Colonne78]]=$G30,CR30,Distances[[#This Row],[Colonne78]]+1)</f>
        <v>30</v>
      </c>
      <c r="CT30" s="17">
        <f>IF(Distances[[#This Row],[Colonne79]]=$G30,CS30,Distances[[#This Row],[Colonne79]]+1)</f>
        <v>30</v>
      </c>
      <c r="CU30" s="17">
        <f>IF(Distances[[#This Row],[Colonne80]]=$G30,CT30,Distances[[#This Row],[Colonne80]]+1)</f>
        <v>30</v>
      </c>
      <c r="CV30" s="17">
        <f>IF(Distances[[#This Row],[Colonne81]]=$G30,CU30,Distances[[#This Row],[Colonne81]]+1)</f>
        <v>30</v>
      </c>
      <c r="CW30" s="17">
        <f>IF(Distances[[#This Row],[Colonne82]]=$G30,CV30,Distances[[#This Row],[Colonne82]]+1)</f>
        <v>30</v>
      </c>
      <c r="CX30" s="17">
        <f>IF(Distances[[#This Row],[Colonne83]]=$G30,CW30,Distances[[#This Row],[Colonne83]]+1)</f>
        <v>30</v>
      </c>
      <c r="CY30" s="17">
        <f>IF(Distances[[#This Row],[Colonne84]]=$G30,CX30,Distances[[#This Row],[Colonne84]]+1)</f>
        <v>30</v>
      </c>
      <c r="CZ30" s="17">
        <f>IF(Distances[[#This Row],[Colonne85]]=$G30,CY30,Distances[[#This Row],[Colonne85]]+1)</f>
        <v>30</v>
      </c>
      <c r="DA30" s="17">
        <f>IF(Distances[[#This Row],[Colonne86]]=$G30,CZ30,Distances[[#This Row],[Colonne86]]+1)</f>
        <v>30</v>
      </c>
      <c r="DB30" s="17">
        <f>IF(Distances[[#This Row],[Colonne87]]=$G30,DA30,Distances[[#This Row],[Colonne87]]+1)</f>
        <v>30</v>
      </c>
      <c r="DC30" s="17">
        <f>IF(Distances[[#This Row],[Colonne88]]=$G30,DB30,Distances[[#This Row],[Colonne88]]+1)</f>
        <v>30</v>
      </c>
      <c r="DD30" s="17">
        <f>IF(Distances[[#This Row],[Colonne89]]=$G30,DC30,Distances[[#This Row],[Colonne89]]+1)</f>
        <v>30</v>
      </c>
      <c r="DE30" s="17">
        <f>IF(Distances[[#This Row],[Colonne90]]=$G30,DD30,Distances[[#This Row],[Colonne90]]+1)</f>
        <v>30</v>
      </c>
      <c r="DF30" s="17">
        <f>IF(Distances[[#This Row],[Colonne91]]=$G30,DE30,Distances[[#This Row],[Colonne91]]+1)</f>
        <v>30</v>
      </c>
      <c r="DG30" s="17">
        <f>IF(Distances[[#This Row],[Colonne92]]=$G30,DF30,Distances[[#This Row],[Colonne92]]+1)</f>
        <v>30</v>
      </c>
      <c r="DH30" s="17">
        <f>IF(Distances[[#This Row],[Colonne93]]=$G30,DG30,Distances[[#This Row],[Colonne93]]+1)</f>
        <v>30</v>
      </c>
      <c r="DI30" s="17">
        <f>IF(Distances[[#This Row],[Colonne94]]=$G30,DH30,Distances[[#This Row],[Colonne94]]+1)</f>
        <v>30</v>
      </c>
      <c r="DJ30" s="17">
        <f>IF(Distances[[#This Row],[Colonne95]]=$G30,DI30,Distances[[#This Row],[Colonne95]]+1)</f>
        <v>30</v>
      </c>
      <c r="DK30" s="17">
        <f>IF(Distances[[#This Row],[Colonne96]]=$G30,DJ30,Distances[[#This Row],[Colonne96]]+1)</f>
        <v>30</v>
      </c>
      <c r="DL30" s="17">
        <f>IF(Distances[[#This Row],[Colonne97]]=$G30,DK30,Distances[[#This Row],[Colonne97]]+1)</f>
        <v>30</v>
      </c>
      <c r="DM30" s="17">
        <f>IF(Distances[[#This Row],[Colonne98]]=$G30,DL30,Distances[[#This Row],[Colonne98]]+1)</f>
        <v>30</v>
      </c>
      <c r="DN30" s="17">
        <f>IF(Distances[[#This Row],[Colonne99]]=$G30,DM30,Distances[[#This Row],[Colonne99]]+1)</f>
        <v>30</v>
      </c>
      <c r="DO30" s="17">
        <f>IF(Distances[[#This Row],[Colonne100]]=$G30,DN30,Distances[[#This Row],[Colonne100]]+1)</f>
        <v>30</v>
      </c>
      <c r="DP30" s="17">
        <f>IF(Distances[[#This Row],[Colonne101]]=$G30,DO30,Distances[[#This Row],[Colonne101]]+1)</f>
        <v>30</v>
      </c>
      <c r="DQ30" s="17">
        <f>IF(Distances[[#This Row],[Colonne102]]=$G30,DP30,Distances[[#This Row],[Colonne102]]+1)</f>
        <v>30</v>
      </c>
      <c r="DR30" s="17">
        <f>IF(Distances[[#This Row],[Colonne103]]=$G30,DQ30,Distances[[#This Row],[Colonne103]]+1)</f>
        <v>30</v>
      </c>
      <c r="DS30" s="17">
        <f>IF(Distances[[#This Row],[Colonne104]]=$G30,DR30,Distances[[#This Row],[Colonne104]]+1)</f>
        <v>30</v>
      </c>
      <c r="DT30" s="17">
        <f>IF(Distances[[#This Row],[Colonne105]]=$G30,DS30,Distances[[#This Row],[Colonne105]]+1)</f>
        <v>30</v>
      </c>
      <c r="DU30" s="17">
        <f>IF(Distances[[#This Row],[Colonne106]]=$G30,DT30,Distances[[#This Row],[Colonne106]]+1)</f>
        <v>30</v>
      </c>
      <c r="DV30" s="17">
        <f>IF(Distances[[#This Row],[Colonne107]]=$G30,DU30,Distances[[#This Row],[Colonne107]]+1)</f>
        <v>30</v>
      </c>
      <c r="DW30" s="17">
        <f>IF(Distances[[#This Row],[Colonne108]]=$G30,DV30,Distances[[#This Row],[Colonne108]]+1)</f>
        <v>30</v>
      </c>
      <c r="DX30" s="17">
        <f>IF(Distances[[#This Row],[Colonne109]]=$G30,DW30,Distances[[#This Row],[Colonne109]]+1)</f>
        <v>30</v>
      </c>
      <c r="DY30" s="17">
        <f>IF(Distances[[#This Row],[Colonne110]]=$G30,DX30,Distances[[#This Row],[Colonne110]]+1)</f>
        <v>30</v>
      </c>
      <c r="DZ30" s="17">
        <f>IF(Distances[[#This Row],[Colonne111]]=$G30,DY30,Distances[[#This Row],[Colonne111]]+1)</f>
        <v>30</v>
      </c>
      <c r="EA30" s="17">
        <f>IF(Distances[[#This Row],[Colonne112]]=$G30,DZ30,Distances[[#This Row],[Colonne112]]+1)</f>
        <v>30</v>
      </c>
      <c r="EB30" s="17">
        <f>IF(Distances[[#This Row],[Colonne113]]=$G30,EA30,Distances[[#This Row],[Colonne113]]+1)</f>
        <v>30</v>
      </c>
      <c r="EC30" s="17">
        <f>IF(Distances[[#This Row],[Colonne114]]=$G30,EB30,Distances[[#This Row],[Colonne114]]+1)</f>
        <v>30</v>
      </c>
      <c r="ED30" s="17">
        <f>IF(Distances[[#This Row],[Colonne115]]=$G30,EC30,Distances[[#This Row],[Colonne115]]+1)</f>
        <v>30</v>
      </c>
      <c r="EE30" s="17">
        <f>IF(Distances[[#This Row],[Colonne116]]=$G30,ED30,Distances[[#This Row],[Colonne116]]+1)</f>
        <v>30</v>
      </c>
      <c r="EF30" s="17">
        <f>IF(Distances[[#This Row],[Colonne117]]=$G30,EE30,Distances[[#This Row],[Colonne117]]+1)</f>
        <v>30</v>
      </c>
      <c r="EG30" s="17">
        <f>IF(Distances[[#This Row],[Colonne118]]=$G30,EF30,Distances[[#This Row],[Colonne118]]+1)</f>
        <v>30</v>
      </c>
      <c r="EH30" s="17">
        <f>IF(Distances[[#This Row],[Colonne119]]=$G30,EG30,Distances[[#This Row],[Colonne119]]+1)</f>
        <v>30</v>
      </c>
      <c r="EI30" s="17">
        <f>IF(Distances[[#This Row],[Colonne120]]=$G30,EH30,Distances[[#This Row],[Colonne120]]+1)</f>
        <v>30</v>
      </c>
      <c r="EJ30" s="17">
        <f>IF(Distances[[#This Row],[Colonne121]]=$G30,EI30,Distances[[#This Row],[Colonne121]]+1)</f>
        <v>30</v>
      </c>
      <c r="EK30" s="17">
        <f>IF(Distances[[#This Row],[Colonne122]]=$G30,EJ30,Distances[[#This Row],[Colonne122]]+1)</f>
        <v>30</v>
      </c>
      <c r="EL30" s="17">
        <f>IF(Distances[[#This Row],[Colonne123]]=$G30,EK30,Distances[[#This Row],[Colonne123]]+1)</f>
        <v>30</v>
      </c>
      <c r="EM30" s="17">
        <f>IF(Distances[[#This Row],[Colonne124]]=$G30,EL30,Distances[[#This Row],[Colonne124]]+1)</f>
        <v>30</v>
      </c>
      <c r="EN30" s="17">
        <f>IF(Distances[[#This Row],[Colonne125]]=$G30,EM30,Distances[[#This Row],[Colonne125]]+1)</f>
        <v>30</v>
      </c>
      <c r="EO30" s="17">
        <f>IF(Distances[[#This Row],[Colonne126]]=$G30,EN30,Distances[[#This Row],[Colonne126]]+1)</f>
        <v>30</v>
      </c>
      <c r="EP30" s="17">
        <f>IF(Distances[[#This Row],[Colonne127]]=$G30,EO30,Distances[[#This Row],[Colonne127]]+1)</f>
        <v>30</v>
      </c>
      <c r="EQ30" s="17">
        <f>IF(Distances[[#This Row],[Colonne128]]=$G30,EP30,Distances[[#This Row],[Colonne128]]+1)</f>
        <v>30</v>
      </c>
      <c r="ER30" s="17">
        <f>IF(Distances[[#This Row],[Colonne129]]=$G30,EQ30,Distances[[#This Row],[Colonne129]]+1)</f>
        <v>30</v>
      </c>
      <c r="ES30" s="17">
        <f>IF(Distances[[#This Row],[Colonne130]]=$G30,ER30,Distances[[#This Row],[Colonne130]]+1)</f>
        <v>30</v>
      </c>
      <c r="ET30" s="17">
        <f>IF(Distances[[#This Row],[Colonne131]]=$G30,ES30,Distances[[#This Row],[Colonne131]]+1)</f>
        <v>30</v>
      </c>
      <c r="EU30" s="17">
        <f>IF(Distances[[#This Row],[Colonne132]]=$G30,ET30,Distances[[#This Row],[Colonne132]]+1)</f>
        <v>30</v>
      </c>
      <c r="EV30" s="17">
        <f>IF(Distances[[#This Row],[Colonne133]]=$G30,EU30,Distances[[#This Row],[Colonne133]]+1)</f>
        <v>30</v>
      </c>
      <c r="EW30" s="17">
        <f>IF(Distances[[#This Row],[Colonne134]]=$G30,EV30,Distances[[#This Row],[Colonne134]]+1)</f>
        <v>30</v>
      </c>
      <c r="EX30" s="17">
        <f>IF(Distances[[#This Row],[Colonne135]]=$G30,EW30,Distances[[#This Row],[Colonne135]]+1)</f>
        <v>30</v>
      </c>
      <c r="EY30" s="17">
        <f>IF(Distances[[#This Row],[Colonne136]]=$G30,EX30,Distances[[#This Row],[Colonne136]]+1)</f>
        <v>30</v>
      </c>
      <c r="EZ30" s="17">
        <f>IF(Distances[[#This Row],[Colonne137]]=$G30,EY30,Distances[[#This Row],[Colonne137]]+1)</f>
        <v>30</v>
      </c>
      <c r="FA30" s="17">
        <f>IF(Distances[[#This Row],[Colonne138]]=$G30,EZ30,Distances[[#This Row],[Colonne138]]+1)</f>
        <v>30</v>
      </c>
      <c r="FB30" s="17">
        <f>IF(Distances[[#This Row],[Colonne139]]=$G30,FA30,Distances[[#This Row],[Colonne139]]+1)</f>
        <v>30</v>
      </c>
      <c r="FC30" s="17">
        <f>IF(Distances[[#This Row],[Colonne140]]=$G30,FB30,Distances[[#This Row],[Colonne140]]+1)</f>
        <v>30</v>
      </c>
      <c r="FD30" s="17">
        <f>IF(Distances[[#This Row],[Colonne141]]=$G30,FC30,Distances[[#This Row],[Colonne141]]+1)</f>
        <v>30</v>
      </c>
      <c r="FE30" s="17">
        <f>IF(Distances[[#This Row],[Colonne142]]=$G30,FD30,Distances[[#This Row],[Colonne142]]+1)</f>
        <v>30</v>
      </c>
      <c r="FF30" s="17">
        <f>IF(Distances[[#This Row],[Colonne143]]=$G30,FE30,Distances[[#This Row],[Colonne143]]+1)</f>
        <v>30</v>
      </c>
      <c r="FG30" s="17">
        <f>IF(Distances[[#This Row],[Colonne144]]=$G30,FF30,Distances[[#This Row],[Colonne144]]+1)</f>
        <v>30</v>
      </c>
      <c r="FH30" s="17">
        <f>IF(Distances[[#This Row],[Colonne145]]=$G30,FG30,Distances[[#This Row],[Colonne145]]+1)</f>
        <v>30</v>
      </c>
      <c r="FI30" s="17">
        <f>IF(Distances[[#This Row],[Colonne146]]=$G30,FH30,Distances[[#This Row],[Colonne146]]+1)</f>
        <v>30</v>
      </c>
      <c r="FJ30" s="17">
        <f>IF(Distances[[#This Row],[Colonne147]]=$G30,FI30,Distances[[#This Row],[Colonne147]]+1)</f>
        <v>30</v>
      </c>
      <c r="FK30" s="17">
        <f>IF(Distances[[#This Row],[Colonne148]]=$G30,FJ30,Distances[[#This Row],[Colonne148]]+1)</f>
        <v>30</v>
      </c>
      <c r="FL30" s="17">
        <f>IF(Distances[[#This Row],[Colonne149]]=$G30,FK30,Distances[[#This Row],[Colonne149]]+1)</f>
        <v>30</v>
      </c>
      <c r="FM30" s="17">
        <f>IF(Distances[[#This Row],[Colonne150]]=$G30,FL30,Distances[[#This Row],[Colonne150]]+1)</f>
        <v>30</v>
      </c>
      <c r="FN30" s="17">
        <f>IF(Distances[[#This Row],[Colonne151]]=$G30,FM30,Distances[[#This Row],[Colonne151]]+1)</f>
        <v>30</v>
      </c>
      <c r="FO30" s="17">
        <f>IF(Distances[[#This Row],[Colonne152]]=$G30,FN30,Distances[[#This Row],[Colonne152]]+1)</f>
        <v>30</v>
      </c>
      <c r="FP30" s="17">
        <f>IF(Distances[[#This Row],[Colonne153]]=$G30,FO30,Distances[[#This Row],[Colonne153]]+1)</f>
        <v>30</v>
      </c>
      <c r="FQ30" s="17">
        <f>IF(Distances[[#This Row],[Colonne154]]=$G30,FP30,Distances[[#This Row],[Colonne154]]+1)</f>
        <v>30</v>
      </c>
      <c r="FR30" s="17">
        <f>IF(Distances[[#This Row],[Colonne155]]=$G30,FQ30,Distances[[#This Row],[Colonne155]]+1)</f>
        <v>30</v>
      </c>
      <c r="FS30" s="17">
        <f>IF(Distances[[#This Row],[Colonne156]]=$G30,FR30,Distances[[#This Row],[Colonne156]]+1)</f>
        <v>30</v>
      </c>
      <c r="FT30" s="17">
        <f>IF(Distances[[#This Row],[Colonne157]]=$G30,FS30,Distances[[#This Row],[Colonne157]]+1)</f>
        <v>30</v>
      </c>
      <c r="FU30" s="17">
        <f>IF(Distances[[#This Row],[Colonne158]]=$G30,FT30,Distances[[#This Row],[Colonne158]]+1)</f>
        <v>30</v>
      </c>
      <c r="FV30" s="17">
        <f>IF(Distances[[#This Row],[Colonne159]]=$G30,FU30,Distances[[#This Row],[Colonne159]]+1)</f>
        <v>30</v>
      </c>
      <c r="FW30" s="17">
        <f>IF(Distances[[#This Row],[Colonne160]]=$G30,FV30,Distances[[#This Row],[Colonne160]]+1)</f>
        <v>30</v>
      </c>
      <c r="FX30" s="17">
        <f>IF(Distances[[#This Row],[Colonne161]]=$G30,FW30,Distances[[#This Row],[Colonne161]]+1)</f>
        <v>30</v>
      </c>
      <c r="FY30" s="17">
        <f>IF(Distances[[#This Row],[Colonne162]]=$G30,FX30,Distances[[#This Row],[Colonne162]]+1)</f>
        <v>30</v>
      </c>
      <c r="FZ30" s="17">
        <f>IF(Distances[[#This Row],[Colonne163]]=$G30,FY30,Distances[[#This Row],[Colonne163]]+1)</f>
        <v>30</v>
      </c>
      <c r="GA30" s="17">
        <f>IF(Distances[[#This Row],[Colonne164]]=$G30,FZ30,Distances[[#This Row],[Colonne164]]+1)</f>
        <v>30</v>
      </c>
      <c r="GB30" s="17">
        <f>IF(Distances[[#This Row],[Colonne165]]=$G30,GA30,Distances[[#This Row],[Colonne165]]+1)</f>
        <v>30</v>
      </c>
      <c r="GC30" s="17">
        <f>IF(Distances[[#This Row],[Colonne166]]=$G30,GB30,Distances[[#This Row],[Colonne166]]+1)</f>
        <v>30</v>
      </c>
      <c r="GD30" s="17">
        <f>IF(Distances[[#This Row],[Colonne167]]=$G30,GC30,Distances[[#This Row],[Colonne167]]+1)</f>
        <v>30</v>
      </c>
      <c r="GE30" s="17">
        <f>IF(Distances[[#This Row],[Colonne168]]=$G30,GD30,Distances[[#This Row],[Colonne168]]+1)</f>
        <v>30</v>
      </c>
      <c r="GF30" s="17">
        <f>IF(Distances[[#This Row],[Colonne169]]=$G30,GE30,Distances[[#This Row],[Colonne169]]+1)</f>
        <v>30</v>
      </c>
      <c r="GG30" s="17">
        <f>IF(Distances[[#This Row],[Colonne170]]=$G30,GF30,Distances[[#This Row],[Colonne170]]+1)</f>
        <v>30</v>
      </c>
      <c r="GH30" s="17">
        <f>IF(Distances[[#This Row],[Colonne171]]=$G30,GG30,Distances[[#This Row],[Colonne171]]+1)</f>
        <v>30</v>
      </c>
      <c r="GI30" s="17">
        <f>IF(Distances[[#This Row],[Colonne172]]=$G30,GH30,Distances[[#This Row],[Colonne172]]+1)</f>
        <v>30</v>
      </c>
      <c r="GJ30" s="17">
        <f>IF(Distances[[#This Row],[Colonne173]]=$G30,GI30,Distances[[#This Row],[Colonne173]]+1)</f>
        <v>30</v>
      </c>
      <c r="GK30" s="17">
        <f>IF(Distances[[#This Row],[Colonne174]]=$G30,GJ30,Distances[[#This Row],[Colonne174]]+1)</f>
        <v>30</v>
      </c>
      <c r="GL30" s="17">
        <f>IF(Distances[[#This Row],[Colonne175]]=$G30,GK30,Distances[[#This Row],[Colonne175]]+1)</f>
        <v>30</v>
      </c>
      <c r="GM30" s="17">
        <f>IF(Distances[[#This Row],[Colonne176]]=$G30,GL30,Distances[[#This Row],[Colonne176]]+1)</f>
        <v>30</v>
      </c>
      <c r="GN30" s="17">
        <f>IF(Distances[[#This Row],[Colonne177]]=$G30,GM30,Distances[[#This Row],[Colonne177]]+1)</f>
        <v>30</v>
      </c>
      <c r="GO30" s="17">
        <f>IF(Distances[[#This Row],[Colonne178]]=$G30,GN30,Distances[[#This Row],[Colonne178]]+1)</f>
        <v>30</v>
      </c>
      <c r="GP30" s="17">
        <f>IF(Distances[[#This Row],[Colonne179]]=$G30,GO30,Distances[[#This Row],[Colonne179]]+1)</f>
        <v>30</v>
      </c>
      <c r="GQ30" s="17">
        <f>IF(Distances[[#This Row],[Colonne180]]=$G30,GP30,Distances[[#This Row],[Colonne180]]+1)</f>
        <v>30</v>
      </c>
      <c r="GR30" s="17">
        <f>IF(Distances[[#This Row],[Colonne181]]=$G30,GQ30,Distances[[#This Row],[Colonne181]]+1)</f>
        <v>30</v>
      </c>
      <c r="GS30" s="17">
        <f>IF(Distances[[#This Row],[Colonne182]]=$G30,GR30,Distances[[#This Row],[Colonne182]]+1)</f>
        <v>30</v>
      </c>
      <c r="GT30" s="17">
        <f>IF(Distances[[#This Row],[Colonne183]]=$G30,GS30,Distances[[#This Row],[Colonne183]]+1)</f>
        <v>30</v>
      </c>
      <c r="GU30" s="17">
        <f>IF(Distances[[#This Row],[Colonne184]]=$G30,GT30,Distances[[#This Row],[Colonne184]]+1)</f>
        <v>30</v>
      </c>
      <c r="GV30" s="17">
        <f>IF(Distances[[#This Row],[Colonne185]]=$G30,GU30,Distances[[#This Row],[Colonne185]]+1)</f>
        <v>30</v>
      </c>
      <c r="GW30" s="17">
        <f>IF(Distances[[#This Row],[Colonne186]]=$G30,GV30,Distances[[#This Row],[Colonne186]]+1)</f>
        <v>30</v>
      </c>
      <c r="GX30" s="17">
        <f>IF(Distances[[#This Row],[Colonne187]]=$G30,GW30,Distances[[#This Row],[Colonne187]]+1)</f>
        <v>30</v>
      </c>
      <c r="GY30" s="17">
        <f>IF(Distances[[#This Row],[Colonne188]]=$G30,GX30,Distances[[#This Row],[Colonne188]]+1)</f>
        <v>30</v>
      </c>
      <c r="GZ30" s="17">
        <f>IF(Distances[[#This Row],[Colonne189]]=$G30,GY30,Distances[[#This Row],[Colonne189]]+1)</f>
        <v>30</v>
      </c>
      <c r="HA30" s="17">
        <f>IF(Distances[[#This Row],[Colonne190]]=$G30,GZ30,Distances[[#This Row],[Colonne190]]+1)</f>
        <v>30</v>
      </c>
      <c r="HB30" s="17">
        <f>IF(Distances[[#This Row],[Colonne191]]=$G30,HA30,Distances[[#This Row],[Colonne191]]+1)</f>
        <v>30</v>
      </c>
      <c r="HC30" s="17">
        <f>IF(Distances[[#This Row],[Colonne192]]=$G30,HB30,Distances[[#This Row],[Colonne192]]+1)</f>
        <v>30</v>
      </c>
      <c r="HD30" s="17">
        <f>IF(Distances[[#This Row],[Colonne193]]=$G30,HC30,Distances[[#This Row],[Colonne193]]+1)</f>
        <v>30</v>
      </c>
      <c r="HE30" s="17">
        <f>IF(Distances[[#This Row],[Colonne194]]=$G30,HD30,Distances[[#This Row],[Colonne194]]+1)</f>
        <v>30</v>
      </c>
      <c r="HF30" s="17">
        <f>IF(Distances[[#This Row],[Colonne195]]=$G30,HE30,Distances[[#This Row],[Colonne195]]+1)</f>
        <v>30</v>
      </c>
      <c r="HG30" s="17">
        <f>IF(Distances[[#This Row],[Colonne196]]=$G30,HF30,Distances[[#This Row],[Colonne196]]+1)</f>
        <v>30</v>
      </c>
      <c r="HH30" s="17">
        <f>IF(Distances[[#This Row],[Colonne197]]=$G30,HG30,Distances[[#This Row],[Colonne197]]+1)</f>
        <v>30</v>
      </c>
      <c r="HI30" s="17">
        <f>IF(Distances[[#This Row],[Colonne198]]=$G30,HH30,Distances[[#This Row],[Colonne198]]+1)</f>
        <v>30</v>
      </c>
      <c r="HJ30" s="17">
        <f>IF(Distances[[#This Row],[Colonne199]]=$G30,HI30,Distances[[#This Row],[Colonne199]]+1)</f>
        <v>30</v>
      </c>
      <c r="HK30" s="17">
        <f>IF(Distances[[#This Row],[Colonne200]]=$G30,HJ30,Distances[[#This Row],[Colonne200]]+1)</f>
        <v>30</v>
      </c>
      <c r="HL30" s="17">
        <f>IF(Distances[[#This Row],[Colonne201]]=$G30,HK30,Distances[[#This Row],[Colonne201]]+1)</f>
        <v>30</v>
      </c>
      <c r="HM30" s="17">
        <f>IF(Distances[[#This Row],[Colonne202]]=$G30,HL30,Distances[[#This Row],[Colonne202]]+1)</f>
        <v>30</v>
      </c>
      <c r="HN30" s="17">
        <f>IF(Distances[[#This Row],[Colonne203]]=$G30,HM30,Distances[[#This Row],[Colonne203]]+1)</f>
        <v>30</v>
      </c>
      <c r="HO30" s="17">
        <f>IF(Distances[[#This Row],[Colonne204]]=$G30,HN30,Distances[[#This Row],[Colonne204]]+1)</f>
        <v>30</v>
      </c>
      <c r="HP30" s="17">
        <f>IF(Distances[[#This Row],[Colonne205]]=$G30,HO30,Distances[[#This Row],[Colonne205]]+1)</f>
        <v>30</v>
      </c>
      <c r="HQ30" s="17">
        <f>IF(Distances[[#This Row],[Colonne206]]=$G30,HP30,Distances[[#This Row],[Colonne206]]+1)</f>
        <v>30</v>
      </c>
      <c r="HR30" s="17">
        <f>IF(Distances[[#This Row],[Colonne207]]=$G30,HQ30,Distances[[#This Row],[Colonne207]]+1)</f>
        <v>30</v>
      </c>
      <c r="HS30" s="17">
        <f>IF(Distances[[#This Row],[Colonne208]]=$G30,HR30,Distances[[#This Row],[Colonne208]]+1)</f>
        <v>30</v>
      </c>
      <c r="HT30" s="17">
        <f>IF(Distances[[#This Row],[Colonne209]]=$G30,HS30,Distances[[#This Row],[Colonne209]]+1)</f>
        <v>30</v>
      </c>
      <c r="HU30" s="17">
        <f>IF(Distances[[#This Row],[Colonne210]]=$G30,HT30,Distances[[#This Row],[Colonne210]]+1)</f>
        <v>30</v>
      </c>
      <c r="HV30" s="17">
        <f>IF(Distances[[#This Row],[Colonne211]]=$G30,HU30,Distances[[#This Row],[Colonne211]]+1)</f>
        <v>30</v>
      </c>
      <c r="HW30" s="17">
        <f>IF(Distances[[#This Row],[Colonne212]]=$G30,HV30,Distances[[#This Row],[Colonne212]]+1)</f>
        <v>30</v>
      </c>
      <c r="HX30" s="17">
        <f>IF(Distances[[#This Row],[Colonne213]]=$G30,HW30,Distances[[#This Row],[Colonne213]]+1)</f>
        <v>30</v>
      </c>
      <c r="HY30" s="17">
        <f>IF(Distances[[#This Row],[Colonne214]]=$G30,HX30,Distances[[#This Row],[Colonne214]]+1)</f>
        <v>30</v>
      </c>
      <c r="HZ30" s="17">
        <f>IF(Distances[[#This Row],[Colonne215]]=$G30,HY30,Distances[[#This Row],[Colonne215]]+1)</f>
        <v>30</v>
      </c>
      <c r="IA30" s="17">
        <f>IF(Distances[[#This Row],[Colonne216]]=$G30,HZ30,Distances[[#This Row],[Colonne216]]+1)</f>
        <v>30</v>
      </c>
      <c r="IB30" s="17">
        <f>IF(Distances[[#This Row],[Colonne217]]=$G30,IA30,Distances[[#This Row],[Colonne217]]+1)</f>
        <v>30</v>
      </c>
      <c r="IC30" s="17">
        <f>IF(Distances[[#This Row],[Colonne218]]=$G30,IB30,Distances[[#This Row],[Colonne218]]+1)</f>
        <v>30</v>
      </c>
      <c r="ID30" s="17">
        <f>IF(Distances[[#This Row],[Colonne219]]=$G30,IC30,Distances[[#This Row],[Colonne219]]+1)</f>
        <v>30</v>
      </c>
      <c r="IE30" s="17">
        <f>IF(Distances[[#This Row],[Colonne220]]=$G30,ID30,Distances[[#This Row],[Colonne220]]+1)</f>
        <v>30</v>
      </c>
      <c r="IF30" s="17">
        <f>IF(Distances[[#This Row],[Colonne221]]=$G30,IE30,Distances[[#This Row],[Colonne221]]+1)</f>
        <v>30</v>
      </c>
      <c r="IG30" s="17">
        <f>IF(Distances[[#This Row],[Colonne222]]=$G30,IF30,Distances[[#This Row],[Colonne222]]+1)</f>
        <v>30</v>
      </c>
      <c r="IH30" s="17">
        <f>IF(Distances[[#This Row],[Colonne223]]=$G30,IG30,Distances[[#This Row],[Colonne223]]+1)</f>
        <v>30</v>
      </c>
      <c r="II30" s="17">
        <f>IF(Distances[[#This Row],[Colonne224]]=$G30,IH30,Distances[[#This Row],[Colonne224]]+1)</f>
        <v>30</v>
      </c>
      <c r="IJ30" s="17">
        <f>IF(Distances[[#This Row],[Colonne225]]=$G30,II30,Distances[[#This Row],[Colonne225]]+1)</f>
        <v>30</v>
      </c>
      <c r="IK30" s="17">
        <f>IF(Distances[[#This Row],[Colonne226]]=$G30,IJ30,Distances[[#This Row],[Colonne226]]+1)</f>
        <v>30</v>
      </c>
      <c r="IL30" s="17">
        <f>IF(Distances[[#This Row],[Colonne227]]=$G30,IK30,Distances[[#This Row],[Colonne227]]+1)</f>
        <v>30</v>
      </c>
      <c r="IM30" s="17">
        <f>IF(Distances[[#This Row],[Colonne228]]=$G30,IL30,Distances[[#This Row],[Colonne228]]+1)</f>
        <v>30</v>
      </c>
      <c r="IN30" s="17">
        <f>IF(Distances[[#This Row],[Colonne229]]=$G30,IM30,Distances[[#This Row],[Colonne229]]+1)</f>
        <v>30</v>
      </c>
      <c r="IO30" s="17">
        <f>IF(Distances[[#This Row],[Colonne230]]=$G30,IN30,Distances[[#This Row],[Colonne230]]+1)</f>
        <v>30</v>
      </c>
      <c r="IP30" s="17">
        <f>IF(Distances[[#This Row],[Colonne231]]=$G30,IO30,Distances[[#This Row],[Colonne231]]+1)</f>
        <v>30</v>
      </c>
      <c r="IQ30" s="17">
        <f>IF(Distances[[#This Row],[Colonne232]]=$G30,IP30,Distances[[#This Row],[Colonne232]]+1)</f>
        <v>30</v>
      </c>
      <c r="IR30" s="17">
        <f>IF(Distances[[#This Row],[Colonne233]]=$G30,IQ30,Distances[[#This Row],[Colonne233]]+1)</f>
        <v>30</v>
      </c>
      <c r="IS30" s="17">
        <f>IF(Distances[[#This Row],[Colonne234]]=$G30,IR30,Distances[[#This Row],[Colonne234]]+1)</f>
        <v>30</v>
      </c>
      <c r="IT30" s="17">
        <f>IF(Distances[[#This Row],[Colonne235]]=$G30,IS30,Distances[[#This Row],[Colonne235]]+1)</f>
        <v>30</v>
      </c>
      <c r="IU30" s="17">
        <f>IF(Distances[[#This Row],[Colonne236]]=$G30,IT30,Distances[[#This Row],[Colonne236]]+1)</f>
        <v>30</v>
      </c>
      <c r="IV30" s="17">
        <f>IF(Distances[[#This Row],[Colonne237]]=$G30,IU30,Distances[[#This Row],[Colonne237]]+1)</f>
        <v>30</v>
      </c>
      <c r="IW30" s="17">
        <f>IF(Distances[[#This Row],[Colonne238]]=$G30,IV30,Distances[[#This Row],[Colonne238]]+1)</f>
        <v>30</v>
      </c>
      <c r="IX30" s="17">
        <f>IF(Distances[[#This Row],[Colonne239]]=$G30,IW30,Distances[[#This Row],[Colonne239]]+1)</f>
        <v>30</v>
      </c>
      <c r="IY30" s="17">
        <f>IF(Distances[[#This Row],[Colonne240]]=$G30,IX30,Distances[[#This Row],[Colonne240]]+1)</f>
        <v>30</v>
      </c>
      <c r="IZ30" s="17">
        <f>IF(Distances[[#This Row],[Colonne241]]=$G30,IY30,Distances[[#This Row],[Colonne241]]+1)</f>
        <v>30</v>
      </c>
      <c r="JA30" s="17">
        <f>IF(Distances[[#This Row],[Colonne242]]=$G30,IZ30,Distances[[#This Row],[Colonne242]]+1)</f>
        <v>30</v>
      </c>
      <c r="JB30" s="17">
        <f>IF(Distances[[#This Row],[Colonne243]]=$G30,JA30,Distances[[#This Row],[Colonne243]]+1)</f>
        <v>30</v>
      </c>
      <c r="JC30" s="17">
        <f>IF(Distances[[#This Row],[Colonne244]]=$G30,JB30,Distances[[#This Row],[Colonne244]]+1)</f>
        <v>30</v>
      </c>
      <c r="JD30" s="17">
        <f>IF(Distances[[#This Row],[Colonne245]]=$G30,JC30,Distances[[#This Row],[Colonne245]]+1)</f>
        <v>30</v>
      </c>
      <c r="JE30" s="17">
        <f>IF(Distances[[#This Row],[Colonne246]]=$G30,JD30,Distances[[#This Row],[Colonne246]]+1)</f>
        <v>30</v>
      </c>
      <c r="JF30" s="17">
        <f>IF(Distances[[#This Row],[Colonne247]]=$G30,JE30,Distances[[#This Row],[Colonne247]]+1)</f>
        <v>30</v>
      </c>
      <c r="JG30" s="17">
        <f>IF(Distances[[#This Row],[Colonne248]]=$G30,JF30,Distances[[#This Row],[Colonne248]]+1)</f>
        <v>30</v>
      </c>
      <c r="JH30" s="17">
        <f>IF(Distances[[#This Row],[Colonne249]]=$G30,JG30,Distances[[#This Row],[Colonne249]]+1)</f>
        <v>30</v>
      </c>
      <c r="JI30" s="17">
        <f>IF(Distances[[#This Row],[Colonne250]]=$G30,JH30,Distances[[#This Row],[Colonne250]]+1)</f>
        <v>30</v>
      </c>
      <c r="JJ30" s="17">
        <f>IF(Distances[[#This Row],[Colonne251]]=$G30,JI30,Distances[[#This Row],[Colonne251]]+1)</f>
        <v>30</v>
      </c>
      <c r="JK30" s="17">
        <f>IF(Distances[[#This Row],[Colonne252]]=$G30,JJ30,Distances[[#This Row],[Colonne252]]+1)</f>
        <v>30</v>
      </c>
      <c r="JL30" s="17">
        <f>IF(Distances[[#This Row],[Colonne253]]=$G30,JK30,Distances[[#This Row],[Colonne253]]+1)</f>
        <v>30</v>
      </c>
      <c r="JM30" s="17">
        <f>IF(Distances[[#This Row],[Colonne254]]=$G30,JL30,Distances[[#This Row],[Colonne254]]+1)</f>
        <v>30</v>
      </c>
      <c r="JN30" s="17">
        <f>IF(Distances[[#This Row],[Colonne255]]=$G30,JM30,Distances[[#This Row],[Colonne255]]+1)</f>
        <v>30</v>
      </c>
      <c r="JO30" s="17">
        <f>IF(Distances[[#This Row],[Colonne256]]=$G30,JN30,Distances[[#This Row],[Colonne256]]+1)</f>
        <v>30</v>
      </c>
      <c r="JP30" s="17">
        <f>IF(Distances[[#This Row],[Colonne257]]=$G30,JO30,Distances[[#This Row],[Colonne257]]+1)</f>
        <v>30</v>
      </c>
      <c r="JQ30" s="17">
        <f>IF(Distances[[#This Row],[Colonne258]]=$G30,JP30,Distances[[#This Row],[Colonne258]]+1)</f>
        <v>30</v>
      </c>
      <c r="JR30" s="17">
        <f>IF(Distances[[#This Row],[Colonne259]]=$G30,JQ30,Distances[[#This Row],[Colonne259]]+1)</f>
        <v>30</v>
      </c>
      <c r="JS30" s="17">
        <f>IF(Distances[[#This Row],[Colonne260]]=$G30,JR30,Distances[[#This Row],[Colonne260]]+1)</f>
        <v>30</v>
      </c>
      <c r="JT30" s="17">
        <f>IF(Distances[[#This Row],[Colonne261]]=$G30,JS30,Distances[[#This Row],[Colonne261]]+1)</f>
        <v>30</v>
      </c>
      <c r="JU30" s="17">
        <f>IF(Distances[[#This Row],[Colonne262]]=$G30,JT30,Distances[[#This Row],[Colonne262]]+1)</f>
        <v>30</v>
      </c>
      <c r="JV30" s="17">
        <f>IF(Distances[[#This Row],[Colonne263]]=$G30,JU30,Distances[[#This Row],[Colonne263]]+1)</f>
        <v>30</v>
      </c>
      <c r="JW30" s="17">
        <f>IF(Distances[[#This Row],[Colonne264]]=$G30,JV30,Distances[[#This Row],[Colonne264]]+1)</f>
        <v>30</v>
      </c>
      <c r="JX30" s="17">
        <f>IF(Distances[[#This Row],[Colonne265]]=$G30,JW30,Distances[[#This Row],[Colonne265]]+1)</f>
        <v>30</v>
      </c>
      <c r="JY30" s="17">
        <f>IF(Distances[[#This Row],[Colonne266]]=$G30,JX30,Distances[[#This Row],[Colonne266]]+1)</f>
        <v>30</v>
      </c>
      <c r="JZ30" s="17">
        <f>IF(Distances[[#This Row],[Colonne267]]=$G30,JY30,Distances[[#This Row],[Colonne267]]+1)</f>
        <v>30</v>
      </c>
      <c r="KA30" s="17">
        <f>IF(Distances[[#This Row],[Colonne268]]=$G30,JZ30,Distances[[#This Row],[Colonne268]]+1)</f>
        <v>30</v>
      </c>
      <c r="KB30" s="17">
        <f>IF(Distances[[#This Row],[Colonne269]]=$G30,KA30,Distances[[#This Row],[Colonne269]]+1)</f>
        <v>30</v>
      </c>
      <c r="KC30" s="17">
        <f>IF(Distances[[#This Row],[Colonne270]]=$G30,KB30,Distances[[#This Row],[Colonne270]]+1)</f>
        <v>30</v>
      </c>
      <c r="KD30" s="17">
        <f>IF(Distances[[#This Row],[Colonne271]]=$G30,KC30,Distances[[#This Row],[Colonne271]]+1)</f>
        <v>30</v>
      </c>
      <c r="KE30" s="17">
        <f>IF(Distances[[#This Row],[Colonne272]]=$G30,KD30,Distances[[#This Row],[Colonne272]]+1)</f>
        <v>30</v>
      </c>
      <c r="KF30" s="17">
        <f>IF(Distances[[#This Row],[Colonne273]]=$G30,KE30,Distances[[#This Row],[Colonne273]]+1)</f>
        <v>30</v>
      </c>
      <c r="KG30" s="17">
        <f>IF(Distances[[#This Row],[Colonne274]]=$G30,KF30,Distances[[#This Row],[Colonne274]]+1)</f>
        <v>30</v>
      </c>
      <c r="KH30" s="17">
        <f>IF(Distances[[#This Row],[Colonne275]]=$G30,KG30,Distances[[#This Row],[Colonne275]]+1)</f>
        <v>30</v>
      </c>
      <c r="KI30" s="17">
        <f>IF(Distances[[#This Row],[Colonne276]]=$G30,KH30,Distances[[#This Row],[Colonne276]]+1)</f>
        <v>30</v>
      </c>
      <c r="KJ30" s="17">
        <f>IF(Distances[[#This Row],[Colonne277]]=$G30,KI30,Distances[[#This Row],[Colonne277]]+1)</f>
        <v>30</v>
      </c>
      <c r="KK30" s="17">
        <f>IF(Distances[[#This Row],[Colonne278]]=$G30,KJ30,Distances[[#This Row],[Colonne278]]+1)</f>
        <v>30</v>
      </c>
      <c r="KL30" s="17">
        <f>IF(Distances[[#This Row],[Colonne279]]=$G30,KK30,Distances[[#This Row],[Colonne279]]+1)</f>
        <v>30</v>
      </c>
      <c r="KM30" s="17">
        <f>IF(Distances[[#This Row],[Colonne280]]=$G30,KL30,Distances[[#This Row],[Colonne280]]+1)</f>
        <v>30</v>
      </c>
      <c r="KN30" s="17">
        <f>IF(Distances[[#This Row],[Colonne281]]=$G30,KM30,Distances[[#This Row],[Colonne281]]+1)</f>
        <v>30</v>
      </c>
      <c r="KO30" s="17">
        <f>IF(Distances[[#This Row],[Colonne282]]=$G30,KN30,Distances[[#This Row],[Colonne282]]+1)</f>
        <v>30</v>
      </c>
      <c r="KP30" s="17">
        <f>IF(Distances[[#This Row],[Colonne283]]=$G30,KO30,Distances[[#This Row],[Colonne283]]+1)</f>
        <v>30</v>
      </c>
      <c r="KQ30" s="17">
        <f>IF(Distances[[#This Row],[Colonne284]]=$G30,KP30,Distances[[#This Row],[Colonne284]]+1)</f>
        <v>30</v>
      </c>
      <c r="KR30" s="17">
        <f>IF(Distances[[#This Row],[Colonne285]]=$G30,KQ30,Distances[[#This Row],[Colonne285]]+1)</f>
        <v>30</v>
      </c>
      <c r="KS30" s="17">
        <f>IF(Distances[[#This Row],[Colonne286]]=$G30,KR30,Distances[[#This Row],[Colonne286]]+1)</f>
        <v>30</v>
      </c>
      <c r="KT30" s="17">
        <f>IF(Distances[[#This Row],[Colonne287]]=$G30,KS30,Distances[[#This Row],[Colonne287]]+1)</f>
        <v>30</v>
      </c>
      <c r="KU30" s="17">
        <f>IF(Distances[[#This Row],[Colonne288]]=$G30,KT30,Distances[[#This Row],[Colonne288]]+1)</f>
        <v>30</v>
      </c>
      <c r="KV30" s="17">
        <f>IF(Distances[[#This Row],[Colonne289]]=$G30,KU30,Distances[[#This Row],[Colonne289]]+1)</f>
        <v>30</v>
      </c>
      <c r="KW30" s="17">
        <f>IF(Distances[[#This Row],[Colonne290]]=$G30,KV30,Distances[[#This Row],[Colonne290]]+1)</f>
        <v>30</v>
      </c>
      <c r="KX30" s="17">
        <f>IF(Distances[[#This Row],[Colonne291]]=$G30,KW30,Distances[[#This Row],[Colonne291]]+1)</f>
        <v>30</v>
      </c>
      <c r="KY30" s="17">
        <f>IF(Distances[[#This Row],[Colonne292]]=$G30,KX30,Distances[[#This Row],[Colonne292]]+1)</f>
        <v>30</v>
      </c>
      <c r="KZ30" s="17">
        <f>IF(Distances[[#This Row],[Colonne293]]=$G30,KY30,Distances[[#This Row],[Colonne293]]+1)</f>
        <v>30</v>
      </c>
      <c r="LA30" s="17">
        <f>IF(Distances[[#This Row],[Colonne294]]=$G30,KZ30,Distances[[#This Row],[Colonne294]]+1)</f>
        <v>30</v>
      </c>
      <c r="LB30" s="17">
        <f>IF(Distances[[#This Row],[Colonne295]]=$G30,LA30,Distances[[#This Row],[Colonne295]]+1)</f>
        <v>30</v>
      </c>
      <c r="LC30" s="17">
        <f>IF(Distances[[#This Row],[Colonne296]]=$G30,LB30,Distances[[#This Row],[Colonne296]]+1)</f>
        <v>30</v>
      </c>
      <c r="LD30" s="17">
        <f>IF(Distances[[#This Row],[Colonne297]]=$G30,LC30,Distances[[#This Row],[Colonne297]]+1)</f>
        <v>30</v>
      </c>
      <c r="LE30" s="17">
        <f>IF(Distances[[#This Row],[Colonne298]]=$G30,LD30,Distances[[#This Row],[Colonne298]]+1)</f>
        <v>30</v>
      </c>
      <c r="LF30" s="17">
        <f>IF(Distances[[#This Row],[Colonne299]]=$G30,LE30,Distances[[#This Row],[Colonne299]]+1)</f>
        <v>30</v>
      </c>
      <c r="LG30" s="17">
        <f>IF(Distances[[#This Row],[Colonne300]]=$G30,LF30,Distances[[#This Row],[Colonne300]]+1)</f>
        <v>30</v>
      </c>
      <c r="LH30" s="17">
        <f>IF(Distances[[#This Row],[Colonne301]]=$G30,LG30,Distances[[#This Row],[Colonne301]]+1)</f>
        <v>30</v>
      </c>
      <c r="LI30" s="17">
        <f>IF(Distances[[#This Row],[Colonne302]]=$G30,LH30,Distances[[#This Row],[Colonne302]]+1)</f>
        <v>30</v>
      </c>
      <c r="LJ30" s="17">
        <f>IF(Distances[[#This Row],[Colonne303]]=$G30,LI30,Distances[[#This Row],[Colonne303]]+1)</f>
        <v>30</v>
      </c>
      <c r="LK30" s="51"/>
      <c r="LL30" s="17">
        <f t="shared" ref="LL30:NW30" si="58">IF(LK30=$H30,LK30,LK30+1)</f>
        <v>1</v>
      </c>
      <c r="LM30" s="17">
        <f t="shared" si="58"/>
        <v>2</v>
      </c>
      <c r="LN30" s="17">
        <f t="shared" si="58"/>
        <v>3</v>
      </c>
      <c r="LO30" s="17">
        <f t="shared" si="58"/>
        <v>4</v>
      </c>
      <c r="LP30" s="17">
        <f t="shared" si="58"/>
        <v>5</v>
      </c>
      <c r="LQ30" s="17">
        <f t="shared" si="58"/>
        <v>6</v>
      </c>
      <c r="LR30" s="17">
        <f t="shared" si="58"/>
        <v>7</v>
      </c>
      <c r="LS30" s="17">
        <f t="shared" si="58"/>
        <v>8</v>
      </c>
      <c r="LT30" s="17">
        <f t="shared" si="58"/>
        <v>9</v>
      </c>
      <c r="LU30" s="17">
        <f t="shared" si="58"/>
        <v>10</v>
      </c>
      <c r="LV30" s="17">
        <f t="shared" si="58"/>
        <v>11</v>
      </c>
      <c r="LW30" s="17">
        <f t="shared" si="58"/>
        <v>12</v>
      </c>
      <c r="LX30" s="17">
        <f t="shared" si="58"/>
        <v>13</v>
      </c>
      <c r="LY30" s="17">
        <f t="shared" si="58"/>
        <v>14</v>
      </c>
      <c r="LZ30" s="17">
        <f t="shared" si="58"/>
        <v>15</v>
      </c>
      <c r="MA30" s="17">
        <f t="shared" si="58"/>
        <v>16</v>
      </c>
      <c r="MB30" s="17">
        <f t="shared" si="58"/>
        <v>17</v>
      </c>
      <c r="MC30" s="17">
        <f t="shared" si="58"/>
        <v>18</v>
      </c>
      <c r="MD30" s="17">
        <f t="shared" si="58"/>
        <v>19</v>
      </c>
      <c r="ME30" s="17">
        <f t="shared" si="58"/>
        <v>20</v>
      </c>
      <c r="MF30" s="17">
        <f t="shared" si="58"/>
        <v>21</v>
      </c>
      <c r="MG30" s="17">
        <f t="shared" si="58"/>
        <v>22</v>
      </c>
      <c r="MH30" s="17">
        <f t="shared" si="58"/>
        <v>23</v>
      </c>
      <c r="MI30" s="17">
        <f t="shared" si="58"/>
        <v>24</v>
      </c>
      <c r="MJ30" s="17">
        <f t="shared" si="58"/>
        <v>25</v>
      </c>
      <c r="MK30" s="17">
        <f t="shared" si="58"/>
        <v>26</v>
      </c>
      <c r="ML30" s="17">
        <f t="shared" si="58"/>
        <v>27</v>
      </c>
      <c r="MM30" s="17">
        <f t="shared" si="58"/>
        <v>28</v>
      </c>
      <c r="MN30" s="17">
        <f t="shared" si="58"/>
        <v>29</v>
      </c>
      <c r="MO30" s="17">
        <f t="shared" si="58"/>
        <v>30</v>
      </c>
      <c r="MP30" s="17">
        <f t="shared" si="58"/>
        <v>31</v>
      </c>
      <c r="MQ30" s="17">
        <f t="shared" si="58"/>
        <v>32</v>
      </c>
      <c r="MR30" s="17">
        <f t="shared" si="58"/>
        <v>33</v>
      </c>
      <c r="MS30" s="17">
        <f t="shared" si="58"/>
        <v>34</v>
      </c>
      <c r="MT30" s="17">
        <f t="shared" si="58"/>
        <v>35</v>
      </c>
      <c r="MU30" s="17">
        <f t="shared" si="58"/>
        <v>36</v>
      </c>
      <c r="MV30" s="17">
        <f t="shared" si="58"/>
        <v>37</v>
      </c>
      <c r="MW30" s="17">
        <f t="shared" si="58"/>
        <v>38</v>
      </c>
      <c r="MX30" s="17">
        <f t="shared" si="58"/>
        <v>39</v>
      </c>
      <c r="MY30" s="17">
        <f t="shared" si="58"/>
        <v>40</v>
      </c>
      <c r="MZ30" s="17">
        <f t="shared" si="58"/>
        <v>41</v>
      </c>
      <c r="NA30" s="17">
        <f t="shared" si="58"/>
        <v>42</v>
      </c>
      <c r="NB30" s="17">
        <f t="shared" si="58"/>
        <v>43</v>
      </c>
      <c r="NC30" s="17">
        <f t="shared" si="58"/>
        <v>44</v>
      </c>
      <c r="ND30" s="17">
        <f t="shared" si="58"/>
        <v>45</v>
      </c>
      <c r="NE30" s="17">
        <f t="shared" si="58"/>
        <v>46</v>
      </c>
      <c r="NF30" s="17">
        <f t="shared" si="58"/>
        <v>47</v>
      </c>
      <c r="NG30" s="17">
        <f t="shared" si="58"/>
        <v>48</v>
      </c>
      <c r="NH30" s="17">
        <f t="shared" si="58"/>
        <v>49</v>
      </c>
      <c r="NI30" s="17">
        <f t="shared" si="58"/>
        <v>50</v>
      </c>
      <c r="NJ30" s="17">
        <f t="shared" si="58"/>
        <v>51</v>
      </c>
      <c r="NK30" s="17">
        <f t="shared" si="58"/>
        <v>52</v>
      </c>
      <c r="NL30" s="17">
        <f t="shared" si="58"/>
        <v>53</v>
      </c>
      <c r="NM30" s="17">
        <f t="shared" si="58"/>
        <v>54</v>
      </c>
      <c r="NN30" s="17">
        <f t="shared" si="58"/>
        <v>55</v>
      </c>
      <c r="NO30" s="17">
        <f t="shared" si="58"/>
        <v>55</v>
      </c>
      <c r="NP30" s="17">
        <f t="shared" si="58"/>
        <v>55</v>
      </c>
      <c r="NQ30" s="17">
        <f t="shared" si="58"/>
        <v>55</v>
      </c>
      <c r="NR30" s="17">
        <f t="shared" si="58"/>
        <v>55</v>
      </c>
      <c r="NS30" s="17">
        <f t="shared" si="58"/>
        <v>55</v>
      </c>
      <c r="NT30" s="17">
        <f t="shared" si="58"/>
        <v>55</v>
      </c>
      <c r="NU30" s="17">
        <f t="shared" si="58"/>
        <v>55</v>
      </c>
      <c r="NV30" s="17">
        <f t="shared" si="58"/>
        <v>55</v>
      </c>
      <c r="NW30" s="17">
        <f t="shared" si="58"/>
        <v>55</v>
      </c>
      <c r="NX30" s="17">
        <f t="shared" ref="NX30:PG30" si="59">IF(NW30=$H30,NW30,NW30+1)</f>
        <v>55</v>
      </c>
      <c r="NY30" s="17">
        <f t="shared" si="59"/>
        <v>55</v>
      </c>
      <c r="NZ30" s="17">
        <f t="shared" si="59"/>
        <v>55</v>
      </c>
      <c r="OA30" s="17">
        <f t="shared" si="59"/>
        <v>55</v>
      </c>
      <c r="OB30" s="17">
        <f t="shared" si="59"/>
        <v>55</v>
      </c>
      <c r="OC30" s="17">
        <f t="shared" si="59"/>
        <v>55</v>
      </c>
      <c r="OD30" s="17">
        <f t="shared" si="59"/>
        <v>55</v>
      </c>
      <c r="OE30" s="17">
        <f t="shared" si="59"/>
        <v>55</v>
      </c>
      <c r="OF30" s="17">
        <f t="shared" si="59"/>
        <v>55</v>
      </c>
      <c r="OG30" s="17">
        <f t="shared" si="59"/>
        <v>55</v>
      </c>
      <c r="OH30" s="17">
        <f t="shared" si="59"/>
        <v>55</v>
      </c>
      <c r="OI30" s="17">
        <f t="shared" si="59"/>
        <v>55</v>
      </c>
      <c r="OJ30" s="17">
        <f t="shared" si="59"/>
        <v>55</v>
      </c>
      <c r="OK30" s="17">
        <f t="shared" si="59"/>
        <v>55</v>
      </c>
      <c r="OL30" s="17">
        <f t="shared" si="59"/>
        <v>55</v>
      </c>
      <c r="OM30" s="17">
        <f t="shared" si="59"/>
        <v>55</v>
      </c>
      <c r="ON30" s="17">
        <f t="shared" si="59"/>
        <v>55</v>
      </c>
      <c r="OO30" s="17">
        <f t="shared" si="59"/>
        <v>55</v>
      </c>
      <c r="OP30" s="17">
        <f t="shared" si="59"/>
        <v>55</v>
      </c>
      <c r="OQ30" s="17">
        <f t="shared" si="59"/>
        <v>55</v>
      </c>
      <c r="OR30" s="17">
        <f t="shared" si="59"/>
        <v>55</v>
      </c>
      <c r="OS30" s="17">
        <f t="shared" si="59"/>
        <v>55</v>
      </c>
      <c r="OT30" s="17">
        <f t="shared" si="59"/>
        <v>55</v>
      </c>
      <c r="OU30" s="17">
        <f t="shared" si="59"/>
        <v>55</v>
      </c>
      <c r="OV30" s="17">
        <f t="shared" si="59"/>
        <v>55</v>
      </c>
      <c r="OW30" s="17">
        <f t="shared" si="59"/>
        <v>55</v>
      </c>
      <c r="OX30" s="17">
        <f t="shared" si="59"/>
        <v>55</v>
      </c>
      <c r="OY30" s="17">
        <f t="shared" si="59"/>
        <v>55</v>
      </c>
      <c r="OZ30" s="17">
        <f t="shared" si="59"/>
        <v>55</v>
      </c>
      <c r="PA30" s="17">
        <f t="shared" si="59"/>
        <v>55</v>
      </c>
      <c r="PB30" s="17">
        <f t="shared" si="59"/>
        <v>55</v>
      </c>
      <c r="PC30" s="17">
        <f t="shared" si="59"/>
        <v>55</v>
      </c>
      <c r="PD30" s="17">
        <f t="shared" si="59"/>
        <v>55</v>
      </c>
      <c r="PE30" s="17">
        <f t="shared" si="59"/>
        <v>55</v>
      </c>
      <c r="PF30" s="17">
        <f t="shared" si="59"/>
        <v>55</v>
      </c>
      <c r="PG30" s="17">
        <f t="shared" si="59"/>
        <v>55</v>
      </c>
    </row>
    <row r="31" spans="1:423" x14ac:dyDescent="0.25">
      <c r="A31" s="8" t="s">
        <v>5454</v>
      </c>
      <c r="B31" s="9" t="s">
        <v>26</v>
      </c>
      <c r="C31" s="9" t="str">
        <f t="shared" si="0"/>
        <v>3N3</v>
      </c>
      <c r="D31" s="1" t="str">
        <f t="shared" si="1"/>
        <v>3 Bandes N3</v>
      </c>
      <c r="E31" s="1" t="s">
        <v>15</v>
      </c>
      <c r="F31" s="9" t="s">
        <v>5452</v>
      </c>
      <c r="G31" s="9">
        <v>20</v>
      </c>
      <c r="H31" s="9">
        <v>50</v>
      </c>
      <c r="I31" s="127">
        <v>2.8</v>
      </c>
      <c r="J31" s="30"/>
      <c r="K31" s="281"/>
      <c r="L31" s="8">
        <v>0.36</v>
      </c>
      <c r="M31" s="9">
        <v>0.36</v>
      </c>
      <c r="N31" s="10">
        <v>0.52290000000000003</v>
      </c>
      <c r="O31" s="269"/>
      <c r="P31" s="331"/>
      <c r="Q31" s="335"/>
      <c r="R31" s="128">
        <v>1</v>
      </c>
      <c r="S31" s="9">
        <v>1</v>
      </c>
      <c r="T31" s="10">
        <v>2</v>
      </c>
      <c r="U31" t="s">
        <v>5523</v>
      </c>
      <c r="V31" s="17">
        <v>0</v>
      </c>
      <c r="W31" s="17">
        <f>IF(Distances[[#This Row],[Colonne4]]=$G31,V31,Distances[[#This Row],[Colonne4]]+1)</f>
        <v>1</v>
      </c>
      <c r="X31" s="17">
        <f>IF(Distances[[#This Row],[Colonne5]]=$G31,W31,Distances[[#This Row],[Colonne5]]+1)</f>
        <v>2</v>
      </c>
      <c r="Y31" s="17">
        <f>IF(Distances[[#This Row],[Colonne6]]=$G31,X31,Distances[[#This Row],[Colonne6]]+1)</f>
        <v>3</v>
      </c>
      <c r="Z31" s="17">
        <f>IF(Distances[[#This Row],[Colonne7]]=$G31,Y31,Distances[[#This Row],[Colonne7]]+1)</f>
        <v>4</v>
      </c>
      <c r="AA31" s="17">
        <f>IF(Distances[[#This Row],[Colonne8]]=$G31,Z31,Distances[[#This Row],[Colonne8]]+1)</f>
        <v>5</v>
      </c>
      <c r="AB31" s="17">
        <f>IF(Distances[[#This Row],[Colonne9]]=$G31,AA31,Distances[[#This Row],[Colonne9]]+1)</f>
        <v>6</v>
      </c>
      <c r="AC31" s="17">
        <f>IF(Distances[[#This Row],[Colonne10]]=$G31,AB31,Distances[[#This Row],[Colonne10]]+1)</f>
        <v>7</v>
      </c>
      <c r="AD31" s="17">
        <f>IF(Distances[[#This Row],[Colonne11]]=$G31,AC31,Distances[[#This Row],[Colonne11]]+1)</f>
        <v>8</v>
      </c>
      <c r="AE31" s="17">
        <f>IF(Distances[[#This Row],[Colonne12]]=$G31,AD31,Distances[[#This Row],[Colonne12]]+1)</f>
        <v>9</v>
      </c>
      <c r="AF31" s="17">
        <f>IF(Distances[[#This Row],[Colonne13]]=$G31,AE31,Distances[[#This Row],[Colonne13]]+1)</f>
        <v>10</v>
      </c>
      <c r="AG31" s="17">
        <f>IF(Distances[[#This Row],[Colonne14]]=$G31,AF31,Distances[[#This Row],[Colonne14]]+1)</f>
        <v>11</v>
      </c>
      <c r="AH31" s="17">
        <f>IF(Distances[[#This Row],[Colonne15]]=$G31,AG31,Distances[[#This Row],[Colonne15]]+1)</f>
        <v>12</v>
      </c>
      <c r="AI31" s="17">
        <f>IF(Distances[[#This Row],[Colonne16]]=$G31,AH31,Distances[[#This Row],[Colonne16]]+1)</f>
        <v>13</v>
      </c>
      <c r="AJ31" s="17">
        <f>IF(Distances[[#This Row],[Colonne17]]=$G31,AI31,Distances[[#This Row],[Colonne17]]+1)</f>
        <v>14</v>
      </c>
      <c r="AK31" s="17">
        <f>IF(Distances[[#This Row],[Colonne18]]=$G31,AJ31,Distances[[#This Row],[Colonne18]]+1)</f>
        <v>15</v>
      </c>
      <c r="AL31" s="17">
        <f>IF(Distances[[#This Row],[Colonne19]]=$G31,AK31,Distances[[#This Row],[Colonne19]]+1)</f>
        <v>16</v>
      </c>
      <c r="AM31" s="17">
        <f>IF(Distances[[#This Row],[Colonne20]]=$G31,AL31,Distances[[#This Row],[Colonne20]]+1)</f>
        <v>17</v>
      </c>
      <c r="AN31" s="17">
        <f>IF(Distances[[#This Row],[Colonne21]]=$G31,AM31,Distances[[#This Row],[Colonne21]]+1)</f>
        <v>18</v>
      </c>
      <c r="AO31" s="17">
        <f>IF(Distances[[#This Row],[Colonne22]]=$G31,AN31,Distances[[#This Row],[Colonne22]]+1)</f>
        <v>19</v>
      </c>
      <c r="AP31" s="17">
        <f>IF(Distances[[#This Row],[Colonne23]]=$G31,AO31,Distances[[#This Row],[Colonne23]]+1)</f>
        <v>20</v>
      </c>
      <c r="AQ31" s="17">
        <f>IF(Distances[[#This Row],[Colonne24]]=$G31,AP31,Distances[[#This Row],[Colonne24]]+1)</f>
        <v>20</v>
      </c>
      <c r="AR31" s="17">
        <f>IF(Distances[[#This Row],[Colonne25]]=$G31,AQ31,Distances[[#This Row],[Colonne25]]+1)</f>
        <v>20</v>
      </c>
      <c r="AS31" s="17">
        <f>IF(Distances[[#This Row],[Colonne26]]=$G31,AR31,Distances[[#This Row],[Colonne26]]+1)</f>
        <v>20</v>
      </c>
      <c r="AT31" s="17">
        <f>IF(Distances[[#This Row],[Colonne27]]=$G31,AS31,Distances[[#This Row],[Colonne27]]+1)</f>
        <v>20</v>
      </c>
      <c r="AU31" s="17">
        <f>IF(Distances[[#This Row],[Colonne28]]=$G31,AT31,Distances[[#This Row],[Colonne28]]+1)</f>
        <v>20</v>
      </c>
      <c r="AV31" s="17">
        <f>IF(Distances[[#This Row],[Colonne29]]=$G31,AU31,Distances[[#This Row],[Colonne29]]+1)</f>
        <v>20</v>
      </c>
      <c r="AW31" s="17">
        <f>IF(Distances[[#This Row],[Colonne30]]=$G31,AV31,Distances[[#This Row],[Colonne30]]+1)</f>
        <v>20</v>
      </c>
      <c r="AX31" s="17">
        <f>IF(Distances[[#This Row],[Colonne31]]=$G31,AW31,Distances[[#This Row],[Colonne31]]+1)</f>
        <v>20</v>
      </c>
      <c r="AY31" s="17">
        <f>IF(Distances[[#This Row],[Colonne32]]=$G31,AX31,Distances[[#This Row],[Colonne32]]+1)</f>
        <v>20</v>
      </c>
      <c r="AZ31" s="17">
        <f>IF(Distances[[#This Row],[Colonne33]]=$G31,AY31,Distances[[#This Row],[Colonne33]]+1)</f>
        <v>20</v>
      </c>
      <c r="BA31" s="17">
        <f>IF(Distances[[#This Row],[Colonne34]]=$G31,AZ31,Distances[[#This Row],[Colonne34]]+1)</f>
        <v>20</v>
      </c>
      <c r="BB31" s="17">
        <f>IF(Distances[[#This Row],[Colonne35]]=$G31,BA31,Distances[[#This Row],[Colonne35]]+1)</f>
        <v>20</v>
      </c>
      <c r="BC31" s="17">
        <f>IF(Distances[[#This Row],[Colonne36]]=$G31,BB31,Distances[[#This Row],[Colonne36]]+1)</f>
        <v>20</v>
      </c>
      <c r="BD31" s="17">
        <f>IF(Distances[[#This Row],[Colonne37]]=$G31,BC31,Distances[[#This Row],[Colonne37]]+1)</f>
        <v>20</v>
      </c>
      <c r="BE31" s="17">
        <f>IF(Distances[[#This Row],[Colonne38]]=$G31,BD31,Distances[[#This Row],[Colonne38]]+1)</f>
        <v>20</v>
      </c>
      <c r="BF31" s="17">
        <f>IF(Distances[[#This Row],[Colonne39]]=$G31,BE31,Distances[[#This Row],[Colonne39]]+1)</f>
        <v>20</v>
      </c>
      <c r="BG31" s="17">
        <f>IF(Distances[[#This Row],[Colonne40]]=$G31,BF31,Distances[[#This Row],[Colonne40]]+1)</f>
        <v>20</v>
      </c>
      <c r="BH31" s="17">
        <f>IF(Distances[[#This Row],[Colonne41]]=$G31,BG31,Distances[[#This Row],[Colonne41]]+1)</f>
        <v>20</v>
      </c>
      <c r="BI31" s="17">
        <f>IF(Distances[[#This Row],[Colonne42]]=$G31,BH31,Distances[[#This Row],[Colonne42]]+1)</f>
        <v>20</v>
      </c>
      <c r="BJ31" s="17">
        <f>IF(Distances[[#This Row],[Colonne43]]=$G31,BI31,Distances[[#This Row],[Colonne43]]+1)</f>
        <v>20</v>
      </c>
      <c r="BK31" s="17">
        <f>IF(Distances[[#This Row],[Colonne44]]=$G31,BJ31,Distances[[#This Row],[Colonne44]]+1)</f>
        <v>20</v>
      </c>
      <c r="BL31" s="17">
        <f>IF(Distances[[#This Row],[Colonne45]]=$G31,BK31,Distances[[#This Row],[Colonne45]]+1)</f>
        <v>20</v>
      </c>
      <c r="BM31" s="17">
        <f>IF(Distances[[#This Row],[Colonne46]]=$G31,BL31,Distances[[#This Row],[Colonne46]]+1)</f>
        <v>20</v>
      </c>
      <c r="BN31" s="17">
        <f>IF(Distances[[#This Row],[Colonne47]]=$G31,BM31,Distances[[#This Row],[Colonne47]]+1)</f>
        <v>20</v>
      </c>
      <c r="BO31" s="17">
        <f>IF(Distances[[#This Row],[Colonne48]]=$G31,BN31,Distances[[#This Row],[Colonne48]]+1)</f>
        <v>20</v>
      </c>
      <c r="BP31" s="17">
        <f>IF(Distances[[#This Row],[Colonne49]]=$G31,BO31,Distances[[#This Row],[Colonne49]]+1)</f>
        <v>20</v>
      </c>
      <c r="BQ31" s="17">
        <f>IF(Distances[[#This Row],[Colonne50]]=$G31,BP31,Distances[[#This Row],[Colonne50]]+1)</f>
        <v>20</v>
      </c>
      <c r="BR31" s="17">
        <f>IF(Distances[[#This Row],[Colonne51]]=$G31,BQ31,Distances[[#This Row],[Colonne51]]+1)</f>
        <v>20</v>
      </c>
      <c r="BS31" s="17">
        <f>IF(Distances[[#This Row],[Colonne52]]=$G31,BR31,Distances[[#This Row],[Colonne52]]+1)</f>
        <v>20</v>
      </c>
      <c r="BT31" s="17">
        <f>IF(Distances[[#This Row],[Colonne53]]=$G31,BS31,Distances[[#This Row],[Colonne53]]+1)</f>
        <v>20</v>
      </c>
      <c r="BU31" s="17">
        <f>IF(Distances[[#This Row],[Colonne54]]=$G31,BT31,Distances[[#This Row],[Colonne54]]+1)</f>
        <v>20</v>
      </c>
      <c r="BV31" s="17">
        <f>IF(Distances[[#This Row],[Colonne55]]=$G31,BU31,Distances[[#This Row],[Colonne55]]+1)</f>
        <v>20</v>
      </c>
      <c r="BW31" s="17">
        <f>IF(Distances[[#This Row],[Colonne56]]=$G31,BV31,Distances[[#This Row],[Colonne56]]+1)</f>
        <v>20</v>
      </c>
      <c r="BX31" s="17">
        <f>IF(Distances[[#This Row],[Colonne57]]=$G31,BW31,Distances[[#This Row],[Colonne57]]+1)</f>
        <v>20</v>
      </c>
      <c r="BY31" s="17">
        <f>IF(Distances[[#This Row],[Colonne58]]=$G31,BX31,Distances[[#This Row],[Colonne58]]+1)</f>
        <v>20</v>
      </c>
      <c r="BZ31" s="17">
        <f>IF(Distances[[#This Row],[Colonne59]]=$G31,BY31,Distances[[#This Row],[Colonne59]]+1)</f>
        <v>20</v>
      </c>
      <c r="CA31" s="17">
        <f>IF(Distances[[#This Row],[Colonne60]]=$G31,BZ31,Distances[[#This Row],[Colonne60]]+1)</f>
        <v>20</v>
      </c>
      <c r="CB31" s="17">
        <f>IF(Distances[[#This Row],[Colonne61]]=$G31,CA31,Distances[[#This Row],[Colonne61]]+1)</f>
        <v>20</v>
      </c>
      <c r="CC31" s="17">
        <f>IF(Distances[[#This Row],[Colonne62]]=$G31,CB31,Distances[[#This Row],[Colonne62]]+1)</f>
        <v>20</v>
      </c>
      <c r="CD31" s="17">
        <f>IF(Distances[[#This Row],[Colonne63]]=$G31,CC31,Distances[[#This Row],[Colonne63]]+1)</f>
        <v>20</v>
      </c>
      <c r="CE31" s="17">
        <f>IF(Distances[[#This Row],[Colonne64]]=$G31,CD31,Distances[[#This Row],[Colonne64]]+1)</f>
        <v>20</v>
      </c>
      <c r="CF31" s="17">
        <f>IF(Distances[[#This Row],[Colonne65]]=$G31,CE31,Distances[[#This Row],[Colonne65]]+1)</f>
        <v>20</v>
      </c>
      <c r="CG31" s="17">
        <f>IF(Distances[[#This Row],[Colonne66]]=$G31,CF31,Distances[[#This Row],[Colonne66]]+1)</f>
        <v>20</v>
      </c>
      <c r="CH31" s="17">
        <f>IF(Distances[[#This Row],[Colonne67]]=$G31,CG31,Distances[[#This Row],[Colonne67]]+1)</f>
        <v>20</v>
      </c>
      <c r="CI31" s="17">
        <f>IF(Distances[[#This Row],[Colonne68]]=$G31,CH31,Distances[[#This Row],[Colonne68]]+1)</f>
        <v>20</v>
      </c>
      <c r="CJ31" s="17">
        <f>IF(Distances[[#This Row],[Colonne69]]=$G31,CI31,Distances[[#This Row],[Colonne69]]+1)</f>
        <v>20</v>
      </c>
      <c r="CK31" s="17">
        <f>IF(Distances[[#This Row],[Colonne70]]=$G31,CJ31,Distances[[#This Row],[Colonne70]]+1)</f>
        <v>20</v>
      </c>
      <c r="CL31" s="17">
        <f>IF(Distances[[#This Row],[Colonne71]]=$G31,CK31,Distances[[#This Row],[Colonne71]]+1)</f>
        <v>20</v>
      </c>
      <c r="CM31" s="17">
        <f>IF(Distances[[#This Row],[Colonne72]]=$G31,CL31,Distances[[#This Row],[Colonne72]]+1)</f>
        <v>20</v>
      </c>
      <c r="CN31" s="17">
        <f>IF(Distances[[#This Row],[Colonne73]]=$G31,CM31,Distances[[#This Row],[Colonne73]]+1)</f>
        <v>20</v>
      </c>
      <c r="CO31" s="17">
        <f>IF(Distances[[#This Row],[Colonne74]]=$G31,CN31,Distances[[#This Row],[Colonne74]]+1)</f>
        <v>20</v>
      </c>
      <c r="CP31" s="17">
        <f>IF(Distances[[#This Row],[Colonne75]]=$G31,CO31,Distances[[#This Row],[Colonne75]]+1)</f>
        <v>20</v>
      </c>
      <c r="CQ31" s="17">
        <f>IF(Distances[[#This Row],[Colonne76]]=$G31,CP31,Distances[[#This Row],[Colonne76]]+1)</f>
        <v>20</v>
      </c>
      <c r="CR31" s="17">
        <f>IF(Distances[[#This Row],[Colonne77]]=$G31,CQ31,Distances[[#This Row],[Colonne77]]+1)</f>
        <v>20</v>
      </c>
      <c r="CS31" s="17">
        <f>IF(Distances[[#This Row],[Colonne78]]=$G31,CR31,Distances[[#This Row],[Colonne78]]+1)</f>
        <v>20</v>
      </c>
      <c r="CT31" s="17">
        <f>IF(Distances[[#This Row],[Colonne79]]=$G31,CS31,Distances[[#This Row],[Colonne79]]+1)</f>
        <v>20</v>
      </c>
      <c r="CU31" s="17">
        <f>IF(Distances[[#This Row],[Colonne80]]=$G31,CT31,Distances[[#This Row],[Colonne80]]+1)</f>
        <v>20</v>
      </c>
      <c r="CV31" s="17">
        <f>IF(Distances[[#This Row],[Colonne81]]=$G31,CU31,Distances[[#This Row],[Colonne81]]+1)</f>
        <v>20</v>
      </c>
      <c r="CW31" s="17">
        <f>IF(Distances[[#This Row],[Colonne82]]=$G31,CV31,Distances[[#This Row],[Colonne82]]+1)</f>
        <v>20</v>
      </c>
      <c r="CX31" s="17">
        <f>IF(Distances[[#This Row],[Colonne83]]=$G31,CW31,Distances[[#This Row],[Colonne83]]+1)</f>
        <v>20</v>
      </c>
      <c r="CY31" s="17">
        <f>IF(Distances[[#This Row],[Colonne84]]=$G31,CX31,Distances[[#This Row],[Colonne84]]+1)</f>
        <v>20</v>
      </c>
      <c r="CZ31" s="17">
        <f>IF(Distances[[#This Row],[Colonne85]]=$G31,CY31,Distances[[#This Row],[Colonne85]]+1)</f>
        <v>20</v>
      </c>
      <c r="DA31" s="17">
        <f>IF(Distances[[#This Row],[Colonne86]]=$G31,CZ31,Distances[[#This Row],[Colonne86]]+1)</f>
        <v>20</v>
      </c>
      <c r="DB31" s="17">
        <f>IF(Distances[[#This Row],[Colonne87]]=$G31,DA31,Distances[[#This Row],[Colonne87]]+1)</f>
        <v>20</v>
      </c>
      <c r="DC31" s="17">
        <f>IF(Distances[[#This Row],[Colonne88]]=$G31,DB31,Distances[[#This Row],[Colonne88]]+1)</f>
        <v>20</v>
      </c>
      <c r="DD31" s="17">
        <f>IF(Distances[[#This Row],[Colonne89]]=$G31,DC31,Distances[[#This Row],[Colonne89]]+1)</f>
        <v>20</v>
      </c>
      <c r="DE31" s="17">
        <f>IF(Distances[[#This Row],[Colonne90]]=$G31,DD31,Distances[[#This Row],[Colonne90]]+1)</f>
        <v>20</v>
      </c>
      <c r="DF31" s="17">
        <f>IF(Distances[[#This Row],[Colonne91]]=$G31,DE31,Distances[[#This Row],[Colonne91]]+1)</f>
        <v>20</v>
      </c>
      <c r="DG31" s="17">
        <f>IF(Distances[[#This Row],[Colonne92]]=$G31,DF31,Distances[[#This Row],[Colonne92]]+1)</f>
        <v>20</v>
      </c>
      <c r="DH31" s="17">
        <f>IF(Distances[[#This Row],[Colonne93]]=$G31,DG31,Distances[[#This Row],[Colonne93]]+1)</f>
        <v>20</v>
      </c>
      <c r="DI31" s="17">
        <f>IF(Distances[[#This Row],[Colonne94]]=$G31,DH31,Distances[[#This Row],[Colonne94]]+1)</f>
        <v>20</v>
      </c>
      <c r="DJ31" s="17">
        <f>IF(Distances[[#This Row],[Colonne95]]=$G31,DI31,Distances[[#This Row],[Colonne95]]+1)</f>
        <v>20</v>
      </c>
      <c r="DK31" s="17">
        <f>IF(Distances[[#This Row],[Colonne96]]=$G31,DJ31,Distances[[#This Row],[Colonne96]]+1)</f>
        <v>20</v>
      </c>
      <c r="DL31" s="17">
        <f>IF(Distances[[#This Row],[Colonne97]]=$G31,DK31,Distances[[#This Row],[Colonne97]]+1)</f>
        <v>20</v>
      </c>
      <c r="DM31" s="17">
        <f>IF(Distances[[#This Row],[Colonne98]]=$G31,DL31,Distances[[#This Row],[Colonne98]]+1)</f>
        <v>20</v>
      </c>
      <c r="DN31" s="17">
        <f>IF(Distances[[#This Row],[Colonne99]]=$G31,DM31,Distances[[#This Row],[Colonne99]]+1)</f>
        <v>20</v>
      </c>
      <c r="DO31" s="17">
        <f>IF(Distances[[#This Row],[Colonne100]]=$G31,DN31,Distances[[#This Row],[Colonne100]]+1)</f>
        <v>20</v>
      </c>
      <c r="DP31" s="17">
        <f>IF(Distances[[#This Row],[Colonne101]]=$G31,DO31,Distances[[#This Row],[Colonne101]]+1)</f>
        <v>20</v>
      </c>
      <c r="DQ31" s="17">
        <f>IF(Distances[[#This Row],[Colonne102]]=$G31,DP31,Distances[[#This Row],[Colonne102]]+1)</f>
        <v>20</v>
      </c>
      <c r="DR31" s="17">
        <f>IF(Distances[[#This Row],[Colonne103]]=$G31,DQ31,Distances[[#This Row],[Colonne103]]+1)</f>
        <v>20</v>
      </c>
      <c r="DS31" s="17">
        <f>IF(Distances[[#This Row],[Colonne104]]=$G31,DR31,Distances[[#This Row],[Colonne104]]+1)</f>
        <v>20</v>
      </c>
      <c r="DT31" s="17">
        <f>IF(Distances[[#This Row],[Colonne105]]=$G31,DS31,Distances[[#This Row],[Colonne105]]+1)</f>
        <v>20</v>
      </c>
      <c r="DU31" s="17">
        <f>IF(Distances[[#This Row],[Colonne106]]=$G31,DT31,Distances[[#This Row],[Colonne106]]+1)</f>
        <v>20</v>
      </c>
      <c r="DV31" s="17">
        <f>IF(Distances[[#This Row],[Colonne107]]=$G31,DU31,Distances[[#This Row],[Colonne107]]+1)</f>
        <v>20</v>
      </c>
      <c r="DW31" s="17">
        <f>IF(Distances[[#This Row],[Colonne108]]=$G31,DV31,Distances[[#This Row],[Colonne108]]+1)</f>
        <v>20</v>
      </c>
      <c r="DX31" s="17">
        <f>IF(Distances[[#This Row],[Colonne109]]=$G31,DW31,Distances[[#This Row],[Colonne109]]+1)</f>
        <v>20</v>
      </c>
      <c r="DY31" s="17">
        <f>IF(Distances[[#This Row],[Colonne110]]=$G31,DX31,Distances[[#This Row],[Colonne110]]+1)</f>
        <v>20</v>
      </c>
      <c r="DZ31" s="17">
        <f>IF(Distances[[#This Row],[Colonne111]]=$G31,DY31,Distances[[#This Row],[Colonne111]]+1)</f>
        <v>20</v>
      </c>
      <c r="EA31" s="17">
        <f>IF(Distances[[#This Row],[Colonne112]]=$G31,DZ31,Distances[[#This Row],[Colonne112]]+1)</f>
        <v>20</v>
      </c>
      <c r="EB31" s="17">
        <f>IF(Distances[[#This Row],[Colonne113]]=$G31,EA31,Distances[[#This Row],[Colonne113]]+1)</f>
        <v>20</v>
      </c>
      <c r="EC31" s="17">
        <f>IF(Distances[[#This Row],[Colonne114]]=$G31,EB31,Distances[[#This Row],[Colonne114]]+1)</f>
        <v>20</v>
      </c>
      <c r="ED31" s="17">
        <f>IF(Distances[[#This Row],[Colonne115]]=$G31,EC31,Distances[[#This Row],[Colonne115]]+1)</f>
        <v>20</v>
      </c>
      <c r="EE31" s="17">
        <f>IF(Distances[[#This Row],[Colonne116]]=$G31,ED31,Distances[[#This Row],[Colonne116]]+1)</f>
        <v>20</v>
      </c>
      <c r="EF31" s="17">
        <f>IF(Distances[[#This Row],[Colonne117]]=$G31,EE31,Distances[[#This Row],[Colonne117]]+1)</f>
        <v>20</v>
      </c>
      <c r="EG31" s="17">
        <f>IF(Distances[[#This Row],[Colonne118]]=$G31,EF31,Distances[[#This Row],[Colonne118]]+1)</f>
        <v>20</v>
      </c>
      <c r="EH31" s="17">
        <f>IF(Distances[[#This Row],[Colonne119]]=$G31,EG31,Distances[[#This Row],[Colonne119]]+1)</f>
        <v>20</v>
      </c>
      <c r="EI31" s="17">
        <f>IF(Distances[[#This Row],[Colonne120]]=$G31,EH31,Distances[[#This Row],[Colonne120]]+1)</f>
        <v>20</v>
      </c>
      <c r="EJ31" s="17">
        <f>IF(Distances[[#This Row],[Colonne121]]=$G31,EI31,Distances[[#This Row],[Colonne121]]+1)</f>
        <v>20</v>
      </c>
      <c r="EK31" s="17">
        <f>IF(Distances[[#This Row],[Colonne122]]=$G31,EJ31,Distances[[#This Row],[Colonne122]]+1)</f>
        <v>20</v>
      </c>
      <c r="EL31" s="17">
        <f>IF(Distances[[#This Row],[Colonne123]]=$G31,EK31,Distances[[#This Row],[Colonne123]]+1)</f>
        <v>20</v>
      </c>
      <c r="EM31" s="17">
        <f>IF(Distances[[#This Row],[Colonne124]]=$G31,EL31,Distances[[#This Row],[Colonne124]]+1)</f>
        <v>20</v>
      </c>
      <c r="EN31" s="17">
        <f>IF(Distances[[#This Row],[Colonne125]]=$G31,EM31,Distances[[#This Row],[Colonne125]]+1)</f>
        <v>20</v>
      </c>
      <c r="EO31" s="17">
        <f>IF(Distances[[#This Row],[Colonne126]]=$G31,EN31,Distances[[#This Row],[Colonne126]]+1)</f>
        <v>20</v>
      </c>
      <c r="EP31" s="17">
        <f>IF(Distances[[#This Row],[Colonne127]]=$G31,EO31,Distances[[#This Row],[Colonne127]]+1)</f>
        <v>20</v>
      </c>
      <c r="EQ31" s="17">
        <f>IF(Distances[[#This Row],[Colonne128]]=$G31,EP31,Distances[[#This Row],[Colonne128]]+1)</f>
        <v>20</v>
      </c>
      <c r="ER31" s="17">
        <f>IF(Distances[[#This Row],[Colonne129]]=$G31,EQ31,Distances[[#This Row],[Colonne129]]+1)</f>
        <v>20</v>
      </c>
      <c r="ES31" s="17">
        <f>IF(Distances[[#This Row],[Colonne130]]=$G31,ER31,Distances[[#This Row],[Colonne130]]+1)</f>
        <v>20</v>
      </c>
      <c r="ET31" s="17">
        <f>IF(Distances[[#This Row],[Colonne131]]=$G31,ES31,Distances[[#This Row],[Colonne131]]+1)</f>
        <v>20</v>
      </c>
      <c r="EU31" s="17">
        <f>IF(Distances[[#This Row],[Colonne132]]=$G31,ET31,Distances[[#This Row],[Colonne132]]+1)</f>
        <v>20</v>
      </c>
      <c r="EV31" s="17">
        <f>IF(Distances[[#This Row],[Colonne133]]=$G31,EU31,Distances[[#This Row],[Colonne133]]+1)</f>
        <v>20</v>
      </c>
      <c r="EW31" s="17">
        <f>IF(Distances[[#This Row],[Colonne134]]=$G31,EV31,Distances[[#This Row],[Colonne134]]+1)</f>
        <v>20</v>
      </c>
      <c r="EX31" s="17">
        <f>IF(Distances[[#This Row],[Colonne135]]=$G31,EW31,Distances[[#This Row],[Colonne135]]+1)</f>
        <v>20</v>
      </c>
      <c r="EY31" s="17">
        <f>IF(Distances[[#This Row],[Colonne136]]=$G31,EX31,Distances[[#This Row],[Colonne136]]+1)</f>
        <v>20</v>
      </c>
      <c r="EZ31" s="17">
        <f>IF(Distances[[#This Row],[Colonne137]]=$G31,EY31,Distances[[#This Row],[Colonne137]]+1)</f>
        <v>20</v>
      </c>
      <c r="FA31" s="17">
        <f>IF(Distances[[#This Row],[Colonne138]]=$G31,EZ31,Distances[[#This Row],[Colonne138]]+1)</f>
        <v>20</v>
      </c>
      <c r="FB31" s="17">
        <f>IF(Distances[[#This Row],[Colonne139]]=$G31,FA31,Distances[[#This Row],[Colonne139]]+1)</f>
        <v>20</v>
      </c>
      <c r="FC31" s="17">
        <f>IF(Distances[[#This Row],[Colonne140]]=$G31,FB31,Distances[[#This Row],[Colonne140]]+1)</f>
        <v>20</v>
      </c>
      <c r="FD31" s="17">
        <f>IF(Distances[[#This Row],[Colonne141]]=$G31,FC31,Distances[[#This Row],[Colonne141]]+1)</f>
        <v>20</v>
      </c>
      <c r="FE31" s="17">
        <f>IF(Distances[[#This Row],[Colonne142]]=$G31,FD31,Distances[[#This Row],[Colonne142]]+1)</f>
        <v>20</v>
      </c>
      <c r="FF31" s="17">
        <f>IF(Distances[[#This Row],[Colonne143]]=$G31,FE31,Distances[[#This Row],[Colonne143]]+1)</f>
        <v>20</v>
      </c>
      <c r="FG31" s="17">
        <f>IF(Distances[[#This Row],[Colonne144]]=$G31,FF31,Distances[[#This Row],[Colonne144]]+1)</f>
        <v>20</v>
      </c>
      <c r="FH31" s="17">
        <f>IF(Distances[[#This Row],[Colonne145]]=$G31,FG31,Distances[[#This Row],[Colonne145]]+1)</f>
        <v>20</v>
      </c>
      <c r="FI31" s="17">
        <f>IF(Distances[[#This Row],[Colonne146]]=$G31,FH31,Distances[[#This Row],[Colonne146]]+1)</f>
        <v>20</v>
      </c>
      <c r="FJ31" s="17">
        <f>IF(Distances[[#This Row],[Colonne147]]=$G31,FI31,Distances[[#This Row],[Colonne147]]+1)</f>
        <v>20</v>
      </c>
      <c r="FK31" s="17">
        <f>IF(Distances[[#This Row],[Colonne148]]=$G31,FJ31,Distances[[#This Row],[Colonne148]]+1)</f>
        <v>20</v>
      </c>
      <c r="FL31" s="17">
        <f>IF(Distances[[#This Row],[Colonne149]]=$G31,FK31,Distances[[#This Row],[Colonne149]]+1)</f>
        <v>20</v>
      </c>
      <c r="FM31" s="17">
        <f>IF(Distances[[#This Row],[Colonne150]]=$G31,FL31,Distances[[#This Row],[Colonne150]]+1)</f>
        <v>20</v>
      </c>
      <c r="FN31" s="17">
        <f>IF(Distances[[#This Row],[Colonne151]]=$G31,FM31,Distances[[#This Row],[Colonne151]]+1)</f>
        <v>20</v>
      </c>
      <c r="FO31" s="17">
        <f>IF(Distances[[#This Row],[Colonne152]]=$G31,FN31,Distances[[#This Row],[Colonne152]]+1)</f>
        <v>20</v>
      </c>
      <c r="FP31" s="17">
        <f>IF(Distances[[#This Row],[Colonne153]]=$G31,FO31,Distances[[#This Row],[Colonne153]]+1)</f>
        <v>20</v>
      </c>
      <c r="FQ31" s="17">
        <f>IF(Distances[[#This Row],[Colonne154]]=$G31,FP31,Distances[[#This Row],[Colonne154]]+1)</f>
        <v>20</v>
      </c>
      <c r="FR31" s="17">
        <f>IF(Distances[[#This Row],[Colonne155]]=$G31,FQ31,Distances[[#This Row],[Colonne155]]+1)</f>
        <v>20</v>
      </c>
      <c r="FS31" s="17">
        <f>IF(Distances[[#This Row],[Colonne156]]=$G31,FR31,Distances[[#This Row],[Colonne156]]+1)</f>
        <v>20</v>
      </c>
      <c r="FT31" s="17">
        <f>IF(Distances[[#This Row],[Colonne157]]=$G31,FS31,Distances[[#This Row],[Colonne157]]+1)</f>
        <v>20</v>
      </c>
      <c r="FU31" s="17">
        <f>IF(Distances[[#This Row],[Colonne158]]=$G31,FT31,Distances[[#This Row],[Colonne158]]+1)</f>
        <v>20</v>
      </c>
      <c r="FV31" s="17">
        <f>IF(Distances[[#This Row],[Colonne159]]=$G31,FU31,Distances[[#This Row],[Colonne159]]+1)</f>
        <v>20</v>
      </c>
      <c r="FW31" s="17">
        <f>IF(Distances[[#This Row],[Colonne160]]=$G31,FV31,Distances[[#This Row],[Colonne160]]+1)</f>
        <v>20</v>
      </c>
      <c r="FX31" s="17">
        <f>IF(Distances[[#This Row],[Colonne161]]=$G31,FW31,Distances[[#This Row],[Colonne161]]+1)</f>
        <v>20</v>
      </c>
      <c r="FY31" s="17">
        <f>IF(Distances[[#This Row],[Colonne162]]=$G31,FX31,Distances[[#This Row],[Colonne162]]+1)</f>
        <v>20</v>
      </c>
      <c r="FZ31" s="17">
        <f>IF(Distances[[#This Row],[Colonne163]]=$G31,FY31,Distances[[#This Row],[Colonne163]]+1)</f>
        <v>20</v>
      </c>
      <c r="GA31" s="17">
        <f>IF(Distances[[#This Row],[Colonne164]]=$G31,FZ31,Distances[[#This Row],[Colonne164]]+1)</f>
        <v>20</v>
      </c>
      <c r="GB31" s="17">
        <f>IF(Distances[[#This Row],[Colonne165]]=$G31,GA31,Distances[[#This Row],[Colonne165]]+1)</f>
        <v>20</v>
      </c>
      <c r="GC31" s="17">
        <f>IF(Distances[[#This Row],[Colonne166]]=$G31,GB31,Distances[[#This Row],[Colonne166]]+1)</f>
        <v>20</v>
      </c>
      <c r="GD31" s="17">
        <f>IF(Distances[[#This Row],[Colonne167]]=$G31,GC31,Distances[[#This Row],[Colonne167]]+1)</f>
        <v>20</v>
      </c>
      <c r="GE31" s="17">
        <f>IF(Distances[[#This Row],[Colonne168]]=$G31,GD31,Distances[[#This Row],[Colonne168]]+1)</f>
        <v>20</v>
      </c>
      <c r="GF31" s="17">
        <f>IF(Distances[[#This Row],[Colonne169]]=$G31,GE31,Distances[[#This Row],[Colonne169]]+1)</f>
        <v>20</v>
      </c>
      <c r="GG31" s="17">
        <f>IF(Distances[[#This Row],[Colonne170]]=$G31,GF31,Distances[[#This Row],[Colonne170]]+1)</f>
        <v>20</v>
      </c>
      <c r="GH31" s="17">
        <f>IF(Distances[[#This Row],[Colonne171]]=$G31,GG31,Distances[[#This Row],[Colonne171]]+1)</f>
        <v>20</v>
      </c>
      <c r="GI31" s="17">
        <f>IF(Distances[[#This Row],[Colonne172]]=$G31,GH31,Distances[[#This Row],[Colonne172]]+1)</f>
        <v>20</v>
      </c>
      <c r="GJ31" s="17">
        <f>IF(Distances[[#This Row],[Colonne173]]=$G31,GI31,Distances[[#This Row],[Colonne173]]+1)</f>
        <v>20</v>
      </c>
      <c r="GK31" s="17">
        <f>IF(Distances[[#This Row],[Colonne174]]=$G31,GJ31,Distances[[#This Row],[Colonne174]]+1)</f>
        <v>20</v>
      </c>
      <c r="GL31" s="17">
        <f>IF(Distances[[#This Row],[Colonne175]]=$G31,GK31,Distances[[#This Row],[Colonne175]]+1)</f>
        <v>20</v>
      </c>
      <c r="GM31" s="17">
        <f>IF(Distances[[#This Row],[Colonne176]]=$G31,GL31,Distances[[#This Row],[Colonne176]]+1)</f>
        <v>20</v>
      </c>
      <c r="GN31" s="17">
        <f>IF(Distances[[#This Row],[Colonne177]]=$G31,GM31,Distances[[#This Row],[Colonne177]]+1)</f>
        <v>20</v>
      </c>
      <c r="GO31" s="17">
        <f>IF(Distances[[#This Row],[Colonne178]]=$G31,GN31,Distances[[#This Row],[Colonne178]]+1)</f>
        <v>20</v>
      </c>
      <c r="GP31" s="17">
        <f>IF(Distances[[#This Row],[Colonne179]]=$G31,GO31,Distances[[#This Row],[Colonne179]]+1)</f>
        <v>20</v>
      </c>
      <c r="GQ31" s="17">
        <f>IF(Distances[[#This Row],[Colonne180]]=$G31,GP31,Distances[[#This Row],[Colonne180]]+1)</f>
        <v>20</v>
      </c>
      <c r="GR31" s="17">
        <f>IF(Distances[[#This Row],[Colonne181]]=$G31,GQ31,Distances[[#This Row],[Colonne181]]+1)</f>
        <v>20</v>
      </c>
      <c r="GS31" s="17">
        <f>IF(Distances[[#This Row],[Colonne182]]=$G31,GR31,Distances[[#This Row],[Colonne182]]+1)</f>
        <v>20</v>
      </c>
      <c r="GT31" s="17">
        <f>IF(Distances[[#This Row],[Colonne183]]=$G31,GS31,Distances[[#This Row],[Colonne183]]+1)</f>
        <v>20</v>
      </c>
      <c r="GU31" s="17">
        <f>IF(Distances[[#This Row],[Colonne184]]=$G31,GT31,Distances[[#This Row],[Colonne184]]+1)</f>
        <v>20</v>
      </c>
      <c r="GV31" s="17">
        <f>IF(Distances[[#This Row],[Colonne185]]=$G31,GU31,Distances[[#This Row],[Colonne185]]+1)</f>
        <v>20</v>
      </c>
      <c r="GW31" s="17">
        <f>IF(Distances[[#This Row],[Colonne186]]=$G31,GV31,Distances[[#This Row],[Colonne186]]+1)</f>
        <v>20</v>
      </c>
      <c r="GX31" s="17">
        <f>IF(Distances[[#This Row],[Colonne187]]=$G31,GW31,Distances[[#This Row],[Colonne187]]+1)</f>
        <v>20</v>
      </c>
      <c r="GY31" s="17">
        <f>IF(Distances[[#This Row],[Colonne188]]=$G31,GX31,Distances[[#This Row],[Colonne188]]+1)</f>
        <v>20</v>
      </c>
      <c r="GZ31" s="17">
        <f>IF(Distances[[#This Row],[Colonne189]]=$G31,GY31,Distances[[#This Row],[Colonne189]]+1)</f>
        <v>20</v>
      </c>
      <c r="HA31" s="17">
        <f>IF(Distances[[#This Row],[Colonne190]]=$G31,GZ31,Distances[[#This Row],[Colonne190]]+1)</f>
        <v>20</v>
      </c>
      <c r="HB31" s="17">
        <f>IF(Distances[[#This Row],[Colonne191]]=$G31,HA31,Distances[[#This Row],[Colonne191]]+1)</f>
        <v>20</v>
      </c>
      <c r="HC31" s="17">
        <f>IF(Distances[[#This Row],[Colonne192]]=$G31,HB31,Distances[[#This Row],[Colonne192]]+1)</f>
        <v>20</v>
      </c>
      <c r="HD31" s="17">
        <f>IF(Distances[[#This Row],[Colonne193]]=$G31,HC31,Distances[[#This Row],[Colonne193]]+1)</f>
        <v>20</v>
      </c>
      <c r="HE31" s="17">
        <f>IF(Distances[[#This Row],[Colonne194]]=$G31,HD31,Distances[[#This Row],[Colonne194]]+1)</f>
        <v>20</v>
      </c>
      <c r="HF31" s="17">
        <f>IF(Distances[[#This Row],[Colonne195]]=$G31,HE31,Distances[[#This Row],[Colonne195]]+1)</f>
        <v>20</v>
      </c>
      <c r="HG31" s="17">
        <f>IF(Distances[[#This Row],[Colonne196]]=$G31,HF31,Distances[[#This Row],[Colonne196]]+1)</f>
        <v>20</v>
      </c>
      <c r="HH31" s="17">
        <f>IF(Distances[[#This Row],[Colonne197]]=$G31,HG31,Distances[[#This Row],[Colonne197]]+1)</f>
        <v>20</v>
      </c>
      <c r="HI31" s="17">
        <f>IF(Distances[[#This Row],[Colonne198]]=$G31,HH31,Distances[[#This Row],[Colonne198]]+1)</f>
        <v>20</v>
      </c>
      <c r="HJ31" s="17">
        <f>IF(Distances[[#This Row],[Colonne199]]=$G31,HI31,Distances[[#This Row],[Colonne199]]+1)</f>
        <v>20</v>
      </c>
      <c r="HK31" s="17">
        <f>IF(Distances[[#This Row],[Colonne200]]=$G31,HJ31,Distances[[#This Row],[Colonne200]]+1)</f>
        <v>20</v>
      </c>
      <c r="HL31" s="17">
        <f>IF(Distances[[#This Row],[Colonne201]]=$G31,HK31,Distances[[#This Row],[Colonne201]]+1)</f>
        <v>20</v>
      </c>
      <c r="HM31" s="17">
        <f>IF(Distances[[#This Row],[Colonne202]]=$G31,HL31,Distances[[#This Row],[Colonne202]]+1)</f>
        <v>20</v>
      </c>
      <c r="HN31" s="17">
        <f>IF(Distances[[#This Row],[Colonne203]]=$G31,HM31,Distances[[#This Row],[Colonne203]]+1)</f>
        <v>20</v>
      </c>
      <c r="HO31" s="17">
        <f>IF(Distances[[#This Row],[Colonne204]]=$G31,HN31,Distances[[#This Row],[Colonne204]]+1)</f>
        <v>20</v>
      </c>
      <c r="HP31" s="17">
        <f>IF(Distances[[#This Row],[Colonne205]]=$G31,HO31,Distances[[#This Row],[Colonne205]]+1)</f>
        <v>20</v>
      </c>
      <c r="HQ31" s="17">
        <f>IF(Distances[[#This Row],[Colonne206]]=$G31,HP31,Distances[[#This Row],[Colonne206]]+1)</f>
        <v>20</v>
      </c>
      <c r="HR31" s="17">
        <f>IF(Distances[[#This Row],[Colonne207]]=$G31,HQ31,Distances[[#This Row],[Colonne207]]+1)</f>
        <v>20</v>
      </c>
      <c r="HS31" s="17">
        <f>IF(Distances[[#This Row],[Colonne208]]=$G31,HR31,Distances[[#This Row],[Colonne208]]+1)</f>
        <v>20</v>
      </c>
      <c r="HT31" s="17">
        <f>IF(Distances[[#This Row],[Colonne209]]=$G31,HS31,Distances[[#This Row],[Colonne209]]+1)</f>
        <v>20</v>
      </c>
      <c r="HU31" s="17">
        <f>IF(Distances[[#This Row],[Colonne210]]=$G31,HT31,Distances[[#This Row],[Colonne210]]+1)</f>
        <v>20</v>
      </c>
      <c r="HV31" s="17">
        <f>IF(Distances[[#This Row],[Colonne211]]=$G31,HU31,Distances[[#This Row],[Colonne211]]+1)</f>
        <v>20</v>
      </c>
      <c r="HW31" s="17">
        <f>IF(Distances[[#This Row],[Colonne212]]=$G31,HV31,Distances[[#This Row],[Colonne212]]+1)</f>
        <v>20</v>
      </c>
      <c r="HX31" s="17">
        <f>IF(Distances[[#This Row],[Colonne213]]=$G31,HW31,Distances[[#This Row],[Colonne213]]+1)</f>
        <v>20</v>
      </c>
      <c r="HY31" s="17">
        <f>IF(Distances[[#This Row],[Colonne214]]=$G31,HX31,Distances[[#This Row],[Colonne214]]+1)</f>
        <v>20</v>
      </c>
      <c r="HZ31" s="17">
        <f>IF(Distances[[#This Row],[Colonne215]]=$G31,HY31,Distances[[#This Row],[Colonne215]]+1)</f>
        <v>20</v>
      </c>
      <c r="IA31" s="17">
        <f>IF(Distances[[#This Row],[Colonne216]]=$G31,HZ31,Distances[[#This Row],[Colonne216]]+1)</f>
        <v>20</v>
      </c>
      <c r="IB31" s="17">
        <f>IF(Distances[[#This Row],[Colonne217]]=$G31,IA31,Distances[[#This Row],[Colonne217]]+1)</f>
        <v>20</v>
      </c>
      <c r="IC31" s="17">
        <f>IF(Distances[[#This Row],[Colonne218]]=$G31,IB31,Distances[[#This Row],[Colonne218]]+1)</f>
        <v>20</v>
      </c>
      <c r="ID31" s="17">
        <f>IF(Distances[[#This Row],[Colonne219]]=$G31,IC31,Distances[[#This Row],[Colonne219]]+1)</f>
        <v>20</v>
      </c>
      <c r="IE31" s="17">
        <f>IF(Distances[[#This Row],[Colonne220]]=$G31,ID31,Distances[[#This Row],[Colonne220]]+1)</f>
        <v>20</v>
      </c>
      <c r="IF31" s="17">
        <f>IF(Distances[[#This Row],[Colonne221]]=$G31,IE31,Distances[[#This Row],[Colonne221]]+1)</f>
        <v>20</v>
      </c>
      <c r="IG31" s="17">
        <f>IF(Distances[[#This Row],[Colonne222]]=$G31,IF31,Distances[[#This Row],[Colonne222]]+1)</f>
        <v>20</v>
      </c>
      <c r="IH31" s="17">
        <f>IF(Distances[[#This Row],[Colonne223]]=$G31,IG31,Distances[[#This Row],[Colonne223]]+1)</f>
        <v>20</v>
      </c>
      <c r="II31" s="17">
        <f>IF(Distances[[#This Row],[Colonne224]]=$G31,IH31,Distances[[#This Row],[Colonne224]]+1)</f>
        <v>20</v>
      </c>
      <c r="IJ31" s="17">
        <f>IF(Distances[[#This Row],[Colonne225]]=$G31,II31,Distances[[#This Row],[Colonne225]]+1)</f>
        <v>20</v>
      </c>
      <c r="IK31" s="17">
        <f>IF(Distances[[#This Row],[Colonne226]]=$G31,IJ31,Distances[[#This Row],[Colonne226]]+1)</f>
        <v>20</v>
      </c>
      <c r="IL31" s="17">
        <f>IF(Distances[[#This Row],[Colonne227]]=$G31,IK31,Distances[[#This Row],[Colonne227]]+1)</f>
        <v>20</v>
      </c>
      <c r="IM31" s="17">
        <f>IF(Distances[[#This Row],[Colonne228]]=$G31,IL31,Distances[[#This Row],[Colonne228]]+1)</f>
        <v>20</v>
      </c>
      <c r="IN31" s="17">
        <f>IF(Distances[[#This Row],[Colonne229]]=$G31,IM31,Distances[[#This Row],[Colonne229]]+1)</f>
        <v>20</v>
      </c>
      <c r="IO31" s="17">
        <f>IF(Distances[[#This Row],[Colonne230]]=$G31,IN31,Distances[[#This Row],[Colonne230]]+1)</f>
        <v>20</v>
      </c>
      <c r="IP31" s="17">
        <f>IF(Distances[[#This Row],[Colonne231]]=$G31,IO31,Distances[[#This Row],[Colonne231]]+1)</f>
        <v>20</v>
      </c>
      <c r="IQ31" s="17">
        <f>IF(Distances[[#This Row],[Colonne232]]=$G31,IP31,Distances[[#This Row],[Colonne232]]+1)</f>
        <v>20</v>
      </c>
      <c r="IR31" s="17">
        <f>IF(Distances[[#This Row],[Colonne233]]=$G31,IQ31,Distances[[#This Row],[Colonne233]]+1)</f>
        <v>20</v>
      </c>
      <c r="IS31" s="17">
        <f>IF(Distances[[#This Row],[Colonne234]]=$G31,IR31,Distances[[#This Row],[Colonne234]]+1)</f>
        <v>20</v>
      </c>
      <c r="IT31" s="17">
        <f>IF(Distances[[#This Row],[Colonne235]]=$G31,IS31,Distances[[#This Row],[Colonne235]]+1)</f>
        <v>20</v>
      </c>
      <c r="IU31" s="17">
        <f>IF(Distances[[#This Row],[Colonne236]]=$G31,IT31,Distances[[#This Row],[Colonne236]]+1)</f>
        <v>20</v>
      </c>
      <c r="IV31" s="17">
        <f>IF(Distances[[#This Row],[Colonne237]]=$G31,IU31,Distances[[#This Row],[Colonne237]]+1)</f>
        <v>20</v>
      </c>
      <c r="IW31" s="17">
        <f>IF(Distances[[#This Row],[Colonne238]]=$G31,IV31,Distances[[#This Row],[Colonne238]]+1)</f>
        <v>20</v>
      </c>
      <c r="IX31" s="17">
        <f>IF(Distances[[#This Row],[Colonne239]]=$G31,IW31,Distances[[#This Row],[Colonne239]]+1)</f>
        <v>20</v>
      </c>
      <c r="IY31" s="17">
        <f>IF(Distances[[#This Row],[Colonne240]]=$G31,IX31,Distances[[#This Row],[Colonne240]]+1)</f>
        <v>20</v>
      </c>
      <c r="IZ31" s="17">
        <f>IF(Distances[[#This Row],[Colonne241]]=$G31,IY31,Distances[[#This Row],[Colonne241]]+1)</f>
        <v>20</v>
      </c>
      <c r="JA31" s="17">
        <f>IF(Distances[[#This Row],[Colonne242]]=$G31,IZ31,Distances[[#This Row],[Colonne242]]+1)</f>
        <v>20</v>
      </c>
      <c r="JB31" s="17">
        <f>IF(Distances[[#This Row],[Colonne243]]=$G31,JA31,Distances[[#This Row],[Colonne243]]+1)</f>
        <v>20</v>
      </c>
      <c r="JC31" s="17">
        <f>IF(Distances[[#This Row],[Colonne244]]=$G31,JB31,Distances[[#This Row],[Colonne244]]+1)</f>
        <v>20</v>
      </c>
      <c r="JD31" s="17">
        <f>IF(Distances[[#This Row],[Colonne245]]=$G31,JC31,Distances[[#This Row],[Colonne245]]+1)</f>
        <v>20</v>
      </c>
      <c r="JE31" s="17">
        <f>IF(Distances[[#This Row],[Colonne246]]=$G31,JD31,Distances[[#This Row],[Colonne246]]+1)</f>
        <v>20</v>
      </c>
      <c r="JF31" s="17">
        <f>IF(Distances[[#This Row],[Colonne247]]=$G31,JE31,Distances[[#This Row],[Colonne247]]+1)</f>
        <v>20</v>
      </c>
      <c r="JG31" s="17">
        <f>IF(Distances[[#This Row],[Colonne248]]=$G31,JF31,Distances[[#This Row],[Colonne248]]+1)</f>
        <v>20</v>
      </c>
      <c r="JH31" s="17">
        <f>IF(Distances[[#This Row],[Colonne249]]=$G31,JG31,Distances[[#This Row],[Colonne249]]+1)</f>
        <v>20</v>
      </c>
      <c r="JI31" s="17">
        <f>IF(Distances[[#This Row],[Colonne250]]=$G31,JH31,Distances[[#This Row],[Colonne250]]+1)</f>
        <v>20</v>
      </c>
      <c r="JJ31" s="17">
        <f>IF(Distances[[#This Row],[Colonne251]]=$G31,JI31,Distances[[#This Row],[Colonne251]]+1)</f>
        <v>20</v>
      </c>
      <c r="JK31" s="17">
        <f>IF(Distances[[#This Row],[Colonne252]]=$G31,JJ31,Distances[[#This Row],[Colonne252]]+1)</f>
        <v>20</v>
      </c>
      <c r="JL31" s="17">
        <f>IF(Distances[[#This Row],[Colonne253]]=$G31,JK31,Distances[[#This Row],[Colonne253]]+1)</f>
        <v>20</v>
      </c>
      <c r="JM31" s="17">
        <f>IF(Distances[[#This Row],[Colonne254]]=$G31,JL31,Distances[[#This Row],[Colonne254]]+1)</f>
        <v>20</v>
      </c>
      <c r="JN31" s="17">
        <f>IF(Distances[[#This Row],[Colonne255]]=$G31,JM31,Distances[[#This Row],[Colonne255]]+1)</f>
        <v>20</v>
      </c>
      <c r="JO31" s="17">
        <f>IF(Distances[[#This Row],[Colonne256]]=$G31,JN31,Distances[[#This Row],[Colonne256]]+1)</f>
        <v>20</v>
      </c>
      <c r="JP31" s="17">
        <f>IF(Distances[[#This Row],[Colonne257]]=$G31,JO31,Distances[[#This Row],[Colonne257]]+1)</f>
        <v>20</v>
      </c>
      <c r="JQ31" s="17">
        <f>IF(Distances[[#This Row],[Colonne258]]=$G31,JP31,Distances[[#This Row],[Colonne258]]+1)</f>
        <v>20</v>
      </c>
      <c r="JR31" s="17">
        <f>IF(Distances[[#This Row],[Colonne259]]=$G31,JQ31,Distances[[#This Row],[Colonne259]]+1)</f>
        <v>20</v>
      </c>
      <c r="JS31" s="17">
        <f>IF(Distances[[#This Row],[Colonne260]]=$G31,JR31,Distances[[#This Row],[Colonne260]]+1)</f>
        <v>20</v>
      </c>
      <c r="JT31" s="17">
        <f>IF(Distances[[#This Row],[Colonne261]]=$G31,JS31,Distances[[#This Row],[Colonne261]]+1)</f>
        <v>20</v>
      </c>
      <c r="JU31" s="17">
        <f>IF(Distances[[#This Row],[Colonne262]]=$G31,JT31,Distances[[#This Row],[Colonne262]]+1)</f>
        <v>20</v>
      </c>
      <c r="JV31" s="17">
        <f>IF(Distances[[#This Row],[Colonne263]]=$G31,JU31,Distances[[#This Row],[Colonne263]]+1)</f>
        <v>20</v>
      </c>
      <c r="JW31" s="17">
        <f>IF(Distances[[#This Row],[Colonne264]]=$G31,JV31,Distances[[#This Row],[Colonne264]]+1)</f>
        <v>20</v>
      </c>
      <c r="JX31" s="17">
        <f>IF(Distances[[#This Row],[Colonne265]]=$G31,JW31,Distances[[#This Row],[Colonne265]]+1)</f>
        <v>20</v>
      </c>
      <c r="JY31" s="17">
        <f>IF(Distances[[#This Row],[Colonne266]]=$G31,JX31,Distances[[#This Row],[Colonne266]]+1)</f>
        <v>20</v>
      </c>
      <c r="JZ31" s="17">
        <f>IF(Distances[[#This Row],[Colonne267]]=$G31,JY31,Distances[[#This Row],[Colonne267]]+1)</f>
        <v>20</v>
      </c>
      <c r="KA31" s="17">
        <f>IF(Distances[[#This Row],[Colonne268]]=$G31,JZ31,Distances[[#This Row],[Colonne268]]+1)</f>
        <v>20</v>
      </c>
      <c r="KB31" s="17">
        <f>IF(Distances[[#This Row],[Colonne269]]=$G31,KA31,Distances[[#This Row],[Colonne269]]+1)</f>
        <v>20</v>
      </c>
      <c r="KC31" s="17">
        <f>IF(Distances[[#This Row],[Colonne270]]=$G31,KB31,Distances[[#This Row],[Colonne270]]+1)</f>
        <v>20</v>
      </c>
      <c r="KD31" s="17">
        <f>IF(Distances[[#This Row],[Colonne271]]=$G31,KC31,Distances[[#This Row],[Colonne271]]+1)</f>
        <v>20</v>
      </c>
      <c r="KE31" s="17">
        <f>IF(Distances[[#This Row],[Colonne272]]=$G31,KD31,Distances[[#This Row],[Colonne272]]+1)</f>
        <v>20</v>
      </c>
      <c r="KF31" s="17">
        <f>IF(Distances[[#This Row],[Colonne273]]=$G31,KE31,Distances[[#This Row],[Colonne273]]+1)</f>
        <v>20</v>
      </c>
      <c r="KG31" s="17">
        <f>IF(Distances[[#This Row],[Colonne274]]=$G31,KF31,Distances[[#This Row],[Colonne274]]+1)</f>
        <v>20</v>
      </c>
      <c r="KH31" s="17">
        <f>IF(Distances[[#This Row],[Colonne275]]=$G31,KG31,Distances[[#This Row],[Colonne275]]+1)</f>
        <v>20</v>
      </c>
      <c r="KI31" s="17">
        <f>IF(Distances[[#This Row],[Colonne276]]=$G31,KH31,Distances[[#This Row],[Colonne276]]+1)</f>
        <v>20</v>
      </c>
      <c r="KJ31" s="17">
        <f>IF(Distances[[#This Row],[Colonne277]]=$G31,KI31,Distances[[#This Row],[Colonne277]]+1)</f>
        <v>20</v>
      </c>
      <c r="KK31" s="17">
        <f>IF(Distances[[#This Row],[Colonne278]]=$G31,KJ31,Distances[[#This Row],[Colonne278]]+1)</f>
        <v>20</v>
      </c>
      <c r="KL31" s="17">
        <f>IF(Distances[[#This Row],[Colonne279]]=$G31,KK31,Distances[[#This Row],[Colonne279]]+1)</f>
        <v>20</v>
      </c>
      <c r="KM31" s="17">
        <f>IF(Distances[[#This Row],[Colonne280]]=$G31,KL31,Distances[[#This Row],[Colonne280]]+1)</f>
        <v>20</v>
      </c>
      <c r="KN31" s="17">
        <f>IF(Distances[[#This Row],[Colonne281]]=$G31,KM31,Distances[[#This Row],[Colonne281]]+1)</f>
        <v>20</v>
      </c>
      <c r="KO31" s="17">
        <f>IF(Distances[[#This Row],[Colonne282]]=$G31,KN31,Distances[[#This Row],[Colonne282]]+1)</f>
        <v>20</v>
      </c>
      <c r="KP31" s="17">
        <f>IF(Distances[[#This Row],[Colonne283]]=$G31,KO31,Distances[[#This Row],[Colonne283]]+1)</f>
        <v>20</v>
      </c>
      <c r="KQ31" s="17">
        <f>IF(Distances[[#This Row],[Colonne284]]=$G31,KP31,Distances[[#This Row],[Colonne284]]+1)</f>
        <v>20</v>
      </c>
      <c r="KR31" s="17">
        <f>IF(Distances[[#This Row],[Colonne285]]=$G31,KQ31,Distances[[#This Row],[Colonne285]]+1)</f>
        <v>20</v>
      </c>
      <c r="KS31" s="17">
        <f>IF(Distances[[#This Row],[Colonne286]]=$G31,KR31,Distances[[#This Row],[Colonne286]]+1)</f>
        <v>20</v>
      </c>
      <c r="KT31" s="17">
        <f>IF(Distances[[#This Row],[Colonne287]]=$G31,KS31,Distances[[#This Row],[Colonne287]]+1)</f>
        <v>20</v>
      </c>
      <c r="KU31" s="17">
        <f>IF(Distances[[#This Row],[Colonne288]]=$G31,KT31,Distances[[#This Row],[Colonne288]]+1)</f>
        <v>20</v>
      </c>
      <c r="KV31" s="17">
        <f>IF(Distances[[#This Row],[Colonne289]]=$G31,KU31,Distances[[#This Row],[Colonne289]]+1)</f>
        <v>20</v>
      </c>
      <c r="KW31" s="17">
        <f>IF(Distances[[#This Row],[Colonne290]]=$G31,KV31,Distances[[#This Row],[Colonne290]]+1)</f>
        <v>20</v>
      </c>
      <c r="KX31" s="17">
        <f>IF(Distances[[#This Row],[Colonne291]]=$G31,KW31,Distances[[#This Row],[Colonne291]]+1)</f>
        <v>20</v>
      </c>
      <c r="KY31" s="17">
        <f>IF(Distances[[#This Row],[Colonne292]]=$G31,KX31,Distances[[#This Row],[Colonne292]]+1)</f>
        <v>20</v>
      </c>
      <c r="KZ31" s="17">
        <f>IF(Distances[[#This Row],[Colonne293]]=$G31,KY31,Distances[[#This Row],[Colonne293]]+1)</f>
        <v>20</v>
      </c>
      <c r="LA31" s="17">
        <f>IF(Distances[[#This Row],[Colonne294]]=$G31,KZ31,Distances[[#This Row],[Colonne294]]+1)</f>
        <v>20</v>
      </c>
      <c r="LB31" s="17">
        <f>IF(Distances[[#This Row],[Colonne295]]=$G31,LA31,Distances[[#This Row],[Colonne295]]+1)</f>
        <v>20</v>
      </c>
      <c r="LC31" s="17">
        <f>IF(Distances[[#This Row],[Colonne296]]=$G31,LB31,Distances[[#This Row],[Colonne296]]+1)</f>
        <v>20</v>
      </c>
      <c r="LD31" s="17">
        <f>IF(Distances[[#This Row],[Colonne297]]=$G31,LC31,Distances[[#This Row],[Colonne297]]+1)</f>
        <v>20</v>
      </c>
      <c r="LE31" s="17">
        <f>IF(Distances[[#This Row],[Colonne298]]=$G31,LD31,Distances[[#This Row],[Colonne298]]+1)</f>
        <v>20</v>
      </c>
      <c r="LF31" s="17">
        <f>IF(Distances[[#This Row],[Colonne299]]=$G31,LE31,Distances[[#This Row],[Colonne299]]+1)</f>
        <v>20</v>
      </c>
      <c r="LG31" s="17">
        <f>IF(Distances[[#This Row],[Colonne300]]=$G31,LF31,Distances[[#This Row],[Colonne300]]+1)</f>
        <v>20</v>
      </c>
      <c r="LH31" s="17">
        <f>IF(Distances[[#This Row],[Colonne301]]=$G31,LG31,Distances[[#This Row],[Colonne301]]+1)</f>
        <v>20</v>
      </c>
      <c r="LI31" s="17">
        <f>IF(Distances[[#This Row],[Colonne302]]=$G31,LH31,Distances[[#This Row],[Colonne302]]+1)</f>
        <v>20</v>
      </c>
      <c r="LJ31" s="17">
        <f>IF(Distances[[#This Row],[Colonne303]]=$G31,LI31,Distances[[#This Row],[Colonne303]]+1)</f>
        <v>20</v>
      </c>
      <c r="LK31" s="51"/>
      <c r="LL31" s="17">
        <f t="shared" ref="LL31:NW31" si="60">IF(LK31=$H31,LK31,LK31+1)</f>
        <v>1</v>
      </c>
      <c r="LM31" s="17">
        <f t="shared" si="60"/>
        <v>2</v>
      </c>
      <c r="LN31" s="17">
        <f t="shared" si="60"/>
        <v>3</v>
      </c>
      <c r="LO31" s="17">
        <f t="shared" si="60"/>
        <v>4</v>
      </c>
      <c r="LP31" s="17">
        <f t="shared" si="60"/>
        <v>5</v>
      </c>
      <c r="LQ31" s="17">
        <f t="shared" si="60"/>
        <v>6</v>
      </c>
      <c r="LR31" s="17">
        <f t="shared" si="60"/>
        <v>7</v>
      </c>
      <c r="LS31" s="17">
        <f t="shared" si="60"/>
        <v>8</v>
      </c>
      <c r="LT31" s="17">
        <f t="shared" si="60"/>
        <v>9</v>
      </c>
      <c r="LU31" s="17">
        <f t="shared" si="60"/>
        <v>10</v>
      </c>
      <c r="LV31" s="17">
        <f t="shared" si="60"/>
        <v>11</v>
      </c>
      <c r="LW31" s="17">
        <f t="shared" si="60"/>
        <v>12</v>
      </c>
      <c r="LX31" s="17">
        <f t="shared" si="60"/>
        <v>13</v>
      </c>
      <c r="LY31" s="17">
        <f t="shared" si="60"/>
        <v>14</v>
      </c>
      <c r="LZ31" s="17">
        <f t="shared" si="60"/>
        <v>15</v>
      </c>
      <c r="MA31" s="17">
        <f t="shared" si="60"/>
        <v>16</v>
      </c>
      <c r="MB31" s="17">
        <f t="shared" si="60"/>
        <v>17</v>
      </c>
      <c r="MC31" s="17">
        <f t="shared" si="60"/>
        <v>18</v>
      </c>
      <c r="MD31" s="17">
        <f t="shared" si="60"/>
        <v>19</v>
      </c>
      <c r="ME31" s="17">
        <f t="shared" si="60"/>
        <v>20</v>
      </c>
      <c r="MF31" s="17">
        <f t="shared" si="60"/>
        <v>21</v>
      </c>
      <c r="MG31" s="17">
        <f t="shared" si="60"/>
        <v>22</v>
      </c>
      <c r="MH31" s="17">
        <f t="shared" si="60"/>
        <v>23</v>
      </c>
      <c r="MI31" s="17">
        <f t="shared" si="60"/>
        <v>24</v>
      </c>
      <c r="MJ31" s="17">
        <f t="shared" si="60"/>
        <v>25</v>
      </c>
      <c r="MK31" s="17">
        <f t="shared" si="60"/>
        <v>26</v>
      </c>
      <c r="ML31" s="17">
        <f t="shared" si="60"/>
        <v>27</v>
      </c>
      <c r="MM31" s="17">
        <f t="shared" si="60"/>
        <v>28</v>
      </c>
      <c r="MN31" s="17">
        <f t="shared" si="60"/>
        <v>29</v>
      </c>
      <c r="MO31" s="17">
        <f t="shared" si="60"/>
        <v>30</v>
      </c>
      <c r="MP31" s="17">
        <f t="shared" si="60"/>
        <v>31</v>
      </c>
      <c r="MQ31" s="17">
        <f t="shared" si="60"/>
        <v>32</v>
      </c>
      <c r="MR31" s="17">
        <f t="shared" si="60"/>
        <v>33</v>
      </c>
      <c r="MS31" s="17">
        <f t="shared" si="60"/>
        <v>34</v>
      </c>
      <c r="MT31" s="17">
        <f t="shared" si="60"/>
        <v>35</v>
      </c>
      <c r="MU31" s="17">
        <f t="shared" si="60"/>
        <v>36</v>
      </c>
      <c r="MV31" s="17">
        <f t="shared" si="60"/>
        <v>37</v>
      </c>
      <c r="MW31" s="17">
        <f t="shared" si="60"/>
        <v>38</v>
      </c>
      <c r="MX31" s="17">
        <f t="shared" si="60"/>
        <v>39</v>
      </c>
      <c r="MY31" s="17">
        <f t="shared" si="60"/>
        <v>40</v>
      </c>
      <c r="MZ31" s="17">
        <f t="shared" si="60"/>
        <v>41</v>
      </c>
      <c r="NA31" s="17">
        <f t="shared" si="60"/>
        <v>42</v>
      </c>
      <c r="NB31" s="17">
        <f t="shared" si="60"/>
        <v>43</v>
      </c>
      <c r="NC31" s="17">
        <f t="shared" si="60"/>
        <v>44</v>
      </c>
      <c r="ND31" s="17">
        <f t="shared" si="60"/>
        <v>45</v>
      </c>
      <c r="NE31" s="17">
        <f t="shared" si="60"/>
        <v>46</v>
      </c>
      <c r="NF31" s="17">
        <f t="shared" si="60"/>
        <v>47</v>
      </c>
      <c r="NG31" s="17">
        <f t="shared" si="60"/>
        <v>48</v>
      </c>
      <c r="NH31" s="17">
        <f t="shared" si="60"/>
        <v>49</v>
      </c>
      <c r="NI31" s="17">
        <f t="shared" si="60"/>
        <v>50</v>
      </c>
      <c r="NJ31" s="17">
        <f t="shared" si="60"/>
        <v>50</v>
      </c>
      <c r="NK31" s="17">
        <f t="shared" si="60"/>
        <v>50</v>
      </c>
      <c r="NL31" s="17">
        <f t="shared" si="60"/>
        <v>50</v>
      </c>
      <c r="NM31" s="17">
        <f t="shared" si="60"/>
        <v>50</v>
      </c>
      <c r="NN31" s="17">
        <f t="shared" si="60"/>
        <v>50</v>
      </c>
      <c r="NO31" s="17">
        <f t="shared" si="60"/>
        <v>50</v>
      </c>
      <c r="NP31" s="17">
        <f t="shared" si="60"/>
        <v>50</v>
      </c>
      <c r="NQ31" s="17">
        <f t="shared" si="60"/>
        <v>50</v>
      </c>
      <c r="NR31" s="17">
        <f t="shared" si="60"/>
        <v>50</v>
      </c>
      <c r="NS31" s="17">
        <f t="shared" si="60"/>
        <v>50</v>
      </c>
      <c r="NT31" s="17">
        <f t="shared" si="60"/>
        <v>50</v>
      </c>
      <c r="NU31" s="17">
        <f t="shared" si="60"/>
        <v>50</v>
      </c>
      <c r="NV31" s="17">
        <f t="shared" si="60"/>
        <v>50</v>
      </c>
      <c r="NW31" s="17">
        <f t="shared" si="60"/>
        <v>50</v>
      </c>
      <c r="NX31" s="17">
        <f t="shared" ref="NX31:PG31" si="61">IF(NW31=$H31,NW31,NW31+1)</f>
        <v>50</v>
      </c>
      <c r="NY31" s="17">
        <f t="shared" si="61"/>
        <v>50</v>
      </c>
      <c r="NZ31" s="17">
        <f t="shared" si="61"/>
        <v>50</v>
      </c>
      <c r="OA31" s="17">
        <f t="shared" si="61"/>
        <v>50</v>
      </c>
      <c r="OB31" s="17">
        <f t="shared" si="61"/>
        <v>50</v>
      </c>
      <c r="OC31" s="17">
        <f t="shared" si="61"/>
        <v>50</v>
      </c>
      <c r="OD31" s="17">
        <f t="shared" si="61"/>
        <v>50</v>
      </c>
      <c r="OE31" s="17">
        <f t="shared" si="61"/>
        <v>50</v>
      </c>
      <c r="OF31" s="17">
        <f t="shared" si="61"/>
        <v>50</v>
      </c>
      <c r="OG31" s="17">
        <f t="shared" si="61"/>
        <v>50</v>
      </c>
      <c r="OH31" s="17">
        <f t="shared" si="61"/>
        <v>50</v>
      </c>
      <c r="OI31" s="17">
        <f t="shared" si="61"/>
        <v>50</v>
      </c>
      <c r="OJ31" s="17">
        <f t="shared" si="61"/>
        <v>50</v>
      </c>
      <c r="OK31" s="17">
        <f t="shared" si="61"/>
        <v>50</v>
      </c>
      <c r="OL31" s="17">
        <f t="shared" si="61"/>
        <v>50</v>
      </c>
      <c r="OM31" s="17">
        <f t="shared" si="61"/>
        <v>50</v>
      </c>
      <c r="ON31" s="17">
        <f t="shared" si="61"/>
        <v>50</v>
      </c>
      <c r="OO31" s="17">
        <f t="shared" si="61"/>
        <v>50</v>
      </c>
      <c r="OP31" s="17">
        <f t="shared" si="61"/>
        <v>50</v>
      </c>
      <c r="OQ31" s="17">
        <f t="shared" si="61"/>
        <v>50</v>
      </c>
      <c r="OR31" s="17">
        <f t="shared" si="61"/>
        <v>50</v>
      </c>
      <c r="OS31" s="17">
        <f t="shared" si="61"/>
        <v>50</v>
      </c>
      <c r="OT31" s="17">
        <f t="shared" si="61"/>
        <v>50</v>
      </c>
      <c r="OU31" s="17">
        <f t="shared" si="61"/>
        <v>50</v>
      </c>
      <c r="OV31" s="17">
        <f t="shared" si="61"/>
        <v>50</v>
      </c>
      <c r="OW31" s="17">
        <f t="shared" si="61"/>
        <v>50</v>
      </c>
      <c r="OX31" s="17">
        <f t="shared" si="61"/>
        <v>50</v>
      </c>
      <c r="OY31" s="17">
        <f t="shared" si="61"/>
        <v>50</v>
      </c>
      <c r="OZ31" s="17">
        <f t="shared" si="61"/>
        <v>50</v>
      </c>
      <c r="PA31" s="17">
        <f t="shared" si="61"/>
        <v>50</v>
      </c>
      <c r="PB31" s="17">
        <f t="shared" si="61"/>
        <v>50</v>
      </c>
      <c r="PC31" s="17">
        <f t="shared" si="61"/>
        <v>50</v>
      </c>
      <c r="PD31" s="17">
        <f t="shared" si="61"/>
        <v>50</v>
      </c>
      <c r="PE31" s="17">
        <f t="shared" si="61"/>
        <v>50</v>
      </c>
      <c r="PF31" s="17">
        <f t="shared" si="61"/>
        <v>50</v>
      </c>
      <c r="PG31" s="17">
        <f t="shared" si="61"/>
        <v>50</v>
      </c>
    </row>
    <row r="32" spans="1:423" x14ac:dyDescent="0.25">
      <c r="A32" s="8" t="s">
        <v>5454</v>
      </c>
      <c r="B32" s="9" t="s">
        <v>8501</v>
      </c>
      <c r="C32" s="9" t="str">
        <f t="shared" si="0"/>
        <v>3N3 LBIF</v>
      </c>
      <c r="D32" s="1" t="str">
        <f t="shared" si="1"/>
        <v>3 Bandes N3 LBIF</v>
      </c>
      <c r="E32" s="1" t="s">
        <v>18</v>
      </c>
      <c r="F32" s="9" t="s">
        <v>5452</v>
      </c>
      <c r="G32" s="9">
        <v>25</v>
      </c>
      <c r="H32" s="9">
        <v>50</v>
      </c>
      <c r="I32" s="127">
        <v>2.8</v>
      </c>
      <c r="J32" s="30"/>
      <c r="K32" s="281"/>
      <c r="L32" s="8"/>
      <c r="M32" s="9"/>
      <c r="N32" s="10"/>
      <c r="O32" s="269"/>
      <c r="P32" s="331"/>
      <c r="Q32" s="335"/>
      <c r="R32" s="128"/>
      <c r="S32" s="9"/>
      <c r="T32" s="10"/>
      <c r="U32" t="s">
        <v>5523</v>
      </c>
      <c r="V32" s="17">
        <v>0</v>
      </c>
      <c r="W32" s="17">
        <f>IF(Distances[[#This Row],[Colonne4]]=$G32,V32,Distances[[#This Row],[Colonne4]]+1)</f>
        <v>1</v>
      </c>
      <c r="X32" s="17">
        <f>IF(Distances[[#This Row],[Colonne5]]=$G32,W32,Distances[[#This Row],[Colonne5]]+1)</f>
        <v>2</v>
      </c>
      <c r="Y32" s="17">
        <f>IF(Distances[[#This Row],[Colonne6]]=$G32,X32,Distances[[#This Row],[Colonne6]]+1)</f>
        <v>3</v>
      </c>
      <c r="Z32" s="17">
        <f>IF(Distances[[#This Row],[Colonne7]]=$G32,Y32,Distances[[#This Row],[Colonne7]]+1)</f>
        <v>4</v>
      </c>
      <c r="AA32" s="17">
        <f>IF(Distances[[#This Row],[Colonne8]]=$G32,Z32,Distances[[#This Row],[Colonne8]]+1)</f>
        <v>5</v>
      </c>
      <c r="AB32" s="17">
        <f>IF(Distances[[#This Row],[Colonne9]]=$G32,AA32,Distances[[#This Row],[Colonne9]]+1)</f>
        <v>6</v>
      </c>
      <c r="AC32" s="17">
        <f>IF(Distances[[#This Row],[Colonne10]]=$G32,AB32,Distances[[#This Row],[Colonne10]]+1)</f>
        <v>7</v>
      </c>
      <c r="AD32" s="17">
        <f>IF(Distances[[#This Row],[Colonne11]]=$G32,AC32,Distances[[#This Row],[Colonne11]]+1)</f>
        <v>8</v>
      </c>
      <c r="AE32" s="17">
        <f>IF(Distances[[#This Row],[Colonne12]]=$G32,AD32,Distances[[#This Row],[Colonne12]]+1)</f>
        <v>9</v>
      </c>
      <c r="AF32" s="17">
        <f>IF(Distances[[#This Row],[Colonne13]]=$G32,AE32,Distances[[#This Row],[Colonne13]]+1)</f>
        <v>10</v>
      </c>
      <c r="AG32" s="17">
        <f>IF(Distances[[#This Row],[Colonne14]]=$G32,AF32,Distances[[#This Row],[Colonne14]]+1)</f>
        <v>11</v>
      </c>
      <c r="AH32" s="17">
        <f>IF(Distances[[#This Row],[Colonne15]]=$G32,AG32,Distances[[#This Row],[Colonne15]]+1)</f>
        <v>12</v>
      </c>
      <c r="AI32" s="17">
        <f>IF(Distances[[#This Row],[Colonne16]]=$G32,AH32,Distances[[#This Row],[Colonne16]]+1)</f>
        <v>13</v>
      </c>
      <c r="AJ32" s="17">
        <f>IF(Distances[[#This Row],[Colonne17]]=$G32,AI32,Distances[[#This Row],[Colonne17]]+1)</f>
        <v>14</v>
      </c>
      <c r="AK32" s="17">
        <f>IF(Distances[[#This Row],[Colonne18]]=$G32,AJ32,Distances[[#This Row],[Colonne18]]+1)</f>
        <v>15</v>
      </c>
      <c r="AL32" s="17">
        <f>IF(Distances[[#This Row],[Colonne19]]=$G32,AK32,Distances[[#This Row],[Colonne19]]+1)</f>
        <v>16</v>
      </c>
      <c r="AM32" s="17">
        <f>IF(Distances[[#This Row],[Colonne20]]=$G32,AL32,Distances[[#This Row],[Colonne20]]+1)</f>
        <v>17</v>
      </c>
      <c r="AN32" s="17">
        <f>IF(Distances[[#This Row],[Colonne21]]=$G32,AM32,Distances[[#This Row],[Colonne21]]+1)</f>
        <v>18</v>
      </c>
      <c r="AO32" s="17">
        <f>IF(Distances[[#This Row],[Colonne22]]=$G32,AN32,Distances[[#This Row],[Colonne22]]+1)</f>
        <v>19</v>
      </c>
      <c r="AP32" s="17">
        <f>IF(Distances[[#This Row],[Colonne23]]=$G32,AO32,Distances[[#This Row],[Colonne23]]+1)</f>
        <v>20</v>
      </c>
      <c r="AQ32" s="17">
        <f>IF(Distances[[#This Row],[Colonne24]]=$G32,AP32,Distances[[#This Row],[Colonne24]]+1)</f>
        <v>21</v>
      </c>
      <c r="AR32" s="17">
        <f>IF(Distances[[#This Row],[Colonne25]]=$G32,AQ32,Distances[[#This Row],[Colonne25]]+1)</f>
        <v>22</v>
      </c>
      <c r="AS32" s="17">
        <f>IF(Distances[[#This Row],[Colonne26]]=$G32,AR32,Distances[[#This Row],[Colonne26]]+1)</f>
        <v>23</v>
      </c>
      <c r="AT32" s="17">
        <f>IF(Distances[[#This Row],[Colonne27]]=$G32,AS32,Distances[[#This Row],[Colonne27]]+1)</f>
        <v>24</v>
      </c>
      <c r="AU32" s="17">
        <f>IF(Distances[[#This Row],[Colonne28]]=$G32,AT32,Distances[[#This Row],[Colonne28]]+1)</f>
        <v>25</v>
      </c>
      <c r="AV32" s="17">
        <f>IF(Distances[[#This Row],[Colonne29]]=$G32,AU32,Distances[[#This Row],[Colonne29]]+1)</f>
        <v>25</v>
      </c>
      <c r="AW32" s="17">
        <f>IF(Distances[[#This Row],[Colonne30]]=$G32,AV32,Distances[[#This Row],[Colonne30]]+1)</f>
        <v>25</v>
      </c>
      <c r="AX32" s="17">
        <f>IF(Distances[[#This Row],[Colonne31]]=$G32,AW32,Distances[[#This Row],[Colonne31]]+1)</f>
        <v>25</v>
      </c>
      <c r="AY32" s="17">
        <f>IF(Distances[[#This Row],[Colonne32]]=$G32,AX32,Distances[[#This Row],[Colonne32]]+1)</f>
        <v>25</v>
      </c>
      <c r="AZ32" s="17">
        <f>IF(Distances[[#This Row],[Colonne33]]=$G32,AY32,Distances[[#This Row],[Colonne33]]+1)</f>
        <v>25</v>
      </c>
      <c r="BA32" s="17">
        <f>IF(Distances[[#This Row],[Colonne34]]=$G32,AZ32,Distances[[#This Row],[Colonne34]]+1)</f>
        <v>25</v>
      </c>
      <c r="BB32" s="17">
        <f>IF(Distances[[#This Row],[Colonne35]]=$G32,BA32,Distances[[#This Row],[Colonne35]]+1)</f>
        <v>25</v>
      </c>
      <c r="BC32" s="17">
        <f>IF(Distances[[#This Row],[Colonne36]]=$G32,BB32,Distances[[#This Row],[Colonne36]]+1)</f>
        <v>25</v>
      </c>
      <c r="BD32" s="17">
        <f>IF(Distances[[#This Row],[Colonne37]]=$G32,BC32,Distances[[#This Row],[Colonne37]]+1)</f>
        <v>25</v>
      </c>
      <c r="BE32" s="17">
        <f>IF(Distances[[#This Row],[Colonne38]]=$G32,BD32,Distances[[#This Row],[Colonne38]]+1)</f>
        <v>25</v>
      </c>
      <c r="BF32" s="17">
        <f>IF(Distances[[#This Row],[Colonne39]]=$G32,BE32,Distances[[#This Row],[Colonne39]]+1)</f>
        <v>25</v>
      </c>
      <c r="BG32" s="17">
        <f>IF(Distances[[#This Row],[Colonne40]]=$G32,BF32,Distances[[#This Row],[Colonne40]]+1)</f>
        <v>25</v>
      </c>
      <c r="BH32" s="17">
        <f>IF(Distances[[#This Row],[Colonne41]]=$G32,BG32,Distances[[#This Row],[Colonne41]]+1)</f>
        <v>25</v>
      </c>
      <c r="BI32" s="17">
        <f>IF(Distances[[#This Row],[Colonne42]]=$G32,BH32,Distances[[#This Row],[Colonne42]]+1)</f>
        <v>25</v>
      </c>
      <c r="BJ32" s="17">
        <f>IF(Distances[[#This Row],[Colonne43]]=$G32,BI32,Distances[[#This Row],[Colonne43]]+1)</f>
        <v>25</v>
      </c>
      <c r="BK32" s="17">
        <f>IF(Distances[[#This Row],[Colonne44]]=$G32,BJ32,Distances[[#This Row],[Colonne44]]+1)</f>
        <v>25</v>
      </c>
      <c r="BL32" s="17">
        <f>IF(Distances[[#This Row],[Colonne45]]=$G32,BK32,Distances[[#This Row],[Colonne45]]+1)</f>
        <v>25</v>
      </c>
      <c r="BM32" s="17">
        <f>IF(Distances[[#This Row],[Colonne46]]=$G32,BL32,Distances[[#This Row],[Colonne46]]+1)</f>
        <v>25</v>
      </c>
      <c r="BN32" s="17">
        <f>IF(Distances[[#This Row],[Colonne47]]=$G32,BM32,Distances[[#This Row],[Colonne47]]+1)</f>
        <v>25</v>
      </c>
      <c r="BO32" s="17">
        <f>IF(Distances[[#This Row],[Colonne48]]=$G32,BN32,Distances[[#This Row],[Colonne48]]+1)</f>
        <v>25</v>
      </c>
      <c r="BP32" s="17">
        <f>IF(Distances[[#This Row],[Colonne49]]=$G32,BO32,Distances[[#This Row],[Colonne49]]+1)</f>
        <v>25</v>
      </c>
      <c r="BQ32" s="17">
        <f>IF(Distances[[#This Row],[Colonne50]]=$G32,BP32,Distances[[#This Row],[Colonne50]]+1)</f>
        <v>25</v>
      </c>
      <c r="BR32" s="17">
        <f>IF(Distances[[#This Row],[Colonne51]]=$G32,BQ32,Distances[[#This Row],[Colonne51]]+1)</f>
        <v>25</v>
      </c>
      <c r="BS32" s="17">
        <f>IF(Distances[[#This Row],[Colonne52]]=$G32,BR32,Distances[[#This Row],[Colonne52]]+1)</f>
        <v>25</v>
      </c>
      <c r="BT32" s="17">
        <f>IF(Distances[[#This Row],[Colonne53]]=$G32,BS32,Distances[[#This Row],[Colonne53]]+1)</f>
        <v>25</v>
      </c>
      <c r="BU32" s="17">
        <f>IF(Distances[[#This Row],[Colonne54]]=$G32,BT32,Distances[[#This Row],[Colonne54]]+1)</f>
        <v>25</v>
      </c>
      <c r="BV32" s="17">
        <f>IF(Distances[[#This Row],[Colonne55]]=$G32,BU32,Distances[[#This Row],[Colonne55]]+1)</f>
        <v>25</v>
      </c>
      <c r="BW32" s="17">
        <f>IF(Distances[[#This Row],[Colonne56]]=$G32,BV32,Distances[[#This Row],[Colonne56]]+1)</f>
        <v>25</v>
      </c>
      <c r="BX32" s="17">
        <f>IF(Distances[[#This Row],[Colonne57]]=$G32,BW32,Distances[[#This Row],[Colonne57]]+1)</f>
        <v>25</v>
      </c>
      <c r="BY32" s="17">
        <f>IF(Distances[[#This Row],[Colonne58]]=$G32,BX32,Distances[[#This Row],[Colonne58]]+1)</f>
        <v>25</v>
      </c>
      <c r="BZ32" s="17">
        <f>IF(Distances[[#This Row],[Colonne59]]=$G32,BY32,Distances[[#This Row],[Colonne59]]+1)</f>
        <v>25</v>
      </c>
      <c r="CA32" s="17">
        <f>IF(Distances[[#This Row],[Colonne60]]=$G32,BZ32,Distances[[#This Row],[Colonne60]]+1)</f>
        <v>25</v>
      </c>
      <c r="CB32" s="17">
        <f>IF(Distances[[#This Row],[Colonne61]]=$G32,CA32,Distances[[#This Row],[Colonne61]]+1)</f>
        <v>25</v>
      </c>
      <c r="CC32" s="17">
        <f>IF(Distances[[#This Row],[Colonne62]]=$G32,CB32,Distances[[#This Row],[Colonne62]]+1)</f>
        <v>25</v>
      </c>
      <c r="CD32" s="17">
        <f>IF(Distances[[#This Row],[Colonne63]]=$G32,CC32,Distances[[#This Row],[Colonne63]]+1)</f>
        <v>25</v>
      </c>
      <c r="CE32" s="17">
        <f>IF(Distances[[#This Row],[Colonne64]]=$G32,CD32,Distances[[#This Row],[Colonne64]]+1)</f>
        <v>25</v>
      </c>
      <c r="CF32" s="17">
        <f>IF(Distances[[#This Row],[Colonne65]]=$G32,CE32,Distances[[#This Row],[Colonne65]]+1)</f>
        <v>25</v>
      </c>
      <c r="CG32" s="17">
        <f>IF(Distances[[#This Row],[Colonne66]]=$G32,CF32,Distances[[#This Row],[Colonne66]]+1)</f>
        <v>25</v>
      </c>
      <c r="CH32" s="17">
        <f>IF(Distances[[#This Row],[Colonne67]]=$G32,CG32,Distances[[#This Row],[Colonne67]]+1)</f>
        <v>25</v>
      </c>
      <c r="CI32" s="17">
        <f>IF(Distances[[#This Row],[Colonne68]]=$G32,CH32,Distances[[#This Row],[Colonne68]]+1)</f>
        <v>25</v>
      </c>
      <c r="CJ32" s="17">
        <f>IF(Distances[[#This Row],[Colonne69]]=$G32,CI32,Distances[[#This Row],[Colonne69]]+1)</f>
        <v>25</v>
      </c>
      <c r="CK32" s="17">
        <f>IF(Distances[[#This Row],[Colonne70]]=$G32,CJ32,Distances[[#This Row],[Colonne70]]+1)</f>
        <v>25</v>
      </c>
      <c r="CL32" s="17">
        <f>IF(Distances[[#This Row],[Colonne71]]=$G32,CK32,Distances[[#This Row],[Colonne71]]+1)</f>
        <v>25</v>
      </c>
      <c r="CM32" s="17">
        <f>IF(Distances[[#This Row],[Colonne72]]=$G32,CL32,Distances[[#This Row],[Colonne72]]+1)</f>
        <v>25</v>
      </c>
      <c r="CN32" s="17">
        <f>IF(Distances[[#This Row],[Colonne73]]=$G32,CM32,Distances[[#This Row],[Colonne73]]+1)</f>
        <v>25</v>
      </c>
      <c r="CO32" s="17">
        <f>IF(Distances[[#This Row],[Colonne74]]=$G32,CN32,Distances[[#This Row],[Colonne74]]+1)</f>
        <v>25</v>
      </c>
      <c r="CP32" s="17">
        <f>IF(Distances[[#This Row],[Colonne75]]=$G32,CO32,Distances[[#This Row],[Colonne75]]+1)</f>
        <v>25</v>
      </c>
      <c r="CQ32" s="17">
        <f>IF(Distances[[#This Row],[Colonne76]]=$G32,CP32,Distances[[#This Row],[Colonne76]]+1)</f>
        <v>25</v>
      </c>
      <c r="CR32" s="17">
        <f>IF(Distances[[#This Row],[Colonne77]]=$G32,CQ32,Distances[[#This Row],[Colonne77]]+1)</f>
        <v>25</v>
      </c>
      <c r="CS32" s="17">
        <f>IF(Distances[[#This Row],[Colonne78]]=$G32,CR32,Distances[[#This Row],[Colonne78]]+1)</f>
        <v>25</v>
      </c>
      <c r="CT32" s="17">
        <f>IF(Distances[[#This Row],[Colonne79]]=$G32,CS32,Distances[[#This Row],[Colonne79]]+1)</f>
        <v>25</v>
      </c>
      <c r="CU32" s="17">
        <f>IF(Distances[[#This Row],[Colonne80]]=$G32,CT32,Distances[[#This Row],[Colonne80]]+1)</f>
        <v>25</v>
      </c>
      <c r="CV32" s="17">
        <f>IF(Distances[[#This Row],[Colonne81]]=$G32,CU32,Distances[[#This Row],[Colonne81]]+1)</f>
        <v>25</v>
      </c>
      <c r="CW32" s="17">
        <f>IF(Distances[[#This Row],[Colonne82]]=$G32,CV32,Distances[[#This Row],[Colonne82]]+1)</f>
        <v>25</v>
      </c>
      <c r="CX32" s="17">
        <f>IF(Distances[[#This Row],[Colonne83]]=$G32,CW32,Distances[[#This Row],[Colonne83]]+1)</f>
        <v>25</v>
      </c>
      <c r="CY32" s="17">
        <f>IF(Distances[[#This Row],[Colonne84]]=$G32,CX32,Distances[[#This Row],[Colonne84]]+1)</f>
        <v>25</v>
      </c>
      <c r="CZ32" s="17">
        <f>IF(Distances[[#This Row],[Colonne85]]=$G32,CY32,Distances[[#This Row],[Colonne85]]+1)</f>
        <v>25</v>
      </c>
      <c r="DA32" s="17">
        <f>IF(Distances[[#This Row],[Colonne86]]=$G32,CZ32,Distances[[#This Row],[Colonne86]]+1)</f>
        <v>25</v>
      </c>
      <c r="DB32" s="17">
        <f>IF(Distances[[#This Row],[Colonne87]]=$G32,DA32,Distances[[#This Row],[Colonne87]]+1)</f>
        <v>25</v>
      </c>
      <c r="DC32" s="17">
        <f>IF(Distances[[#This Row],[Colonne88]]=$G32,DB32,Distances[[#This Row],[Colonne88]]+1)</f>
        <v>25</v>
      </c>
      <c r="DD32" s="17">
        <f>IF(Distances[[#This Row],[Colonne89]]=$G32,DC32,Distances[[#This Row],[Colonne89]]+1)</f>
        <v>25</v>
      </c>
      <c r="DE32" s="17">
        <f>IF(Distances[[#This Row],[Colonne90]]=$G32,DD32,Distances[[#This Row],[Colonne90]]+1)</f>
        <v>25</v>
      </c>
      <c r="DF32" s="17">
        <f>IF(Distances[[#This Row],[Colonne91]]=$G32,DE32,Distances[[#This Row],[Colonne91]]+1)</f>
        <v>25</v>
      </c>
      <c r="DG32" s="17">
        <f>IF(Distances[[#This Row],[Colonne92]]=$G32,DF32,Distances[[#This Row],[Colonne92]]+1)</f>
        <v>25</v>
      </c>
      <c r="DH32" s="17">
        <f>IF(Distances[[#This Row],[Colonne93]]=$G32,DG32,Distances[[#This Row],[Colonne93]]+1)</f>
        <v>25</v>
      </c>
      <c r="DI32" s="17">
        <f>IF(Distances[[#This Row],[Colonne94]]=$G32,DH32,Distances[[#This Row],[Colonne94]]+1)</f>
        <v>25</v>
      </c>
      <c r="DJ32" s="17">
        <f>IF(Distances[[#This Row],[Colonne95]]=$G32,DI32,Distances[[#This Row],[Colonne95]]+1)</f>
        <v>25</v>
      </c>
      <c r="DK32" s="17">
        <f>IF(Distances[[#This Row],[Colonne96]]=$G32,DJ32,Distances[[#This Row],[Colonne96]]+1)</f>
        <v>25</v>
      </c>
      <c r="DL32" s="17">
        <f>IF(Distances[[#This Row],[Colonne97]]=$G32,DK32,Distances[[#This Row],[Colonne97]]+1)</f>
        <v>25</v>
      </c>
      <c r="DM32" s="17">
        <f>IF(Distances[[#This Row],[Colonne98]]=$G32,DL32,Distances[[#This Row],[Colonne98]]+1)</f>
        <v>25</v>
      </c>
      <c r="DN32" s="17">
        <f>IF(Distances[[#This Row],[Colonne99]]=$G32,DM32,Distances[[#This Row],[Colonne99]]+1)</f>
        <v>25</v>
      </c>
      <c r="DO32" s="17">
        <f>IF(Distances[[#This Row],[Colonne100]]=$G32,DN32,Distances[[#This Row],[Colonne100]]+1)</f>
        <v>25</v>
      </c>
      <c r="DP32" s="17">
        <f>IF(Distances[[#This Row],[Colonne101]]=$G32,DO32,Distances[[#This Row],[Colonne101]]+1)</f>
        <v>25</v>
      </c>
      <c r="DQ32" s="17">
        <f>IF(Distances[[#This Row],[Colonne102]]=$G32,DP32,Distances[[#This Row],[Colonne102]]+1)</f>
        <v>25</v>
      </c>
      <c r="DR32" s="17">
        <f>IF(Distances[[#This Row],[Colonne103]]=$G32,DQ32,Distances[[#This Row],[Colonne103]]+1)</f>
        <v>25</v>
      </c>
      <c r="DS32" s="17">
        <f>IF(Distances[[#This Row],[Colonne104]]=$G32,DR32,Distances[[#This Row],[Colonne104]]+1)</f>
        <v>25</v>
      </c>
      <c r="DT32" s="17">
        <f>IF(Distances[[#This Row],[Colonne105]]=$G32,DS32,Distances[[#This Row],[Colonne105]]+1)</f>
        <v>25</v>
      </c>
      <c r="DU32" s="17">
        <f>IF(Distances[[#This Row],[Colonne106]]=$G32,DT32,Distances[[#This Row],[Colonne106]]+1)</f>
        <v>25</v>
      </c>
      <c r="DV32" s="17">
        <f>IF(Distances[[#This Row],[Colonne107]]=$G32,DU32,Distances[[#This Row],[Colonne107]]+1)</f>
        <v>25</v>
      </c>
      <c r="DW32" s="17">
        <f>IF(Distances[[#This Row],[Colonne108]]=$G32,DV32,Distances[[#This Row],[Colonne108]]+1)</f>
        <v>25</v>
      </c>
      <c r="DX32" s="17">
        <f>IF(Distances[[#This Row],[Colonne109]]=$G32,DW32,Distances[[#This Row],[Colonne109]]+1)</f>
        <v>25</v>
      </c>
      <c r="DY32" s="17">
        <f>IF(Distances[[#This Row],[Colonne110]]=$G32,DX32,Distances[[#This Row],[Colonne110]]+1)</f>
        <v>25</v>
      </c>
      <c r="DZ32" s="17">
        <f>IF(Distances[[#This Row],[Colonne111]]=$G32,DY32,Distances[[#This Row],[Colonne111]]+1)</f>
        <v>25</v>
      </c>
      <c r="EA32" s="17">
        <f>IF(Distances[[#This Row],[Colonne112]]=$G32,DZ32,Distances[[#This Row],[Colonne112]]+1)</f>
        <v>25</v>
      </c>
      <c r="EB32" s="17">
        <f>IF(Distances[[#This Row],[Colonne113]]=$G32,EA32,Distances[[#This Row],[Colonne113]]+1)</f>
        <v>25</v>
      </c>
      <c r="EC32" s="17">
        <f>IF(Distances[[#This Row],[Colonne114]]=$G32,EB32,Distances[[#This Row],[Colonne114]]+1)</f>
        <v>25</v>
      </c>
      <c r="ED32" s="17">
        <f>IF(Distances[[#This Row],[Colonne115]]=$G32,EC32,Distances[[#This Row],[Colonne115]]+1)</f>
        <v>25</v>
      </c>
      <c r="EE32" s="17">
        <f>IF(Distances[[#This Row],[Colonne116]]=$G32,ED32,Distances[[#This Row],[Colonne116]]+1)</f>
        <v>25</v>
      </c>
      <c r="EF32" s="17">
        <f>IF(Distances[[#This Row],[Colonne117]]=$G32,EE32,Distances[[#This Row],[Colonne117]]+1)</f>
        <v>25</v>
      </c>
      <c r="EG32" s="17">
        <f>IF(Distances[[#This Row],[Colonne118]]=$G32,EF32,Distances[[#This Row],[Colonne118]]+1)</f>
        <v>25</v>
      </c>
      <c r="EH32" s="17">
        <f>IF(Distances[[#This Row],[Colonne119]]=$G32,EG32,Distances[[#This Row],[Colonne119]]+1)</f>
        <v>25</v>
      </c>
      <c r="EI32" s="17">
        <f>IF(Distances[[#This Row],[Colonne120]]=$G32,EH32,Distances[[#This Row],[Colonne120]]+1)</f>
        <v>25</v>
      </c>
      <c r="EJ32" s="17">
        <f>IF(Distances[[#This Row],[Colonne121]]=$G32,EI32,Distances[[#This Row],[Colonne121]]+1)</f>
        <v>25</v>
      </c>
      <c r="EK32" s="17">
        <f>IF(Distances[[#This Row],[Colonne122]]=$G32,EJ32,Distances[[#This Row],[Colonne122]]+1)</f>
        <v>25</v>
      </c>
      <c r="EL32" s="17">
        <f>IF(Distances[[#This Row],[Colonne123]]=$G32,EK32,Distances[[#This Row],[Colonne123]]+1)</f>
        <v>25</v>
      </c>
      <c r="EM32" s="17">
        <f>IF(Distances[[#This Row],[Colonne124]]=$G32,EL32,Distances[[#This Row],[Colonne124]]+1)</f>
        <v>25</v>
      </c>
      <c r="EN32" s="17">
        <f>IF(Distances[[#This Row],[Colonne125]]=$G32,EM32,Distances[[#This Row],[Colonne125]]+1)</f>
        <v>25</v>
      </c>
      <c r="EO32" s="17">
        <f>IF(Distances[[#This Row],[Colonne126]]=$G32,EN32,Distances[[#This Row],[Colonne126]]+1)</f>
        <v>25</v>
      </c>
      <c r="EP32" s="17">
        <f>IF(Distances[[#This Row],[Colonne127]]=$G32,EO32,Distances[[#This Row],[Colonne127]]+1)</f>
        <v>25</v>
      </c>
      <c r="EQ32" s="17">
        <f>IF(Distances[[#This Row],[Colonne128]]=$G32,EP32,Distances[[#This Row],[Colonne128]]+1)</f>
        <v>25</v>
      </c>
      <c r="ER32" s="17">
        <f>IF(Distances[[#This Row],[Colonne129]]=$G32,EQ32,Distances[[#This Row],[Colonne129]]+1)</f>
        <v>25</v>
      </c>
      <c r="ES32" s="17">
        <f>IF(Distances[[#This Row],[Colonne130]]=$G32,ER32,Distances[[#This Row],[Colonne130]]+1)</f>
        <v>25</v>
      </c>
      <c r="ET32" s="17">
        <f>IF(Distances[[#This Row],[Colonne131]]=$G32,ES32,Distances[[#This Row],[Colonne131]]+1)</f>
        <v>25</v>
      </c>
      <c r="EU32" s="17">
        <f>IF(Distances[[#This Row],[Colonne132]]=$G32,ET32,Distances[[#This Row],[Colonne132]]+1)</f>
        <v>25</v>
      </c>
      <c r="EV32" s="17">
        <f>IF(Distances[[#This Row],[Colonne133]]=$G32,EU32,Distances[[#This Row],[Colonne133]]+1)</f>
        <v>25</v>
      </c>
      <c r="EW32" s="17">
        <f>IF(Distances[[#This Row],[Colonne134]]=$G32,EV32,Distances[[#This Row],[Colonne134]]+1)</f>
        <v>25</v>
      </c>
      <c r="EX32" s="17">
        <f>IF(Distances[[#This Row],[Colonne135]]=$G32,EW32,Distances[[#This Row],[Colonne135]]+1)</f>
        <v>25</v>
      </c>
      <c r="EY32" s="17">
        <f>IF(Distances[[#This Row],[Colonne136]]=$G32,EX32,Distances[[#This Row],[Colonne136]]+1)</f>
        <v>25</v>
      </c>
      <c r="EZ32" s="17">
        <f>IF(Distances[[#This Row],[Colonne137]]=$G32,EY32,Distances[[#This Row],[Colonne137]]+1)</f>
        <v>25</v>
      </c>
      <c r="FA32" s="17">
        <f>IF(Distances[[#This Row],[Colonne138]]=$G32,EZ32,Distances[[#This Row],[Colonne138]]+1)</f>
        <v>25</v>
      </c>
      <c r="FB32" s="17">
        <f>IF(Distances[[#This Row],[Colonne139]]=$G32,FA32,Distances[[#This Row],[Colonne139]]+1)</f>
        <v>25</v>
      </c>
      <c r="FC32" s="17">
        <f>IF(Distances[[#This Row],[Colonne140]]=$G32,FB32,Distances[[#This Row],[Colonne140]]+1)</f>
        <v>25</v>
      </c>
      <c r="FD32" s="17">
        <f>IF(Distances[[#This Row],[Colonne141]]=$G32,FC32,Distances[[#This Row],[Colonne141]]+1)</f>
        <v>25</v>
      </c>
      <c r="FE32" s="17">
        <f>IF(Distances[[#This Row],[Colonne142]]=$G32,FD32,Distances[[#This Row],[Colonne142]]+1)</f>
        <v>25</v>
      </c>
      <c r="FF32" s="17">
        <f>IF(Distances[[#This Row],[Colonne143]]=$G32,FE32,Distances[[#This Row],[Colonne143]]+1)</f>
        <v>25</v>
      </c>
      <c r="FG32" s="17">
        <f>IF(Distances[[#This Row],[Colonne144]]=$G32,FF32,Distances[[#This Row],[Colonne144]]+1)</f>
        <v>25</v>
      </c>
      <c r="FH32" s="17">
        <f>IF(Distances[[#This Row],[Colonne145]]=$G32,FG32,Distances[[#This Row],[Colonne145]]+1)</f>
        <v>25</v>
      </c>
      <c r="FI32" s="17">
        <f>IF(Distances[[#This Row],[Colonne146]]=$G32,FH32,Distances[[#This Row],[Colonne146]]+1)</f>
        <v>25</v>
      </c>
      <c r="FJ32" s="17">
        <f>IF(Distances[[#This Row],[Colonne147]]=$G32,FI32,Distances[[#This Row],[Colonne147]]+1)</f>
        <v>25</v>
      </c>
      <c r="FK32" s="17">
        <f>IF(Distances[[#This Row],[Colonne148]]=$G32,FJ32,Distances[[#This Row],[Colonne148]]+1)</f>
        <v>25</v>
      </c>
      <c r="FL32" s="17">
        <f>IF(Distances[[#This Row],[Colonne149]]=$G32,FK32,Distances[[#This Row],[Colonne149]]+1)</f>
        <v>25</v>
      </c>
      <c r="FM32" s="17">
        <f>IF(Distances[[#This Row],[Colonne150]]=$G32,FL32,Distances[[#This Row],[Colonne150]]+1)</f>
        <v>25</v>
      </c>
      <c r="FN32" s="17">
        <f>IF(Distances[[#This Row],[Colonne151]]=$G32,FM32,Distances[[#This Row],[Colonne151]]+1)</f>
        <v>25</v>
      </c>
      <c r="FO32" s="17">
        <f>IF(Distances[[#This Row],[Colonne152]]=$G32,FN32,Distances[[#This Row],[Colonne152]]+1)</f>
        <v>25</v>
      </c>
      <c r="FP32" s="17">
        <f>IF(Distances[[#This Row],[Colonne153]]=$G32,FO32,Distances[[#This Row],[Colonne153]]+1)</f>
        <v>25</v>
      </c>
      <c r="FQ32" s="17">
        <f>IF(Distances[[#This Row],[Colonne154]]=$G32,FP32,Distances[[#This Row],[Colonne154]]+1)</f>
        <v>25</v>
      </c>
      <c r="FR32" s="17">
        <f>IF(Distances[[#This Row],[Colonne155]]=$G32,FQ32,Distances[[#This Row],[Colonne155]]+1)</f>
        <v>25</v>
      </c>
      <c r="FS32" s="17">
        <f>IF(Distances[[#This Row],[Colonne156]]=$G32,FR32,Distances[[#This Row],[Colonne156]]+1)</f>
        <v>25</v>
      </c>
      <c r="FT32" s="17">
        <f>IF(Distances[[#This Row],[Colonne157]]=$G32,FS32,Distances[[#This Row],[Colonne157]]+1)</f>
        <v>25</v>
      </c>
      <c r="FU32" s="17">
        <f>IF(Distances[[#This Row],[Colonne158]]=$G32,FT32,Distances[[#This Row],[Colonne158]]+1)</f>
        <v>25</v>
      </c>
      <c r="FV32" s="17">
        <f>IF(Distances[[#This Row],[Colonne159]]=$G32,FU32,Distances[[#This Row],[Colonne159]]+1)</f>
        <v>25</v>
      </c>
      <c r="FW32" s="17">
        <f>IF(Distances[[#This Row],[Colonne160]]=$G32,FV32,Distances[[#This Row],[Colonne160]]+1)</f>
        <v>25</v>
      </c>
      <c r="FX32" s="17">
        <f>IF(Distances[[#This Row],[Colonne161]]=$G32,FW32,Distances[[#This Row],[Colonne161]]+1)</f>
        <v>25</v>
      </c>
      <c r="FY32" s="17">
        <f>IF(Distances[[#This Row],[Colonne162]]=$G32,FX32,Distances[[#This Row],[Colonne162]]+1)</f>
        <v>25</v>
      </c>
      <c r="FZ32" s="17">
        <f>IF(Distances[[#This Row],[Colonne163]]=$G32,FY32,Distances[[#This Row],[Colonne163]]+1)</f>
        <v>25</v>
      </c>
      <c r="GA32" s="17">
        <f>IF(Distances[[#This Row],[Colonne164]]=$G32,FZ32,Distances[[#This Row],[Colonne164]]+1)</f>
        <v>25</v>
      </c>
      <c r="GB32" s="17">
        <f>IF(Distances[[#This Row],[Colonne165]]=$G32,GA32,Distances[[#This Row],[Colonne165]]+1)</f>
        <v>25</v>
      </c>
      <c r="GC32" s="17">
        <f>IF(Distances[[#This Row],[Colonne166]]=$G32,GB32,Distances[[#This Row],[Colonne166]]+1)</f>
        <v>25</v>
      </c>
      <c r="GD32" s="17">
        <f>IF(Distances[[#This Row],[Colonne167]]=$G32,GC32,Distances[[#This Row],[Colonne167]]+1)</f>
        <v>25</v>
      </c>
      <c r="GE32" s="17">
        <f>IF(Distances[[#This Row],[Colonne168]]=$G32,GD32,Distances[[#This Row],[Colonne168]]+1)</f>
        <v>25</v>
      </c>
      <c r="GF32" s="17">
        <f>IF(Distances[[#This Row],[Colonne169]]=$G32,GE32,Distances[[#This Row],[Colonne169]]+1)</f>
        <v>25</v>
      </c>
      <c r="GG32" s="17">
        <f>IF(Distances[[#This Row],[Colonne170]]=$G32,GF32,Distances[[#This Row],[Colonne170]]+1)</f>
        <v>25</v>
      </c>
      <c r="GH32" s="17">
        <f>IF(Distances[[#This Row],[Colonne171]]=$G32,GG32,Distances[[#This Row],[Colonne171]]+1)</f>
        <v>25</v>
      </c>
      <c r="GI32" s="17">
        <f>IF(Distances[[#This Row],[Colonne172]]=$G32,GH32,Distances[[#This Row],[Colonne172]]+1)</f>
        <v>25</v>
      </c>
      <c r="GJ32" s="17">
        <f>IF(Distances[[#This Row],[Colonne173]]=$G32,GI32,Distances[[#This Row],[Colonne173]]+1)</f>
        <v>25</v>
      </c>
      <c r="GK32" s="17">
        <f>IF(Distances[[#This Row],[Colonne174]]=$G32,GJ32,Distances[[#This Row],[Colonne174]]+1)</f>
        <v>25</v>
      </c>
      <c r="GL32" s="17">
        <f>IF(Distances[[#This Row],[Colonne175]]=$G32,GK32,Distances[[#This Row],[Colonne175]]+1)</f>
        <v>25</v>
      </c>
      <c r="GM32" s="17">
        <f>IF(Distances[[#This Row],[Colonne176]]=$G32,GL32,Distances[[#This Row],[Colonne176]]+1)</f>
        <v>25</v>
      </c>
      <c r="GN32" s="17">
        <f>IF(Distances[[#This Row],[Colonne177]]=$G32,GM32,Distances[[#This Row],[Colonne177]]+1)</f>
        <v>25</v>
      </c>
      <c r="GO32" s="17">
        <f>IF(Distances[[#This Row],[Colonne178]]=$G32,GN32,Distances[[#This Row],[Colonne178]]+1)</f>
        <v>25</v>
      </c>
      <c r="GP32" s="17">
        <f>IF(Distances[[#This Row],[Colonne179]]=$G32,GO32,Distances[[#This Row],[Colonne179]]+1)</f>
        <v>25</v>
      </c>
      <c r="GQ32" s="17">
        <f>IF(Distances[[#This Row],[Colonne180]]=$G32,GP32,Distances[[#This Row],[Colonne180]]+1)</f>
        <v>25</v>
      </c>
      <c r="GR32" s="17">
        <f>IF(Distances[[#This Row],[Colonne181]]=$G32,GQ32,Distances[[#This Row],[Colonne181]]+1)</f>
        <v>25</v>
      </c>
      <c r="GS32" s="17">
        <f>IF(Distances[[#This Row],[Colonne182]]=$G32,GR32,Distances[[#This Row],[Colonne182]]+1)</f>
        <v>25</v>
      </c>
      <c r="GT32" s="17">
        <f>IF(Distances[[#This Row],[Colonne183]]=$G32,GS32,Distances[[#This Row],[Colonne183]]+1)</f>
        <v>25</v>
      </c>
      <c r="GU32" s="17">
        <f>IF(Distances[[#This Row],[Colonne184]]=$G32,GT32,Distances[[#This Row],[Colonne184]]+1)</f>
        <v>25</v>
      </c>
      <c r="GV32" s="17">
        <f>IF(Distances[[#This Row],[Colonne185]]=$G32,GU32,Distances[[#This Row],[Colonne185]]+1)</f>
        <v>25</v>
      </c>
      <c r="GW32" s="17">
        <f>IF(Distances[[#This Row],[Colonne186]]=$G32,GV32,Distances[[#This Row],[Colonne186]]+1)</f>
        <v>25</v>
      </c>
      <c r="GX32" s="17">
        <f>IF(Distances[[#This Row],[Colonne187]]=$G32,GW32,Distances[[#This Row],[Colonne187]]+1)</f>
        <v>25</v>
      </c>
      <c r="GY32" s="17">
        <f>IF(Distances[[#This Row],[Colonne188]]=$G32,GX32,Distances[[#This Row],[Colonne188]]+1)</f>
        <v>25</v>
      </c>
      <c r="GZ32" s="17">
        <f>IF(Distances[[#This Row],[Colonne189]]=$G32,GY32,Distances[[#This Row],[Colonne189]]+1)</f>
        <v>25</v>
      </c>
      <c r="HA32" s="17">
        <f>IF(Distances[[#This Row],[Colonne190]]=$G32,GZ32,Distances[[#This Row],[Colonne190]]+1)</f>
        <v>25</v>
      </c>
      <c r="HB32" s="17">
        <f>IF(Distances[[#This Row],[Colonne191]]=$G32,HA32,Distances[[#This Row],[Colonne191]]+1)</f>
        <v>25</v>
      </c>
      <c r="HC32" s="17">
        <f>IF(Distances[[#This Row],[Colonne192]]=$G32,HB32,Distances[[#This Row],[Colonne192]]+1)</f>
        <v>25</v>
      </c>
      <c r="HD32" s="17">
        <f>IF(Distances[[#This Row],[Colonne193]]=$G32,HC32,Distances[[#This Row],[Colonne193]]+1)</f>
        <v>25</v>
      </c>
      <c r="HE32" s="17">
        <f>IF(Distances[[#This Row],[Colonne194]]=$G32,HD32,Distances[[#This Row],[Colonne194]]+1)</f>
        <v>25</v>
      </c>
      <c r="HF32" s="17">
        <f>IF(Distances[[#This Row],[Colonne195]]=$G32,HE32,Distances[[#This Row],[Colonne195]]+1)</f>
        <v>25</v>
      </c>
      <c r="HG32" s="17">
        <f>IF(Distances[[#This Row],[Colonne196]]=$G32,HF32,Distances[[#This Row],[Colonne196]]+1)</f>
        <v>25</v>
      </c>
      <c r="HH32" s="17">
        <f>IF(Distances[[#This Row],[Colonne197]]=$G32,HG32,Distances[[#This Row],[Colonne197]]+1)</f>
        <v>25</v>
      </c>
      <c r="HI32" s="17">
        <f>IF(Distances[[#This Row],[Colonne198]]=$G32,HH32,Distances[[#This Row],[Colonne198]]+1)</f>
        <v>25</v>
      </c>
      <c r="HJ32" s="17">
        <f>IF(Distances[[#This Row],[Colonne199]]=$G32,HI32,Distances[[#This Row],[Colonne199]]+1)</f>
        <v>25</v>
      </c>
      <c r="HK32" s="17">
        <f>IF(Distances[[#This Row],[Colonne200]]=$G32,HJ32,Distances[[#This Row],[Colonne200]]+1)</f>
        <v>25</v>
      </c>
      <c r="HL32" s="17">
        <f>IF(Distances[[#This Row],[Colonne201]]=$G32,HK32,Distances[[#This Row],[Colonne201]]+1)</f>
        <v>25</v>
      </c>
      <c r="HM32" s="17">
        <f>IF(Distances[[#This Row],[Colonne202]]=$G32,HL32,Distances[[#This Row],[Colonne202]]+1)</f>
        <v>25</v>
      </c>
      <c r="HN32" s="17">
        <f>IF(Distances[[#This Row],[Colonne203]]=$G32,HM32,Distances[[#This Row],[Colonne203]]+1)</f>
        <v>25</v>
      </c>
      <c r="HO32" s="17">
        <f>IF(Distances[[#This Row],[Colonne204]]=$G32,HN32,Distances[[#This Row],[Colonne204]]+1)</f>
        <v>25</v>
      </c>
      <c r="HP32" s="17">
        <f>IF(Distances[[#This Row],[Colonne205]]=$G32,HO32,Distances[[#This Row],[Colonne205]]+1)</f>
        <v>25</v>
      </c>
      <c r="HQ32" s="17">
        <f>IF(Distances[[#This Row],[Colonne206]]=$G32,HP32,Distances[[#This Row],[Colonne206]]+1)</f>
        <v>25</v>
      </c>
      <c r="HR32" s="17">
        <f>IF(Distances[[#This Row],[Colonne207]]=$G32,HQ32,Distances[[#This Row],[Colonne207]]+1)</f>
        <v>25</v>
      </c>
      <c r="HS32" s="17">
        <f>IF(Distances[[#This Row],[Colonne208]]=$G32,HR32,Distances[[#This Row],[Colonne208]]+1)</f>
        <v>25</v>
      </c>
      <c r="HT32" s="17">
        <f>IF(Distances[[#This Row],[Colonne209]]=$G32,HS32,Distances[[#This Row],[Colonne209]]+1)</f>
        <v>25</v>
      </c>
      <c r="HU32" s="17">
        <f>IF(Distances[[#This Row],[Colonne210]]=$G32,HT32,Distances[[#This Row],[Colonne210]]+1)</f>
        <v>25</v>
      </c>
      <c r="HV32" s="17">
        <f>IF(Distances[[#This Row],[Colonne211]]=$G32,HU32,Distances[[#This Row],[Colonne211]]+1)</f>
        <v>25</v>
      </c>
      <c r="HW32" s="17">
        <f>IF(Distances[[#This Row],[Colonne212]]=$G32,HV32,Distances[[#This Row],[Colonne212]]+1)</f>
        <v>25</v>
      </c>
      <c r="HX32" s="17">
        <f>IF(Distances[[#This Row],[Colonne213]]=$G32,HW32,Distances[[#This Row],[Colonne213]]+1)</f>
        <v>25</v>
      </c>
      <c r="HY32" s="17">
        <f>IF(Distances[[#This Row],[Colonne214]]=$G32,HX32,Distances[[#This Row],[Colonne214]]+1)</f>
        <v>25</v>
      </c>
      <c r="HZ32" s="17">
        <f>IF(Distances[[#This Row],[Colonne215]]=$G32,HY32,Distances[[#This Row],[Colonne215]]+1)</f>
        <v>25</v>
      </c>
      <c r="IA32" s="17">
        <f>IF(Distances[[#This Row],[Colonne216]]=$G32,HZ32,Distances[[#This Row],[Colonne216]]+1)</f>
        <v>25</v>
      </c>
      <c r="IB32" s="17">
        <f>IF(Distances[[#This Row],[Colonne217]]=$G32,IA32,Distances[[#This Row],[Colonne217]]+1)</f>
        <v>25</v>
      </c>
      <c r="IC32" s="17">
        <f>IF(Distances[[#This Row],[Colonne218]]=$G32,IB32,Distances[[#This Row],[Colonne218]]+1)</f>
        <v>25</v>
      </c>
      <c r="ID32" s="17">
        <f>IF(Distances[[#This Row],[Colonne219]]=$G32,IC32,Distances[[#This Row],[Colonne219]]+1)</f>
        <v>25</v>
      </c>
      <c r="IE32" s="17">
        <f>IF(Distances[[#This Row],[Colonne220]]=$G32,ID32,Distances[[#This Row],[Colonne220]]+1)</f>
        <v>25</v>
      </c>
      <c r="IF32" s="17">
        <f>IF(Distances[[#This Row],[Colonne221]]=$G32,IE32,Distances[[#This Row],[Colonne221]]+1)</f>
        <v>25</v>
      </c>
      <c r="IG32" s="17">
        <f>IF(Distances[[#This Row],[Colonne222]]=$G32,IF32,Distances[[#This Row],[Colonne222]]+1)</f>
        <v>25</v>
      </c>
      <c r="IH32" s="17">
        <f>IF(Distances[[#This Row],[Colonne223]]=$G32,IG32,Distances[[#This Row],[Colonne223]]+1)</f>
        <v>25</v>
      </c>
      <c r="II32" s="17">
        <f>IF(Distances[[#This Row],[Colonne224]]=$G32,IH32,Distances[[#This Row],[Colonne224]]+1)</f>
        <v>25</v>
      </c>
      <c r="IJ32" s="17">
        <f>IF(Distances[[#This Row],[Colonne225]]=$G32,II32,Distances[[#This Row],[Colonne225]]+1)</f>
        <v>25</v>
      </c>
      <c r="IK32" s="17">
        <f>IF(Distances[[#This Row],[Colonne226]]=$G32,IJ32,Distances[[#This Row],[Colonne226]]+1)</f>
        <v>25</v>
      </c>
      <c r="IL32" s="17">
        <f>IF(Distances[[#This Row],[Colonne227]]=$G32,IK32,Distances[[#This Row],[Colonne227]]+1)</f>
        <v>25</v>
      </c>
      <c r="IM32" s="17">
        <f>IF(Distances[[#This Row],[Colonne228]]=$G32,IL32,Distances[[#This Row],[Colonne228]]+1)</f>
        <v>25</v>
      </c>
      <c r="IN32" s="17">
        <f>IF(Distances[[#This Row],[Colonne229]]=$G32,IM32,Distances[[#This Row],[Colonne229]]+1)</f>
        <v>25</v>
      </c>
      <c r="IO32" s="17">
        <f>IF(Distances[[#This Row],[Colonne230]]=$G32,IN32,Distances[[#This Row],[Colonne230]]+1)</f>
        <v>25</v>
      </c>
      <c r="IP32" s="17">
        <f>IF(Distances[[#This Row],[Colonne231]]=$G32,IO32,Distances[[#This Row],[Colonne231]]+1)</f>
        <v>25</v>
      </c>
      <c r="IQ32" s="17">
        <f>IF(Distances[[#This Row],[Colonne232]]=$G32,IP32,Distances[[#This Row],[Colonne232]]+1)</f>
        <v>25</v>
      </c>
      <c r="IR32" s="17">
        <f>IF(Distances[[#This Row],[Colonne233]]=$G32,IQ32,Distances[[#This Row],[Colonne233]]+1)</f>
        <v>25</v>
      </c>
      <c r="IS32" s="17">
        <f>IF(Distances[[#This Row],[Colonne234]]=$G32,IR32,Distances[[#This Row],[Colonne234]]+1)</f>
        <v>25</v>
      </c>
      <c r="IT32" s="17">
        <f>IF(Distances[[#This Row],[Colonne235]]=$G32,IS32,Distances[[#This Row],[Colonne235]]+1)</f>
        <v>25</v>
      </c>
      <c r="IU32" s="17">
        <f>IF(Distances[[#This Row],[Colonne236]]=$G32,IT32,Distances[[#This Row],[Colonne236]]+1)</f>
        <v>25</v>
      </c>
      <c r="IV32" s="17">
        <f>IF(Distances[[#This Row],[Colonne237]]=$G32,IU32,Distances[[#This Row],[Colonne237]]+1)</f>
        <v>25</v>
      </c>
      <c r="IW32" s="17">
        <f>IF(Distances[[#This Row],[Colonne238]]=$G32,IV32,Distances[[#This Row],[Colonne238]]+1)</f>
        <v>25</v>
      </c>
      <c r="IX32" s="17">
        <f>IF(Distances[[#This Row],[Colonne239]]=$G32,IW32,Distances[[#This Row],[Colonne239]]+1)</f>
        <v>25</v>
      </c>
      <c r="IY32" s="17">
        <f>IF(Distances[[#This Row],[Colonne240]]=$G32,IX32,Distances[[#This Row],[Colonne240]]+1)</f>
        <v>25</v>
      </c>
      <c r="IZ32" s="17">
        <f>IF(Distances[[#This Row],[Colonne241]]=$G32,IY32,Distances[[#This Row],[Colonne241]]+1)</f>
        <v>25</v>
      </c>
      <c r="JA32" s="17">
        <f>IF(Distances[[#This Row],[Colonne242]]=$G32,IZ32,Distances[[#This Row],[Colonne242]]+1)</f>
        <v>25</v>
      </c>
      <c r="JB32" s="17">
        <f>IF(Distances[[#This Row],[Colonne243]]=$G32,JA32,Distances[[#This Row],[Colonne243]]+1)</f>
        <v>25</v>
      </c>
      <c r="JC32" s="17">
        <f>IF(Distances[[#This Row],[Colonne244]]=$G32,JB32,Distances[[#This Row],[Colonne244]]+1)</f>
        <v>25</v>
      </c>
      <c r="JD32" s="17">
        <f>IF(Distances[[#This Row],[Colonne245]]=$G32,JC32,Distances[[#This Row],[Colonne245]]+1)</f>
        <v>25</v>
      </c>
      <c r="JE32" s="17">
        <f>IF(Distances[[#This Row],[Colonne246]]=$G32,JD32,Distances[[#This Row],[Colonne246]]+1)</f>
        <v>25</v>
      </c>
      <c r="JF32" s="17">
        <f>IF(Distances[[#This Row],[Colonne247]]=$G32,JE32,Distances[[#This Row],[Colonne247]]+1)</f>
        <v>25</v>
      </c>
      <c r="JG32" s="17">
        <f>IF(Distances[[#This Row],[Colonne248]]=$G32,JF32,Distances[[#This Row],[Colonne248]]+1)</f>
        <v>25</v>
      </c>
      <c r="JH32" s="17">
        <f>IF(Distances[[#This Row],[Colonne249]]=$G32,JG32,Distances[[#This Row],[Colonne249]]+1)</f>
        <v>25</v>
      </c>
      <c r="JI32" s="17">
        <f>IF(Distances[[#This Row],[Colonne250]]=$G32,JH32,Distances[[#This Row],[Colonne250]]+1)</f>
        <v>25</v>
      </c>
      <c r="JJ32" s="17">
        <f>IF(Distances[[#This Row],[Colonne251]]=$G32,JI32,Distances[[#This Row],[Colonne251]]+1)</f>
        <v>25</v>
      </c>
      <c r="JK32" s="17">
        <f>IF(Distances[[#This Row],[Colonne252]]=$G32,JJ32,Distances[[#This Row],[Colonne252]]+1)</f>
        <v>25</v>
      </c>
      <c r="JL32" s="17">
        <f>IF(Distances[[#This Row],[Colonne253]]=$G32,JK32,Distances[[#This Row],[Colonne253]]+1)</f>
        <v>25</v>
      </c>
      <c r="JM32" s="17">
        <f>IF(Distances[[#This Row],[Colonne254]]=$G32,JL32,Distances[[#This Row],[Colonne254]]+1)</f>
        <v>25</v>
      </c>
      <c r="JN32" s="17">
        <f>IF(Distances[[#This Row],[Colonne255]]=$G32,JM32,Distances[[#This Row],[Colonne255]]+1)</f>
        <v>25</v>
      </c>
      <c r="JO32" s="17">
        <f>IF(Distances[[#This Row],[Colonne256]]=$G32,JN32,Distances[[#This Row],[Colonne256]]+1)</f>
        <v>25</v>
      </c>
      <c r="JP32" s="17">
        <f>IF(Distances[[#This Row],[Colonne257]]=$G32,JO32,Distances[[#This Row],[Colonne257]]+1)</f>
        <v>25</v>
      </c>
      <c r="JQ32" s="17">
        <f>IF(Distances[[#This Row],[Colonne258]]=$G32,JP32,Distances[[#This Row],[Colonne258]]+1)</f>
        <v>25</v>
      </c>
      <c r="JR32" s="17">
        <f>IF(Distances[[#This Row],[Colonne259]]=$G32,JQ32,Distances[[#This Row],[Colonne259]]+1)</f>
        <v>25</v>
      </c>
      <c r="JS32" s="17">
        <f>IF(Distances[[#This Row],[Colonne260]]=$G32,JR32,Distances[[#This Row],[Colonne260]]+1)</f>
        <v>25</v>
      </c>
      <c r="JT32" s="17">
        <f>IF(Distances[[#This Row],[Colonne261]]=$G32,JS32,Distances[[#This Row],[Colonne261]]+1)</f>
        <v>25</v>
      </c>
      <c r="JU32" s="17">
        <f>IF(Distances[[#This Row],[Colonne262]]=$G32,JT32,Distances[[#This Row],[Colonne262]]+1)</f>
        <v>25</v>
      </c>
      <c r="JV32" s="17">
        <f>IF(Distances[[#This Row],[Colonne263]]=$G32,JU32,Distances[[#This Row],[Colonne263]]+1)</f>
        <v>25</v>
      </c>
      <c r="JW32" s="17">
        <f>IF(Distances[[#This Row],[Colonne264]]=$G32,JV32,Distances[[#This Row],[Colonne264]]+1)</f>
        <v>25</v>
      </c>
      <c r="JX32" s="17">
        <f>IF(Distances[[#This Row],[Colonne265]]=$G32,JW32,Distances[[#This Row],[Colonne265]]+1)</f>
        <v>25</v>
      </c>
      <c r="JY32" s="17">
        <f>IF(Distances[[#This Row],[Colonne266]]=$G32,JX32,Distances[[#This Row],[Colonne266]]+1)</f>
        <v>25</v>
      </c>
      <c r="JZ32" s="17">
        <f>IF(Distances[[#This Row],[Colonne267]]=$G32,JY32,Distances[[#This Row],[Colonne267]]+1)</f>
        <v>25</v>
      </c>
      <c r="KA32" s="17">
        <f>IF(Distances[[#This Row],[Colonne268]]=$G32,JZ32,Distances[[#This Row],[Colonne268]]+1)</f>
        <v>25</v>
      </c>
      <c r="KB32" s="17">
        <f>IF(Distances[[#This Row],[Colonne269]]=$G32,KA32,Distances[[#This Row],[Colonne269]]+1)</f>
        <v>25</v>
      </c>
      <c r="KC32" s="17">
        <f>IF(Distances[[#This Row],[Colonne270]]=$G32,KB32,Distances[[#This Row],[Colonne270]]+1)</f>
        <v>25</v>
      </c>
      <c r="KD32" s="17">
        <f>IF(Distances[[#This Row],[Colonne271]]=$G32,KC32,Distances[[#This Row],[Colonne271]]+1)</f>
        <v>25</v>
      </c>
      <c r="KE32" s="17">
        <f>IF(Distances[[#This Row],[Colonne272]]=$G32,KD32,Distances[[#This Row],[Colonne272]]+1)</f>
        <v>25</v>
      </c>
      <c r="KF32" s="17">
        <f>IF(Distances[[#This Row],[Colonne273]]=$G32,KE32,Distances[[#This Row],[Colonne273]]+1)</f>
        <v>25</v>
      </c>
      <c r="KG32" s="17">
        <f>IF(Distances[[#This Row],[Colonne274]]=$G32,KF32,Distances[[#This Row],[Colonne274]]+1)</f>
        <v>25</v>
      </c>
      <c r="KH32" s="17">
        <f>IF(Distances[[#This Row],[Colonne275]]=$G32,KG32,Distances[[#This Row],[Colonne275]]+1)</f>
        <v>25</v>
      </c>
      <c r="KI32" s="17">
        <f>IF(Distances[[#This Row],[Colonne276]]=$G32,KH32,Distances[[#This Row],[Colonne276]]+1)</f>
        <v>25</v>
      </c>
      <c r="KJ32" s="17">
        <f>IF(Distances[[#This Row],[Colonne277]]=$G32,KI32,Distances[[#This Row],[Colonne277]]+1)</f>
        <v>25</v>
      </c>
      <c r="KK32" s="17">
        <f>IF(Distances[[#This Row],[Colonne278]]=$G32,KJ32,Distances[[#This Row],[Colonne278]]+1)</f>
        <v>25</v>
      </c>
      <c r="KL32" s="17">
        <f>IF(Distances[[#This Row],[Colonne279]]=$G32,KK32,Distances[[#This Row],[Colonne279]]+1)</f>
        <v>25</v>
      </c>
      <c r="KM32" s="17">
        <f>IF(Distances[[#This Row],[Colonne280]]=$G32,KL32,Distances[[#This Row],[Colonne280]]+1)</f>
        <v>25</v>
      </c>
      <c r="KN32" s="17">
        <f>IF(Distances[[#This Row],[Colonne281]]=$G32,KM32,Distances[[#This Row],[Colonne281]]+1)</f>
        <v>25</v>
      </c>
      <c r="KO32" s="17">
        <f>IF(Distances[[#This Row],[Colonne282]]=$G32,KN32,Distances[[#This Row],[Colonne282]]+1)</f>
        <v>25</v>
      </c>
      <c r="KP32" s="17">
        <f>IF(Distances[[#This Row],[Colonne283]]=$G32,KO32,Distances[[#This Row],[Colonne283]]+1)</f>
        <v>25</v>
      </c>
      <c r="KQ32" s="17">
        <f>IF(Distances[[#This Row],[Colonne284]]=$G32,KP32,Distances[[#This Row],[Colonne284]]+1)</f>
        <v>25</v>
      </c>
      <c r="KR32" s="17">
        <f>IF(Distances[[#This Row],[Colonne285]]=$G32,KQ32,Distances[[#This Row],[Colonne285]]+1)</f>
        <v>25</v>
      </c>
      <c r="KS32" s="17">
        <f>IF(Distances[[#This Row],[Colonne286]]=$G32,KR32,Distances[[#This Row],[Colonne286]]+1)</f>
        <v>25</v>
      </c>
      <c r="KT32" s="17">
        <f>IF(Distances[[#This Row],[Colonne287]]=$G32,KS32,Distances[[#This Row],[Colonne287]]+1)</f>
        <v>25</v>
      </c>
      <c r="KU32" s="17">
        <f>IF(Distances[[#This Row],[Colonne288]]=$G32,KT32,Distances[[#This Row],[Colonne288]]+1)</f>
        <v>25</v>
      </c>
      <c r="KV32" s="17">
        <f>IF(Distances[[#This Row],[Colonne289]]=$G32,KU32,Distances[[#This Row],[Colonne289]]+1)</f>
        <v>25</v>
      </c>
      <c r="KW32" s="17">
        <f>IF(Distances[[#This Row],[Colonne290]]=$G32,KV32,Distances[[#This Row],[Colonne290]]+1)</f>
        <v>25</v>
      </c>
      <c r="KX32" s="17">
        <f>IF(Distances[[#This Row],[Colonne291]]=$G32,KW32,Distances[[#This Row],[Colonne291]]+1)</f>
        <v>25</v>
      </c>
      <c r="KY32" s="17">
        <f>IF(Distances[[#This Row],[Colonne292]]=$G32,KX32,Distances[[#This Row],[Colonne292]]+1)</f>
        <v>25</v>
      </c>
      <c r="KZ32" s="17">
        <f>IF(Distances[[#This Row],[Colonne293]]=$G32,KY32,Distances[[#This Row],[Colonne293]]+1)</f>
        <v>25</v>
      </c>
      <c r="LA32" s="17">
        <f>IF(Distances[[#This Row],[Colonne294]]=$G32,KZ32,Distances[[#This Row],[Colonne294]]+1)</f>
        <v>25</v>
      </c>
      <c r="LB32" s="17">
        <f>IF(Distances[[#This Row],[Colonne295]]=$G32,LA32,Distances[[#This Row],[Colonne295]]+1)</f>
        <v>25</v>
      </c>
      <c r="LC32" s="17">
        <f>IF(Distances[[#This Row],[Colonne296]]=$G32,LB32,Distances[[#This Row],[Colonne296]]+1)</f>
        <v>25</v>
      </c>
      <c r="LD32" s="17">
        <f>IF(Distances[[#This Row],[Colonne297]]=$G32,LC32,Distances[[#This Row],[Colonne297]]+1)</f>
        <v>25</v>
      </c>
      <c r="LE32" s="17">
        <f>IF(Distances[[#This Row],[Colonne298]]=$G32,LD32,Distances[[#This Row],[Colonne298]]+1)</f>
        <v>25</v>
      </c>
      <c r="LF32" s="17">
        <f>IF(Distances[[#This Row],[Colonne299]]=$G32,LE32,Distances[[#This Row],[Colonne299]]+1)</f>
        <v>25</v>
      </c>
      <c r="LG32" s="17">
        <f>IF(Distances[[#This Row],[Colonne300]]=$G32,LF32,Distances[[#This Row],[Colonne300]]+1)</f>
        <v>25</v>
      </c>
      <c r="LH32" s="17">
        <f>IF(Distances[[#This Row],[Colonne301]]=$G32,LG32,Distances[[#This Row],[Colonne301]]+1)</f>
        <v>25</v>
      </c>
      <c r="LI32" s="17">
        <f>IF(Distances[[#This Row],[Colonne302]]=$G32,LH32,Distances[[#This Row],[Colonne302]]+1)</f>
        <v>25</v>
      </c>
      <c r="LJ32" s="17">
        <f>IF(Distances[[#This Row],[Colonne303]]=$G32,LI32,Distances[[#This Row],[Colonne303]]+1)</f>
        <v>25</v>
      </c>
      <c r="LK32" s="51"/>
      <c r="LL32" s="17">
        <f t="shared" ref="LL32:NW32" si="62">IF(LK32=$H32,LK32,LK32+1)</f>
        <v>1</v>
      </c>
      <c r="LM32" s="17">
        <f t="shared" si="62"/>
        <v>2</v>
      </c>
      <c r="LN32" s="17">
        <f t="shared" si="62"/>
        <v>3</v>
      </c>
      <c r="LO32" s="17">
        <f t="shared" si="62"/>
        <v>4</v>
      </c>
      <c r="LP32" s="17">
        <f t="shared" si="62"/>
        <v>5</v>
      </c>
      <c r="LQ32" s="17">
        <f t="shared" si="62"/>
        <v>6</v>
      </c>
      <c r="LR32" s="17">
        <f t="shared" si="62"/>
        <v>7</v>
      </c>
      <c r="LS32" s="17">
        <f t="shared" si="62"/>
        <v>8</v>
      </c>
      <c r="LT32" s="17">
        <f t="shared" si="62"/>
        <v>9</v>
      </c>
      <c r="LU32" s="17">
        <f t="shared" si="62"/>
        <v>10</v>
      </c>
      <c r="LV32" s="17">
        <f t="shared" si="62"/>
        <v>11</v>
      </c>
      <c r="LW32" s="17">
        <f t="shared" si="62"/>
        <v>12</v>
      </c>
      <c r="LX32" s="17">
        <f t="shared" si="62"/>
        <v>13</v>
      </c>
      <c r="LY32" s="17">
        <f t="shared" si="62"/>
        <v>14</v>
      </c>
      <c r="LZ32" s="17">
        <f t="shared" si="62"/>
        <v>15</v>
      </c>
      <c r="MA32" s="17">
        <f t="shared" si="62"/>
        <v>16</v>
      </c>
      <c r="MB32" s="17">
        <f t="shared" si="62"/>
        <v>17</v>
      </c>
      <c r="MC32" s="17">
        <f t="shared" si="62"/>
        <v>18</v>
      </c>
      <c r="MD32" s="17">
        <f t="shared" si="62"/>
        <v>19</v>
      </c>
      <c r="ME32" s="17">
        <f t="shared" si="62"/>
        <v>20</v>
      </c>
      <c r="MF32" s="17">
        <f t="shared" si="62"/>
        <v>21</v>
      </c>
      <c r="MG32" s="17">
        <f t="shared" si="62"/>
        <v>22</v>
      </c>
      <c r="MH32" s="17">
        <f t="shared" si="62"/>
        <v>23</v>
      </c>
      <c r="MI32" s="17">
        <f t="shared" si="62"/>
        <v>24</v>
      </c>
      <c r="MJ32" s="17">
        <f t="shared" si="62"/>
        <v>25</v>
      </c>
      <c r="MK32" s="17">
        <f t="shared" si="62"/>
        <v>26</v>
      </c>
      <c r="ML32" s="17">
        <f t="shared" si="62"/>
        <v>27</v>
      </c>
      <c r="MM32" s="17">
        <f t="shared" si="62"/>
        <v>28</v>
      </c>
      <c r="MN32" s="17">
        <f t="shared" si="62"/>
        <v>29</v>
      </c>
      <c r="MO32" s="17">
        <f t="shared" si="62"/>
        <v>30</v>
      </c>
      <c r="MP32" s="17">
        <f t="shared" si="62"/>
        <v>31</v>
      </c>
      <c r="MQ32" s="17">
        <f t="shared" si="62"/>
        <v>32</v>
      </c>
      <c r="MR32" s="17">
        <f t="shared" si="62"/>
        <v>33</v>
      </c>
      <c r="MS32" s="17">
        <f t="shared" si="62"/>
        <v>34</v>
      </c>
      <c r="MT32" s="17">
        <f t="shared" si="62"/>
        <v>35</v>
      </c>
      <c r="MU32" s="17">
        <f t="shared" si="62"/>
        <v>36</v>
      </c>
      <c r="MV32" s="17">
        <f t="shared" si="62"/>
        <v>37</v>
      </c>
      <c r="MW32" s="17">
        <f t="shared" si="62"/>
        <v>38</v>
      </c>
      <c r="MX32" s="17">
        <f t="shared" si="62"/>
        <v>39</v>
      </c>
      <c r="MY32" s="17">
        <f t="shared" si="62"/>
        <v>40</v>
      </c>
      <c r="MZ32" s="17">
        <f t="shared" si="62"/>
        <v>41</v>
      </c>
      <c r="NA32" s="17">
        <f t="shared" si="62"/>
        <v>42</v>
      </c>
      <c r="NB32" s="17">
        <f t="shared" si="62"/>
        <v>43</v>
      </c>
      <c r="NC32" s="17">
        <f t="shared" si="62"/>
        <v>44</v>
      </c>
      <c r="ND32" s="17">
        <f t="shared" si="62"/>
        <v>45</v>
      </c>
      <c r="NE32" s="17">
        <f t="shared" si="62"/>
        <v>46</v>
      </c>
      <c r="NF32" s="17">
        <f t="shared" si="62"/>
        <v>47</v>
      </c>
      <c r="NG32" s="17">
        <f t="shared" si="62"/>
        <v>48</v>
      </c>
      <c r="NH32" s="17">
        <f t="shared" si="62"/>
        <v>49</v>
      </c>
      <c r="NI32" s="17">
        <f t="shared" si="62"/>
        <v>50</v>
      </c>
      <c r="NJ32" s="17">
        <f t="shared" si="62"/>
        <v>50</v>
      </c>
      <c r="NK32" s="17">
        <f t="shared" si="62"/>
        <v>50</v>
      </c>
      <c r="NL32" s="17">
        <f t="shared" si="62"/>
        <v>50</v>
      </c>
      <c r="NM32" s="17">
        <f t="shared" si="62"/>
        <v>50</v>
      </c>
      <c r="NN32" s="17">
        <f t="shared" si="62"/>
        <v>50</v>
      </c>
      <c r="NO32" s="17">
        <f t="shared" si="62"/>
        <v>50</v>
      </c>
      <c r="NP32" s="17">
        <f t="shared" si="62"/>
        <v>50</v>
      </c>
      <c r="NQ32" s="17">
        <f t="shared" si="62"/>
        <v>50</v>
      </c>
      <c r="NR32" s="17">
        <f t="shared" si="62"/>
        <v>50</v>
      </c>
      <c r="NS32" s="17">
        <f t="shared" si="62"/>
        <v>50</v>
      </c>
      <c r="NT32" s="17">
        <f t="shared" si="62"/>
        <v>50</v>
      </c>
      <c r="NU32" s="17">
        <f t="shared" si="62"/>
        <v>50</v>
      </c>
      <c r="NV32" s="17">
        <f t="shared" si="62"/>
        <v>50</v>
      </c>
      <c r="NW32" s="17">
        <f t="shared" si="62"/>
        <v>50</v>
      </c>
      <c r="NX32" s="17">
        <f t="shared" ref="NX32:PG32" si="63">IF(NW32=$H32,NW32,NW32+1)</f>
        <v>50</v>
      </c>
      <c r="NY32" s="17">
        <f t="shared" si="63"/>
        <v>50</v>
      </c>
      <c r="NZ32" s="17">
        <f t="shared" si="63"/>
        <v>50</v>
      </c>
      <c r="OA32" s="17">
        <f t="shared" si="63"/>
        <v>50</v>
      </c>
      <c r="OB32" s="17">
        <f t="shared" si="63"/>
        <v>50</v>
      </c>
      <c r="OC32" s="17">
        <f t="shared" si="63"/>
        <v>50</v>
      </c>
      <c r="OD32" s="17">
        <f t="shared" si="63"/>
        <v>50</v>
      </c>
      <c r="OE32" s="17">
        <f t="shared" si="63"/>
        <v>50</v>
      </c>
      <c r="OF32" s="17">
        <f t="shared" si="63"/>
        <v>50</v>
      </c>
      <c r="OG32" s="17">
        <f t="shared" si="63"/>
        <v>50</v>
      </c>
      <c r="OH32" s="17">
        <f t="shared" si="63"/>
        <v>50</v>
      </c>
      <c r="OI32" s="17">
        <f t="shared" si="63"/>
        <v>50</v>
      </c>
      <c r="OJ32" s="17">
        <f t="shared" si="63"/>
        <v>50</v>
      </c>
      <c r="OK32" s="17">
        <f t="shared" si="63"/>
        <v>50</v>
      </c>
      <c r="OL32" s="17">
        <f t="shared" si="63"/>
        <v>50</v>
      </c>
      <c r="OM32" s="17">
        <f t="shared" si="63"/>
        <v>50</v>
      </c>
      <c r="ON32" s="17">
        <f t="shared" si="63"/>
        <v>50</v>
      </c>
      <c r="OO32" s="17">
        <f t="shared" si="63"/>
        <v>50</v>
      </c>
      <c r="OP32" s="17">
        <f t="shared" si="63"/>
        <v>50</v>
      </c>
      <c r="OQ32" s="17">
        <f t="shared" si="63"/>
        <v>50</v>
      </c>
      <c r="OR32" s="17">
        <f t="shared" si="63"/>
        <v>50</v>
      </c>
      <c r="OS32" s="17">
        <f t="shared" si="63"/>
        <v>50</v>
      </c>
      <c r="OT32" s="17">
        <f t="shared" si="63"/>
        <v>50</v>
      </c>
      <c r="OU32" s="17">
        <f t="shared" si="63"/>
        <v>50</v>
      </c>
      <c r="OV32" s="17">
        <f t="shared" si="63"/>
        <v>50</v>
      </c>
      <c r="OW32" s="17">
        <f t="shared" si="63"/>
        <v>50</v>
      </c>
      <c r="OX32" s="17">
        <f t="shared" si="63"/>
        <v>50</v>
      </c>
      <c r="OY32" s="17">
        <f t="shared" si="63"/>
        <v>50</v>
      </c>
      <c r="OZ32" s="17">
        <f t="shared" si="63"/>
        <v>50</v>
      </c>
      <c r="PA32" s="17">
        <f t="shared" si="63"/>
        <v>50</v>
      </c>
      <c r="PB32" s="17">
        <f t="shared" si="63"/>
        <v>50</v>
      </c>
      <c r="PC32" s="17">
        <f t="shared" si="63"/>
        <v>50</v>
      </c>
      <c r="PD32" s="17">
        <f t="shared" si="63"/>
        <v>50</v>
      </c>
      <c r="PE32" s="17">
        <f t="shared" si="63"/>
        <v>50</v>
      </c>
      <c r="PF32" s="17">
        <f t="shared" si="63"/>
        <v>50</v>
      </c>
      <c r="PG32" s="17">
        <f t="shared" si="63"/>
        <v>50</v>
      </c>
    </row>
    <row r="33" spans="1:423" x14ac:dyDescent="0.25">
      <c r="A33" s="8" t="s">
        <v>5454</v>
      </c>
      <c r="B33" s="9" t="s">
        <v>5503</v>
      </c>
      <c r="C33" s="9" t="str">
        <f t="shared" si="0"/>
        <v>3R1</v>
      </c>
      <c r="D33" s="1" t="str">
        <f t="shared" si="1"/>
        <v>3 Bandes R1</v>
      </c>
      <c r="E33" s="1" t="s">
        <v>15</v>
      </c>
      <c r="F33" s="9" t="s">
        <v>5452</v>
      </c>
      <c r="G33" s="9">
        <v>15</v>
      </c>
      <c r="H33" s="9">
        <v>50</v>
      </c>
      <c r="I33" s="127">
        <v>2.8</v>
      </c>
      <c r="J33" s="30"/>
      <c r="K33" s="281"/>
      <c r="L33" s="8">
        <v>0.25</v>
      </c>
      <c r="M33" s="9">
        <v>0.25</v>
      </c>
      <c r="N33" s="10">
        <v>0.3599</v>
      </c>
      <c r="O33" s="269"/>
      <c r="P33" s="331"/>
      <c r="Q33" s="335"/>
      <c r="R33" s="128">
        <v>1</v>
      </c>
      <c r="S33" s="9">
        <v>1</v>
      </c>
      <c r="T33" s="10">
        <v>2</v>
      </c>
      <c r="U33" t="s">
        <v>5523</v>
      </c>
      <c r="V33" s="17">
        <v>0</v>
      </c>
      <c r="W33" s="17">
        <f>IF(Distances[[#This Row],[Colonne4]]=$G33,V33,Distances[[#This Row],[Colonne4]]+1)</f>
        <v>1</v>
      </c>
      <c r="X33" s="17">
        <f>IF(Distances[[#This Row],[Colonne5]]=$G33,W33,Distances[[#This Row],[Colonne5]]+1)</f>
        <v>2</v>
      </c>
      <c r="Y33" s="17">
        <f>IF(Distances[[#This Row],[Colonne6]]=$G33,X33,Distances[[#This Row],[Colonne6]]+1)</f>
        <v>3</v>
      </c>
      <c r="Z33" s="17">
        <f>IF(Distances[[#This Row],[Colonne7]]=$G33,Y33,Distances[[#This Row],[Colonne7]]+1)</f>
        <v>4</v>
      </c>
      <c r="AA33" s="17">
        <f>IF(Distances[[#This Row],[Colonne8]]=$G33,Z33,Distances[[#This Row],[Colonne8]]+1)</f>
        <v>5</v>
      </c>
      <c r="AB33" s="17">
        <f>IF(Distances[[#This Row],[Colonne9]]=$G33,AA33,Distances[[#This Row],[Colonne9]]+1)</f>
        <v>6</v>
      </c>
      <c r="AC33" s="17">
        <f>IF(Distances[[#This Row],[Colonne10]]=$G33,AB33,Distances[[#This Row],[Colonne10]]+1)</f>
        <v>7</v>
      </c>
      <c r="AD33" s="17">
        <f>IF(Distances[[#This Row],[Colonne11]]=$G33,AC33,Distances[[#This Row],[Colonne11]]+1)</f>
        <v>8</v>
      </c>
      <c r="AE33" s="17">
        <f>IF(Distances[[#This Row],[Colonne12]]=$G33,AD33,Distances[[#This Row],[Colonne12]]+1)</f>
        <v>9</v>
      </c>
      <c r="AF33" s="17">
        <f>IF(Distances[[#This Row],[Colonne13]]=$G33,AE33,Distances[[#This Row],[Colonne13]]+1)</f>
        <v>10</v>
      </c>
      <c r="AG33" s="17">
        <f>IF(Distances[[#This Row],[Colonne14]]=$G33,AF33,Distances[[#This Row],[Colonne14]]+1)</f>
        <v>11</v>
      </c>
      <c r="AH33" s="17">
        <f>IF(Distances[[#This Row],[Colonne15]]=$G33,AG33,Distances[[#This Row],[Colonne15]]+1)</f>
        <v>12</v>
      </c>
      <c r="AI33" s="17">
        <f>IF(Distances[[#This Row],[Colonne16]]=$G33,AH33,Distances[[#This Row],[Colonne16]]+1)</f>
        <v>13</v>
      </c>
      <c r="AJ33" s="17">
        <f>IF(Distances[[#This Row],[Colonne17]]=$G33,AI33,Distances[[#This Row],[Colonne17]]+1)</f>
        <v>14</v>
      </c>
      <c r="AK33" s="17">
        <f>IF(Distances[[#This Row],[Colonne18]]=$G33,AJ33,Distances[[#This Row],[Colonne18]]+1)</f>
        <v>15</v>
      </c>
      <c r="AL33" s="17">
        <f>IF(Distances[[#This Row],[Colonne19]]=$G33,AK33,Distances[[#This Row],[Colonne19]]+1)</f>
        <v>15</v>
      </c>
      <c r="AM33" s="17">
        <f>IF(Distances[[#This Row],[Colonne20]]=$G33,AL33,Distances[[#This Row],[Colonne20]]+1)</f>
        <v>15</v>
      </c>
      <c r="AN33" s="17">
        <f>IF(Distances[[#This Row],[Colonne21]]=$G33,AM33,Distances[[#This Row],[Colonne21]]+1)</f>
        <v>15</v>
      </c>
      <c r="AO33" s="17">
        <f>IF(Distances[[#This Row],[Colonne22]]=$G33,AN33,Distances[[#This Row],[Colonne22]]+1)</f>
        <v>15</v>
      </c>
      <c r="AP33" s="17">
        <f>IF(Distances[[#This Row],[Colonne23]]=$G33,AO33,Distances[[#This Row],[Colonne23]]+1)</f>
        <v>15</v>
      </c>
      <c r="AQ33" s="17">
        <f>IF(Distances[[#This Row],[Colonne24]]=$G33,AP33,Distances[[#This Row],[Colonne24]]+1)</f>
        <v>15</v>
      </c>
      <c r="AR33" s="17">
        <f>IF(Distances[[#This Row],[Colonne25]]=$G33,AQ33,Distances[[#This Row],[Colonne25]]+1)</f>
        <v>15</v>
      </c>
      <c r="AS33" s="17">
        <f>IF(Distances[[#This Row],[Colonne26]]=$G33,AR33,Distances[[#This Row],[Colonne26]]+1)</f>
        <v>15</v>
      </c>
      <c r="AT33" s="17">
        <f>IF(Distances[[#This Row],[Colonne27]]=$G33,AS33,Distances[[#This Row],[Colonne27]]+1)</f>
        <v>15</v>
      </c>
      <c r="AU33" s="17">
        <f>IF(Distances[[#This Row],[Colonne28]]=$G33,AT33,Distances[[#This Row],[Colonne28]]+1)</f>
        <v>15</v>
      </c>
      <c r="AV33" s="17">
        <f>IF(Distances[[#This Row],[Colonne29]]=$G33,AU33,Distances[[#This Row],[Colonne29]]+1)</f>
        <v>15</v>
      </c>
      <c r="AW33" s="17">
        <f>IF(Distances[[#This Row],[Colonne30]]=$G33,AV33,Distances[[#This Row],[Colonne30]]+1)</f>
        <v>15</v>
      </c>
      <c r="AX33" s="17">
        <f>IF(Distances[[#This Row],[Colonne31]]=$G33,AW33,Distances[[#This Row],[Colonne31]]+1)</f>
        <v>15</v>
      </c>
      <c r="AY33" s="17">
        <f>IF(Distances[[#This Row],[Colonne32]]=$G33,AX33,Distances[[#This Row],[Colonne32]]+1)</f>
        <v>15</v>
      </c>
      <c r="AZ33" s="17">
        <f>IF(Distances[[#This Row],[Colonne33]]=$G33,AY33,Distances[[#This Row],[Colonne33]]+1)</f>
        <v>15</v>
      </c>
      <c r="BA33" s="17">
        <f>IF(Distances[[#This Row],[Colonne34]]=$G33,AZ33,Distances[[#This Row],[Colonne34]]+1)</f>
        <v>15</v>
      </c>
      <c r="BB33" s="17">
        <f>IF(Distances[[#This Row],[Colonne35]]=$G33,BA33,Distances[[#This Row],[Colonne35]]+1)</f>
        <v>15</v>
      </c>
      <c r="BC33" s="17">
        <f>IF(Distances[[#This Row],[Colonne36]]=$G33,BB33,Distances[[#This Row],[Colonne36]]+1)</f>
        <v>15</v>
      </c>
      <c r="BD33" s="17">
        <f>IF(Distances[[#This Row],[Colonne37]]=$G33,BC33,Distances[[#This Row],[Colonne37]]+1)</f>
        <v>15</v>
      </c>
      <c r="BE33" s="17">
        <f>IF(Distances[[#This Row],[Colonne38]]=$G33,BD33,Distances[[#This Row],[Colonne38]]+1)</f>
        <v>15</v>
      </c>
      <c r="BF33" s="17">
        <f>IF(Distances[[#This Row],[Colonne39]]=$G33,BE33,Distances[[#This Row],[Colonne39]]+1)</f>
        <v>15</v>
      </c>
      <c r="BG33" s="17">
        <f>IF(Distances[[#This Row],[Colonne40]]=$G33,BF33,Distances[[#This Row],[Colonne40]]+1)</f>
        <v>15</v>
      </c>
      <c r="BH33" s="17">
        <f>IF(Distances[[#This Row],[Colonne41]]=$G33,BG33,Distances[[#This Row],[Colonne41]]+1)</f>
        <v>15</v>
      </c>
      <c r="BI33" s="17">
        <f>IF(Distances[[#This Row],[Colonne42]]=$G33,BH33,Distances[[#This Row],[Colonne42]]+1)</f>
        <v>15</v>
      </c>
      <c r="BJ33" s="17">
        <f>IF(Distances[[#This Row],[Colonne43]]=$G33,BI33,Distances[[#This Row],[Colonne43]]+1)</f>
        <v>15</v>
      </c>
      <c r="BK33" s="17">
        <f>IF(Distances[[#This Row],[Colonne44]]=$G33,BJ33,Distances[[#This Row],[Colonne44]]+1)</f>
        <v>15</v>
      </c>
      <c r="BL33" s="17">
        <f>IF(Distances[[#This Row],[Colonne45]]=$G33,BK33,Distances[[#This Row],[Colonne45]]+1)</f>
        <v>15</v>
      </c>
      <c r="BM33" s="17">
        <f>IF(Distances[[#This Row],[Colonne46]]=$G33,BL33,Distances[[#This Row],[Colonne46]]+1)</f>
        <v>15</v>
      </c>
      <c r="BN33" s="17">
        <f>IF(Distances[[#This Row],[Colonne47]]=$G33,BM33,Distances[[#This Row],[Colonne47]]+1)</f>
        <v>15</v>
      </c>
      <c r="BO33" s="17">
        <f>IF(Distances[[#This Row],[Colonne48]]=$G33,BN33,Distances[[#This Row],[Colonne48]]+1)</f>
        <v>15</v>
      </c>
      <c r="BP33" s="17">
        <f>IF(Distances[[#This Row],[Colonne49]]=$G33,BO33,Distances[[#This Row],[Colonne49]]+1)</f>
        <v>15</v>
      </c>
      <c r="BQ33" s="17">
        <f>IF(Distances[[#This Row],[Colonne50]]=$G33,BP33,Distances[[#This Row],[Colonne50]]+1)</f>
        <v>15</v>
      </c>
      <c r="BR33" s="17">
        <f>IF(Distances[[#This Row],[Colonne51]]=$G33,BQ33,Distances[[#This Row],[Colonne51]]+1)</f>
        <v>15</v>
      </c>
      <c r="BS33" s="17">
        <f>IF(Distances[[#This Row],[Colonne52]]=$G33,BR33,Distances[[#This Row],[Colonne52]]+1)</f>
        <v>15</v>
      </c>
      <c r="BT33" s="17">
        <f>IF(Distances[[#This Row],[Colonne53]]=$G33,BS33,Distances[[#This Row],[Colonne53]]+1)</f>
        <v>15</v>
      </c>
      <c r="BU33" s="17">
        <f>IF(Distances[[#This Row],[Colonne54]]=$G33,BT33,Distances[[#This Row],[Colonne54]]+1)</f>
        <v>15</v>
      </c>
      <c r="BV33" s="17">
        <f>IF(Distances[[#This Row],[Colonne55]]=$G33,BU33,Distances[[#This Row],[Colonne55]]+1)</f>
        <v>15</v>
      </c>
      <c r="BW33" s="17">
        <f>IF(Distances[[#This Row],[Colonne56]]=$G33,BV33,Distances[[#This Row],[Colonne56]]+1)</f>
        <v>15</v>
      </c>
      <c r="BX33" s="17">
        <f>IF(Distances[[#This Row],[Colonne57]]=$G33,BW33,Distances[[#This Row],[Colonne57]]+1)</f>
        <v>15</v>
      </c>
      <c r="BY33" s="17">
        <f>IF(Distances[[#This Row],[Colonne58]]=$G33,BX33,Distances[[#This Row],[Colonne58]]+1)</f>
        <v>15</v>
      </c>
      <c r="BZ33" s="17">
        <f>IF(Distances[[#This Row],[Colonne59]]=$G33,BY33,Distances[[#This Row],[Colonne59]]+1)</f>
        <v>15</v>
      </c>
      <c r="CA33" s="17">
        <f>IF(Distances[[#This Row],[Colonne60]]=$G33,BZ33,Distances[[#This Row],[Colonne60]]+1)</f>
        <v>15</v>
      </c>
      <c r="CB33" s="17">
        <f>IF(Distances[[#This Row],[Colonne61]]=$G33,CA33,Distances[[#This Row],[Colonne61]]+1)</f>
        <v>15</v>
      </c>
      <c r="CC33" s="17">
        <f>IF(Distances[[#This Row],[Colonne62]]=$G33,CB33,Distances[[#This Row],[Colonne62]]+1)</f>
        <v>15</v>
      </c>
      <c r="CD33" s="17">
        <f>IF(Distances[[#This Row],[Colonne63]]=$G33,CC33,Distances[[#This Row],[Colonne63]]+1)</f>
        <v>15</v>
      </c>
      <c r="CE33" s="17">
        <f>IF(Distances[[#This Row],[Colonne64]]=$G33,CD33,Distances[[#This Row],[Colonne64]]+1)</f>
        <v>15</v>
      </c>
      <c r="CF33" s="17">
        <f>IF(Distances[[#This Row],[Colonne65]]=$G33,CE33,Distances[[#This Row],[Colonne65]]+1)</f>
        <v>15</v>
      </c>
      <c r="CG33" s="17">
        <f>IF(Distances[[#This Row],[Colonne66]]=$G33,CF33,Distances[[#This Row],[Colonne66]]+1)</f>
        <v>15</v>
      </c>
      <c r="CH33" s="17">
        <f>IF(Distances[[#This Row],[Colonne67]]=$G33,CG33,Distances[[#This Row],[Colonne67]]+1)</f>
        <v>15</v>
      </c>
      <c r="CI33" s="17">
        <f>IF(Distances[[#This Row],[Colonne68]]=$G33,CH33,Distances[[#This Row],[Colonne68]]+1)</f>
        <v>15</v>
      </c>
      <c r="CJ33" s="17">
        <f>IF(Distances[[#This Row],[Colonne69]]=$G33,CI33,Distances[[#This Row],[Colonne69]]+1)</f>
        <v>15</v>
      </c>
      <c r="CK33" s="17">
        <f>IF(Distances[[#This Row],[Colonne70]]=$G33,CJ33,Distances[[#This Row],[Colonne70]]+1)</f>
        <v>15</v>
      </c>
      <c r="CL33" s="17">
        <f>IF(Distances[[#This Row],[Colonne71]]=$G33,CK33,Distances[[#This Row],[Colonne71]]+1)</f>
        <v>15</v>
      </c>
      <c r="CM33" s="17">
        <f>IF(Distances[[#This Row],[Colonne72]]=$G33,CL33,Distances[[#This Row],[Colonne72]]+1)</f>
        <v>15</v>
      </c>
      <c r="CN33" s="17">
        <f>IF(Distances[[#This Row],[Colonne73]]=$G33,CM33,Distances[[#This Row],[Colonne73]]+1)</f>
        <v>15</v>
      </c>
      <c r="CO33" s="17">
        <f>IF(Distances[[#This Row],[Colonne74]]=$G33,CN33,Distances[[#This Row],[Colonne74]]+1)</f>
        <v>15</v>
      </c>
      <c r="CP33" s="17">
        <f>IF(Distances[[#This Row],[Colonne75]]=$G33,CO33,Distances[[#This Row],[Colonne75]]+1)</f>
        <v>15</v>
      </c>
      <c r="CQ33" s="17">
        <f>IF(Distances[[#This Row],[Colonne76]]=$G33,CP33,Distances[[#This Row],[Colonne76]]+1)</f>
        <v>15</v>
      </c>
      <c r="CR33" s="17">
        <f>IF(Distances[[#This Row],[Colonne77]]=$G33,CQ33,Distances[[#This Row],[Colonne77]]+1)</f>
        <v>15</v>
      </c>
      <c r="CS33" s="17">
        <f>IF(Distances[[#This Row],[Colonne78]]=$G33,CR33,Distances[[#This Row],[Colonne78]]+1)</f>
        <v>15</v>
      </c>
      <c r="CT33" s="17">
        <f>IF(Distances[[#This Row],[Colonne79]]=$G33,CS33,Distances[[#This Row],[Colonne79]]+1)</f>
        <v>15</v>
      </c>
      <c r="CU33" s="17">
        <f>IF(Distances[[#This Row],[Colonne80]]=$G33,CT33,Distances[[#This Row],[Colonne80]]+1)</f>
        <v>15</v>
      </c>
      <c r="CV33" s="17">
        <f>IF(Distances[[#This Row],[Colonne81]]=$G33,CU33,Distances[[#This Row],[Colonne81]]+1)</f>
        <v>15</v>
      </c>
      <c r="CW33" s="17">
        <f>IF(Distances[[#This Row],[Colonne82]]=$G33,CV33,Distances[[#This Row],[Colonne82]]+1)</f>
        <v>15</v>
      </c>
      <c r="CX33" s="17">
        <f>IF(Distances[[#This Row],[Colonne83]]=$G33,CW33,Distances[[#This Row],[Colonne83]]+1)</f>
        <v>15</v>
      </c>
      <c r="CY33" s="17">
        <f>IF(Distances[[#This Row],[Colonne84]]=$G33,CX33,Distances[[#This Row],[Colonne84]]+1)</f>
        <v>15</v>
      </c>
      <c r="CZ33" s="17">
        <f>IF(Distances[[#This Row],[Colonne85]]=$G33,CY33,Distances[[#This Row],[Colonne85]]+1)</f>
        <v>15</v>
      </c>
      <c r="DA33" s="17">
        <f>IF(Distances[[#This Row],[Colonne86]]=$G33,CZ33,Distances[[#This Row],[Colonne86]]+1)</f>
        <v>15</v>
      </c>
      <c r="DB33" s="17">
        <f>IF(Distances[[#This Row],[Colonne87]]=$G33,DA33,Distances[[#This Row],[Colonne87]]+1)</f>
        <v>15</v>
      </c>
      <c r="DC33" s="17">
        <f>IF(Distances[[#This Row],[Colonne88]]=$G33,DB33,Distances[[#This Row],[Colonne88]]+1)</f>
        <v>15</v>
      </c>
      <c r="DD33" s="17">
        <f>IF(Distances[[#This Row],[Colonne89]]=$G33,DC33,Distances[[#This Row],[Colonne89]]+1)</f>
        <v>15</v>
      </c>
      <c r="DE33" s="17">
        <f>IF(Distances[[#This Row],[Colonne90]]=$G33,DD33,Distances[[#This Row],[Colonne90]]+1)</f>
        <v>15</v>
      </c>
      <c r="DF33" s="17">
        <f>IF(Distances[[#This Row],[Colonne91]]=$G33,DE33,Distances[[#This Row],[Colonne91]]+1)</f>
        <v>15</v>
      </c>
      <c r="DG33" s="17">
        <f>IF(Distances[[#This Row],[Colonne92]]=$G33,DF33,Distances[[#This Row],[Colonne92]]+1)</f>
        <v>15</v>
      </c>
      <c r="DH33" s="17">
        <f>IF(Distances[[#This Row],[Colonne93]]=$G33,DG33,Distances[[#This Row],[Colonne93]]+1)</f>
        <v>15</v>
      </c>
      <c r="DI33" s="17">
        <f>IF(Distances[[#This Row],[Colonne94]]=$G33,DH33,Distances[[#This Row],[Colonne94]]+1)</f>
        <v>15</v>
      </c>
      <c r="DJ33" s="17">
        <f>IF(Distances[[#This Row],[Colonne95]]=$G33,DI33,Distances[[#This Row],[Colonne95]]+1)</f>
        <v>15</v>
      </c>
      <c r="DK33" s="17">
        <f>IF(Distances[[#This Row],[Colonne96]]=$G33,DJ33,Distances[[#This Row],[Colonne96]]+1)</f>
        <v>15</v>
      </c>
      <c r="DL33" s="17">
        <f>IF(Distances[[#This Row],[Colonne97]]=$G33,DK33,Distances[[#This Row],[Colonne97]]+1)</f>
        <v>15</v>
      </c>
      <c r="DM33" s="17">
        <f>IF(Distances[[#This Row],[Colonne98]]=$G33,DL33,Distances[[#This Row],[Colonne98]]+1)</f>
        <v>15</v>
      </c>
      <c r="DN33" s="17">
        <f>IF(Distances[[#This Row],[Colonne99]]=$G33,DM33,Distances[[#This Row],[Colonne99]]+1)</f>
        <v>15</v>
      </c>
      <c r="DO33" s="17">
        <f>IF(Distances[[#This Row],[Colonne100]]=$G33,DN33,Distances[[#This Row],[Colonne100]]+1)</f>
        <v>15</v>
      </c>
      <c r="DP33" s="17">
        <f>IF(Distances[[#This Row],[Colonne101]]=$G33,DO33,Distances[[#This Row],[Colonne101]]+1)</f>
        <v>15</v>
      </c>
      <c r="DQ33" s="17">
        <f>IF(Distances[[#This Row],[Colonne102]]=$G33,DP33,Distances[[#This Row],[Colonne102]]+1)</f>
        <v>15</v>
      </c>
      <c r="DR33" s="17">
        <f>IF(Distances[[#This Row],[Colonne103]]=$G33,DQ33,Distances[[#This Row],[Colonne103]]+1)</f>
        <v>15</v>
      </c>
      <c r="DS33" s="17">
        <f>IF(Distances[[#This Row],[Colonne104]]=$G33,DR33,Distances[[#This Row],[Colonne104]]+1)</f>
        <v>15</v>
      </c>
      <c r="DT33" s="17">
        <f>IF(Distances[[#This Row],[Colonne105]]=$G33,DS33,Distances[[#This Row],[Colonne105]]+1)</f>
        <v>15</v>
      </c>
      <c r="DU33" s="17">
        <f>IF(Distances[[#This Row],[Colonne106]]=$G33,DT33,Distances[[#This Row],[Colonne106]]+1)</f>
        <v>15</v>
      </c>
      <c r="DV33" s="17">
        <f>IF(Distances[[#This Row],[Colonne107]]=$G33,DU33,Distances[[#This Row],[Colonne107]]+1)</f>
        <v>15</v>
      </c>
      <c r="DW33" s="17">
        <f>IF(Distances[[#This Row],[Colonne108]]=$G33,DV33,Distances[[#This Row],[Colonne108]]+1)</f>
        <v>15</v>
      </c>
      <c r="DX33" s="17">
        <f>IF(Distances[[#This Row],[Colonne109]]=$G33,DW33,Distances[[#This Row],[Colonne109]]+1)</f>
        <v>15</v>
      </c>
      <c r="DY33" s="17">
        <f>IF(Distances[[#This Row],[Colonne110]]=$G33,DX33,Distances[[#This Row],[Colonne110]]+1)</f>
        <v>15</v>
      </c>
      <c r="DZ33" s="17">
        <f>IF(Distances[[#This Row],[Colonne111]]=$G33,DY33,Distances[[#This Row],[Colonne111]]+1)</f>
        <v>15</v>
      </c>
      <c r="EA33" s="17">
        <f>IF(Distances[[#This Row],[Colonne112]]=$G33,DZ33,Distances[[#This Row],[Colonne112]]+1)</f>
        <v>15</v>
      </c>
      <c r="EB33" s="17">
        <f>IF(Distances[[#This Row],[Colonne113]]=$G33,EA33,Distances[[#This Row],[Colonne113]]+1)</f>
        <v>15</v>
      </c>
      <c r="EC33" s="17">
        <f>IF(Distances[[#This Row],[Colonne114]]=$G33,EB33,Distances[[#This Row],[Colonne114]]+1)</f>
        <v>15</v>
      </c>
      <c r="ED33" s="17">
        <f>IF(Distances[[#This Row],[Colonne115]]=$G33,EC33,Distances[[#This Row],[Colonne115]]+1)</f>
        <v>15</v>
      </c>
      <c r="EE33" s="17">
        <f>IF(Distances[[#This Row],[Colonne116]]=$G33,ED33,Distances[[#This Row],[Colonne116]]+1)</f>
        <v>15</v>
      </c>
      <c r="EF33" s="17">
        <f>IF(Distances[[#This Row],[Colonne117]]=$G33,EE33,Distances[[#This Row],[Colonne117]]+1)</f>
        <v>15</v>
      </c>
      <c r="EG33" s="17">
        <f>IF(Distances[[#This Row],[Colonne118]]=$G33,EF33,Distances[[#This Row],[Colonne118]]+1)</f>
        <v>15</v>
      </c>
      <c r="EH33" s="17">
        <f>IF(Distances[[#This Row],[Colonne119]]=$G33,EG33,Distances[[#This Row],[Colonne119]]+1)</f>
        <v>15</v>
      </c>
      <c r="EI33" s="17">
        <f>IF(Distances[[#This Row],[Colonne120]]=$G33,EH33,Distances[[#This Row],[Colonne120]]+1)</f>
        <v>15</v>
      </c>
      <c r="EJ33" s="17">
        <f>IF(Distances[[#This Row],[Colonne121]]=$G33,EI33,Distances[[#This Row],[Colonne121]]+1)</f>
        <v>15</v>
      </c>
      <c r="EK33" s="17">
        <f>IF(Distances[[#This Row],[Colonne122]]=$G33,EJ33,Distances[[#This Row],[Colonne122]]+1)</f>
        <v>15</v>
      </c>
      <c r="EL33" s="17">
        <f>IF(Distances[[#This Row],[Colonne123]]=$G33,EK33,Distances[[#This Row],[Colonne123]]+1)</f>
        <v>15</v>
      </c>
      <c r="EM33" s="17">
        <f>IF(Distances[[#This Row],[Colonne124]]=$G33,EL33,Distances[[#This Row],[Colonne124]]+1)</f>
        <v>15</v>
      </c>
      <c r="EN33" s="17">
        <f>IF(Distances[[#This Row],[Colonne125]]=$G33,EM33,Distances[[#This Row],[Colonne125]]+1)</f>
        <v>15</v>
      </c>
      <c r="EO33" s="17">
        <f>IF(Distances[[#This Row],[Colonne126]]=$G33,EN33,Distances[[#This Row],[Colonne126]]+1)</f>
        <v>15</v>
      </c>
      <c r="EP33" s="17">
        <f>IF(Distances[[#This Row],[Colonne127]]=$G33,EO33,Distances[[#This Row],[Colonne127]]+1)</f>
        <v>15</v>
      </c>
      <c r="EQ33" s="17">
        <f>IF(Distances[[#This Row],[Colonne128]]=$G33,EP33,Distances[[#This Row],[Colonne128]]+1)</f>
        <v>15</v>
      </c>
      <c r="ER33" s="17">
        <f>IF(Distances[[#This Row],[Colonne129]]=$G33,EQ33,Distances[[#This Row],[Colonne129]]+1)</f>
        <v>15</v>
      </c>
      <c r="ES33" s="17">
        <f>IF(Distances[[#This Row],[Colonne130]]=$G33,ER33,Distances[[#This Row],[Colonne130]]+1)</f>
        <v>15</v>
      </c>
      <c r="ET33" s="17">
        <f>IF(Distances[[#This Row],[Colonne131]]=$G33,ES33,Distances[[#This Row],[Colonne131]]+1)</f>
        <v>15</v>
      </c>
      <c r="EU33" s="17">
        <f>IF(Distances[[#This Row],[Colonne132]]=$G33,ET33,Distances[[#This Row],[Colonne132]]+1)</f>
        <v>15</v>
      </c>
      <c r="EV33" s="17">
        <f>IF(Distances[[#This Row],[Colonne133]]=$G33,EU33,Distances[[#This Row],[Colonne133]]+1)</f>
        <v>15</v>
      </c>
      <c r="EW33" s="17">
        <f>IF(Distances[[#This Row],[Colonne134]]=$G33,EV33,Distances[[#This Row],[Colonne134]]+1)</f>
        <v>15</v>
      </c>
      <c r="EX33" s="17">
        <f>IF(Distances[[#This Row],[Colonne135]]=$G33,EW33,Distances[[#This Row],[Colonne135]]+1)</f>
        <v>15</v>
      </c>
      <c r="EY33" s="17">
        <f>IF(Distances[[#This Row],[Colonne136]]=$G33,EX33,Distances[[#This Row],[Colonne136]]+1)</f>
        <v>15</v>
      </c>
      <c r="EZ33" s="17">
        <f>IF(Distances[[#This Row],[Colonne137]]=$G33,EY33,Distances[[#This Row],[Colonne137]]+1)</f>
        <v>15</v>
      </c>
      <c r="FA33" s="17">
        <f>IF(Distances[[#This Row],[Colonne138]]=$G33,EZ33,Distances[[#This Row],[Colonne138]]+1)</f>
        <v>15</v>
      </c>
      <c r="FB33" s="17">
        <f>IF(Distances[[#This Row],[Colonne139]]=$G33,FA33,Distances[[#This Row],[Colonne139]]+1)</f>
        <v>15</v>
      </c>
      <c r="FC33" s="17">
        <f>IF(Distances[[#This Row],[Colonne140]]=$G33,FB33,Distances[[#This Row],[Colonne140]]+1)</f>
        <v>15</v>
      </c>
      <c r="FD33" s="17">
        <f>IF(Distances[[#This Row],[Colonne141]]=$G33,FC33,Distances[[#This Row],[Colonne141]]+1)</f>
        <v>15</v>
      </c>
      <c r="FE33" s="17">
        <f>IF(Distances[[#This Row],[Colonne142]]=$G33,FD33,Distances[[#This Row],[Colonne142]]+1)</f>
        <v>15</v>
      </c>
      <c r="FF33" s="17">
        <f>IF(Distances[[#This Row],[Colonne143]]=$G33,FE33,Distances[[#This Row],[Colonne143]]+1)</f>
        <v>15</v>
      </c>
      <c r="FG33" s="17">
        <f>IF(Distances[[#This Row],[Colonne144]]=$G33,FF33,Distances[[#This Row],[Colonne144]]+1)</f>
        <v>15</v>
      </c>
      <c r="FH33" s="17">
        <f>IF(Distances[[#This Row],[Colonne145]]=$G33,FG33,Distances[[#This Row],[Colonne145]]+1)</f>
        <v>15</v>
      </c>
      <c r="FI33" s="17">
        <f>IF(Distances[[#This Row],[Colonne146]]=$G33,FH33,Distances[[#This Row],[Colonne146]]+1)</f>
        <v>15</v>
      </c>
      <c r="FJ33" s="17">
        <f>IF(Distances[[#This Row],[Colonne147]]=$G33,FI33,Distances[[#This Row],[Colonne147]]+1)</f>
        <v>15</v>
      </c>
      <c r="FK33" s="17">
        <f>IF(Distances[[#This Row],[Colonne148]]=$G33,FJ33,Distances[[#This Row],[Colonne148]]+1)</f>
        <v>15</v>
      </c>
      <c r="FL33" s="17">
        <f>IF(Distances[[#This Row],[Colonne149]]=$G33,FK33,Distances[[#This Row],[Colonne149]]+1)</f>
        <v>15</v>
      </c>
      <c r="FM33" s="17">
        <f>IF(Distances[[#This Row],[Colonne150]]=$G33,FL33,Distances[[#This Row],[Colonne150]]+1)</f>
        <v>15</v>
      </c>
      <c r="FN33" s="17">
        <f>IF(Distances[[#This Row],[Colonne151]]=$G33,FM33,Distances[[#This Row],[Colonne151]]+1)</f>
        <v>15</v>
      </c>
      <c r="FO33" s="17">
        <f>IF(Distances[[#This Row],[Colonne152]]=$G33,FN33,Distances[[#This Row],[Colonne152]]+1)</f>
        <v>15</v>
      </c>
      <c r="FP33" s="17">
        <f>IF(Distances[[#This Row],[Colonne153]]=$G33,FO33,Distances[[#This Row],[Colonne153]]+1)</f>
        <v>15</v>
      </c>
      <c r="FQ33" s="17">
        <f>IF(Distances[[#This Row],[Colonne154]]=$G33,FP33,Distances[[#This Row],[Colonne154]]+1)</f>
        <v>15</v>
      </c>
      <c r="FR33" s="17">
        <f>IF(Distances[[#This Row],[Colonne155]]=$G33,FQ33,Distances[[#This Row],[Colonne155]]+1)</f>
        <v>15</v>
      </c>
      <c r="FS33" s="17">
        <f>IF(Distances[[#This Row],[Colonne156]]=$G33,FR33,Distances[[#This Row],[Colonne156]]+1)</f>
        <v>15</v>
      </c>
      <c r="FT33" s="17">
        <f>IF(Distances[[#This Row],[Colonne157]]=$G33,FS33,Distances[[#This Row],[Colonne157]]+1)</f>
        <v>15</v>
      </c>
      <c r="FU33" s="17">
        <f>IF(Distances[[#This Row],[Colonne158]]=$G33,FT33,Distances[[#This Row],[Colonne158]]+1)</f>
        <v>15</v>
      </c>
      <c r="FV33" s="17">
        <f>IF(Distances[[#This Row],[Colonne159]]=$G33,FU33,Distances[[#This Row],[Colonne159]]+1)</f>
        <v>15</v>
      </c>
      <c r="FW33" s="17">
        <f>IF(Distances[[#This Row],[Colonne160]]=$G33,FV33,Distances[[#This Row],[Colonne160]]+1)</f>
        <v>15</v>
      </c>
      <c r="FX33" s="17">
        <f>IF(Distances[[#This Row],[Colonne161]]=$G33,FW33,Distances[[#This Row],[Colonne161]]+1)</f>
        <v>15</v>
      </c>
      <c r="FY33" s="17">
        <f>IF(Distances[[#This Row],[Colonne162]]=$G33,FX33,Distances[[#This Row],[Colonne162]]+1)</f>
        <v>15</v>
      </c>
      <c r="FZ33" s="17">
        <f>IF(Distances[[#This Row],[Colonne163]]=$G33,FY33,Distances[[#This Row],[Colonne163]]+1)</f>
        <v>15</v>
      </c>
      <c r="GA33" s="17">
        <f>IF(Distances[[#This Row],[Colonne164]]=$G33,FZ33,Distances[[#This Row],[Colonne164]]+1)</f>
        <v>15</v>
      </c>
      <c r="GB33" s="17">
        <f>IF(Distances[[#This Row],[Colonne165]]=$G33,GA33,Distances[[#This Row],[Colonne165]]+1)</f>
        <v>15</v>
      </c>
      <c r="GC33" s="17">
        <f>IF(Distances[[#This Row],[Colonne166]]=$G33,GB33,Distances[[#This Row],[Colonne166]]+1)</f>
        <v>15</v>
      </c>
      <c r="GD33" s="17">
        <f>IF(Distances[[#This Row],[Colonne167]]=$G33,GC33,Distances[[#This Row],[Colonne167]]+1)</f>
        <v>15</v>
      </c>
      <c r="GE33" s="17">
        <f>IF(Distances[[#This Row],[Colonne168]]=$G33,GD33,Distances[[#This Row],[Colonne168]]+1)</f>
        <v>15</v>
      </c>
      <c r="GF33" s="17">
        <f>IF(Distances[[#This Row],[Colonne169]]=$G33,GE33,Distances[[#This Row],[Colonne169]]+1)</f>
        <v>15</v>
      </c>
      <c r="GG33" s="17">
        <f>IF(Distances[[#This Row],[Colonne170]]=$G33,GF33,Distances[[#This Row],[Colonne170]]+1)</f>
        <v>15</v>
      </c>
      <c r="GH33" s="17">
        <f>IF(Distances[[#This Row],[Colonne171]]=$G33,GG33,Distances[[#This Row],[Colonne171]]+1)</f>
        <v>15</v>
      </c>
      <c r="GI33" s="17">
        <f>IF(Distances[[#This Row],[Colonne172]]=$G33,GH33,Distances[[#This Row],[Colonne172]]+1)</f>
        <v>15</v>
      </c>
      <c r="GJ33" s="17">
        <f>IF(Distances[[#This Row],[Colonne173]]=$G33,GI33,Distances[[#This Row],[Colonne173]]+1)</f>
        <v>15</v>
      </c>
      <c r="GK33" s="17">
        <f>IF(Distances[[#This Row],[Colonne174]]=$G33,GJ33,Distances[[#This Row],[Colonne174]]+1)</f>
        <v>15</v>
      </c>
      <c r="GL33" s="17">
        <f>IF(Distances[[#This Row],[Colonne175]]=$G33,GK33,Distances[[#This Row],[Colonne175]]+1)</f>
        <v>15</v>
      </c>
      <c r="GM33" s="17">
        <f>IF(Distances[[#This Row],[Colonne176]]=$G33,GL33,Distances[[#This Row],[Colonne176]]+1)</f>
        <v>15</v>
      </c>
      <c r="GN33" s="17">
        <f>IF(Distances[[#This Row],[Colonne177]]=$G33,GM33,Distances[[#This Row],[Colonne177]]+1)</f>
        <v>15</v>
      </c>
      <c r="GO33" s="17">
        <f>IF(Distances[[#This Row],[Colonne178]]=$G33,GN33,Distances[[#This Row],[Colonne178]]+1)</f>
        <v>15</v>
      </c>
      <c r="GP33" s="17">
        <f>IF(Distances[[#This Row],[Colonne179]]=$G33,GO33,Distances[[#This Row],[Colonne179]]+1)</f>
        <v>15</v>
      </c>
      <c r="GQ33" s="17">
        <f>IF(Distances[[#This Row],[Colonne180]]=$G33,GP33,Distances[[#This Row],[Colonne180]]+1)</f>
        <v>15</v>
      </c>
      <c r="GR33" s="17">
        <f>IF(Distances[[#This Row],[Colonne181]]=$G33,GQ33,Distances[[#This Row],[Colonne181]]+1)</f>
        <v>15</v>
      </c>
      <c r="GS33" s="17">
        <f>IF(Distances[[#This Row],[Colonne182]]=$G33,GR33,Distances[[#This Row],[Colonne182]]+1)</f>
        <v>15</v>
      </c>
      <c r="GT33" s="17">
        <f>IF(Distances[[#This Row],[Colonne183]]=$G33,GS33,Distances[[#This Row],[Colonne183]]+1)</f>
        <v>15</v>
      </c>
      <c r="GU33" s="17">
        <f>IF(Distances[[#This Row],[Colonne184]]=$G33,GT33,Distances[[#This Row],[Colonne184]]+1)</f>
        <v>15</v>
      </c>
      <c r="GV33" s="17">
        <f>IF(Distances[[#This Row],[Colonne185]]=$G33,GU33,Distances[[#This Row],[Colonne185]]+1)</f>
        <v>15</v>
      </c>
      <c r="GW33" s="17">
        <f>IF(Distances[[#This Row],[Colonne186]]=$G33,GV33,Distances[[#This Row],[Colonne186]]+1)</f>
        <v>15</v>
      </c>
      <c r="GX33" s="17">
        <f>IF(Distances[[#This Row],[Colonne187]]=$G33,GW33,Distances[[#This Row],[Colonne187]]+1)</f>
        <v>15</v>
      </c>
      <c r="GY33" s="17">
        <f>IF(Distances[[#This Row],[Colonne188]]=$G33,GX33,Distances[[#This Row],[Colonne188]]+1)</f>
        <v>15</v>
      </c>
      <c r="GZ33" s="17">
        <f>IF(Distances[[#This Row],[Colonne189]]=$G33,GY33,Distances[[#This Row],[Colonne189]]+1)</f>
        <v>15</v>
      </c>
      <c r="HA33" s="17">
        <f>IF(Distances[[#This Row],[Colonne190]]=$G33,GZ33,Distances[[#This Row],[Colonne190]]+1)</f>
        <v>15</v>
      </c>
      <c r="HB33" s="17">
        <f>IF(Distances[[#This Row],[Colonne191]]=$G33,HA33,Distances[[#This Row],[Colonne191]]+1)</f>
        <v>15</v>
      </c>
      <c r="HC33" s="17">
        <f>IF(Distances[[#This Row],[Colonne192]]=$G33,HB33,Distances[[#This Row],[Colonne192]]+1)</f>
        <v>15</v>
      </c>
      <c r="HD33" s="17">
        <f>IF(Distances[[#This Row],[Colonne193]]=$G33,HC33,Distances[[#This Row],[Colonne193]]+1)</f>
        <v>15</v>
      </c>
      <c r="HE33" s="17">
        <f>IF(Distances[[#This Row],[Colonne194]]=$G33,HD33,Distances[[#This Row],[Colonne194]]+1)</f>
        <v>15</v>
      </c>
      <c r="HF33" s="17">
        <f>IF(Distances[[#This Row],[Colonne195]]=$G33,HE33,Distances[[#This Row],[Colonne195]]+1)</f>
        <v>15</v>
      </c>
      <c r="HG33" s="17">
        <f>IF(Distances[[#This Row],[Colonne196]]=$G33,HF33,Distances[[#This Row],[Colonne196]]+1)</f>
        <v>15</v>
      </c>
      <c r="HH33" s="17">
        <f>IF(Distances[[#This Row],[Colonne197]]=$G33,HG33,Distances[[#This Row],[Colonne197]]+1)</f>
        <v>15</v>
      </c>
      <c r="HI33" s="17">
        <f>IF(Distances[[#This Row],[Colonne198]]=$G33,HH33,Distances[[#This Row],[Colonne198]]+1)</f>
        <v>15</v>
      </c>
      <c r="HJ33" s="17">
        <f>IF(Distances[[#This Row],[Colonne199]]=$G33,HI33,Distances[[#This Row],[Colonne199]]+1)</f>
        <v>15</v>
      </c>
      <c r="HK33" s="17">
        <f>IF(Distances[[#This Row],[Colonne200]]=$G33,HJ33,Distances[[#This Row],[Colonne200]]+1)</f>
        <v>15</v>
      </c>
      <c r="HL33" s="17">
        <f>IF(Distances[[#This Row],[Colonne201]]=$G33,HK33,Distances[[#This Row],[Colonne201]]+1)</f>
        <v>15</v>
      </c>
      <c r="HM33" s="17">
        <f>IF(Distances[[#This Row],[Colonne202]]=$G33,HL33,Distances[[#This Row],[Colonne202]]+1)</f>
        <v>15</v>
      </c>
      <c r="HN33" s="17">
        <f>IF(Distances[[#This Row],[Colonne203]]=$G33,HM33,Distances[[#This Row],[Colonne203]]+1)</f>
        <v>15</v>
      </c>
      <c r="HO33" s="17">
        <f>IF(Distances[[#This Row],[Colonne204]]=$G33,HN33,Distances[[#This Row],[Colonne204]]+1)</f>
        <v>15</v>
      </c>
      <c r="HP33" s="17">
        <f>IF(Distances[[#This Row],[Colonne205]]=$G33,HO33,Distances[[#This Row],[Colonne205]]+1)</f>
        <v>15</v>
      </c>
      <c r="HQ33" s="17">
        <f>IF(Distances[[#This Row],[Colonne206]]=$G33,HP33,Distances[[#This Row],[Colonne206]]+1)</f>
        <v>15</v>
      </c>
      <c r="HR33" s="17">
        <f>IF(Distances[[#This Row],[Colonne207]]=$G33,HQ33,Distances[[#This Row],[Colonne207]]+1)</f>
        <v>15</v>
      </c>
      <c r="HS33" s="17">
        <f>IF(Distances[[#This Row],[Colonne208]]=$G33,HR33,Distances[[#This Row],[Colonne208]]+1)</f>
        <v>15</v>
      </c>
      <c r="HT33" s="17">
        <f>IF(Distances[[#This Row],[Colonne209]]=$G33,HS33,Distances[[#This Row],[Colonne209]]+1)</f>
        <v>15</v>
      </c>
      <c r="HU33" s="17">
        <f>IF(Distances[[#This Row],[Colonne210]]=$G33,HT33,Distances[[#This Row],[Colonne210]]+1)</f>
        <v>15</v>
      </c>
      <c r="HV33" s="17">
        <f>IF(Distances[[#This Row],[Colonne211]]=$G33,HU33,Distances[[#This Row],[Colonne211]]+1)</f>
        <v>15</v>
      </c>
      <c r="HW33" s="17">
        <f>IF(Distances[[#This Row],[Colonne212]]=$G33,HV33,Distances[[#This Row],[Colonne212]]+1)</f>
        <v>15</v>
      </c>
      <c r="HX33" s="17">
        <f>IF(Distances[[#This Row],[Colonne213]]=$G33,HW33,Distances[[#This Row],[Colonne213]]+1)</f>
        <v>15</v>
      </c>
      <c r="HY33" s="17">
        <f>IF(Distances[[#This Row],[Colonne214]]=$G33,HX33,Distances[[#This Row],[Colonne214]]+1)</f>
        <v>15</v>
      </c>
      <c r="HZ33" s="17">
        <f>IF(Distances[[#This Row],[Colonne215]]=$G33,HY33,Distances[[#This Row],[Colonne215]]+1)</f>
        <v>15</v>
      </c>
      <c r="IA33" s="17">
        <f>IF(Distances[[#This Row],[Colonne216]]=$G33,HZ33,Distances[[#This Row],[Colonne216]]+1)</f>
        <v>15</v>
      </c>
      <c r="IB33" s="17">
        <f>IF(Distances[[#This Row],[Colonne217]]=$G33,IA33,Distances[[#This Row],[Colonne217]]+1)</f>
        <v>15</v>
      </c>
      <c r="IC33" s="17">
        <f>IF(Distances[[#This Row],[Colonne218]]=$G33,IB33,Distances[[#This Row],[Colonne218]]+1)</f>
        <v>15</v>
      </c>
      <c r="ID33" s="17">
        <f>IF(Distances[[#This Row],[Colonne219]]=$G33,IC33,Distances[[#This Row],[Colonne219]]+1)</f>
        <v>15</v>
      </c>
      <c r="IE33" s="17">
        <f>IF(Distances[[#This Row],[Colonne220]]=$G33,ID33,Distances[[#This Row],[Colonne220]]+1)</f>
        <v>15</v>
      </c>
      <c r="IF33" s="17">
        <f>IF(Distances[[#This Row],[Colonne221]]=$G33,IE33,Distances[[#This Row],[Colonne221]]+1)</f>
        <v>15</v>
      </c>
      <c r="IG33" s="17">
        <f>IF(Distances[[#This Row],[Colonne222]]=$G33,IF33,Distances[[#This Row],[Colonne222]]+1)</f>
        <v>15</v>
      </c>
      <c r="IH33" s="17">
        <f>IF(Distances[[#This Row],[Colonne223]]=$G33,IG33,Distances[[#This Row],[Colonne223]]+1)</f>
        <v>15</v>
      </c>
      <c r="II33" s="17">
        <f>IF(Distances[[#This Row],[Colonne224]]=$G33,IH33,Distances[[#This Row],[Colonne224]]+1)</f>
        <v>15</v>
      </c>
      <c r="IJ33" s="17">
        <f>IF(Distances[[#This Row],[Colonne225]]=$G33,II33,Distances[[#This Row],[Colonne225]]+1)</f>
        <v>15</v>
      </c>
      <c r="IK33" s="17">
        <f>IF(Distances[[#This Row],[Colonne226]]=$G33,IJ33,Distances[[#This Row],[Colonne226]]+1)</f>
        <v>15</v>
      </c>
      <c r="IL33" s="17">
        <f>IF(Distances[[#This Row],[Colonne227]]=$G33,IK33,Distances[[#This Row],[Colonne227]]+1)</f>
        <v>15</v>
      </c>
      <c r="IM33" s="17">
        <f>IF(Distances[[#This Row],[Colonne228]]=$G33,IL33,Distances[[#This Row],[Colonne228]]+1)</f>
        <v>15</v>
      </c>
      <c r="IN33" s="17">
        <f>IF(Distances[[#This Row],[Colonne229]]=$G33,IM33,Distances[[#This Row],[Colonne229]]+1)</f>
        <v>15</v>
      </c>
      <c r="IO33" s="17">
        <f>IF(Distances[[#This Row],[Colonne230]]=$G33,IN33,Distances[[#This Row],[Colonne230]]+1)</f>
        <v>15</v>
      </c>
      <c r="IP33" s="17">
        <f>IF(Distances[[#This Row],[Colonne231]]=$G33,IO33,Distances[[#This Row],[Colonne231]]+1)</f>
        <v>15</v>
      </c>
      <c r="IQ33" s="17">
        <f>IF(Distances[[#This Row],[Colonne232]]=$G33,IP33,Distances[[#This Row],[Colonne232]]+1)</f>
        <v>15</v>
      </c>
      <c r="IR33" s="17">
        <f>IF(Distances[[#This Row],[Colonne233]]=$G33,IQ33,Distances[[#This Row],[Colonne233]]+1)</f>
        <v>15</v>
      </c>
      <c r="IS33" s="17">
        <f>IF(Distances[[#This Row],[Colonne234]]=$G33,IR33,Distances[[#This Row],[Colonne234]]+1)</f>
        <v>15</v>
      </c>
      <c r="IT33" s="17">
        <f>IF(Distances[[#This Row],[Colonne235]]=$G33,IS33,Distances[[#This Row],[Colonne235]]+1)</f>
        <v>15</v>
      </c>
      <c r="IU33" s="17">
        <f>IF(Distances[[#This Row],[Colonne236]]=$G33,IT33,Distances[[#This Row],[Colonne236]]+1)</f>
        <v>15</v>
      </c>
      <c r="IV33" s="17">
        <f>IF(Distances[[#This Row],[Colonne237]]=$G33,IU33,Distances[[#This Row],[Colonne237]]+1)</f>
        <v>15</v>
      </c>
      <c r="IW33" s="17">
        <f>IF(Distances[[#This Row],[Colonne238]]=$G33,IV33,Distances[[#This Row],[Colonne238]]+1)</f>
        <v>15</v>
      </c>
      <c r="IX33" s="17">
        <f>IF(Distances[[#This Row],[Colonne239]]=$G33,IW33,Distances[[#This Row],[Colonne239]]+1)</f>
        <v>15</v>
      </c>
      <c r="IY33" s="17">
        <f>IF(Distances[[#This Row],[Colonne240]]=$G33,IX33,Distances[[#This Row],[Colonne240]]+1)</f>
        <v>15</v>
      </c>
      <c r="IZ33" s="17">
        <f>IF(Distances[[#This Row],[Colonne241]]=$G33,IY33,Distances[[#This Row],[Colonne241]]+1)</f>
        <v>15</v>
      </c>
      <c r="JA33" s="17">
        <f>IF(Distances[[#This Row],[Colonne242]]=$G33,IZ33,Distances[[#This Row],[Colonne242]]+1)</f>
        <v>15</v>
      </c>
      <c r="JB33" s="17">
        <f>IF(Distances[[#This Row],[Colonne243]]=$G33,JA33,Distances[[#This Row],[Colonne243]]+1)</f>
        <v>15</v>
      </c>
      <c r="JC33" s="17">
        <f>IF(Distances[[#This Row],[Colonne244]]=$G33,JB33,Distances[[#This Row],[Colonne244]]+1)</f>
        <v>15</v>
      </c>
      <c r="JD33" s="17">
        <f>IF(Distances[[#This Row],[Colonne245]]=$G33,JC33,Distances[[#This Row],[Colonne245]]+1)</f>
        <v>15</v>
      </c>
      <c r="JE33" s="17">
        <f>IF(Distances[[#This Row],[Colonne246]]=$G33,JD33,Distances[[#This Row],[Colonne246]]+1)</f>
        <v>15</v>
      </c>
      <c r="JF33" s="17">
        <f>IF(Distances[[#This Row],[Colonne247]]=$G33,JE33,Distances[[#This Row],[Colonne247]]+1)</f>
        <v>15</v>
      </c>
      <c r="JG33" s="17">
        <f>IF(Distances[[#This Row],[Colonne248]]=$G33,JF33,Distances[[#This Row],[Colonne248]]+1)</f>
        <v>15</v>
      </c>
      <c r="JH33" s="17">
        <f>IF(Distances[[#This Row],[Colonne249]]=$G33,JG33,Distances[[#This Row],[Colonne249]]+1)</f>
        <v>15</v>
      </c>
      <c r="JI33" s="17">
        <f>IF(Distances[[#This Row],[Colonne250]]=$G33,JH33,Distances[[#This Row],[Colonne250]]+1)</f>
        <v>15</v>
      </c>
      <c r="JJ33" s="17">
        <f>IF(Distances[[#This Row],[Colonne251]]=$G33,JI33,Distances[[#This Row],[Colonne251]]+1)</f>
        <v>15</v>
      </c>
      <c r="JK33" s="17">
        <f>IF(Distances[[#This Row],[Colonne252]]=$G33,JJ33,Distances[[#This Row],[Colonne252]]+1)</f>
        <v>15</v>
      </c>
      <c r="JL33" s="17">
        <f>IF(Distances[[#This Row],[Colonne253]]=$G33,JK33,Distances[[#This Row],[Colonne253]]+1)</f>
        <v>15</v>
      </c>
      <c r="JM33" s="17">
        <f>IF(Distances[[#This Row],[Colonne254]]=$G33,JL33,Distances[[#This Row],[Colonne254]]+1)</f>
        <v>15</v>
      </c>
      <c r="JN33" s="17">
        <f>IF(Distances[[#This Row],[Colonne255]]=$G33,JM33,Distances[[#This Row],[Colonne255]]+1)</f>
        <v>15</v>
      </c>
      <c r="JO33" s="17">
        <f>IF(Distances[[#This Row],[Colonne256]]=$G33,JN33,Distances[[#This Row],[Colonne256]]+1)</f>
        <v>15</v>
      </c>
      <c r="JP33" s="17">
        <f>IF(Distances[[#This Row],[Colonne257]]=$G33,JO33,Distances[[#This Row],[Colonne257]]+1)</f>
        <v>15</v>
      </c>
      <c r="JQ33" s="17">
        <f>IF(Distances[[#This Row],[Colonne258]]=$G33,JP33,Distances[[#This Row],[Colonne258]]+1)</f>
        <v>15</v>
      </c>
      <c r="JR33" s="17">
        <f>IF(Distances[[#This Row],[Colonne259]]=$G33,JQ33,Distances[[#This Row],[Colonne259]]+1)</f>
        <v>15</v>
      </c>
      <c r="JS33" s="17">
        <f>IF(Distances[[#This Row],[Colonne260]]=$G33,JR33,Distances[[#This Row],[Colonne260]]+1)</f>
        <v>15</v>
      </c>
      <c r="JT33" s="17">
        <f>IF(Distances[[#This Row],[Colonne261]]=$G33,JS33,Distances[[#This Row],[Colonne261]]+1)</f>
        <v>15</v>
      </c>
      <c r="JU33" s="17">
        <f>IF(Distances[[#This Row],[Colonne262]]=$G33,JT33,Distances[[#This Row],[Colonne262]]+1)</f>
        <v>15</v>
      </c>
      <c r="JV33" s="17">
        <f>IF(Distances[[#This Row],[Colonne263]]=$G33,JU33,Distances[[#This Row],[Colonne263]]+1)</f>
        <v>15</v>
      </c>
      <c r="JW33" s="17">
        <f>IF(Distances[[#This Row],[Colonne264]]=$G33,JV33,Distances[[#This Row],[Colonne264]]+1)</f>
        <v>15</v>
      </c>
      <c r="JX33" s="17">
        <f>IF(Distances[[#This Row],[Colonne265]]=$G33,JW33,Distances[[#This Row],[Colonne265]]+1)</f>
        <v>15</v>
      </c>
      <c r="JY33" s="17">
        <f>IF(Distances[[#This Row],[Colonne266]]=$G33,JX33,Distances[[#This Row],[Colonne266]]+1)</f>
        <v>15</v>
      </c>
      <c r="JZ33" s="17">
        <f>IF(Distances[[#This Row],[Colonne267]]=$G33,JY33,Distances[[#This Row],[Colonne267]]+1)</f>
        <v>15</v>
      </c>
      <c r="KA33" s="17">
        <f>IF(Distances[[#This Row],[Colonne268]]=$G33,JZ33,Distances[[#This Row],[Colonne268]]+1)</f>
        <v>15</v>
      </c>
      <c r="KB33" s="17">
        <f>IF(Distances[[#This Row],[Colonne269]]=$G33,KA33,Distances[[#This Row],[Colonne269]]+1)</f>
        <v>15</v>
      </c>
      <c r="KC33" s="17">
        <f>IF(Distances[[#This Row],[Colonne270]]=$G33,KB33,Distances[[#This Row],[Colonne270]]+1)</f>
        <v>15</v>
      </c>
      <c r="KD33" s="17">
        <f>IF(Distances[[#This Row],[Colonne271]]=$G33,KC33,Distances[[#This Row],[Colonne271]]+1)</f>
        <v>15</v>
      </c>
      <c r="KE33" s="17">
        <f>IF(Distances[[#This Row],[Colonne272]]=$G33,KD33,Distances[[#This Row],[Colonne272]]+1)</f>
        <v>15</v>
      </c>
      <c r="KF33" s="17">
        <f>IF(Distances[[#This Row],[Colonne273]]=$G33,KE33,Distances[[#This Row],[Colonne273]]+1)</f>
        <v>15</v>
      </c>
      <c r="KG33" s="17">
        <f>IF(Distances[[#This Row],[Colonne274]]=$G33,KF33,Distances[[#This Row],[Colonne274]]+1)</f>
        <v>15</v>
      </c>
      <c r="KH33" s="17">
        <f>IF(Distances[[#This Row],[Colonne275]]=$G33,KG33,Distances[[#This Row],[Colonne275]]+1)</f>
        <v>15</v>
      </c>
      <c r="KI33" s="17">
        <f>IF(Distances[[#This Row],[Colonne276]]=$G33,KH33,Distances[[#This Row],[Colonne276]]+1)</f>
        <v>15</v>
      </c>
      <c r="KJ33" s="17">
        <f>IF(Distances[[#This Row],[Colonne277]]=$G33,KI33,Distances[[#This Row],[Colonne277]]+1)</f>
        <v>15</v>
      </c>
      <c r="KK33" s="17">
        <f>IF(Distances[[#This Row],[Colonne278]]=$G33,KJ33,Distances[[#This Row],[Colonne278]]+1)</f>
        <v>15</v>
      </c>
      <c r="KL33" s="17">
        <f>IF(Distances[[#This Row],[Colonne279]]=$G33,KK33,Distances[[#This Row],[Colonne279]]+1)</f>
        <v>15</v>
      </c>
      <c r="KM33" s="17">
        <f>IF(Distances[[#This Row],[Colonne280]]=$G33,KL33,Distances[[#This Row],[Colonne280]]+1)</f>
        <v>15</v>
      </c>
      <c r="KN33" s="17">
        <f>IF(Distances[[#This Row],[Colonne281]]=$G33,KM33,Distances[[#This Row],[Colonne281]]+1)</f>
        <v>15</v>
      </c>
      <c r="KO33" s="17">
        <f>IF(Distances[[#This Row],[Colonne282]]=$G33,KN33,Distances[[#This Row],[Colonne282]]+1)</f>
        <v>15</v>
      </c>
      <c r="KP33" s="17">
        <f>IF(Distances[[#This Row],[Colonne283]]=$G33,KO33,Distances[[#This Row],[Colonne283]]+1)</f>
        <v>15</v>
      </c>
      <c r="KQ33" s="17">
        <f>IF(Distances[[#This Row],[Colonne284]]=$G33,KP33,Distances[[#This Row],[Colonne284]]+1)</f>
        <v>15</v>
      </c>
      <c r="KR33" s="17">
        <f>IF(Distances[[#This Row],[Colonne285]]=$G33,KQ33,Distances[[#This Row],[Colonne285]]+1)</f>
        <v>15</v>
      </c>
      <c r="KS33" s="17">
        <f>IF(Distances[[#This Row],[Colonne286]]=$G33,KR33,Distances[[#This Row],[Colonne286]]+1)</f>
        <v>15</v>
      </c>
      <c r="KT33" s="17">
        <f>IF(Distances[[#This Row],[Colonne287]]=$G33,KS33,Distances[[#This Row],[Colonne287]]+1)</f>
        <v>15</v>
      </c>
      <c r="KU33" s="17">
        <f>IF(Distances[[#This Row],[Colonne288]]=$G33,KT33,Distances[[#This Row],[Colonne288]]+1)</f>
        <v>15</v>
      </c>
      <c r="KV33" s="17">
        <f>IF(Distances[[#This Row],[Colonne289]]=$G33,KU33,Distances[[#This Row],[Colonne289]]+1)</f>
        <v>15</v>
      </c>
      <c r="KW33" s="17">
        <f>IF(Distances[[#This Row],[Colonne290]]=$G33,KV33,Distances[[#This Row],[Colonne290]]+1)</f>
        <v>15</v>
      </c>
      <c r="KX33" s="17">
        <f>IF(Distances[[#This Row],[Colonne291]]=$G33,KW33,Distances[[#This Row],[Colonne291]]+1)</f>
        <v>15</v>
      </c>
      <c r="KY33" s="17">
        <f>IF(Distances[[#This Row],[Colonne292]]=$G33,KX33,Distances[[#This Row],[Colonne292]]+1)</f>
        <v>15</v>
      </c>
      <c r="KZ33" s="17">
        <f>IF(Distances[[#This Row],[Colonne293]]=$G33,KY33,Distances[[#This Row],[Colonne293]]+1)</f>
        <v>15</v>
      </c>
      <c r="LA33" s="17">
        <f>IF(Distances[[#This Row],[Colonne294]]=$G33,KZ33,Distances[[#This Row],[Colonne294]]+1)</f>
        <v>15</v>
      </c>
      <c r="LB33" s="17">
        <f>IF(Distances[[#This Row],[Colonne295]]=$G33,LA33,Distances[[#This Row],[Colonne295]]+1)</f>
        <v>15</v>
      </c>
      <c r="LC33" s="17">
        <f>IF(Distances[[#This Row],[Colonne296]]=$G33,LB33,Distances[[#This Row],[Colonne296]]+1)</f>
        <v>15</v>
      </c>
      <c r="LD33" s="17">
        <f>IF(Distances[[#This Row],[Colonne297]]=$G33,LC33,Distances[[#This Row],[Colonne297]]+1)</f>
        <v>15</v>
      </c>
      <c r="LE33" s="17">
        <f>IF(Distances[[#This Row],[Colonne298]]=$G33,LD33,Distances[[#This Row],[Colonne298]]+1)</f>
        <v>15</v>
      </c>
      <c r="LF33" s="17">
        <f>IF(Distances[[#This Row],[Colonne299]]=$G33,LE33,Distances[[#This Row],[Colonne299]]+1)</f>
        <v>15</v>
      </c>
      <c r="LG33" s="17">
        <f>IF(Distances[[#This Row],[Colonne300]]=$G33,LF33,Distances[[#This Row],[Colonne300]]+1)</f>
        <v>15</v>
      </c>
      <c r="LH33" s="17">
        <f>IF(Distances[[#This Row],[Colonne301]]=$G33,LG33,Distances[[#This Row],[Colonne301]]+1)</f>
        <v>15</v>
      </c>
      <c r="LI33" s="17">
        <f>IF(Distances[[#This Row],[Colonne302]]=$G33,LH33,Distances[[#This Row],[Colonne302]]+1)</f>
        <v>15</v>
      </c>
      <c r="LJ33" s="17">
        <f>IF(Distances[[#This Row],[Colonne303]]=$G33,LI33,Distances[[#This Row],[Colonne303]]+1)</f>
        <v>15</v>
      </c>
      <c r="LK33" s="51"/>
      <c r="LL33" s="17">
        <f t="shared" ref="LL33:NW33" si="64">IF(LK33=$H33,LK33,LK33+1)</f>
        <v>1</v>
      </c>
      <c r="LM33" s="17">
        <f t="shared" si="64"/>
        <v>2</v>
      </c>
      <c r="LN33" s="17">
        <f t="shared" si="64"/>
        <v>3</v>
      </c>
      <c r="LO33" s="17">
        <f t="shared" si="64"/>
        <v>4</v>
      </c>
      <c r="LP33" s="17">
        <f t="shared" si="64"/>
        <v>5</v>
      </c>
      <c r="LQ33" s="17">
        <f t="shared" si="64"/>
        <v>6</v>
      </c>
      <c r="LR33" s="17">
        <f t="shared" si="64"/>
        <v>7</v>
      </c>
      <c r="LS33" s="17">
        <f t="shared" si="64"/>
        <v>8</v>
      </c>
      <c r="LT33" s="17">
        <f t="shared" si="64"/>
        <v>9</v>
      </c>
      <c r="LU33" s="17">
        <f t="shared" si="64"/>
        <v>10</v>
      </c>
      <c r="LV33" s="17">
        <f t="shared" si="64"/>
        <v>11</v>
      </c>
      <c r="LW33" s="17">
        <f t="shared" si="64"/>
        <v>12</v>
      </c>
      <c r="LX33" s="17">
        <f t="shared" si="64"/>
        <v>13</v>
      </c>
      <c r="LY33" s="17">
        <f t="shared" si="64"/>
        <v>14</v>
      </c>
      <c r="LZ33" s="17">
        <f t="shared" si="64"/>
        <v>15</v>
      </c>
      <c r="MA33" s="17">
        <f t="shared" si="64"/>
        <v>16</v>
      </c>
      <c r="MB33" s="17">
        <f t="shared" si="64"/>
        <v>17</v>
      </c>
      <c r="MC33" s="17">
        <f t="shared" si="64"/>
        <v>18</v>
      </c>
      <c r="MD33" s="17">
        <f t="shared" si="64"/>
        <v>19</v>
      </c>
      <c r="ME33" s="17">
        <f t="shared" si="64"/>
        <v>20</v>
      </c>
      <c r="MF33" s="17">
        <f t="shared" si="64"/>
        <v>21</v>
      </c>
      <c r="MG33" s="17">
        <f t="shared" si="64"/>
        <v>22</v>
      </c>
      <c r="MH33" s="17">
        <f t="shared" si="64"/>
        <v>23</v>
      </c>
      <c r="MI33" s="17">
        <f t="shared" si="64"/>
        <v>24</v>
      </c>
      <c r="MJ33" s="17">
        <f t="shared" si="64"/>
        <v>25</v>
      </c>
      <c r="MK33" s="17">
        <f t="shared" si="64"/>
        <v>26</v>
      </c>
      <c r="ML33" s="17">
        <f t="shared" si="64"/>
        <v>27</v>
      </c>
      <c r="MM33" s="17">
        <f t="shared" si="64"/>
        <v>28</v>
      </c>
      <c r="MN33" s="17">
        <f t="shared" si="64"/>
        <v>29</v>
      </c>
      <c r="MO33" s="17">
        <f t="shared" si="64"/>
        <v>30</v>
      </c>
      <c r="MP33" s="17">
        <f t="shared" si="64"/>
        <v>31</v>
      </c>
      <c r="MQ33" s="17">
        <f t="shared" si="64"/>
        <v>32</v>
      </c>
      <c r="MR33" s="17">
        <f t="shared" si="64"/>
        <v>33</v>
      </c>
      <c r="MS33" s="17">
        <f t="shared" si="64"/>
        <v>34</v>
      </c>
      <c r="MT33" s="17">
        <f t="shared" si="64"/>
        <v>35</v>
      </c>
      <c r="MU33" s="17">
        <f t="shared" si="64"/>
        <v>36</v>
      </c>
      <c r="MV33" s="17">
        <f t="shared" si="64"/>
        <v>37</v>
      </c>
      <c r="MW33" s="17">
        <f t="shared" si="64"/>
        <v>38</v>
      </c>
      <c r="MX33" s="17">
        <f t="shared" si="64"/>
        <v>39</v>
      </c>
      <c r="MY33" s="17">
        <f t="shared" si="64"/>
        <v>40</v>
      </c>
      <c r="MZ33" s="17">
        <f t="shared" si="64"/>
        <v>41</v>
      </c>
      <c r="NA33" s="17">
        <f t="shared" si="64"/>
        <v>42</v>
      </c>
      <c r="NB33" s="17">
        <f t="shared" si="64"/>
        <v>43</v>
      </c>
      <c r="NC33" s="17">
        <f t="shared" si="64"/>
        <v>44</v>
      </c>
      <c r="ND33" s="17">
        <f t="shared" si="64"/>
        <v>45</v>
      </c>
      <c r="NE33" s="17">
        <f t="shared" si="64"/>
        <v>46</v>
      </c>
      <c r="NF33" s="17">
        <f t="shared" si="64"/>
        <v>47</v>
      </c>
      <c r="NG33" s="17">
        <f t="shared" si="64"/>
        <v>48</v>
      </c>
      <c r="NH33" s="17">
        <f t="shared" si="64"/>
        <v>49</v>
      </c>
      <c r="NI33" s="17">
        <f t="shared" si="64"/>
        <v>50</v>
      </c>
      <c r="NJ33" s="17">
        <f t="shared" si="64"/>
        <v>50</v>
      </c>
      <c r="NK33" s="17">
        <f t="shared" si="64"/>
        <v>50</v>
      </c>
      <c r="NL33" s="17">
        <f t="shared" si="64"/>
        <v>50</v>
      </c>
      <c r="NM33" s="17">
        <f t="shared" si="64"/>
        <v>50</v>
      </c>
      <c r="NN33" s="17">
        <f t="shared" si="64"/>
        <v>50</v>
      </c>
      <c r="NO33" s="17">
        <f t="shared" si="64"/>
        <v>50</v>
      </c>
      <c r="NP33" s="17">
        <f t="shared" si="64"/>
        <v>50</v>
      </c>
      <c r="NQ33" s="17">
        <f t="shared" si="64"/>
        <v>50</v>
      </c>
      <c r="NR33" s="17">
        <f t="shared" si="64"/>
        <v>50</v>
      </c>
      <c r="NS33" s="17">
        <f t="shared" si="64"/>
        <v>50</v>
      </c>
      <c r="NT33" s="17">
        <f t="shared" si="64"/>
        <v>50</v>
      </c>
      <c r="NU33" s="17">
        <f t="shared" si="64"/>
        <v>50</v>
      </c>
      <c r="NV33" s="17">
        <f t="shared" si="64"/>
        <v>50</v>
      </c>
      <c r="NW33" s="17">
        <f t="shared" si="64"/>
        <v>50</v>
      </c>
      <c r="NX33" s="17">
        <f t="shared" ref="NX33:PG33" si="65">IF(NW33=$H33,NW33,NW33+1)</f>
        <v>50</v>
      </c>
      <c r="NY33" s="17">
        <f t="shared" si="65"/>
        <v>50</v>
      </c>
      <c r="NZ33" s="17">
        <f t="shared" si="65"/>
        <v>50</v>
      </c>
      <c r="OA33" s="17">
        <f t="shared" si="65"/>
        <v>50</v>
      </c>
      <c r="OB33" s="17">
        <f t="shared" si="65"/>
        <v>50</v>
      </c>
      <c r="OC33" s="17">
        <f t="shared" si="65"/>
        <v>50</v>
      </c>
      <c r="OD33" s="17">
        <f t="shared" si="65"/>
        <v>50</v>
      </c>
      <c r="OE33" s="17">
        <f t="shared" si="65"/>
        <v>50</v>
      </c>
      <c r="OF33" s="17">
        <f t="shared" si="65"/>
        <v>50</v>
      </c>
      <c r="OG33" s="17">
        <f t="shared" si="65"/>
        <v>50</v>
      </c>
      <c r="OH33" s="17">
        <f t="shared" si="65"/>
        <v>50</v>
      </c>
      <c r="OI33" s="17">
        <f t="shared" si="65"/>
        <v>50</v>
      </c>
      <c r="OJ33" s="17">
        <f t="shared" si="65"/>
        <v>50</v>
      </c>
      <c r="OK33" s="17">
        <f t="shared" si="65"/>
        <v>50</v>
      </c>
      <c r="OL33" s="17">
        <f t="shared" si="65"/>
        <v>50</v>
      </c>
      <c r="OM33" s="17">
        <f t="shared" si="65"/>
        <v>50</v>
      </c>
      <c r="ON33" s="17">
        <f t="shared" si="65"/>
        <v>50</v>
      </c>
      <c r="OO33" s="17">
        <f t="shared" si="65"/>
        <v>50</v>
      </c>
      <c r="OP33" s="17">
        <f t="shared" si="65"/>
        <v>50</v>
      </c>
      <c r="OQ33" s="17">
        <f t="shared" si="65"/>
        <v>50</v>
      </c>
      <c r="OR33" s="17">
        <f t="shared" si="65"/>
        <v>50</v>
      </c>
      <c r="OS33" s="17">
        <f t="shared" si="65"/>
        <v>50</v>
      </c>
      <c r="OT33" s="17">
        <f t="shared" si="65"/>
        <v>50</v>
      </c>
      <c r="OU33" s="17">
        <f t="shared" si="65"/>
        <v>50</v>
      </c>
      <c r="OV33" s="17">
        <f t="shared" si="65"/>
        <v>50</v>
      </c>
      <c r="OW33" s="17">
        <f t="shared" si="65"/>
        <v>50</v>
      </c>
      <c r="OX33" s="17">
        <f t="shared" si="65"/>
        <v>50</v>
      </c>
      <c r="OY33" s="17">
        <f t="shared" si="65"/>
        <v>50</v>
      </c>
      <c r="OZ33" s="17">
        <f t="shared" si="65"/>
        <v>50</v>
      </c>
      <c r="PA33" s="17">
        <f t="shared" si="65"/>
        <v>50</v>
      </c>
      <c r="PB33" s="17">
        <f t="shared" si="65"/>
        <v>50</v>
      </c>
      <c r="PC33" s="17">
        <f t="shared" si="65"/>
        <v>50</v>
      </c>
      <c r="PD33" s="17">
        <f t="shared" si="65"/>
        <v>50</v>
      </c>
      <c r="PE33" s="17">
        <f t="shared" si="65"/>
        <v>50</v>
      </c>
      <c r="PF33" s="17">
        <f t="shared" si="65"/>
        <v>50</v>
      </c>
      <c r="PG33" s="17">
        <f t="shared" si="65"/>
        <v>50</v>
      </c>
    </row>
    <row r="34" spans="1:423" x14ac:dyDescent="0.25">
      <c r="A34" s="8" t="s">
        <v>5454</v>
      </c>
      <c r="B34" s="9" t="s">
        <v>5504</v>
      </c>
      <c r="C34" s="9" t="str">
        <f t="shared" si="0"/>
        <v>3R2</v>
      </c>
      <c r="D34" s="1" t="str">
        <f t="shared" si="1"/>
        <v>3 Bandes R2</v>
      </c>
      <c r="E34" s="1" t="s">
        <v>15</v>
      </c>
      <c r="F34" s="9" t="s">
        <v>5452</v>
      </c>
      <c r="G34" s="9">
        <v>15</v>
      </c>
      <c r="H34" s="9">
        <v>50</v>
      </c>
      <c r="I34" s="127">
        <v>2.8</v>
      </c>
      <c r="J34" s="30"/>
      <c r="K34" s="281"/>
      <c r="L34" s="8">
        <v>0</v>
      </c>
      <c r="M34" s="9">
        <v>0</v>
      </c>
      <c r="N34" s="10">
        <v>0.249</v>
      </c>
      <c r="O34" s="269"/>
      <c r="P34" s="331"/>
      <c r="Q34" s="335"/>
      <c r="R34" s="128">
        <v>1</v>
      </c>
      <c r="S34" s="9">
        <v>1</v>
      </c>
      <c r="T34" s="10">
        <v>2</v>
      </c>
      <c r="U34" t="s">
        <v>5523</v>
      </c>
      <c r="V34" s="17">
        <v>0</v>
      </c>
      <c r="W34" s="17">
        <f>IF(Distances[[#This Row],[Colonne4]]=$G34,V34,Distances[[#This Row],[Colonne4]]+1)</f>
        <v>1</v>
      </c>
      <c r="X34" s="17">
        <f>IF(Distances[[#This Row],[Colonne5]]=$G34,W34,Distances[[#This Row],[Colonne5]]+1)</f>
        <v>2</v>
      </c>
      <c r="Y34" s="17">
        <f>IF(Distances[[#This Row],[Colonne6]]=$G34,X34,Distances[[#This Row],[Colonne6]]+1)</f>
        <v>3</v>
      </c>
      <c r="Z34" s="17">
        <f>IF(Distances[[#This Row],[Colonne7]]=$G34,Y34,Distances[[#This Row],[Colonne7]]+1)</f>
        <v>4</v>
      </c>
      <c r="AA34" s="17">
        <f>IF(Distances[[#This Row],[Colonne8]]=$G34,Z34,Distances[[#This Row],[Colonne8]]+1)</f>
        <v>5</v>
      </c>
      <c r="AB34" s="17">
        <f>IF(Distances[[#This Row],[Colonne9]]=$G34,AA34,Distances[[#This Row],[Colonne9]]+1)</f>
        <v>6</v>
      </c>
      <c r="AC34" s="17">
        <f>IF(Distances[[#This Row],[Colonne10]]=$G34,AB34,Distances[[#This Row],[Colonne10]]+1)</f>
        <v>7</v>
      </c>
      <c r="AD34" s="17">
        <f>IF(Distances[[#This Row],[Colonne11]]=$G34,AC34,Distances[[#This Row],[Colonne11]]+1)</f>
        <v>8</v>
      </c>
      <c r="AE34" s="17">
        <f>IF(Distances[[#This Row],[Colonne12]]=$G34,AD34,Distances[[#This Row],[Colonne12]]+1)</f>
        <v>9</v>
      </c>
      <c r="AF34" s="17">
        <f>IF(Distances[[#This Row],[Colonne13]]=$G34,AE34,Distances[[#This Row],[Colonne13]]+1)</f>
        <v>10</v>
      </c>
      <c r="AG34" s="17">
        <f>IF(Distances[[#This Row],[Colonne14]]=$G34,AF34,Distances[[#This Row],[Colonne14]]+1)</f>
        <v>11</v>
      </c>
      <c r="AH34" s="17">
        <f>IF(Distances[[#This Row],[Colonne15]]=$G34,AG34,Distances[[#This Row],[Colonne15]]+1)</f>
        <v>12</v>
      </c>
      <c r="AI34" s="17">
        <f>IF(Distances[[#This Row],[Colonne16]]=$G34,AH34,Distances[[#This Row],[Colonne16]]+1)</f>
        <v>13</v>
      </c>
      <c r="AJ34" s="17">
        <f>IF(Distances[[#This Row],[Colonne17]]=$G34,AI34,Distances[[#This Row],[Colonne17]]+1)</f>
        <v>14</v>
      </c>
      <c r="AK34" s="17">
        <f>IF(Distances[[#This Row],[Colonne18]]=$G34,AJ34,Distances[[#This Row],[Colonne18]]+1)</f>
        <v>15</v>
      </c>
      <c r="AL34" s="17">
        <f>IF(Distances[[#This Row],[Colonne19]]=$G34,AK34,Distances[[#This Row],[Colonne19]]+1)</f>
        <v>15</v>
      </c>
      <c r="AM34" s="17">
        <f>IF(Distances[[#This Row],[Colonne20]]=$G34,AL34,Distances[[#This Row],[Colonne20]]+1)</f>
        <v>15</v>
      </c>
      <c r="AN34" s="17">
        <f>IF(Distances[[#This Row],[Colonne21]]=$G34,AM34,Distances[[#This Row],[Colonne21]]+1)</f>
        <v>15</v>
      </c>
      <c r="AO34" s="17">
        <f>IF(Distances[[#This Row],[Colonne22]]=$G34,AN34,Distances[[#This Row],[Colonne22]]+1)</f>
        <v>15</v>
      </c>
      <c r="AP34" s="17">
        <f>IF(Distances[[#This Row],[Colonne23]]=$G34,AO34,Distances[[#This Row],[Colonne23]]+1)</f>
        <v>15</v>
      </c>
      <c r="AQ34" s="17">
        <f>IF(Distances[[#This Row],[Colonne24]]=$G34,AP34,Distances[[#This Row],[Colonne24]]+1)</f>
        <v>15</v>
      </c>
      <c r="AR34" s="17">
        <f>IF(Distances[[#This Row],[Colonne25]]=$G34,AQ34,Distances[[#This Row],[Colonne25]]+1)</f>
        <v>15</v>
      </c>
      <c r="AS34" s="17">
        <f>IF(Distances[[#This Row],[Colonne26]]=$G34,AR34,Distances[[#This Row],[Colonne26]]+1)</f>
        <v>15</v>
      </c>
      <c r="AT34" s="17">
        <f>IF(Distances[[#This Row],[Colonne27]]=$G34,AS34,Distances[[#This Row],[Colonne27]]+1)</f>
        <v>15</v>
      </c>
      <c r="AU34" s="17">
        <f>IF(Distances[[#This Row],[Colonne28]]=$G34,AT34,Distances[[#This Row],[Colonne28]]+1)</f>
        <v>15</v>
      </c>
      <c r="AV34" s="17">
        <f>IF(Distances[[#This Row],[Colonne29]]=$G34,AU34,Distances[[#This Row],[Colonne29]]+1)</f>
        <v>15</v>
      </c>
      <c r="AW34" s="17">
        <f>IF(Distances[[#This Row],[Colonne30]]=$G34,AV34,Distances[[#This Row],[Colonne30]]+1)</f>
        <v>15</v>
      </c>
      <c r="AX34" s="17">
        <f>IF(Distances[[#This Row],[Colonne31]]=$G34,AW34,Distances[[#This Row],[Colonne31]]+1)</f>
        <v>15</v>
      </c>
      <c r="AY34" s="17">
        <f>IF(Distances[[#This Row],[Colonne32]]=$G34,AX34,Distances[[#This Row],[Colonne32]]+1)</f>
        <v>15</v>
      </c>
      <c r="AZ34" s="17">
        <f>IF(Distances[[#This Row],[Colonne33]]=$G34,AY34,Distances[[#This Row],[Colonne33]]+1)</f>
        <v>15</v>
      </c>
      <c r="BA34" s="17">
        <f>IF(Distances[[#This Row],[Colonne34]]=$G34,AZ34,Distances[[#This Row],[Colonne34]]+1)</f>
        <v>15</v>
      </c>
      <c r="BB34" s="17">
        <f>IF(Distances[[#This Row],[Colonne35]]=$G34,BA34,Distances[[#This Row],[Colonne35]]+1)</f>
        <v>15</v>
      </c>
      <c r="BC34" s="17">
        <f>IF(Distances[[#This Row],[Colonne36]]=$G34,BB34,Distances[[#This Row],[Colonne36]]+1)</f>
        <v>15</v>
      </c>
      <c r="BD34" s="17">
        <f>IF(Distances[[#This Row],[Colonne37]]=$G34,BC34,Distances[[#This Row],[Colonne37]]+1)</f>
        <v>15</v>
      </c>
      <c r="BE34" s="17">
        <f>IF(Distances[[#This Row],[Colonne38]]=$G34,BD34,Distances[[#This Row],[Colonne38]]+1)</f>
        <v>15</v>
      </c>
      <c r="BF34" s="17">
        <f>IF(Distances[[#This Row],[Colonne39]]=$G34,BE34,Distances[[#This Row],[Colonne39]]+1)</f>
        <v>15</v>
      </c>
      <c r="BG34" s="17">
        <f>IF(Distances[[#This Row],[Colonne40]]=$G34,BF34,Distances[[#This Row],[Colonne40]]+1)</f>
        <v>15</v>
      </c>
      <c r="BH34" s="17">
        <f>IF(Distances[[#This Row],[Colonne41]]=$G34,BG34,Distances[[#This Row],[Colonne41]]+1)</f>
        <v>15</v>
      </c>
      <c r="BI34" s="17">
        <f>IF(Distances[[#This Row],[Colonne42]]=$G34,BH34,Distances[[#This Row],[Colonne42]]+1)</f>
        <v>15</v>
      </c>
      <c r="BJ34" s="17">
        <f>IF(Distances[[#This Row],[Colonne43]]=$G34,BI34,Distances[[#This Row],[Colonne43]]+1)</f>
        <v>15</v>
      </c>
      <c r="BK34" s="17">
        <f>IF(Distances[[#This Row],[Colonne44]]=$G34,BJ34,Distances[[#This Row],[Colonne44]]+1)</f>
        <v>15</v>
      </c>
      <c r="BL34" s="17">
        <f>IF(Distances[[#This Row],[Colonne45]]=$G34,BK34,Distances[[#This Row],[Colonne45]]+1)</f>
        <v>15</v>
      </c>
      <c r="BM34" s="17">
        <f>IF(Distances[[#This Row],[Colonne46]]=$G34,BL34,Distances[[#This Row],[Colonne46]]+1)</f>
        <v>15</v>
      </c>
      <c r="BN34" s="17">
        <f>IF(Distances[[#This Row],[Colonne47]]=$G34,BM34,Distances[[#This Row],[Colonne47]]+1)</f>
        <v>15</v>
      </c>
      <c r="BO34" s="17">
        <f>IF(Distances[[#This Row],[Colonne48]]=$G34,BN34,Distances[[#This Row],[Colonne48]]+1)</f>
        <v>15</v>
      </c>
      <c r="BP34" s="17">
        <f>IF(Distances[[#This Row],[Colonne49]]=$G34,BO34,Distances[[#This Row],[Colonne49]]+1)</f>
        <v>15</v>
      </c>
      <c r="BQ34" s="17">
        <f>IF(Distances[[#This Row],[Colonne50]]=$G34,BP34,Distances[[#This Row],[Colonne50]]+1)</f>
        <v>15</v>
      </c>
      <c r="BR34" s="17">
        <f>IF(Distances[[#This Row],[Colonne51]]=$G34,BQ34,Distances[[#This Row],[Colonne51]]+1)</f>
        <v>15</v>
      </c>
      <c r="BS34" s="17">
        <f>IF(Distances[[#This Row],[Colonne52]]=$G34,BR34,Distances[[#This Row],[Colonne52]]+1)</f>
        <v>15</v>
      </c>
      <c r="BT34" s="17">
        <f>IF(Distances[[#This Row],[Colonne53]]=$G34,BS34,Distances[[#This Row],[Colonne53]]+1)</f>
        <v>15</v>
      </c>
      <c r="BU34" s="17">
        <f>IF(Distances[[#This Row],[Colonne54]]=$G34,BT34,Distances[[#This Row],[Colonne54]]+1)</f>
        <v>15</v>
      </c>
      <c r="BV34" s="17">
        <f>IF(Distances[[#This Row],[Colonne55]]=$G34,BU34,Distances[[#This Row],[Colonne55]]+1)</f>
        <v>15</v>
      </c>
      <c r="BW34" s="17">
        <f>IF(Distances[[#This Row],[Colonne56]]=$G34,BV34,Distances[[#This Row],[Colonne56]]+1)</f>
        <v>15</v>
      </c>
      <c r="BX34" s="17">
        <f>IF(Distances[[#This Row],[Colonne57]]=$G34,BW34,Distances[[#This Row],[Colonne57]]+1)</f>
        <v>15</v>
      </c>
      <c r="BY34" s="17">
        <f>IF(Distances[[#This Row],[Colonne58]]=$G34,BX34,Distances[[#This Row],[Colonne58]]+1)</f>
        <v>15</v>
      </c>
      <c r="BZ34" s="17">
        <f>IF(Distances[[#This Row],[Colonne59]]=$G34,BY34,Distances[[#This Row],[Colonne59]]+1)</f>
        <v>15</v>
      </c>
      <c r="CA34" s="17">
        <f>IF(Distances[[#This Row],[Colonne60]]=$G34,BZ34,Distances[[#This Row],[Colonne60]]+1)</f>
        <v>15</v>
      </c>
      <c r="CB34" s="17">
        <f>IF(Distances[[#This Row],[Colonne61]]=$G34,CA34,Distances[[#This Row],[Colonne61]]+1)</f>
        <v>15</v>
      </c>
      <c r="CC34" s="17">
        <f>IF(Distances[[#This Row],[Colonne62]]=$G34,CB34,Distances[[#This Row],[Colonne62]]+1)</f>
        <v>15</v>
      </c>
      <c r="CD34" s="17">
        <f>IF(Distances[[#This Row],[Colonne63]]=$G34,CC34,Distances[[#This Row],[Colonne63]]+1)</f>
        <v>15</v>
      </c>
      <c r="CE34" s="17">
        <f>IF(Distances[[#This Row],[Colonne64]]=$G34,CD34,Distances[[#This Row],[Colonne64]]+1)</f>
        <v>15</v>
      </c>
      <c r="CF34" s="17">
        <f>IF(Distances[[#This Row],[Colonne65]]=$G34,CE34,Distances[[#This Row],[Colonne65]]+1)</f>
        <v>15</v>
      </c>
      <c r="CG34" s="17">
        <f>IF(Distances[[#This Row],[Colonne66]]=$G34,CF34,Distances[[#This Row],[Colonne66]]+1)</f>
        <v>15</v>
      </c>
      <c r="CH34" s="17">
        <f>IF(Distances[[#This Row],[Colonne67]]=$G34,CG34,Distances[[#This Row],[Colonne67]]+1)</f>
        <v>15</v>
      </c>
      <c r="CI34" s="17">
        <f>IF(Distances[[#This Row],[Colonne68]]=$G34,CH34,Distances[[#This Row],[Colonne68]]+1)</f>
        <v>15</v>
      </c>
      <c r="CJ34" s="17">
        <f>IF(Distances[[#This Row],[Colonne69]]=$G34,CI34,Distances[[#This Row],[Colonne69]]+1)</f>
        <v>15</v>
      </c>
      <c r="CK34" s="17">
        <f>IF(Distances[[#This Row],[Colonne70]]=$G34,CJ34,Distances[[#This Row],[Colonne70]]+1)</f>
        <v>15</v>
      </c>
      <c r="CL34" s="17">
        <f>IF(Distances[[#This Row],[Colonne71]]=$G34,CK34,Distances[[#This Row],[Colonne71]]+1)</f>
        <v>15</v>
      </c>
      <c r="CM34" s="17">
        <f>IF(Distances[[#This Row],[Colonne72]]=$G34,CL34,Distances[[#This Row],[Colonne72]]+1)</f>
        <v>15</v>
      </c>
      <c r="CN34" s="17">
        <f>IF(Distances[[#This Row],[Colonne73]]=$G34,CM34,Distances[[#This Row],[Colonne73]]+1)</f>
        <v>15</v>
      </c>
      <c r="CO34" s="17">
        <f>IF(Distances[[#This Row],[Colonne74]]=$G34,CN34,Distances[[#This Row],[Colonne74]]+1)</f>
        <v>15</v>
      </c>
      <c r="CP34" s="17">
        <f>IF(Distances[[#This Row],[Colonne75]]=$G34,CO34,Distances[[#This Row],[Colonne75]]+1)</f>
        <v>15</v>
      </c>
      <c r="CQ34" s="17">
        <f>IF(Distances[[#This Row],[Colonne76]]=$G34,CP34,Distances[[#This Row],[Colonne76]]+1)</f>
        <v>15</v>
      </c>
      <c r="CR34" s="17">
        <f>IF(Distances[[#This Row],[Colonne77]]=$G34,CQ34,Distances[[#This Row],[Colonne77]]+1)</f>
        <v>15</v>
      </c>
      <c r="CS34" s="17">
        <f>IF(Distances[[#This Row],[Colonne78]]=$G34,CR34,Distances[[#This Row],[Colonne78]]+1)</f>
        <v>15</v>
      </c>
      <c r="CT34" s="17">
        <f>IF(Distances[[#This Row],[Colonne79]]=$G34,CS34,Distances[[#This Row],[Colonne79]]+1)</f>
        <v>15</v>
      </c>
      <c r="CU34" s="17">
        <f>IF(Distances[[#This Row],[Colonne80]]=$G34,CT34,Distances[[#This Row],[Colonne80]]+1)</f>
        <v>15</v>
      </c>
      <c r="CV34" s="17">
        <f>IF(Distances[[#This Row],[Colonne81]]=$G34,CU34,Distances[[#This Row],[Colonne81]]+1)</f>
        <v>15</v>
      </c>
      <c r="CW34" s="17">
        <f>IF(Distances[[#This Row],[Colonne82]]=$G34,CV34,Distances[[#This Row],[Colonne82]]+1)</f>
        <v>15</v>
      </c>
      <c r="CX34" s="17">
        <f>IF(Distances[[#This Row],[Colonne83]]=$G34,CW34,Distances[[#This Row],[Colonne83]]+1)</f>
        <v>15</v>
      </c>
      <c r="CY34" s="17">
        <f>IF(Distances[[#This Row],[Colonne84]]=$G34,CX34,Distances[[#This Row],[Colonne84]]+1)</f>
        <v>15</v>
      </c>
      <c r="CZ34" s="17">
        <f>IF(Distances[[#This Row],[Colonne85]]=$G34,CY34,Distances[[#This Row],[Colonne85]]+1)</f>
        <v>15</v>
      </c>
      <c r="DA34" s="17">
        <f>IF(Distances[[#This Row],[Colonne86]]=$G34,CZ34,Distances[[#This Row],[Colonne86]]+1)</f>
        <v>15</v>
      </c>
      <c r="DB34" s="17">
        <f>IF(Distances[[#This Row],[Colonne87]]=$G34,DA34,Distances[[#This Row],[Colonne87]]+1)</f>
        <v>15</v>
      </c>
      <c r="DC34" s="17">
        <f>IF(Distances[[#This Row],[Colonne88]]=$G34,DB34,Distances[[#This Row],[Colonne88]]+1)</f>
        <v>15</v>
      </c>
      <c r="DD34" s="17">
        <f>IF(Distances[[#This Row],[Colonne89]]=$G34,DC34,Distances[[#This Row],[Colonne89]]+1)</f>
        <v>15</v>
      </c>
      <c r="DE34" s="17">
        <f>IF(Distances[[#This Row],[Colonne90]]=$G34,DD34,Distances[[#This Row],[Colonne90]]+1)</f>
        <v>15</v>
      </c>
      <c r="DF34" s="17">
        <f>IF(Distances[[#This Row],[Colonne91]]=$G34,DE34,Distances[[#This Row],[Colonne91]]+1)</f>
        <v>15</v>
      </c>
      <c r="DG34" s="17">
        <f>IF(Distances[[#This Row],[Colonne92]]=$G34,DF34,Distances[[#This Row],[Colonne92]]+1)</f>
        <v>15</v>
      </c>
      <c r="DH34" s="17">
        <f>IF(Distances[[#This Row],[Colonne93]]=$G34,DG34,Distances[[#This Row],[Colonne93]]+1)</f>
        <v>15</v>
      </c>
      <c r="DI34" s="17">
        <f>IF(Distances[[#This Row],[Colonne94]]=$G34,DH34,Distances[[#This Row],[Colonne94]]+1)</f>
        <v>15</v>
      </c>
      <c r="DJ34" s="17">
        <f>IF(Distances[[#This Row],[Colonne95]]=$G34,DI34,Distances[[#This Row],[Colonne95]]+1)</f>
        <v>15</v>
      </c>
      <c r="DK34" s="17">
        <f>IF(Distances[[#This Row],[Colonne96]]=$G34,DJ34,Distances[[#This Row],[Colonne96]]+1)</f>
        <v>15</v>
      </c>
      <c r="DL34" s="17">
        <f>IF(Distances[[#This Row],[Colonne97]]=$G34,DK34,Distances[[#This Row],[Colonne97]]+1)</f>
        <v>15</v>
      </c>
      <c r="DM34" s="17">
        <f>IF(Distances[[#This Row],[Colonne98]]=$G34,DL34,Distances[[#This Row],[Colonne98]]+1)</f>
        <v>15</v>
      </c>
      <c r="DN34" s="17">
        <f>IF(Distances[[#This Row],[Colonne99]]=$G34,DM34,Distances[[#This Row],[Colonne99]]+1)</f>
        <v>15</v>
      </c>
      <c r="DO34" s="17">
        <f>IF(Distances[[#This Row],[Colonne100]]=$G34,DN34,Distances[[#This Row],[Colonne100]]+1)</f>
        <v>15</v>
      </c>
      <c r="DP34" s="17">
        <f>IF(Distances[[#This Row],[Colonne101]]=$G34,DO34,Distances[[#This Row],[Colonne101]]+1)</f>
        <v>15</v>
      </c>
      <c r="DQ34" s="17">
        <f>IF(Distances[[#This Row],[Colonne102]]=$G34,DP34,Distances[[#This Row],[Colonne102]]+1)</f>
        <v>15</v>
      </c>
      <c r="DR34" s="17">
        <f>IF(Distances[[#This Row],[Colonne103]]=$G34,DQ34,Distances[[#This Row],[Colonne103]]+1)</f>
        <v>15</v>
      </c>
      <c r="DS34" s="17">
        <f>IF(Distances[[#This Row],[Colonne104]]=$G34,DR34,Distances[[#This Row],[Colonne104]]+1)</f>
        <v>15</v>
      </c>
      <c r="DT34" s="17">
        <f>IF(Distances[[#This Row],[Colonne105]]=$G34,DS34,Distances[[#This Row],[Colonne105]]+1)</f>
        <v>15</v>
      </c>
      <c r="DU34" s="17">
        <f>IF(Distances[[#This Row],[Colonne106]]=$G34,DT34,Distances[[#This Row],[Colonne106]]+1)</f>
        <v>15</v>
      </c>
      <c r="DV34" s="17">
        <f>IF(Distances[[#This Row],[Colonne107]]=$G34,DU34,Distances[[#This Row],[Colonne107]]+1)</f>
        <v>15</v>
      </c>
      <c r="DW34" s="17">
        <f>IF(Distances[[#This Row],[Colonne108]]=$G34,DV34,Distances[[#This Row],[Colonne108]]+1)</f>
        <v>15</v>
      </c>
      <c r="DX34" s="17">
        <f>IF(Distances[[#This Row],[Colonne109]]=$G34,DW34,Distances[[#This Row],[Colonne109]]+1)</f>
        <v>15</v>
      </c>
      <c r="DY34" s="17">
        <f>IF(Distances[[#This Row],[Colonne110]]=$G34,DX34,Distances[[#This Row],[Colonne110]]+1)</f>
        <v>15</v>
      </c>
      <c r="DZ34" s="17">
        <f>IF(Distances[[#This Row],[Colonne111]]=$G34,DY34,Distances[[#This Row],[Colonne111]]+1)</f>
        <v>15</v>
      </c>
      <c r="EA34" s="17">
        <f>IF(Distances[[#This Row],[Colonne112]]=$G34,DZ34,Distances[[#This Row],[Colonne112]]+1)</f>
        <v>15</v>
      </c>
      <c r="EB34" s="17">
        <f>IF(Distances[[#This Row],[Colonne113]]=$G34,EA34,Distances[[#This Row],[Colonne113]]+1)</f>
        <v>15</v>
      </c>
      <c r="EC34" s="17">
        <f>IF(Distances[[#This Row],[Colonne114]]=$G34,EB34,Distances[[#This Row],[Colonne114]]+1)</f>
        <v>15</v>
      </c>
      <c r="ED34" s="17">
        <f>IF(Distances[[#This Row],[Colonne115]]=$G34,EC34,Distances[[#This Row],[Colonne115]]+1)</f>
        <v>15</v>
      </c>
      <c r="EE34" s="17">
        <f>IF(Distances[[#This Row],[Colonne116]]=$G34,ED34,Distances[[#This Row],[Colonne116]]+1)</f>
        <v>15</v>
      </c>
      <c r="EF34" s="17">
        <f>IF(Distances[[#This Row],[Colonne117]]=$G34,EE34,Distances[[#This Row],[Colonne117]]+1)</f>
        <v>15</v>
      </c>
      <c r="EG34" s="17">
        <f>IF(Distances[[#This Row],[Colonne118]]=$G34,EF34,Distances[[#This Row],[Colonne118]]+1)</f>
        <v>15</v>
      </c>
      <c r="EH34" s="17">
        <f>IF(Distances[[#This Row],[Colonne119]]=$G34,EG34,Distances[[#This Row],[Colonne119]]+1)</f>
        <v>15</v>
      </c>
      <c r="EI34" s="17">
        <f>IF(Distances[[#This Row],[Colonne120]]=$G34,EH34,Distances[[#This Row],[Colonne120]]+1)</f>
        <v>15</v>
      </c>
      <c r="EJ34" s="17">
        <f>IF(Distances[[#This Row],[Colonne121]]=$G34,EI34,Distances[[#This Row],[Colonne121]]+1)</f>
        <v>15</v>
      </c>
      <c r="EK34" s="17">
        <f>IF(Distances[[#This Row],[Colonne122]]=$G34,EJ34,Distances[[#This Row],[Colonne122]]+1)</f>
        <v>15</v>
      </c>
      <c r="EL34" s="17">
        <f>IF(Distances[[#This Row],[Colonne123]]=$G34,EK34,Distances[[#This Row],[Colonne123]]+1)</f>
        <v>15</v>
      </c>
      <c r="EM34" s="17">
        <f>IF(Distances[[#This Row],[Colonne124]]=$G34,EL34,Distances[[#This Row],[Colonne124]]+1)</f>
        <v>15</v>
      </c>
      <c r="EN34" s="17">
        <f>IF(Distances[[#This Row],[Colonne125]]=$G34,EM34,Distances[[#This Row],[Colonne125]]+1)</f>
        <v>15</v>
      </c>
      <c r="EO34" s="17">
        <f>IF(Distances[[#This Row],[Colonne126]]=$G34,EN34,Distances[[#This Row],[Colonne126]]+1)</f>
        <v>15</v>
      </c>
      <c r="EP34" s="17">
        <f>IF(Distances[[#This Row],[Colonne127]]=$G34,EO34,Distances[[#This Row],[Colonne127]]+1)</f>
        <v>15</v>
      </c>
      <c r="EQ34" s="17">
        <f>IF(Distances[[#This Row],[Colonne128]]=$G34,EP34,Distances[[#This Row],[Colonne128]]+1)</f>
        <v>15</v>
      </c>
      <c r="ER34" s="17">
        <f>IF(Distances[[#This Row],[Colonne129]]=$G34,EQ34,Distances[[#This Row],[Colonne129]]+1)</f>
        <v>15</v>
      </c>
      <c r="ES34" s="17">
        <f>IF(Distances[[#This Row],[Colonne130]]=$G34,ER34,Distances[[#This Row],[Colonne130]]+1)</f>
        <v>15</v>
      </c>
      <c r="ET34" s="17">
        <f>IF(Distances[[#This Row],[Colonne131]]=$G34,ES34,Distances[[#This Row],[Colonne131]]+1)</f>
        <v>15</v>
      </c>
      <c r="EU34" s="17">
        <f>IF(Distances[[#This Row],[Colonne132]]=$G34,ET34,Distances[[#This Row],[Colonne132]]+1)</f>
        <v>15</v>
      </c>
      <c r="EV34" s="17">
        <f>IF(Distances[[#This Row],[Colonne133]]=$G34,EU34,Distances[[#This Row],[Colonne133]]+1)</f>
        <v>15</v>
      </c>
      <c r="EW34" s="17">
        <f>IF(Distances[[#This Row],[Colonne134]]=$G34,EV34,Distances[[#This Row],[Colonne134]]+1)</f>
        <v>15</v>
      </c>
      <c r="EX34" s="17">
        <f>IF(Distances[[#This Row],[Colonne135]]=$G34,EW34,Distances[[#This Row],[Colonne135]]+1)</f>
        <v>15</v>
      </c>
      <c r="EY34" s="17">
        <f>IF(Distances[[#This Row],[Colonne136]]=$G34,EX34,Distances[[#This Row],[Colonne136]]+1)</f>
        <v>15</v>
      </c>
      <c r="EZ34" s="17">
        <f>IF(Distances[[#This Row],[Colonne137]]=$G34,EY34,Distances[[#This Row],[Colonne137]]+1)</f>
        <v>15</v>
      </c>
      <c r="FA34" s="17">
        <f>IF(Distances[[#This Row],[Colonne138]]=$G34,EZ34,Distances[[#This Row],[Colonne138]]+1)</f>
        <v>15</v>
      </c>
      <c r="FB34" s="17">
        <f>IF(Distances[[#This Row],[Colonne139]]=$G34,FA34,Distances[[#This Row],[Colonne139]]+1)</f>
        <v>15</v>
      </c>
      <c r="FC34" s="17">
        <f>IF(Distances[[#This Row],[Colonne140]]=$G34,FB34,Distances[[#This Row],[Colonne140]]+1)</f>
        <v>15</v>
      </c>
      <c r="FD34" s="17">
        <f>IF(Distances[[#This Row],[Colonne141]]=$G34,FC34,Distances[[#This Row],[Colonne141]]+1)</f>
        <v>15</v>
      </c>
      <c r="FE34" s="17">
        <f>IF(Distances[[#This Row],[Colonne142]]=$G34,FD34,Distances[[#This Row],[Colonne142]]+1)</f>
        <v>15</v>
      </c>
      <c r="FF34" s="17">
        <f>IF(Distances[[#This Row],[Colonne143]]=$G34,FE34,Distances[[#This Row],[Colonne143]]+1)</f>
        <v>15</v>
      </c>
      <c r="FG34" s="17">
        <f>IF(Distances[[#This Row],[Colonne144]]=$G34,FF34,Distances[[#This Row],[Colonne144]]+1)</f>
        <v>15</v>
      </c>
      <c r="FH34" s="17">
        <f>IF(Distances[[#This Row],[Colonne145]]=$G34,FG34,Distances[[#This Row],[Colonne145]]+1)</f>
        <v>15</v>
      </c>
      <c r="FI34" s="17">
        <f>IF(Distances[[#This Row],[Colonne146]]=$G34,FH34,Distances[[#This Row],[Colonne146]]+1)</f>
        <v>15</v>
      </c>
      <c r="FJ34" s="17">
        <f>IF(Distances[[#This Row],[Colonne147]]=$G34,FI34,Distances[[#This Row],[Colonne147]]+1)</f>
        <v>15</v>
      </c>
      <c r="FK34" s="17">
        <f>IF(Distances[[#This Row],[Colonne148]]=$G34,FJ34,Distances[[#This Row],[Colonne148]]+1)</f>
        <v>15</v>
      </c>
      <c r="FL34" s="17">
        <f>IF(Distances[[#This Row],[Colonne149]]=$G34,FK34,Distances[[#This Row],[Colonne149]]+1)</f>
        <v>15</v>
      </c>
      <c r="FM34" s="17">
        <f>IF(Distances[[#This Row],[Colonne150]]=$G34,FL34,Distances[[#This Row],[Colonne150]]+1)</f>
        <v>15</v>
      </c>
      <c r="FN34" s="17">
        <f>IF(Distances[[#This Row],[Colonne151]]=$G34,FM34,Distances[[#This Row],[Colonne151]]+1)</f>
        <v>15</v>
      </c>
      <c r="FO34" s="17">
        <f>IF(Distances[[#This Row],[Colonne152]]=$G34,FN34,Distances[[#This Row],[Colonne152]]+1)</f>
        <v>15</v>
      </c>
      <c r="FP34" s="17">
        <f>IF(Distances[[#This Row],[Colonne153]]=$G34,FO34,Distances[[#This Row],[Colonne153]]+1)</f>
        <v>15</v>
      </c>
      <c r="FQ34" s="17">
        <f>IF(Distances[[#This Row],[Colonne154]]=$G34,FP34,Distances[[#This Row],[Colonne154]]+1)</f>
        <v>15</v>
      </c>
      <c r="FR34" s="17">
        <f>IF(Distances[[#This Row],[Colonne155]]=$G34,FQ34,Distances[[#This Row],[Colonne155]]+1)</f>
        <v>15</v>
      </c>
      <c r="FS34" s="17">
        <f>IF(Distances[[#This Row],[Colonne156]]=$G34,FR34,Distances[[#This Row],[Colonne156]]+1)</f>
        <v>15</v>
      </c>
      <c r="FT34" s="17">
        <f>IF(Distances[[#This Row],[Colonne157]]=$G34,FS34,Distances[[#This Row],[Colonne157]]+1)</f>
        <v>15</v>
      </c>
      <c r="FU34" s="17">
        <f>IF(Distances[[#This Row],[Colonne158]]=$G34,FT34,Distances[[#This Row],[Colonne158]]+1)</f>
        <v>15</v>
      </c>
      <c r="FV34" s="17">
        <f>IF(Distances[[#This Row],[Colonne159]]=$G34,FU34,Distances[[#This Row],[Colonne159]]+1)</f>
        <v>15</v>
      </c>
      <c r="FW34" s="17">
        <f>IF(Distances[[#This Row],[Colonne160]]=$G34,FV34,Distances[[#This Row],[Colonne160]]+1)</f>
        <v>15</v>
      </c>
      <c r="FX34" s="17">
        <f>IF(Distances[[#This Row],[Colonne161]]=$G34,FW34,Distances[[#This Row],[Colonne161]]+1)</f>
        <v>15</v>
      </c>
      <c r="FY34" s="17">
        <f>IF(Distances[[#This Row],[Colonne162]]=$G34,FX34,Distances[[#This Row],[Colonne162]]+1)</f>
        <v>15</v>
      </c>
      <c r="FZ34" s="17">
        <f>IF(Distances[[#This Row],[Colonne163]]=$G34,FY34,Distances[[#This Row],[Colonne163]]+1)</f>
        <v>15</v>
      </c>
      <c r="GA34" s="17">
        <f>IF(Distances[[#This Row],[Colonne164]]=$G34,FZ34,Distances[[#This Row],[Colonne164]]+1)</f>
        <v>15</v>
      </c>
      <c r="GB34" s="17">
        <f>IF(Distances[[#This Row],[Colonne165]]=$G34,GA34,Distances[[#This Row],[Colonne165]]+1)</f>
        <v>15</v>
      </c>
      <c r="GC34" s="17">
        <f>IF(Distances[[#This Row],[Colonne166]]=$G34,GB34,Distances[[#This Row],[Colonne166]]+1)</f>
        <v>15</v>
      </c>
      <c r="GD34" s="17">
        <f>IF(Distances[[#This Row],[Colonne167]]=$G34,GC34,Distances[[#This Row],[Colonne167]]+1)</f>
        <v>15</v>
      </c>
      <c r="GE34" s="17">
        <f>IF(Distances[[#This Row],[Colonne168]]=$G34,GD34,Distances[[#This Row],[Colonne168]]+1)</f>
        <v>15</v>
      </c>
      <c r="GF34" s="17">
        <f>IF(Distances[[#This Row],[Colonne169]]=$G34,GE34,Distances[[#This Row],[Colonne169]]+1)</f>
        <v>15</v>
      </c>
      <c r="GG34" s="17">
        <f>IF(Distances[[#This Row],[Colonne170]]=$G34,GF34,Distances[[#This Row],[Colonne170]]+1)</f>
        <v>15</v>
      </c>
      <c r="GH34" s="17">
        <f>IF(Distances[[#This Row],[Colonne171]]=$G34,GG34,Distances[[#This Row],[Colonne171]]+1)</f>
        <v>15</v>
      </c>
      <c r="GI34" s="17">
        <f>IF(Distances[[#This Row],[Colonne172]]=$G34,GH34,Distances[[#This Row],[Colonne172]]+1)</f>
        <v>15</v>
      </c>
      <c r="GJ34" s="17">
        <f>IF(Distances[[#This Row],[Colonne173]]=$G34,GI34,Distances[[#This Row],[Colonne173]]+1)</f>
        <v>15</v>
      </c>
      <c r="GK34" s="17">
        <f>IF(Distances[[#This Row],[Colonne174]]=$G34,GJ34,Distances[[#This Row],[Colonne174]]+1)</f>
        <v>15</v>
      </c>
      <c r="GL34" s="17">
        <f>IF(Distances[[#This Row],[Colonne175]]=$G34,GK34,Distances[[#This Row],[Colonne175]]+1)</f>
        <v>15</v>
      </c>
      <c r="GM34" s="17">
        <f>IF(Distances[[#This Row],[Colonne176]]=$G34,GL34,Distances[[#This Row],[Colonne176]]+1)</f>
        <v>15</v>
      </c>
      <c r="GN34" s="17">
        <f>IF(Distances[[#This Row],[Colonne177]]=$G34,GM34,Distances[[#This Row],[Colonne177]]+1)</f>
        <v>15</v>
      </c>
      <c r="GO34" s="17">
        <f>IF(Distances[[#This Row],[Colonne178]]=$G34,GN34,Distances[[#This Row],[Colonne178]]+1)</f>
        <v>15</v>
      </c>
      <c r="GP34" s="17">
        <f>IF(Distances[[#This Row],[Colonne179]]=$G34,GO34,Distances[[#This Row],[Colonne179]]+1)</f>
        <v>15</v>
      </c>
      <c r="GQ34" s="17">
        <f>IF(Distances[[#This Row],[Colonne180]]=$G34,GP34,Distances[[#This Row],[Colonne180]]+1)</f>
        <v>15</v>
      </c>
      <c r="GR34" s="17">
        <f>IF(Distances[[#This Row],[Colonne181]]=$G34,GQ34,Distances[[#This Row],[Colonne181]]+1)</f>
        <v>15</v>
      </c>
      <c r="GS34" s="17">
        <f>IF(Distances[[#This Row],[Colonne182]]=$G34,GR34,Distances[[#This Row],[Colonne182]]+1)</f>
        <v>15</v>
      </c>
      <c r="GT34" s="17">
        <f>IF(Distances[[#This Row],[Colonne183]]=$G34,GS34,Distances[[#This Row],[Colonne183]]+1)</f>
        <v>15</v>
      </c>
      <c r="GU34" s="17">
        <f>IF(Distances[[#This Row],[Colonne184]]=$G34,GT34,Distances[[#This Row],[Colonne184]]+1)</f>
        <v>15</v>
      </c>
      <c r="GV34" s="17">
        <f>IF(Distances[[#This Row],[Colonne185]]=$G34,GU34,Distances[[#This Row],[Colonne185]]+1)</f>
        <v>15</v>
      </c>
      <c r="GW34" s="17">
        <f>IF(Distances[[#This Row],[Colonne186]]=$G34,GV34,Distances[[#This Row],[Colonne186]]+1)</f>
        <v>15</v>
      </c>
      <c r="GX34" s="17">
        <f>IF(Distances[[#This Row],[Colonne187]]=$G34,GW34,Distances[[#This Row],[Colonne187]]+1)</f>
        <v>15</v>
      </c>
      <c r="GY34" s="17">
        <f>IF(Distances[[#This Row],[Colonne188]]=$G34,GX34,Distances[[#This Row],[Colonne188]]+1)</f>
        <v>15</v>
      </c>
      <c r="GZ34" s="17">
        <f>IF(Distances[[#This Row],[Colonne189]]=$G34,GY34,Distances[[#This Row],[Colonne189]]+1)</f>
        <v>15</v>
      </c>
      <c r="HA34" s="17">
        <f>IF(Distances[[#This Row],[Colonne190]]=$G34,GZ34,Distances[[#This Row],[Colonne190]]+1)</f>
        <v>15</v>
      </c>
      <c r="HB34" s="17">
        <f>IF(Distances[[#This Row],[Colonne191]]=$G34,HA34,Distances[[#This Row],[Colonne191]]+1)</f>
        <v>15</v>
      </c>
      <c r="HC34" s="17">
        <f>IF(Distances[[#This Row],[Colonne192]]=$G34,HB34,Distances[[#This Row],[Colonne192]]+1)</f>
        <v>15</v>
      </c>
      <c r="HD34" s="17">
        <f>IF(Distances[[#This Row],[Colonne193]]=$G34,HC34,Distances[[#This Row],[Colonne193]]+1)</f>
        <v>15</v>
      </c>
      <c r="HE34" s="17">
        <f>IF(Distances[[#This Row],[Colonne194]]=$G34,HD34,Distances[[#This Row],[Colonne194]]+1)</f>
        <v>15</v>
      </c>
      <c r="HF34" s="17">
        <f>IF(Distances[[#This Row],[Colonne195]]=$G34,HE34,Distances[[#This Row],[Colonne195]]+1)</f>
        <v>15</v>
      </c>
      <c r="HG34" s="17">
        <f>IF(Distances[[#This Row],[Colonne196]]=$G34,HF34,Distances[[#This Row],[Colonne196]]+1)</f>
        <v>15</v>
      </c>
      <c r="HH34" s="17">
        <f>IF(Distances[[#This Row],[Colonne197]]=$G34,HG34,Distances[[#This Row],[Colonne197]]+1)</f>
        <v>15</v>
      </c>
      <c r="HI34" s="17">
        <f>IF(Distances[[#This Row],[Colonne198]]=$G34,HH34,Distances[[#This Row],[Colonne198]]+1)</f>
        <v>15</v>
      </c>
      <c r="HJ34" s="17">
        <f>IF(Distances[[#This Row],[Colonne199]]=$G34,HI34,Distances[[#This Row],[Colonne199]]+1)</f>
        <v>15</v>
      </c>
      <c r="HK34" s="17">
        <f>IF(Distances[[#This Row],[Colonne200]]=$G34,HJ34,Distances[[#This Row],[Colonne200]]+1)</f>
        <v>15</v>
      </c>
      <c r="HL34" s="17">
        <f>IF(Distances[[#This Row],[Colonne201]]=$G34,HK34,Distances[[#This Row],[Colonne201]]+1)</f>
        <v>15</v>
      </c>
      <c r="HM34" s="17">
        <f>IF(Distances[[#This Row],[Colonne202]]=$G34,HL34,Distances[[#This Row],[Colonne202]]+1)</f>
        <v>15</v>
      </c>
      <c r="HN34" s="17">
        <f>IF(Distances[[#This Row],[Colonne203]]=$G34,HM34,Distances[[#This Row],[Colonne203]]+1)</f>
        <v>15</v>
      </c>
      <c r="HO34" s="17">
        <f>IF(Distances[[#This Row],[Colonne204]]=$G34,HN34,Distances[[#This Row],[Colonne204]]+1)</f>
        <v>15</v>
      </c>
      <c r="HP34" s="17">
        <f>IF(Distances[[#This Row],[Colonne205]]=$G34,HO34,Distances[[#This Row],[Colonne205]]+1)</f>
        <v>15</v>
      </c>
      <c r="HQ34" s="17">
        <f>IF(Distances[[#This Row],[Colonne206]]=$G34,HP34,Distances[[#This Row],[Colonne206]]+1)</f>
        <v>15</v>
      </c>
      <c r="HR34" s="17">
        <f>IF(Distances[[#This Row],[Colonne207]]=$G34,HQ34,Distances[[#This Row],[Colonne207]]+1)</f>
        <v>15</v>
      </c>
      <c r="HS34" s="17">
        <f>IF(Distances[[#This Row],[Colonne208]]=$G34,HR34,Distances[[#This Row],[Colonne208]]+1)</f>
        <v>15</v>
      </c>
      <c r="HT34" s="17">
        <f>IF(Distances[[#This Row],[Colonne209]]=$G34,HS34,Distances[[#This Row],[Colonne209]]+1)</f>
        <v>15</v>
      </c>
      <c r="HU34" s="17">
        <f>IF(Distances[[#This Row],[Colonne210]]=$G34,HT34,Distances[[#This Row],[Colonne210]]+1)</f>
        <v>15</v>
      </c>
      <c r="HV34" s="17">
        <f>IF(Distances[[#This Row],[Colonne211]]=$G34,HU34,Distances[[#This Row],[Colonne211]]+1)</f>
        <v>15</v>
      </c>
      <c r="HW34" s="17">
        <f>IF(Distances[[#This Row],[Colonne212]]=$G34,HV34,Distances[[#This Row],[Colonne212]]+1)</f>
        <v>15</v>
      </c>
      <c r="HX34" s="17">
        <f>IF(Distances[[#This Row],[Colonne213]]=$G34,HW34,Distances[[#This Row],[Colonne213]]+1)</f>
        <v>15</v>
      </c>
      <c r="HY34" s="17">
        <f>IF(Distances[[#This Row],[Colonne214]]=$G34,HX34,Distances[[#This Row],[Colonne214]]+1)</f>
        <v>15</v>
      </c>
      <c r="HZ34" s="17">
        <f>IF(Distances[[#This Row],[Colonne215]]=$G34,HY34,Distances[[#This Row],[Colonne215]]+1)</f>
        <v>15</v>
      </c>
      <c r="IA34" s="17">
        <f>IF(Distances[[#This Row],[Colonne216]]=$G34,HZ34,Distances[[#This Row],[Colonne216]]+1)</f>
        <v>15</v>
      </c>
      <c r="IB34" s="17">
        <f>IF(Distances[[#This Row],[Colonne217]]=$G34,IA34,Distances[[#This Row],[Colonne217]]+1)</f>
        <v>15</v>
      </c>
      <c r="IC34" s="17">
        <f>IF(Distances[[#This Row],[Colonne218]]=$G34,IB34,Distances[[#This Row],[Colonne218]]+1)</f>
        <v>15</v>
      </c>
      <c r="ID34" s="17">
        <f>IF(Distances[[#This Row],[Colonne219]]=$G34,IC34,Distances[[#This Row],[Colonne219]]+1)</f>
        <v>15</v>
      </c>
      <c r="IE34" s="17">
        <f>IF(Distances[[#This Row],[Colonne220]]=$G34,ID34,Distances[[#This Row],[Colonne220]]+1)</f>
        <v>15</v>
      </c>
      <c r="IF34" s="17">
        <f>IF(Distances[[#This Row],[Colonne221]]=$G34,IE34,Distances[[#This Row],[Colonne221]]+1)</f>
        <v>15</v>
      </c>
      <c r="IG34" s="17">
        <f>IF(Distances[[#This Row],[Colonne222]]=$G34,IF34,Distances[[#This Row],[Colonne222]]+1)</f>
        <v>15</v>
      </c>
      <c r="IH34" s="17">
        <f>IF(Distances[[#This Row],[Colonne223]]=$G34,IG34,Distances[[#This Row],[Colonne223]]+1)</f>
        <v>15</v>
      </c>
      <c r="II34" s="17">
        <f>IF(Distances[[#This Row],[Colonne224]]=$G34,IH34,Distances[[#This Row],[Colonne224]]+1)</f>
        <v>15</v>
      </c>
      <c r="IJ34" s="17">
        <f>IF(Distances[[#This Row],[Colonne225]]=$G34,II34,Distances[[#This Row],[Colonne225]]+1)</f>
        <v>15</v>
      </c>
      <c r="IK34" s="17">
        <f>IF(Distances[[#This Row],[Colonne226]]=$G34,IJ34,Distances[[#This Row],[Colonne226]]+1)</f>
        <v>15</v>
      </c>
      <c r="IL34" s="17">
        <f>IF(Distances[[#This Row],[Colonne227]]=$G34,IK34,Distances[[#This Row],[Colonne227]]+1)</f>
        <v>15</v>
      </c>
      <c r="IM34" s="17">
        <f>IF(Distances[[#This Row],[Colonne228]]=$G34,IL34,Distances[[#This Row],[Colonne228]]+1)</f>
        <v>15</v>
      </c>
      <c r="IN34" s="17">
        <f>IF(Distances[[#This Row],[Colonne229]]=$G34,IM34,Distances[[#This Row],[Colonne229]]+1)</f>
        <v>15</v>
      </c>
      <c r="IO34" s="17">
        <f>IF(Distances[[#This Row],[Colonne230]]=$G34,IN34,Distances[[#This Row],[Colonne230]]+1)</f>
        <v>15</v>
      </c>
      <c r="IP34" s="17">
        <f>IF(Distances[[#This Row],[Colonne231]]=$G34,IO34,Distances[[#This Row],[Colonne231]]+1)</f>
        <v>15</v>
      </c>
      <c r="IQ34" s="17">
        <f>IF(Distances[[#This Row],[Colonne232]]=$G34,IP34,Distances[[#This Row],[Colonne232]]+1)</f>
        <v>15</v>
      </c>
      <c r="IR34" s="17">
        <f>IF(Distances[[#This Row],[Colonne233]]=$G34,IQ34,Distances[[#This Row],[Colonne233]]+1)</f>
        <v>15</v>
      </c>
      <c r="IS34" s="17">
        <f>IF(Distances[[#This Row],[Colonne234]]=$G34,IR34,Distances[[#This Row],[Colonne234]]+1)</f>
        <v>15</v>
      </c>
      <c r="IT34" s="17">
        <f>IF(Distances[[#This Row],[Colonne235]]=$G34,IS34,Distances[[#This Row],[Colonne235]]+1)</f>
        <v>15</v>
      </c>
      <c r="IU34" s="17">
        <f>IF(Distances[[#This Row],[Colonne236]]=$G34,IT34,Distances[[#This Row],[Colonne236]]+1)</f>
        <v>15</v>
      </c>
      <c r="IV34" s="17">
        <f>IF(Distances[[#This Row],[Colonne237]]=$G34,IU34,Distances[[#This Row],[Colonne237]]+1)</f>
        <v>15</v>
      </c>
      <c r="IW34" s="17">
        <f>IF(Distances[[#This Row],[Colonne238]]=$G34,IV34,Distances[[#This Row],[Colonne238]]+1)</f>
        <v>15</v>
      </c>
      <c r="IX34" s="17">
        <f>IF(Distances[[#This Row],[Colonne239]]=$G34,IW34,Distances[[#This Row],[Colonne239]]+1)</f>
        <v>15</v>
      </c>
      <c r="IY34" s="17">
        <f>IF(Distances[[#This Row],[Colonne240]]=$G34,IX34,Distances[[#This Row],[Colonne240]]+1)</f>
        <v>15</v>
      </c>
      <c r="IZ34" s="17">
        <f>IF(Distances[[#This Row],[Colonne241]]=$G34,IY34,Distances[[#This Row],[Colonne241]]+1)</f>
        <v>15</v>
      </c>
      <c r="JA34" s="17">
        <f>IF(Distances[[#This Row],[Colonne242]]=$G34,IZ34,Distances[[#This Row],[Colonne242]]+1)</f>
        <v>15</v>
      </c>
      <c r="JB34" s="17">
        <f>IF(Distances[[#This Row],[Colonne243]]=$G34,JA34,Distances[[#This Row],[Colonne243]]+1)</f>
        <v>15</v>
      </c>
      <c r="JC34" s="17">
        <f>IF(Distances[[#This Row],[Colonne244]]=$G34,JB34,Distances[[#This Row],[Colonne244]]+1)</f>
        <v>15</v>
      </c>
      <c r="JD34" s="17">
        <f>IF(Distances[[#This Row],[Colonne245]]=$G34,JC34,Distances[[#This Row],[Colonne245]]+1)</f>
        <v>15</v>
      </c>
      <c r="JE34" s="17">
        <f>IF(Distances[[#This Row],[Colonne246]]=$G34,JD34,Distances[[#This Row],[Colonne246]]+1)</f>
        <v>15</v>
      </c>
      <c r="JF34" s="17">
        <f>IF(Distances[[#This Row],[Colonne247]]=$G34,JE34,Distances[[#This Row],[Colonne247]]+1)</f>
        <v>15</v>
      </c>
      <c r="JG34" s="17">
        <f>IF(Distances[[#This Row],[Colonne248]]=$G34,JF34,Distances[[#This Row],[Colonne248]]+1)</f>
        <v>15</v>
      </c>
      <c r="JH34" s="17">
        <f>IF(Distances[[#This Row],[Colonne249]]=$G34,JG34,Distances[[#This Row],[Colonne249]]+1)</f>
        <v>15</v>
      </c>
      <c r="JI34" s="17">
        <f>IF(Distances[[#This Row],[Colonne250]]=$G34,JH34,Distances[[#This Row],[Colonne250]]+1)</f>
        <v>15</v>
      </c>
      <c r="JJ34" s="17">
        <f>IF(Distances[[#This Row],[Colonne251]]=$G34,JI34,Distances[[#This Row],[Colonne251]]+1)</f>
        <v>15</v>
      </c>
      <c r="JK34" s="17">
        <f>IF(Distances[[#This Row],[Colonne252]]=$G34,JJ34,Distances[[#This Row],[Colonne252]]+1)</f>
        <v>15</v>
      </c>
      <c r="JL34" s="17">
        <f>IF(Distances[[#This Row],[Colonne253]]=$G34,JK34,Distances[[#This Row],[Colonne253]]+1)</f>
        <v>15</v>
      </c>
      <c r="JM34" s="17">
        <f>IF(Distances[[#This Row],[Colonne254]]=$G34,JL34,Distances[[#This Row],[Colonne254]]+1)</f>
        <v>15</v>
      </c>
      <c r="JN34" s="17">
        <f>IF(Distances[[#This Row],[Colonne255]]=$G34,JM34,Distances[[#This Row],[Colonne255]]+1)</f>
        <v>15</v>
      </c>
      <c r="JO34" s="17">
        <f>IF(Distances[[#This Row],[Colonne256]]=$G34,JN34,Distances[[#This Row],[Colonne256]]+1)</f>
        <v>15</v>
      </c>
      <c r="JP34" s="17">
        <f>IF(Distances[[#This Row],[Colonne257]]=$G34,JO34,Distances[[#This Row],[Colonne257]]+1)</f>
        <v>15</v>
      </c>
      <c r="JQ34" s="17">
        <f>IF(Distances[[#This Row],[Colonne258]]=$G34,JP34,Distances[[#This Row],[Colonne258]]+1)</f>
        <v>15</v>
      </c>
      <c r="JR34" s="17">
        <f>IF(Distances[[#This Row],[Colonne259]]=$G34,JQ34,Distances[[#This Row],[Colonne259]]+1)</f>
        <v>15</v>
      </c>
      <c r="JS34" s="17">
        <f>IF(Distances[[#This Row],[Colonne260]]=$G34,JR34,Distances[[#This Row],[Colonne260]]+1)</f>
        <v>15</v>
      </c>
      <c r="JT34" s="17">
        <f>IF(Distances[[#This Row],[Colonne261]]=$G34,JS34,Distances[[#This Row],[Colonne261]]+1)</f>
        <v>15</v>
      </c>
      <c r="JU34" s="17">
        <f>IF(Distances[[#This Row],[Colonne262]]=$G34,JT34,Distances[[#This Row],[Colonne262]]+1)</f>
        <v>15</v>
      </c>
      <c r="JV34" s="17">
        <f>IF(Distances[[#This Row],[Colonne263]]=$G34,JU34,Distances[[#This Row],[Colonne263]]+1)</f>
        <v>15</v>
      </c>
      <c r="JW34" s="17">
        <f>IF(Distances[[#This Row],[Colonne264]]=$G34,JV34,Distances[[#This Row],[Colonne264]]+1)</f>
        <v>15</v>
      </c>
      <c r="JX34" s="17">
        <f>IF(Distances[[#This Row],[Colonne265]]=$G34,JW34,Distances[[#This Row],[Colonne265]]+1)</f>
        <v>15</v>
      </c>
      <c r="JY34" s="17">
        <f>IF(Distances[[#This Row],[Colonne266]]=$G34,JX34,Distances[[#This Row],[Colonne266]]+1)</f>
        <v>15</v>
      </c>
      <c r="JZ34" s="17">
        <f>IF(Distances[[#This Row],[Colonne267]]=$G34,JY34,Distances[[#This Row],[Colonne267]]+1)</f>
        <v>15</v>
      </c>
      <c r="KA34" s="17">
        <f>IF(Distances[[#This Row],[Colonne268]]=$G34,JZ34,Distances[[#This Row],[Colonne268]]+1)</f>
        <v>15</v>
      </c>
      <c r="KB34" s="17">
        <f>IF(Distances[[#This Row],[Colonne269]]=$G34,KA34,Distances[[#This Row],[Colonne269]]+1)</f>
        <v>15</v>
      </c>
      <c r="KC34" s="17">
        <f>IF(Distances[[#This Row],[Colonne270]]=$G34,KB34,Distances[[#This Row],[Colonne270]]+1)</f>
        <v>15</v>
      </c>
      <c r="KD34" s="17">
        <f>IF(Distances[[#This Row],[Colonne271]]=$G34,KC34,Distances[[#This Row],[Colonne271]]+1)</f>
        <v>15</v>
      </c>
      <c r="KE34" s="17">
        <f>IF(Distances[[#This Row],[Colonne272]]=$G34,KD34,Distances[[#This Row],[Colonne272]]+1)</f>
        <v>15</v>
      </c>
      <c r="KF34" s="17">
        <f>IF(Distances[[#This Row],[Colonne273]]=$G34,KE34,Distances[[#This Row],[Colonne273]]+1)</f>
        <v>15</v>
      </c>
      <c r="KG34" s="17">
        <f>IF(Distances[[#This Row],[Colonne274]]=$G34,KF34,Distances[[#This Row],[Colonne274]]+1)</f>
        <v>15</v>
      </c>
      <c r="KH34" s="17">
        <f>IF(Distances[[#This Row],[Colonne275]]=$G34,KG34,Distances[[#This Row],[Colonne275]]+1)</f>
        <v>15</v>
      </c>
      <c r="KI34" s="17">
        <f>IF(Distances[[#This Row],[Colonne276]]=$G34,KH34,Distances[[#This Row],[Colonne276]]+1)</f>
        <v>15</v>
      </c>
      <c r="KJ34" s="17">
        <f>IF(Distances[[#This Row],[Colonne277]]=$G34,KI34,Distances[[#This Row],[Colonne277]]+1)</f>
        <v>15</v>
      </c>
      <c r="KK34" s="17">
        <f>IF(Distances[[#This Row],[Colonne278]]=$G34,KJ34,Distances[[#This Row],[Colonne278]]+1)</f>
        <v>15</v>
      </c>
      <c r="KL34" s="17">
        <f>IF(Distances[[#This Row],[Colonne279]]=$G34,KK34,Distances[[#This Row],[Colonne279]]+1)</f>
        <v>15</v>
      </c>
      <c r="KM34" s="17">
        <f>IF(Distances[[#This Row],[Colonne280]]=$G34,KL34,Distances[[#This Row],[Colonne280]]+1)</f>
        <v>15</v>
      </c>
      <c r="KN34" s="17">
        <f>IF(Distances[[#This Row],[Colonne281]]=$G34,KM34,Distances[[#This Row],[Colonne281]]+1)</f>
        <v>15</v>
      </c>
      <c r="KO34" s="17">
        <f>IF(Distances[[#This Row],[Colonne282]]=$G34,KN34,Distances[[#This Row],[Colonne282]]+1)</f>
        <v>15</v>
      </c>
      <c r="KP34" s="17">
        <f>IF(Distances[[#This Row],[Colonne283]]=$G34,KO34,Distances[[#This Row],[Colonne283]]+1)</f>
        <v>15</v>
      </c>
      <c r="KQ34" s="17">
        <f>IF(Distances[[#This Row],[Colonne284]]=$G34,KP34,Distances[[#This Row],[Colonne284]]+1)</f>
        <v>15</v>
      </c>
      <c r="KR34" s="17">
        <f>IF(Distances[[#This Row],[Colonne285]]=$G34,KQ34,Distances[[#This Row],[Colonne285]]+1)</f>
        <v>15</v>
      </c>
      <c r="KS34" s="17">
        <f>IF(Distances[[#This Row],[Colonne286]]=$G34,KR34,Distances[[#This Row],[Colonne286]]+1)</f>
        <v>15</v>
      </c>
      <c r="KT34" s="17">
        <f>IF(Distances[[#This Row],[Colonne287]]=$G34,KS34,Distances[[#This Row],[Colonne287]]+1)</f>
        <v>15</v>
      </c>
      <c r="KU34" s="17">
        <f>IF(Distances[[#This Row],[Colonne288]]=$G34,KT34,Distances[[#This Row],[Colonne288]]+1)</f>
        <v>15</v>
      </c>
      <c r="KV34" s="17">
        <f>IF(Distances[[#This Row],[Colonne289]]=$G34,KU34,Distances[[#This Row],[Colonne289]]+1)</f>
        <v>15</v>
      </c>
      <c r="KW34" s="17">
        <f>IF(Distances[[#This Row],[Colonne290]]=$G34,KV34,Distances[[#This Row],[Colonne290]]+1)</f>
        <v>15</v>
      </c>
      <c r="KX34" s="17">
        <f>IF(Distances[[#This Row],[Colonne291]]=$G34,KW34,Distances[[#This Row],[Colonne291]]+1)</f>
        <v>15</v>
      </c>
      <c r="KY34" s="17">
        <f>IF(Distances[[#This Row],[Colonne292]]=$G34,KX34,Distances[[#This Row],[Colonne292]]+1)</f>
        <v>15</v>
      </c>
      <c r="KZ34" s="17">
        <f>IF(Distances[[#This Row],[Colonne293]]=$G34,KY34,Distances[[#This Row],[Colonne293]]+1)</f>
        <v>15</v>
      </c>
      <c r="LA34" s="17">
        <f>IF(Distances[[#This Row],[Colonne294]]=$G34,KZ34,Distances[[#This Row],[Colonne294]]+1)</f>
        <v>15</v>
      </c>
      <c r="LB34" s="17">
        <f>IF(Distances[[#This Row],[Colonne295]]=$G34,LA34,Distances[[#This Row],[Colonne295]]+1)</f>
        <v>15</v>
      </c>
      <c r="LC34" s="17">
        <f>IF(Distances[[#This Row],[Colonne296]]=$G34,LB34,Distances[[#This Row],[Colonne296]]+1)</f>
        <v>15</v>
      </c>
      <c r="LD34" s="17">
        <f>IF(Distances[[#This Row],[Colonne297]]=$G34,LC34,Distances[[#This Row],[Colonne297]]+1)</f>
        <v>15</v>
      </c>
      <c r="LE34" s="17">
        <f>IF(Distances[[#This Row],[Colonne298]]=$G34,LD34,Distances[[#This Row],[Colonne298]]+1)</f>
        <v>15</v>
      </c>
      <c r="LF34" s="17">
        <f>IF(Distances[[#This Row],[Colonne299]]=$G34,LE34,Distances[[#This Row],[Colonne299]]+1)</f>
        <v>15</v>
      </c>
      <c r="LG34" s="17">
        <f>IF(Distances[[#This Row],[Colonne300]]=$G34,LF34,Distances[[#This Row],[Colonne300]]+1)</f>
        <v>15</v>
      </c>
      <c r="LH34" s="17">
        <f>IF(Distances[[#This Row],[Colonne301]]=$G34,LG34,Distances[[#This Row],[Colonne301]]+1)</f>
        <v>15</v>
      </c>
      <c r="LI34" s="17">
        <f>IF(Distances[[#This Row],[Colonne302]]=$G34,LH34,Distances[[#This Row],[Colonne302]]+1)</f>
        <v>15</v>
      </c>
      <c r="LJ34" s="17">
        <f>IF(Distances[[#This Row],[Colonne303]]=$G34,LI34,Distances[[#This Row],[Colonne303]]+1)</f>
        <v>15</v>
      </c>
      <c r="LK34" s="51"/>
      <c r="LL34" s="17">
        <f t="shared" ref="LL34:NW34" si="66">IF(LK34=$H34,LK34,LK34+1)</f>
        <v>1</v>
      </c>
      <c r="LM34" s="17">
        <f t="shared" si="66"/>
        <v>2</v>
      </c>
      <c r="LN34" s="17">
        <f t="shared" si="66"/>
        <v>3</v>
      </c>
      <c r="LO34" s="17">
        <f t="shared" si="66"/>
        <v>4</v>
      </c>
      <c r="LP34" s="17">
        <f t="shared" si="66"/>
        <v>5</v>
      </c>
      <c r="LQ34" s="17">
        <f t="shared" si="66"/>
        <v>6</v>
      </c>
      <c r="LR34" s="17">
        <f t="shared" si="66"/>
        <v>7</v>
      </c>
      <c r="LS34" s="17">
        <f t="shared" si="66"/>
        <v>8</v>
      </c>
      <c r="LT34" s="17">
        <f t="shared" si="66"/>
        <v>9</v>
      </c>
      <c r="LU34" s="17">
        <f t="shared" si="66"/>
        <v>10</v>
      </c>
      <c r="LV34" s="17">
        <f t="shared" si="66"/>
        <v>11</v>
      </c>
      <c r="LW34" s="17">
        <f t="shared" si="66"/>
        <v>12</v>
      </c>
      <c r="LX34" s="17">
        <f t="shared" si="66"/>
        <v>13</v>
      </c>
      <c r="LY34" s="17">
        <f t="shared" si="66"/>
        <v>14</v>
      </c>
      <c r="LZ34" s="17">
        <f t="shared" si="66"/>
        <v>15</v>
      </c>
      <c r="MA34" s="17">
        <f t="shared" si="66"/>
        <v>16</v>
      </c>
      <c r="MB34" s="17">
        <f t="shared" si="66"/>
        <v>17</v>
      </c>
      <c r="MC34" s="17">
        <f t="shared" si="66"/>
        <v>18</v>
      </c>
      <c r="MD34" s="17">
        <f t="shared" si="66"/>
        <v>19</v>
      </c>
      <c r="ME34" s="17">
        <f t="shared" si="66"/>
        <v>20</v>
      </c>
      <c r="MF34" s="17">
        <f t="shared" si="66"/>
        <v>21</v>
      </c>
      <c r="MG34" s="17">
        <f t="shared" si="66"/>
        <v>22</v>
      </c>
      <c r="MH34" s="17">
        <f t="shared" si="66"/>
        <v>23</v>
      </c>
      <c r="MI34" s="17">
        <f t="shared" si="66"/>
        <v>24</v>
      </c>
      <c r="MJ34" s="17">
        <f t="shared" si="66"/>
        <v>25</v>
      </c>
      <c r="MK34" s="17">
        <f t="shared" si="66"/>
        <v>26</v>
      </c>
      <c r="ML34" s="17">
        <f t="shared" si="66"/>
        <v>27</v>
      </c>
      <c r="MM34" s="17">
        <f t="shared" si="66"/>
        <v>28</v>
      </c>
      <c r="MN34" s="17">
        <f t="shared" si="66"/>
        <v>29</v>
      </c>
      <c r="MO34" s="17">
        <f t="shared" si="66"/>
        <v>30</v>
      </c>
      <c r="MP34" s="17">
        <f t="shared" si="66"/>
        <v>31</v>
      </c>
      <c r="MQ34" s="17">
        <f t="shared" si="66"/>
        <v>32</v>
      </c>
      <c r="MR34" s="17">
        <f t="shared" si="66"/>
        <v>33</v>
      </c>
      <c r="MS34" s="17">
        <f t="shared" si="66"/>
        <v>34</v>
      </c>
      <c r="MT34" s="17">
        <f t="shared" si="66"/>
        <v>35</v>
      </c>
      <c r="MU34" s="17">
        <f t="shared" si="66"/>
        <v>36</v>
      </c>
      <c r="MV34" s="17">
        <f t="shared" si="66"/>
        <v>37</v>
      </c>
      <c r="MW34" s="17">
        <f t="shared" si="66"/>
        <v>38</v>
      </c>
      <c r="MX34" s="17">
        <f t="shared" si="66"/>
        <v>39</v>
      </c>
      <c r="MY34" s="17">
        <f t="shared" si="66"/>
        <v>40</v>
      </c>
      <c r="MZ34" s="17">
        <f t="shared" si="66"/>
        <v>41</v>
      </c>
      <c r="NA34" s="17">
        <f t="shared" si="66"/>
        <v>42</v>
      </c>
      <c r="NB34" s="17">
        <f t="shared" si="66"/>
        <v>43</v>
      </c>
      <c r="NC34" s="17">
        <f t="shared" si="66"/>
        <v>44</v>
      </c>
      <c r="ND34" s="17">
        <f t="shared" si="66"/>
        <v>45</v>
      </c>
      <c r="NE34" s="17">
        <f t="shared" si="66"/>
        <v>46</v>
      </c>
      <c r="NF34" s="17">
        <f t="shared" si="66"/>
        <v>47</v>
      </c>
      <c r="NG34" s="17">
        <f t="shared" si="66"/>
        <v>48</v>
      </c>
      <c r="NH34" s="17">
        <f t="shared" si="66"/>
        <v>49</v>
      </c>
      <c r="NI34" s="17">
        <f t="shared" si="66"/>
        <v>50</v>
      </c>
      <c r="NJ34" s="17">
        <f t="shared" si="66"/>
        <v>50</v>
      </c>
      <c r="NK34" s="17">
        <f t="shared" si="66"/>
        <v>50</v>
      </c>
      <c r="NL34" s="17">
        <f t="shared" si="66"/>
        <v>50</v>
      </c>
      <c r="NM34" s="17">
        <f t="shared" si="66"/>
        <v>50</v>
      </c>
      <c r="NN34" s="17">
        <f t="shared" si="66"/>
        <v>50</v>
      </c>
      <c r="NO34" s="17">
        <f t="shared" si="66"/>
        <v>50</v>
      </c>
      <c r="NP34" s="17">
        <f t="shared" si="66"/>
        <v>50</v>
      </c>
      <c r="NQ34" s="17">
        <f t="shared" si="66"/>
        <v>50</v>
      </c>
      <c r="NR34" s="17">
        <f t="shared" si="66"/>
        <v>50</v>
      </c>
      <c r="NS34" s="17">
        <f t="shared" si="66"/>
        <v>50</v>
      </c>
      <c r="NT34" s="17">
        <f t="shared" si="66"/>
        <v>50</v>
      </c>
      <c r="NU34" s="17">
        <f t="shared" si="66"/>
        <v>50</v>
      </c>
      <c r="NV34" s="17">
        <f t="shared" si="66"/>
        <v>50</v>
      </c>
      <c r="NW34" s="17">
        <f t="shared" si="66"/>
        <v>50</v>
      </c>
      <c r="NX34" s="17">
        <f t="shared" ref="NX34:PG34" si="67">IF(NW34=$H34,NW34,NW34+1)</f>
        <v>50</v>
      </c>
      <c r="NY34" s="17">
        <f t="shared" si="67"/>
        <v>50</v>
      </c>
      <c r="NZ34" s="17">
        <f t="shared" si="67"/>
        <v>50</v>
      </c>
      <c r="OA34" s="17">
        <f t="shared" si="67"/>
        <v>50</v>
      </c>
      <c r="OB34" s="17">
        <f t="shared" si="67"/>
        <v>50</v>
      </c>
      <c r="OC34" s="17">
        <f t="shared" si="67"/>
        <v>50</v>
      </c>
      <c r="OD34" s="17">
        <f t="shared" si="67"/>
        <v>50</v>
      </c>
      <c r="OE34" s="17">
        <f t="shared" si="67"/>
        <v>50</v>
      </c>
      <c r="OF34" s="17">
        <f t="shared" si="67"/>
        <v>50</v>
      </c>
      <c r="OG34" s="17">
        <f t="shared" si="67"/>
        <v>50</v>
      </c>
      <c r="OH34" s="17">
        <f t="shared" si="67"/>
        <v>50</v>
      </c>
      <c r="OI34" s="17">
        <f t="shared" si="67"/>
        <v>50</v>
      </c>
      <c r="OJ34" s="17">
        <f t="shared" si="67"/>
        <v>50</v>
      </c>
      <c r="OK34" s="17">
        <f t="shared" si="67"/>
        <v>50</v>
      </c>
      <c r="OL34" s="17">
        <f t="shared" si="67"/>
        <v>50</v>
      </c>
      <c r="OM34" s="17">
        <f t="shared" si="67"/>
        <v>50</v>
      </c>
      <c r="ON34" s="17">
        <f t="shared" si="67"/>
        <v>50</v>
      </c>
      <c r="OO34" s="17">
        <f t="shared" si="67"/>
        <v>50</v>
      </c>
      <c r="OP34" s="17">
        <f t="shared" si="67"/>
        <v>50</v>
      </c>
      <c r="OQ34" s="17">
        <f t="shared" si="67"/>
        <v>50</v>
      </c>
      <c r="OR34" s="17">
        <f t="shared" si="67"/>
        <v>50</v>
      </c>
      <c r="OS34" s="17">
        <f t="shared" si="67"/>
        <v>50</v>
      </c>
      <c r="OT34" s="17">
        <f t="shared" si="67"/>
        <v>50</v>
      </c>
      <c r="OU34" s="17">
        <f t="shared" si="67"/>
        <v>50</v>
      </c>
      <c r="OV34" s="17">
        <f t="shared" si="67"/>
        <v>50</v>
      </c>
      <c r="OW34" s="17">
        <f t="shared" si="67"/>
        <v>50</v>
      </c>
      <c r="OX34" s="17">
        <f t="shared" si="67"/>
        <v>50</v>
      </c>
      <c r="OY34" s="17">
        <f t="shared" si="67"/>
        <v>50</v>
      </c>
      <c r="OZ34" s="17">
        <f t="shared" si="67"/>
        <v>50</v>
      </c>
      <c r="PA34" s="17">
        <f t="shared" si="67"/>
        <v>50</v>
      </c>
      <c r="PB34" s="17">
        <f t="shared" si="67"/>
        <v>50</v>
      </c>
      <c r="PC34" s="17">
        <f t="shared" si="67"/>
        <v>50</v>
      </c>
      <c r="PD34" s="17">
        <f t="shared" si="67"/>
        <v>50</v>
      </c>
      <c r="PE34" s="17">
        <f t="shared" si="67"/>
        <v>50</v>
      </c>
      <c r="PF34" s="17">
        <f t="shared" si="67"/>
        <v>50</v>
      </c>
      <c r="PG34" s="17">
        <f t="shared" si="67"/>
        <v>50</v>
      </c>
    </row>
    <row r="35" spans="1:423" x14ac:dyDescent="0.25">
      <c r="A35" s="8" t="s">
        <v>5454</v>
      </c>
      <c r="B35" s="9" t="s">
        <v>8507</v>
      </c>
      <c r="C35" s="9" t="str">
        <f t="shared" si="0"/>
        <v>3Dames FFB</v>
      </c>
      <c r="D35" s="1" t="str">
        <f t="shared" si="1"/>
        <v>3 Bandes Dames FFB</v>
      </c>
      <c r="E35" s="1" t="s">
        <v>8498</v>
      </c>
      <c r="F35" s="9" t="s">
        <v>5452</v>
      </c>
      <c r="G35" s="9">
        <v>20</v>
      </c>
      <c r="H35" s="9">
        <v>50</v>
      </c>
      <c r="I35" s="127">
        <v>2.8</v>
      </c>
      <c r="J35" s="30"/>
      <c r="K35" s="10"/>
      <c r="L35" s="8">
        <v>0.36</v>
      </c>
      <c r="M35" s="9"/>
      <c r="N35" s="10"/>
      <c r="O35" s="269"/>
      <c r="P35" s="331"/>
      <c r="Q35" s="335"/>
      <c r="R35" s="128"/>
      <c r="S35" s="9"/>
      <c r="T35" s="10"/>
      <c r="U35" t="s">
        <v>5523</v>
      </c>
      <c r="V35" s="17">
        <v>0</v>
      </c>
      <c r="W35" s="17">
        <f>IF(Distances[[#This Row],[Colonne4]]=$G35,V35,Distances[[#This Row],[Colonne4]]+1)</f>
        <v>1</v>
      </c>
      <c r="X35" s="17">
        <f>IF(Distances[[#This Row],[Colonne5]]=$G35,W35,Distances[[#This Row],[Colonne5]]+1)</f>
        <v>2</v>
      </c>
      <c r="Y35" s="17">
        <f>IF(Distances[[#This Row],[Colonne6]]=$G35,X35,Distances[[#This Row],[Colonne6]]+1)</f>
        <v>3</v>
      </c>
      <c r="Z35" s="17">
        <f>IF(Distances[[#This Row],[Colonne7]]=$G35,Y35,Distances[[#This Row],[Colonne7]]+1)</f>
        <v>4</v>
      </c>
      <c r="AA35" s="17">
        <f>IF(Distances[[#This Row],[Colonne8]]=$G35,Z35,Distances[[#This Row],[Colonne8]]+1)</f>
        <v>5</v>
      </c>
      <c r="AB35" s="17">
        <f>IF(Distances[[#This Row],[Colonne9]]=$G35,AA35,Distances[[#This Row],[Colonne9]]+1)</f>
        <v>6</v>
      </c>
      <c r="AC35" s="17">
        <f>IF(Distances[[#This Row],[Colonne10]]=$G35,AB35,Distances[[#This Row],[Colonne10]]+1)</f>
        <v>7</v>
      </c>
      <c r="AD35" s="17">
        <f>IF(Distances[[#This Row],[Colonne11]]=$G35,AC35,Distances[[#This Row],[Colonne11]]+1)</f>
        <v>8</v>
      </c>
      <c r="AE35" s="17">
        <f>IF(Distances[[#This Row],[Colonne12]]=$G35,AD35,Distances[[#This Row],[Colonne12]]+1)</f>
        <v>9</v>
      </c>
      <c r="AF35" s="17">
        <f>IF(Distances[[#This Row],[Colonne13]]=$G35,AE35,Distances[[#This Row],[Colonne13]]+1)</f>
        <v>10</v>
      </c>
      <c r="AG35" s="17">
        <f>IF(Distances[[#This Row],[Colonne14]]=$G35,AF35,Distances[[#This Row],[Colonne14]]+1)</f>
        <v>11</v>
      </c>
      <c r="AH35" s="17">
        <f>IF(Distances[[#This Row],[Colonne15]]=$G35,AG35,Distances[[#This Row],[Colonne15]]+1)</f>
        <v>12</v>
      </c>
      <c r="AI35" s="17">
        <f>IF(Distances[[#This Row],[Colonne16]]=$G35,AH35,Distances[[#This Row],[Colonne16]]+1)</f>
        <v>13</v>
      </c>
      <c r="AJ35" s="17">
        <f>IF(Distances[[#This Row],[Colonne17]]=$G35,AI35,Distances[[#This Row],[Colonne17]]+1)</f>
        <v>14</v>
      </c>
      <c r="AK35" s="17">
        <f>IF(Distances[[#This Row],[Colonne18]]=$G35,AJ35,Distances[[#This Row],[Colonne18]]+1)</f>
        <v>15</v>
      </c>
      <c r="AL35" s="17">
        <f>IF(Distances[[#This Row],[Colonne19]]=$G35,AK35,Distances[[#This Row],[Colonne19]]+1)</f>
        <v>16</v>
      </c>
      <c r="AM35" s="17">
        <f>IF(Distances[[#This Row],[Colonne20]]=$G35,AL35,Distances[[#This Row],[Colonne20]]+1)</f>
        <v>17</v>
      </c>
      <c r="AN35" s="17">
        <f>IF(Distances[[#This Row],[Colonne21]]=$G35,AM35,Distances[[#This Row],[Colonne21]]+1)</f>
        <v>18</v>
      </c>
      <c r="AO35" s="17">
        <f>IF(Distances[[#This Row],[Colonne22]]=$G35,AN35,Distances[[#This Row],[Colonne22]]+1)</f>
        <v>19</v>
      </c>
      <c r="AP35" s="17">
        <f>IF(Distances[[#This Row],[Colonne23]]=$G35,AO35,Distances[[#This Row],[Colonne23]]+1)</f>
        <v>20</v>
      </c>
      <c r="AQ35" s="17">
        <f>IF(Distances[[#This Row],[Colonne24]]=$G35,AP35,Distances[[#This Row],[Colonne24]]+1)</f>
        <v>20</v>
      </c>
      <c r="AR35" s="17">
        <f>IF(Distances[[#This Row],[Colonne25]]=$G35,AQ35,Distances[[#This Row],[Colonne25]]+1)</f>
        <v>20</v>
      </c>
      <c r="AS35" s="17">
        <f>IF(Distances[[#This Row],[Colonne26]]=$G35,AR35,Distances[[#This Row],[Colonne26]]+1)</f>
        <v>20</v>
      </c>
      <c r="AT35" s="17">
        <f>IF(Distances[[#This Row],[Colonne27]]=$G35,AS35,Distances[[#This Row],[Colonne27]]+1)</f>
        <v>20</v>
      </c>
      <c r="AU35" s="17">
        <f>IF(Distances[[#This Row],[Colonne28]]=$G35,AT35,Distances[[#This Row],[Colonne28]]+1)</f>
        <v>20</v>
      </c>
      <c r="AV35" s="17">
        <f>IF(Distances[[#This Row],[Colonne29]]=$G35,AU35,Distances[[#This Row],[Colonne29]]+1)</f>
        <v>20</v>
      </c>
      <c r="AW35" s="17">
        <f>IF(Distances[[#This Row],[Colonne30]]=$G35,AV35,Distances[[#This Row],[Colonne30]]+1)</f>
        <v>20</v>
      </c>
      <c r="AX35" s="17">
        <f>IF(Distances[[#This Row],[Colonne31]]=$G35,AW35,Distances[[#This Row],[Colonne31]]+1)</f>
        <v>20</v>
      </c>
      <c r="AY35" s="17">
        <f>IF(Distances[[#This Row],[Colonne32]]=$G35,AX35,Distances[[#This Row],[Colonne32]]+1)</f>
        <v>20</v>
      </c>
      <c r="AZ35" s="17">
        <f>IF(Distances[[#This Row],[Colonne33]]=$G35,AY35,Distances[[#This Row],[Colonne33]]+1)</f>
        <v>20</v>
      </c>
      <c r="BA35" s="17">
        <f>IF(Distances[[#This Row],[Colonne34]]=$G35,AZ35,Distances[[#This Row],[Colonne34]]+1)</f>
        <v>20</v>
      </c>
      <c r="BB35" s="17">
        <f>IF(Distances[[#This Row],[Colonne35]]=$G35,BA35,Distances[[#This Row],[Colonne35]]+1)</f>
        <v>20</v>
      </c>
      <c r="BC35" s="17">
        <f>IF(Distances[[#This Row],[Colonne36]]=$G35,BB35,Distances[[#This Row],[Colonne36]]+1)</f>
        <v>20</v>
      </c>
      <c r="BD35" s="17">
        <f>IF(Distances[[#This Row],[Colonne37]]=$G35,BC35,Distances[[#This Row],[Colonne37]]+1)</f>
        <v>20</v>
      </c>
      <c r="BE35" s="17">
        <f>IF(Distances[[#This Row],[Colonne38]]=$G35,BD35,Distances[[#This Row],[Colonne38]]+1)</f>
        <v>20</v>
      </c>
      <c r="BF35" s="17">
        <f>IF(Distances[[#This Row],[Colonne39]]=$G35,BE35,Distances[[#This Row],[Colonne39]]+1)</f>
        <v>20</v>
      </c>
      <c r="BG35" s="17">
        <f>IF(Distances[[#This Row],[Colonne40]]=$G35,BF35,Distances[[#This Row],[Colonne40]]+1)</f>
        <v>20</v>
      </c>
      <c r="BH35" s="17">
        <f>IF(Distances[[#This Row],[Colonne41]]=$G35,BG35,Distances[[#This Row],[Colonne41]]+1)</f>
        <v>20</v>
      </c>
      <c r="BI35" s="17">
        <f>IF(Distances[[#This Row],[Colonne42]]=$G35,BH35,Distances[[#This Row],[Colonne42]]+1)</f>
        <v>20</v>
      </c>
      <c r="BJ35" s="17">
        <f>IF(Distances[[#This Row],[Colonne43]]=$G35,BI35,Distances[[#This Row],[Colonne43]]+1)</f>
        <v>20</v>
      </c>
      <c r="BK35" s="17">
        <f>IF(Distances[[#This Row],[Colonne44]]=$G35,BJ35,Distances[[#This Row],[Colonne44]]+1)</f>
        <v>20</v>
      </c>
      <c r="BL35" s="17">
        <f>IF(Distances[[#This Row],[Colonne45]]=$G35,BK35,Distances[[#This Row],[Colonne45]]+1)</f>
        <v>20</v>
      </c>
      <c r="BM35" s="17">
        <f>IF(Distances[[#This Row],[Colonne46]]=$G35,BL35,Distances[[#This Row],[Colonne46]]+1)</f>
        <v>20</v>
      </c>
      <c r="BN35" s="17">
        <f>IF(Distances[[#This Row],[Colonne47]]=$G35,BM35,Distances[[#This Row],[Colonne47]]+1)</f>
        <v>20</v>
      </c>
      <c r="BO35" s="17">
        <f>IF(Distances[[#This Row],[Colonne48]]=$G35,BN35,Distances[[#This Row],[Colonne48]]+1)</f>
        <v>20</v>
      </c>
      <c r="BP35" s="17">
        <f>IF(Distances[[#This Row],[Colonne49]]=$G35,BO35,Distances[[#This Row],[Colonne49]]+1)</f>
        <v>20</v>
      </c>
      <c r="BQ35" s="17">
        <f>IF(Distances[[#This Row],[Colonne50]]=$G35,BP35,Distances[[#This Row],[Colonne50]]+1)</f>
        <v>20</v>
      </c>
      <c r="BR35" s="17">
        <f>IF(Distances[[#This Row],[Colonne51]]=$G35,BQ35,Distances[[#This Row],[Colonne51]]+1)</f>
        <v>20</v>
      </c>
      <c r="BS35" s="17">
        <f>IF(Distances[[#This Row],[Colonne52]]=$G35,BR35,Distances[[#This Row],[Colonne52]]+1)</f>
        <v>20</v>
      </c>
      <c r="BT35" s="17">
        <f>IF(Distances[[#This Row],[Colonne53]]=$G35,BS35,Distances[[#This Row],[Colonne53]]+1)</f>
        <v>20</v>
      </c>
      <c r="BU35" s="17">
        <f>IF(Distances[[#This Row],[Colonne54]]=$G35,BT35,Distances[[#This Row],[Colonne54]]+1)</f>
        <v>20</v>
      </c>
      <c r="BV35" s="17">
        <f>IF(Distances[[#This Row],[Colonne55]]=$G35,BU35,Distances[[#This Row],[Colonne55]]+1)</f>
        <v>20</v>
      </c>
      <c r="BW35" s="17">
        <f>IF(Distances[[#This Row],[Colonne56]]=$G35,BV35,Distances[[#This Row],[Colonne56]]+1)</f>
        <v>20</v>
      </c>
      <c r="BX35" s="17">
        <f>IF(Distances[[#This Row],[Colonne57]]=$G35,BW35,Distances[[#This Row],[Colonne57]]+1)</f>
        <v>20</v>
      </c>
      <c r="BY35" s="17">
        <f>IF(Distances[[#This Row],[Colonne58]]=$G35,BX35,Distances[[#This Row],[Colonne58]]+1)</f>
        <v>20</v>
      </c>
      <c r="BZ35" s="17">
        <f>IF(Distances[[#This Row],[Colonne59]]=$G35,BY35,Distances[[#This Row],[Colonne59]]+1)</f>
        <v>20</v>
      </c>
      <c r="CA35" s="17">
        <f>IF(Distances[[#This Row],[Colonne60]]=$G35,BZ35,Distances[[#This Row],[Colonne60]]+1)</f>
        <v>20</v>
      </c>
      <c r="CB35" s="17">
        <f>IF(Distances[[#This Row],[Colonne61]]=$G35,CA35,Distances[[#This Row],[Colonne61]]+1)</f>
        <v>20</v>
      </c>
      <c r="CC35" s="17">
        <f>IF(Distances[[#This Row],[Colonne62]]=$G35,CB35,Distances[[#This Row],[Colonne62]]+1)</f>
        <v>20</v>
      </c>
      <c r="CD35" s="17">
        <f>IF(Distances[[#This Row],[Colonne63]]=$G35,CC35,Distances[[#This Row],[Colonne63]]+1)</f>
        <v>20</v>
      </c>
      <c r="CE35" s="17">
        <f>IF(Distances[[#This Row],[Colonne64]]=$G35,CD35,Distances[[#This Row],[Colonne64]]+1)</f>
        <v>20</v>
      </c>
      <c r="CF35" s="17">
        <f>IF(Distances[[#This Row],[Colonne65]]=$G35,CE35,Distances[[#This Row],[Colonne65]]+1)</f>
        <v>20</v>
      </c>
      <c r="CG35" s="17">
        <f>IF(Distances[[#This Row],[Colonne66]]=$G35,CF35,Distances[[#This Row],[Colonne66]]+1)</f>
        <v>20</v>
      </c>
      <c r="CH35" s="17">
        <f>IF(Distances[[#This Row],[Colonne67]]=$G35,CG35,Distances[[#This Row],[Colonne67]]+1)</f>
        <v>20</v>
      </c>
      <c r="CI35" s="17">
        <f>IF(Distances[[#This Row],[Colonne68]]=$G35,CH35,Distances[[#This Row],[Colonne68]]+1)</f>
        <v>20</v>
      </c>
      <c r="CJ35" s="17">
        <f>IF(Distances[[#This Row],[Colonne69]]=$G35,CI35,Distances[[#This Row],[Colonne69]]+1)</f>
        <v>20</v>
      </c>
      <c r="CK35" s="17">
        <f>IF(Distances[[#This Row],[Colonne70]]=$G35,CJ35,Distances[[#This Row],[Colonne70]]+1)</f>
        <v>20</v>
      </c>
      <c r="CL35" s="17">
        <f>IF(Distances[[#This Row],[Colonne71]]=$G35,CK35,Distances[[#This Row],[Colonne71]]+1)</f>
        <v>20</v>
      </c>
      <c r="CM35" s="17">
        <f>IF(Distances[[#This Row],[Colonne72]]=$G35,CL35,Distances[[#This Row],[Colonne72]]+1)</f>
        <v>20</v>
      </c>
      <c r="CN35" s="17">
        <f>IF(Distances[[#This Row],[Colonne73]]=$G35,CM35,Distances[[#This Row],[Colonne73]]+1)</f>
        <v>20</v>
      </c>
      <c r="CO35" s="17">
        <f>IF(Distances[[#This Row],[Colonne74]]=$G35,CN35,Distances[[#This Row],[Colonne74]]+1)</f>
        <v>20</v>
      </c>
      <c r="CP35" s="17">
        <f>IF(Distances[[#This Row],[Colonne75]]=$G35,CO35,Distances[[#This Row],[Colonne75]]+1)</f>
        <v>20</v>
      </c>
      <c r="CQ35" s="17">
        <f>IF(Distances[[#This Row],[Colonne76]]=$G35,CP35,Distances[[#This Row],[Colonne76]]+1)</f>
        <v>20</v>
      </c>
      <c r="CR35" s="17">
        <f>IF(Distances[[#This Row],[Colonne77]]=$G35,CQ35,Distances[[#This Row],[Colonne77]]+1)</f>
        <v>20</v>
      </c>
      <c r="CS35" s="17">
        <f>IF(Distances[[#This Row],[Colonne78]]=$G35,CR35,Distances[[#This Row],[Colonne78]]+1)</f>
        <v>20</v>
      </c>
      <c r="CT35" s="17">
        <f>IF(Distances[[#This Row],[Colonne79]]=$G35,CS35,Distances[[#This Row],[Colonne79]]+1)</f>
        <v>20</v>
      </c>
      <c r="CU35" s="17">
        <f>IF(Distances[[#This Row],[Colonne80]]=$G35,CT35,Distances[[#This Row],[Colonne80]]+1)</f>
        <v>20</v>
      </c>
      <c r="CV35" s="17">
        <f>IF(Distances[[#This Row],[Colonne81]]=$G35,CU35,Distances[[#This Row],[Colonne81]]+1)</f>
        <v>20</v>
      </c>
      <c r="CW35" s="17">
        <f>IF(Distances[[#This Row],[Colonne82]]=$G35,CV35,Distances[[#This Row],[Colonne82]]+1)</f>
        <v>20</v>
      </c>
      <c r="CX35" s="17">
        <f>IF(Distances[[#This Row],[Colonne83]]=$G35,CW35,Distances[[#This Row],[Colonne83]]+1)</f>
        <v>20</v>
      </c>
      <c r="CY35" s="17">
        <f>IF(Distances[[#This Row],[Colonne84]]=$G35,CX35,Distances[[#This Row],[Colonne84]]+1)</f>
        <v>20</v>
      </c>
      <c r="CZ35" s="17">
        <f>IF(Distances[[#This Row],[Colonne85]]=$G35,CY35,Distances[[#This Row],[Colonne85]]+1)</f>
        <v>20</v>
      </c>
      <c r="DA35" s="17">
        <f>IF(Distances[[#This Row],[Colonne86]]=$G35,CZ35,Distances[[#This Row],[Colonne86]]+1)</f>
        <v>20</v>
      </c>
      <c r="DB35" s="17">
        <f>IF(Distances[[#This Row],[Colonne87]]=$G35,DA35,Distances[[#This Row],[Colonne87]]+1)</f>
        <v>20</v>
      </c>
      <c r="DC35" s="17">
        <f>IF(Distances[[#This Row],[Colonne88]]=$G35,DB35,Distances[[#This Row],[Colonne88]]+1)</f>
        <v>20</v>
      </c>
      <c r="DD35" s="17">
        <f>IF(Distances[[#This Row],[Colonne89]]=$G35,DC35,Distances[[#This Row],[Colonne89]]+1)</f>
        <v>20</v>
      </c>
      <c r="DE35" s="17">
        <f>IF(Distances[[#This Row],[Colonne90]]=$G35,DD35,Distances[[#This Row],[Colonne90]]+1)</f>
        <v>20</v>
      </c>
      <c r="DF35" s="17">
        <f>IF(Distances[[#This Row],[Colonne91]]=$G35,DE35,Distances[[#This Row],[Colonne91]]+1)</f>
        <v>20</v>
      </c>
      <c r="DG35" s="17">
        <f>IF(Distances[[#This Row],[Colonne92]]=$G35,DF35,Distances[[#This Row],[Colonne92]]+1)</f>
        <v>20</v>
      </c>
      <c r="DH35" s="17">
        <f>IF(Distances[[#This Row],[Colonne93]]=$G35,DG35,Distances[[#This Row],[Colonne93]]+1)</f>
        <v>20</v>
      </c>
      <c r="DI35" s="17">
        <f>IF(Distances[[#This Row],[Colonne94]]=$G35,DH35,Distances[[#This Row],[Colonne94]]+1)</f>
        <v>20</v>
      </c>
      <c r="DJ35" s="17">
        <f>IF(Distances[[#This Row],[Colonne95]]=$G35,DI35,Distances[[#This Row],[Colonne95]]+1)</f>
        <v>20</v>
      </c>
      <c r="DK35" s="17">
        <f>IF(Distances[[#This Row],[Colonne96]]=$G35,DJ35,Distances[[#This Row],[Colonne96]]+1)</f>
        <v>20</v>
      </c>
      <c r="DL35" s="17">
        <f>IF(Distances[[#This Row],[Colonne97]]=$G35,DK35,Distances[[#This Row],[Colonne97]]+1)</f>
        <v>20</v>
      </c>
      <c r="DM35" s="17">
        <f>IF(Distances[[#This Row],[Colonne98]]=$G35,DL35,Distances[[#This Row],[Colonne98]]+1)</f>
        <v>20</v>
      </c>
      <c r="DN35" s="17">
        <f>IF(Distances[[#This Row],[Colonne99]]=$G35,DM35,Distances[[#This Row],[Colonne99]]+1)</f>
        <v>20</v>
      </c>
      <c r="DO35" s="17">
        <f>IF(Distances[[#This Row],[Colonne100]]=$G35,DN35,Distances[[#This Row],[Colonne100]]+1)</f>
        <v>20</v>
      </c>
      <c r="DP35" s="17">
        <f>IF(Distances[[#This Row],[Colonne101]]=$G35,DO35,Distances[[#This Row],[Colonne101]]+1)</f>
        <v>20</v>
      </c>
      <c r="DQ35" s="17">
        <f>IF(Distances[[#This Row],[Colonne102]]=$G35,DP35,Distances[[#This Row],[Colonne102]]+1)</f>
        <v>20</v>
      </c>
      <c r="DR35" s="17">
        <f>IF(Distances[[#This Row],[Colonne103]]=$G35,DQ35,Distances[[#This Row],[Colonne103]]+1)</f>
        <v>20</v>
      </c>
      <c r="DS35" s="17">
        <f>IF(Distances[[#This Row],[Colonne104]]=$G35,DR35,Distances[[#This Row],[Colonne104]]+1)</f>
        <v>20</v>
      </c>
      <c r="DT35" s="17">
        <f>IF(Distances[[#This Row],[Colonne105]]=$G35,DS35,Distances[[#This Row],[Colonne105]]+1)</f>
        <v>20</v>
      </c>
      <c r="DU35" s="17">
        <f>IF(Distances[[#This Row],[Colonne106]]=$G35,DT35,Distances[[#This Row],[Colonne106]]+1)</f>
        <v>20</v>
      </c>
      <c r="DV35" s="17">
        <f>IF(Distances[[#This Row],[Colonne107]]=$G35,DU35,Distances[[#This Row],[Colonne107]]+1)</f>
        <v>20</v>
      </c>
      <c r="DW35" s="17">
        <f>IF(Distances[[#This Row],[Colonne108]]=$G35,DV35,Distances[[#This Row],[Colonne108]]+1)</f>
        <v>20</v>
      </c>
      <c r="DX35" s="17">
        <f>IF(Distances[[#This Row],[Colonne109]]=$G35,DW35,Distances[[#This Row],[Colonne109]]+1)</f>
        <v>20</v>
      </c>
      <c r="DY35" s="17">
        <f>IF(Distances[[#This Row],[Colonne110]]=$G35,DX35,Distances[[#This Row],[Colonne110]]+1)</f>
        <v>20</v>
      </c>
      <c r="DZ35" s="17">
        <f>IF(Distances[[#This Row],[Colonne111]]=$G35,DY35,Distances[[#This Row],[Colonne111]]+1)</f>
        <v>20</v>
      </c>
      <c r="EA35" s="17">
        <f>IF(Distances[[#This Row],[Colonne112]]=$G35,DZ35,Distances[[#This Row],[Colonne112]]+1)</f>
        <v>20</v>
      </c>
      <c r="EB35" s="17">
        <f>IF(Distances[[#This Row],[Colonne113]]=$G35,EA35,Distances[[#This Row],[Colonne113]]+1)</f>
        <v>20</v>
      </c>
      <c r="EC35" s="17">
        <f>IF(Distances[[#This Row],[Colonne114]]=$G35,EB35,Distances[[#This Row],[Colonne114]]+1)</f>
        <v>20</v>
      </c>
      <c r="ED35" s="17">
        <f>IF(Distances[[#This Row],[Colonne115]]=$G35,EC35,Distances[[#This Row],[Colonne115]]+1)</f>
        <v>20</v>
      </c>
      <c r="EE35" s="17">
        <f>IF(Distances[[#This Row],[Colonne116]]=$G35,ED35,Distances[[#This Row],[Colonne116]]+1)</f>
        <v>20</v>
      </c>
      <c r="EF35" s="17">
        <f>IF(Distances[[#This Row],[Colonne117]]=$G35,EE35,Distances[[#This Row],[Colonne117]]+1)</f>
        <v>20</v>
      </c>
      <c r="EG35" s="17">
        <f>IF(Distances[[#This Row],[Colonne118]]=$G35,EF35,Distances[[#This Row],[Colonne118]]+1)</f>
        <v>20</v>
      </c>
      <c r="EH35" s="17">
        <f>IF(Distances[[#This Row],[Colonne119]]=$G35,EG35,Distances[[#This Row],[Colonne119]]+1)</f>
        <v>20</v>
      </c>
      <c r="EI35" s="17">
        <f>IF(Distances[[#This Row],[Colonne120]]=$G35,EH35,Distances[[#This Row],[Colonne120]]+1)</f>
        <v>20</v>
      </c>
      <c r="EJ35" s="17">
        <f>IF(Distances[[#This Row],[Colonne121]]=$G35,EI35,Distances[[#This Row],[Colonne121]]+1)</f>
        <v>20</v>
      </c>
      <c r="EK35" s="17">
        <f>IF(Distances[[#This Row],[Colonne122]]=$G35,EJ35,Distances[[#This Row],[Colonne122]]+1)</f>
        <v>20</v>
      </c>
      <c r="EL35" s="17">
        <f>IF(Distances[[#This Row],[Colonne123]]=$G35,EK35,Distances[[#This Row],[Colonne123]]+1)</f>
        <v>20</v>
      </c>
      <c r="EM35" s="17">
        <f>IF(Distances[[#This Row],[Colonne124]]=$G35,EL35,Distances[[#This Row],[Colonne124]]+1)</f>
        <v>20</v>
      </c>
      <c r="EN35" s="17">
        <f>IF(Distances[[#This Row],[Colonne125]]=$G35,EM35,Distances[[#This Row],[Colonne125]]+1)</f>
        <v>20</v>
      </c>
      <c r="EO35" s="17">
        <f>IF(Distances[[#This Row],[Colonne126]]=$G35,EN35,Distances[[#This Row],[Colonne126]]+1)</f>
        <v>20</v>
      </c>
      <c r="EP35" s="17">
        <f>IF(Distances[[#This Row],[Colonne127]]=$G35,EO35,Distances[[#This Row],[Colonne127]]+1)</f>
        <v>20</v>
      </c>
      <c r="EQ35" s="17">
        <f>IF(Distances[[#This Row],[Colonne128]]=$G35,EP35,Distances[[#This Row],[Colonne128]]+1)</f>
        <v>20</v>
      </c>
      <c r="ER35" s="17">
        <f>IF(Distances[[#This Row],[Colonne129]]=$G35,EQ35,Distances[[#This Row],[Colonne129]]+1)</f>
        <v>20</v>
      </c>
      <c r="ES35" s="17">
        <f>IF(Distances[[#This Row],[Colonne130]]=$G35,ER35,Distances[[#This Row],[Colonne130]]+1)</f>
        <v>20</v>
      </c>
      <c r="ET35" s="17">
        <f>IF(Distances[[#This Row],[Colonne131]]=$G35,ES35,Distances[[#This Row],[Colonne131]]+1)</f>
        <v>20</v>
      </c>
      <c r="EU35" s="17">
        <f>IF(Distances[[#This Row],[Colonne132]]=$G35,ET35,Distances[[#This Row],[Colonne132]]+1)</f>
        <v>20</v>
      </c>
      <c r="EV35" s="17">
        <f>IF(Distances[[#This Row],[Colonne133]]=$G35,EU35,Distances[[#This Row],[Colonne133]]+1)</f>
        <v>20</v>
      </c>
      <c r="EW35" s="17">
        <f>IF(Distances[[#This Row],[Colonne134]]=$G35,EV35,Distances[[#This Row],[Colonne134]]+1)</f>
        <v>20</v>
      </c>
      <c r="EX35" s="17">
        <f>IF(Distances[[#This Row],[Colonne135]]=$G35,EW35,Distances[[#This Row],[Colonne135]]+1)</f>
        <v>20</v>
      </c>
      <c r="EY35" s="17">
        <f>IF(Distances[[#This Row],[Colonne136]]=$G35,EX35,Distances[[#This Row],[Colonne136]]+1)</f>
        <v>20</v>
      </c>
      <c r="EZ35" s="17">
        <f>IF(Distances[[#This Row],[Colonne137]]=$G35,EY35,Distances[[#This Row],[Colonne137]]+1)</f>
        <v>20</v>
      </c>
      <c r="FA35" s="17">
        <f>IF(Distances[[#This Row],[Colonne138]]=$G35,EZ35,Distances[[#This Row],[Colonne138]]+1)</f>
        <v>20</v>
      </c>
      <c r="FB35" s="17">
        <f>IF(Distances[[#This Row],[Colonne139]]=$G35,FA35,Distances[[#This Row],[Colonne139]]+1)</f>
        <v>20</v>
      </c>
      <c r="FC35" s="17">
        <f>IF(Distances[[#This Row],[Colonne140]]=$G35,FB35,Distances[[#This Row],[Colonne140]]+1)</f>
        <v>20</v>
      </c>
      <c r="FD35" s="17">
        <f>IF(Distances[[#This Row],[Colonne141]]=$G35,FC35,Distances[[#This Row],[Colonne141]]+1)</f>
        <v>20</v>
      </c>
      <c r="FE35" s="17">
        <f>IF(Distances[[#This Row],[Colonne142]]=$G35,FD35,Distances[[#This Row],[Colonne142]]+1)</f>
        <v>20</v>
      </c>
      <c r="FF35" s="17">
        <f>IF(Distances[[#This Row],[Colonne143]]=$G35,FE35,Distances[[#This Row],[Colonne143]]+1)</f>
        <v>20</v>
      </c>
      <c r="FG35" s="17">
        <f>IF(Distances[[#This Row],[Colonne144]]=$G35,FF35,Distances[[#This Row],[Colonne144]]+1)</f>
        <v>20</v>
      </c>
      <c r="FH35" s="17">
        <f>IF(Distances[[#This Row],[Colonne145]]=$G35,FG35,Distances[[#This Row],[Colonne145]]+1)</f>
        <v>20</v>
      </c>
      <c r="FI35" s="17">
        <f>IF(Distances[[#This Row],[Colonne146]]=$G35,FH35,Distances[[#This Row],[Colonne146]]+1)</f>
        <v>20</v>
      </c>
      <c r="FJ35" s="17">
        <f>IF(Distances[[#This Row],[Colonne147]]=$G35,FI35,Distances[[#This Row],[Colonne147]]+1)</f>
        <v>20</v>
      </c>
      <c r="FK35" s="17">
        <f>IF(Distances[[#This Row],[Colonne148]]=$G35,FJ35,Distances[[#This Row],[Colonne148]]+1)</f>
        <v>20</v>
      </c>
      <c r="FL35" s="17">
        <f>IF(Distances[[#This Row],[Colonne149]]=$G35,FK35,Distances[[#This Row],[Colonne149]]+1)</f>
        <v>20</v>
      </c>
      <c r="FM35" s="17">
        <f>IF(Distances[[#This Row],[Colonne150]]=$G35,FL35,Distances[[#This Row],[Colonne150]]+1)</f>
        <v>20</v>
      </c>
      <c r="FN35" s="17">
        <f>IF(Distances[[#This Row],[Colonne151]]=$G35,FM35,Distances[[#This Row],[Colonne151]]+1)</f>
        <v>20</v>
      </c>
      <c r="FO35" s="17">
        <f>IF(Distances[[#This Row],[Colonne152]]=$G35,FN35,Distances[[#This Row],[Colonne152]]+1)</f>
        <v>20</v>
      </c>
      <c r="FP35" s="17">
        <f>IF(Distances[[#This Row],[Colonne153]]=$G35,FO35,Distances[[#This Row],[Colonne153]]+1)</f>
        <v>20</v>
      </c>
      <c r="FQ35" s="17">
        <f>IF(Distances[[#This Row],[Colonne154]]=$G35,FP35,Distances[[#This Row],[Colonne154]]+1)</f>
        <v>20</v>
      </c>
      <c r="FR35" s="17">
        <f>IF(Distances[[#This Row],[Colonne155]]=$G35,FQ35,Distances[[#This Row],[Colonne155]]+1)</f>
        <v>20</v>
      </c>
      <c r="FS35" s="17">
        <f>IF(Distances[[#This Row],[Colonne156]]=$G35,FR35,Distances[[#This Row],[Colonne156]]+1)</f>
        <v>20</v>
      </c>
      <c r="FT35" s="17">
        <f>IF(Distances[[#This Row],[Colonne157]]=$G35,FS35,Distances[[#This Row],[Colonne157]]+1)</f>
        <v>20</v>
      </c>
      <c r="FU35" s="17">
        <f>IF(Distances[[#This Row],[Colonne158]]=$G35,FT35,Distances[[#This Row],[Colonne158]]+1)</f>
        <v>20</v>
      </c>
      <c r="FV35" s="17">
        <f>IF(Distances[[#This Row],[Colonne159]]=$G35,FU35,Distances[[#This Row],[Colonne159]]+1)</f>
        <v>20</v>
      </c>
      <c r="FW35" s="17">
        <f>IF(Distances[[#This Row],[Colonne160]]=$G35,FV35,Distances[[#This Row],[Colonne160]]+1)</f>
        <v>20</v>
      </c>
      <c r="FX35" s="17">
        <f>IF(Distances[[#This Row],[Colonne161]]=$G35,FW35,Distances[[#This Row],[Colonne161]]+1)</f>
        <v>20</v>
      </c>
      <c r="FY35" s="17">
        <f>IF(Distances[[#This Row],[Colonne162]]=$G35,FX35,Distances[[#This Row],[Colonne162]]+1)</f>
        <v>20</v>
      </c>
      <c r="FZ35" s="17">
        <f>IF(Distances[[#This Row],[Colonne163]]=$G35,FY35,Distances[[#This Row],[Colonne163]]+1)</f>
        <v>20</v>
      </c>
      <c r="GA35" s="17">
        <f>IF(Distances[[#This Row],[Colonne164]]=$G35,FZ35,Distances[[#This Row],[Colonne164]]+1)</f>
        <v>20</v>
      </c>
      <c r="GB35" s="17">
        <f>IF(Distances[[#This Row],[Colonne165]]=$G35,GA35,Distances[[#This Row],[Colonne165]]+1)</f>
        <v>20</v>
      </c>
      <c r="GC35" s="17">
        <f>IF(Distances[[#This Row],[Colonne166]]=$G35,GB35,Distances[[#This Row],[Colonne166]]+1)</f>
        <v>20</v>
      </c>
      <c r="GD35" s="17">
        <f>IF(Distances[[#This Row],[Colonne167]]=$G35,GC35,Distances[[#This Row],[Colonne167]]+1)</f>
        <v>20</v>
      </c>
      <c r="GE35" s="17">
        <f>IF(Distances[[#This Row],[Colonne168]]=$G35,GD35,Distances[[#This Row],[Colonne168]]+1)</f>
        <v>20</v>
      </c>
      <c r="GF35" s="17">
        <f>IF(Distances[[#This Row],[Colonne169]]=$G35,GE35,Distances[[#This Row],[Colonne169]]+1)</f>
        <v>20</v>
      </c>
      <c r="GG35" s="17">
        <f>IF(Distances[[#This Row],[Colonne170]]=$G35,GF35,Distances[[#This Row],[Colonne170]]+1)</f>
        <v>20</v>
      </c>
      <c r="GH35" s="17">
        <f>IF(Distances[[#This Row],[Colonne171]]=$G35,GG35,Distances[[#This Row],[Colonne171]]+1)</f>
        <v>20</v>
      </c>
      <c r="GI35" s="17">
        <f>IF(Distances[[#This Row],[Colonne172]]=$G35,GH35,Distances[[#This Row],[Colonne172]]+1)</f>
        <v>20</v>
      </c>
      <c r="GJ35" s="17">
        <f>IF(Distances[[#This Row],[Colonne173]]=$G35,GI35,Distances[[#This Row],[Colonne173]]+1)</f>
        <v>20</v>
      </c>
      <c r="GK35" s="17">
        <f>IF(Distances[[#This Row],[Colonne174]]=$G35,GJ35,Distances[[#This Row],[Colonne174]]+1)</f>
        <v>20</v>
      </c>
      <c r="GL35" s="17">
        <f>IF(Distances[[#This Row],[Colonne175]]=$G35,GK35,Distances[[#This Row],[Colonne175]]+1)</f>
        <v>20</v>
      </c>
      <c r="GM35" s="17">
        <f>IF(Distances[[#This Row],[Colonne176]]=$G35,GL35,Distances[[#This Row],[Colonne176]]+1)</f>
        <v>20</v>
      </c>
      <c r="GN35" s="17">
        <f>IF(Distances[[#This Row],[Colonne177]]=$G35,GM35,Distances[[#This Row],[Colonne177]]+1)</f>
        <v>20</v>
      </c>
      <c r="GO35" s="17">
        <f>IF(Distances[[#This Row],[Colonne178]]=$G35,GN35,Distances[[#This Row],[Colonne178]]+1)</f>
        <v>20</v>
      </c>
      <c r="GP35" s="17">
        <f>IF(Distances[[#This Row],[Colonne179]]=$G35,GO35,Distances[[#This Row],[Colonne179]]+1)</f>
        <v>20</v>
      </c>
      <c r="GQ35" s="17">
        <f>IF(Distances[[#This Row],[Colonne180]]=$G35,GP35,Distances[[#This Row],[Colonne180]]+1)</f>
        <v>20</v>
      </c>
      <c r="GR35" s="17">
        <f>IF(Distances[[#This Row],[Colonne181]]=$G35,GQ35,Distances[[#This Row],[Colonne181]]+1)</f>
        <v>20</v>
      </c>
      <c r="GS35" s="17">
        <f>IF(Distances[[#This Row],[Colonne182]]=$G35,GR35,Distances[[#This Row],[Colonne182]]+1)</f>
        <v>20</v>
      </c>
      <c r="GT35" s="17">
        <f>IF(Distances[[#This Row],[Colonne183]]=$G35,GS35,Distances[[#This Row],[Colonne183]]+1)</f>
        <v>20</v>
      </c>
      <c r="GU35" s="17">
        <f>IF(Distances[[#This Row],[Colonne184]]=$G35,GT35,Distances[[#This Row],[Colonne184]]+1)</f>
        <v>20</v>
      </c>
      <c r="GV35" s="17">
        <f>IF(Distances[[#This Row],[Colonne185]]=$G35,GU35,Distances[[#This Row],[Colonne185]]+1)</f>
        <v>20</v>
      </c>
      <c r="GW35" s="17">
        <f>IF(Distances[[#This Row],[Colonne186]]=$G35,GV35,Distances[[#This Row],[Colonne186]]+1)</f>
        <v>20</v>
      </c>
      <c r="GX35" s="17">
        <f>IF(Distances[[#This Row],[Colonne187]]=$G35,GW35,Distances[[#This Row],[Colonne187]]+1)</f>
        <v>20</v>
      </c>
      <c r="GY35" s="17">
        <f>IF(Distances[[#This Row],[Colonne188]]=$G35,GX35,Distances[[#This Row],[Colonne188]]+1)</f>
        <v>20</v>
      </c>
      <c r="GZ35" s="17">
        <f>IF(Distances[[#This Row],[Colonne189]]=$G35,GY35,Distances[[#This Row],[Colonne189]]+1)</f>
        <v>20</v>
      </c>
      <c r="HA35" s="17">
        <f>IF(Distances[[#This Row],[Colonne190]]=$G35,GZ35,Distances[[#This Row],[Colonne190]]+1)</f>
        <v>20</v>
      </c>
      <c r="HB35" s="17">
        <f>IF(Distances[[#This Row],[Colonne191]]=$G35,HA35,Distances[[#This Row],[Colonne191]]+1)</f>
        <v>20</v>
      </c>
      <c r="HC35" s="17">
        <f>IF(Distances[[#This Row],[Colonne192]]=$G35,HB35,Distances[[#This Row],[Colonne192]]+1)</f>
        <v>20</v>
      </c>
      <c r="HD35" s="17">
        <f>IF(Distances[[#This Row],[Colonne193]]=$G35,HC35,Distances[[#This Row],[Colonne193]]+1)</f>
        <v>20</v>
      </c>
      <c r="HE35" s="17">
        <f>IF(Distances[[#This Row],[Colonne194]]=$G35,HD35,Distances[[#This Row],[Colonne194]]+1)</f>
        <v>20</v>
      </c>
      <c r="HF35" s="17">
        <f>IF(Distances[[#This Row],[Colonne195]]=$G35,HE35,Distances[[#This Row],[Colonne195]]+1)</f>
        <v>20</v>
      </c>
      <c r="HG35" s="17">
        <f>IF(Distances[[#This Row],[Colonne196]]=$G35,HF35,Distances[[#This Row],[Colonne196]]+1)</f>
        <v>20</v>
      </c>
      <c r="HH35" s="17">
        <f>IF(Distances[[#This Row],[Colonne197]]=$G35,HG35,Distances[[#This Row],[Colonne197]]+1)</f>
        <v>20</v>
      </c>
      <c r="HI35" s="17">
        <f>IF(Distances[[#This Row],[Colonne198]]=$G35,HH35,Distances[[#This Row],[Colonne198]]+1)</f>
        <v>20</v>
      </c>
      <c r="HJ35" s="17">
        <f>IF(Distances[[#This Row],[Colonne199]]=$G35,HI35,Distances[[#This Row],[Colonne199]]+1)</f>
        <v>20</v>
      </c>
      <c r="HK35" s="17">
        <f>IF(Distances[[#This Row],[Colonne200]]=$G35,HJ35,Distances[[#This Row],[Colonne200]]+1)</f>
        <v>20</v>
      </c>
      <c r="HL35" s="17">
        <f>IF(Distances[[#This Row],[Colonne201]]=$G35,HK35,Distances[[#This Row],[Colonne201]]+1)</f>
        <v>20</v>
      </c>
      <c r="HM35" s="17">
        <f>IF(Distances[[#This Row],[Colonne202]]=$G35,HL35,Distances[[#This Row],[Colonne202]]+1)</f>
        <v>20</v>
      </c>
      <c r="HN35" s="17">
        <f>IF(Distances[[#This Row],[Colonne203]]=$G35,HM35,Distances[[#This Row],[Colonne203]]+1)</f>
        <v>20</v>
      </c>
      <c r="HO35" s="17">
        <f>IF(Distances[[#This Row],[Colonne204]]=$G35,HN35,Distances[[#This Row],[Colonne204]]+1)</f>
        <v>20</v>
      </c>
      <c r="HP35" s="17">
        <f>IF(Distances[[#This Row],[Colonne205]]=$G35,HO35,Distances[[#This Row],[Colonne205]]+1)</f>
        <v>20</v>
      </c>
      <c r="HQ35" s="17">
        <f>IF(Distances[[#This Row],[Colonne206]]=$G35,HP35,Distances[[#This Row],[Colonne206]]+1)</f>
        <v>20</v>
      </c>
      <c r="HR35" s="17">
        <f>IF(Distances[[#This Row],[Colonne207]]=$G35,HQ35,Distances[[#This Row],[Colonne207]]+1)</f>
        <v>20</v>
      </c>
      <c r="HS35" s="17">
        <f>IF(Distances[[#This Row],[Colonne208]]=$G35,HR35,Distances[[#This Row],[Colonne208]]+1)</f>
        <v>20</v>
      </c>
      <c r="HT35" s="17">
        <f>IF(Distances[[#This Row],[Colonne209]]=$G35,HS35,Distances[[#This Row],[Colonne209]]+1)</f>
        <v>20</v>
      </c>
      <c r="HU35" s="17">
        <f>IF(Distances[[#This Row],[Colonne210]]=$G35,HT35,Distances[[#This Row],[Colonne210]]+1)</f>
        <v>20</v>
      </c>
      <c r="HV35" s="17">
        <f>IF(Distances[[#This Row],[Colonne211]]=$G35,HU35,Distances[[#This Row],[Colonne211]]+1)</f>
        <v>20</v>
      </c>
      <c r="HW35" s="17">
        <f>IF(Distances[[#This Row],[Colonne212]]=$G35,HV35,Distances[[#This Row],[Colonne212]]+1)</f>
        <v>20</v>
      </c>
      <c r="HX35" s="17">
        <f>IF(Distances[[#This Row],[Colonne213]]=$G35,HW35,Distances[[#This Row],[Colonne213]]+1)</f>
        <v>20</v>
      </c>
      <c r="HY35" s="17">
        <f>IF(Distances[[#This Row],[Colonne214]]=$G35,HX35,Distances[[#This Row],[Colonne214]]+1)</f>
        <v>20</v>
      </c>
      <c r="HZ35" s="17">
        <f>IF(Distances[[#This Row],[Colonne215]]=$G35,HY35,Distances[[#This Row],[Colonne215]]+1)</f>
        <v>20</v>
      </c>
      <c r="IA35" s="17">
        <f>IF(Distances[[#This Row],[Colonne216]]=$G35,HZ35,Distances[[#This Row],[Colonne216]]+1)</f>
        <v>20</v>
      </c>
      <c r="IB35" s="17">
        <f>IF(Distances[[#This Row],[Colonne217]]=$G35,IA35,Distances[[#This Row],[Colonne217]]+1)</f>
        <v>20</v>
      </c>
      <c r="IC35" s="17">
        <f>IF(Distances[[#This Row],[Colonne218]]=$G35,IB35,Distances[[#This Row],[Colonne218]]+1)</f>
        <v>20</v>
      </c>
      <c r="ID35" s="17">
        <f>IF(Distances[[#This Row],[Colonne219]]=$G35,IC35,Distances[[#This Row],[Colonne219]]+1)</f>
        <v>20</v>
      </c>
      <c r="IE35" s="17">
        <f>IF(Distances[[#This Row],[Colonne220]]=$G35,ID35,Distances[[#This Row],[Colonne220]]+1)</f>
        <v>20</v>
      </c>
      <c r="IF35" s="17">
        <f>IF(Distances[[#This Row],[Colonne221]]=$G35,IE35,Distances[[#This Row],[Colonne221]]+1)</f>
        <v>20</v>
      </c>
      <c r="IG35" s="17">
        <f>IF(Distances[[#This Row],[Colonne222]]=$G35,IF35,Distances[[#This Row],[Colonne222]]+1)</f>
        <v>20</v>
      </c>
      <c r="IH35" s="17">
        <f>IF(Distances[[#This Row],[Colonne223]]=$G35,IG35,Distances[[#This Row],[Colonne223]]+1)</f>
        <v>20</v>
      </c>
      <c r="II35" s="17">
        <f>IF(Distances[[#This Row],[Colonne224]]=$G35,IH35,Distances[[#This Row],[Colonne224]]+1)</f>
        <v>20</v>
      </c>
      <c r="IJ35" s="17">
        <f>IF(Distances[[#This Row],[Colonne225]]=$G35,II35,Distances[[#This Row],[Colonne225]]+1)</f>
        <v>20</v>
      </c>
      <c r="IK35" s="17">
        <f>IF(Distances[[#This Row],[Colonne226]]=$G35,IJ35,Distances[[#This Row],[Colonne226]]+1)</f>
        <v>20</v>
      </c>
      <c r="IL35" s="17">
        <f>IF(Distances[[#This Row],[Colonne227]]=$G35,IK35,Distances[[#This Row],[Colonne227]]+1)</f>
        <v>20</v>
      </c>
      <c r="IM35" s="17">
        <f>IF(Distances[[#This Row],[Colonne228]]=$G35,IL35,Distances[[#This Row],[Colonne228]]+1)</f>
        <v>20</v>
      </c>
      <c r="IN35" s="17">
        <f>IF(Distances[[#This Row],[Colonne229]]=$G35,IM35,Distances[[#This Row],[Colonne229]]+1)</f>
        <v>20</v>
      </c>
      <c r="IO35" s="17">
        <f>IF(Distances[[#This Row],[Colonne230]]=$G35,IN35,Distances[[#This Row],[Colonne230]]+1)</f>
        <v>20</v>
      </c>
      <c r="IP35" s="17">
        <f>IF(Distances[[#This Row],[Colonne231]]=$G35,IO35,Distances[[#This Row],[Colonne231]]+1)</f>
        <v>20</v>
      </c>
      <c r="IQ35" s="17">
        <f>IF(Distances[[#This Row],[Colonne232]]=$G35,IP35,Distances[[#This Row],[Colonne232]]+1)</f>
        <v>20</v>
      </c>
      <c r="IR35" s="17">
        <f>IF(Distances[[#This Row],[Colonne233]]=$G35,IQ35,Distances[[#This Row],[Colonne233]]+1)</f>
        <v>20</v>
      </c>
      <c r="IS35" s="17">
        <f>IF(Distances[[#This Row],[Colonne234]]=$G35,IR35,Distances[[#This Row],[Colonne234]]+1)</f>
        <v>20</v>
      </c>
      <c r="IT35" s="17">
        <f>IF(Distances[[#This Row],[Colonne235]]=$G35,IS35,Distances[[#This Row],[Colonne235]]+1)</f>
        <v>20</v>
      </c>
      <c r="IU35" s="17">
        <f>IF(Distances[[#This Row],[Colonne236]]=$G35,IT35,Distances[[#This Row],[Colonne236]]+1)</f>
        <v>20</v>
      </c>
      <c r="IV35" s="17">
        <f>IF(Distances[[#This Row],[Colonne237]]=$G35,IU35,Distances[[#This Row],[Colonne237]]+1)</f>
        <v>20</v>
      </c>
      <c r="IW35" s="17">
        <f>IF(Distances[[#This Row],[Colonne238]]=$G35,IV35,Distances[[#This Row],[Colonne238]]+1)</f>
        <v>20</v>
      </c>
      <c r="IX35" s="17">
        <f>IF(Distances[[#This Row],[Colonne239]]=$G35,IW35,Distances[[#This Row],[Colonne239]]+1)</f>
        <v>20</v>
      </c>
      <c r="IY35" s="17">
        <f>IF(Distances[[#This Row],[Colonne240]]=$G35,IX35,Distances[[#This Row],[Colonne240]]+1)</f>
        <v>20</v>
      </c>
      <c r="IZ35" s="17">
        <f>IF(Distances[[#This Row],[Colonne241]]=$G35,IY35,Distances[[#This Row],[Colonne241]]+1)</f>
        <v>20</v>
      </c>
      <c r="JA35" s="17">
        <f>IF(Distances[[#This Row],[Colonne242]]=$G35,IZ35,Distances[[#This Row],[Colonne242]]+1)</f>
        <v>20</v>
      </c>
      <c r="JB35" s="17">
        <f>IF(Distances[[#This Row],[Colonne243]]=$G35,JA35,Distances[[#This Row],[Colonne243]]+1)</f>
        <v>20</v>
      </c>
      <c r="JC35" s="17">
        <f>IF(Distances[[#This Row],[Colonne244]]=$G35,JB35,Distances[[#This Row],[Colonne244]]+1)</f>
        <v>20</v>
      </c>
      <c r="JD35" s="17">
        <f>IF(Distances[[#This Row],[Colonne245]]=$G35,JC35,Distances[[#This Row],[Colonne245]]+1)</f>
        <v>20</v>
      </c>
      <c r="JE35" s="17">
        <f>IF(Distances[[#This Row],[Colonne246]]=$G35,JD35,Distances[[#This Row],[Colonne246]]+1)</f>
        <v>20</v>
      </c>
      <c r="JF35" s="17">
        <f>IF(Distances[[#This Row],[Colonne247]]=$G35,JE35,Distances[[#This Row],[Colonne247]]+1)</f>
        <v>20</v>
      </c>
      <c r="JG35" s="17">
        <f>IF(Distances[[#This Row],[Colonne248]]=$G35,JF35,Distances[[#This Row],[Colonne248]]+1)</f>
        <v>20</v>
      </c>
      <c r="JH35" s="17">
        <f>IF(Distances[[#This Row],[Colonne249]]=$G35,JG35,Distances[[#This Row],[Colonne249]]+1)</f>
        <v>20</v>
      </c>
      <c r="JI35" s="17">
        <f>IF(Distances[[#This Row],[Colonne250]]=$G35,JH35,Distances[[#This Row],[Colonne250]]+1)</f>
        <v>20</v>
      </c>
      <c r="JJ35" s="17">
        <f>IF(Distances[[#This Row],[Colonne251]]=$G35,JI35,Distances[[#This Row],[Colonne251]]+1)</f>
        <v>20</v>
      </c>
      <c r="JK35" s="17">
        <f>IF(Distances[[#This Row],[Colonne252]]=$G35,JJ35,Distances[[#This Row],[Colonne252]]+1)</f>
        <v>20</v>
      </c>
      <c r="JL35" s="17">
        <f>IF(Distances[[#This Row],[Colonne253]]=$G35,JK35,Distances[[#This Row],[Colonne253]]+1)</f>
        <v>20</v>
      </c>
      <c r="JM35" s="17">
        <f>IF(Distances[[#This Row],[Colonne254]]=$G35,JL35,Distances[[#This Row],[Colonne254]]+1)</f>
        <v>20</v>
      </c>
      <c r="JN35" s="17">
        <f>IF(Distances[[#This Row],[Colonne255]]=$G35,JM35,Distances[[#This Row],[Colonne255]]+1)</f>
        <v>20</v>
      </c>
      <c r="JO35" s="17">
        <f>IF(Distances[[#This Row],[Colonne256]]=$G35,JN35,Distances[[#This Row],[Colonne256]]+1)</f>
        <v>20</v>
      </c>
      <c r="JP35" s="17">
        <f>IF(Distances[[#This Row],[Colonne257]]=$G35,JO35,Distances[[#This Row],[Colonne257]]+1)</f>
        <v>20</v>
      </c>
      <c r="JQ35" s="17">
        <f>IF(Distances[[#This Row],[Colonne258]]=$G35,JP35,Distances[[#This Row],[Colonne258]]+1)</f>
        <v>20</v>
      </c>
      <c r="JR35" s="17">
        <f>IF(Distances[[#This Row],[Colonne259]]=$G35,JQ35,Distances[[#This Row],[Colonne259]]+1)</f>
        <v>20</v>
      </c>
      <c r="JS35" s="17">
        <f>IF(Distances[[#This Row],[Colonne260]]=$G35,JR35,Distances[[#This Row],[Colonne260]]+1)</f>
        <v>20</v>
      </c>
      <c r="JT35" s="17">
        <f>IF(Distances[[#This Row],[Colonne261]]=$G35,JS35,Distances[[#This Row],[Colonne261]]+1)</f>
        <v>20</v>
      </c>
      <c r="JU35" s="17">
        <f>IF(Distances[[#This Row],[Colonne262]]=$G35,JT35,Distances[[#This Row],[Colonne262]]+1)</f>
        <v>20</v>
      </c>
      <c r="JV35" s="17">
        <f>IF(Distances[[#This Row],[Colonne263]]=$G35,JU35,Distances[[#This Row],[Colonne263]]+1)</f>
        <v>20</v>
      </c>
      <c r="JW35" s="17">
        <f>IF(Distances[[#This Row],[Colonne264]]=$G35,JV35,Distances[[#This Row],[Colonne264]]+1)</f>
        <v>20</v>
      </c>
      <c r="JX35" s="17">
        <f>IF(Distances[[#This Row],[Colonne265]]=$G35,JW35,Distances[[#This Row],[Colonne265]]+1)</f>
        <v>20</v>
      </c>
      <c r="JY35" s="17">
        <f>IF(Distances[[#This Row],[Colonne266]]=$G35,JX35,Distances[[#This Row],[Colonne266]]+1)</f>
        <v>20</v>
      </c>
      <c r="JZ35" s="17">
        <f>IF(Distances[[#This Row],[Colonne267]]=$G35,JY35,Distances[[#This Row],[Colonne267]]+1)</f>
        <v>20</v>
      </c>
      <c r="KA35" s="17">
        <f>IF(Distances[[#This Row],[Colonne268]]=$G35,JZ35,Distances[[#This Row],[Colonne268]]+1)</f>
        <v>20</v>
      </c>
      <c r="KB35" s="17">
        <f>IF(Distances[[#This Row],[Colonne269]]=$G35,KA35,Distances[[#This Row],[Colonne269]]+1)</f>
        <v>20</v>
      </c>
      <c r="KC35" s="17">
        <f>IF(Distances[[#This Row],[Colonne270]]=$G35,KB35,Distances[[#This Row],[Colonne270]]+1)</f>
        <v>20</v>
      </c>
      <c r="KD35" s="17">
        <f>IF(Distances[[#This Row],[Colonne271]]=$G35,KC35,Distances[[#This Row],[Colonne271]]+1)</f>
        <v>20</v>
      </c>
      <c r="KE35" s="17">
        <f>IF(Distances[[#This Row],[Colonne272]]=$G35,KD35,Distances[[#This Row],[Colonne272]]+1)</f>
        <v>20</v>
      </c>
      <c r="KF35" s="17">
        <f>IF(Distances[[#This Row],[Colonne273]]=$G35,KE35,Distances[[#This Row],[Colonne273]]+1)</f>
        <v>20</v>
      </c>
      <c r="KG35" s="17">
        <f>IF(Distances[[#This Row],[Colonne274]]=$G35,KF35,Distances[[#This Row],[Colonne274]]+1)</f>
        <v>20</v>
      </c>
      <c r="KH35" s="17">
        <f>IF(Distances[[#This Row],[Colonne275]]=$G35,KG35,Distances[[#This Row],[Colonne275]]+1)</f>
        <v>20</v>
      </c>
      <c r="KI35" s="17">
        <f>IF(Distances[[#This Row],[Colonne276]]=$G35,KH35,Distances[[#This Row],[Colonne276]]+1)</f>
        <v>20</v>
      </c>
      <c r="KJ35" s="17">
        <f>IF(Distances[[#This Row],[Colonne277]]=$G35,KI35,Distances[[#This Row],[Colonne277]]+1)</f>
        <v>20</v>
      </c>
      <c r="KK35" s="17">
        <f>IF(Distances[[#This Row],[Colonne278]]=$G35,KJ35,Distances[[#This Row],[Colonne278]]+1)</f>
        <v>20</v>
      </c>
      <c r="KL35" s="17">
        <f>IF(Distances[[#This Row],[Colonne279]]=$G35,KK35,Distances[[#This Row],[Colonne279]]+1)</f>
        <v>20</v>
      </c>
      <c r="KM35" s="17">
        <f>IF(Distances[[#This Row],[Colonne280]]=$G35,KL35,Distances[[#This Row],[Colonne280]]+1)</f>
        <v>20</v>
      </c>
      <c r="KN35" s="17">
        <f>IF(Distances[[#This Row],[Colonne281]]=$G35,KM35,Distances[[#This Row],[Colonne281]]+1)</f>
        <v>20</v>
      </c>
      <c r="KO35" s="17">
        <f>IF(Distances[[#This Row],[Colonne282]]=$G35,KN35,Distances[[#This Row],[Colonne282]]+1)</f>
        <v>20</v>
      </c>
      <c r="KP35" s="17">
        <f>IF(Distances[[#This Row],[Colonne283]]=$G35,KO35,Distances[[#This Row],[Colonne283]]+1)</f>
        <v>20</v>
      </c>
      <c r="KQ35" s="17">
        <f>IF(Distances[[#This Row],[Colonne284]]=$G35,KP35,Distances[[#This Row],[Colonne284]]+1)</f>
        <v>20</v>
      </c>
      <c r="KR35" s="17">
        <f>IF(Distances[[#This Row],[Colonne285]]=$G35,KQ35,Distances[[#This Row],[Colonne285]]+1)</f>
        <v>20</v>
      </c>
      <c r="KS35" s="17">
        <f>IF(Distances[[#This Row],[Colonne286]]=$G35,KR35,Distances[[#This Row],[Colonne286]]+1)</f>
        <v>20</v>
      </c>
      <c r="KT35" s="17">
        <f>IF(Distances[[#This Row],[Colonne287]]=$G35,KS35,Distances[[#This Row],[Colonne287]]+1)</f>
        <v>20</v>
      </c>
      <c r="KU35" s="17">
        <f>IF(Distances[[#This Row],[Colonne288]]=$G35,KT35,Distances[[#This Row],[Colonne288]]+1)</f>
        <v>20</v>
      </c>
      <c r="KV35" s="17">
        <f>IF(Distances[[#This Row],[Colonne289]]=$G35,KU35,Distances[[#This Row],[Colonne289]]+1)</f>
        <v>20</v>
      </c>
      <c r="KW35" s="17">
        <f>IF(Distances[[#This Row],[Colonne290]]=$G35,KV35,Distances[[#This Row],[Colonne290]]+1)</f>
        <v>20</v>
      </c>
      <c r="KX35" s="17">
        <f>IF(Distances[[#This Row],[Colonne291]]=$G35,KW35,Distances[[#This Row],[Colonne291]]+1)</f>
        <v>20</v>
      </c>
      <c r="KY35" s="17">
        <f>IF(Distances[[#This Row],[Colonne292]]=$G35,KX35,Distances[[#This Row],[Colonne292]]+1)</f>
        <v>20</v>
      </c>
      <c r="KZ35" s="17">
        <f>IF(Distances[[#This Row],[Colonne293]]=$G35,KY35,Distances[[#This Row],[Colonne293]]+1)</f>
        <v>20</v>
      </c>
      <c r="LA35" s="17">
        <f>IF(Distances[[#This Row],[Colonne294]]=$G35,KZ35,Distances[[#This Row],[Colonne294]]+1)</f>
        <v>20</v>
      </c>
      <c r="LB35" s="17">
        <f>IF(Distances[[#This Row],[Colonne295]]=$G35,LA35,Distances[[#This Row],[Colonne295]]+1)</f>
        <v>20</v>
      </c>
      <c r="LC35" s="17">
        <f>IF(Distances[[#This Row],[Colonne296]]=$G35,LB35,Distances[[#This Row],[Colonne296]]+1)</f>
        <v>20</v>
      </c>
      <c r="LD35" s="17">
        <f>IF(Distances[[#This Row],[Colonne297]]=$G35,LC35,Distances[[#This Row],[Colonne297]]+1)</f>
        <v>20</v>
      </c>
      <c r="LE35" s="17">
        <f>IF(Distances[[#This Row],[Colonne298]]=$G35,LD35,Distances[[#This Row],[Colonne298]]+1)</f>
        <v>20</v>
      </c>
      <c r="LF35" s="17">
        <f>IF(Distances[[#This Row],[Colonne299]]=$G35,LE35,Distances[[#This Row],[Colonne299]]+1)</f>
        <v>20</v>
      </c>
      <c r="LG35" s="17">
        <f>IF(Distances[[#This Row],[Colonne300]]=$G35,LF35,Distances[[#This Row],[Colonne300]]+1)</f>
        <v>20</v>
      </c>
      <c r="LH35" s="17">
        <f>IF(Distances[[#This Row],[Colonne301]]=$G35,LG35,Distances[[#This Row],[Colonne301]]+1)</f>
        <v>20</v>
      </c>
      <c r="LI35" s="17">
        <f>IF(Distances[[#This Row],[Colonne302]]=$G35,LH35,Distances[[#This Row],[Colonne302]]+1)</f>
        <v>20</v>
      </c>
      <c r="LJ35" s="17">
        <f>IF(Distances[[#This Row],[Colonne303]]=$G35,LI35,Distances[[#This Row],[Colonne303]]+1)</f>
        <v>20</v>
      </c>
      <c r="LK35" s="51"/>
      <c r="LL35" s="17">
        <f t="shared" ref="LL35:NW35" si="68">IF(LK35=$H35,LK35,LK35+1)</f>
        <v>1</v>
      </c>
      <c r="LM35" s="17">
        <f t="shared" si="68"/>
        <v>2</v>
      </c>
      <c r="LN35" s="17">
        <f t="shared" si="68"/>
        <v>3</v>
      </c>
      <c r="LO35" s="17">
        <f t="shared" si="68"/>
        <v>4</v>
      </c>
      <c r="LP35" s="17">
        <f t="shared" si="68"/>
        <v>5</v>
      </c>
      <c r="LQ35" s="17">
        <f t="shared" si="68"/>
        <v>6</v>
      </c>
      <c r="LR35" s="17">
        <f t="shared" si="68"/>
        <v>7</v>
      </c>
      <c r="LS35" s="17">
        <f t="shared" si="68"/>
        <v>8</v>
      </c>
      <c r="LT35" s="17">
        <f t="shared" si="68"/>
        <v>9</v>
      </c>
      <c r="LU35" s="17">
        <f t="shared" si="68"/>
        <v>10</v>
      </c>
      <c r="LV35" s="17">
        <f t="shared" si="68"/>
        <v>11</v>
      </c>
      <c r="LW35" s="17">
        <f t="shared" si="68"/>
        <v>12</v>
      </c>
      <c r="LX35" s="17">
        <f t="shared" si="68"/>
        <v>13</v>
      </c>
      <c r="LY35" s="17">
        <f t="shared" si="68"/>
        <v>14</v>
      </c>
      <c r="LZ35" s="17">
        <f t="shared" si="68"/>
        <v>15</v>
      </c>
      <c r="MA35" s="17">
        <f t="shared" si="68"/>
        <v>16</v>
      </c>
      <c r="MB35" s="17">
        <f t="shared" si="68"/>
        <v>17</v>
      </c>
      <c r="MC35" s="17">
        <f t="shared" si="68"/>
        <v>18</v>
      </c>
      <c r="MD35" s="17">
        <f t="shared" si="68"/>
        <v>19</v>
      </c>
      <c r="ME35" s="17">
        <f t="shared" si="68"/>
        <v>20</v>
      </c>
      <c r="MF35" s="17">
        <f t="shared" si="68"/>
        <v>21</v>
      </c>
      <c r="MG35" s="17">
        <f t="shared" si="68"/>
        <v>22</v>
      </c>
      <c r="MH35" s="17">
        <f t="shared" si="68"/>
        <v>23</v>
      </c>
      <c r="MI35" s="17">
        <f t="shared" si="68"/>
        <v>24</v>
      </c>
      <c r="MJ35" s="17">
        <f t="shared" si="68"/>
        <v>25</v>
      </c>
      <c r="MK35" s="17">
        <f t="shared" si="68"/>
        <v>26</v>
      </c>
      <c r="ML35" s="17">
        <f t="shared" si="68"/>
        <v>27</v>
      </c>
      <c r="MM35" s="17">
        <f t="shared" si="68"/>
        <v>28</v>
      </c>
      <c r="MN35" s="17">
        <f t="shared" si="68"/>
        <v>29</v>
      </c>
      <c r="MO35" s="17">
        <f t="shared" si="68"/>
        <v>30</v>
      </c>
      <c r="MP35" s="17">
        <f t="shared" si="68"/>
        <v>31</v>
      </c>
      <c r="MQ35" s="17">
        <f t="shared" si="68"/>
        <v>32</v>
      </c>
      <c r="MR35" s="17">
        <f t="shared" si="68"/>
        <v>33</v>
      </c>
      <c r="MS35" s="17">
        <f t="shared" si="68"/>
        <v>34</v>
      </c>
      <c r="MT35" s="17">
        <f t="shared" si="68"/>
        <v>35</v>
      </c>
      <c r="MU35" s="17">
        <f t="shared" si="68"/>
        <v>36</v>
      </c>
      <c r="MV35" s="17">
        <f t="shared" si="68"/>
        <v>37</v>
      </c>
      <c r="MW35" s="17">
        <f t="shared" si="68"/>
        <v>38</v>
      </c>
      <c r="MX35" s="17">
        <f t="shared" si="68"/>
        <v>39</v>
      </c>
      <c r="MY35" s="17">
        <f t="shared" si="68"/>
        <v>40</v>
      </c>
      <c r="MZ35" s="17">
        <f t="shared" si="68"/>
        <v>41</v>
      </c>
      <c r="NA35" s="17">
        <f t="shared" si="68"/>
        <v>42</v>
      </c>
      <c r="NB35" s="17">
        <f t="shared" si="68"/>
        <v>43</v>
      </c>
      <c r="NC35" s="17">
        <f t="shared" si="68"/>
        <v>44</v>
      </c>
      <c r="ND35" s="17">
        <f t="shared" si="68"/>
        <v>45</v>
      </c>
      <c r="NE35" s="17">
        <f t="shared" si="68"/>
        <v>46</v>
      </c>
      <c r="NF35" s="17">
        <f t="shared" si="68"/>
        <v>47</v>
      </c>
      <c r="NG35" s="17">
        <f t="shared" si="68"/>
        <v>48</v>
      </c>
      <c r="NH35" s="17">
        <f t="shared" si="68"/>
        <v>49</v>
      </c>
      <c r="NI35" s="17">
        <f t="shared" si="68"/>
        <v>50</v>
      </c>
      <c r="NJ35" s="17">
        <f t="shared" si="68"/>
        <v>50</v>
      </c>
      <c r="NK35" s="17">
        <f t="shared" si="68"/>
        <v>50</v>
      </c>
      <c r="NL35" s="17">
        <f t="shared" si="68"/>
        <v>50</v>
      </c>
      <c r="NM35" s="17">
        <f t="shared" si="68"/>
        <v>50</v>
      </c>
      <c r="NN35" s="17">
        <f t="shared" si="68"/>
        <v>50</v>
      </c>
      <c r="NO35" s="17">
        <f t="shared" si="68"/>
        <v>50</v>
      </c>
      <c r="NP35" s="17">
        <f t="shared" si="68"/>
        <v>50</v>
      </c>
      <c r="NQ35" s="17">
        <f t="shared" si="68"/>
        <v>50</v>
      </c>
      <c r="NR35" s="17">
        <f t="shared" si="68"/>
        <v>50</v>
      </c>
      <c r="NS35" s="17">
        <f t="shared" si="68"/>
        <v>50</v>
      </c>
      <c r="NT35" s="17">
        <f t="shared" si="68"/>
        <v>50</v>
      </c>
      <c r="NU35" s="17">
        <f t="shared" si="68"/>
        <v>50</v>
      </c>
      <c r="NV35" s="17">
        <f t="shared" si="68"/>
        <v>50</v>
      </c>
      <c r="NW35" s="17">
        <f t="shared" si="68"/>
        <v>50</v>
      </c>
      <c r="NX35" s="17">
        <f t="shared" ref="NX35:PG35" si="69">IF(NW35=$H35,NW35,NW35+1)</f>
        <v>50</v>
      </c>
      <c r="NY35" s="17">
        <f t="shared" si="69"/>
        <v>50</v>
      </c>
      <c r="NZ35" s="17">
        <f t="shared" si="69"/>
        <v>50</v>
      </c>
      <c r="OA35" s="17">
        <f t="shared" si="69"/>
        <v>50</v>
      </c>
      <c r="OB35" s="17">
        <f t="shared" si="69"/>
        <v>50</v>
      </c>
      <c r="OC35" s="17">
        <f t="shared" si="69"/>
        <v>50</v>
      </c>
      <c r="OD35" s="17">
        <f t="shared" si="69"/>
        <v>50</v>
      </c>
      <c r="OE35" s="17">
        <f t="shared" si="69"/>
        <v>50</v>
      </c>
      <c r="OF35" s="17">
        <f t="shared" si="69"/>
        <v>50</v>
      </c>
      <c r="OG35" s="17">
        <f t="shared" si="69"/>
        <v>50</v>
      </c>
      <c r="OH35" s="17">
        <f t="shared" si="69"/>
        <v>50</v>
      </c>
      <c r="OI35" s="17">
        <f t="shared" si="69"/>
        <v>50</v>
      </c>
      <c r="OJ35" s="17">
        <f t="shared" si="69"/>
        <v>50</v>
      </c>
      <c r="OK35" s="17">
        <f t="shared" si="69"/>
        <v>50</v>
      </c>
      <c r="OL35" s="17">
        <f t="shared" si="69"/>
        <v>50</v>
      </c>
      <c r="OM35" s="17">
        <f t="shared" si="69"/>
        <v>50</v>
      </c>
      <c r="ON35" s="17">
        <f t="shared" si="69"/>
        <v>50</v>
      </c>
      <c r="OO35" s="17">
        <f t="shared" si="69"/>
        <v>50</v>
      </c>
      <c r="OP35" s="17">
        <f t="shared" si="69"/>
        <v>50</v>
      </c>
      <c r="OQ35" s="17">
        <f t="shared" si="69"/>
        <v>50</v>
      </c>
      <c r="OR35" s="17">
        <f t="shared" si="69"/>
        <v>50</v>
      </c>
      <c r="OS35" s="17">
        <f t="shared" si="69"/>
        <v>50</v>
      </c>
      <c r="OT35" s="17">
        <f t="shared" si="69"/>
        <v>50</v>
      </c>
      <c r="OU35" s="17">
        <f t="shared" si="69"/>
        <v>50</v>
      </c>
      <c r="OV35" s="17">
        <f t="shared" si="69"/>
        <v>50</v>
      </c>
      <c r="OW35" s="17">
        <f t="shared" si="69"/>
        <v>50</v>
      </c>
      <c r="OX35" s="17">
        <f t="shared" si="69"/>
        <v>50</v>
      </c>
      <c r="OY35" s="17">
        <f t="shared" si="69"/>
        <v>50</v>
      </c>
      <c r="OZ35" s="17">
        <f t="shared" si="69"/>
        <v>50</v>
      </c>
      <c r="PA35" s="17">
        <f t="shared" si="69"/>
        <v>50</v>
      </c>
      <c r="PB35" s="17">
        <f t="shared" si="69"/>
        <v>50</v>
      </c>
      <c r="PC35" s="17">
        <f t="shared" si="69"/>
        <v>50</v>
      </c>
      <c r="PD35" s="17">
        <f t="shared" si="69"/>
        <v>50</v>
      </c>
      <c r="PE35" s="17">
        <f t="shared" si="69"/>
        <v>50</v>
      </c>
      <c r="PF35" s="17">
        <f t="shared" si="69"/>
        <v>50</v>
      </c>
      <c r="PG35" s="17">
        <f t="shared" si="69"/>
        <v>50</v>
      </c>
    </row>
    <row r="36" spans="1:423" x14ac:dyDescent="0.25">
      <c r="A36" s="8" t="s">
        <v>5454</v>
      </c>
      <c r="B36" s="9" t="s">
        <v>8505</v>
      </c>
      <c r="C36" s="9" t="str">
        <f t="shared" si="0"/>
        <v>3Dames LBIF 1</v>
      </c>
      <c r="D36" s="1" t="str">
        <f t="shared" si="1"/>
        <v>3 Bandes Dames LBIF 1</v>
      </c>
      <c r="E36" s="1" t="s">
        <v>8498</v>
      </c>
      <c r="F36" s="9" t="s">
        <v>5452</v>
      </c>
      <c r="G36" s="9">
        <v>15</v>
      </c>
      <c r="H36" s="9">
        <v>40</v>
      </c>
      <c r="I36" s="127">
        <v>2.8</v>
      </c>
      <c r="J36" s="30"/>
      <c r="K36" s="10"/>
      <c r="L36" s="8">
        <v>0.25</v>
      </c>
      <c r="M36" s="9"/>
      <c r="N36" s="10">
        <v>0.35899999999999999</v>
      </c>
      <c r="O36" s="269"/>
      <c r="P36" s="331"/>
      <c r="Q36" s="335"/>
      <c r="R36" s="128"/>
      <c r="S36" s="9"/>
      <c r="T36" s="10"/>
      <c r="U36" t="s">
        <v>5523</v>
      </c>
      <c r="V36" s="17">
        <v>0</v>
      </c>
      <c r="W36" s="17">
        <f>IF(Distances[[#This Row],[Colonne4]]=$G36,V36,Distances[[#This Row],[Colonne4]]+1)</f>
        <v>1</v>
      </c>
      <c r="X36" s="17">
        <f>IF(Distances[[#This Row],[Colonne5]]=$G36,W36,Distances[[#This Row],[Colonne5]]+1)</f>
        <v>2</v>
      </c>
      <c r="Y36" s="17">
        <f>IF(Distances[[#This Row],[Colonne6]]=$G36,X36,Distances[[#This Row],[Colonne6]]+1)</f>
        <v>3</v>
      </c>
      <c r="Z36" s="17">
        <f>IF(Distances[[#This Row],[Colonne7]]=$G36,Y36,Distances[[#This Row],[Colonne7]]+1)</f>
        <v>4</v>
      </c>
      <c r="AA36" s="17">
        <f>IF(Distances[[#This Row],[Colonne8]]=$G36,Z36,Distances[[#This Row],[Colonne8]]+1)</f>
        <v>5</v>
      </c>
      <c r="AB36" s="17">
        <f>IF(Distances[[#This Row],[Colonne9]]=$G36,AA36,Distances[[#This Row],[Colonne9]]+1)</f>
        <v>6</v>
      </c>
      <c r="AC36" s="17">
        <f>IF(Distances[[#This Row],[Colonne10]]=$G36,AB36,Distances[[#This Row],[Colonne10]]+1)</f>
        <v>7</v>
      </c>
      <c r="AD36" s="17">
        <f>IF(Distances[[#This Row],[Colonne11]]=$G36,AC36,Distances[[#This Row],[Colonne11]]+1)</f>
        <v>8</v>
      </c>
      <c r="AE36" s="17">
        <f>IF(Distances[[#This Row],[Colonne12]]=$G36,AD36,Distances[[#This Row],[Colonne12]]+1)</f>
        <v>9</v>
      </c>
      <c r="AF36" s="17">
        <f>IF(Distances[[#This Row],[Colonne13]]=$G36,AE36,Distances[[#This Row],[Colonne13]]+1)</f>
        <v>10</v>
      </c>
      <c r="AG36" s="17">
        <f>IF(Distances[[#This Row],[Colonne14]]=$G36,AF36,Distances[[#This Row],[Colonne14]]+1)</f>
        <v>11</v>
      </c>
      <c r="AH36" s="17">
        <f>IF(Distances[[#This Row],[Colonne15]]=$G36,AG36,Distances[[#This Row],[Colonne15]]+1)</f>
        <v>12</v>
      </c>
      <c r="AI36" s="17">
        <f>IF(Distances[[#This Row],[Colonne16]]=$G36,AH36,Distances[[#This Row],[Colonne16]]+1)</f>
        <v>13</v>
      </c>
      <c r="AJ36" s="17">
        <f>IF(Distances[[#This Row],[Colonne17]]=$G36,AI36,Distances[[#This Row],[Colonne17]]+1)</f>
        <v>14</v>
      </c>
      <c r="AK36" s="17">
        <f>IF(Distances[[#This Row],[Colonne18]]=$G36,AJ36,Distances[[#This Row],[Colonne18]]+1)</f>
        <v>15</v>
      </c>
      <c r="AL36" s="17">
        <f>IF(Distances[[#This Row],[Colonne19]]=$G36,AK36,Distances[[#This Row],[Colonne19]]+1)</f>
        <v>15</v>
      </c>
      <c r="AM36" s="17">
        <f>IF(Distances[[#This Row],[Colonne20]]=$G36,AL36,Distances[[#This Row],[Colonne20]]+1)</f>
        <v>15</v>
      </c>
      <c r="AN36" s="17">
        <f>IF(Distances[[#This Row],[Colonne21]]=$G36,AM36,Distances[[#This Row],[Colonne21]]+1)</f>
        <v>15</v>
      </c>
      <c r="AO36" s="17">
        <f>IF(Distances[[#This Row],[Colonne22]]=$G36,AN36,Distances[[#This Row],[Colonne22]]+1)</f>
        <v>15</v>
      </c>
      <c r="AP36" s="17">
        <f>IF(Distances[[#This Row],[Colonne23]]=$G36,AO36,Distances[[#This Row],[Colonne23]]+1)</f>
        <v>15</v>
      </c>
      <c r="AQ36" s="17">
        <f>IF(Distances[[#This Row],[Colonne24]]=$G36,AP36,Distances[[#This Row],[Colonne24]]+1)</f>
        <v>15</v>
      </c>
      <c r="AR36" s="17">
        <f>IF(Distances[[#This Row],[Colonne25]]=$G36,AQ36,Distances[[#This Row],[Colonne25]]+1)</f>
        <v>15</v>
      </c>
      <c r="AS36" s="17">
        <f>IF(Distances[[#This Row],[Colonne26]]=$G36,AR36,Distances[[#This Row],[Colonne26]]+1)</f>
        <v>15</v>
      </c>
      <c r="AT36" s="17">
        <f>IF(Distances[[#This Row],[Colonne27]]=$G36,AS36,Distances[[#This Row],[Colonne27]]+1)</f>
        <v>15</v>
      </c>
      <c r="AU36" s="17">
        <f>IF(Distances[[#This Row],[Colonne28]]=$G36,AT36,Distances[[#This Row],[Colonne28]]+1)</f>
        <v>15</v>
      </c>
      <c r="AV36" s="17">
        <f>IF(Distances[[#This Row],[Colonne29]]=$G36,AU36,Distances[[#This Row],[Colonne29]]+1)</f>
        <v>15</v>
      </c>
      <c r="AW36" s="17">
        <f>IF(Distances[[#This Row],[Colonne30]]=$G36,AV36,Distances[[#This Row],[Colonne30]]+1)</f>
        <v>15</v>
      </c>
      <c r="AX36" s="17">
        <f>IF(Distances[[#This Row],[Colonne31]]=$G36,AW36,Distances[[#This Row],[Colonne31]]+1)</f>
        <v>15</v>
      </c>
      <c r="AY36" s="17">
        <f>IF(Distances[[#This Row],[Colonne32]]=$G36,AX36,Distances[[#This Row],[Colonne32]]+1)</f>
        <v>15</v>
      </c>
      <c r="AZ36" s="17">
        <f>IF(Distances[[#This Row],[Colonne33]]=$G36,AY36,Distances[[#This Row],[Colonne33]]+1)</f>
        <v>15</v>
      </c>
      <c r="BA36" s="17">
        <f>IF(Distances[[#This Row],[Colonne34]]=$G36,AZ36,Distances[[#This Row],[Colonne34]]+1)</f>
        <v>15</v>
      </c>
      <c r="BB36" s="17">
        <f>IF(Distances[[#This Row],[Colonne35]]=$G36,BA36,Distances[[#This Row],[Colonne35]]+1)</f>
        <v>15</v>
      </c>
      <c r="BC36" s="17">
        <f>IF(Distances[[#This Row],[Colonne36]]=$G36,BB36,Distances[[#This Row],[Colonne36]]+1)</f>
        <v>15</v>
      </c>
      <c r="BD36" s="17">
        <f>IF(Distances[[#This Row],[Colonne37]]=$G36,BC36,Distances[[#This Row],[Colonne37]]+1)</f>
        <v>15</v>
      </c>
      <c r="BE36" s="17">
        <f>IF(Distances[[#This Row],[Colonne38]]=$G36,BD36,Distances[[#This Row],[Colonne38]]+1)</f>
        <v>15</v>
      </c>
      <c r="BF36" s="17">
        <f>IF(Distances[[#This Row],[Colonne39]]=$G36,BE36,Distances[[#This Row],[Colonne39]]+1)</f>
        <v>15</v>
      </c>
      <c r="BG36" s="17">
        <f>IF(Distances[[#This Row],[Colonne40]]=$G36,BF36,Distances[[#This Row],[Colonne40]]+1)</f>
        <v>15</v>
      </c>
      <c r="BH36" s="17">
        <f>IF(Distances[[#This Row],[Colonne41]]=$G36,BG36,Distances[[#This Row],[Colonne41]]+1)</f>
        <v>15</v>
      </c>
      <c r="BI36" s="17">
        <f>IF(Distances[[#This Row],[Colonne42]]=$G36,BH36,Distances[[#This Row],[Colonne42]]+1)</f>
        <v>15</v>
      </c>
      <c r="BJ36" s="17">
        <f>IF(Distances[[#This Row],[Colonne43]]=$G36,BI36,Distances[[#This Row],[Colonne43]]+1)</f>
        <v>15</v>
      </c>
      <c r="BK36" s="17">
        <f>IF(Distances[[#This Row],[Colonne44]]=$G36,BJ36,Distances[[#This Row],[Colonne44]]+1)</f>
        <v>15</v>
      </c>
      <c r="BL36" s="17">
        <f>IF(Distances[[#This Row],[Colonne45]]=$G36,BK36,Distances[[#This Row],[Colonne45]]+1)</f>
        <v>15</v>
      </c>
      <c r="BM36" s="17">
        <f>IF(Distances[[#This Row],[Colonne46]]=$G36,BL36,Distances[[#This Row],[Colonne46]]+1)</f>
        <v>15</v>
      </c>
      <c r="BN36" s="17">
        <f>IF(Distances[[#This Row],[Colonne47]]=$G36,BM36,Distances[[#This Row],[Colonne47]]+1)</f>
        <v>15</v>
      </c>
      <c r="BO36" s="17">
        <f>IF(Distances[[#This Row],[Colonne48]]=$G36,BN36,Distances[[#This Row],[Colonne48]]+1)</f>
        <v>15</v>
      </c>
      <c r="BP36" s="17">
        <f>IF(Distances[[#This Row],[Colonne49]]=$G36,BO36,Distances[[#This Row],[Colonne49]]+1)</f>
        <v>15</v>
      </c>
      <c r="BQ36" s="17">
        <f>IF(Distances[[#This Row],[Colonne50]]=$G36,BP36,Distances[[#This Row],[Colonne50]]+1)</f>
        <v>15</v>
      </c>
      <c r="BR36" s="17">
        <f>IF(Distances[[#This Row],[Colonne51]]=$G36,BQ36,Distances[[#This Row],[Colonne51]]+1)</f>
        <v>15</v>
      </c>
      <c r="BS36" s="17">
        <f>IF(Distances[[#This Row],[Colonne52]]=$G36,BR36,Distances[[#This Row],[Colonne52]]+1)</f>
        <v>15</v>
      </c>
      <c r="BT36" s="17">
        <f>IF(Distances[[#This Row],[Colonne53]]=$G36,BS36,Distances[[#This Row],[Colonne53]]+1)</f>
        <v>15</v>
      </c>
      <c r="BU36" s="17">
        <f>IF(Distances[[#This Row],[Colonne54]]=$G36,BT36,Distances[[#This Row],[Colonne54]]+1)</f>
        <v>15</v>
      </c>
      <c r="BV36" s="17">
        <f>IF(Distances[[#This Row],[Colonne55]]=$G36,BU36,Distances[[#This Row],[Colonne55]]+1)</f>
        <v>15</v>
      </c>
      <c r="BW36" s="17">
        <f>IF(Distances[[#This Row],[Colonne56]]=$G36,BV36,Distances[[#This Row],[Colonne56]]+1)</f>
        <v>15</v>
      </c>
      <c r="BX36" s="17">
        <f>IF(Distances[[#This Row],[Colonne57]]=$G36,BW36,Distances[[#This Row],[Colonne57]]+1)</f>
        <v>15</v>
      </c>
      <c r="BY36" s="17">
        <f>IF(Distances[[#This Row],[Colonne58]]=$G36,BX36,Distances[[#This Row],[Colonne58]]+1)</f>
        <v>15</v>
      </c>
      <c r="BZ36" s="17">
        <f>IF(Distances[[#This Row],[Colonne59]]=$G36,BY36,Distances[[#This Row],[Colonne59]]+1)</f>
        <v>15</v>
      </c>
      <c r="CA36" s="17">
        <f>IF(Distances[[#This Row],[Colonne60]]=$G36,BZ36,Distances[[#This Row],[Colonne60]]+1)</f>
        <v>15</v>
      </c>
      <c r="CB36" s="17">
        <f>IF(Distances[[#This Row],[Colonne61]]=$G36,CA36,Distances[[#This Row],[Colonne61]]+1)</f>
        <v>15</v>
      </c>
      <c r="CC36" s="17">
        <f>IF(Distances[[#This Row],[Colonne62]]=$G36,CB36,Distances[[#This Row],[Colonne62]]+1)</f>
        <v>15</v>
      </c>
      <c r="CD36" s="17">
        <f>IF(Distances[[#This Row],[Colonne63]]=$G36,CC36,Distances[[#This Row],[Colonne63]]+1)</f>
        <v>15</v>
      </c>
      <c r="CE36" s="17">
        <f>IF(Distances[[#This Row],[Colonne64]]=$G36,CD36,Distances[[#This Row],[Colonne64]]+1)</f>
        <v>15</v>
      </c>
      <c r="CF36" s="17">
        <f>IF(Distances[[#This Row],[Colonne65]]=$G36,CE36,Distances[[#This Row],[Colonne65]]+1)</f>
        <v>15</v>
      </c>
      <c r="CG36" s="17">
        <f>IF(Distances[[#This Row],[Colonne66]]=$G36,CF36,Distances[[#This Row],[Colonne66]]+1)</f>
        <v>15</v>
      </c>
      <c r="CH36" s="17">
        <f>IF(Distances[[#This Row],[Colonne67]]=$G36,CG36,Distances[[#This Row],[Colonne67]]+1)</f>
        <v>15</v>
      </c>
      <c r="CI36" s="17">
        <f>IF(Distances[[#This Row],[Colonne68]]=$G36,CH36,Distances[[#This Row],[Colonne68]]+1)</f>
        <v>15</v>
      </c>
      <c r="CJ36" s="17">
        <f>IF(Distances[[#This Row],[Colonne69]]=$G36,CI36,Distances[[#This Row],[Colonne69]]+1)</f>
        <v>15</v>
      </c>
      <c r="CK36" s="17">
        <f>IF(Distances[[#This Row],[Colonne70]]=$G36,CJ36,Distances[[#This Row],[Colonne70]]+1)</f>
        <v>15</v>
      </c>
      <c r="CL36" s="17">
        <f>IF(Distances[[#This Row],[Colonne71]]=$G36,CK36,Distances[[#This Row],[Colonne71]]+1)</f>
        <v>15</v>
      </c>
      <c r="CM36" s="17">
        <f>IF(Distances[[#This Row],[Colonne72]]=$G36,CL36,Distances[[#This Row],[Colonne72]]+1)</f>
        <v>15</v>
      </c>
      <c r="CN36" s="17">
        <f>IF(Distances[[#This Row],[Colonne73]]=$G36,CM36,Distances[[#This Row],[Colonne73]]+1)</f>
        <v>15</v>
      </c>
      <c r="CO36" s="17">
        <f>IF(Distances[[#This Row],[Colonne74]]=$G36,CN36,Distances[[#This Row],[Colonne74]]+1)</f>
        <v>15</v>
      </c>
      <c r="CP36" s="17">
        <f>IF(Distances[[#This Row],[Colonne75]]=$G36,CO36,Distances[[#This Row],[Colonne75]]+1)</f>
        <v>15</v>
      </c>
      <c r="CQ36" s="17">
        <f>IF(Distances[[#This Row],[Colonne76]]=$G36,CP36,Distances[[#This Row],[Colonne76]]+1)</f>
        <v>15</v>
      </c>
      <c r="CR36" s="17">
        <f>IF(Distances[[#This Row],[Colonne77]]=$G36,CQ36,Distances[[#This Row],[Colonne77]]+1)</f>
        <v>15</v>
      </c>
      <c r="CS36" s="17">
        <f>IF(Distances[[#This Row],[Colonne78]]=$G36,CR36,Distances[[#This Row],[Colonne78]]+1)</f>
        <v>15</v>
      </c>
      <c r="CT36" s="17">
        <f>IF(Distances[[#This Row],[Colonne79]]=$G36,CS36,Distances[[#This Row],[Colonne79]]+1)</f>
        <v>15</v>
      </c>
      <c r="CU36" s="17">
        <f>IF(Distances[[#This Row],[Colonne80]]=$G36,CT36,Distances[[#This Row],[Colonne80]]+1)</f>
        <v>15</v>
      </c>
      <c r="CV36" s="17">
        <f>IF(Distances[[#This Row],[Colonne81]]=$G36,CU36,Distances[[#This Row],[Colonne81]]+1)</f>
        <v>15</v>
      </c>
      <c r="CW36" s="17">
        <f>IF(Distances[[#This Row],[Colonne82]]=$G36,CV36,Distances[[#This Row],[Colonne82]]+1)</f>
        <v>15</v>
      </c>
      <c r="CX36" s="17">
        <f>IF(Distances[[#This Row],[Colonne83]]=$G36,CW36,Distances[[#This Row],[Colonne83]]+1)</f>
        <v>15</v>
      </c>
      <c r="CY36" s="17">
        <f>IF(Distances[[#This Row],[Colonne84]]=$G36,CX36,Distances[[#This Row],[Colonne84]]+1)</f>
        <v>15</v>
      </c>
      <c r="CZ36" s="17">
        <f>IF(Distances[[#This Row],[Colonne85]]=$G36,CY36,Distances[[#This Row],[Colonne85]]+1)</f>
        <v>15</v>
      </c>
      <c r="DA36" s="17">
        <f>IF(Distances[[#This Row],[Colonne86]]=$G36,CZ36,Distances[[#This Row],[Colonne86]]+1)</f>
        <v>15</v>
      </c>
      <c r="DB36" s="17">
        <f>IF(Distances[[#This Row],[Colonne87]]=$G36,DA36,Distances[[#This Row],[Colonne87]]+1)</f>
        <v>15</v>
      </c>
      <c r="DC36" s="17">
        <f>IF(Distances[[#This Row],[Colonne88]]=$G36,DB36,Distances[[#This Row],[Colonne88]]+1)</f>
        <v>15</v>
      </c>
      <c r="DD36" s="17">
        <f>IF(Distances[[#This Row],[Colonne89]]=$G36,DC36,Distances[[#This Row],[Colonne89]]+1)</f>
        <v>15</v>
      </c>
      <c r="DE36" s="17">
        <f>IF(Distances[[#This Row],[Colonne90]]=$G36,DD36,Distances[[#This Row],[Colonne90]]+1)</f>
        <v>15</v>
      </c>
      <c r="DF36" s="17">
        <f>IF(Distances[[#This Row],[Colonne91]]=$G36,DE36,Distances[[#This Row],[Colonne91]]+1)</f>
        <v>15</v>
      </c>
      <c r="DG36" s="17">
        <f>IF(Distances[[#This Row],[Colonne92]]=$G36,DF36,Distances[[#This Row],[Colonne92]]+1)</f>
        <v>15</v>
      </c>
      <c r="DH36" s="17">
        <f>IF(Distances[[#This Row],[Colonne93]]=$G36,DG36,Distances[[#This Row],[Colonne93]]+1)</f>
        <v>15</v>
      </c>
      <c r="DI36" s="17">
        <f>IF(Distances[[#This Row],[Colonne94]]=$G36,DH36,Distances[[#This Row],[Colonne94]]+1)</f>
        <v>15</v>
      </c>
      <c r="DJ36" s="17">
        <f>IF(Distances[[#This Row],[Colonne95]]=$G36,DI36,Distances[[#This Row],[Colonne95]]+1)</f>
        <v>15</v>
      </c>
      <c r="DK36" s="17">
        <f>IF(Distances[[#This Row],[Colonne96]]=$G36,DJ36,Distances[[#This Row],[Colonne96]]+1)</f>
        <v>15</v>
      </c>
      <c r="DL36" s="17">
        <f>IF(Distances[[#This Row],[Colonne97]]=$G36,DK36,Distances[[#This Row],[Colonne97]]+1)</f>
        <v>15</v>
      </c>
      <c r="DM36" s="17">
        <f>IF(Distances[[#This Row],[Colonne98]]=$G36,DL36,Distances[[#This Row],[Colonne98]]+1)</f>
        <v>15</v>
      </c>
      <c r="DN36" s="17">
        <f>IF(Distances[[#This Row],[Colonne99]]=$G36,DM36,Distances[[#This Row],[Colonne99]]+1)</f>
        <v>15</v>
      </c>
      <c r="DO36" s="17">
        <f>IF(Distances[[#This Row],[Colonne100]]=$G36,DN36,Distances[[#This Row],[Colonne100]]+1)</f>
        <v>15</v>
      </c>
      <c r="DP36" s="17">
        <f>IF(Distances[[#This Row],[Colonne101]]=$G36,DO36,Distances[[#This Row],[Colonne101]]+1)</f>
        <v>15</v>
      </c>
      <c r="DQ36" s="17">
        <f>IF(Distances[[#This Row],[Colonne102]]=$G36,DP36,Distances[[#This Row],[Colonne102]]+1)</f>
        <v>15</v>
      </c>
      <c r="DR36" s="17">
        <f>IF(Distances[[#This Row],[Colonne103]]=$G36,DQ36,Distances[[#This Row],[Colonne103]]+1)</f>
        <v>15</v>
      </c>
      <c r="DS36" s="17">
        <f>IF(Distances[[#This Row],[Colonne104]]=$G36,DR36,Distances[[#This Row],[Colonne104]]+1)</f>
        <v>15</v>
      </c>
      <c r="DT36" s="17">
        <f>IF(Distances[[#This Row],[Colonne105]]=$G36,DS36,Distances[[#This Row],[Colonne105]]+1)</f>
        <v>15</v>
      </c>
      <c r="DU36" s="17">
        <f>IF(Distances[[#This Row],[Colonne106]]=$G36,DT36,Distances[[#This Row],[Colonne106]]+1)</f>
        <v>15</v>
      </c>
      <c r="DV36" s="17">
        <f>IF(Distances[[#This Row],[Colonne107]]=$G36,DU36,Distances[[#This Row],[Colonne107]]+1)</f>
        <v>15</v>
      </c>
      <c r="DW36" s="17">
        <f>IF(Distances[[#This Row],[Colonne108]]=$G36,DV36,Distances[[#This Row],[Colonne108]]+1)</f>
        <v>15</v>
      </c>
      <c r="DX36" s="17">
        <f>IF(Distances[[#This Row],[Colonne109]]=$G36,DW36,Distances[[#This Row],[Colonne109]]+1)</f>
        <v>15</v>
      </c>
      <c r="DY36" s="17">
        <f>IF(Distances[[#This Row],[Colonne110]]=$G36,DX36,Distances[[#This Row],[Colonne110]]+1)</f>
        <v>15</v>
      </c>
      <c r="DZ36" s="17">
        <f>IF(Distances[[#This Row],[Colonne111]]=$G36,DY36,Distances[[#This Row],[Colonne111]]+1)</f>
        <v>15</v>
      </c>
      <c r="EA36" s="17">
        <f>IF(Distances[[#This Row],[Colonne112]]=$G36,DZ36,Distances[[#This Row],[Colonne112]]+1)</f>
        <v>15</v>
      </c>
      <c r="EB36" s="17">
        <f>IF(Distances[[#This Row],[Colonne113]]=$G36,EA36,Distances[[#This Row],[Colonne113]]+1)</f>
        <v>15</v>
      </c>
      <c r="EC36" s="17">
        <f>IF(Distances[[#This Row],[Colonne114]]=$G36,EB36,Distances[[#This Row],[Colonne114]]+1)</f>
        <v>15</v>
      </c>
      <c r="ED36" s="17">
        <f>IF(Distances[[#This Row],[Colonne115]]=$G36,EC36,Distances[[#This Row],[Colonne115]]+1)</f>
        <v>15</v>
      </c>
      <c r="EE36" s="17">
        <f>IF(Distances[[#This Row],[Colonne116]]=$G36,ED36,Distances[[#This Row],[Colonne116]]+1)</f>
        <v>15</v>
      </c>
      <c r="EF36" s="17">
        <f>IF(Distances[[#This Row],[Colonne117]]=$G36,EE36,Distances[[#This Row],[Colonne117]]+1)</f>
        <v>15</v>
      </c>
      <c r="EG36" s="17">
        <f>IF(Distances[[#This Row],[Colonne118]]=$G36,EF36,Distances[[#This Row],[Colonne118]]+1)</f>
        <v>15</v>
      </c>
      <c r="EH36" s="17">
        <f>IF(Distances[[#This Row],[Colonne119]]=$G36,EG36,Distances[[#This Row],[Colonne119]]+1)</f>
        <v>15</v>
      </c>
      <c r="EI36" s="17">
        <f>IF(Distances[[#This Row],[Colonne120]]=$G36,EH36,Distances[[#This Row],[Colonne120]]+1)</f>
        <v>15</v>
      </c>
      <c r="EJ36" s="17">
        <f>IF(Distances[[#This Row],[Colonne121]]=$G36,EI36,Distances[[#This Row],[Colonne121]]+1)</f>
        <v>15</v>
      </c>
      <c r="EK36" s="17">
        <f>IF(Distances[[#This Row],[Colonne122]]=$G36,EJ36,Distances[[#This Row],[Colonne122]]+1)</f>
        <v>15</v>
      </c>
      <c r="EL36" s="17">
        <f>IF(Distances[[#This Row],[Colonne123]]=$G36,EK36,Distances[[#This Row],[Colonne123]]+1)</f>
        <v>15</v>
      </c>
      <c r="EM36" s="17">
        <f>IF(Distances[[#This Row],[Colonne124]]=$G36,EL36,Distances[[#This Row],[Colonne124]]+1)</f>
        <v>15</v>
      </c>
      <c r="EN36" s="17">
        <f>IF(Distances[[#This Row],[Colonne125]]=$G36,EM36,Distances[[#This Row],[Colonne125]]+1)</f>
        <v>15</v>
      </c>
      <c r="EO36" s="17">
        <f>IF(Distances[[#This Row],[Colonne126]]=$G36,EN36,Distances[[#This Row],[Colonne126]]+1)</f>
        <v>15</v>
      </c>
      <c r="EP36" s="17">
        <f>IF(Distances[[#This Row],[Colonne127]]=$G36,EO36,Distances[[#This Row],[Colonne127]]+1)</f>
        <v>15</v>
      </c>
      <c r="EQ36" s="17">
        <f>IF(Distances[[#This Row],[Colonne128]]=$G36,EP36,Distances[[#This Row],[Colonne128]]+1)</f>
        <v>15</v>
      </c>
      <c r="ER36" s="17">
        <f>IF(Distances[[#This Row],[Colonne129]]=$G36,EQ36,Distances[[#This Row],[Colonne129]]+1)</f>
        <v>15</v>
      </c>
      <c r="ES36" s="17">
        <f>IF(Distances[[#This Row],[Colonne130]]=$G36,ER36,Distances[[#This Row],[Colonne130]]+1)</f>
        <v>15</v>
      </c>
      <c r="ET36" s="17">
        <f>IF(Distances[[#This Row],[Colonne131]]=$G36,ES36,Distances[[#This Row],[Colonne131]]+1)</f>
        <v>15</v>
      </c>
      <c r="EU36" s="17">
        <f>IF(Distances[[#This Row],[Colonne132]]=$G36,ET36,Distances[[#This Row],[Colonne132]]+1)</f>
        <v>15</v>
      </c>
      <c r="EV36" s="17">
        <f>IF(Distances[[#This Row],[Colonne133]]=$G36,EU36,Distances[[#This Row],[Colonne133]]+1)</f>
        <v>15</v>
      </c>
      <c r="EW36" s="17">
        <f>IF(Distances[[#This Row],[Colonne134]]=$G36,EV36,Distances[[#This Row],[Colonne134]]+1)</f>
        <v>15</v>
      </c>
      <c r="EX36" s="17">
        <f>IF(Distances[[#This Row],[Colonne135]]=$G36,EW36,Distances[[#This Row],[Colonne135]]+1)</f>
        <v>15</v>
      </c>
      <c r="EY36" s="17">
        <f>IF(Distances[[#This Row],[Colonne136]]=$G36,EX36,Distances[[#This Row],[Colonne136]]+1)</f>
        <v>15</v>
      </c>
      <c r="EZ36" s="17">
        <f>IF(Distances[[#This Row],[Colonne137]]=$G36,EY36,Distances[[#This Row],[Colonne137]]+1)</f>
        <v>15</v>
      </c>
      <c r="FA36" s="17">
        <f>IF(Distances[[#This Row],[Colonne138]]=$G36,EZ36,Distances[[#This Row],[Colonne138]]+1)</f>
        <v>15</v>
      </c>
      <c r="FB36" s="17">
        <f>IF(Distances[[#This Row],[Colonne139]]=$G36,FA36,Distances[[#This Row],[Colonne139]]+1)</f>
        <v>15</v>
      </c>
      <c r="FC36" s="17">
        <f>IF(Distances[[#This Row],[Colonne140]]=$G36,FB36,Distances[[#This Row],[Colonne140]]+1)</f>
        <v>15</v>
      </c>
      <c r="FD36" s="17">
        <f>IF(Distances[[#This Row],[Colonne141]]=$G36,FC36,Distances[[#This Row],[Colonne141]]+1)</f>
        <v>15</v>
      </c>
      <c r="FE36" s="17">
        <f>IF(Distances[[#This Row],[Colonne142]]=$G36,FD36,Distances[[#This Row],[Colonne142]]+1)</f>
        <v>15</v>
      </c>
      <c r="FF36" s="17">
        <f>IF(Distances[[#This Row],[Colonne143]]=$G36,FE36,Distances[[#This Row],[Colonne143]]+1)</f>
        <v>15</v>
      </c>
      <c r="FG36" s="17">
        <f>IF(Distances[[#This Row],[Colonne144]]=$G36,FF36,Distances[[#This Row],[Colonne144]]+1)</f>
        <v>15</v>
      </c>
      <c r="FH36" s="17">
        <f>IF(Distances[[#This Row],[Colonne145]]=$G36,FG36,Distances[[#This Row],[Colonne145]]+1)</f>
        <v>15</v>
      </c>
      <c r="FI36" s="17">
        <f>IF(Distances[[#This Row],[Colonne146]]=$G36,FH36,Distances[[#This Row],[Colonne146]]+1)</f>
        <v>15</v>
      </c>
      <c r="FJ36" s="17">
        <f>IF(Distances[[#This Row],[Colonne147]]=$G36,FI36,Distances[[#This Row],[Colonne147]]+1)</f>
        <v>15</v>
      </c>
      <c r="FK36" s="17">
        <f>IF(Distances[[#This Row],[Colonne148]]=$G36,FJ36,Distances[[#This Row],[Colonne148]]+1)</f>
        <v>15</v>
      </c>
      <c r="FL36" s="17">
        <f>IF(Distances[[#This Row],[Colonne149]]=$G36,FK36,Distances[[#This Row],[Colonne149]]+1)</f>
        <v>15</v>
      </c>
      <c r="FM36" s="17">
        <f>IF(Distances[[#This Row],[Colonne150]]=$G36,FL36,Distances[[#This Row],[Colonne150]]+1)</f>
        <v>15</v>
      </c>
      <c r="FN36" s="17">
        <f>IF(Distances[[#This Row],[Colonne151]]=$G36,FM36,Distances[[#This Row],[Colonne151]]+1)</f>
        <v>15</v>
      </c>
      <c r="FO36" s="17">
        <f>IF(Distances[[#This Row],[Colonne152]]=$G36,FN36,Distances[[#This Row],[Colonne152]]+1)</f>
        <v>15</v>
      </c>
      <c r="FP36" s="17">
        <f>IF(Distances[[#This Row],[Colonne153]]=$G36,FO36,Distances[[#This Row],[Colonne153]]+1)</f>
        <v>15</v>
      </c>
      <c r="FQ36" s="17">
        <f>IF(Distances[[#This Row],[Colonne154]]=$G36,FP36,Distances[[#This Row],[Colonne154]]+1)</f>
        <v>15</v>
      </c>
      <c r="FR36" s="17">
        <f>IF(Distances[[#This Row],[Colonne155]]=$G36,FQ36,Distances[[#This Row],[Colonne155]]+1)</f>
        <v>15</v>
      </c>
      <c r="FS36" s="17">
        <f>IF(Distances[[#This Row],[Colonne156]]=$G36,FR36,Distances[[#This Row],[Colonne156]]+1)</f>
        <v>15</v>
      </c>
      <c r="FT36" s="17">
        <f>IF(Distances[[#This Row],[Colonne157]]=$G36,FS36,Distances[[#This Row],[Colonne157]]+1)</f>
        <v>15</v>
      </c>
      <c r="FU36" s="17">
        <f>IF(Distances[[#This Row],[Colonne158]]=$G36,FT36,Distances[[#This Row],[Colonne158]]+1)</f>
        <v>15</v>
      </c>
      <c r="FV36" s="17">
        <f>IF(Distances[[#This Row],[Colonne159]]=$G36,FU36,Distances[[#This Row],[Colonne159]]+1)</f>
        <v>15</v>
      </c>
      <c r="FW36" s="17">
        <f>IF(Distances[[#This Row],[Colonne160]]=$G36,FV36,Distances[[#This Row],[Colonne160]]+1)</f>
        <v>15</v>
      </c>
      <c r="FX36" s="17">
        <f>IF(Distances[[#This Row],[Colonne161]]=$G36,FW36,Distances[[#This Row],[Colonne161]]+1)</f>
        <v>15</v>
      </c>
      <c r="FY36" s="17">
        <f>IF(Distances[[#This Row],[Colonne162]]=$G36,FX36,Distances[[#This Row],[Colonne162]]+1)</f>
        <v>15</v>
      </c>
      <c r="FZ36" s="17">
        <f>IF(Distances[[#This Row],[Colonne163]]=$G36,FY36,Distances[[#This Row],[Colonne163]]+1)</f>
        <v>15</v>
      </c>
      <c r="GA36" s="17">
        <f>IF(Distances[[#This Row],[Colonne164]]=$G36,FZ36,Distances[[#This Row],[Colonne164]]+1)</f>
        <v>15</v>
      </c>
      <c r="GB36" s="17">
        <f>IF(Distances[[#This Row],[Colonne165]]=$G36,GA36,Distances[[#This Row],[Colonne165]]+1)</f>
        <v>15</v>
      </c>
      <c r="GC36" s="17">
        <f>IF(Distances[[#This Row],[Colonne166]]=$G36,GB36,Distances[[#This Row],[Colonne166]]+1)</f>
        <v>15</v>
      </c>
      <c r="GD36" s="17">
        <f>IF(Distances[[#This Row],[Colonne167]]=$G36,GC36,Distances[[#This Row],[Colonne167]]+1)</f>
        <v>15</v>
      </c>
      <c r="GE36" s="17">
        <f>IF(Distances[[#This Row],[Colonne168]]=$G36,GD36,Distances[[#This Row],[Colonne168]]+1)</f>
        <v>15</v>
      </c>
      <c r="GF36" s="17">
        <f>IF(Distances[[#This Row],[Colonne169]]=$G36,GE36,Distances[[#This Row],[Colonne169]]+1)</f>
        <v>15</v>
      </c>
      <c r="GG36" s="17">
        <f>IF(Distances[[#This Row],[Colonne170]]=$G36,GF36,Distances[[#This Row],[Colonne170]]+1)</f>
        <v>15</v>
      </c>
      <c r="GH36" s="17">
        <f>IF(Distances[[#This Row],[Colonne171]]=$G36,GG36,Distances[[#This Row],[Colonne171]]+1)</f>
        <v>15</v>
      </c>
      <c r="GI36" s="17">
        <f>IF(Distances[[#This Row],[Colonne172]]=$G36,GH36,Distances[[#This Row],[Colonne172]]+1)</f>
        <v>15</v>
      </c>
      <c r="GJ36" s="17">
        <f>IF(Distances[[#This Row],[Colonne173]]=$G36,GI36,Distances[[#This Row],[Colonne173]]+1)</f>
        <v>15</v>
      </c>
      <c r="GK36" s="17">
        <f>IF(Distances[[#This Row],[Colonne174]]=$G36,GJ36,Distances[[#This Row],[Colonne174]]+1)</f>
        <v>15</v>
      </c>
      <c r="GL36" s="17">
        <f>IF(Distances[[#This Row],[Colonne175]]=$G36,GK36,Distances[[#This Row],[Colonne175]]+1)</f>
        <v>15</v>
      </c>
      <c r="GM36" s="17">
        <f>IF(Distances[[#This Row],[Colonne176]]=$G36,GL36,Distances[[#This Row],[Colonne176]]+1)</f>
        <v>15</v>
      </c>
      <c r="GN36" s="17">
        <f>IF(Distances[[#This Row],[Colonne177]]=$G36,GM36,Distances[[#This Row],[Colonne177]]+1)</f>
        <v>15</v>
      </c>
      <c r="GO36" s="17">
        <f>IF(Distances[[#This Row],[Colonne178]]=$G36,GN36,Distances[[#This Row],[Colonne178]]+1)</f>
        <v>15</v>
      </c>
      <c r="GP36" s="17">
        <f>IF(Distances[[#This Row],[Colonne179]]=$G36,GO36,Distances[[#This Row],[Colonne179]]+1)</f>
        <v>15</v>
      </c>
      <c r="GQ36" s="17">
        <f>IF(Distances[[#This Row],[Colonne180]]=$G36,GP36,Distances[[#This Row],[Colonne180]]+1)</f>
        <v>15</v>
      </c>
      <c r="GR36" s="17">
        <f>IF(Distances[[#This Row],[Colonne181]]=$G36,GQ36,Distances[[#This Row],[Colonne181]]+1)</f>
        <v>15</v>
      </c>
      <c r="GS36" s="17">
        <f>IF(Distances[[#This Row],[Colonne182]]=$G36,GR36,Distances[[#This Row],[Colonne182]]+1)</f>
        <v>15</v>
      </c>
      <c r="GT36" s="17">
        <f>IF(Distances[[#This Row],[Colonne183]]=$G36,GS36,Distances[[#This Row],[Colonne183]]+1)</f>
        <v>15</v>
      </c>
      <c r="GU36" s="17">
        <f>IF(Distances[[#This Row],[Colonne184]]=$G36,GT36,Distances[[#This Row],[Colonne184]]+1)</f>
        <v>15</v>
      </c>
      <c r="GV36" s="17">
        <f>IF(Distances[[#This Row],[Colonne185]]=$G36,GU36,Distances[[#This Row],[Colonne185]]+1)</f>
        <v>15</v>
      </c>
      <c r="GW36" s="17">
        <f>IF(Distances[[#This Row],[Colonne186]]=$G36,GV36,Distances[[#This Row],[Colonne186]]+1)</f>
        <v>15</v>
      </c>
      <c r="GX36" s="17">
        <f>IF(Distances[[#This Row],[Colonne187]]=$G36,GW36,Distances[[#This Row],[Colonne187]]+1)</f>
        <v>15</v>
      </c>
      <c r="GY36" s="17">
        <f>IF(Distances[[#This Row],[Colonne188]]=$G36,GX36,Distances[[#This Row],[Colonne188]]+1)</f>
        <v>15</v>
      </c>
      <c r="GZ36" s="17">
        <f>IF(Distances[[#This Row],[Colonne189]]=$G36,GY36,Distances[[#This Row],[Colonne189]]+1)</f>
        <v>15</v>
      </c>
      <c r="HA36" s="17">
        <f>IF(Distances[[#This Row],[Colonne190]]=$G36,GZ36,Distances[[#This Row],[Colonne190]]+1)</f>
        <v>15</v>
      </c>
      <c r="HB36" s="17">
        <f>IF(Distances[[#This Row],[Colonne191]]=$G36,HA36,Distances[[#This Row],[Colonne191]]+1)</f>
        <v>15</v>
      </c>
      <c r="HC36" s="17">
        <f>IF(Distances[[#This Row],[Colonne192]]=$G36,HB36,Distances[[#This Row],[Colonne192]]+1)</f>
        <v>15</v>
      </c>
      <c r="HD36" s="17">
        <f>IF(Distances[[#This Row],[Colonne193]]=$G36,HC36,Distances[[#This Row],[Colonne193]]+1)</f>
        <v>15</v>
      </c>
      <c r="HE36" s="17">
        <f>IF(Distances[[#This Row],[Colonne194]]=$G36,HD36,Distances[[#This Row],[Colonne194]]+1)</f>
        <v>15</v>
      </c>
      <c r="HF36" s="17">
        <f>IF(Distances[[#This Row],[Colonne195]]=$G36,HE36,Distances[[#This Row],[Colonne195]]+1)</f>
        <v>15</v>
      </c>
      <c r="HG36" s="17">
        <f>IF(Distances[[#This Row],[Colonne196]]=$G36,HF36,Distances[[#This Row],[Colonne196]]+1)</f>
        <v>15</v>
      </c>
      <c r="HH36" s="17">
        <f>IF(Distances[[#This Row],[Colonne197]]=$G36,HG36,Distances[[#This Row],[Colonne197]]+1)</f>
        <v>15</v>
      </c>
      <c r="HI36" s="17">
        <f>IF(Distances[[#This Row],[Colonne198]]=$G36,HH36,Distances[[#This Row],[Colonne198]]+1)</f>
        <v>15</v>
      </c>
      <c r="HJ36" s="17">
        <f>IF(Distances[[#This Row],[Colonne199]]=$G36,HI36,Distances[[#This Row],[Colonne199]]+1)</f>
        <v>15</v>
      </c>
      <c r="HK36" s="17">
        <f>IF(Distances[[#This Row],[Colonne200]]=$G36,HJ36,Distances[[#This Row],[Colonne200]]+1)</f>
        <v>15</v>
      </c>
      <c r="HL36" s="17">
        <f>IF(Distances[[#This Row],[Colonne201]]=$G36,HK36,Distances[[#This Row],[Colonne201]]+1)</f>
        <v>15</v>
      </c>
      <c r="HM36" s="17">
        <f>IF(Distances[[#This Row],[Colonne202]]=$G36,HL36,Distances[[#This Row],[Colonne202]]+1)</f>
        <v>15</v>
      </c>
      <c r="HN36" s="17">
        <f>IF(Distances[[#This Row],[Colonne203]]=$G36,HM36,Distances[[#This Row],[Colonne203]]+1)</f>
        <v>15</v>
      </c>
      <c r="HO36" s="17">
        <f>IF(Distances[[#This Row],[Colonne204]]=$G36,HN36,Distances[[#This Row],[Colonne204]]+1)</f>
        <v>15</v>
      </c>
      <c r="HP36" s="17">
        <f>IF(Distances[[#This Row],[Colonne205]]=$G36,HO36,Distances[[#This Row],[Colonne205]]+1)</f>
        <v>15</v>
      </c>
      <c r="HQ36" s="17">
        <f>IF(Distances[[#This Row],[Colonne206]]=$G36,HP36,Distances[[#This Row],[Colonne206]]+1)</f>
        <v>15</v>
      </c>
      <c r="HR36" s="17">
        <f>IF(Distances[[#This Row],[Colonne207]]=$G36,HQ36,Distances[[#This Row],[Colonne207]]+1)</f>
        <v>15</v>
      </c>
      <c r="HS36" s="17">
        <f>IF(Distances[[#This Row],[Colonne208]]=$G36,HR36,Distances[[#This Row],[Colonne208]]+1)</f>
        <v>15</v>
      </c>
      <c r="HT36" s="17">
        <f>IF(Distances[[#This Row],[Colonne209]]=$G36,HS36,Distances[[#This Row],[Colonne209]]+1)</f>
        <v>15</v>
      </c>
      <c r="HU36" s="17">
        <f>IF(Distances[[#This Row],[Colonne210]]=$G36,HT36,Distances[[#This Row],[Colonne210]]+1)</f>
        <v>15</v>
      </c>
      <c r="HV36" s="17">
        <f>IF(Distances[[#This Row],[Colonne211]]=$G36,HU36,Distances[[#This Row],[Colonne211]]+1)</f>
        <v>15</v>
      </c>
      <c r="HW36" s="17">
        <f>IF(Distances[[#This Row],[Colonne212]]=$G36,HV36,Distances[[#This Row],[Colonne212]]+1)</f>
        <v>15</v>
      </c>
      <c r="HX36" s="17">
        <f>IF(Distances[[#This Row],[Colonne213]]=$G36,HW36,Distances[[#This Row],[Colonne213]]+1)</f>
        <v>15</v>
      </c>
      <c r="HY36" s="17">
        <f>IF(Distances[[#This Row],[Colonne214]]=$G36,HX36,Distances[[#This Row],[Colonne214]]+1)</f>
        <v>15</v>
      </c>
      <c r="HZ36" s="17">
        <f>IF(Distances[[#This Row],[Colonne215]]=$G36,HY36,Distances[[#This Row],[Colonne215]]+1)</f>
        <v>15</v>
      </c>
      <c r="IA36" s="17">
        <f>IF(Distances[[#This Row],[Colonne216]]=$G36,HZ36,Distances[[#This Row],[Colonne216]]+1)</f>
        <v>15</v>
      </c>
      <c r="IB36" s="17">
        <f>IF(Distances[[#This Row],[Colonne217]]=$G36,IA36,Distances[[#This Row],[Colonne217]]+1)</f>
        <v>15</v>
      </c>
      <c r="IC36" s="17">
        <f>IF(Distances[[#This Row],[Colonne218]]=$G36,IB36,Distances[[#This Row],[Colonne218]]+1)</f>
        <v>15</v>
      </c>
      <c r="ID36" s="17">
        <f>IF(Distances[[#This Row],[Colonne219]]=$G36,IC36,Distances[[#This Row],[Colonne219]]+1)</f>
        <v>15</v>
      </c>
      <c r="IE36" s="17">
        <f>IF(Distances[[#This Row],[Colonne220]]=$G36,ID36,Distances[[#This Row],[Colonne220]]+1)</f>
        <v>15</v>
      </c>
      <c r="IF36" s="17">
        <f>IF(Distances[[#This Row],[Colonne221]]=$G36,IE36,Distances[[#This Row],[Colonne221]]+1)</f>
        <v>15</v>
      </c>
      <c r="IG36" s="17">
        <f>IF(Distances[[#This Row],[Colonne222]]=$G36,IF36,Distances[[#This Row],[Colonne222]]+1)</f>
        <v>15</v>
      </c>
      <c r="IH36" s="17">
        <f>IF(Distances[[#This Row],[Colonne223]]=$G36,IG36,Distances[[#This Row],[Colonne223]]+1)</f>
        <v>15</v>
      </c>
      <c r="II36" s="17">
        <f>IF(Distances[[#This Row],[Colonne224]]=$G36,IH36,Distances[[#This Row],[Colonne224]]+1)</f>
        <v>15</v>
      </c>
      <c r="IJ36" s="17">
        <f>IF(Distances[[#This Row],[Colonne225]]=$G36,II36,Distances[[#This Row],[Colonne225]]+1)</f>
        <v>15</v>
      </c>
      <c r="IK36" s="17">
        <f>IF(Distances[[#This Row],[Colonne226]]=$G36,IJ36,Distances[[#This Row],[Colonne226]]+1)</f>
        <v>15</v>
      </c>
      <c r="IL36" s="17">
        <f>IF(Distances[[#This Row],[Colonne227]]=$G36,IK36,Distances[[#This Row],[Colonne227]]+1)</f>
        <v>15</v>
      </c>
      <c r="IM36" s="17">
        <f>IF(Distances[[#This Row],[Colonne228]]=$G36,IL36,Distances[[#This Row],[Colonne228]]+1)</f>
        <v>15</v>
      </c>
      <c r="IN36" s="17">
        <f>IF(Distances[[#This Row],[Colonne229]]=$G36,IM36,Distances[[#This Row],[Colonne229]]+1)</f>
        <v>15</v>
      </c>
      <c r="IO36" s="17">
        <f>IF(Distances[[#This Row],[Colonne230]]=$G36,IN36,Distances[[#This Row],[Colonne230]]+1)</f>
        <v>15</v>
      </c>
      <c r="IP36" s="17">
        <f>IF(Distances[[#This Row],[Colonne231]]=$G36,IO36,Distances[[#This Row],[Colonne231]]+1)</f>
        <v>15</v>
      </c>
      <c r="IQ36" s="17">
        <f>IF(Distances[[#This Row],[Colonne232]]=$G36,IP36,Distances[[#This Row],[Colonne232]]+1)</f>
        <v>15</v>
      </c>
      <c r="IR36" s="17">
        <f>IF(Distances[[#This Row],[Colonne233]]=$G36,IQ36,Distances[[#This Row],[Colonne233]]+1)</f>
        <v>15</v>
      </c>
      <c r="IS36" s="17">
        <f>IF(Distances[[#This Row],[Colonne234]]=$G36,IR36,Distances[[#This Row],[Colonne234]]+1)</f>
        <v>15</v>
      </c>
      <c r="IT36" s="17">
        <f>IF(Distances[[#This Row],[Colonne235]]=$G36,IS36,Distances[[#This Row],[Colonne235]]+1)</f>
        <v>15</v>
      </c>
      <c r="IU36" s="17">
        <f>IF(Distances[[#This Row],[Colonne236]]=$G36,IT36,Distances[[#This Row],[Colonne236]]+1)</f>
        <v>15</v>
      </c>
      <c r="IV36" s="17">
        <f>IF(Distances[[#This Row],[Colonne237]]=$G36,IU36,Distances[[#This Row],[Colonne237]]+1)</f>
        <v>15</v>
      </c>
      <c r="IW36" s="17">
        <f>IF(Distances[[#This Row],[Colonne238]]=$G36,IV36,Distances[[#This Row],[Colonne238]]+1)</f>
        <v>15</v>
      </c>
      <c r="IX36" s="17">
        <f>IF(Distances[[#This Row],[Colonne239]]=$G36,IW36,Distances[[#This Row],[Colonne239]]+1)</f>
        <v>15</v>
      </c>
      <c r="IY36" s="17">
        <f>IF(Distances[[#This Row],[Colonne240]]=$G36,IX36,Distances[[#This Row],[Colonne240]]+1)</f>
        <v>15</v>
      </c>
      <c r="IZ36" s="17">
        <f>IF(Distances[[#This Row],[Colonne241]]=$G36,IY36,Distances[[#This Row],[Colonne241]]+1)</f>
        <v>15</v>
      </c>
      <c r="JA36" s="17">
        <f>IF(Distances[[#This Row],[Colonne242]]=$G36,IZ36,Distances[[#This Row],[Colonne242]]+1)</f>
        <v>15</v>
      </c>
      <c r="JB36" s="17">
        <f>IF(Distances[[#This Row],[Colonne243]]=$G36,JA36,Distances[[#This Row],[Colonne243]]+1)</f>
        <v>15</v>
      </c>
      <c r="JC36" s="17">
        <f>IF(Distances[[#This Row],[Colonne244]]=$G36,JB36,Distances[[#This Row],[Colonne244]]+1)</f>
        <v>15</v>
      </c>
      <c r="JD36" s="17">
        <f>IF(Distances[[#This Row],[Colonne245]]=$G36,JC36,Distances[[#This Row],[Colonne245]]+1)</f>
        <v>15</v>
      </c>
      <c r="JE36" s="17">
        <f>IF(Distances[[#This Row],[Colonne246]]=$G36,JD36,Distances[[#This Row],[Colonne246]]+1)</f>
        <v>15</v>
      </c>
      <c r="JF36" s="17">
        <f>IF(Distances[[#This Row],[Colonne247]]=$G36,JE36,Distances[[#This Row],[Colonne247]]+1)</f>
        <v>15</v>
      </c>
      <c r="JG36" s="17">
        <f>IF(Distances[[#This Row],[Colonne248]]=$G36,JF36,Distances[[#This Row],[Colonne248]]+1)</f>
        <v>15</v>
      </c>
      <c r="JH36" s="17">
        <f>IF(Distances[[#This Row],[Colonne249]]=$G36,JG36,Distances[[#This Row],[Colonne249]]+1)</f>
        <v>15</v>
      </c>
      <c r="JI36" s="17">
        <f>IF(Distances[[#This Row],[Colonne250]]=$G36,JH36,Distances[[#This Row],[Colonne250]]+1)</f>
        <v>15</v>
      </c>
      <c r="JJ36" s="17">
        <f>IF(Distances[[#This Row],[Colonne251]]=$G36,JI36,Distances[[#This Row],[Colonne251]]+1)</f>
        <v>15</v>
      </c>
      <c r="JK36" s="17">
        <f>IF(Distances[[#This Row],[Colonne252]]=$G36,JJ36,Distances[[#This Row],[Colonne252]]+1)</f>
        <v>15</v>
      </c>
      <c r="JL36" s="17">
        <f>IF(Distances[[#This Row],[Colonne253]]=$G36,JK36,Distances[[#This Row],[Colonne253]]+1)</f>
        <v>15</v>
      </c>
      <c r="JM36" s="17">
        <f>IF(Distances[[#This Row],[Colonne254]]=$G36,JL36,Distances[[#This Row],[Colonne254]]+1)</f>
        <v>15</v>
      </c>
      <c r="JN36" s="17">
        <f>IF(Distances[[#This Row],[Colonne255]]=$G36,JM36,Distances[[#This Row],[Colonne255]]+1)</f>
        <v>15</v>
      </c>
      <c r="JO36" s="17">
        <f>IF(Distances[[#This Row],[Colonne256]]=$G36,JN36,Distances[[#This Row],[Colonne256]]+1)</f>
        <v>15</v>
      </c>
      <c r="JP36" s="17">
        <f>IF(Distances[[#This Row],[Colonne257]]=$G36,JO36,Distances[[#This Row],[Colonne257]]+1)</f>
        <v>15</v>
      </c>
      <c r="JQ36" s="17">
        <f>IF(Distances[[#This Row],[Colonne258]]=$G36,JP36,Distances[[#This Row],[Colonne258]]+1)</f>
        <v>15</v>
      </c>
      <c r="JR36" s="17">
        <f>IF(Distances[[#This Row],[Colonne259]]=$G36,JQ36,Distances[[#This Row],[Colonne259]]+1)</f>
        <v>15</v>
      </c>
      <c r="JS36" s="17">
        <f>IF(Distances[[#This Row],[Colonne260]]=$G36,JR36,Distances[[#This Row],[Colonne260]]+1)</f>
        <v>15</v>
      </c>
      <c r="JT36" s="17">
        <f>IF(Distances[[#This Row],[Colonne261]]=$G36,JS36,Distances[[#This Row],[Colonne261]]+1)</f>
        <v>15</v>
      </c>
      <c r="JU36" s="17">
        <f>IF(Distances[[#This Row],[Colonne262]]=$G36,JT36,Distances[[#This Row],[Colonne262]]+1)</f>
        <v>15</v>
      </c>
      <c r="JV36" s="17">
        <f>IF(Distances[[#This Row],[Colonne263]]=$G36,JU36,Distances[[#This Row],[Colonne263]]+1)</f>
        <v>15</v>
      </c>
      <c r="JW36" s="17">
        <f>IF(Distances[[#This Row],[Colonne264]]=$G36,JV36,Distances[[#This Row],[Colonne264]]+1)</f>
        <v>15</v>
      </c>
      <c r="JX36" s="17">
        <f>IF(Distances[[#This Row],[Colonne265]]=$G36,JW36,Distances[[#This Row],[Colonne265]]+1)</f>
        <v>15</v>
      </c>
      <c r="JY36" s="17">
        <f>IF(Distances[[#This Row],[Colonne266]]=$G36,JX36,Distances[[#This Row],[Colonne266]]+1)</f>
        <v>15</v>
      </c>
      <c r="JZ36" s="17">
        <f>IF(Distances[[#This Row],[Colonne267]]=$G36,JY36,Distances[[#This Row],[Colonne267]]+1)</f>
        <v>15</v>
      </c>
      <c r="KA36" s="17">
        <f>IF(Distances[[#This Row],[Colonne268]]=$G36,JZ36,Distances[[#This Row],[Colonne268]]+1)</f>
        <v>15</v>
      </c>
      <c r="KB36" s="17">
        <f>IF(Distances[[#This Row],[Colonne269]]=$G36,KA36,Distances[[#This Row],[Colonne269]]+1)</f>
        <v>15</v>
      </c>
      <c r="KC36" s="17">
        <f>IF(Distances[[#This Row],[Colonne270]]=$G36,KB36,Distances[[#This Row],[Colonne270]]+1)</f>
        <v>15</v>
      </c>
      <c r="KD36" s="17">
        <f>IF(Distances[[#This Row],[Colonne271]]=$G36,KC36,Distances[[#This Row],[Colonne271]]+1)</f>
        <v>15</v>
      </c>
      <c r="KE36" s="17">
        <f>IF(Distances[[#This Row],[Colonne272]]=$G36,KD36,Distances[[#This Row],[Colonne272]]+1)</f>
        <v>15</v>
      </c>
      <c r="KF36" s="17">
        <f>IF(Distances[[#This Row],[Colonne273]]=$G36,KE36,Distances[[#This Row],[Colonne273]]+1)</f>
        <v>15</v>
      </c>
      <c r="KG36" s="17">
        <f>IF(Distances[[#This Row],[Colonne274]]=$G36,KF36,Distances[[#This Row],[Colonne274]]+1)</f>
        <v>15</v>
      </c>
      <c r="KH36" s="17">
        <f>IF(Distances[[#This Row],[Colonne275]]=$G36,KG36,Distances[[#This Row],[Colonne275]]+1)</f>
        <v>15</v>
      </c>
      <c r="KI36" s="17">
        <f>IF(Distances[[#This Row],[Colonne276]]=$G36,KH36,Distances[[#This Row],[Colonne276]]+1)</f>
        <v>15</v>
      </c>
      <c r="KJ36" s="17">
        <f>IF(Distances[[#This Row],[Colonne277]]=$G36,KI36,Distances[[#This Row],[Colonne277]]+1)</f>
        <v>15</v>
      </c>
      <c r="KK36" s="17">
        <f>IF(Distances[[#This Row],[Colonne278]]=$G36,KJ36,Distances[[#This Row],[Colonne278]]+1)</f>
        <v>15</v>
      </c>
      <c r="KL36" s="17">
        <f>IF(Distances[[#This Row],[Colonne279]]=$G36,KK36,Distances[[#This Row],[Colonne279]]+1)</f>
        <v>15</v>
      </c>
      <c r="KM36" s="17">
        <f>IF(Distances[[#This Row],[Colonne280]]=$G36,KL36,Distances[[#This Row],[Colonne280]]+1)</f>
        <v>15</v>
      </c>
      <c r="KN36" s="17">
        <f>IF(Distances[[#This Row],[Colonne281]]=$G36,KM36,Distances[[#This Row],[Colonne281]]+1)</f>
        <v>15</v>
      </c>
      <c r="KO36" s="17">
        <f>IF(Distances[[#This Row],[Colonne282]]=$G36,KN36,Distances[[#This Row],[Colonne282]]+1)</f>
        <v>15</v>
      </c>
      <c r="KP36" s="17">
        <f>IF(Distances[[#This Row],[Colonne283]]=$G36,KO36,Distances[[#This Row],[Colonne283]]+1)</f>
        <v>15</v>
      </c>
      <c r="KQ36" s="17">
        <f>IF(Distances[[#This Row],[Colonne284]]=$G36,KP36,Distances[[#This Row],[Colonne284]]+1)</f>
        <v>15</v>
      </c>
      <c r="KR36" s="17">
        <f>IF(Distances[[#This Row],[Colonne285]]=$G36,KQ36,Distances[[#This Row],[Colonne285]]+1)</f>
        <v>15</v>
      </c>
      <c r="KS36" s="17">
        <f>IF(Distances[[#This Row],[Colonne286]]=$G36,KR36,Distances[[#This Row],[Colonne286]]+1)</f>
        <v>15</v>
      </c>
      <c r="KT36" s="17">
        <f>IF(Distances[[#This Row],[Colonne287]]=$G36,KS36,Distances[[#This Row],[Colonne287]]+1)</f>
        <v>15</v>
      </c>
      <c r="KU36" s="17">
        <f>IF(Distances[[#This Row],[Colonne288]]=$G36,KT36,Distances[[#This Row],[Colonne288]]+1)</f>
        <v>15</v>
      </c>
      <c r="KV36" s="17">
        <f>IF(Distances[[#This Row],[Colonne289]]=$G36,KU36,Distances[[#This Row],[Colonne289]]+1)</f>
        <v>15</v>
      </c>
      <c r="KW36" s="17">
        <f>IF(Distances[[#This Row],[Colonne290]]=$G36,KV36,Distances[[#This Row],[Colonne290]]+1)</f>
        <v>15</v>
      </c>
      <c r="KX36" s="17">
        <f>IF(Distances[[#This Row],[Colonne291]]=$G36,KW36,Distances[[#This Row],[Colonne291]]+1)</f>
        <v>15</v>
      </c>
      <c r="KY36" s="17">
        <f>IF(Distances[[#This Row],[Colonne292]]=$G36,KX36,Distances[[#This Row],[Colonne292]]+1)</f>
        <v>15</v>
      </c>
      <c r="KZ36" s="17">
        <f>IF(Distances[[#This Row],[Colonne293]]=$G36,KY36,Distances[[#This Row],[Colonne293]]+1)</f>
        <v>15</v>
      </c>
      <c r="LA36" s="17">
        <f>IF(Distances[[#This Row],[Colonne294]]=$G36,KZ36,Distances[[#This Row],[Colonne294]]+1)</f>
        <v>15</v>
      </c>
      <c r="LB36" s="17">
        <f>IF(Distances[[#This Row],[Colonne295]]=$G36,LA36,Distances[[#This Row],[Colonne295]]+1)</f>
        <v>15</v>
      </c>
      <c r="LC36" s="17">
        <f>IF(Distances[[#This Row],[Colonne296]]=$G36,LB36,Distances[[#This Row],[Colonne296]]+1)</f>
        <v>15</v>
      </c>
      <c r="LD36" s="17">
        <f>IF(Distances[[#This Row],[Colonne297]]=$G36,LC36,Distances[[#This Row],[Colonne297]]+1)</f>
        <v>15</v>
      </c>
      <c r="LE36" s="17">
        <f>IF(Distances[[#This Row],[Colonne298]]=$G36,LD36,Distances[[#This Row],[Colonne298]]+1)</f>
        <v>15</v>
      </c>
      <c r="LF36" s="17">
        <f>IF(Distances[[#This Row],[Colonne299]]=$G36,LE36,Distances[[#This Row],[Colonne299]]+1)</f>
        <v>15</v>
      </c>
      <c r="LG36" s="17">
        <f>IF(Distances[[#This Row],[Colonne300]]=$G36,LF36,Distances[[#This Row],[Colonne300]]+1)</f>
        <v>15</v>
      </c>
      <c r="LH36" s="17">
        <f>IF(Distances[[#This Row],[Colonne301]]=$G36,LG36,Distances[[#This Row],[Colonne301]]+1)</f>
        <v>15</v>
      </c>
      <c r="LI36" s="17">
        <f>IF(Distances[[#This Row],[Colonne302]]=$G36,LH36,Distances[[#This Row],[Colonne302]]+1)</f>
        <v>15</v>
      </c>
      <c r="LJ36" s="17">
        <f>IF(Distances[[#This Row],[Colonne303]]=$G36,LI36,Distances[[#This Row],[Colonne303]]+1)</f>
        <v>15</v>
      </c>
      <c r="LK36" s="51"/>
      <c r="LL36" s="17">
        <f t="shared" ref="LL36:NW36" si="70">IF(LK36=$H36,LK36,LK36+1)</f>
        <v>1</v>
      </c>
      <c r="LM36" s="17">
        <f t="shared" si="70"/>
        <v>2</v>
      </c>
      <c r="LN36" s="17">
        <f t="shared" si="70"/>
        <v>3</v>
      </c>
      <c r="LO36" s="17">
        <f t="shared" si="70"/>
        <v>4</v>
      </c>
      <c r="LP36" s="17">
        <f t="shared" si="70"/>
        <v>5</v>
      </c>
      <c r="LQ36" s="17">
        <f t="shared" si="70"/>
        <v>6</v>
      </c>
      <c r="LR36" s="17">
        <f t="shared" si="70"/>
        <v>7</v>
      </c>
      <c r="LS36" s="17">
        <f t="shared" si="70"/>
        <v>8</v>
      </c>
      <c r="LT36" s="17">
        <f t="shared" si="70"/>
        <v>9</v>
      </c>
      <c r="LU36" s="17">
        <f t="shared" si="70"/>
        <v>10</v>
      </c>
      <c r="LV36" s="17">
        <f t="shared" si="70"/>
        <v>11</v>
      </c>
      <c r="LW36" s="17">
        <f t="shared" si="70"/>
        <v>12</v>
      </c>
      <c r="LX36" s="17">
        <f t="shared" si="70"/>
        <v>13</v>
      </c>
      <c r="LY36" s="17">
        <f t="shared" si="70"/>
        <v>14</v>
      </c>
      <c r="LZ36" s="17">
        <f t="shared" si="70"/>
        <v>15</v>
      </c>
      <c r="MA36" s="17">
        <f t="shared" si="70"/>
        <v>16</v>
      </c>
      <c r="MB36" s="17">
        <f t="shared" si="70"/>
        <v>17</v>
      </c>
      <c r="MC36" s="17">
        <f t="shared" si="70"/>
        <v>18</v>
      </c>
      <c r="MD36" s="17">
        <f t="shared" si="70"/>
        <v>19</v>
      </c>
      <c r="ME36" s="17">
        <f t="shared" si="70"/>
        <v>20</v>
      </c>
      <c r="MF36" s="17">
        <f t="shared" si="70"/>
        <v>21</v>
      </c>
      <c r="MG36" s="17">
        <f t="shared" si="70"/>
        <v>22</v>
      </c>
      <c r="MH36" s="17">
        <f t="shared" si="70"/>
        <v>23</v>
      </c>
      <c r="MI36" s="17">
        <f t="shared" si="70"/>
        <v>24</v>
      </c>
      <c r="MJ36" s="17">
        <f t="shared" si="70"/>
        <v>25</v>
      </c>
      <c r="MK36" s="17">
        <f t="shared" si="70"/>
        <v>26</v>
      </c>
      <c r="ML36" s="17">
        <f t="shared" si="70"/>
        <v>27</v>
      </c>
      <c r="MM36" s="17">
        <f t="shared" si="70"/>
        <v>28</v>
      </c>
      <c r="MN36" s="17">
        <f t="shared" si="70"/>
        <v>29</v>
      </c>
      <c r="MO36" s="17">
        <f t="shared" si="70"/>
        <v>30</v>
      </c>
      <c r="MP36" s="17">
        <f t="shared" si="70"/>
        <v>31</v>
      </c>
      <c r="MQ36" s="17">
        <f t="shared" si="70"/>
        <v>32</v>
      </c>
      <c r="MR36" s="17">
        <f t="shared" si="70"/>
        <v>33</v>
      </c>
      <c r="MS36" s="17">
        <f t="shared" si="70"/>
        <v>34</v>
      </c>
      <c r="MT36" s="17">
        <f t="shared" si="70"/>
        <v>35</v>
      </c>
      <c r="MU36" s="17">
        <f t="shared" si="70"/>
        <v>36</v>
      </c>
      <c r="MV36" s="17">
        <f t="shared" si="70"/>
        <v>37</v>
      </c>
      <c r="MW36" s="17">
        <f t="shared" si="70"/>
        <v>38</v>
      </c>
      <c r="MX36" s="17">
        <f t="shared" si="70"/>
        <v>39</v>
      </c>
      <c r="MY36" s="17">
        <f t="shared" si="70"/>
        <v>40</v>
      </c>
      <c r="MZ36" s="17">
        <f t="shared" si="70"/>
        <v>40</v>
      </c>
      <c r="NA36" s="17">
        <f t="shared" si="70"/>
        <v>40</v>
      </c>
      <c r="NB36" s="17">
        <f t="shared" si="70"/>
        <v>40</v>
      </c>
      <c r="NC36" s="17">
        <f t="shared" si="70"/>
        <v>40</v>
      </c>
      <c r="ND36" s="17">
        <f t="shared" si="70"/>
        <v>40</v>
      </c>
      <c r="NE36" s="17">
        <f t="shared" si="70"/>
        <v>40</v>
      </c>
      <c r="NF36" s="17">
        <f t="shared" si="70"/>
        <v>40</v>
      </c>
      <c r="NG36" s="17">
        <f t="shared" si="70"/>
        <v>40</v>
      </c>
      <c r="NH36" s="17">
        <f t="shared" si="70"/>
        <v>40</v>
      </c>
      <c r="NI36" s="17">
        <f t="shared" si="70"/>
        <v>40</v>
      </c>
      <c r="NJ36" s="17">
        <f t="shared" si="70"/>
        <v>40</v>
      </c>
      <c r="NK36" s="17">
        <f t="shared" si="70"/>
        <v>40</v>
      </c>
      <c r="NL36" s="17">
        <f t="shared" si="70"/>
        <v>40</v>
      </c>
      <c r="NM36" s="17">
        <f t="shared" si="70"/>
        <v>40</v>
      </c>
      <c r="NN36" s="17">
        <f t="shared" si="70"/>
        <v>40</v>
      </c>
      <c r="NO36" s="17">
        <f t="shared" si="70"/>
        <v>40</v>
      </c>
      <c r="NP36" s="17">
        <f t="shared" si="70"/>
        <v>40</v>
      </c>
      <c r="NQ36" s="17">
        <f t="shared" si="70"/>
        <v>40</v>
      </c>
      <c r="NR36" s="17">
        <f t="shared" si="70"/>
        <v>40</v>
      </c>
      <c r="NS36" s="17">
        <f t="shared" si="70"/>
        <v>40</v>
      </c>
      <c r="NT36" s="17">
        <f t="shared" si="70"/>
        <v>40</v>
      </c>
      <c r="NU36" s="17">
        <f t="shared" si="70"/>
        <v>40</v>
      </c>
      <c r="NV36" s="17">
        <f t="shared" si="70"/>
        <v>40</v>
      </c>
      <c r="NW36" s="17">
        <f t="shared" si="70"/>
        <v>40</v>
      </c>
      <c r="NX36" s="17">
        <f t="shared" ref="NX36:PG36" si="71">IF(NW36=$H36,NW36,NW36+1)</f>
        <v>40</v>
      </c>
      <c r="NY36" s="17">
        <f t="shared" si="71"/>
        <v>40</v>
      </c>
      <c r="NZ36" s="17">
        <f t="shared" si="71"/>
        <v>40</v>
      </c>
      <c r="OA36" s="17">
        <f t="shared" si="71"/>
        <v>40</v>
      </c>
      <c r="OB36" s="17">
        <f t="shared" si="71"/>
        <v>40</v>
      </c>
      <c r="OC36" s="17">
        <f t="shared" si="71"/>
        <v>40</v>
      </c>
      <c r="OD36" s="17">
        <f t="shared" si="71"/>
        <v>40</v>
      </c>
      <c r="OE36" s="17">
        <f t="shared" si="71"/>
        <v>40</v>
      </c>
      <c r="OF36" s="17">
        <f t="shared" si="71"/>
        <v>40</v>
      </c>
      <c r="OG36" s="17">
        <f t="shared" si="71"/>
        <v>40</v>
      </c>
      <c r="OH36" s="17">
        <f t="shared" si="71"/>
        <v>40</v>
      </c>
      <c r="OI36" s="17">
        <f t="shared" si="71"/>
        <v>40</v>
      </c>
      <c r="OJ36" s="17">
        <f t="shared" si="71"/>
        <v>40</v>
      </c>
      <c r="OK36" s="17">
        <f t="shared" si="71"/>
        <v>40</v>
      </c>
      <c r="OL36" s="17">
        <f t="shared" si="71"/>
        <v>40</v>
      </c>
      <c r="OM36" s="17">
        <f t="shared" si="71"/>
        <v>40</v>
      </c>
      <c r="ON36" s="17">
        <f t="shared" si="71"/>
        <v>40</v>
      </c>
      <c r="OO36" s="17">
        <f t="shared" si="71"/>
        <v>40</v>
      </c>
      <c r="OP36" s="17">
        <f t="shared" si="71"/>
        <v>40</v>
      </c>
      <c r="OQ36" s="17">
        <f t="shared" si="71"/>
        <v>40</v>
      </c>
      <c r="OR36" s="17">
        <f t="shared" si="71"/>
        <v>40</v>
      </c>
      <c r="OS36" s="17">
        <f t="shared" si="71"/>
        <v>40</v>
      </c>
      <c r="OT36" s="17">
        <f t="shared" si="71"/>
        <v>40</v>
      </c>
      <c r="OU36" s="17">
        <f t="shared" si="71"/>
        <v>40</v>
      </c>
      <c r="OV36" s="17">
        <f t="shared" si="71"/>
        <v>40</v>
      </c>
      <c r="OW36" s="17">
        <f t="shared" si="71"/>
        <v>40</v>
      </c>
      <c r="OX36" s="17">
        <f t="shared" si="71"/>
        <v>40</v>
      </c>
      <c r="OY36" s="17">
        <f t="shared" si="71"/>
        <v>40</v>
      </c>
      <c r="OZ36" s="17">
        <f t="shared" si="71"/>
        <v>40</v>
      </c>
      <c r="PA36" s="17">
        <f t="shared" si="71"/>
        <v>40</v>
      </c>
      <c r="PB36" s="17">
        <f t="shared" si="71"/>
        <v>40</v>
      </c>
      <c r="PC36" s="17">
        <f t="shared" si="71"/>
        <v>40</v>
      </c>
      <c r="PD36" s="17">
        <f t="shared" si="71"/>
        <v>40</v>
      </c>
      <c r="PE36" s="17">
        <f t="shared" si="71"/>
        <v>40</v>
      </c>
      <c r="PF36" s="17">
        <f t="shared" si="71"/>
        <v>40</v>
      </c>
      <c r="PG36" s="17">
        <f t="shared" si="71"/>
        <v>40</v>
      </c>
    </row>
    <row r="37" spans="1:423" x14ac:dyDescent="0.25">
      <c r="A37" s="8" t="s">
        <v>5454</v>
      </c>
      <c r="B37" s="9" t="s">
        <v>8506</v>
      </c>
      <c r="C37" s="9" t="str">
        <f t="shared" ref="C37:C75" si="72">LEFT(A37)&amp;B37</f>
        <v>3Dames LBIF 2</v>
      </c>
      <c r="D37" s="1" t="str">
        <f t="shared" ref="D37:D72" si="73">A37&amp;" "&amp;B37</f>
        <v>3 Bandes Dames LBIF 2</v>
      </c>
      <c r="E37" s="1" t="s">
        <v>8498</v>
      </c>
      <c r="F37" s="9" t="s">
        <v>5452</v>
      </c>
      <c r="G37" s="9">
        <v>10</v>
      </c>
      <c r="H37" s="9">
        <v>30</v>
      </c>
      <c r="I37" s="127">
        <v>2.8</v>
      </c>
      <c r="J37" s="30"/>
      <c r="K37" s="10"/>
      <c r="L37" s="8">
        <v>0</v>
      </c>
      <c r="M37" s="9"/>
      <c r="N37" s="10">
        <v>0.249</v>
      </c>
      <c r="O37" s="269"/>
      <c r="P37" s="331"/>
      <c r="Q37" s="335"/>
      <c r="R37" s="128"/>
      <c r="S37" s="9"/>
      <c r="T37" s="10"/>
      <c r="U37" t="s">
        <v>5523</v>
      </c>
      <c r="V37" s="17">
        <v>0</v>
      </c>
      <c r="W37" s="17">
        <f>IF(Distances[[#This Row],[Colonne4]]=$G37,V37,Distances[[#This Row],[Colonne4]]+1)</f>
        <v>1</v>
      </c>
      <c r="X37" s="17">
        <f>IF(Distances[[#This Row],[Colonne5]]=$G37,W37,Distances[[#This Row],[Colonne5]]+1)</f>
        <v>2</v>
      </c>
      <c r="Y37" s="17">
        <f>IF(Distances[[#This Row],[Colonne6]]=$G37,X37,Distances[[#This Row],[Colonne6]]+1)</f>
        <v>3</v>
      </c>
      <c r="Z37" s="17">
        <f>IF(Distances[[#This Row],[Colonne7]]=$G37,Y37,Distances[[#This Row],[Colonne7]]+1)</f>
        <v>4</v>
      </c>
      <c r="AA37" s="17">
        <f>IF(Distances[[#This Row],[Colonne8]]=$G37,Z37,Distances[[#This Row],[Colonne8]]+1)</f>
        <v>5</v>
      </c>
      <c r="AB37" s="17">
        <f>IF(Distances[[#This Row],[Colonne9]]=$G37,AA37,Distances[[#This Row],[Colonne9]]+1)</f>
        <v>6</v>
      </c>
      <c r="AC37" s="17">
        <f>IF(Distances[[#This Row],[Colonne10]]=$G37,AB37,Distances[[#This Row],[Colonne10]]+1)</f>
        <v>7</v>
      </c>
      <c r="AD37" s="17">
        <f>IF(Distances[[#This Row],[Colonne11]]=$G37,AC37,Distances[[#This Row],[Colonne11]]+1)</f>
        <v>8</v>
      </c>
      <c r="AE37" s="17">
        <f>IF(Distances[[#This Row],[Colonne12]]=$G37,AD37,Distances[[#This Row],[Colonne12]]+1)</f>
        <v>9</v>
      </c>
      <c r="AF37" s="17">
        <f>IF(Distances[[#This Row],[Colonne13]]=$G37,AE37,Distances[[#This Row],[Colonne13]]+1)</f>
        <v>10</v>
      </c>
      <c r="AG37" s="17">
        <f>IF(Distances[[#This Row],[Colonne14]]=$G37,AF37,Distances[[#This Row],[Colonne14]]+1)</f>
        <v>10</v>
      </c>
      <c r="AH37" s="17">
        <f>IF(Distances[[#This Row],[Colonne15]]=$G37,AG37,Distances[[#This Row],[Colonne15]]+1)</f>
        <v>10</v>
      </c>
      <c r="AI37" s="17">
        <f>IF(Distances[[#This Row],[Colonne16]]=$G37,AH37,Distances[[#This Row],[Colonne16]]+1)</f>
        <v>10</v>
      </c>
      <c r="AJ37" s="17">
        <f>IF(Distances[[#This Row],[Colonne17]]=$G37,AI37,Distances[[#This Row],[Colonne17]]+1)</f>
        <v>10</v>
      </c>
      <c r="AK37" s="17">
        <f>IF(Distances[[#This Row],[Colonne18]]=$G37,AJ37,Distances[[#This Row],[Colonne18]]+1)</f>
        <v>10</v>
      </c>
      <c r="AL37" s="17">
        <f>IF(Distances[[#This Row],[Colonne19]]=$G37,AK37,Distances[[#This Row],[Colonne19]]+1)</f>
        <v>10</v>
      </c>
      <c r="AM37" s="17">
        <f>IF(Distances[[#This Row],[Colonne20]]=$G37,AL37,Distances[[#This Row],[Colonne20]]+1)</f>
        <v>10</v>
      </c>
      <c r="AN37" s="17">
        <f>IF(Distances[[#This Row],[Colonne21]]=$G37,AM37,Distances[[#This Row],[Colonne21]]+1)</f>
        <v>10</v>
      </c>
      <c r="AO37" s="17">
        <f>IF(Distances[[#This Row],[Colonne22]]=$G37,AN37,Distances[[#This Row],[Colonne22]]+1)</f>
        <v>10</v>
      </c>
      <c r="AP37" s="17">
        <f>IF(Distances[[#This Row],[Colonne23]]=$G37,AO37,Distances[[#This Row],[Colonne23]]+1)</f>
        <v>10</v>
      </c>
      <c r="AQ37" s="17">
        <f>IF(Distances[[#This Row],[Colonne24]]=$G37,AP37,Distances[[#This Row],[Colonne24]]+1)</f>
        <v>10</v>
      </c>
      <c r="AR37" s="17">
        <f>IF(Distances[[#This Row],[Colonne25]]=$G37,AQ37,Distances[[#This Row],[Colonne25]]+1)</f>
        <v>10</v>
      </c>
      <c r="AS37" s="17">
        <f>IF(Distances[[#This Row],[Colonne26]]=$G37,AR37,Distances[[#This Row],[Colonne26]]+1)</f>
        <v>10</v>
      </c>
      <c r="AT37" s="17">
        <f>IF(Distances[[#This Row],[Colonne27]]=$G37,AS37,Distances[[#This Row],[Colonne27]]+1)</f>
        <v>10</v>
      </c>
      <c r="AU37" s="17">
        <f>IF(Distances[[#This Row],[Colonne28]]=$G37,AT37,Distances[[#This Row],[Colonne28]]+1)</f>
        <v>10</v>
      </c>
      <c r="AV37" s="17">
        <f>IF(Distances[[#This Row],[Colonne29]]=$G37,AU37,Distances[[#This Row],[Colonne29]]+1)</f>
        <v>10</v>
      </c>
      <c r="AW37" s="17">
        <f>IF(Distances[[#This Row],[Colonne30]]=$G37,AV37,Distances[[#This Row],[Colonne30]]+1)</f>
        <v>10</v>
      </c>
      <c r="AX37" s="17">
        <f>IF(Distances[[#This Row],[Colonne31]]=$G37,AW37,Distances[[#This Row],[Colonne31]]+1)</f>
        <v>10</v>
      </c>
      <c r="AY37" s="17">
        <f>IF(Distances[[#This Row],[Colonne32]]=$G37,AX37,Distances[[#This Row],[Colonne32]]+1)</f>
        <v>10</v>
      </c>
      <c r="AZ37" s="17">
        <f>IF(Distances[[#This Row],[Colonne33]]=$G37,AY37,Distances[[#This Row],[Colonne33]]+1)</f>
        <v>10</v>
      </c>
      <c r="BA37" s="17">
        <f>IF(Distances[[#This Row],[Colonne34]]=$G37,AZ37,Distances[[#This Row],[Colonne34]]+1)</f>
        <v>10</v>
      </c>
      <c r="BB37" s="17">
        <f>IF(Distances[[#This Row],[Colonne35]]=$G37,BA37,Distances[[#This Row],[Colonne35]]+1)</f>
        <v>10</v>
      </c>
      <c r="BC37" s="17">
        <f>IF(Distances[[#This Row],[Colonne36]]=$G37,BB37,Distances[[#This Row],[Colonne36]]+1)</f>
        <v>10</v>
      </c>
      <c r="BD37" s="17">
        <f>IF(Distances[[#This Row],[Colonne37]]=$G37,BC37,Distances[[#This Row],[Colonne37]]+1)</f>
        <v>10</v>
      </c>
      <c r="BE37" s="17">
        <f>IF(Distances[[#This Row],[Colonne38]]=$G37,BD37,Distances[[#This Row],[Colonne38]]+1)</f>
        <v>10</v>
      </c>
      <c r="BF37" s="17">
        <f>IF(Distances[[#This Row],[Colonne39]]=$G37,BE37,Distances[[#This Row],[Colonne39]]+1)</f>
        <v>10</v>
      </c>
      <c r="BG37" s="17">
        <f>IF(Distances[[#This Row],[Colonne40]]=$G37,BF37,Distances[[#This Row],[Colonne40]]+1)</f>
        <v>10</v>
      </c>
      <c r="BH37" s="17">
        <f>IF(Distances[[#This Row],[Colonne41]]=$G37,BG37,Distances[[#This Row],[Colonne41]]+1)</f>
        <v>10</v>
      </c>
      <c r="BI37" s="17">
        <f>IF(Distances[[#This Row],[Colonne42]]=$G37,BH37,Distances[[#This Row],[Colonne42]]+1)</f>
        <v>10</v>
      </c>
      <c r="BJ37" s="17">
        <f>IF(Distances[[#This Row],[Colonne43]]=$G37,BI37,Distances[[#This Row],[Colonne43]]+1)</f>
        <v>10</v>
      </c>
      <c r="BK37" s="17">
        <f>IF(Distances[[#This Row],[Colonne44]]=$G37,BJ37,Distances[[#This Row],[Colonne44]]+1)</f>
        <v>10</v>
      </c>
      <c r="BL37" s="17">
        <f>IF(Distances[[#This Row],[Colonne45]]=$G37,BK37,Distances[[#This Row],[Colonne45]]+1)</f>
        <v>10</v>
      </c>
      <c r="BM37" s="17">
        <f>IF(Distances[[#This Row],[Colonne46]]=$G37,BL37,Distances[[#This Row],[Colonne46]]+1)</f>
        <v>10</v>
      </c>
      <c r="BN37" s="17">
        <f>IF(Distances[[#This Row],[Colonne47]]=$G37,BM37,Distances[[#This Row],[Colonne47]]+1)</f>
        <v>10</v>
      </c>
      <c r="BO37" s="17">
        <f>IF(Distances[[#This Row],[Colonne48]]=$G37,BN37,Distances[[#This Row],[Colonne48]]+1)</f>
        <v>10</v>
      </c>
      <c r="BP37" s="17">
        <f>IF(Distances[[#This Row],[Colonne49]]=$G37,BO37,Distances[[#This Row],[Colonne49]]+1)</f>
        <v>10</v>
      </c>
      <c r="BQ37" s="17">
        <f>IF(Distances[[#This Row],[Colonne50]]=$G37,BP37,Distances[[#This Row],[Colonne50]]+1)</f>
        <v>10</v>
      </c>
      <c r="BR37" s="17">
        <f>IF(Distances[[#This Row],[Colonne51]]=$G37,BQ37,Distances[[#This Row],[Colonne51]]+1)</f>
        <v>10</v>
      </c>
      <c r="BS37" s="17">
        <f>IF(Distances[[#This Row],[Colonne52]]=$G37,BR37,Distances[[#This Row],[Colonne52]]+1)</f>
        <v>10</v>
      </c>
      <c r="BT37" s="17">
        <f>IF(Distances[[#This Row],[Colonne53]]=$G37,BS37,Distances[[#This Row],[Colonne53]]+1)</f>
        <v>10</v>
      </c>
      <c r="BU37" s="17">
        <f>IF(Distances[[#This Row],[Colonne54]]=$G37,BT37,Distances[[#This Row],[Colonne54]]+1)</f>
        <v>10</v>
      </c>
      <c r="BV37" s="17">
        <f>IF(Distances[[#This Row],[Colonne55]]=$G37,BU37,Distances[[#This Row],[Colonne55]]+1)</f>
        <v>10</v>
      </c>
      <c r="BW37" s="17">
        <f>IF(Distances[[#This Row],[Colonne56]]=$G37,BV37,Distances[[#This Row],[Colonne56]]+1)</f>
        <v>10</v>
      </c>
      <c r="BX37" s="17">
        <f>IF(Distances[[#This Row],[Colonne57]]=$G37,BW37,Distances[[#This Row],[Colonne57]]+1)</f>
        <v>10</v>
      </c>
      <c r="BY37" s="17">
        <f>IF(Distances[[#This Row],[Colonne58]]=$G37,BX37,Distances[[#This Row],[Colonne58]]+1)</f>
        <v>10</v>
      </c>
      <c r="BZ37" s="17">
        <f>IF(Distances[[#This Row],[Colonne59]]=$G37,BY37,Distances[[#This Row],[Colonne59]]+1)</f>
        <v>10</v>
      </c>
      <c r="CA37" s="17">
        <f>IF(Distances[[#This Row],[Colonne60]]=$G37,BZ37,Distances[[#This Row],[Colonne60]]+1)</f>
        <v>10</v>
      </c>
      <c r="CB37" s="17">
        <f>IF(Distances[[#This Row],[Colonne61]]=$G37,CA37,Distances[[#This Row],[Colonne61]]+1)</f>
        <v>10</v>
      </c>
      <c r="CC37" s="17">
        <f>IF(Distances[[#This Row],[Colonne62]]=$G37,CB37,Distances[[#This Row],[Colonne62]]+1)</f>
        <v>10</v>
      </c>
      <c r="CD37" s="17">
        <f>IF(Distances[[#This Row],[Colonne63]]=$G37,CC37,Distances[[#This Row],[Colonne63]]+1)</f>
        <v>10</v>
      </c>
      <c r="CE37" s="17">
        <f>IF(Distances[[#This Row],[Colonne64]]=$G37,CD37,Distances[[#This Row],[Colonne64]]+1)</f>
        <v>10</v>
      </c>
      <c r="CF37" s="17">
        <f>IF(Distances[[#This Row],[Colonne65]]=$G37,CE37,Distances[[#This Row],[Colonne65]]+1)</f>
        <v>10</v>
      </c>
      <c r="CG37" s="17">
        <f>IF(Distances[[#This Row],[Colonne66]]=$G37,CF37,Distances[[#This Row],[Colonne66]]+1)</f>
        <v>10</v>
      </c>
      <c r="CH37" s="17">
        <f>IF(Distances[[#This Row],[Colonne67]]=$G37,CG37,Distances[[#This Row],[Colonne67]]+1)</f>
        <v>10</v>
      </c>
      <c r="CI37" s="17">
        <f>IF(Distances[[#This Row],[Colonne68]]=$G37,CH37,Distances[[#This Row],[Colonne68]]+1)</f>
        <v>10</v>
      </c>
      <c r="CJ37" s="17">
        <f>IF(Distances[[#This Row],[Colonne69]]=$G37,CI37,Distances[[#This Row],[Colonne69]]+1)</f>
        <v>10</v>
      </c>
      <c r="CK37" s="17">
        <f>IF(Distances[[#This Row],[Colonne70]]=$G37,CJ37,Distances[[#This Row],[Colonne70]]+1)</f>
        <v>10</v>
      </c>
      <c r="CL37" s="17">
        <f>IF(Distances[[#This Row],[Colonne71]]=$G37,CK37,Distances[[#This Row],[Colonne71]]+1)</f>
        <v>10</v>
      </c>
      <c r="CM37" s="17">
        <f>IF(Distances[[#This Row],[Colonne72]]=$G37,CL37,Distances[[#This Row],[Colonne72]]+1)</f>
        <v>10</v>
      </c>
      <c r="CN37" s="17">
        <f>IF(Distances[[#This Row],[Colonne73]]=$G37,CM37,Distances[[#This Row],[Colonne73]]+1)</f>
        <v>10</v>
      </c>
      <c r="CO37" s="17">
        <f>IF(Distances[[#This Row],[Colonne74]]=$G37,CN37,Distances[[#This Row],[Colonne74]]+1)</f>
        <v>10</v>
      </c>
      <c r="CP37" s="17">
        <f>IF(Distances[[#This Row],[Colonne75]]=$G37,CO37,Distances[[#This Row],[Colonne75]]+1)</f>
        <v>10</v>
      </c>
      <c r="CQ37" s="17">
        <f>IF(Distances[[#This Row],[Colonne76]]=$G37,CP37,Distances[[#This Row],[Colonne76]]+1)</f>
        <v>10</v>
      </c>
      <c r="CR37" s="17">
        <f>IF(Distances[[#This Row],[Colonne77]]=$G37,CQ37,Distances[[#This Row],[Colonne77]]+1)</f>
        <v>10</v>
      </c>
      <c r="CS37" s="17">
        <f>IF(Distances[[#This Row],[Colonne78]]=$G37,CR37,Distances[[#This Row],[Colonne78]]+1)</f>
        <v>10</v>
      </c>
      <c r="CT37" s="17">
        <f>IF(Distances[[#This Row],[Colonne79]]=$G37,CS37,Distances[[#This Row],[Colonne79]]+1)</f>
        <v>10</v>
      </c>
      <c r="CU37" s="17">
        <f>IF(Distances[[#This Row],[Colonne80]]=$G37,CT37,Distances[[#This Row],[Colonne80]]+1)</f>
        <v>10</v>
      </c>
      <c r="CV37" s="17">
        <f>IF(Distances[[#This Row],[Colonne81]]=$G37,CU37,Distances[[#This Row],[Colonne81]]+1)</f>
        <v>10</v>
      </c>
      <c r="CW37" s="17">
        <f>IF(Distances[[#This Row],[Colonne82]]=$G37,CV37,Distances[[#This Row],[Colonne82]]+1)</f>
        <v>10</v>
      </c>
      <c r="CX37" s="17">
        <f>IF(Distances[[#This Row],[Colonne83]]=$G37,CW37,Distances[[#This Row],[Colonne83]]+1)</f>
        <v>10</v>
      </c>
      <c r="CY37" s="17">
        <f>IF(Distances[[#This Row],[Colonne84]]=$G37,CX37,Distances[[#This Row],[Colonne84]]+1)</f>
        <v>10</v>
      </c>
      <c r="CZ37" s="17">
        <f>IF(Distances[[#This Row],[Colonne85]]=$G37,CY37,Distances[[#This Row],[Colonne85]]+1)</f>
        <v>10</v>
      </c>
      <c r="DA37" s="17">
        <f>IF(Distances[[#This Row],[Colonne86]]=$G37,CZ37,Distances[[#This Row],[Colonne86]]+1)</f>
        <v>10</v>
      </c>
      <c r="DB37" s="17">
        <f>IF(Distances[[#This Row],[Colonne87]]=$G37,DA37,Distances[[#This Row],[Colonne87]]+1)</f>
        <v>10</v>
      </c>
      <c r="DC37" s="17">
        <f>IF(Distances[[#This Row],[Colonne88]]=$G37,DB37,Distances[[#This Row],[Colonne88]]+1)</f>
        <v>10</v>
      </c>
      <c r="DD37" s="17">
        <f>IF(Distances[[#This Row],[Colonne89]]=$G37,DC37,Distances[[#This Row],[Colonne89]]+1)</f>
        <v>10</v>
      </c>
      <c r="DE37" s="17">
        <f>IF(Distances[[#This Row],[Colonne90]]=$G37,DD37,Distances[[#This Row],[Colonne90]]+1)</f>
        <v>10</v>
      </c>
      <c r="DF37" s="17">
        <f>IF(Distances[[#This Row],[Colonne91]]=$G37,DE37,Distances[[#This Row],[Colonne91]]+1)</f>
        <v>10</v>
      </c>
      <c r="DG37" s="17">
        <f>IF(Distances[[#This Row],[Colonne92]]=$G37,DF37,Distances[[#This Row],[Colonne92]]+1)</f>
        <v>10</v>
      </c>
      <c r="DH37" s="17">
        <f>IF(Distances[[#This Row],[Colonne93]]=$G37,DG37,Distances[[#This Row],[Colonne93]]+1)</f>
        <v>10</v>
      </c>
      <c r="DI37" s="17">
        <f>IF(Distances[[#This Row],[Colonne94]]=$G37,DH37,Distances[[#This Row],[Colonne94]]+1)</f>
        <v>10</v>
      </c>
      <c r="DJ37" s="17">
        <f>IF(Distances[[#This Row],[Colonne95]]=$G37,DI37,Distances[[#This Row],[Colonne95]]+1)</f>
        <v>10</v>
      </c>
      <c r="DK37" s="17">
        <f>IF(Distances[[#This Row],[Colonne96]]=$G37,DJ37,Distances[[#This Row],[Colonne96]]+1)</f>
        <v>10</v>
      </c>
      <c r="DL37" s="17">
        <f>IF(Distances[[#This Row],[Colonne97]]=$G37,DK37,Distances[[#This Row],[Colonne97]]+1)</f>
        <v>10</v>
      </c>
      <c r="DM37" s="17">
        <f>IF(Distances[[#This Row],[Colonne98]]=$G37,DL37,Distances[[#This Row],[Colonne98]]+1)</f>
        <v>10</v>
      </c>
      <c r="DN37" s="17">
        <f>IF(Distances[[#This Row],[Colonne99]]=$G37,DM37,Distances[[#This Row],[Colonne99]]+1)</f>
        <v>10</v>
      </c>
      <c r="DO37" s="17">
        <f>IF(Distances[[#This Row],[Colonne100]]=$G37,DN37,Distances[[#This Row],[Colonne100]]+1)</f>
        <v>10</v>
      </c>
      <c r="DP37" s="17">
        <f>IF(Distances[[#This Row],[Colonne101]]=$G37,DO37,Distances[[#This Row],[Colonne101]]+1)</f>
        <v>10</v>
      </c>
      <c r="DQ37" s="17">
        <f>IF(Distances[[#This Row],[Colonne102]]=$G37,DP37,Distances[[#This Row],[Colonne102]]+1)</f>
        <v>10</v>
      </c>
      <c r="DR37" s="17">
        <f>IF(Distances[[#This Row],[Colonne103]]=$G37,DQ37,Distances[[#This Row],[Colonne103]]+1)</f>
        <v>10</v>
      </c>
      <c r="DS37" s="17">
        <f>IF(Distances[[#This Row],[Colonne104]]=$G37,DR37,Distances[[#This Row],[Colonne104]]+1)</f>
        <v>10</v>
      </c>
      <c r="DT37" s="17">
        <f>IF(Distances[[#This Row],[Colonne105]]=$G37,DS37,Distances[[#This Row],[Colonne105]]+1)</f>
        <v>10</v>
      </c>
      <c r="DU37" s="17">
        <f>IF(Distances[[#This Row],[Colonne106]]=$G37,DT37,Distances[[#This Row],[Colonne106]]+1)</f>
        <v>10</v>
      </c>
      <c r="DV37" s="17">
        <f>IF(Distances[[#This Row],[Colonne107]]=$G37,DU37,Distances[[#This Row],[Colonne107]]+1)</f>
        <v>10</v>
      </c>
      <c r="DW37" s="17">
        <f>IF(Distances[[#This Row],[Colonne108]]=$G37,DV37,Distances[[#This Row],[Colonne108]]+1)</f>
        <v>10</v>
      </c>
      <c r="DX37" s="17">
        <f>IF(Distances[[#This Row],[Colonne109]]=$G37,DW37,Distances[[#This Row],[Colonne109]]+1)</f>
        <v>10</v>
      </c>
      <c r="DY37" s="17">
        <f>IF(Distances[[#This Row],[Colonne110]]=$G37,DX37,Distances[[#This Row],[Colonne110]]+1)</f>
        <v>10</v>
      </c>
      <c r="DZ37" s="17">
        <f>IF(Distances[[#This Row],[Colonne111]]=$G37,DY37,Distances[[#This Row],[Colonne111]]+1)</f>
        <v>10</v>
      </c>
      <c r="EA37" s="17">
        <f>IF(Distances[[#This Row],[Colonne112]]=$G37,DZ37,Distances[[#This Row],[Colonne112]]+1)</f>
        <v>10</v>
      </c>
      <c r="EB37" s="17">
        <f>IF(Distances[[#This Row],[Colonne113]]=$G37,EA37,Distances[[#This Row],[Colonne113]]+1)</f>
        <v>10</v>
      </c>
      <c r="EC37" s="17">
        <f>IF(Distances[[#This Row],[Colonne114]]=$G37,EB37,Distances[[#This Row],[Colonne114]]+1)</f>
        <v>10</v>
      </c>
      <c r="ED37" s="17">
        <f>IF(Distances[[#This Row],[Colonne115]]=$G37,EC37,Distances[[#This Row],[Colonne115]]+1)</f>
        <v>10</v>
      </c>
      <c r="EE37" s="17">
        <f>IF(Distances[[#This Row],[Colonne116]]=$G37,ED37,Distances[[#This Row],[Colonne116]]+1)</f>
        <v>10</v>
      </c>
      <c r="EF37" s="17">
        <f>IF(Distances[[#This Row],[Colonne117]]=$G37,EE37,Distances[[#This Row],[Colonne117]]+1)</f>
        <v>10</v>
      </c>
      <c r="EG37" s="17">
        <f>IF(Distances[[#This Row],[Colonne118]]=$G37,EF37,Distances[[#This Row],[Colonne118]]+1)</f>
        <v>10</v>
      </c>
      <c r="EH37" s="17">
        <f>IF(Distances[[#This Row],[Colonne119]]=$G37,EG37,Distances[[#This Row],[Colonne119]]+1)</f>
        <v>10</v>
      </c>
      <c r="EI37" s="17">
        <f>IF(Distances[[#This Row],[Colonne120]]=$G37,EH37,Distances[[#This Row],[Colonne120]]+1)</f>
        <v>10</v>
      </c>
      <c r="EJ37" s="17">
        <f>IF(Distances[[#This Row],[Colonne121]]=$G37,EI37,Distances[[#This Row],[Colonne121]]+1)</f>
        <v>10</v>
      </c>
      <c r="EK37" s="17">
        <f>IF(Distances[[#This Row],[Colonne122]]=$G37,EJ37,Distances[[#This Row],[Colonne122]]+1)</f>
        <v>10</v>
      </c>
      <c r="EL37" s="17">
        <f>IF(Distances[[#This Row],[Colonne123]]=$G37,EK37,Distances[[#This Row],[Colonne123]]+1)</f>
        <v>10</v>
      </c>
      <c r="EM37" s="17">
        <f>IF(Distances[[#This Row],[Colonne124]]=$G37,EL37,Distances[[#This Row],[Colonne124]]+1)</f>
        <v>10</v>
      </c>
      <c r="EN37" s="17">
        <f>IF(Distances[[#This Row],[Colonne125]]=$G37,EM37,Distances[[#This Row],[Colonne125]]+1)</f>
        <v>10</v>
      </c>
      <c r="EO37" s="17">
        <f>IF(Distances[[#This Row],[Colonne126]]=$G37,EN37,Distances[[#This Row],[Colonne126]]+1)</f>
        <v>10</v>
      </c>
      <c r="EP37" s="17">
        <f>IF(Distances[[#This Row],[Colonne127]]=$G37,EO37,Distances[[#This Row],[Colonne127]]+1)</f>
        <v>10</v>
      </c>
      <c r="EQ37" s="17">
        <f>IF(Distances[[#This Row],[Colonne128]]=$G37,EP37,Distances[[#This Row],[Colonne128]]+1)</f>
        <v>10</v>
      </c>
      <c r="ER37" s="17">
        <f>IF(Distances[[#This Row],[Colonne129]]=$G37,EQ37,Distances[[#This Row],[Colonne129]]+1)</f>
        <v>10</v>
      </c>
      <c r="ES37" s="17">
        <f>IF(Distances[[#This Row],[Colonne130]]=$G37,ER37,Distances[[#This Row],[Colonne130]]+1)</f>
        <v>10</v>
      </c>
      <c r="ET37" s="17">
        <f>IF(Distances[[#This Row],[Colonne131]]=$G37,ES37,Distances[[#This Row],[Colonne131]]+1)</f>
        <v>10</v>
      </c>
      <c r="EU37" s="17">
        <f>IF(Distances[[#This Row],[Colonne132]]=$G37,ET37,Distances[[#This Row],[Colonne132]]+1)</f>
        <v>10</v>
      </c>
      <c r="EV37" s="17">
        <f>IF(Distances[[#This Row],[Colonne133]]=$G37,EU37,Distances[[#This Row],[Colonne133]]+1)</f>
        <v>10</v>
      </c>
      <c r="EW37" s="17">
        <f>IF(Distances[[#This Row],[Colonne134]]=$G37,EV37,Distances[[#This Row],[Colonne134]]+1)</f>
        <v>10</v>
      </c>
      <c r="EX37" s="17">
        <f>IF(Distances[[#This Row],[Colonne135]]=$G37,EW37,Distances[[#This Row],[Colonne135]]+1)</f>
        <v>10</v>
      </c>
      <c r="EY37" s="17">
        <f>IF(Distances[[#This Row],[Colonne136]]=$G37,EX37,Distances[[#This Row],[Colonne136]]+1)</f>
        <v>10</v>
      </c>
      <c r="EZ37" s="17">
        <f>IF(Distances[[#This Row],[Colonne137]]=$G37,EY37,Distances[[#This Row],[Colonne137]]+1)</f>
        <v>10</v>
      </c>
      <c r="FA37" s="17">
        <f>IF(Distances[[#This Row],[Colonne138]]=$G37,EZ37,Distances[[#This Row],[Colonne138]]+1)</f>
        <v>10</v>
      </c>
      <c r="FB37" s="17">
        <f>IF(Distances[[#This Row],[Colonne139]]=$G37,FA37,Distances[[#This Row],[Colonne139]]+1)</f>
        <v>10</v>
      </c>
      <c r="FC37" s="17">
        <f>IF(Distances[[#This Row],[Colonne140]]=$G37,FB37,Distances[[#This Row],[Colonne140]]+1)</f>
        <v>10</v>
      </c>
      <c r="FD37" s="17">
        <f>IF(Distances[[#This Row],[Colonne141]]=$G37,FC37,Distances[[#This Row],[Colonne141]]+1)</f>
        <v>10</v>
      </c>
      <c r="FE37" s="17">
        <f>IF(Distances[[#This Row],[Colonne142]]=$G37,FD37,Distances[[#This Row],[Colonne142]]+1)</f>
        <v>10</v>
      </c>
      <c r="FF37" s="17">
        <f>IF(Distances[[#This Row],[Colonne143]]=$G37,FE37,Distances[[#This Row],[Colonne143]]+1)</f>
        <v>10</v>
      </c>
      <c r="FG37" s="17">
        <f>IF(Distances[[#This Row],[Colonne144]]=$G37,FF37,Distances[[#This Row],[Colonne144]]+1)</f>
        <v>10</v>
      </c>
      <c r="FH37" s="17">
        <f>IF(Distances[[#This Row],[Colonne145]]=$G37,FG37,Distances[[#This Row],[Colonne145]]+1)</f>
        <v>10</v>
      </c>
      <c r="FI37" s="17">
        <f>IF(Distances[[#This Row],[Colonne146]]=$G37,FH37,Distances[[#This Row],[Colonne146]]+1)</f>
        <v>10</v>
      </c>
      <c r="FJ37" s="17">
        <f>IF(Distances[[#This Row],[Colonne147]]=$G37,FI37,Distances[[#This Row],[Colonne147]]+1)</f>
        <v>10</v>
      </c>
      <c r="FK37" s="17">
        <f>IF(Distances[[#This Row],[Colonne148]]=$G37,FJ37,Distances[[#This Row],[Colonne148]]+1)</f>
        <v>10</v>
      </c>
      <c r="FL37" s="17">
        <f>IF(Distances[[#This Row],[Colonne149]]=$G37,FK37,Distances[[#This Row],[Colonne149]]+1)</f>
        <v>10</v>
      </c>
      <c r="FM37" s="17">
        <f>IF(Distances[[#This Row],[Colonne150]]=$G37,FL37,Distances[[#This Row],[Colonne150]]+1)</f>
        <v>10</v>
      </c>
      <c r="FN37" s="17">
        <f>IF(Distances[[#This Row],[Colonne151]]=$G37,FM37,Distances[[#This Row],[Colonne151]]+1)</f>
        <v>10</v>
      </c>
      <c r="FO37" s="17">
        <f>IF(Distances[[#This Row],[Colonne152]]=$G37,FN37,Distances[[#This Row],[Colonne152]]+1)</f>
        <v>10</v>
      </c>
      <c r="FP37" s="17">
        <f>IF(Distances[[#This Row],[Colonne153]]=$G37,FO37,Distances[[#This Row],[Colonne153]]+1)</f>
        <v>10</v>
      </c>
      <c r="FQ37" s="17">
        <f>IF(Distances[[#This Row],[Colonne154]]=$G37,FP37,Distances[[#This Row],[Colonne154]]+1)</f>
        <v>10</v>
      </c>
      <c r="FR37" s="17">
        <f>IF(Distances[[#This Row],[Colonne155]]=$G37,FQ37,Distances[[#This Row],[Colonne155]]+1)</f>
        <v>10</v>
      </c>
      <c r="FS37" s="17">
        <f>IF(Distances[[#This Row],[Colonne156]]=$G37,FR37,Distances[[#This Row],[Colonne156]]+1)</f>
        <v>10</v>
      </c>
      <c r="FT37" s="17">
        <f>IF(Distances[[#This Row],[Colonne157]]=$G37,FS37,Distances[[#This Row],[Colonne157]]+1)</f>
        <v>10</v>
      </c>
      <c r="FU37" s="17">
        <f>IF(Distances[[#This Row],[Colonne158]]=$G37,FT37,Distances[[#This Row],[Colonne158]]+1)</f>
        <v>10</v>
      </c>
      <c r="FV37" s="17">
        <f>IF(Distances[[#This Row],[Colonne159]]=$G37,FU37,Distances[[#This Row],[Colonne159]]+1)</f>
        <v>10</v>
      </c>
      <c r="FW37" s="17">
        <f>IF(Distances[[#This Row],[Colonne160]]=$G37,FV37,Distances[[#This Row],[Colonne160]]+1)</f>
        <v>10</v>
      </c>
      <c r="FX37" s="17">
        <f>IF(Distances[[#This Row],[Colonne161]]=$G37,FW37,Distances[[#This Row],[Colonne161]]+1)</f>
        <v>10</v>
      </c>
      <c r="FY37" s="17">
        <f>IF(Distances[[#This Row],[Colonne162]]=$G37,FX37,Distances[[#This Row],[Colonne162]]+1)</f>
        <v>10</v>
      </c>
      <c r="FZ37" s="17">
        <f>IF(Distances[[#This Row],[Colonne163]]=$G37,FY37,Distances[[#This Row],[Colonne163]]+1)</f>
        <v>10</v>
      </c>
      <c r="GA37" s="17">
        <f>IF(Distances[[#This Row],[Colonne164]]=$G37,FZ37,Distances[[#This Row],[Colonne164]]+1)</f>
        <v>10</v>
      </c>
      <c r="GB37" s="17">
        <f>IF(Distances[[#This Row],[Colonne165]]=$G37,GA37,Distances[[#This Row],[Colonne165]]+1)</f>
        <v>10</v>
      </c>
      <c r="GC37" s="17">
        <f>IF(Distances[[#This Row],[Colonne166]]=$G37,GB37,Distances[[#This Row],[Colonne166]]+1)</f>
        <v>10</v>
      </c>
      <c r="GD37" s="17">
        <f>IF(Distances[[#This Row],[Colonne167]]=$G37,GC37,Distances[[#This Row],[Colonne167]]+1)</f>
        <v>10</v>
      </c>
      <c r="GE37" s="17">
        <f>IF(Distances[[#This Row],[Colonne168]]=$G37,GD37,Distances[[#This Row],[Colonne168]]+1)</f>
        <v>10</v>
      </c>
      <c r="GF37" s="17">
        <f>IF(Distances[[#This Row],[Colonne169]]=$G37,GE37,Distances[[#This Row],[Colonne169]]+1)</f>
        <v>10</v>
      </c>
      <c r="GG37" s="17">
        <f>IF(Distances[[#This Row],[Colonne170]]=$G37,GF37,Distances[[#This Row],[Colonne170]]+1)</f>
        <v>10</v>
      </c>
      <c r="GH37" s="17">
        <f>IF(Distances[[#This Row],[Colonne171]]=$G37,GG37,Distances[[#This Row],[Colonne171]]+1)</f>
        <v>10</v>
      </c>
      <c r="GI37" s="17">
        <f>IF(Distances[[#This Row],[Colonne172]]=$G37,GH37,Distances[[#This Row],[Colonne172]]+1)</f>
        <v>10</v>
      </c>
      <c r="GJ37" s="17">
        <f>IF(Distances[[#This Row],[Colonne173]]=$G37,GI37,Distances[[#This Row],[Colonne173]]+1)</f>
        <v>10</v>
      </c>
      <c r="GK37" s="17">
        <f>IF(Distances[[#This Row],[Colonne174]]=$G37,GJ37,Distances[[#This Row],[Colonne174]]+1)</f>
        <v>10</v>
      </c>
      <c r="GL37" s="17">
        <f>IF(Distances[[#This Row],[Colonne175]]=$G37,GK37,Distances[[#This Row],[Colonne175]]+1)</f>
        <v>10</v>
      </c>
      <c r="GM37" s="17">
        <f>IF(Distances[[#This Row],[Colonne176]]=$G37,GL37,Distances[[#This Row],[Colonne176]]+1)</f>
        <v>10</v>
      </c>
      <c r="GN37" s="17">
        <f>IF(Distances[[#This Row],[Colonne177]]=$G37,GM37,Distances[[#This Row],[Colonne177]]+1)</f>
        <v>10</v>
      </c>
      <c r="GO37" s="17">
        <f>IF(Distances[[#This Row],[Colonne178]]=$G37,GN37,Distances[[#This Row],[Colonne178]]+1)</f>
        <v>10</v>
      </c>
      <c r="GP37" s="17">
        <f>IF(Distances[[#This Row],[Colonne179]]=$G37,GO37,Distances[[#This Row],[Colonne179]]+1)</f>
        <v>10</v>
      </c>
      <c r="GQ37" s="17">
        <f>IF(Distances[[#This Row],[Colonne180]]=$G37,GP37,Distances[[#This Row],[Colonne180]]+1)</f>
        <v>10</v>
      </c>
      <c r="GR37" s="17">
        <f>IF(Distances[[#This Row],[Colonne181]]=$G37,GQ37,Distances[[#This Row],[Colonne181]]+1)</f>
        <v>10</v>
      </c>
      <c r="GS37" s="17">
        <f>IF(Distances[[#This Row],[Colonne182]]=$G37,GR37,Distances[[#This Row],[Colonne182]]+1)</f>
        <v>10</v>
      </c>
      <c r="GT37" s="17">
        <f>IF(Distances[[#This Row],[Colonne183]]=$G37,GS37,Distances[[#This Row],[Colonne183]]+1)</f>
        <v>10</v>
      </c>
      <c r="GU37" s="17">
        <f>IF(Distances[[#This Row],[Colonne184]]=$G37,GT37,Distances[[#This Row],[Colonne184]]+1)</f>
        <v>10</v>
      </c>
      <c r="GV37" s="17">
        <f>IF(Distances[[#This Row],[Colonne185]]=$G37,GU37,Distances[[#This Row],[Colonne185]]+1)</f>
        <v>10</v>
      </c>
      <c r="GW37" s="17">
        <f>IF(Distances[[#This Row],[Colonne186]]=$G37,GV37,Distances[[#This Row],[Colonne186]]+1)</f>
        <v>10</v>
      </c>
      <c r="GX37" s="17">
        <f>IF(Distances[[#This Row],[Colonne187]]=$G37,GW37,Distances[[#This Row],[Colonne187]]+1)</f>
        <v>10</v>
      </c>
      <c r="GY37" s="17">
        <f>IF(Distances[[#This Row],[Colonne188]]=$G37,GX37,Distances[[#This Row],[Colonne188]]+1)</f>
        <v>10</v>
      </c>
      <c r="GZ37" s="17">
        <f>IF(Distances[[#This Row],[Colonne189]]=$G37,GY37,Distances[[#This Row],[Colonne189]]+1)</f>
        <v>10</v>
      </c>
      <c r="HA37" s="17">
        <f>IF(Distances[[#This Row],[Colonne190]]=$G37,GZ37,Distances[[#This Row],[Colonne190]]+1)</f>
        <v>10</v>
      </c>
      <c r="HB37" s="17">
        <f>IF(Distances[[#This Row],[Colonne191]]=$G37,HA37,Distances[[#This Row],[Colonne191]]+1)</f>
        <v>10</v>
      </c>
      <c r="HC37" s="17">
        <f>IF(Distances[[#This Row],[Colonne192]]=$G37,HB37,Distances[[#This Row],[Colonne192]]+1)</f>
        <v>10</v>
      </c>
      <c r="HD37" s="17">
        <f>IF(Distances[[#This Row],[Colonne193]]=$G37,HC37,Distances[[#This Row],[Colonne193]]+1)</f>
        <v>10</v>
      </c>
      <c r="HE37" s="17">
        <f>IF(Distances[[#This Row],[Colonne194]]=$G37,HD37,Distances[[#This Row],[Colonne194]]+1)</f>
        <v>10</v>
      </c>
      <c r="HF37" s="17">
        <f>IF(Distances[[#This Row],[Colonne195]]=$G37,HE37,Distances[[#This Row],[Colonne195]]+1)</f>
        <v>10</v>
      </c>
      <c r="HG37" s="17">
        <f>IF(Distances[[#This Row],[Colonne196]]=$G37,HF37,Distances[[#This Row],[Colonne196]]+1)</f>
        <v>10</v>
      </c>
      <c r="HH37" s="17">
        <f>IF(Distances[[#This Row],[Colonne197]]=$G37,HG37,Distances[[#This Row],[Colonne197]]+1)</f>
        <v>10</v>
      </c>
      <c r="HI37" s="17">
        <f>IF(Distances[[#This Row],[Colonne198]]=$G37,HH37,Distances[[#This Row],[Colonne198]]+1)</f>
        <v>10</v>
      </c>
      <c r="HJ37" s="17">
        <f>IF(Distances[[#This Row],[Colonne199]]=$G37,HI37,Distances[[#This Row],[Colonne199]]+1)</f>
        <v>10</v>
      </c>
      <c r="HK37" s="17">
        <f>IF(Distances[[#This Row],[Colonne200]]=$G37,HJ37,Distances[[#This Row],[Colonne200]]+1)</f>
        <v>10</v>
      </c>
      <c r="HL37" s="17">
        <f>IF(Distances[[#This Row],[Colonne201]]=$G37,HK37,Distances[[#This Row],[Colonne201]]+1)</f>
        <v>10</v>
      </c>
      <c r="HM37" s="17">
        <f>IF(Distances[[#This Row],[Colonne202]]=$G37,HL37,Distances[[#This Row],[Colonne202]]+1)</f>
        <v>10</v>
      </c>
      <c r="HN37" s="17">
        <f>IF(Distances[[#This Row],[Colonne203]]=$G37,HM37,Distances[[#This Row],[Colonne203]]+1)</f>
        <v>10</v>
      </c>
      <c r="HO37" s="17">
        <f>IF(Distances[[#This Row],[Colonne204]]=$G37,HN37,Distances[[#This Row],[Colonne204]]+1)</f>
        <v>10</v>
      </c>
      <c r="HP37" s="17">
        <f>IF(Distances[[#This Row],[Colonne205]]=$G37,HO37,Distances[[#This Row],[Colonne205]]+1)</f>
        <v>10</v>
      </c>
      <c r="HQ37" s="17">
        <f>IF(Distances[[#This Row],[Colonne206]]=$G37,HP37,Distances[[#This Row],[Colonne206]]+1)</f>
        <v>10</v>
      </c>
      <c r="HR37" s="17">
        <f>IF(Distances[[#This Row],[Colonne207]]=$G37,HQ37,Distances[[#This Row],[Colonne207]]+1)</f>
        <v>10</v>
      </c>
      <c r="HS37" s="17">
        <f>IF(Distances[[#This Row],[Colonne208]]=$G37,HR37,Distances[[#This Row],[Colonne208]]+1)</f>
        <v>10</v>
      </c>
      <c r="HT37" s="17">
        <f>IF(Distances[[#This Row],[Colonne209]]=$G37,HS37,Distances[[#This Row],[Colonne209]]+1)</f>
        <v>10</v>
      </c>
      <c r="HU37" s="17">
        <f>IF(Distances[[#This Row],[Colonne210]]=$G37,HT37,Distances[[#This Row],[Colonne210]]+1)</f>
        <v>10</v>
      </c>
      <c r="HV37" s="17">
        <f>IF(Distances[[#This Row],[Colonne211]]=$G37,HU37,Distances[[#This Row],[Colonne211]]+1)</f>
        <v>10</v>
      </c>
      <c r="HW37" s="17">
        <f>IF(Distances[[#This Row],[Colonne212]]=$G37,HV37,Distances[[#This Row],[Colonne212]]+1)</f>
        <v>10</v>
      </c>
      <c r="HX37" s="17">
        <f>IF(Distances[[#This Row],[Colonne213]]=$G37,HW37,Distances[[#This Row],[Colonne213]]+1)</f>
        <v>10</v>
      </c>
      <c r="HY37" s="17">
        <f>IF(Distances[[#This Row],[Colonne214]]=$G37,HX37,Distances[[#This Row],[Colonne214]]+1)</f>
        <v>10</v>
      </c>
      <c r="HZ37" s="17">
        <f>IF(Distances[[#This Row],[Colonne215]]=$G37,HY37,Distances[[#This Row],[Colonne215]]+1)</f>
        <v>10</v>
      </c>
      <c r="IA37" s="17">
        <f>IF(Distances[[#This Row],[Colonne216]]=$G37,HZ37,Distances[[#This Row],[Colonne216]]+1)</f>
        <v>10</v>
      </c>
      <c r="IB37" s="17">
        <f>IF(Distances[[#This Row],[Colonne217]]=$G37,IA37,Distances[[#This Row],[Colonne217]]+1)</f>
        <v>10</v>
      </c>
      <c r="IC37" s="17">
        <f>IF(Distances[[#This Row],[Colonne218]]=$G37,IB37,Distances[[#This Row],[Colonne218]]+1)</f>
        <v>10</v>
      </c>
      <c r="ID37" s="17">
        <f>IF(Distances[[#This Row],[Colonne219]]=$G37,IC37,Distances[[#This Row],[Colonne219]]+1)</f>
        <v>10</v>
      </c>
      <c r="IE37" s="17">
        <f>IF(Distances[[#This Row],[Colonne220]]=$G37,ID37,Distances[[#This Row],[Colonne220]]+1)</f>
        <v>10</v>
      </c>
      <c r="IF37" s="17">
        <f>IF(Distances[[#This Row],[Colonne221]]=$G37,IE37,Distances[[#This Row],[Colonne221]]+1)</f>
        <v>10</v>
      </c>
      <c r="IG37" s="17">
        <f>IF(Distances[[#This Row],[Colonne222]]=$G37,IF37,Distances[[#This Row],[Colonne222]]+1)</f>
        <v>10</v>
      </c>
      <c r="IH37" s="17">
        <f>IF(Distances[[#This Row],[Colonne223]]=$G37,IG37,Distances[[#This Row],[Colonne223]]+1)</f>
        <v>10</v>
      </c>
      <c r="II37" s="17">
        <f>IF(Distances[[#This Row],[Colonne224]]=$G37,IH37,Distances[[#This Row],[Colonne224]]+1)</f>
        <v>10</v>
      </c>
      <c r="IJ37" s="17">
        <f>IF(Distances[[#This Row],[Colonne225]]=$G37,II37,Distances[[#This Row],[Colonne225]]+1)</f>
        <v>10</v>
      </c>
      <c r="IK37" s="17">
        <f>IF(Distances[[#This Row],[Colonne226]]=$G37,IJ37,Distances[[#This Row],[Colonne226]]+1)</f>
        <v>10</v>
      </c>
      <c r="IL37" s="17">
        <f>IF(Distances[[#This Row],[Colonne227]]=$G37,IK37,Distances[[#This Row],[Colonne227]]+1)</f>
        <v>10</v>
      </c>
      <c r="IM37" s="17">
        <f>IF(Distances[[#This Row],[Colonne228]]=$G37,IL37,Distances[[#This Row],[Colonne228]]+1)</f>
        <v>10</v>
      </c>
      <c r="IN37" s="17">
        <f>IF(Distances[[#This Row],[Colonne229]]=$G37,IM37,Distances[[#This Row],[Colonne229]]+1)</f>
        <v>10</v>
      </c>
      <c r="IO37" s="17">
        <f>IF(Distances[[#This Row],[Colonne230]]=$G37,IN37,Distances[[#This Row],[Colonne230]]+1)</f>
        <v>10</v>
      </c>
      <c r="IP37" s="17">
        <f>IF(Distances[[#This Row],[Colonne231]]=$G37,IO37,Distances[[#This Row],[Colonne231]]+1)</f>
        <v>10</v>
      </c>
      <c r="IQ37" s="17">
        <f>IF(Distances[[#This Row],[Colonne232]]=$G37,IP37,Distances[[#This Row],[Colonne232]]+1)</f>
        <v>10</v>
      </c>
      <c r="IR37" s="17">
        <f>IF(Distances[[#This Row],[Colonne233]]=$G37,IQ37,Distances[[#This Row],[Colonne233]]+1)</f>
        <v>10</v>
      </c>
      <c r="IS37" s="17">
        <f>IF(Distances[[#This Row],[Colonne234]]=$G37,IR37,Distances[[#This Row],[Colonne234]]+1)</f>
        <v>10</v>
      </c>
      <c r="IT37" s="17">
        <f>IF(Distances[[#This Row],[Colonne235]]=$G37,IS37,Distances[[#This Row],[Colonne235]]+1)</f>
        <v>10</v>
      </c>
      <c r="IU37" s="17">
        <f>IF(Distances[[#This Row],[Colonne236]]=$G37,IT37,Distances[[#This Row],[Colonne236]]+1)</f>
        <v>10</v>
      </c>
      <c r="IV37" s="17">
        <f>IF(Distances[[#This Row],[Colonne237]]=$G37,IU37,Distances[[#This Row],[Colonne237]]+1)</f>
        <v>10</v>
      </c>
      <c r="IW37" s="17">
        <f>IF(Distances[[#This Row],[Colonne238]]=$G37,IV37,Distances[[#This Row],[Colonne238]]+1)</f>
        <v>10</v>
      </c>
      <c r="IX37" s="17">
        <f>IF(Distances[[#This Row],[Colonne239]]=$G37,IW37,Distances[[#This Row],[Colonne239]]+1)</f>
        <v>10</v>
      </c>
      <c r="IY37" s="17">
        <f>IF(Distances[[#This Row],[Colonne240]]=$G37,IX37,Distances[[#This Row],[Colonne240]]+1)</f>
        <v>10</v>
      </c>
      <c r="IZ37" s="17">
        <f>IF(Distances[[#This Row],[Colonne241]]=$G37,IY37,Distances[[#This Row],[Colonne241]]+1)</f>
        <v>10</v>
      </c>
      <c r="JA37" s="17">
        <f>IF(Distances[[#This Row],[Colonne242]]=$G37,IZ37,Distances[[#This Row],[Colonne242]]+1)</f>
        <v>10</v>
      </c>
      <c r="JB37" s="17">
        <f>IF(Distances[[#This Row],[Colonne243]]=$G37,JA37,Distances[[#This Row],[Colonne243]]+1)</f>
        <v>10</v>
      </c>
      <c r="JC37" s="17">
        <f>IF(Distances[[#This Row],[Colonne244]]=$G37,JB37,Distances[[#This Row],[Colonne244]]+1)</f>
        <v>10</v>
      </c>
      <c r="JD37" s="17">
        <f>IF(Distances[[#This Row],[Colonne245]]=$G37,JC37,Distances[[#This Row],[Colonne245]]+1)</f>
        <v>10</v>
      </c>
      <c r="JE37" s="17">
        <f>IF(Distances[[#This Row],[Colonne246]]=$G37,JD37,Distances[[#This Row],[Colonne246]]+1)</f>
        <v>10</v>
      </c>
      <c r="JF37" s="17">
        <f>IF(Distances[[#This Row],[Colonne247]]=$G37,JE37,Distances[[#This Row],[Colonne247]]+1)</f>
        <v>10</v>
      </c>
      <c r="JG37" s="17">
        <f>IF(Distances[[#This Row],[Colonne248]]=$G37,JF37,Distances[[#This Row],[Colonne248]]+1)</f>
        <v>10</v>
      </c>
      <c r="JH37" s="17">
        <f>IF(Distances[[#This Row],[Colonne249]]=$G37,JG37,Distances[[#This Row],[Colonne249]]+1)</f>
        <v>10</v>
      </c>
      <c r="JI37" s="17">
        <f>IF(Distances[[#This Row],[Colonne250]]=$G37,JH37,Distances[[#This Row],[Colonne250]]+1)</f>
        <v>10</v>
      </c>
      <c r="JJ37" s="17">
        <f>IF(Distances[[#This Row],[Colonne251]]=$G37,JI37,Distances[[#This Row],[Colonne251]]+1)</f>
        <v>10</v>
      </c>
      <c r="JK37" s="17">
        <f>IF(Distances[[#This Row],[Colonne252]]=$G37,JJ37,Distances[[#This Row],[Colonne252]]+1)</f>
        <v>10</v>
      </c>
      <c r="JL37" s="17">
        <f>IF(Distances[[#This Row],[Colonne253]]=$G37,JK37,Distances[[#This Row],[Colonne253]]+1)</f>
        <v>10</v>
      </c>
      <c r="JM37" s="17">
        <f>IF(Distances[[#This Row],[Colonne254]]=$G37,JL37,Distances[[#This Row],[Colonne254]]+1)</f>
        <v>10</v>
      </c>
      <c r="JN37" s="17">
        <f>IF(Distances[[#This Row],[Colonne255]]=$G37,JM37,Distances[[#This Row],[Colonne255]]+1)</f>
        <v>10</v>
      </c>
      <c r="JO37" s="17">
        <f>IF(Distances[[#This Row],[Colonne256]]=$G37,JN37,Distances[[#This Row],[Colonne256]]+1)</f>
        <v>10</v>
      </c>
      <c r="JP37" s="17">
        <f>IF(Distances[[#This Row],[Colonne257]]=$G37,JO37,Distances[[#This Row],[Colonne257]]+1)</f>
        <v>10</v>
      </c>
      <c r="JQ37" s="17">
        <f>IF(Distances[[#This Row],[Colonne258]]=$G37,JP37,Distances[[#This Row],[Colonne258]]+1)</f>
        <v>10</v>
      </c>
      <c r="JR37" s="17">
        <f>IF(Distances[[#This Row],[Colonne259]]=$G37,JQ37,Distances[[#This Row],[Colonne259]]+1)</f>
        <v>10</v>
      </c>
      <c r="JS37" s="17">
        <f>IF(Distances[[#This Row],[Colonne260]]=$G37,JR37,Distances[[#This Row],[Colonne260]]+1)</f>
        <v>10</v>
      </c>
      <c r="JT37" s="17">
        <f>IF(Distances[[#This Row],[Colonne261]]=$G37,JS37,Distances[[#This Row],[Colonne261]]+1)</f>
        <v>10</v>
      </c>
      <c r="JU37" s="17">
        <f>IF(Distances[[#This Row],[Colonne262]]=$G37,JT37,Distances[[#This Row],[Colonne262]]+1)</f>
        <v>10</v>
      </c>
      <c r="JV37" s="17">
        <f>IF(Distances[[#This Row],[Colonne263]]=$G37,JU37,Distances[[#This Row],[Colonne263]]+1)</f>
        <v>10</v>
      </c>
      <c r="JW37" s="17">
        <f>IF(Distances[[#This Row],[Colonne264]]=$G37,JV37,Distances[[#This Row],[Colonne264]]+1)</f>
        <v>10</v>
      </c>
      <c r="JX37" s="17">
        <f>IF(Distances[[#This Row],[Colonne265]]=$G37,JW37,Distances[[#This Row],[Colonne265]]+1)</f>
        <v>10</v>
      </c>
      <c r="JY37" s="17">
        <f>IF(Distances[[#This Row],[Colonne266]]=$G37,JX37,Distances[[#This Row],[Colonne266]]+1)</f>
        <v>10</v>
      </c>
      <c r="JZ37" s="17">
        <f>IF(Distances[[#This Row],[Colonne267]]=$G37,JY37,Distances[[#This Row],[Colonne267]]+1)</f>
        <v>10</v>
      </c>
      <c r="KA37" s="17">
        <f>IF(Distances[[#This Row],[Colonne268]]=$G37,JZ37,Distances[[#This Row],[Colonne268]]+1)</f>
        <v>10</v>
      </c>
      <c r="KB37" s="17">
        <f>IF(Distances[[#This Row],[Colonne269]]=$G37,KA37,Distances[[#This Row],[Colonne269]]+1)</f>
        <v>10</v>
      </c>
      <c r="KC37" s="17">
        <f>IF(Distances[[#This Row],[Colonne270]]=$G37,KB37,Distances[[#This Row],[Colonne270]]+1)</f>
        <v>10</v>
      </c>
      <c r="KD37" s="17">
        <f>IF(Distances[[#This Row],[Colonne271]]=$G37,KC37,Distances[[#This Row],[Colonne271]]+1)</f>
        <v>10</v>
      </c>
      <c r="KE37" s="17">
        <f>IF(Distances[[#This Row],[Colonne272]]=$G37,KD37,Distances[[#This Row],[Colonne272]]+1)</f>
        <v>10</v>
      </c>
      <c r="KF37" s="17">
        <f>IF(Distances[[#This Row],[Colonne273]]=$G37,KE37,Distances[[#This Row],[Colonne273]]+1)</f>
        <v>10</v>
      </c>
      <c r="KG37" s="17">
        <f>IF(Distances[[#This Row],[Colonne274]]=$G37,KF37,Distances[[#This Row],[Colonne274]]+1)</f>
        <v>10</v>
      </c>
      <c r="KH37" s="17">
        <f>IF(Distances[[#This Row],[Colonne275]]=$G37,KG37,Distances[[#This Row],[Colonne275]]+1)</f>
        <v>10</v>
      </c>
      <c r="KI37" s="17">
        <f>IF(Distances[[#This Row],[Colonne276]]=$G37,KH37,Distances[[#This Row],[Colonne276]]+1)</f>
        <v>10</v>
      </c>
      <c r="KJ37" s="17">
        <f>IF(Distances[[#This Row],[Colonne277]]=$G37,KI37,Distances[[#This Row],[Colonne277]]+1)</f>
        <v>10</v>
      </c>
      <c r="KK37" s="17">
        <f>IF(Distances[[#This Row],[Colonne278]]=$G37,KJ37,Distances[[#This Row],[Colonne278]]+1)</f>
        <v>10</v>
      </c>
      <c r="KL37" s="17">
        <f>IF(Distances[[#This Row],[Colonne279]]=$G37,KK37,Distances[[#This Row],[Colonne279]]+1)</f>
        <v>10</v>
      </c>
      <c r="KM37" s="17">
        <f>IF(Distances[[#This Row],[Colonne280]]=$G37,KL37,Distances[[#This Row],[Colonne280]]+1)</f>
        <v>10</v>
      </c>
      <c r="KN37" s="17">
        <f>IF(Distances[[#This Row],[Colonne281]]=$G37,KM37,Distances[[#This Row],[Colonne281]]+1)</f>
        <v>10</v>
      </c>
      <c r="KO37" s="17">
        <f>IF(Distances[[#This Row],[Colonne282]]=$G37,KN37,Distances[[#This Row],[Colonne282]]+1)</f>
        <v>10</v>
      </c>
      <c r="KP37" s="17">
        <f>IF(Distances[[#This Row],[Colonne283]]=$G37,KO37,Distances[[#This Row],[Colonne283]]+1)</f>
        <v>10</v>
      </c>
      <c r="KQ37" s="17">
        <f>IF(Distances[[#This Row],[Colonne284]]=$G37,KP37,Distances[[#This Row],[Colonne284]]+1)</f>
        <v>10</v>
      </c>
      <c r="KR37" s="17">
        <f>IF(Distances[[#This Row],[Colonne285]]=$G37,KQ37,Distances[[#This Row],[Colonne285]]+1)</f>
        <v>10</v>
      </c>
      <c r="KS37" s="17">
        <f>IF(Distances[[#This Row],[Colonne286]]=$G37,KR37,Distances[[#This Row],[Colonne286]]+1)</f>
        <v>10</v>
      </c>
      <c r="KT37" s="17">
        <f>IF(Distances[[#This Row],[Colonne287]]=$G37,KS37,Distances[[#This Row],[Colonne287]]+1)</f>
        <v>10</v>
      </c>
      <c r="KU37" s="17">
        <f>IF(Distances[[#This Row],[Colonne288]]=$G37,KT37,Distances[[#This Row],[Colonne288]]+1)</f>
        <v>10</v>
      </c>
      <c r="KV37" s="17">
        <f>IF(Distances[[#This Row],[Colonne289]]=$G37,KU37,Distances[[#This Row],[Colonne289]]+1)</f>
        <v>10</v>
      </c>
      <c r="KW37" s="17">
        <f>IF(Distances[[#This Row],[Colonne290]]=$G37,KV37,Distances[[#This Row],[Colonne290]]+1)</f>
        <v>10</v>
      </c>
      <c r="KX37" s="17">
        <f>IF(Distances[[#This Row],[Colonne291]]=$G37,KW37,Distances[[#This Row],[Colonne291]]+1)</f>
        <v>10</v>
      </c>
      <c r="KY37" s="17">
        <f>IF(Distances[[#This Row],[Colonne292]]=$G37,KX37,Distances[[#This Row],[Colonne292]]+1)</f>
        <v>10</v>
      </c>
      <c r="KZ37" s="17">
        <f>IF(Distances[[#This Row],[Colonne293]]=$G37,KY37,Distances[[#This Row],[Colonne293]]+1)</f>
        <v>10</v>
      </c>
      <c r="LA37" s="17">
        <f>IF(Distances[[#This Row],[Colonne294]]=$G37,KZ37,Distances[[#This Row],[Colonne294]]+1)</f>
        <v>10</v>
      </c>
      <c r="LB37" s="17">
        <f>IF(Distances[[#This Row],[Colonne295]]=$G37,LA37,Distances[[#This Row],[Colonne295]]+1)</f>
        <v>10</v>
      </c>
      <c r="LC37" s="17">
        <f>IF(Distances[[#This Row],[Colonne296]]=$G37,LB37,Distances[[#This Row],[Colonne296]]+1)</f>
        <v>10</v>
      </c>
      <c r="LD37" s="17">
        <f>IF(Distances[[#This Row],[Colonne297]]=$G37,LC37,Distances[[#This Row],[Colonne297]]+1)</f>
        <v>10</v>
      </c>
      <c r="LE37" s="17">
        <f>IF(Distances[[#This Row],[Colonne298]]=$G37,LD37,Distances[[#This Row],[Colonne298]]+1)</f>
        <v>10</v>
      </c>
      <c r="LF37" s="17">
        <f>IF(Distances[[#This Row],[Colonne299]]=$G37,LE37,Distances[[#This Row],[Colonne299]]+1)</f>
        <v>10</v>
      </c>
      <c r="LG37" s="17">
        <f>IF(Distances[[#This Row],[Colonne300]]=$G37,LF37,Distances[[#This Row],[Colonne300]]+1)</f>
        <v>10</v>
      </c>
      <c r="LH37" s="17">
        <f>IF(Distances[[#This Row],[Colonne301]]=$G37,LG37,Distances[[#This Row],[Colonne301]]+1)</f>
        <v>10</v>
      </c>
      <c r="LI37" s="17">
        <f>IF(Distances[[#This Row],[Colonne302]]=$G37,LH37,Distances[[#This Row],[Colonne302]]+1)</f>
        <v>10</v>
      </c>
      <c r="LJ37" s="17">
        <f>IF(Distances[[#This Row],[Colonne303]]=$G37,LI37,Distances[[#This Row],[Colonne303]]+1)</f>
        <v>10</v>
      </c>
      <c r="LK37" s="51"/>
      <c r="LL37" s="17">
        <f t="shared" ref="LL37:NW37" si="74">IF(LK37=$H37,LK37,LK37+1)</f>
        <v>1</v>
      </c>
      <c r="LM37" s="17">
        <f t="shared" si="74"/>
        <v>2</v>
      </c>
      <c r="LN37" s="17">
        <f t="shared" si="74"/>
        <v>3</v>
      </c>
      <c r="LO37" s="17">
        <f t="shared" si="74"/>
        <v>4</v>
      </c>
      <c r="LP37" s="17">
        <f t="shared" si="74"/>
        <v>5</v>
      </c>
      <c r="LQ37" s="17">
        <f t="shared" si="74"/>
        <v>6</v>
      </c>
      <c r="LR37" s="17">
        <f t="shared" si="74"/>
        <v>7</v>
      </c>
      <c r="LS37" s="17">
        <f t="shared" si="74"/>
        <v>8</v>
      </c>
      <c r="LT37" s="17">
        <f t="shared" si="74"/>
        <v>9</v>
      </c>
      <c r="LU37" s="17">
        <f t="shared" si="74"/>
        <v>10</v>
      </c>
      <c r="LV37" s="17">
        <f t="shared" si="74"/>
        <v>11</v>
      </c>
      <c r="LW37" s="17">
        <f t="shared" si="74"/>
        <v>12</v>
      </c>
      <c r="LX37" s="17">
        <f t="shared" si="74"/>
        <v>13</v>
      </c>
      <c r="LY37" s="17">
        <f t="shared" si="74"/>
        <v>14</v>
      </c>
      <c r="LZ37" s="17">
        <f t="shared" si="74"/>
        <v>15</v>
      </c>
      <c r="MA37" s="17">
        <f t="shared" si="74"/>
        <v>16</v>
      </c>
      <c r="MB37" s="17">
        <f t="shared" si="74"/>
        <v>17</v>
      </c>
      <c r="MC37" s="17">
        <f t="shared" si="74"/>
        <v>18</v>
      </c>
      <c r="MD37" s="17">
        <f t="shared" si="74"/>
        <v>19</v>
      </c>
      <c r="ME37" s="17">
        <f t="shared" si="74"/>
        <v>20</v>
      </c>
      <c r="MF37" s="17">
        <f t="shared" si="74"/>
        <v>21</v>
      </c>
      <c r="MG37" s="17">
        <f t="shared" si="74"/>
        <v>22</v>
      </c>
      <c r="MH37" s="17">
        <f t="shared" si="74"/>
        <v>23</v>
      </c>
      <c r="MI37" s="17">
        <f t="shared" si="74"/>
        <v>24</v>
      </c>
      <c r="MJ37" s="17">
        <f t="shared" si="74"/>
        <v>25</v>
      </c>
      <c r="MK37" s="17">
        <f t="shared" si="74"/>
        <v>26</v>
      </c>
      <c r="ML37" s="17">
        <f t="shared" si="74"/>
        <v>27</v>
      </c>
      <c r="MM37" s="17">
        <f t="shared" si="74"/>
        <v>28</v>
      </c>
      <c r="MN37" s="17">
        <f t="shared" si="74"/>
        <v>29</v>
      </c>
      <c r="MO37" s="17">
        <f t="shared" si="74"/>
        <v>30</v>
      </c>
      <c r="MP37" s="17">
        <f t="shared" si="74"/>
        <v>30</v>
      </c>
      <c r="MQ37" s="17">
        <f t="shared" si="74"/>
        <v>30</v>
      </c>
      <c r="MR37" s="17">
        <f t="shared" si="74"/>
        <v>30</v>
      </c>
      <c r="MS37" s="17">
        <f t="shared" si="74"/>
        <v>30</v>
      </c>
      <c r="MT37" s="17">
        <f t="shared" si="74"/>
        <v>30</v>
      </c>
      <c r="MU37" s="17">
        <f t="shared" si="74"/>
        <v>30</v>
      </c>
      <c r="MV37" s="17">
        <f t="shared" si="74"/>
        <v>30</v>
      </c>
      <c r="MW37" s="17">
        <f t="shared" si="74"/>
        <v>30</v>
      </c>
      <c r="MX37" s="17">
        <f t="shared" si="74"/>
        <v>30</v>
      </c>
      <c r="MY37" s="17">
        <f t="shared" si="74"/>
        <v>30</v>
      </c>
      <c r="MZ37" s="17">
        <f t="shared" si="74"/>
        <v>30</v>
      </c>
      <c r="NA37" s="17">
        <f t="shared" si="74"/>
        <v>30</v>
      </c>
      <c r="NB37" s="17">
        <f t="shared" si="74"/>
        <v>30</v>
      </c>
      <c r="NC37" s="17">
        <f t="shared" si="74"/>
        <v>30</v>
      </c>
      <c r="ND37" s="17">
        <f t="shared" si="74"/>
        <v>30</v>
      </c>
      <c r="NE37" s="17">
        <f t="shared" si="74"/>
        <v>30</v>
      </c>
      <c r="NF37" s="17">
        <f t="shared" si="74"/>
        <v>30</v>
      </c>
      <c r="NG37" s="17">
        <f t="shared" si="74"/>
        <v>30</v>
      </c>
      <c r="NH37" s="17">
        <f t="shared" si="74"/>
        <v>30</v>
      </c>
      <c r="NI37" s="17">
        <f t="shared" si="74"/>
        <v>30</v>
      </c>
      <c r="NJ37" s="17">
        <f t="shared" si="74"/>
        <v>30</v>
      </c>
      <c r="NK37" s="17">
        <f t="shared" si="74"/>
        <v>30</v>
      </c>
      <c r="NL37" s="17">
        <f t="shared" si="74"/>
        <v>30</v>
      </c>
      <c r="NM37" s="17">
        <f t="shared" si="74"/>
        <v>30</v>
      </c>
      <c r="NN37" s="17">
        <f t="shared" si="74"/>
        <v>30</v>
      </c>
      <c r="NO37" s="17">
        <f t="shared" si="74"/>
        <v>30</v>
      </c>
      <c r="NP37" s="17">
        <f t="shared" si="74"/>
        <v>30</v>
      </c>
      <c r="NQ37" s="17">
        <f t="shared" si="74"/>
        <v>30</v>
      </c>
      <c r="NR37" s="17">
        <f t="shared" si="74"/>
        <v>30</v>
      </c>
      <c r="NS37" s="17">
        <f t="shared" si="74"/>
        <v>30</v>
      </c>
      <c r="NT37" s="17">
        <f t="shared" si="74"/>
        <v>30</v>
      </c>
      <c r="NU37" s="17">
        <f t="shared" si="74"/>
        <v>30</v>
      </c>
      <c r="NV37" s="17">
        <f t="shared" si="74"/>
        <v>30</v>
      </c>
      <c r="NW37" s="17">
        <f t="shared" si="74"/>
        <v>30</v>
      </c>
      <c r="NX37" s="17">
        <f t="shared" ref="NX37:PG37" si="75">IF(NW37=$H37,NW37,NW37+1)</f>
        <v>30</v>
      </c>
      <c r="NY37" s="17">
        <f t="shared" si="75"/>
        <v>30</v>
      </c>
      <c r="NZ37" s="17">
        <f t="shared" si="75"/>
        <v>30</v>
      </c>
      <c r="OA37" s="17">
        <f t="shared" si="75"/>
        <v>30</v>
      </c>
      <c r="OB37" s="17">
        <f t="shared" si="75"/>
        <v>30</v>
      </c>
      <c r="OC37" s="17">
        <f t="shared" si="75"/>
        <v>30</v>
      </c>
      <c r="OD37" s="17">
        <f t="shared" si="75"/>
        <v>30</v>
      </c>
      <c r="OE37" s="17">
        <f t="shared" si="75"/>
        <v>30</v>
      </c>
      <c r="OF37" s="17">
        <f t="shared" si="75"/>
        <v>30</v>
      </c>
      <c r="OG37" s="17">
        <f t="shared" si="75"/>
        <v>30</v>
      </c>
      <c r="OH37" s="17">
        <f t="shared" si="75"/>
        <v>30</v>
      </c>
      <c r="OI37" s="17">
        <f t="shared" si="75"/>
        <v>30</v>
      </c>
      <c r="OJ37" s="17">
        <f t="shared" si="75"/>
        <v>30</v>
      </c>
      <c r="OK37" s="17">
        <f t="shared" si="75"/>
        <v>30</v>
      </c>
      <c r="OL37" s="17">
        <f t="shared" si="75"/>
        <v>30</v>
      </c>
      <c r="OM37" s="17">
        <f t="shared" si="75"/>
        <v>30</v>
      </c>
      <c r="ON37" s="17">
        <f t="shared" si="75"/>
        <v>30</v>
      </c>
      <c r="OO37" s="17">
        <f t="shared" si="75"/>
        <v>30</v>
      </c>
      <c r="OP37" s="17">
        <f t="shared" si="75"/>
        <v>30</v>
      </c>
      <c r="OQ37" s="17">
        <f t="shared" si="75"/>
        <v>30</v>
      </c>
      <c r="OR37" s="17">
        <f t="shared" si="75"/>
        <v>30</v>
      </c>
      <c r="OS37" s="17">
        <f t="shared" si="75"/>
        <v>30</v>
      </c>
      <c r="OT37" s="17">
        <f t="shared" si="75"/>
        <v>30</v>
      </c>
      <c r="OU37" s="17">
        <f t="shared" si="75"/>
        <v>30</v>
      </c>
      <c r="OV37" s="17">
        <f t="shared" si="75"/>
        <v>30</v>
      </c>
      <c r="OW37" s="17">
        <f t="shared" si="75"/>
        <v>30</v>
      </c>
      <c r="OX37" s="17">
        <f t="shared" si="75"/>
        <v>30</v>
      </c>
      <c r="OY37" s="17">
        <f t="shared" si="75"/>
        <v>30</v>
      </c>
      <c r="OZ37" s="17">
        <f t="shared" si="75"/>
        <v>30</v>
      </c>
      <c r="PA37" s="17">
        <f t="shared" si="75"/>
        <v>30</v>
      </c>
      <c r="PB37" s="17">
        <f t="shared" si="75"/>
        <v>30</v>
      </c>
      <c r="PC37" s="17">
        <f t="shared" si="75"/>
        <v>30</v>
      </c>
      <c r="PD37" s="17">
        <f t="shared" si="75"/>
        <v>30</v>
      </c>
      <c r="PE37" s="17">
        <f t="shared" si="75"/>
        <v>30</v>
      </c>
      <c r="PF37" s="17">
        <f t="shared" si="75"/>
        <v>30</v>
      </c>
      <c r="PG37" s="17">
        <f t="shared" si="75"/>
        <v>30</v>
      </c>
    </row>
    <row r="38" spans="1:423" x14ac:dyDescent="0.25">
      <c r="A38" s="8" t="s">
        <v>5509</v>
      </c>
      <c r="B38" s="9" t="s">
        <v>24</v>
      </c>
      <c r="C38" s="9" t="str">
        <f t="shared" si="72"/>
        <v>LN1</v>
      </c>
      <c r="D38" s="1" t="str">
        <f t="shared" si="73"/>
        <v>Libre N1</v>
      </c>
      <c r="E38" s="1" t="s">
        <v>9865</v>
      </c>
      <c r="F38" s="9" t="s">
        <v>5508</v>
      </c>
      <c r="G38" s="9">
        <v>200</v>
      </c>
      <c r="H38" s="9">
        <v>20</v>
      </c>
      <c r="I38" s="127">
        <v>3.1</v>
      </c>
      <c r="J38" s="30" t="s">
        <v>5510</v>
      </c>
      <c r="K38" s="281"/>
      <c r="L38" s="8">
        <v>10</v>
      </c>
      <c r="M38" s="9">
        <v>10</v>
      </c>
      <c r="N38" s="10">
        <v>29.998999999999999</v>
      </c>
      <c r="O38" s="269">
        <v>1</v>
      </c>
      <c r="P38" s="331">
        <v>1</v>
      </c>
      <c r="Q38" s="335">
        <v>2</v>
      </c>
      <c r="R38" s="128"/>
      <c r="S38" s="9"/>
      <c r="T38" s="10"/>
      <c r="U38" t="s">
        <v>5523</v>
      </c>
      <c r="V38" s="17">
        <v>0</v>
      </c>
      <c r="W38" s="17">
        <f>IF(Distances[[#This Row],[Colonne4]]=$G38,V38,Distances[[#This Row],[Colonne4]]+1)</f>
        <v>1</v>
      </c>
      <c r="X38" s="17">
        <f>IF(Distances[[#This Row],[Colonne5]]=$G38,W38,Distances[[#This Row],[Colonne5]]+1)</f>
        <v>2</v>
      </c>
      <c r="Y38" s="17">
        <f>IF(Distances[[#This Row],[Colonne6]]=$G38,X38,Distances[[#This Row],[Colonne6]]+1)</f>
        <v>3</v>
      </c>
      <c r="Z38" s="17">
        <f>IF(Distances[[#This Row],[Colonne7]]=$G38,Y38,Distances[[#This Row],[Colonne7]]+1)</f>
        <v>4</v>
      </c>
      <c r="AA38" s="17">
        <f>IF(Distances[[#This Row],[Colonne8]]=$G38,Z38,Distances[[#This Row],[Colonne8]]+1)</f>
        <v>5</v>
      </c>
      <c r="AB38" s="17">
        <f>IF(Distances[[#This Row],[Colonne9]]=$G38,AA38,Distances[[#This Row],[Colonne9]]+1)</f>
        <v>6</v>
      </c>
      <c r="AC38" s="17">
        <f>IF(Distances[[#This Row],[Colonne10]]=$G38,AB38,Distances[[#This Row],[Colonne10]]+1)</f>
        <v>7</v>
      </c>
      <c r="AD38" s="17">
        <f>IF(Distances[[#This Row],[Colonne11]]=$G38,AC38,Distances[[#This Row],[Colonne11]]+1)</f>
        <v>8</v>
      </c>
      <c r="AE38" s="17">
        <f>IF(Distances[[#This Row],[Colonne12]]=$G38,AD38,Distances[[#This Row],[Colonne12]]+1)</f>
        <v>9</v>
      </c>
      <c r="AF38" s="17">
        <f>IF(Distances[[#This Row],[Colonne13]]=$G38,AE38,Distances[[#This Row],[Colonne13]]+1)</f>
        <v>10</v>
      </c>
      <c r="AG38" s="17">
        <f>IF(Distances[[#This Row],[Colonne14]]=$G38,AF38,Distances[[#This Row],[Colonne14]]+1)</f>
        <v>11</v>
      </c>
      <c r="AH38" s="17">
        <f>IF(Distances[[#This Row],[Colonne15]]=$G38,AG38,Distances[[#This Row],[Colonne15]]+1)</f>
        <v>12</v>
      </c>
      <c r="AI38" s="17">
        <f>IF(Distances[[#This Row],[Colonne16]]=$G38,AH38,Distances[[#This Row],[Colonne16]]+1)</f>
        <v>13</v>
      </c>
      <c r="AJ38" s="17">
        <f>IF(Distances[[#This Row],[Colonne17]]=$G38,AI38,Distances[[#This Row],[Colonne17]]+1)</f>
        <v>14</v>
      </c>
      <c r="AK38" s="17">
        <f>IF(Distances[[#This Row],[Colonne18]]=$G38,AJ38,Distances[[#This Row],[Colonne18]]+1)</f>
        <v>15</v>
      </c>
      <c r="AL38" s="17">
        <f>IF(Distances[[#This Row],[Colonne19]]=$G38,AK38,Distances[[#This Row],[Colonne19]]+1)</f>
        <v>16</v>
      </c>
      <c r="AM38" s="17">
        <f>IF(Distances[[#This Row],[Colonne20]]=$G38,AL38,Distances[[#This Row],[Colonne20]]+1)</f>
        <v>17</v>
      </c>
      <c r="AN38" s="17">
        <f>IF(Distances[[#This Row],[Colonne21]]=$G38,AM38,Distances[[#This Row],[Colonne21]]+1)</f>
        <v>18</v>
      </c>
      <c r="AO38" s="17">
        <f>IF(Distances[[#This Row],[Colonne22]]=$G38,AN38,Distances[[#This Row],[Colonne22]]+1)</f>
        <v>19</v>
      </c>
      <c r="AP38" s="17">
        <f>IF(Distances[[#This Row],[Colonne23]]=$G38,AO38,Distances[[#This Row],[Colonne23]]+1)</f>
        <v>20</v>
      </c>
      <c r="AQ38" s="17">
        <f>IF(Distances[[#This Row],[Colonne24]]=$G38,AP38,Distances[[#This Row],[Colonne24]]+1)</f>
        <v>21</v>
      </c>
      <c r="AR38" s="17">
        <f>IF(Distances[[#This Row],[Colonne25]]=$G38,AQ38,Distances[[#This Row],[Colonne25]]+1)</f>
        <v>22</v>
      </c>
      <c r="AS38" s="17">
        <f>IF(Distances[[#This Row],[Colonne26]]=$G38,AR38,Distances[[#This Row],[Colonne26]]+1)</f>
        <v>23</v>
      </c>
      <c r="AT38" s="17">
        <f>IF(Distances[[#This Row],[Colonne27]]=$G38,AS38,Distances[[#This Row],[Colonne27]]+1)</f>
        <v>24</v>
      </c>
      <c r="AU38" s="17">
        <f>IF(Distances[[#This Row],[Colonne28]]=$G38,AT38,Distances[[#This Row],[Colonne28]]+1)</f>
        <v>25</v>
      </c>
      <c r="AV38" s="17">
        <f>IF(Distances[[#This Row],[Colonne29]]=$G38,AU38,Distances[[#This Row],[Colonne29]]+1)</f>
        <v>26</v>
      </c>
      <c r="AW38" s="17">
        <f>IF(Distances[[#This Row],[Colonne30]]=$G38,AV38,Distances[[#This Row],[Colonne30]]+1)</f>
        <v>27</v>
      </c>
      <c r="AX38" s="17">
        <f>IF(Distances[[#This Row],[Colonne31]]=$G38,AW38,Distances[[#This Row],[Colonne31]]+1)</f>
        <v>28</v>
      </c>
      <c r="AY38" s="17">
        <f>IF(Distances[[#This Row],[Colonne32]]=$G38,AX38,Distances[[#This Row],[Colonne32]]+1)</f>
        <v>29</v>
      </c>
      <c r="AZ38" s="17">
        <f>IF(Distances[[#This Row],[Colonne33]]=$G38,AY38,Distances[[#This Row],[Colonne33]]+1)</f>
        <v>30</v>
      </c>
      <c r="BA38" s="17">
        <f>IF(Distances[[#This Row],[Colonne34]]=$G38,AZ38,Distances[[#This Row],[Colonne34]]+1)</f>
        <v>31</v>
      </c>
      <c r="BB38" s="17">
        <f>IF(Distances[[#This Row],[Colonne35]]=$G38,BA38,Distances[[#This Row],[Colonne35]]+1)</f>
        <v>32</v>
      </c>
      <c r="BC38" s="17">
        <f>IF(Distances[[#This Row],[Colonne36]]=$G38,BB38,Distances[[#This Row],[Colonne36]]+1)</f>
        <v>33</v>
      </c>
      <c r="BD38" s="17">
        <f>IF(Distances[[#This Row],[Colonne37]]=$G38,BC38,Distances[[#This Row],[Colonne37]]+1)</f>
        <v>34</v>
      </c>
      <c r="BE38" s="17">
        <f>IF(Distances[[#This Row],[Colonne38]]=$G38,BD38,Distances[[#This Row],[Colonne38]]+1)</f>
        <v>35</v>
      </c>
      <c r="BF38" s="17">
        <f>IF(Distances[[#This Row],[Colonne39]]=$G38,BE38,Distances[[#This Row],[Colonne39]]+1)</f>
        <v>36</v>
      </c>
      <c r="BG38" s="17">
        <f>IF(Distances[[#This Row],[Colonne40]]=$G38,BF38,Distances[[#This Row],[Colonne40]]+1)</f>
        <v>37</v>
      </c>
      <c r="BH38" s="17">
        <f>IF(Distances[[#This Row],[Colonne41]]=$G38,BG38,Distances[[#This Row],[Colonne41]]+1)</f>
        <v>38</v>
      </c>
      <c r="BI38" s="17">
        <f>IF(Distances[[#This Row],[Colonne42]]=$G38,BH38,Distances[[#This Row],[Colonne42]]+1)</f>
        <v>39</v>
      </c>
      <c r="BJ38" s="17">
        <f>IF(Distances[[#This Row],[Colonne43]]=$G38,BI38,Distances[[#This Row],[Colonne43]]+1)</f>
        <v>40</v>
      </c>
      <c r="BK38" s="17">
        <f>IF(Distances[[#This Row],[Colonne44]]=$G38,BJ38,Distances[[#This Row],[Colonne44]]+1)</f>
        <v>41</v>
      </c>
      <c r="BL38" s="17">
        <f>IF(Distances[[#This Row],[Colonne45]]=$G38,BK38,Distances[[#This Row],[Colonne45]]+1)</f>
        <v>42</v>
      </c>
      <c r="BM38" s="17">
        <f>IF(Distances[[#This Row],[Colonne46]]=$G38,BL38,Distances[[#This Row],[Colonne46]]+1)</f>
        <v>43</v>
      </c>
      <c r="BN38" s="17">
        <f>IF(Distances[[#This Row],[Colonne47]]=$G38,BM38,Distances[[#This Row],[Colonne47]]+1)</f>
        <v>44</v>
      </c>
      <c r="BO38" s="17">
        <f>IF(Distances[[#This Row],[Colonne48]]=$G38,BN38,Distances[[#This Row],[Colonne48]]+1)</f>
        <v>45</v>
      </c>
      <c r="BP38" s="17">
        <f>IF(Distances[[#This Row],[Colonne49]]=$G38,BO38,Distances[[#This Row],[Colonne49]]+1)</f>
        <v>46</v>
      </c>
      <c r="BQ38" s="17">
        <f>IF(Distances[[#This Row],[Colonne50]]=$G38,BP38,Distances[[#This Row],[Colonne50]]+1)</f>
        <v>47</v>
      </c>
      <c r="BR38" s="17">
        <f>IF(Distances[[#This Row],[Colonne51]]=$G38,BQ38,Distances[[#This Row],[Colonne51]]+1)</f>
        <v>48</v>
      </c>
      <c r="BS38" s="17">
        <f>IF(Distances[[#This Row],[Colonne52]]=$G38,BR38,Distances[[#This Row],[Colonne52]]+1)</f>
        <v>49</v>
      </c>
      <c r="BT38" s="17">
        <f>IF(Distances[[#This Row],[Colonne53]]=$G38,BS38,Distances[[#This Row],[Colonne53]]+1)</f>
        <v>50</v>
      </c>
      <c r="BU38" s="17">
        <f>IF(Distances[[#This Row],[Colonne54]]=$G38,BT38,Distances[[#This Row],[Colonne54]]+1)</f>
        <v>51</v>
      </c>
      <c r="BV38" s="17">
        <f>IF(Distances[[#This Row],[Colonne55]]=$G38,BU38,Distances[[#This Row],[Colonne55]]+1)</f>
        <v>52</v>
      </c>
      <c r="BW38" s="17">
        <f>IF(Distances[[#This Row],[Colonne56]]=$G38,BV38,Distances[[#This Row],[Colonne56]]+1)</f>
        <v>53</v>
      </c>
      <c r="BX38" s="17">
        <f>IF(Distances[[#This Row],[Colonne57]]=$G38,BW38,Distances[[#This Row],[Colonne57]]+1)</f>
        <v>54</v>
      </c>
      <c r="BY38" s="17">
        <f>IF(Distances[[#This Row],[Colonne58]]=$G38,BX38,Distances[[#This Row],[Colonne58]]+1)</f>
        <v>55</v>
      </c>
      <c r="BZ38" s="17">
        <f>IF(Distances[[#This Row],[Colonne59]]=$G38,BY38,Distances[[#This Row],[Colonne59]]+1)</f>
        <v>56</v>
      </c>
      <c r="CA38" s="17">
        <f>IF(Distances[[#This Row],[Colonne60]]=$G38,BZ38,Distances[[#This Row],[Colonne60]]+1)</f>
        <v>57</v>
      </c>
      <c r="CB38" s="17">
        <f>IF(Distances[[#This Row],[Colonne61]]=$G38,CA38,Distances[[#This Row],[Colonne61]]+1)</f>
        <v>58</v>
      </c>
      <c r="CC38" s="17">
        <f>IF(Distances[[#This Row],[Colonne62]]=$G38,CB38,Distances[[#This Row],[Colonne62]]+1)</f>
        <v>59</v>
      </c>
      <c r="CD38" s="17">
        <f>IF(Distances[[#This Row],[Colonne63]]=$G38,CC38,Distances[[#This Row],[Colonne63]]+1)</f>
        <v>60</v>
      </c>
      <c r="CE38" s="17">
        <f>IF(Distances[[#This Row],[Colonne64]]=$G38,CD38,Distances[[#This Row],[Colonne64]]+1)</f>
        <v>61</v>
      </c>
      <c r="CF38" s="17">
        <f>IF(Distances[[#This Row],[Colonne65]]=$G38,CE38,Distances[[#This Row],[Colonne65]]+1)</f>
        <v>62</v>
      </c>
      <c r="CG38" s="17">
        <f>IF(Distances[[#This Row],[Colonne66]]=$G38,CF38,Distances[[#This Row],[Colonne66]]+1)</f>
        <v>63</v>
      </c>
      <c r="CH38" s="17">
        <f>IF(Distances[[#This Row],[Colonne67]]=$G38,CG38,Distances[[#This Row],[Colonne67]]+1)</f>
        <v>64</v>
      </c>
      <c r="CI38" s="17">
        <f>IF(Distances[[#This Row],[Colonne68]]=$G38,CH38,Distances[[#This Row],[Colonne68]]+1)</f>
        <v>65</v>
      </c>
      <c r="CJ38" s="17">
        <f>IF(Distances[[#This Row],[Colonne69]]=$G38,CI38,Distances[[#This Row],[Colonne69]]+1)</f>
        <v>66</v>
      </c>
      <c r="CK38" s="17">
        <f>IF(Distances[[#This Row],[Colonne70]]=$G38,CJ38,Distances[[#This Row],[Colonne70]]+1)</f>
        <v>67</v>
      </c>
      <c r="CL38" s="17">
        <f>IF(Distances[[#This Row],[Colonne71]]=$G38,CK38,Distances[[#This Row],[Colonne71]]+1)</f>
        <v>68</v>
      </c>
      <c r="CM38" s="17">
        <f>IF(Distances[[#This Row],[Colonne72]]=$G38,CL38,Distances[[#This Row],[Colonne72]]+1)</f>
        <v>69</v>
      </c>
      <c r="CN38" s="17">
        <f>IF(Distances[[#This Row],[Colonne73]]=$G38,CM38,Distances[[#This Row],[Colonne73]]+1)</f>
        <v>70</v>
      </c>
      <c r="CO38" s="17">
        <f>IF(Distances[[#This Row],[Colonne74]]=$G38,CN38,Distances[[#This Row],[Colonne74]]+1)</f>
        <v>71</v>
      </c>
      <c r="CP38" s="17">
        <f>IF(Distances[[#This Row],[Colonne75]]=$G38,CO38,Distances[[#This Row],[Colonne75]]+1)</f>
        <v>72</v>
      </c>
      <c r="CQ38" s="17">
        <f>IF(Distances[[#This Row],[Colonne76]]=$G38,CP38,Distances[[#This Row],[Colonne76]]+1)</f>
        <v>73</v>
      </c>
      <c r="CR38" s="17">
        <f>IF(Distances[[#This Row],[Colonne77]]=$G38,CQ38,Distances[[#This Row],[Colonne77]]+1)</f>
        <v>74</v>
      </c>
      <c r="CS38" s="17">
        <f>IF(Distances[[#This Row],[Colonne78]]=$G38,CR38,Distances[[#This Row],[Colonne78]]+1)</f>
        <v>75</v>
      </c>
      <c r="CT38" s="17">
        <f>IF(Distances[[#This Row],[Colonne79]]=$G38,CS38,Distances[[#This Row],[Colonne79]]+1)</f>
        <v>76</v>
      </c>
      <c r="CU38" s="17">
        <f>IF(Distances[[#This Row],[Colonne80]]=$G38,CT38,Distances[[#This Row],[Colonne80]]+1)</f>
        <v>77</v>
      </c>
      <c r="CV38" s="17">
        <f>IF(Distances[[#This Row],[Colonne81]]=$G38,CU38,Distances[[#This Row],[Colonne81]]+1)</f>
        <v>78</v>
      </c>
      <c r="CW38" s="17">
        <f>IF(Distances[[#This Row],[Colonne82]]=$G38,CV38,Distances[[#This Row],[Colonne82]]+1)</f>
        <v>79</v>
      </c>
      <c r="CX38" s="17">
        <f>IF(Distances[[#This Row],[Colonne83]]=$G38,CW38,Distances[[#This Row],[Colonne83]]+1)</f>
        <v>80</v>
      </c>
      <c r="CY38" s="17">
        <f>IF(Distances[[#This Row],[Colonne84]]=$G38,CX38,Distances[[#This Row],[Colonne84]]+1)</f>
        <v>81</v>
      </c>
      <c r="CZ38" s="17">
        <f>IF(Distances[[#This Row],[Colonne85]]=$G38,CY38,Distances[[#This Row],[Colonne85]]+1)</f>
        <v>82</v>
      </c>
      <c r="DA38" s="17">
        <f>IF(Distances[[#This Row],[Colonne86]]=$G38,CZ38,Distances[[#This Row],[Colonne86]]+1)</f>
        <v>83</v>
      </c>
      <c r="DB38" s="17">
        <f>IF(Distances[[#This Row],[Colonne87]]=$G38,DA38,Distances[[#This Row],[Colonne87]]+1)</f>
        <v>84</v>
      </c>
      <c r="DC38" s="17">
        <f>IF(Distances[[#This Row],[Colonne88]]=$G38,DB38,Distances[[#This Row],[Colonne88]]+1)</f>
        <v>85</v>
      </c>
      <c r="DD38" s="17">
        <f>IF(Distances[[#This Row],[Colonne89]]=$G38,DC38,Distances[[#This Row],[Colonne89]]+1)</f>
        <v>86</v>
      </c>
      <c r="DE38" s="17">
        <f>IF(Distances[[#This Row],[Colonne90]]=$G38,DD38,Distances[[#This Row],[Colonne90]]+1)</f>
        <v>87</v>
      </c>
      <c r="DF38" s="17">
        <f>IF(Distances[[#This Row],[Colonne91]]=$G38,DE38,Distances[[#This Row],[Colonne91]]+1)</f>
        <v>88</v>
      </c>
      <c r="DG38" s="17">
        <f>IF(Distances[[#This Row],[Colonne92]]=$G38,DF38,Distances[[#This Row],[Colonne92]]+1)</f>
        <v>89</v>
      </c>
      <c r="DH38" s="17">
        <f>IF(Distances[[#This Row],[Colonne93]]=$G38,DG38,Distances[[#This Row],[Colonne93]]+1)</f>
        <v>90</v>
      </c>
      <c r="DI38" s="17">
        <f>IF(Distances[[#This Row],[Colonne94]]=$G38,DH38,Distances[[#This Row],[Colonne94]]+1)</f>
        <v>91</v>
      </c>
      <c r="DJ38" s="17">
        <f>IF(Distances[[#This Row],[Colonne95]]=$G38,DI38,Distances[[#This Row],[Colonne95]]+1)</f>
        <v>92</v>
      </c>
      <c r="DK38" s="17">
        <f>IF(Distances[[#This Row],[Colonne96]]=$G38,DJ38,Distances[[#This Row],[Colonne96]]+1)</f>
        <v>93</v>
      </c>
      <c r="DL38" s="17">
        <f>IF(Distances[[#This Row],[Colonne97]]=$G38,DK38,Distances[[#This Row],[Colonne97]]+1)</f>
        <v>94</v>
      </c>
      <c r="DM38" s="17">
        <f>IF(Distances[[#This Row],[Colonne98]]=$G38,DL38,Distances[[#This Row],[Colonne98]]+1)</f>
        <v>95</v>
      </c>
      <c r="DN38" s="17">
        <f>IF(Distances[[#This Row],[Colonne99]]=$G38,DM38,Distances[[#This Row],[Colonne99]]+1)</f>
        <v>96</v>
      </c>
      <c r="DO38" s="17">
        <f>IF(Distances[[#This Row],[Colonne100]]=$G38,DN38,Distances[[#This Row],[Colonne100]]+1)</f>
        <v>97</v>
      </c>
      <c r="DP38" s="17">
        <f>IF(Distances[[#This Row],[Colonne101]]=$G38,DO38,Distances[[#This Row],[Colonne101]]+1)</f>
        <v>98</v>
      </c>
      <c r="DQ38" s="17">
        <f>IF(Distances[[#This Row],[Colonne102]]=$G38,DP38,Distances[[#This Row],[Colonne102]]+1)</f>
        <v>99</v>
      </c>
      <c r="DR38" s="17">
        <f>IF(Distances[[#This Row],[Colonne103]]=$G38,DQ38,Distances[[#This Row],[Colonne103]]+1)</f>
        <v>100</v>
      </c>
      <c r="DS38" s="17">
        <f>IF(Distances[[#This Row],[Colonne104]]=$G38,DR38,Distances[[#This Row],[Colonne104]]+1)</f>
        <v>101</v>
      </c>
      <c r="DT38" s="17">
        <f>IF(Distances[[#This Row],[Colonne105]]=$G38,DS38,Distances[[#This Row],[Colonne105]]+1)</f>
        <v>102</v>
      </c>
      <c r="DU38" s="17">
        <f>IF(Distances[[#This Row],[Colonne106]]=$G38,DT38,Distances[[#This Row],[Colonne106]]+1)</f>
        <v>103</v>
      </c>
      <c r="DV38" s="17">
        <f>IF(Distances[[#This Row],[Colonne107]]=$G38,DU38,Distances[[#This Row],[Colonne107]]+1)</f>
        <v>104</v>
      </c>
      <c r="DW38" s="17">
        <f>IF(Distances[[#This Row],[Colonne108]]=$G38,DV38,Distances[[#This Row],[Colonne108]]+1)</f>
        <v>105</v>
      </c>
      <c r="DX38" s="17">
        <f>IF(Distances[[#This Row],[Colonne109]]=$G38,DW38,Distances[[#This Row],[Colonne109]]+1)</f>
        <v>106</v>
      </c>
      <c r="DY38" s="17">
        <f>IF(Distances[[#This Row],[Colonne110]]=$G38,DX38,Distances[[#This Row],[Colonne110]]+1)</f>
        <v>107</v>
      </c>
      <c r="DZ38" s="17">
        <f>IF(Distances[[#This Row],[Colonne111]]=$G38,DY38,Distances[[#This Row],[Colonne111]]+1)</f>
        <v>108</v>
      </c>
      <c r="EA38" s="17">
        <f>IF(Distances[[#This Row],[Colonne112]]=$G38,DZ38,Distances[[#This Row],[Colonne112]]+1)</f>
        <v>109</v>
      </c>
      <c r="EB38" s="17">
        <f>IF(Distances[[#This Row],[Colonne113]]=$G38,EA38,Distances[[#This Row],[Colonne113]]+1)</f>
        <v>110</v>
      </c>
      <c r="EC38" s="17">
        <f>IF(Distances[[#This Row],[Colonne114]]=$G38,EB38,Distances[[#This Row],[Colonne114]]+1)</f>
        <v>111</v>
      </c>
      <c r="ED38" s="17">
        <f>IF(Distances[[#This Row],[Colonne115]]=$G38,EC38,Distances[[#This Row],[Colonne115]]+1)</f>
        <v>112</v>
      </c>
      <c r="EE38" s="17">
        <f>IF(Distances[[#This Row],[Colonne116]]=$G38,ED38,Distances[[#This Row],[Colonne116]]+1)</f>
        <v>113</v>
      </c>
      <c r="EF38" s="17">
        <f>IF(Distances[[#This Row],[Colonne117]]=$G38,EE38,Distances[[#This Row],[Colonne117]]+1)</f>
        <v>114</v>
      </c>
      <c r="EG38" s="17">
        <f>IF(Distances[[#This Row],[Colonne118]]=$G38,EF38,Distances[[#This Row],[Colonne118]]+1)</f>
        <v>115</v>
      </c>
      <c r="EH38" s="17">
        <f>IF(Distances[[#This Row],[Colonne119]]=$G38,EG38,Distances[[#This Row],[Colonne119]]+1)</f>
        <v>116</v>
      </c>
      <c r="EI38" s="17">
        <f>IF(Distances[[#This Row],[Colonne120]]=$G38,EH38,Distances[[#This Row],[Colonne120]]+1)</f>
        <v>117</v>
      </c>
      <c r="EJ38" s="17">
        <f>IF(Distances[[#This Row],[Colonne121]]=$G38,EI38,Distances[[#This Row],[Colonne121]]+1)</f>
        <v>118</v>
      </c>
      <c r="EK38" s="17">
        <f>IF(Distances[[#This Row],[Colonne122]]=$G38,EJ38,Distances[[#This Row],[Colonne122]]+1)</f>
        <v>119</v>
      </c>
      <c r="EL38" s="17">
        <f>IF(Distances[[#This Row],[Colonne123]]=$G38,EK38,Distances[[#This Row],[Colonne123]]+1)</f>
        <v>120</v>
      </c>
      <c r="EM38" s="17">
        <f>IF(Distances[[#This Row],[Colonne124]]=$G38,EL38,Distances[[#This Row],[Colonne124]]+1)</f>
        <v>121</v>
      </c>
      <c r="EN38" s="17">
        <f>IF(Distances[[#This Row],[Colonne125]]=$G38,EM38,Distances[[#This Row],[Colonne125]]+1)</f>
        <v>122</v>
      </c>
      <c r="EO38" s="17">
        <f>IF(Distances[[#This Row],[Colonne126]]=$G38,EN38,Distances[[#This Row],[Colonne126]]+1)</f>
        <v>123</v>
      </c>
      <c r="EP38" s="17">
        <f>IF(Distances[[#This Row],[Colonne127]]=$G38,EO38,Distances[[#This Row],[Colonne127]]+1)</f>
        <v>124</v>
      </c>
      <c r="EQ38" s="17">
        <f>IF(Distances[[#This Row],[Colonne128]]=$G38,EP38,Distances[[#This Row],[Colonne128]]+1)</f>
        <v>125</v>
      </c>
      <c r="ER38" s="17">
        <f>IF(Distances[[#This Row],[Colonne129]]=$G38,EQ38,Distances[[#This Row],[Colonne129]]+1)</f>
        <v>126</v>
      </c>
      <c r="ES38" s="17">
        <f>IF(Distances[[#This Row],[Colonne130]]=$G38,ER38,Distances[[#This Row],[Colonne130]]+1)</f>
        <v>127</v>
      </c>
      <c r="ET38" s="17">
        <f>IF(Distances[[#This Row],[Colonne131]]=$G38,ES38,Distances[[#This Row],[Colonne131]]+1)</f>
        <v>128</v>
      </c>
      <c r="EU38" s="17">
        <f>IF(Distances[[#This Row],[Colonne132]]=$G38,ET38,Distances[[#This Row],[Colonne132]]+1)</f>
        <v>129</v>
      </c>
      <c r="EV38" s="17">
        <f>IF(Distances[[#This Row],[Colonne133]]=$G38,EU38,Distances[[#This Row],[Colonne133]]+1)</f>
        <v>130</v>
      </c>
      <c r="EW38" s="17">
        <f>IF(Distances[[#This Row],[Colonne134]]=$G38,EV38,Distances[[#This Row],[Colonne134]]+1)</f>
        <v>131</v>
      </c>
      <c r="EX38" s="17">
        <f>IF(Distances[[#This Row],[Colonne135]]=$G38,EW38,Distances[[#This Row],[Colonne135]]+1)</f>
        <v>132</v>
      </c>
      <c r="EY38" s="17">
        <f>IF(Distances[[#This Row],[Colonne136]]=$G38,EX38,Distances[[#This Row],[Colonne136]]+1)</f>
        <v>133</v>
      </c>
      <c r="EZ38" s="17">
        <f>IF(Distances[[#This Row],[Colonne137]]=$G38,EY38,Distances[[#This Row],[Colonne137]]+1)</f>
        <v>134</v>
      </c>
      <c r="FA38" s="17">
        <f>IF(Distances[[#This Row],[Colonne138]]=$G38,EZ38,Distances[[#This Row],[Colonne138]]+1)</f>
        <v>135</v>
      </c>
      <c r="FB38" s="17">
        <f>IF(Distances[[#This Row],[Colonne139]]=$G38,FA38,Distances[[#This Row],[Colonne139]]+1)</f>
        <v>136</v>
      </c>
      <c r="FC38" s="17">
        <f>IF(Distances[[#This Row],[Colonne140]]=$G38,FB38,Distances[[#This Row],[Colonne140]]+1)</f>
        <v>137</v>
      </c>
      <c r="FD38" s="17">
        <f>IF(Distances[[#This Row],[Colonne141]]=$G38,FC38,Distances[[#This Row],[Colonne141]]+1)</f>
        <v>138</v>
      </c>
      <c r="FE38" s="17">
        <f>IF(Distances[[#This Row],[Colonne142]]=$G38,FD38,Distances[[#This Row],[Colonne142]]+1)</f>
        <v>139</v>
      </c>
      <c r="FF38" s="17">
        <f>IF(Distances[[#This Row],[Colonne143]]=$G38,FE38,Distances[[#This Row],[Colonne143]]+1)</f>
        <v>140</v>
      </c>
      <c r="FG38" s="17">
        <f>IF(Distances[[#This Row],[Colonne144]]=$G38,FF38,Distances[[#This Row],[Colonne144]]+1)</f>
        <v>141</v>
      </c>
      <c r="FH38" s="17">
        <f>IF(Distances[[#This Row],[Colonne145]]=$G38,FG38,Distances[[#This Row],[Colonne145]]+1)</f>
        <v>142</v>
      </c>
      <c r="FI38" s="17">
        <f>IF(Distances[[#This Row],[Colonne146]]=$G38,FH38,Distances[[#This Row],[Colonne146]]+1)</f>
        <v>143</v>
      </c>
      <c r="FJ38" s="17">
        <f>IF(Distances[[#This Row],[Colonne147]]=$G38,FI38,Distances[[#This Row],[Colonne147]]+1)</f>
        <v>144</v>
      </c>
      <c r="FK38" s="17">
        <f>IF(Distances[[#This Row],[Colonne148]]=$G38,FJ38,Distances[[#This Row],[Colonne148]]+1)</f>
        <v>145</v>
      </c>
      <c r="FL38" s="17">
        <f>IF(Distances[[#This Row],[Colonne149]]=$G38,FK38,Distances[[#This Row],[Colonne149]]+1)</f>
        <v>146</v>
      </c>
      <c r="FM38" s="17">
        <f>IF(Distances[[#This Row],[Colonne150]]=$G38,FL38,Distances[[#This Row],[Colonne150]]+1)</f>
        <v>147</v>
      </c>
      <c r="FN38" s="17">
        <f>IF(Distances[[#This Row],[Colonne151]]=$G38,FM38,Distances[[#This Row],[Colonne151]]+1)</f>
        <v>148</v>
      </c>
      <c r="FO38" s="17">
        <f>IF(Distances[[#This Row],[Colonne152]]=$G38,FN38,Distances[[#This Row],[Colonne152]]+1)</f>
        <v>149</v>
      </c>
      <c r="FP38" s="17">
        <f>IF(Distances[[#This Row],[Colonne153]]=$G38,FO38,Distances[[#This Row],[Colonne153]]+1)</f>
        <v>150</v>
      </c>
      <c r="FQ38" s="17">
        <f>IF(Distances[[#This Row],[Colonne154]]=$G38,FP38,Distances[[#This Row],[Colonne154]]+1)</f>
        <v>151</v>
      </c>
      <c r="FR38" s="17">
        <f>IF(Distances[[#This Row],[Colonne155]]=$G38,FQ38,Distances[[#This Row],[Colonne155]]+1)</f>
        <v>152</v>
      </c>
      <c r="FS38" s="17">
        <f>IF(Distances[[#This Row],[Colonne156]]=$G38,FR38,Distances[[#This Row],[Colonne156]]+1)</f>
        <v>153</v>
      </c>
      <c r="FT38" s="17">
        <f>IF(Distances[[#This Row],[Colonne157]]=$G38,FS38,Distances[[#This Row],[Colonne157]]+1)</f>
        <v>154</v>
      </c>
      <c r="FU38" s="17">
        <f>IF(Distances[[#This Row],[Colonne158]]=$G38,FT38,Distances[[#This Row],[Colonne158]]+1)</f>
        <v>155</v>
      </c>
      <c r="FV38" s="17">
        <f>IF(Distances[[#This Row],[Colonne159]]=$G38,FU38,Distances[[#This Row],[Colonne159]]+1)</f>
        <v>156</v>
      </c>
      <c r="FW38" s="17">
        <f>IF(Distances[[#This Row],[Colonne160]]=$G38,FV38,Distances[[#This Row],[Colonne160]]+1)</f>
        <v>157</v>
      </c>
      <c r="FX38" s="17">
        <f>IF(Distances[[#This Row],[Colonne161]]=$G38,FW38,Distances[[#This Row],[Colonne161]]+1)</f>
        <v>158</v>
      </c>
      <c r="FY38" s="17">
        <f>IF(Distances[[#This Row],[Colonne162]]=$G38,FX38,Distances[[#This Row],[Colonne162]]+1)</f>
        <v>159</v>
      </c>
      <c r="FZ38" s="17">
        <f>IF(Distances[[#This Row],[Colonne163]]=$G38,FY38,Distances[[#This Row],[Colonne163]]+1)</f>
        <v>160</v>
      </c>
      <c r="GA38" s="17">
        <f>IF(Distances[[#This Row],[Colonne164]]=$G38,FZ38,Distances[[#This Row],[Colonne164]]+1)</f>
        <v>161</v>
      </c>
      <c r="GB38" s="17">
        <f>IF(Distances[[#This Row],[Colonne165]]=$G38,GA38,Distances[[#This Row],[Colonne165]]+1)</f>
        <v>162</v>
      </c>
      <c r="GC38" s="17">
        <f>IF(Distances[[#This Row],[Colonne166]]=$G38,GB38,Distances[[#This Row],[Colonne166]]+1)</f>
        <v>163</v>
      </c>
      <c r="GD38" s="17">
        <f>IF(Distances[[#This Row],[Colonne167]]=$G38,GC38,Distances[[#This Row],[Colonne167]]+1)</f>
        <v>164</v>
      </c>
      <c r="GE38" s="17">
        <f>IF(Distances[[#This Row],[Colonne168]]=$G38,GD38,Distances[[#This Row],[Colonne168]]+1)</f>
        <v>165</v>
      </c>
      <c r="GF38" s="17">
        <f>IF(Distances[[#This Row],[Colonne169]]=$G38,GE38,Distances[[#This Row],[Colonne169]]+1)</f>
        <v>166</v>
      </c>
      <c r="GG38" s="17">
        <f>IF(Distances[[#This Row],[Colonne170]]=$G38,GF38,Distances[[#This Row],[Colonne170]]+1)</f>
        <v>167</v>
      </c>
      <c r="GH38" s="17">
        <f>IF(Distances[[#This Row],[Colonne171]]=$G38,GG38,Distances[[#This Row],[Colonne171]]+1)</f>
        <v>168</v>
      </c>
      <c r="GI38" s="17">
        <f>IF(Distances[[#This Row],[Colonne172]]=$G38,GH38,Distances[[#This Row],[Colonne172]]+1)</f>
        <v>169</v>
      </c>
      <c r="GJ38" s="17">
        <f>IF(Distances[[#This Row],[Colonne173]]=$G38,GI38,Distances[[#This Row],[Colonne173]]+1)</f>
        <v>170</v>
      </c>
      <c r="GK38" s="17">
        <f>IF(Distances[[#This Row],[Colonne174]]=$G38,GJ38,Distances[[#This Row],[Colonne174]]+1)</f>
        <v>171</v>
      </c>
      <c r="GL38" s="17">
        <f>IF(Distances[[#This Row],[Colonne175]]=$G38,GK38,Distances[[#This Row],[Colonne175]]+1)</f>
        <v>172</v>
      </c>
      <c r="GM38" s="17">
        <f>IF(Distances[[#This Row],[Colonne176]]=$G38,GL38,Distances[[#This Row],[Colonne176]]+1)</f>
        <v>173</v>
      </c>
      <c r="GN38" s="17">
        <f>IF(Distances[[#This Row],[Colonne177]]=$G38,GM38,Distances[[#This Row],[Colonne177]]+1)</f>
        <v>174</v>
      </c>
      <c r="GO38" s="17">
        <f>IF(Distances[[#This Row],[Colonne178]]=$G38,GN38,Distances[[#This Row],[Colonne178]]+1)</f>
        <v>175</v>
      </c>
      <c r="GP38" s="17">
        <f>IF(Distances[[#This Row],[Colonne179]]=$G38,GO38,Distances[[#This Row],[Colonne179]]+1)</f>
        <v>176</v>
      </c>
      <c r="GQ38" s="17">
        <f>IF(Distances[[#This Row],[Colonne180]]=$G38,GP38,Distances[[#This Row],[Colonne180]]+1)</f>
        <v>177</v>
      </c>
      <c r="GR38" s="17">
        <f>IF(Distances[[#This Row],[Colonne181]]=$G38,GQ38,Distances[[#This Row],[Colonne181]]+1)</f>
        <v>178</v>
      </c>
      <c r="GS38" s="17">
        <f>IF(Distances[[#This Row],[Colonne182]]=$G38,GR38,Distances[[#This Row],[Colonne182]]+1)</f>
        <v>179</v>
      </c>
      <c r="GT38" s="17">
        <f>IF(Distances[[#This Row],[Colonne183]]=$G38,GS38,Distances[[#This Row],[Colonne183]]+1)</f>
        <v>180</v>
      </c>
      <c r="GU38" s="17">
        <f>IF(Distances[[#This Row],[Colonne184]]=$G38,GT38,Distances[[#This Row],[Colonne184]]+1)</f>
        <v>181</v>
      </c>
      <c r="GV38" s="17">
        <f>IF(Distances[[#This Row],[Colonne185]]=$G38,GU38,Distances[[#This Row],[Colonne185]]+1)</f>
        <v>182</v>
      </c>
      <c r="GW38" s="17">
        <f>IF(Distances[[#This Row],[Colonne186]]=$G38,GV38,Distances[[#This Row],[Colonne186]]+1)</f>
        <v>183</v>
      </c>
      <c r="GX38" s="17">
        <f>IF(Distances[[#This Row],[Colonne187]]=$G38,GW38,Distances[[#This Row],[Colonne187]]+1)</f>
        <v>184</v>
      </c>
      <c r="GY38" s="17">
        <f>IF(Distances[[#This Row],[Colonne188]]=$G38,GX38,Distances[[#This Row],[Colonne188]]+1)</f>
        <v>185</v>
      </c>
      <c r="GZ38" s="17">
        <f>IF(Distances[[#This Row],[Colonne189]]=$G38,GY38,Distances[[#This Row],[Colonne189]]+1)</f>
        <v>186</v>
      </c>
      <c r="HA38" s="17">
        <f>IF(Distances[[#This Row],[Colonne190]]=$G38,GZ38,Distances[[#This Row],[Colonne190]]+1)</f>
        <v>187</v>
      </c>
      <c r="HB38" s="17">
        <f>IF(Distances[[#This Row],[Colonne191]]=$G38,HA38,Distances[[#This Row],[Colonne191]]+1)</f>
        <v>188</v>
      </c>
      <c r="HC38" s="17">
        <f>IF(Distances[[#This Row],[Colonne192]]=$G38,HB38,Distances[[#This Row],[Colonne192]]+1)</f>
        <v>189</v>
      </c>
      <c r="HD38" s="17">
        <f>IF(Distances[[#This Row],[Colonne193]]=$G38,HC38,Distances[[#This Row],[Colonne193]]+1)</f>
        <v>190</v>
      </c>
      <c r="HE38" s="17">
        <f>IF(Distances[[#This Row],[Colonne194]]=$G38,HD38,Distances[[#This Row],[Colonne194]]+1)</f>
        <v>191</v>
      </c>
      <c r="HF38" s="17">
        <f>IF(Distances[[#This Row],[Colonne195]]=$G38,HE38,Distances[[#This Row],[Colonne195]]+1)</f>
        <v>192</v>
      </c>
      <c r="HG38" s="17">
        <f>IF(Distances[[#This Row],[Colonne196]]=$G38,HF38,Distances[[#This Row],[Colonne196]]+1)</f>
        <v>193</v>
      </c>
      <c r="HH38" s="17">
        <f>IF(Distances[[#This Row],[Colonne197]]=$G38,HG38,Distances[[#This Row],[Colonne197]]+1)</f>
        <v>194</v>
      </c>
      <c r="HI38" s="17">
        <f>IF(Distances[[#This Row],[Colonne198]]=$G38,HH38,Distances[[#This Row],[Colonne198]]+1)</f>
        <v>195</v>
      </c>
      <c r="HJ38" s="17">
        <f>IF(Distances[[#This Row],[Colonne199]]=$G38,HI38,Distances[[#This Row],[Colonne199]]+1)</f>
        <v>196</v>
      </c>
      <c r="HK38" s="17">
        <f>IF(Distances[[#This Row],[Colonne200]]=$G38,HJ38,Distances[[#This Row],[Colonne200]]+1)</f>
        <v>197</v>
      </c>
      <c r="HL38" s="17">
        <f>IF(Distances[[#This Row],[Colonne201]]=$G38,HK38,Distances[[#This Row],[Colonne201]]+1)</f>
        <v>198</v>
      </c>
      <c r="HM38" s="17">
        <f>IF(Distances[[#This Row],[Colonne202]]=$G38,HL38,Distances[[#This Row],[Colonne202]]+1)</f>
        <v>199</v>
      </c>
      <c r="HN38" s="17">
        <f>IF(Distances[[#This Row],[Colonne203]]=$G38,HM38,Distances[[#This Row],[Colonne203]]+1)</f>
        <v>200</v>
      </c>
      <c r="HO38" s="17">
        <f>IF(Distances[[#This Row],[Colonne204]]=$G38,HN38,Distances[[#This Row],[Colonne204]]+1)</f>
        <v>200</v>
      </c>
      <c r="HP38" s="17">
        <f>IF(Distances[[#This Row],[Colonne205]]=$G38,HO38,Distances[[#This Row],[Colonne205]]+1)</f>
        <v>200</v>
      </c>
      <c r="HQ38" s="17">
        <f>IF(Distances[[#This Row],[Colonne206]]=$G38,HP38,Distances[[#This Row],[Colonne206]]+1)</f>
        <v>200</v>
      </c>
      <c r="HR38" s="17">
        <f>IF(Distances[[#This Row],[Colonne207]]=$G38,HQ38,Distances[[#This Row],[Colonne207]]+1)</f>
        <v>200</v>
      </c>
      <c r="HS38" s="17">
        <f>IF(Distances[[#This Row],[Colonne208]]=$G38,HR38,Distances[[#This Row],[Colonne208]]+1)</f>
        <v>200</v>
      </c>
      <c r="HT38" s="17">
        <f>IF(Distances[[#This Row],[Colonne209]]=$G38,HS38,Distances[[#This Row],[Colonne209]]+1)</f>
        <v>200</v>
      </c>
      <c r="HU38" s="17">
        <f>IF(Distances[[#This Row],[Colonne210]]=$G38,HT38,Distances[[#This Row],[Colonne210]]+1)</f>
        <v>200</v>
      </c>
      <c r="HV38" s="17">
        <f>IF(Distances[[#This Row],[Colonne211]]=$G38,HU38,Distances[[#This Row],[Colonne211]]+1)</f>
        <v>200</v>
      </c>
      <c r="HW38" s="17">
        <f>IF(Distances[[#This Row],[Colonne212]]=$G38,HV38,Distances[[#This Row],[Colonne212]]+1)</f>
        <v>200</v>
      </c>
      <c r="HX38" s="17">
        <f>IF(Distances[[#This Row],[Colonne213]]=$G38,HW38,Distances[[#This Row],[Colonne213]]+1)</f>
        <v>200</v>
      </c>
      <c r="HY38" s="17">
        <f>IF(Distances[[#This Row],[Colonne214]]=$G38,HX38,Distances[[#This Row],[Colonne214]]+1)</f>
        <v>200</v>
      </c>
      <c r="HZ38" s="17">
        <f>IF(Distances[[#This Row],[Colonne215]]=$G38,HY38,Distances[[#This Row],[Colonne215]]+1)</f>
        <v>200</v>
      </c>
      <c r="IA38" s="17">
        <f>IF(Distances[[#This Row],[Colonne216]]=$G38,HZ38,Distances[[#This Row],[Colonne216]]+1)</f>
        <v>200</v>
      </c>
      <c r="IB38" s="17">
        <f>IF(Distances[[#This Row],[Colonne217]]=$G38,IA38,Distances[[#This Row],[Colonne217]]+1)</f>
        <v>200</v>
      </c>
      <c r="IC38" s="17">
        <f>IF(Distances[[#This Row],[Colonne218]]=$G38,IB38,Distances[[#This Row],[Colonne218]]+1)</f>
        <v>200</v>
      </c>
      <c r="ID38" s="17">
        <f>IF(Distances[[#This Row],[Colonne219]]=$G38,IC38,Distances[[#This Row],[Colonne219]]+1)</f>
        <v>200</v>
      </c>
      <c r="IE38" s="17">
        <f>IF(Distances[[#This Row],[Colonne220]]=$G38,ID38,Distances[[#This Row],[Colonne220]]+1)</f>
        <v>200</v>
      </c>
      <c r="IF38" s="17">
        <f>IF(Distances[[#This Row],[Colonne221]]=$G38,IE38,Distances[[#This Row],[Colonne221]]+1)</f>
        <v>200</v>
      </c>
      <c r="IG38" s="17">
        <f>IF(Distances[[#This Row],[Colonne222]]=$G38,IF38,Distances[[#This Row],[Colonne222]]+1)</f>
        <v>200</v>
      </c>
      <c r="IH38" s="17">
        <f>IF(Distances[[#This Row],[Colonne223]]=$G38,IG38,Distances[[#This Row],[Colonne223]]+1)</f>
        <v>200</v>
      </c>
      <c r="II38" s="17">
        <f>IF(Distances[[#This Row],[Colonne224]]=$G38,IH38,Distances[[#This Row],[Colonne224]]+1)</f>
        <v>200</v>
      </c>
      <c r="IJ38" s="17">
        <f>IF(Distances[[#This Row],[Colonne225]]=$G38,II38,Distances[[#This Row],[Colonne225]]+1)</f>
        <v>200</v>
      </c>
      <c r="IK38" s="17">
        <f>IF(Distances[[#This Row],[Colonne226]]=$G38,IJ38,Distances[[#This Row],[Colonne226]]+1)</f>
        <v>200</v>
      </c>
      <c r="IL38" s="17">
        <f>IF(Distances[[#This Row],[Colonne227]]=$G38,IK38,Distances[[#This Row],[Colonne227]]+1)</f>
        <v>200</v>
      </c>
      <c r="IM38" s="17">
        <f>IF(Distances[[#This Row],[Colonne228]]=$G38,IL38,Distances[[#This Row],[Colonne228]]+1)</f>
        <v>200</v>
      </c>
      <c r="IN38" s="17">
        <f>IF(Distances[[#This Row],[Colonne229]]=$G38,IM38,Distances[[#This Row],[Colonne229]]+1)</f>
        <v>200</v>
      </c>
      <c r="IO38" s="17">
        <f>IF(Distances[[#This Row],[Colonne230]]=$G38,IN38,Distances[[#This Row],[Colonne230]]+1)</f>
        <v>200</v>
      </c>
      <c r="IP38" s="17">
        <f>IF(Distances[[#This Row],[Colonne231]]=$G38,IO38,Distances[[#This Row],[Colonne231]]+1)</f>
        <v>200</v>
      </c>
      <c r="IQ38" s="17">
        <f>IF(Distances[[#This Row],[Colonne232]]=$G38,IP38,Distances[[#This Row],[Colonne232]]+1)</f>
        <v>200</v>
      </c>
      <c r="IR38" s="17">
        <f>IF(Distances[[#This Row],[Colonne233]]=$G38,IQ38,Distances[[#This Row],[Colonne233]]+1)</f>
        <v>200</v>
      </c>
      <c r="IS38" s="17">
        <f>IF(Distances[[#This Row],[Colonne234]]=$G38,IR38,Distances[[#This Row],[Colonne234]]+1)</f>
        <v>200</v>
      </c>
      <c r="IT38" s="17">
        <f>IF(Distances[[#This Row],[Colonne235]]=$G38,IS38,Distances[[#This Row],[Colonne235]]+1)</f>
        <v>200</v>
      </c>
      <c r="IU38" s="17">
        <f>IF(Distances[[#This Row],[Colonne236]]=$G38,IT38,Distances[[#This Row],[Colonne236]]+1)</f>
        <v>200</v>
      </c>
      <c r="IV38" s="17">
        <f>IF(Distances[[#This Row],[Colonne237]]=$G38,IU38,Distances[[#This Row],[Colonne237]]+1)</f>
        <v>200</v>
      </c>
      <c r="IW38" s="17">
        <f>IF(Distances[[#This Row],[Colonne238]]=$G38,IV38,Distances[[#This Row],[Colonne238]]+1)</f>
        <v>200</v>
      </c>
      <c r="IX38" s="17">
        <f>IF(Distances[[#This Row],[Colonne239]]=$G38,IW38,Distances[[#This Row],[Colonne239]]+1)</f>
        <v>200</v>
      </c>
      <c r="IY38" s="17">
        <f>IF(Distances[[#This Row],[Colonne240]]=$G38,IX38,Distances[[#This Row],[Colonne240]]+1)</f>
        <v>200</v>
      </c>
      <c r="IZ38" s="17">
        <f>IF(Distances[[#This Row],[Colonne241]]=$G38,IY38,Distances[[#This Row],[Colonne241]]+1)</f>
        <v>200</v>
      </c>
      <c r="JA38" s="17">
        <f>IF(Distances[[#This Row],[Colonne242]]=$G38,IZ38,Distances[[#This Row],[Colonne242]]+1)</f>
        <v>200</v>
      </c>
      <c r="JB38" s="17">
        <f>IF(Distances[[#This Row],[Colonne243]]=$G38,JA38,Distances[[#This Row],[Colonne243]]+1)</f>
        <v>200</v>
      </c>
      <c r="JC38" s="17">
        <f>IF(Distances[[#This Row],[Colonne244]]=$G38,JB38,Distances[[#This Row],[Colonne244]]+1)</f>
        <v>200</v>
      </c>
      <c r="JD38" s="17">
        <f>IF(Distances[[#This Row],[Colonne245]]=$G38,JC38,Distances[[#This Row],[Colonne245]]+1)</f>
        <v>200</v>
      </c>
      <c r="JE38" s="17">
        <f>IF(Distances[[#This Row],[Colonne246]]=$G38,JD38,Distances[[#This Row],[Colonne246]]+1)</f>
        <v>200</v>
      </c>
      <c r="JF38" s="17">
        <f>IF(Distances[[#This Row],[Colonne247]]=$G38,JE38,Distances[[#This Row],[Colonne247]]+1)</f>
        <v>200</v>
      </c>
      <c r="JG38" s="17">
        <f>IF(Distances[[#This Row],[Colonne248]]=$G38,JF38,Distances[[#This Row],[Colonne248]]+1)</f>
        <v>200</v>
      </c>
      <c r="JH38" s="17">
        <f>IF(Distances[[#This Row],[Colonne249]]=$G38,JG38,Distances[[#This Row],[Colonne249]]+1)</f>
        <v>200</v>
      </c>
      <c r="JI38" s="17">
        <f>IF(Distances[[#This Row],[Colonne250]]=$G38,JH38,Distances[[#This Row],[Colonne250]]+1)</f>
        <v>200</v>
      </c>
      <c r="JJ38" s="17">
        <f>IF(Distances[[#This Row],[Colonne251]]=$G38,JI38,Distances[[#This Row],[Colonne251]]+1)</f>
        <v>200</v>
      </c>
      <c r="JK38" s="17">
        <f>IF(Distances[[#This Row],[Colonne252]]=$G38,JJ38,Distances[[#This Row],[Colonne252]]+1)</f>
        <v>200</v>
      </c>
      <c r="JL38" s="17">
        <f>IF(Distances[[#This Row],[Colonne253]]=$G38,JK38,Distances[[#This Row],[Colonne253]]+1)</f>
        <v>200</v>
      </c>
      <c r="JM38" s="17">
        <f>IF(Distances[[#This Row],[Colonne254]]=$G38,JL38,Distances[[#This Row],[Colonne254]]+1)</f>
        <v>200</v>
      </c>
      <c r="JN38" s="17">
        <f>IF(Distances[[#This Row],[Colonne255]]=$G38,JM38,Distances[[#This Row],[Colonne255]]+1)</f>
        <v>200</v>
      </c>
      <c r="JO38" s="17">
        <f>IF(Distances[[#This Row],[Colonne256]]=$G38,JN38,Distances[[#This Row],[Colonne256]]+1)</f>
        <v>200</v>
      </c>
      <c r="JP38" s="17">
        <f>IF(Distances[[#This Row],[Colonne257]]=$G38,JO38,Distances[[#This Row],[Colonne257]]+1)</f>
        <v>200</v>
      </c>
      <c r="JQ38" s="17">
        <f>IF(Distances[[#This Row],[Colonne258]]=$G38,JP38,Distances[[#This Row],[Colonne258]]+1)</f>
        <v>200</v>
      </c>
      <c r="JR38" s="17">
        <f>IF(Distances[[#This Row],[Colonne259]]=$G38,JQ38,Distances[[#This Row],[Colonne259]]+1)</f>
        <v>200</v>
      </c>
      <c r="JS38" s="17">
        <f>IF(Distances[[#This Row],[Colonne260]]=$G38,JR38,Distances[[#This Row],[Colonne260]]+1)</f>
        <v>200</v>
      </c>
      <c r="JT38" s="17">
        <f>IF(Distances[[#This Row],[Colonne261]]=$G38,JS38,Distances[[#This Row],[Colonne261]]+1)</f>
        <v>200</v>
      </c>
      <c r="JU38" s="17">
        <f>IF(Distances[[#This Row],[Colonne262]]=$G38,JT38,Distances[[#This Row],[Colonne262]]+1)</f>
        <v>200</v>
      </c>
      <c r="JV38" s="17">
        <f>IF(Distances[[#This Row],[Colonne263]]=$G38,JU38,Distances[[#This Row],[Colonne263]]+1)</f>
        <v>200</v>
      </c>
      <c r="JW38" s="17">
        <f>IF(Distances[[#This Row],[Colonne264]]=$G38,JV38,Distances[[#This Row],[Colonne264]]+1)</f>
        <v>200</v>
      </c>
      <c r="JX38" s="17">
        <f>IF(Distances[[#This Row],[Colonne265]]=$G38,JW38,Distances[[#This Row],[Colonne265]]+1)</f>
        <v>200</v>
      </c>
      <c r="JY38" s="17">
        <f>IF(Distances[[#This Row],[Colonne266]]=$G38,JX38,Distances[[#This Row],[Colonne266]]+1)</f>
        <v>200</v>
      </c>
      <c r="JZ38" s="17">
        <f>IF(Distances[[#This Row],[Colonne267]]=$G38,JY38,Distances[[#This Row],[Colonne267]]+1)</f>
        <v>200</v>
      </c>
      <c r="KA38" s="17">
        <f>IF(Distances[[#This Row],[Colonne268]]=$G38,JZ38,Distances[[#This Row],[Colonne268]]+1)</f>
        <v>200</v>
      </c>
      <c r="KB38" s="17">
        <f>IF(Distances[[#This Row],[Colonne269]]=$G38,KA38,Distances[[#This Row],[Colonne269]]+1)</f>
        <v>200</v>
      </c>
      <c r="KC38" s="17">
        <f>IF(Distances[[#This Row],[Colonne270]]=$G38,KB38,Distances[[#This Row],[Colonne270]]+1)</f>
        <v>200</v>
      </c>
      <c r="KD38" s="17">
        <f>IF(Distances[[#This Row],[Colonne271]]=$G38,KC38,Distances[[#This Row],[Colonne271]]+1)</f>
        <v>200</v>
      </c>
      <c r="KE38" s="17">
        <f>IF(Distances[[#This Row],[Colonne272]]=$G38,KD38,Distances[[#This Row],[Colonne272]]+1)</f>
        <v>200</v>
      </c>
      <c r="KF38" s="17">
        <f>IF(Distances[[#This Row],[Colonne273]]=$G38,KE38,Distances[[#This Row],[Colonne273]]+1)</f>
        <v>200</v>
      </c>
      <c r="KG38" s="17">
        <f>IF(Distances[[#This Row],[Colonne274]]=$G38,KF38,Distances[[#This Row],[Colonne274]]+1)</f>
        <v>200</v>
      </c>
      <c r="KH38" s="17">
        <f>IF(Distances[[#This Row],[Colonne275]]=$G38,KG38,Distances[[#This Row],[Colonne275]]+1)</f>
        <v>200</v>
      </c>
      <c r="KI38" s="17">
        <f>IF(Distances[[#This Row],[Colonne276]]=$G38,KH38,Distances[[#This Row],[Colonne276]]+1)</f>
        <v>200</v>
      </c>
      <c r="KJ38" s="17">
        <f>IF(Distances[[#This Row],[Colonne277]]=$G38,KI38,Distances[[#This Row],[Colonne277]]+1)</f>
        <v>200</v>
      </c>
      <c r="KK38" s="17">
        <f>IF(Distances[[#This Row],[Colonne278]]=$G38,KJ38,Distances[[#This Row],[Colonne278]]+1)</f>
        <v>200</v>
      </c>
      <c r="KL38" s="17">
        <f>IF(Distances[[#This Row],[Colonne279]]=$G38,KK38,Distances[[#This Row],[Colonne279]]+1)</f>
        <v>200</v>
      </c>
      <c r="KM38" s="17">
        <f>IF(Distances[[#This Row],[Colonne280]]=$G38,KL38,Distances[[#This Row],[Colonne280]]+1)</f>
        <v>200</v>
      </c>
      <c r="KN38" s="17">
        <f>IF(Distances[[#This Row],[Colonne281]]=$G38,KM38,Distances[[#This Row],[Colonne281]]+1)</f>
        <v>200</v>
      </c>
      <c r="KO38" s="17">
        <f>IF(Distances[[#This Row],[Colonne282]]=$G38,KN38,Distances[[#This Row],[Colonne282]]+1)</f>
        <v>200</v>
      </c>
      <c r="KP38" s="17">
        <f>IF(Distances[[#This Row],[Colonne283]]=$G38,KO38,Distances[[#This Row],[Colonne283]]+1)</f>
        <v>200</v>
      </c>
      <c r="KQ38" s="17">
        <f>IF(Distances[[#This Row],[Colonne284]]=$G38,KP38,Distances[[#This Row],[Colonne284]]+1)</f>
        <v>200</v>
      </c>
      <c r="KR38" s="17">
        <f>IF(Distances[[#This Row],[Colonne285]]=$G38,KQ38,Distances[[#This Row],[Colonne285]]+1)</f>
        <v>200</v>
      </c>
      <c r="KS38" s="17">
        <f>IF(Distances[[#This Row],[Colonne286]]=$G38,KR38,Distances[[#This Row],[Colonne286]]+1)</f>
        <v>200</v>
      </c>
      <c r="KT38" s="17">
        <f>IF(Distances[[#This Row],[Colonne287]]=$G38,KS38,Distances[[#This Row],[Colonne287]]+1)</f>
        <v>200</v>
      </c>
      <c r="KU38" s="17">
        <f>IF(Distances[[#This Row],[Colonne288]]=$G38,KT38,Distances[[#This Row],[Colonne288]]+1)</f>
        <v>200</v>
      </c>
      <c r="KV38" s="17">
        <f>IF(Distances[[#This Row],[Colonne289]]=$G38,KU38,Distances[[#This Row],[Colonne289]]+1)</f>
        <v>200</v>
      </c>
      <c r="KW38" s="17">
        <f>IF(Distances[[#This Row],[Colonne290]]=$G38,KV38,Distances[[#This Row],[Colonne290]]+1)</f>
        <v>200</v>
      </c>
      <c r="KX38" s="17">
        <f>IF(Distances[[#This Row],[Colonne291]]=$G38,KW38,Distances[[#This Row],[Colonne291]]+1)</f>
        <v>200</v>
      </c>
      <c r="KY38" s="17">
        <f>IF(Distances[[#This Row],[Colonne292]]=$G38,KX38,Distances[[#This Row],[Colonne292]]+1)</f>
        <v>200</v>
      </c>
      <c r="KZ38" s="17">
        <f>IF(Distances[[#This Row],[Colonne293]]=$G38,KY38,Distances[[#This Row],[Colonne293]]+1)</f>
        <v>200</v>
      </c>
      <c r="LA38" s="17">
        <f>IF(Distances[[#This Row],[Colonne294]]=$G38,KZ38,Distances[[#This Row],[Colonne294]]+1)</f>
        <v>200</v>
      </c>
      <c r="LB38" s="17">
        <f>IF(Distances[[#This Row],[Colonne295]]=$G38,LA38,Distances[[#This Row],[Colonne295]]+1)</f>
        <v>200</v>
      </c>
      <c r="LC38" s="17">
        <f>IF(Distances[[#This Row],[Colonne296]]=$G38,LB38,Distances[[#This Row],[Colonne296]]+1)</f>
        <v>200</v>
      </c>
      <c r="LD38" s="17">
        <f>IF(Distances[[#This Row],[Colonne297]]=$G38,LC38,Distances[[#This Row],[Colonne297]]+1)</f>
        <v>200</v>
      </c>
      <c r="LE38" s="17">
        <f>IF(Distances[[#This Row],[Colonne298]]=$G38,LD38,Distances[[#This Row],[Colonne298]]+1)</f>
        <v>200</v>
      </c>
      <c r="LF38" s="17">
        <f>IF(Distances[[#This Row],[Colonne299]]=$G38,LE38,Distances[[#This Row],[Colonne299]]+1)</f>
        <v>200</v>
      </c>
      <c r="LG38" s="17">
        <f>IF(Distances[[#This Row],[Colonne300]]=$G38,LF38,Distances[[#This Row],[Colonne300]]+1)</f>
        <v>200</v>
      </c>
      <c r="LH38" s="17">
        <f>IF(Distances[[#This Row],[Colonne301]]=$G38,LG38,Distances[[#This Row],[Colonne301]]+1)</f>
        <v>200</v>
      </c>
      <c r="LI38" s="17">
        <f>IF(Distances[[#This Row],[Colonne302]]=$G38,LH38,Distances[[#This Row],[Colonne302]]+1)</f>
        <v>200</v>
      </c>
      <c r="LJ38" s="17">
        <f>IF(Distances[[#This Row],[Colonne303]]=$G38,LI38,Distances[[#This Row],[Colonne303]]+1)</f>
        <v>200</v>
      </c>
      <c r="LK38" s="51"/>
      <c r="LL38" s="17">
        <f t="shared" ref="LL38:NW38" si="76">IF(LK38=$H38,LK38,LK38+1)</f>
        <v>1</v>
      </c>
      <c r="LM38" s="17">
        <f t="shared" si="76"/>
        <v>2</v>
      </c>
      <c r="LN38" s="17">
        <f t="shared" si="76"/>
        <v>3</v>
      </c>
      <c r="LO38" s="17">
        <f t="shared" si="76"/>
        <v>4</v>
      </c>
      <c r="LP38" s="17">
        <f t="shared" si="76"/>
        <v>5</v>
      </c>
      <c r="LQ38" s="17">
        <f t="shared" si="76"/>
        <v>6</v>
      </c>
      <c r="LR38" s="17">
        <f t="shared" si="76"/>
        <v>7</v>
      </c>
      <c r="LS38" s="17">
        <f t="shared" si="76"/>
        <v>8</v>
      </c>
      <c r="LT38" s="17">
        <f t="shared" si="76"/>
        <v>9</v>
      </c>
      <c r="LU38" s="17">
        <f t="shared" si="76"/>
        <v>10</v>
      </c>
      <c r="LV38" s="17">
        <f t="shared" si="76"/>
        <v>11</v>
      </c>
      <c r="LW38" s="17">
        <f t="shared" si="76"/>
        <v>12</v>
      </c>
      <c r="LX38" s="17">
        <f t="shared" si="76"/>
        <v>13</v>
      </c>
      <c r="LY38" s="17">
        <f t="shared" si="76"/>
        <v>14</v>
      </c>
      <c r="LZ38" s="17">
        <f t="shared" si="76"/>
        <v>15</v>
      </c>
      <c r="MA38" s="17">
        <f t="shared" si="76"/>
        <v>16</v>
      </c>
      <c r="MB38" s="17">
        <f t="shared" si="76"/>
        <v>17</v>
      </c>
      <c r="MC38" s="17">
        <f t="shared" si="76"/>
        <v>18</v>
      </c>
      <c r="MD38" s="17">
        <f t="shared" si="76"/>
        <v>19</v>
      </c>
      <c r="ME38" s="17">
        <f t="shared" si="76"/>
        <v>20</v>
      </c>
      <c r="MF38" s="17">
        <f t="shared" si="76"/>
        <v>20</v>
      </c>
      <c r="MG38" s="17">
        <f t="shared" si="76"/>
        <v>20</v>
      </c>
      <c r="MH38" s="17">
        <f t="shared" si="76"/>
        <v>20</v>
      </c>
      <c r="MI38" s="17">
        <f t="shared" si="76"/>
        <v>20</v>
      </c>
      <c r="MJ38" s="17">
        <f t="shared" si="76"/>
        <v>20</v>
      </c>
      <c r="MK38" s="17">
        <f t="shared" si="76"/>
        <v>20</v>
      </c>
      <c r="ML38" s="17">
        <f t="shared" si="76"/>
        <v>20</v>
      </c>
      <c r="MM38" s="17">
        <f t="shared" si="76"/>
        <v>20</v>
      </c>
      <c r="MN38" s="17">
        <f t="shared" si="76"/>
        <v>20</v>
      </c>
      <c r="MO38" s="17">
        <f t="shared" si="76"/>
        <v>20</v>
      </c>
      <c r="MP38" s="17">
        <f t="shared" si="76"/>
        <v>20</v>
      </c>
      <c r="MQ38" s="17">
        <f t="shared" si="76"/>
        <v>20</v>
      </c>
      <c r="MR38" s="17">
        <f t="shared" si="76"/>
        <v>20</v>
      </c>
      <c r="MS38" s="17">
        <f t="shared" si="76"/>
        <v>20</v>
      </c>
      <c r="MT38" s="17">
        <f t="shared" si="76"/>
        <v>20</v>
      </c>
      <c r="MU38" s="17">
        <f t="shared" si="76"/>
        <v>20</v>
      </c>
      <c r="MV38" s="17">
        <f t="shared" si="76"/>
        <v>20</v>
      </c>
      <c r="MW38" s="17">
        <f t="shared" si="76"/>
        <v>20</v>
      </c>
      <c r="MX38" s="17">
        <f t="shared" si="76"/>
        <v>20</v>
      </c>
      <c r="MY38" s="17">
        <f t="shared" si="76"/>
        <v>20</v>
      </c>
      <c r="MZ38" s="17">
        <f t="shared" si="76"/>
        <v>20</v>
      </c>
      <c r="NA38" s="17">
        <f t="shared" si="76"/>
        <v>20</v>
      </c>
      <c r="NB38" s="17">
        <f t="shared" si="76"/>
        <v>20</v>
      </c>
      <c r="NC38" s="17">
        <f t="shared" si="76"/>
        <v>20</v>
      </c>
      <c r="ND38" s="17">
        <f t="shared" si="76"/>
        <v>20</v>
      </c>
      <c r="NE38" s="17">
        <f t="shared" si="76"/>
        <v>20</v>
      </c>
      <c r="NF38" s="17">
        <f t="shared" si="76"/>
        <v>20</v>
      </c>
      <c r="NG38" s="17">
        <f t="shared" si="76"/>
        <v>20</v>
      </c>
      <c r="NH38" s="17">
        <f t="shared" si="76"/>
        <v>20</v>
      </c>
      <c r="NI38" s="17">
        <f t="shared" si="76"/>
        <v>20</v>
      </c>
      <c r="NJ38" s="17">
        <f t="shared" si="76"/>
        <v>20</v>
      </c>
      <c r="NK38" s="17">
        <f t="shared" si="76"/>
        <v>20</v>
      </c>
      <c r="NL38" s="17">
        <f t="shared" si="76"/>
        <v>20</v>
      </c>
      <c r="NM38" s="17">
        <f t="shared" si="76"/>
        <v>20</v>
      </c>
      <c r="NN38" s="17">
        <f t="shared" si="76"/>
        <v>20</v>
      </c>
      <c r="NO38" s="17">
        <f t="shared" si="76"/>
        <v>20</v>
      </c>
      <c r="NP38" s="17">
        <f t="shared" si="76"/>
        <v>20</v>
      </c>
      <c r="NQ38" s="17">
        <f t="shared" si="76"/>
        <v>20</v>
      </c>
      <c r="NR38" s="17">
        <f t="shared" si="76"/>
        <v>20</v>
      </c>
      <c r="NS38" s="17">
        <f t="shared" si="76"/>
        <v>20</v>
      </c>
      <c r="NT38" s="17">
        <f t="shared" si="76"/>
        <v>20</v>
      </c>
      <c r="NU38" s="17">
        <f t="shared" si="76"/>
        <v>20</v>
      </c>
      <c r="NV38" s="17">
        <f t="shared" si="76"/>
        <v>20</v>
      </c>
      <c r="NW38" s="17">
        <f t="shared" si="76"/>
        <v>20</v>
      </c>
      <c r="NX38" s="17">
        <f t="shared" ref="NX38:PG38" si="77">IF(NW38=$H38,NW38,NW38+1)</f>
        <v>20</v>
      </c>
      <c r="NY38" s="17">
        <f t="shared" si="77"/>
        <v>20</v>
      </c>
      <c r="NZ38" s="17">
        <f t="shared" si="77"/>
        <v>20</v>
      </c>
      <c r="OA38" s="17">
        <f t="shared" si="77"/>
        <v>20</v>
      </c>
      <c r="OB38" s="17">
        <f t="shared" si="77"/>
        <v>20</v>
      </c>
      <c r="OC38" s="17">
        <f t="shared" si="77"/>
        <v>20</v>
      </c>
      <c r="OD38" s="17">
        <f t="shared" si="77"/>
        <v>20</v>
      </c>
      <c r="OE38" s="17">
        <f t="shared" si="77"/>
        <v>20</v>
      </c>
      <c r="OF38" s="17">
        <f t="shared" si="77"/>
        <v>20</v>
      </c>
      <c r="OG38" s="17">
        <f t="shared" si="77"/>
        <v>20</v>
      </c>
      <c r="OH38" s="17">
        <f t="shared" si="77"/>
        <v>20</v>
      </c>
      <c r="OI38" s="17">
        <f t="shared" si="77"/>
        <v>20</v>
      </c>
      <c r="OJ38" s="17">
        <f t="shared" si="77"/>
        <v>20</v>
      </c>
      <c r="OK38" s="17">
        <f t="shared" si="77"/>
        <v>20</v>
      </c>
      <c r="OL38" s="17">
        <f t="shared" si="77"/>
        <v>20</v>
      </c>
      <c r="OM38" s="17">
        <f t="shared" si="77"/>
        <v>20</v>
      </c>
      <c r="ON38" s="17">
        <f t="shared" si="77"/>
        <v>20</v>
      </c>
      <c r="OO38" s="17">
        <f t="shared" si="77"/>
        <v>20</v>
      </c>
      <c r="OP38" s="17">
        <f t="shared" si="77"/>
        <v>20</v>
      </c>
      <c r="OQ38" s="17">
        <f t="shared" si="77"/>
        <v>20</v>
      </c>
      <c r="OR38" s="17">
        <f t="shared" si="77"/>
        <v>20</v>
      </c>
      <c r="OS38" s="17">
        <f t="shared" si="77"/>
        <v>20</v>
      </c>
      <c r="OT38" s="17">
        <f t="shared" si="77"/>
        <v>20</v>
      </c>
      <c r="OU38" s="17">
        <f t="shared" si="77"/>
        <v>20</v>
      </c>
      <c r="OV38" s="17">
        <f t="shared" si="77"/>
        <v>20</v>
      </c>
      <c r="OW38" s="17">
        <f t="shared" si="77"/>
        <v>20</v>
      </c>
      <c r="OX38" s="17">
        <f t="shared" si="77"/>
        <v>20</v>
      </c>
      <c r="OY38" s="17">
        <f t="shared" si="77"/>
        <v>20</v>
      </c>
      <c r="OZ38" s="17">
        <f t="shared" si="77"/>
        <v>20</v>
      </c>
      <c r="PA38" s="17">
        <f t="shared" si="77"/>
        <v>20</v>
      </c>
      <c r="PB38" s="17">
        <f t="shared" si="77"/>
        <v>20</v>
      </c>
      <c r="PC38" s="17">
        <f t="shared" si="77"/>
        <v>20</v>
      </c>
      <c r="PD38" s="17">
        <f t="shared" si="77"/>
        <v>20</v>
      </c>
      <c r="PE38" s="17">
        <f t="shared" si="77"/>
        <v>20</v>
      </c>
      <c r="PF38" s="17">
        <f t="shared" si="77"/>
        <v>20</v>
      </c>
      <c r="PG38" s="17">
        <f t="shared" si="77"/>
        <v>20</v>
      </c>
    </row>
    <row r="39" spans="1:423" x14ac:dyDescent="0.25">
      <c r="A39" s="8" t="s">
        <v>5509</v>
      </c>
      <c r="B39" s="9" t="s">
        <v>26</v>
      </c>
      <c r="C39" s="9" t="str">
        <f t="shared" si="72"/>
        <v>LN3</v>
      </c>
      <c r="D39" s="1" t="str">
        <f t="shared" si="73"/>
        <v>Libre N3</v>
      </c>
      <c r="E39" s="1" t="s">
        <v>15</v>
      </c>
      <c r="F39" s="9" t="s">
        <v>5508</v>
      </c>
      <c r="G39" s="9">
        <v>150</v>
      </c>
      <c r="H39" s="9">
        <v>25</v>
      </c>
      <c r="I39" s="127">
        <v>2.8</v>
      </c>
      <c r="J39" s="30" t="s">
        <v>5510</v>
      </c>
      <c r="K39" s="281"/>
      <c r="L39" s="8">
        <v>6</v>
      </c>
      <c r="M39" s="9">
        <v>6</v>
      </c>
      <c r="N39" s="10">
        <v>12.499000000000001</v>
      </c>
      <c r="O39" s="269"/>
      <c r="P39" s="331"/>
      <c r="Q39" s="335"/>
      <c r="R39" s="128">
        <v>1</v>
      </c>
      <c r="S39" s="9">
        <v>1</v>
      </c>
      <c r="T39" s="10">
        <v>2</v>
      </c>
      <c r="U39" t="s">
        <v>5523</v>
      </c>
      <c r="V39" s="17">
        <v>0</v>
      </c>
      <c r="W39" s="17">
        <f>IF(Distances[[#This Row],[Colonne4]]=$G39,V39,Distances[[#This Row],[Colonne4]]+1)</f>
        <v>1</v>
      </c>
      <c r="X39" s="17">
        <f>IF(Distances[[#This Row],[Colonne5]]=$G39,W39,Distances[[#This Row],[Colonne5]]+1)</f>
        <v>2</v>
      </c>
      <c r="Y39" s="17">
        <f>IF(Distances[[#This Row],[Colonne6]]=$G39,X39,Distances[[#This Row],[Colonne6]]+1)</f>
        <v>3</v>
      </c>
      <c r="Z39" s="17">
        <f>IF(Distances[[#This Row],[Colonne7]]=$G39,Y39,Distances[[#This Row],[Colonne7]]+1)</f>
        <v>4</v>
      </c>
      <c r="AA39" s="17">
        <f>IF(Distances[[#This Row],[Colonne8]]=$G39,Z39,Distances[[#This Row],[Colonne8]]+1)</f>
        <v>5</v>
      </c>
      <c r="AB39" s="17">
        <f>IF(Distances[[#This Row],[Colonne9]]=$G39,AA39,Distances[[#This Row],[Colonne9]]+1)</f>
        <v>6</v>
      </c>
      <c r="AC39" s="17">
        <f>IF(Distances[[#This Row],[Colonne10]]=$G39,AB39,Distances[[#This Row],[Colonne10]]+1)</f>
        <v>7</v>
      </c>
      <c r="AD39" s="17">
        <f>IF(Distances[[#This Row],[Colonne11]]=$G39,AC39,Distances[[#This Row],[Colonne11]]+1)</f>
        <v>8</v>
      </c>
      <c r="AE39" s="17">
        <f>IF(Distances[[#This Row],[Colonne12]]=$G39,AD39,Distances[[#This Row],[Colonne12]]+1)</f>
        <v>9</v>
      </c>
      <c r="AF39" s="17">
        <f>IF(Distances[[#This Row],[Colonne13]]=$G39,AE39,Distances[[#This Row],[Colonne13]]+1)</f>
        <v>10</v>
      </c>
      <c r="AG39" s="17">
        <f>IF(Distances[[#This Row],[Colonne14]]=$G39,AF39,Distances[[#This Row],[Colonne14]]+1)</f>
        <v>11</v>
      </c>
      <c r="AH39" s="17">
        <f>IF(Distances[[#This Row],[Colonne15]]=$G39,AG39,Distances[[#This Row],[Colonne15]]+1)</f>
        <v>12</v>
      </c>
      <c r="AI39" s="17">
        <f>IF(Distances[[#This Row],[Colonne16]]=$G39,AH39,Distances[[#This Row],[Colonne16]]+1)</f>
        <v>13</v>
      </c>
      <c r="AJ39" s="17">
        <f>IF(Distances[[#This Row],[Colonne17]]=$G39,AI39,Distances[[#This Row],[Colonne17]]+1)</f>
        <v>14</v>
      </c>
      <c r="AK39" s="17">
        <f>IF(Distances[[#This Row],[Colonne18]]=$G39,AJ39,Distances[[#This Row],[Colonne18]]+1)</f>
        <v>15</v>
      </c>
      <c r="AL39" s="17">
        <f>IF(Distances[[#This Row],[Colonne19]]=$G39,AK39,Distances[[#This Row],[Colonne19]]+1)</f>
        <v>16</v>
      </c>
      <c r="AM39" s="17">
        <f>IF(Distances[[#This Row],[Colonne20]]=$G39,AL39,Distances[[#This Row],[Colonne20]]+1)</f>
        <v>17</v>
      </c>
      <c r="AN39" s="17">
        <f>IF(Distances[[#This Row],[Colonne21]]=$G39,AM39,Distances[[#This Row],[Colonne21]]+1)</f>
        <v>18</v>
      </c>
      <c r="AO39" s="17">
        <f>IF(Distances[[#This Row],[Colonne22]]=$G39,AN39,Distances[[#This Row],[Colonne22]]+1)</f>
        <v>19</v>
      </c>
      <c r="AP39" s="17">
        <f>IF(Distances[[#This Row],[Colonne23]]=$G39,AO39,Distances[[#This Row],[Colonne23]]+1)</f>
        <v>20</v>
      </c>
      <c r="AQ39" s="17">
        <f>IF(Distances[[#This Row],[Colonne24]]=$G39,AP39,Distances[[#This Row],[Colonne24]]+1)</f>
        <v>21</v>
      </c>
      <c r="AR39" s="17">
        <f>IF(Distances[[#This Row],[Colonne25]]=$G39,AQ39,Distances[[#This Row],[Colonne25]]+1)</f>
        <v>22</v>
      </c>
      <c r="AS39" s="17">
        <f>IF(Distances[[#This Row],[Colonne26]]=$G39,AR39,Distances[[#This Row],[Colonne26]]+1)</f>
        <v>23</v>
      </c>
      <c r="AT39" s="17">
        <f>IF(Distances[[#This Row],[Colonne27]]=$G39,AS39,Distances[[#This Row],[Colonne27]]+1)</f>
        <v>24</v>
      </c>
      <c r="AU39" s="17">
        <f>IF(Distances[[#This Row],[Colonne28]]=$G39,AT39,Distances[[#This Row],[Colonne28]]+1)</f>
        <v>25</v>
      </c>
      <c r="AV39" s="17">
        <f>IF(Distances[[#This Row],[Colonne29]]=$G39,AU39,Distances[[#This Row],[Colonne29]]+1)</f>
        <v>26</v>
      </c>
      <c r="AW39" s="17">
        <f>IF(Distances[[#This Row],[Colonne30]]=$G39,AV39,Distances[[#This Row],[Colonne30]]+1)</f>
        <v>27</v>
      </c>
      <c r="AX39" s="17">
        <f>IF(Distances[[#This Row],[Colonne31]]=$G39,AW39,Distances[[#This Row],[Colonne31]]+1)</f>
        <v>28</v>
      </c>
      <c r="AY39" s="17">
        <f>IF(Distances[[#This Row],[Colonne32]]=$G39,AX39,Distances[[#This Row],[Colonne32]]+1)</f>
        <v>29</v>
      </c>
      <c r="AZ39" s="17">
        <f>IF(Distances[[#This Row],[Colonne33]]=$G39,AY39,Distances[[#This Row],[Colonne33]]+1)</f>
        <v>30</v>
      </c>
      <c r="BA39" s="17">
        <f>IF(Distances[[#This Row],[Colonne34]]=$G39,AZ39,Distances[[#This Row],[Colonne34]]+1)</f>
        <v>31</v>
      </c>
      <c r="BB39" s="17">
        <f>IF(Distances[[#This Row],[Colonne35]]=$G39,BA39,Distances[[#This Row],[Colonne35]]+1)</f>
        <v>32</v>
      </c>
      <c r="BC39" s="17">
        <f>IF(Distances[[#This Row],[Colonne36]]=$G39,BB39,Distances[[#This Row],[Colonne36]]+1)</f>
        <v>33</v>
      </c>
      <c r="BD39" s="17">
        <f>IF(Distances[[#This Row],[Colonne37]]=$G39,BC39,Distances[[#This Row],[Colonne37]]+1)</f>
        <v>34</v>
      </c>
      <c r="BE39" s="17">
        <f>IF(Distances[[#This Row],[Colonne38]]=$G39,BD39,Distances[[#This Row],[Colonne38]]+1)</f>
        <v>35</v>
      </c>
      <c r="BF39" s="17">
        <f>IF(Distances[[#This Row],[Colonne39]]=$G39,BE39,Distances[[#This Row],[Colonne39]]+1)</f>
        <v>36</v>
      </c>
      <c r="BG39" s="17">
        <f>IF(Distances[[#This Row],[Colonne40]]=$G39,BF39,Distances[[#This Row],[Colonne40]]+1)</f>
        <v>37</v>
      </c>
      <c r="BH39" s="17">
        <f>IF(Distances[[#This Row],[Colonne41]]=$G39,BG39,Distances[[#This Row],[Colonne41]]+1)</f>
        <v>38</v>
      </c>
      <c r="BI39" s="17">
        <f>IF(Distances[[#This Row],[Colonne42]]=$G39,BH39,Distances[[#This Row],[Colonne42]]+1)</f>
        <v>39</v>
      </c>
      <c r="BJ39" s="17">
        <f>IF(Distances[[#This Row],[Colonne43]]=$G39,BI39,Distances[[#This Row],[Colonne43]]+1)</f>
        <v>40</v>
      </c>
      <c r="BK39" s="17">
        <f>IF(Distances[[#This Row],[Colonne44]]=$G39,BJ39,Distances[[#This Row],[Colonne44]]+1)</f>
        <v>41</v>
      </c>
      <c r="BL39" s="17">
        <f>IF(Distances[[#This Row],[Colonne45]]=$G39,BK39,Distances[[#This Row],[Colonne45]]+1)</f>
        <v>42</v>
      </c>
      <c r="BM39" s="17">
        <f>IF(Distances[[#This Row],[Colonne46]]=$G39,BL39,Distances[[#This Row],[Colonne46]]+1)</f>
        <v>43</v>
      </c>
      <c r="BN39" s="17">
        <f>IF(Distances[[#This Row],[Colonne47]]=$G39,BM39,Distances[[#This Row],[Colonne47]]+1)</f>
        <v>44</v>
      </c>
      <c r="BO39" s="17">
        <f>IF(Distances[[#This Row],[Colonne48]]=$G39,BN39,Distances[[#This Row],[Colonne48]]+1)</f>
        <v>45</v>
      </c>
      <c r="BP39" s="17">
        <f>IF(Distances[[#This Row],[Colonne49]]=$G39,BO39,Distances[[#This Row],[Colonne49]]+1)</f>
        <v>46</v>
      </c>
      <c r="BQ39" s="17">
        <f>IF(Distances[[#This Row],[Colonne50]]=$G39,BP39,Distances[[#This Row],[Colonne50]]+1)</f>
        <v>47</v>
      </c>
      <c r="BR39" s="17">
        <f>IF(Distances[[#This Row],[Colonne51]]=$G39,BQ39,Distances[[#This Row],[Colonne51]]+1)</f>
        <v>48</v>
      </c>
      <c r="BS39" s="17">
        <f>IF(Distances[[#This Row],[Colonne52]]=$G39,BR39,Distances[[#This Row],[Colonne52]]+1)</f>
        <v>49</v>
      </c>
      <c r="BT39" s="17">
        <f>IF(Distances[[#This Row],[Colonne53]]=$G39,BS39,Distances[[#This Row],[Colonne53]]+1)</f>
        <v>50</v>
      </c>
      <c r="BU39" s="17">
        <f>IF(Distances[[#This Row],[Colonne54]]=$G39,BT39,Distances[[#This Row],[Colonne54]]+1)</f>
        <v>51</v>
      </c>
      <c r="BV39" s="17">
        <f>IF(Distances[[#This Row],[Colonne55]]=$G39,BU39,Distances[[#This Row],[Colonne55]]+1)</f>
        <v>52</v>
      </c>
      <c r="BW39" s="17">
        <f>IF(Distances[[#This Row],[Colonne56]]=$G39,BV39,Distances[[#This Row],[Colonne56]]+1)</f>
        <v>53</v>
      </c>
      <c r="BX39" s="17">
        <f>IF(Distances[[#This Row],[Colonne57]]=$G39,BW39,Distances[[#This Row],[Colonne57]]+1)</f>
        <v>54</v>
      </c>
      <c r="BY39" s="17">
        <f>IF(Distances[[#This Row],[Colonne58]]=$G39,BX39,Distances[[#This Row],[Colonne58]]+1)</f>
        <v>55</v>
      </c>
      <c r="BZ39" s="17">
        <f>IF(Distances[[#This Row],[Colonne59]]=$G39,BY39,Distances[[#This Row],[Colonne59]]+1)</f>
        <v>56</v>
      </c>
      <c r="CA39" s="17">
        <f>IF(Distances[[#This Row],[Colonne60]]=$G39,BZ39,Distances[[#This Row],[Colonne60]]+1)</f>
        <v>57</v>
      </c>
      <c r="CB39" s="17">
        <f>IF(Distances[[#This Row],[Colonne61]]=$G39,CA39,Distances[[#This Row],[Colonne61]]+1)</f>
        <v>58</v>
      </c>
      <c r="CC39" s="17">
        <f>IF(Distances[[#This Row],[Colonne62]]=$G39,CB39,Distances[[#This Row],[Colonne62]]+1)</f>
        <v>59</v>
      </c>
      <c r="CD39" s="17">
        <f>IF(Distances[[#This Row],[Colonne63]]=$G39,CC39,Distances[[#This Row],[Colonne63]]+1)</f>
        <v>60</v>
      </c>
      <c r="CE39" s="17">
        <f>IF(Distances[[#This Row],[Colonne64]]=$G39,CD39,Distances[[#This Row],[Colonne64]]+1)</f>
        <v>61</v>
      </c>
      <c r="CF39" s="17">
        <f>IF(Distances[[#This Row],[Colonne65]]=$G39,CE39,Distances[[#This Row],[Colonne65]]+1)</f>
        <v>62</v>
      </c>
      <c r="CG39" s="17">
        <f>IF(Distances[[#This Row],[Colonne66]]=$G39,CF39,Distances[[#This Row],[Colonne66]]+1)</f>
        <v>63</v>
      </c>
      <c r="CH39" s="17">
        <f>IF(Distances[[#This Row],[Colonne67]]=$G39,CG39,Distances[[#This Row],[Colonne67]]+1)</f>
        <v>64</v>
      </c>
      <c r="CI39" s="17">
        <f>IF(Distances[[#This Row],[Colonne68]]=$G39,CH39,Distances[[#This Row],[Colonne68]]+1)</f>
        <v>65</v>
      </c>
      <c r="CJ39" s="17">
        <f>IF(Distances[[#This Row],[Colonne69]]=$G39,CI39,Distances[[#This Row],[Colonne69]]+1)</f>
        <v>66</v>
      </c>
      <c r="CK39" s="17">
        <f>IF(Distances[[#This Row],[Colonne70]]=$G39,CJ39,Distances[[#This Row],[Colonne70]]+1)</f>
        <v>67</v>
      </c>
      <c r="CL39" s="17">
        <f>IF(Distances[[#This Row],[Colonne71]]=$G39,CK39,Distances[[#This Row],[Colonne71]]+1)</f>
        <v>68</v>
      </c>
      <c r="CM39" s="17">
        <f>IF(Distances[[#This Row],[Colonne72]]=$G39,CL39,Distances[[#This Row],[Colonne72]]+1)</f>
        <v>69</v>
      </c>
      <c r="CN39" s="17">
        <f>IF(Distances[[#This Row],[Colonne73]]=$G39,CM39,Distances[[#This Row],[Colonne73]]+1)</f>
        <v>70</v>
      </c>
      <c r="CO39" s="17">
        <f>IF(Distances[[#This Row],[Colonne74]]=$G39,CN39,Distances[[#This Row],[Colonne74]]+1)</f>
        <v>71</v>
      </c>
      <c r="CP39" s="17">
        <f>IF(Distances[[#This Row],[Colonne75]]=$G39,CO39,Distances[[#This Row],[Colonne75]]+1)</f>
        <v>72</v>
      </c>
      <c r="CQ39" s="17">
        <f>IF(Distances[[#This Row],[Colonne76]]=$G39,CP39,Distances[[#This Row],[Colonne76]]+1)</f>
        <v>73</v>
      </c>
      <c r="CR39" s="17">
        <f>IF(Distances[[#This Row],[Colonne77]]=$G39,CQ39,Distances[[#This Row],[Colonne77]]+1)</f>
        <v>74</v>
      </c>
      <c r="CS39" s="17">
        <f>IF(Distances[[#This Row],[Colonne78]]=$G39,CR39,Distances[[#This Row],[Colonne78]]+1)</f>
        <v>75</v>
      </c>
      <c r="CT39" s="17">
        <f>IF(Distances[[#This Row],[Colonne79]]=$G39,CS39,Distances[[#This Row],[Colonne79]]+1)</f>
        <v>76</v>
      </c>
      <c r="CU39" s="17">
        <f>IF(Distances[[#This Row],[Colonne80]]=$G39,CT39,Distances[[#This Row],[Colonne80]]+1)</f>
        <v>77</v>
      </c>
      <c r="CV39" s="17">
        <f>IF(Distances[[#This Row],[Colonne81]]=$G39,CU39,Distances[[#This Row],[Colonne81]]+1)</f>
        <v>78</v>
      </c>
      <c r="CW39" s="17">
        <f>IF(Distances[[#This Row],[Colonne82]]=$G39,CV39,Distances[[#This Row],[Colonne82]]+1)</f>
        <v>79</v>
      </c>
      <c r="CX39" s="17">
        <f>IF(Distances[[#This Row],[Colonne83]]=$G39,CW39,Distances[[#This Row],[Colonne83]]+1)</f>
        <v>80</v>
      </c>
      <c r="CY39" s="17">
        <f>IF(Distances[[#This Row],[Colonne84]]=$G39,CX39,Distances[[#This Row],[Colonne84]]+1)</f>
        <v>81</v>
      </c>
      <c r="CZ39" s="17">
        <f>IF(Distances[[#This Row],[Colonne85]]=$G39,CY39,Distances[[#This Row],[Colonne85]]+1)</f>
        <v>82</v>
      </c>
      <c r="DA39" s="17">
        <f>IF(Distances[[#This Row],[Colonne86]]=$G39,CZ39,Distances[[#This Row],[Colonne86]]+1)</f>
        <v>83</v>
      </c>
      <c r="DB39" s="17">
        <f>IF(Distances[[#This Row],[Colonne87]]=$G39,DA39,Distances[[#This Row],[Colonne87]]+1)</f>
        <v>84</v>
      </c>
      <c r="DC39" s="17">
        <f>IF(Distances[[#This Row],[Colonne88]]=$G39,DB39,Distances[[#This Row],[Colonne88]]+1)</f>
        <v>85</v>
      </c>
      <c r="DD39" s="17">
        <f>IF(Distances[[#This Row],[Colonne89]]=$G39,DC39,Distances[[#This Row],[Colonne89]]+1)</f>
        <v>86</v>
      </c>
      <c r="DE39" s="17">
        <f>IF(Distances[[#This Row],[Colonne90]]=$G39,DD39,Distances[[#This Row],[Colonne90]]+1)</f>
        <v>87</v>
      </c>
      <c r="DF39" s="17">
        <f>IF(Distances[[#This Row],[Colonne91]]=$G39,DE39,Distances[[#This Row],[Colonne91]]+1)</f>
        <v>88</v>
      </c>
      <c r="DG39" s="17">
        <f>IF(Distances[[#This Row],[Colonne92]]=$G39,DF39,Distances[[#This Row],[Colonne92]]+1)</f>
        <v>89</v>
      </c>
      <c r="DH39" s="17">
        <f>IF(Distances[[#This Row],[Colonne93]]=$G39,DG39,Distances[[#This Row],[Colonne93]]+1)</f>
        <v>90</v>
      </c>
      <c r="DI39" s="17">
        <f>IF(Distances[[#This Row],[Colonne94]]=$G39,DH39,Distances[[#This Row],[Colonne94]]+1)</f>
        <v>91</v>
      </c>
      <c r="DJ39" s="17">
        <f>IF(Distances[[#This Row],[Colonne95]]=$G39,DI39,Distances[[#This Row],[Colonne95]]+1)</f>
        <v>92</v>
      </c>
      <c r="DK39" s="17">
        <f>IF(Distances[[#This Row],[Colonne96]]=$G39,DJ39,Distances[[#This Row],[Colonne96]]+1)</f>
        <v>93</v>
      </c>
      <c r="DL39" s="17">
        <f>IF(Distances[[#This Row],[Colonne97]]=$G39,DK39,Distances[[#This Row],[Colonne97]]+1)</f>
        <v>94</v>
      </c>
      <c r="DM39" s="17">
        <f>IF(Distances[[#This Row],[Colonne98]]=$G39,DL39,Distances[[#This Row],[Colonne98]]+1)</f>
        <v>95</v>
      </c>
      <c r="DN39" s="17">
        <f>IF(Distances[[#This Row],[Colonne99]]=$G39,DM39,Distances[[#This Row],[Colonne99]]+1)</f>
        <v>96</v>
      </c>
      <c r="DO39" s="17">
        <f>IF(Distances[[#This Row],[Colonne100]]=$G39,DN39,Distances[[#This Row],[Colonne100]]+1)</f>
        <v>97</v>
      </c>
      <c r="DP39" s="17">
        <f>IF(Distances[[#This Row],[Colonne101]]=$G39,DO39,Distances[[#This Row],[Colonne101]]+1)</f>
        <v>98</v>
      </c>
      <c r="DQ39" s="17">
        <f>IF(Distances[[#This Row],[Colonne102]]=$G39,DP39,Distances[[#This Row],[Colonne102]]+1)</f>
        <v>99</v>
      </c>
      <c r="DR39" s="17">
        <f>IF(Distances[[#This Row],[Colonne103]]=$G39,DQ39,Distances[[#This Row],[Colonne103]]+1)</f>
        <v>100</v>
      </c>
      <c r="DS39" s="17">
        <f>IF(Distances[[#This Row],[Colonne104]]=$G39,DR39,Distances[[#This Row],[Colonne104]]+1)</f>
        <v>101</v>
      </c>
      <c r="DT39" s="17">
        <f>IF(Distances[[#This Row],[Colonne105]]=$G39,DS39,Distances[[#This Row],[Colonne105]]+1)</f>
        <v>102</v>
      </c>
      <c r="DU39" s="17">
        <f>IF(Distances[[#This Row],[Colonne106]]=$G39,DT39,Distances[[#This Row],[Colonne106]]+1)</f>
        <v>103</v>
      </c>
      <c r="DV39" s="17">
        <f>IF(Distances[[#This Row],[Colonne107]]=$G39,DU39,Distances[[#This Row],[Colonne107]]+1)</f>
        <v>104</v>
      </c>
      <c r="DW39" s="17">
        <f>IF(Distances[[#This Row],[Colonne108]]=$G39,DV39,Distances[[#This Row],[Colonne108]]+1)</f>
        <v>105</v>
      </c>
      <c r="DX39" s="17">
        <f>IF(Distances[[#This Row],[Colonne109]]=$G39,DW39,Distances[[#This Row],[Colonne109]]+1)</f>
        <v>106</v>
      </c>
      <c r="DY39" s="17">
        <f>IF(Distances[[#This Row],[Colonne110]]=$G39,DX39,Distances[[#This Row],[Colonne110]]+1)</f>
        <v>107</v>
      </c>
      <c r="DZ39" s="17">
        <f>IF(Distances[[#This Row],[Colonne111]]=$G39,DY39,Distances[[#This Row],[Colonne111]]+1)</f>
        <v>108</v>
      </c>
      <c r="EA39" s="17">
        <f>IF(Distances[[#This Row],[Colonne112]]=$G39,DZ39,Distances[[#This Row],[Colonne112]]+1)</f>
        <v>109</v>
      </c>
      <c r="EB39" s="17">
        <f>IF(Distances[[#This Row],[Colonne113]]=$G39,EA39,Distances[[#This Row],[Colonne113]]+1)</f>
        <v>110</v>
      </c>
      <c r="EC39" s="17">
        <f>IF(Distances[[#This Row],[Colonne114]]=$G39,EB39,Distances[[#This Row],[Colonne114]]+1)</f>
        <v>111</v>
      </c>
      <c r="ED39" s="17">
        <f>IF(Distances[[#This Row],[Colonne115]]=$G39,EC39,Distances[[#This Row],[Colonne115]]+1)</f>
        <v>112</v>
      </c>
      <c r="EE39" s="17">
        <f>IF(Distances[[#This Row],[Colonne116]]=$G39,ED39,Distances[[#This Row],[Colonne116]]+1)</f>
        <v>113</v>
      </c>
      <c r="EF39" s="17">
        <f>IF(Distances[[#This Row],[Colonne117]]=$G39,EE39,Distances[[#This Row],[Colonne117]]+1)</f>
        <v>114</v>
      </c>
      <c r="EG39" s="17">
        <f>IF(Distances[[#This Row],[Colonne118]]=$G39,EF39,Distances[[#This Row],[Colonne118]]+1)</f>
        <v>115</v>
      </c>
      <c r="EH39" s="17">
        <f>IF(Distances[[#This Row],[Colonne119]]=$G39,EG39,Distances[[#This Row],[Colonne119]]+1)</f>
        <v>116</v>
      </c>
      <c r="EI39" s="17">
        <f>IF(Distances[[#This Row],[Colonne120]]=$G39,EH39,Distances[[#This Row],[Colonne120]]+1)</f>
        <v>117</v>
      </c>
      <c r="EJ39" s="17">
        <f>IF(Distances[[#This Row],[Colonne121]]=$G39,EI39,Distances[[#This Row],[Colonne121]]+1)</f>
        <v>118</v>
      </c>
      <c r="EK39" s="17">
        <f>IF(Distances[[#This Row],[Colonne122]]=$G39,EJ39,Distances[[#This Row],[Colonne122]]+1)</f>
        <v>119</v>
      </c>
      <c r="EL39" s="17">
        <f>IF(Distances[[#This Row],[Colonne123]]=$G39,EK39,Distances[[#This Row],[Colonne123]]+1)</f>
        <v>120</v>
      </c>
      <c r="EM39" s="17">
        <f>IF(Distances[[#This Row],[Colonne124]]=$G39,EL39,Distances[[#This Row],[Colonne124]]+1)</f>
        <v>121</v>
      </c>
      <c r="EN39" s="17">
        <f>IF(Distances[[#This Row],[Colonne125]]=$G39,EM39,Distances[[#This Row],[Colonne125]]+1)</f>
        <v>122</v>
      </c>
      <c r="EO39" s="17">
        <f>IF(Distances[[#This Row],[Colonne126]]=$G39,EN39,Distances[[#This Row],[Colonne126]]+1)</f>
        <v>123</v>
      </c>
      <c r="EP39" s="17">
        <f>IF(Distances[[#This Row],[Colonne127]]=$G39,EO39,Distances[[#This Row],[Colonne127]]+1)</f>
        <v>124</v>
      </c>
      <c r="EQ39" s="17">
        <f>IF(Distances[[#This Row],[Colonne128]]=$G39,EP39,Distances[[#This Row],[Colonne128]]+1)</f>
        <v>125</v>
      </c>
      <c r="ER39" s="17">
        <f>IF(Distances[[#This Row],[Colonne129]]=$G39,EQ39,Distances[[#This Row],[Colonne129]]+1)</f>
        <v>126</v>
      </c>
      <c r="ES39" s="17">
        <f>IF(Distances[[#This Row],[Colonne130]]=$G39,ER39,Distances[[#This Row],[Colonne130]]+1)</f>
        <v>127</v>
      </c>
      <c r="ET39" s="17">
        <f>IF(Distances[[#This Row],[Colonne131]]=$G39,ES39,Distances[[#This Row],[Colonne131]]+1)</f>
        <v>128</v>
      </c>
      <c r="EU39" s="17">
        <f>IF(Distances[[#This Row],[Colonne132]]=$G39,ET39,Distances[[#This Row],[Colonne132]]+1)</f>
        <v>129</v>
      </c>
      <c r="EV39" s="17">
        <f>IF(Distances[[#This Row],[Colonne133]]=$G39,EU39,Distances[[#This Row],[Colonne133]]+1)</f>
        <v>130</v>
      </c>
      <c r="EW39" s="17">
        <f>IF(Distances[[#This Row],[Colonne134]]=$G39,EV39,Distances[[#This Row],[Colonne134]]+1)</f>
        <v>131</v>
      </c>
      <c r="EX39" s="17">
        <f>IF(Distances[[#This Row],[Colonne135]]=$G39,EW39,Distances[[#This Row],[Colonne135]]+1)</f>
        <v>132</v>
      </c>
      <c r="EY39" s="17">
        <f>IF(Distances[[#This Row],[Colonne136]]=$G39,EX39,Distances[[#This Row],[Colonne136]]+1)</f>
        <v>133</v>
      </c>
      <c r="EZ39" s="17">
        <f>IF(Distances[[#This Row],[Colonne137]]=$G39,EY39,Distances[[#This Row],[Colonne137]]+1)</f>
        <v>134</v>
      </c>
      <c r="FA39" s="17">
        <f>IF(Distances[[#This Row],[Colonne138]]=$G39,EZ39,Distances[[#This Row],[Colonne138]]+1)</f>
        <v>135</v>
      </c>
      <c r="FB39" s="17">
        <f>IF(Distances[[#This Row],[Colonne139]]=$G39,FA39,Distances[[#This Row],[Colonne139]]+1)</f>
        <v>136</v>
      </c>
      <c r="FC39" s="17">
        <f>IF(Distances[[#This Row],[Colonne140]]=$G39,FB39,Distances[[#This Row],[Colonne140]]+1)</f>
        <v>137</v>
      </c>
      <c r="FD39" s="17">
        <f>IF(Distances[[#This Row],[Colonne141]]=$G39,FC39,Distances[[#This Row],[Colonne141]]+1)</f>
        <v>138</v>
      </c>
      <c r="FE39" s="17">
        <f>IF(Distances[[#This Row],[Colonne142]]=$G39,FD39,Distances[[#This Row],[Colonne142]]+1)</f>
        <v>139</v>
      </c>
      <c r="FF39" s="17">
        <f>IF(Distances[[#This Row],[Colonne143]]=$G39,FE39,Distances[[#This Row],[Colonne143]]+1)</f>
        <v>140</v>
      </c>
      <c r="FG39" s="17">
        <f>IF(Distances[[#This Row],[Colonne144]]=$G39,FF39,Distances[[#This Row],[Colonne144]]+1)</f>
        <v>141</v>
      </c>
      <c r="FH39" s="17">
        <f>IF(Distances[[#This Row],[Colonne145]]=$G39,FG39,Distances[[#This Row],[Colonne145]]+1)</f>
        <v>142</v>
      </c>
      <c r="FI39" s="17">
        <f>IF(Distances[[#This Row],[Colonne146]]=$G39,FH39,Distances[[#This Row],[Colonne146]]+1)</f>
        <v>143</v>
      </c>
      <c r="FJ39" s="17">
        <f>IF(Distances[[#This Row],[Colonne147]]=$G39,FI39,Distances[[#This Row],[Colonne147]]+1)</f>
        <v>144</v>
      </c>
      <c r="FK39" s="17">
        <f>IF(Distances[[#This Row],[Colonne148]]=$G39,FJ39,Distances[[#This Row],[Colonne148]]+1)</f>
        <v>145</v>
      </c>
      <c r="FL39" s="17">
        <f>IF(Distances[[#This Row],[Colonne149]]=$G39,FK39,Distances[[#This Row],[Colonne149]]+1)</f>
        <v>146</v>
      </c>
      <c r="FM39" s="17">
        <f>IF(Distances[[#This Row],[Colonne150]]=$G39,FL39,Distances[[#This Row],[Colonne150]]+1)</f>
        <v>147</v>
      </c>
      <c r="FN39" s="17">
        <f>IF(Distances[[#This Row],[Colonne151]]=$G39,FM39,Distances[[#This Row],[Colonne151]]+1)</f>
        <v>148</v>
      </c>
      <c r="FO39" s="17">
        <f>IF(Distances[[#This Row],[Colonne152]]=$G39,FN39,Distances[[#This Row],[Colonne152]]+1)</f>
        <v>149</v>
      </c>
      <c r="FP39" s="17">
        <f>IF(Distances[[#This Row],[Colonne153]]=$G39,FO39,Distances[[#This Row],[Colonne153]]+1)</f>
        <v>150</v>
      </c>
      <c r="FQ39" s="17">
        <f>IF(Distances[[#This Row],[Colonne154]]=$G39,FP39,Distances[[#This Row],[Colonne154]]+1)</f>
        <v>150</v>
      </c>
      <c r="FR39" s="17">
        <f>IF(Distances[[#This Row],[Colonne155]]=$G39,FQ39,Distances[[#This Row],[Colonne155]]+1)</f>
        <v>150</v>
      </c>
      <c r="FS39" s="17">
        <f>IF(Distances[[#This Row],[Colonne156]]=$G39,FR39,Distances[[#This Row],[Colonne156]]+1)</f>
        <v>150</v>
      </c>
      <c r="FT39" s="17">
        <f>IF(Distances[[#This Row],[Colonne157]]=$G39,FS39,Distances[[#This Row],[Colonne157]]+1)</f>
        <v>150</v>
      </c>
      <c r="FU39" s="17">
        <f>IF(Distances[[#This Row],[Colonne158]]=$G39,FT39,Distances[[#This Row],[Colonne158]]+1)</f>
        <v>150</v>
      </c>
      <c r="FV39" s="17">
        <f>IF(Distances[[#This Row],[Colonne159]]=$G39,FU39,Distances[[#This Row],[Colonne159]]+1)</f>
        <v>150</v>
      </c>
      <c r="FW39" s="17">
        <f>IF(Distances[[#This Row],[Colonne160]]=$G39,FV39,Distances[[#This Row],[Colonne160]]+1)</f>
        <v>150</v>
      </c>
      <c r="FX39" s="17">
        <f>IF(Distances[[#This Row],[Colonne161]]=$G39,FW39,Distances[[#This Row],[Colonne161]]+1)</f>
        <v>150</v>
      </c>
      <c r="FY39" s="17">
        <f>IF(Distances[[#This Row],[Colonne162]]=$G39,FX39,Distances[[#This Row],[Colonne162]]+1)</f>
        <v>150</v>
      </c>
      <c r="FZ39" s="17">
        <f>IF(Distances[[#This Row],[Colonne163]]=$G39,FY39,Distances[[#This Row],[Colonne163]]+1)</f>
        <v>150</v>
      </c>
      <c r="GA39" s="17">
        <f>IF(Distances[[#This Row],[Colonne164]]=$G39,FZ39,Distances[[#This Row],[Colonne164]]+1)</f>
        <v>150</v>
      </c>
      <c r="GB39" s="17">
        <f>IF(Distances[[#This Row],[Colonne165]]=$G39,GA39,Distances[[#This Row],[Colonne165]]+1)</f>
        <v>150</v>
      </c>
      <c r="GC39" s="17">
        <f>IF(Distances[[#This Row],[Colonne166]]=$G39,GB39,Distances[[#This Row],[Colonne166]]+1)</f>
        <v>150</v>
      </c>
      <c r="GD39" s="17">
        <f>IF(Distances[[#This Row],[Colonne167]]=$G39,GC39,Distances[[#This Row],[Colonne167]]+1)</f>
        <v>150</v>
      </c>
      <c r="GE39" s="17">
        <f>IF(Distances[[#This Row],[Colonne168]]=$G39,GD39,Distances[[#This Row],[Colonne168]]+1)</f>
        <v>150</v>
      </c>
      <c r="GF39" s="17">
        <f>IF(Distances[[#This Row],[Colonne169]]=$G39,GE39,Distances[[#This Row],[Colonne169]]+1)</f>
        <v>150</v>
      </c>
      <c r="GG39" s="17">
        <f>IF(Distances[[#This Row],[Colonne170]]=$G39,GF39,Distances[[#This Row],[Colonne170]]+1)</f>
        <v>150</v>
      </c>
      <c r="GH39" s="17">
        <f>IF(Distances[[#This Row],[Colonne171]]=$G39,GG39,Distances[[#This Row],[Colonne171]]+1)</f>
        <v>150</v>
      </c>
      <c r="GI39" s="17">
        <f>IF(Distances[[#This Row],[Colonne172]]=$G39,GH39,Distances[[#This Row],[Colonne172]]+1)</f>
        <v>150</v>
      </c>
      <c r="GJ39" s="17">
        <f>IF(Distances[[#This Row],[Colonne173]]=$G39,GI39,Distances[[#This Row],[Colonne173]]+1)</f>
        <v>150</v>
      </c>
      <c r="GK39" s="17">
        <f>IF(Distances[[#This Row],[Colonne174]]=$G39,GJ39,Distances[[#This Row],[Colonne174]]+1)</f>
        <v>150</v>
      </c>
      <c r="GL39" s="17">
        <f>IF(Distances[[#This Row],[Colonne175]]=$G39,GK39,Distances[[#This Row],[Colonne175]]+1)</f>
        <v>150</v>
      </c>
      <c r="GM39" s="17">
        <f>IF(Distances[[#This Row],[Colonne176]]=$G39,GL39,Distances[[#This Row],[Colonne176]]+1)</f>
        <v>150</v>
      </c>
      <c r="GN39" s="17">
        <f>IF(Distances[[#This Row],[Colonne177]]=$G39,GM39,Distances[[#This Row],[Colonne177]]+1)</f>
        <v>150</v>
      </c>
      <c r="GO39" s="17">
        <f>IF(Distances[[#This Row],[Colonne178]]=$G39,GN39,Distances[[#This Row],[Colonne178]]+1)</f>
        <v>150</v>
      </c>
      <c r="GP39" s="17">
        <f>IF(Distances[[#This Row],[Colonne179]]=$G39,GO39,Distances[[#This Row],[Colonne179]]+1)</f>
        <v>150</v>
      </c>
      <c r="GQ39" s="17">
        <f>IF(Distances[[#This Row],[Colonne180]]=$G39,GP39,Distances[[#This Row],[Colonne180]]+1)</f>
        <v>150</v>
      </c>
      <c r="GR39" s="17">
        <f>IF(Distances[[#This Row],[Colonne181]]=$G39,GQ39,Distances[[#This Row],[Colonne181]]+1)</f>
        <v>150</v>
      </c>
      <c r="GS39" s="17">
        <f>IF(Distances[[#This Row],[Colonne182]]=$G39,GR39,Distances[[#This Row],[Colonne182]]+1)</f>
        <v>150</v>
      </c>
      <c r="GT39" s="17">
        <f>IF(Distances[[#This Row],[Colonne183]]=$G39,GS39,Distances[[#This Row],[Colonne183]]+1)</f>
        <v>150</v>
      </c>
      <c r="GU39" s="17">
        <f>IF(Distances[[#This Row],[Colonne184]]=$G39,GT39,Distances[[#This Row],[Colonne184]]+1)</f>
        <v>150</v>
      </c>
      <c r="GV39" s="17">
        <f>IF(Distances[[#This Row],[Colonne185]]=$G39,GU39,Distances[[#This Row],[Colonne185]]+1)</f>
        <v>150</v>
      </c>
      <c r="GW39" s="17">
        <f>IF(Distances[[#This Row],[Colonne186]]=$G39,GV39,Distances[[#This Row],[Colonne186]]+1)</f>
        <v>150</v>
      </c>
      <c r="GX39" s="17">
        <f>IF(Distances[[#This Row],[Colonne187]]=$G39,GW39,Distances[[#This Row],[Colonne187]]+1)</f>
        <v>150</v>
      </c>
      <c r="GY39" s="17">
        <f>IF(Distances[[#This Row],[Colonne188]]=$G39,GX39,Distances[[#This Row],[Colonne188]]+1)</f>
        <v>150</v>
      </c>
      <c r="GZ39" s="17">
        <f>IF(Distances[[#This Row],[Colonne189]]=$G39,GY39,Distances[[#This Row],[Colonne189]]+1)</f>
        <v>150</v>
      </c>
      <c r="HA39" s="17">
        <f>IF(Distances[[#This Row],[Colonne190]]=$G39,GZ39,Distances[[#This Row],[Colonne190]]+1)</f>
        <v>150</v>
      </c>
      <c r="HB39" s="17">
        <f>IF(Distances[[#This Row],[Colonne191]]=$G39,HA39,Distances[[#This Row],[Colonne191]]+1)</f>
        <v>150</v>
      </c>
      <c r="HC39" s="17">
        <f>IF(Distances[[#This Row],[Colonne192]]=$G39,HB39,Distances[[#This Row],[Colonne192]]+1)</f>
        <v>150</v>
      </c>
      <c r="HD39" s="17">
        <f>IF(Distances[[#This Row],[Colonne193]]=$G39,HC39,Distances[[#This Row],[Colonne193]]+1)</f>
        <v>150</v>
      </c>
      <c r="HE39" s="17">
        <f>IF(Distances[[#This Row],[Colonne194]]=$G39,HD39,Distances[[#This Row],[Colonne194]]+1)</f>
        <v>150</v>
      </c>
      <c r="HF39" s="17">
        <f>IF(Distances[[#This Row],[Colonne195]]=$G39,HE39,Distances[[#This Row],[Colonne195]]+1)</f>
        <v>150</v>
      </c>
      <c r="HG39" s="17">
        <f>IF(Distances[[#This Row],[Colonne196]]=$G39,HF39,Distances[[#This Row],[Colonne196]]+1)</f>
        <v>150</v>
      </c>
      <c r="HH39" s="17">
        <f>IF(Distances[[#This Row],[Colonne197]]=$G39,HG39,Distances[[#This Row],[Colonne197]]+1)</f>
        <v>150</v>
      </c>
      <c r="HI39" s="17">
        <f>IF(Distances[[#This Row],[Colonne198]]=$G39,HH39,Distances[[#This Row],[Colonne198]]+1)</f>
        <v>150</v>
      </c>
      <c r="HJ39" s="17">
        <f>IF(Distances[[#This Row],[Colonne199]]=$G39,HI39,Distances[[#This Row],[Colonne199]]+1)</f>
        <v>150</v>
      </c>
      <c r="HK39" s="17">
        <f>IF(Distances[[#This Row],[Colonne200]]=$G39,HJ39,Distances[[#This Row],[Colonne200]]+1)</f>
        <v>150</v>
      </c>
      <c r="HL39" s="17">
        <f>IF(Distances[[#This Row],[Colonne201]]=$G39,HK39,Distances[[#This Row],[Colonne201]]+1)</f>
        <v>150</v>
      </c>
      <c r="HM39" s="17">
        <f>IF(Distances[[#This Row],[Colonne202]]=$G39,HL39,Distances[[#This Row],[Colonne202]]+1)</f>
        <v>150</v>
      </c>
      <c r="HN39" s="17">
        <f>IF(Distances[[#This Row],[Colonne203]]=$G39,HM39,Distances[[#This Row],[Colonne203]]+1)</f>
        <v>150</v>
      </c>
      <c r="HO39" s="17">
        <f>IF(Distances[[#This Row],[Colonne204]]=$G39,HN39,Distances[[#This Row],[Colonne204]]+1)</f>
        <v>150</v>
      </c>
      <c r="HP39" s="17">
        <f>IF(Distances[[#This Row],[Colonne205]]=$G39,HO39,Distances[[#This Row],[Colonne205]]+1)</f>
        <v>150</v>
      </c>
      <c r="HQ39" s="17">
        <f>IF(Distances[[#This Row],[Colonne206]]=$G39,HP39,Distances[[#This Row],[Colonne206]]+1)</f>
        <v>150</v>
      </c>
      <c r="HR39" s="17">
        <f>IF(Distances[[#This Row],[Colonne207]]=$G39,HQ39,Distances[[#This Row],[Colonne207]]+1)</f>
        <v>150</v>
      </c>
      <c r="HS39" s="17">
        <f>IF(Distances[[#This Row],[Colonne208]]=$G39,HR39,Distances[[#This Row],[Colonne208]]+1)</f>
        <v>150</v>
      </c>
      <c r="HT39" s="17">
        <f>IF(Distances[[#This Row],[Colonne209]]=$G39,HS39,Distances[[#This Row],[Colonne209]]+1)</f>
        <v>150</v>
      </c>
      <c r="HU39" s="17">
        <f>IF(Distances[[#This Row],[Colonne210]]=$G39,HT39,Distances[[#This Row],[Colonne210]]+1)</f>
        <v>150</v>
      </c>
      <c r="HV39" s="17">
        <f>IF(Distances[[#This Row],[Colonne211]]=$G39,HU39,Distances[[#This Row],[Colonne211]]+1)</f>
        <v>150</v>
      </c>
      <c r="HW39" s="17">
        <f>IF(Distances[[#This Row],[Colonne212]]=$G39,HV39,Distances[[#This Row],[Colonne212]]+1)</f>
        <v>150</v>
      </c>
      <c r="HX39" s="17">
        <f>IF(Distances[[#This Row],[Colonne213]]=$G39,HW39,Distances[[#This Row],[Colonne213]]+1)</f>
        <v>150</v>
      </c>
      <c r="HY39" s="17">
        <f>IF(Distances[[#This Row],[Colonne214]]=$G39,HX39,Distances[[#This Row],[Colonne214]]+1)</f>
        <v>150</v>
      </c>
      <c r="HZ39" s="17">
        <f>IF(Distances[[#This Row],[Colonne215]]=$G39,HY39,Distances[[#This Row],[Colonne215]]+1)</f>
        <v>150</v>
      </c>
      <c r="IA39" s="17">
        <f>IF(Distances[[#This Row],[Colonne216]]=$G39,HZ39,Distances[[#This Row],[Colonne216]]+1)</f>
        <v>150</v>
      </c>
      <c r="IB39" s="17">
        <f>IF(Distances[[#This Row],[Colonne217]]=$G39,IA39,Distances[[#This Row],[Colonne217]]+1)</f>
        <v>150</v>
      </c>
      <c r="IC39" s="17">
        <f>IF(Distances[[#This Row],[Colonne218]]=$G39,IB39,Distances[[#This Row],[Colonne218]]+1)</f>
        <v>150</v>
      </c>
      <c r="ID39" s="17">
        <f>IF(Distances[[#This Row],[Colonne219]]=$G39,IC39,Distances[[#This Row],[Colonne219]]+1)</f>
        <v>150</v>
      </c>
      <c r="IE39" s="17">
        <f>IF(Distances[[#This Row],[Colonne220]]=$G39,ID39,Distances[[#This Row],[Colonne220]]+1)</f>
        <v>150</v>
      </c>
      <c r="IF39" s="17">
        <f>IF(Distances[[#This Row],[Colonne221]]=$G39,IE39,Distances[[#This Row],[Colonne221]]+1)</f>
        <v>150</v>
      </c>
      <c r="IG39" s="17">
        <f>IF(Distances[[#This Row],[Colonne222]]=$G39,IF39,Distances[[#This Row],[Colonne222]]+1)</f>
        <v>150</v>
      </c>
      <c r="IH39" s="17">
        <f>IF(Distances[[#This Row],[Colonne223]]=$G39,IG39,Distances[[#This Row],[Colonne223]]+1)</f>
        <v>150</v>
      </c>
      <c r="II39" s="17">
        <f>IF(Distances[[#This Row],[Colonne224]]=$G39,IH39,Distances[[#This Row],[Colonne224]]+1)</f>
        <v>150</v>
      </c>
      <c r="IJ39" s="17">
        <f>IF(Distances[[#This Row],[Colonne225]]=$G39,II39,Distances[[#This Row],[Colonne225]]+1)</f>
        <v>150</v>
      </c>
      <c r="IK39" s="17">
        <f>IF(Distances[[#This Row],[Colonne226]]=$G39,IJ39,Distances[[#This Row],[Colonne226]]+1)</f>
        <v>150</v>
      </c>
      <c r="IL39" s="17">
        <f>IF(Distances[[#This Row],[Colonne227]]=$G39,IK39,Distances[[#This Row],[Colonne227]]+1)</f>
        <v>150</v>
      </c>
      <c r="IM39" s="17">
        <f>IF(Distances[[#This Row],[Colonne228]]=$G39,IL39,Distances[[#This Row],[Colonne228]]+1)</f>
        <v>150</v>
      </c>
      <c r="IN39" s="17">
        <f>IF(Distances[[#This Row],[Colonne229]]=$G39,IM39,Distances[[#This Row],[Colonne229]]+1)</f>
        <v>150</v>
      </c>
      <c r="IO39" s="17">
        <f>IF(Distances[[#This Row],[Colonne230]]=$G39,IN39,Distances[[#This Row],[Colonne230]]+1)</f>
        <v>150</v>
      </c>
      <c r="IP39" s="17">
        <f>IF(Distances[[#This Row],[Colonne231]]=$G39,IO39,Distances[[#This Row],[Colonne231]]+1)</f>
        <v>150</v>
      </c>
      <c r="IQ39" s="17">
        <f>IF(Distances[[#This Row],[Colonne232]]=$G39,IP39,Distances[[#This Row],[Colonne232]]+1)</f>
        <v>150</v>
      </c>
      <c r="IR39" s="17">
        <f>IF(Distances[[#This Row],[Colonne233]]=$G39,IQ39,Distances[[#This Row],[Colonne233]]+1)</f>
        <v>150</v>
      </c>
      <c r="IS39" s="17">
        <f>IF(Distances[[#This Row],[Colonne234]]=$G39,IR39,Distances[[#This Row],[Colonne234]]+1)</f>
        <v>150</v>
      </c>
      <c r="IT39" s="17">
        <f>IF(Distances[[#This Row],[Colonne235]]=$G39,IS39,Distances[[#This Row],[Colonne235]]+1)</f>
        <v>150</v>
      </c>
      <c r="IU39" s="17">
        <f>IF(Distances[[#This Row],[Colonne236]]=$G39,IT39,Distances[[#This Row],[Colonne236]]+1)</f>
        <v>150</v>
      </c>
      <c r="IV39" s="17">
        <f>IF(Distances[[#This Row],[Colonne237]]=$G39,IU39,Distances[[#This Row],[Colonne237]]+1)</f>
        <v>150</v>
      </c>
      <c r="IW39" s="17">
        <f>IF(Distances[[#This Row],[Colonne238]]=$G39,IV39,Distances[[#This Row],[Colonne238]]+1)</f>
        <v>150</v>
      </c>
      <c r="IX39" s="17">
        <f>IF(Distances[[#This Row],[Colonne239]]=$G39,IW39,Distances[[#This Row],[Colonne239]]+1)</f>
        <v>150</v>
      </c>
      <c r="IY39" s="17">
        <f>IF(Distances[[#This Row],[Colonne240]]=$G39,IX39,Distances[[#This Row],[Colonne240]]+1)</f>
        <v>150</v>
      </c>
      <c r="IZ39" s="17">
        <f>IF(Distances[[#This Row],[Colonne241]]=$G39,IY39,Distances[[#This Row],[Colonne241]]+1)</f>
        <v>150</v>
      </c>
      <c r="JA39" s="17">
        <f>IF(Distances[[#This Row],[Colonne242]]=$G39,IZ39,Distances[[#This Row],[Colonne242]]+1)</f>
        <v>150</v>
      </c>
      <c r="JB39" s="17">
        <f>IF(Distances[[#This Row],[Colonne243]]=$G39,JA39,Distances[[#This Row],[Colonne243]]+1)</f>
        <v>150</v>
      </c>
      <c r="JC39" s="17">
        <f>IF(Distances[[#This Row],[Colonne244]]=$G39,JB39,Distances[[#This Row],[Colonne244]]+1)</f>
        <v>150</v>
      </c>
      <c r="JD39" s="17">
        <f>IF(Distances[[#This Row],[Colonne245]]=$G39,JC39,Distances[[#This Row],[Colonne245]]+1)</f>
        <v>150</v>
      </c>
      <c r="JE39" s="17">
        <f>IF(Distances[[#This Row],[Colonne246]]=$G39,JD39,Distances[[#This Row],[Colonne246]]+1)</f>
        <v>150</v>
      </c>
      <c r="JF39" s="17">
        <f>IF(Distances[[#This Row],[Colonne247]]=$G39,JE39,Distances[[#This Row],[Colonne247]]+1)</f>
        <v>150</v>
      </c>
      <c r="JG39" s="17">
        <f>IF(Distances[[#This Row],[Colonne248]]=$G39,JF39,Distances[[#This Row],[Colonne248]]+1)</f>
        <v>150</v>
      </c>
      <c r="JH39" s="17">
        <f>IF(Distances[[#This Row],[Colonne249]]=$G39,JG39,Distances[[#This Row],[Colonne249]]+1)</f>
        <v>150</v>
      </c>
      <c r="JI39" s="17">
        <f>IF(Distances[[#This Row],[Colonne250]]=$G39,JH39,Distances[[#This Row],[Colonne250]]+1)</f>
        <v>150</v>
      </c>
      <c r="JJ39" s="17">
        <f>IF(Distances[[#This Row],[Colonne251]]=$G39,JI39,Distances[[#This Row],[Colonne251]]+1)</f>
        <v>150</v>
      </c>
      <c r="JK39" s="17">
        <f>IF(Distances[[#This Row],[Colonne252]]=$G39,JJ39,Distances[[#This Row],[Colonne252]]+1)</f>
        <v>150</v>
      </c>
      <c r="JL39" s="17">
        <f>IF(Distances[[#This Row],[Colonne253]]=$G39,JK39,Distances[[#This Row],[Colonne253]]+1)</f>
        <v>150</v>
      </c>
      <c r="JM39" s="17">
        <f>IF(Distances[[#This Row],[Colonne254]]=$G39,JL39,Distances[[#This Row],[Colonne254]]+1)</f>
        <v>150</v>
      </c>
      <c r="JN39" s="17">
        <f>IF(Distances[[#This Row],[Colonne255]]=$G39,JM39,Distances[[#This Row],[Colonne255]]+1)</f>
        <v>150</v>
      </c>
      <c r="JO39" s="17">
        <f>IF(Distances[[#This Row],[Colonne256]]=$G39,JN39,Distances[[#This Row],[Colonne256]]+1)</f>
        <v>150</v>
      </c>
      <c r="JP39" s="17">
        <f>IF(Distances[[#This Row],[Colonne257]]=$G39,JO39,Distances[[#This Row],[Colonne257]]+1)</f>
        <v>150</v>
      </c>
      <c r="JQ39" s="17">
        <f>IF(Distances[[#This Row],[Colonne258]]=$G39,JP39,Distances[[#This Row],[Colonne258]]+1)</f>
        <v>150</v>
      </c>
      <c r="JR39" s="17">
        <f>IF(Distances[[#This Row],[Colonne259]]=$G39,JQ39,Distances[[#This Row],[Colonne259]]+1)</f>
        <v>150</v>
      </c>
      <c r="JS39" s="17">
        <f>IF(Distances[[#This Row],[Colonne260]]=$G39,JR39,Distances[[#This Row],[Colonne260]]+1)</f>
        <v>150</v>
      </c>
      <c r="JT39" s="17">
        <f>IF(Distances[[#This Row],[Colonne261]]=$G39,JS39,Distances[[#This Row],[Colonne261]]+1)</f>
        <v>150</v>
      </c>
      <c r="JU39" s="17">
        <f>IF(Distances[[#This Row],[Colonne262]]=$G39,JT39,Distances[[#This Row],[Colonne262]]+1)</f>
        <v>150</v>
      </c>
      <c r="JV39" s="17">
        <f>IF(Distances[[#This Row],[Colonne263]]=$G39,JU39,Distances[[#This Row],[Colonne263]]+1)</f>
        <v>150</v>
      </c>
      <c r="JW39" s="17">
        <f>IF(Distances[[#This Row],[Colonne264]]=$G39,JV39,Distances[[#This Row],[Colonne264]]+1)</f>
        <v>150</v>
      </c>
      <c r="JX39" s="17">
        <f>IF(Distances[[#This Row],[Colonne265]]=$G39,JW39,Distances[[#This Row],[Colonne265]]+1)</f>
        <v>150</v>
      </c>
      <c r="JY39" s="17">
        <f>IF(Distances[[#This Row],[Colonne266]]=$G39,JX39,Distances[[#This Row],[Colonne266]]+1)</f>
        <v>150</v>
      </c>
      <c r="JZ39" s="17">
        <f>IF(Distances[[#This Row],[Colonne267]]=$G39,JY39,Distances[[#This Row],[Colonne267]]+1)</f>
        <v>150</v>
      </c>
      <c r="KA39" s="17">
        <f>IF(Distances[[#This Row],[Colonne268]]=$G39,JZ39,Distances[[#This Row],[Colonne268]]+1)</f>
        <v>150</v>
      </c>
      <c r="KB39" s="17">
        <f>IF(Distances[[#This Row],[Colonne269]]=$G39,KA39,Distances[[#This Row],[Colonne269]]+1)</f>
        <v>150</v>
      </c>
      <c r="KC39" s="17">
        <f>IF(Distances[[#This Row],[Colonne270]]=$G39,KB39,Distances[[#This Row],[Colonne270]]+1)</f>
        <v>150</v>
      </c>
      <c r="KD39" s="17">
        <f>IF(Distances[[#This Row],[Colonne271]]=$G39,KC39,Distances[[#This Row],[Colonne271]]+1)</f>
        <v>150</v>
      </c>
      <c r="KE39" s="17">
        <f>IF(Distances[[#This Row],[Colonne272]]=$G39,KD39,Distances[[#This Row],[Colonne272]]+1)</f>
        <v>150</v>
      </c>
      <c r="KF39" s="17">
        <f>IF(Distances[[#This Row],[Colonne273]]=$G39,KE39,Distances[[#This Row],[Colonne273]]+1)</f>
        <v>150</v>
      </c>
      <c r="KG39" s="17">
        <f>IF(Distances[[#This Row],[Colonne274]]=$G39,KF39,Distances[[#This Row],[Colonne274]]+1)</f>
        <v>150</v>
      </c>
      <c r="KH39" s="17">
        <f>IF(Distances[[#This Row],[Colonne275]]=$G39,KG39,Distances[[#This Row],[Colonne275]]+1)</f>
        <v>150</v>
      </c>
      <c r="KI39" s="17">
        <f>IF(Distances[[#This Row],[Colonne276]]=$G39,KH39,Distances[[#This Row],[Colonne276]]+1)</f>
        <v>150</v>
      </c>
      <c r="KJ39" s="17">
        <f>IF(Distances[[#This Row],[Colonne277]]=$G39,KI39,Distances[[#This Row],[Colonne277]]+1)</f>
        <v>150</v>
      </c>
      <c r="KK39" s="17">
        <f>IF(Distances[[#This Row],[Colonne278]]=$G39,KJ39,Distances[[#This Row],[Colonne278]]+1)</f>
        <v>150</v>
      </c>
      <c r="KL39" s="17">
        <f>IF(Distances[[#This Row],[Colonne279]]=$G39,KK39,Distances[[#This Row],[Colonne279]]+1)</f>
        <v>150</v>
      </c>
      <c r="KM39" s="17">
        <f>IF(Distances[[#This Row],[Colonne280]]=$G39,KL39,Distances[[#This Row],[Colonne280]]+1)</f>
        <v>150</v>
      </c>
      <c r="KN39" s="17">
        <f>IF(Distances[[#This Row],[Colonne281]]=$G39,KM39,Distances[[#This Row],[Colonne281]]+1)</f>
        <v>150</v>
      </c>
      <c r="KO39" s="17">
        <f>IF(Distances[[#This Row],[Colonne282]]=$G39,KN39,Distances[[#This Row],[Colonne282]]+1)</f>
        <v>150</v>
      </c>
      <c r="KP39" s="17">
        <f>IF(Distances[[#This Row],[Colonne283]]=$G39,KO39,Distances[[#This Row],[Colonne283]]+1)</f>
        <v>150</v>
      </c>
      <c r="KQ39" s="17">
        <f>IF(Distances[[#This Row],[Colonne284]]=$G39,KP39,Distances[[#This Row],[Colonne284]]+1)</f>
        <v>150</v>
      </c>
      <c r="KR39" s="17">
        <f>IF(Distances[[#This Row],[Colonne285]]=$G39,KQ39,Distances[[#This Row],[Colonne285]]+1)</f>
        <v>150</v>
      </c>
      <c r="KS39" s="17">
        <f>IF(Distances[[#This Row],[Colonne286]]=$G39,KR39,Distances[[#This Row],[Colonne286]]+1)</f>
        <v>150</v>
      </c>
      <c r="KT39" s="17">
        <f>IF(Distances[[#This Row],[Colonne287]]=$G39,KS39,Distances[[#This Row],[Colonne287]]+1)</f>
        <v>150</v>
      </c>
      <c r="KU39" s="17">
        <f>IF(Distances[[#This Row],[Colonne288]]=$G39,KT39,Distances[[#This Row],[Colonne288]]+1)</f>
        <v>150</v>
      </c>
      <c r="KV39" s="17">
        <f>IF(Distances[[#This Row],[Colonne289]]=$G39,KU39,Distances[[#This Row],[Colonne289]]+1)</f>
        <v>150</v>
      </c>
      <c r="KW39" s="17">
        <f>IF(Distances[[#This Row],[Colonne290]]=$G39,KV39,Distances[[#This Row],[Colonne290]]+1)</f>
        <v>150</v>
      </c>
      <c r="KX39" s="17">
        <f>IF(Distances[[#This Row],[Colonne291]]=$G39,KW39,Distances[[#This Row],[Colonne291]]+1)</f>
        <v>150</v>
      </c>
      <c r="KY39" s="17">
        <f>IF(Distances[[#This Row],[Colonne292]]=$G39,KX39,Distances[[#This Row],[Colonne292]]+1)</f>
        <v>150</v>
      </c>
      <c r="KZ39" s="17">
        <f>IF(Distances[[#This Row],[Colonne293]]=$G39,KY39,Distances[[#This Row],[Colonne293]]+1)</f>
        <v>150</v>
      </c>
      <c r="LA39" s="17">
        <f>IF(Distances[[#This Row],[Colonne294]]=$G39,KZ39,Distances[[#This Row],[Colonne294]]+1)</f>
        <v>150</v>
      </c>
      <c r="LB39" s="17">
        <f>IF(Distances[[#This Row],[Colonne295]]=$G39,LA39,Distances[[#This Row],[Colonne295]]+1)</f>
        <v>150</v>
      </c>
      <c r="LC39" s="17">
        <f>IF(Distances[[#This Row],[Colonne296]]=$G39,LB39,Distances[[#This Row],[Colonne296]]+1)</f>
        <v>150</v>
      </c>
      <c r="LD39" s="17">
        <f>IF(Distances[[#This Row],[Colonne297]]=$G39,LC39,Distances[[#This Row],[Colonne297]]+1)</f>
        <v>150</v>
      </c>
      <c r="LE39" s="17">
        <f>IF(Distances[[#This Row],[Colonne298]]=$G39,LD39,Distances[[#This Row],[Colonne298]]+1)</f>
        <v>150</v>
      </c>
      <c r="LF39" s="17">
        <f>IF(Distances[[#This Row],[Colonne299]]=$G39,LE39,Distances[[#This Row],[Colonne299]]+1)</f>
        <v>150</v>
      </c>
      <c r="LG39" s="17">
        <f>IF(Distances[[#This Row],[Colonne300]]=$G39,LF39,Distances[[#This Row],[Colonne300]]+1)</f>
        <v>150</v>
      </c>
      <c r="LH39" s="17">
        <f>IF(Distances[[#This Row],[Colonne301]]=$G39,LG39,Distances[[#This Row],[Colonne301]]+1)</f>
        <v>150</v>
      </c>
      <c r="LI39" s="17">
        <f>IF(Distances[[#This Row],[Colonne302]]=$G39,LH39,Distances[[#This Row],[Colonne302]]+1)</f>
        <v>150</v>
      </c>
      <c r="LJ39" s="17">
        <f>IF(Distances[[#This Row],[Colonne303]]=$G39,LI39,Distances[[#This Row],[Colonne303]]+1)</f>
        <v>150</v>
      </c>
      <c r="LK39" s="51"/>
      <c r="LL39" s="17">
        <f t="shared" ref="LL39:NW39" si="78">IF(LK39=$H39,LK39,LK39+1)</f>
        <v>1</v>
      </c>
      <c r="LM39" s="17">
        <f t="shared" si="78"/>
        <v>2</v>
      </c>
      <c r="LN39" s="17">
        <f t="shared" si="78"/>
        <v>3</v>
      </c>
      <c r="LO39" s="17">
        <f t="shared" si="78"/>
        <v>4</v>
      </c>
      <c r="LP39" s="17">
        <f t="shared" si="78"/>
        <v>5</v>
      </c>
      <c r="LQ39" s="17">
        <f t="shared" si="78"/>
        <v>6</v>
      </c>
      <c r="LR39" s="17">
        <f t="shared" si="78"/>
        <v>7</v>
      </c>
      <c r="LS39" s="17">
        <f t="shared" si="78"/>
        <v>8</v>
      </c>
      <c r="LT39" s="17">
        <f t="shared" si="78"/>
        <v>9</v>
      </c>
      <c r="LU39" s="17">
        <f t="shared" si="78"/>
        <v>10</v>
      </c>
      <c r="LV39" s="17">
        <f t="shared" si="78"/>
        <v>11</v>
      </c>
      <c r="LW39" s="17">
        <f t="shared" si="78"/>
        <v>12</v>
      </c>
      <c r="LX39" s="17">
        <f t="shared" si="78"/>
        <v>13</v>
      </c>
      <c r="LY39" s="17">
        <f t="shared" si="78"/>
        <v>14</v>
      </c>
      <c r="LZ39" s="17">
        <f t="shared" si="78"/>
        <v>15</v>
      </c>
      <c r="MA39" s="17">
        <f t="shared" si="78"/>
        <v>16</v>
      </c>
      <c r="MB39" s="17">
        <f t="shared" si="78"/>
        <v>17</v>
      </c>
      <c r="MC39" s="17">
        <f t="shared" si="78"/>
        <v>18</v>
      </c>
      <c r="MD39" s="17">
        <f t="shared" si="78"/>
        <v>19</v>
      </c>
      <c r="ME39" s="17">
        <f t="shared" si="78"/>
        <v>20</v>
      </c>
      <c r="MF39" s="17">
        <f t="shared" si="78"/>
        <v>21</v>
      </c>
      <c r="MG39" s="17">
        <f t="shared" si="78"/>
        <v>22</v>
      </c>
      <c r="MH39" s="17">
        <f t="shared" si="78"/>
        <v>23</v>
      </c>
      <c r="MI39" s="17">
        <f t="shared" si="78"/>
        <v>24</v>
      </c>
      <c r="MJ39" s="17">
        <f t="shared" si="78"/>
        <v>25</v>
      </c>
      <c r="MK39" s="17">
        <f t="shared" si="78"/>
        <v>25</v>
      </c>
      <c r="ML39" s="17">
        <f t="shared" si="78"/>
        <v>25</v>
      </c>
      <c r="MM39" s="17">
        <f t="shared" si="78"/>
        <v>25</v>
      </c>
      <c r="MN39" s="17">
        <f t="shared" si="78"/>
        <v>25</v>
      </c>
      <c r="MO39" s="17">
        <f t="shared" si="78"/>
        <v>25</v>
      </c>
      <c r="MP39" s="17">
        <f t="shared" si="78"/>
        <v>25</v>
      </c>
      <c r="MQ39" s="17">
        <f t="shared" si="78"/>
        <v>25</v>
      </c>
      <c r="MR39" s="17">
        <f t="shared" si="78"/>
        <v>25</v>
      </c>
      <c r="MS39" s="17">
        <f t="shared" si="78"/>
        <v>25</v>
      </c>
      <c r="MT39" s="17">
        <f t="shared" si="78"/>
        <v>25</v>
      </c>
      <c r="MU39" s="17">
        <f t="shared" si="78"/>
        <v>25</v>
      </c>
      <c r="MV39" s="17">
        <f t="shared" si="78"/>
        <v>25</v>
      </c>
      <c r="MW39" s="17">
        <f t="shared" si="78"/>
        <v>25</v>
      </c>
      <c r="MX39" s="17">
        <f t="shared" si="78"/>
        <v>25</v>
      </c>
      <c r="MY39" s="17">
        <f t="shared" si="78"/>
        <v>25</v>
      </c>
      <c r="MZ39" s="17">
        <f t="shared" si="78"/>
        <v>25</v>
      </c>
      <c r="NA39" s="17">
        <f t="shared" si="78"/>
        <v>25</v>
      </c>
      <c r="NB39" s="17">
        <f t="shared" si="78"/>
        <v>25</v>
      </c>
      <c r="NC39" s="17">
        <f t="shared" si="78"/>
        <v>25</v>
      </c>
      <c r="ND39" s="17">
        <f t="shared" si="78"/>
        <v>25</v>
      </c>
      <c r="NE39" s="17">
        <f t="shared" si="78"/>
        <v>25</v>
      </c>
      <c r="NF39" s="17">
        <f t="shared" si="78"/>
        <v>25</v>
      </c>
      <c r="NG39" s="17">
        <f t="shared" si="78"/>
        <v>25</v>
      </c>
      <c r="NH39" s="17">
        <f t="shared" si="78"/>
        <v>25</v>
      </c>
      <c r="NI39" s="17">
        <f t="shared" si="78"/>
        <v>25</v>
      </c>
      <c r="NJ39" s="17">
        <f t="shared" si="78"/>
        <v>25</v>
      </c>
      <c r="NK39" s="17">
        <f t="shared" si="78"/>
        <v>25</v>
      </c>
      <c r="NL39" s="17">
        <f t="shared" si="78"/>
        <v>25</v>
      </c>
      <c r="NM39" s="17">
        <f t="shared" si="78"/>
        <v>25</v>
      </c>
      <c r="NN39" s="17">
        <f t="shared" si="78"/>
        <v>25</v>
      </c>
      <c r="NO39" s="17">
        <f t="shared" si="78"/>
        <v>25</v>
      </c>
      <c r="NP39" s="17">
        <f t="shared" si="78"/>
        <v>25</v>
      </c>
      <c r="NQ39" s="17">
        <f t="shared" si="78"/>
        <v>25</v>
      </c>
      <c r="NR39" s="17">
        <f t="shared" si="78"/>
        <v>25</v>
      </c>
      <c r="NS39" s="17">
        <f t="shared" si="78"/>
        <v>25</v>
      </c>
      <c r="NT39" s="17">
        <f t="shared" si="78"/>
        <v>25</v>
      </c>
      <c r="NU39" s="17">
        <f t="shared" si="78"/>
        <v>25</v>
      </c>
      <c r="NV39" s="17">
        <f t="shared" si="78"/>
        <v>25</v>
      </c>
      <c r="NW39" s="17">
        <f t="shared" si="78"/>
        <v>25</v>
      </c>
      <c r="NX39" s="17">
        <f t="shared" ref="NX39:PG39" si="79">IF(NW39=$H39,NW39,NW39+1)</f>
        <v>25</v>
      </c>
      <c r="NY39" s="17">
        <f t="shared" si="79"/>
        <v>25</v>
      </c>
      <c r="NZ39" s="17">
        <f t="shared" si="79"/>
        <v>25</v>
      </c>
      <c r="OA39" s="17">
        <f t="shared" si="79"/>
        <v>25</v>
      </c>
      <c r="OB39" s="17">
        <f t="shared" si="79"/>
        <v>25</v>
      </c>
      <c r="OC39" s="17">
        <f t="shared" si="79"/>
        <v>25</v>
      </c>
      <c r="OD39" s="17">
        <f t="shared" si="79"/>
        <v>25</v>
      </c>
      <c r="OE39" s="17">
        <f t="shared" si="79"/>
        <v>25</v>
      </c>
      <c r="OF39" s="17">
        <f t="shared" si="79"/>
        <v>25</v>
      </c>
      <c r="OG39" s="17">
        <f t="shared" si="79"/>
        <v>25</v>
      </c>
      <c r="OH39" s="17">
        <f t="shared" si="79"/>
        <v>25</v>
      </c>
      <c r="OI39" s="17">
        <f t="shared" si="79"/>
        <v>25</v>
      </c>
      <c r="OJ39" s="17">
        <f t="shared" si="79"/>
        <v>25</v>
      </c>
      <c r="OK39" s="17">
        <f t="shared" si="79"/>
        <v>25</v>
      </c>
      <c r="OL39" s="17">
        <f t="shared" si="79"/>
        <v>25</v>
      </c>
      <c r="OM39" s="17">
        <f t="shared" si="79"/>
        <v>25</v>
      </c>
      <c r="ON39" s="17">
        <f t="shared" si="79"/>
        <v>25</v>
      </c>
      <c r="OO39" s="17">
        <f t="shared" si="79"/>
        <v>25</v>
      </c>
      <c r="OP39" s="17">
        <f t="shared" si="79"/>
        <v>25</v>
      </c>
      <c r="OQ39" s="17">
        <f t="shared" si="79"/>
        <v>25</v>
      </c>
      <c r="OR39" s="17">
        <f t="shared" si="79"/>
        <v>25</v>
      </c>
      <c r="OS39" s="17">
        <f t="shared" si="79"/>
        <v>25</v>
      </c>
      <c r="OT39" s="17">
        <f t="shared" si="79"/>
        <v>25</v>
      </c>
      <c r="OU39" s="17">
        <f t="shared" si="79"/>
        <v>25</v>
      </c>
      <c r="OV39" s="17">
        <f t="shared" si="79"/>
        <v>25</v>
      </c>
      <c r="OW39" s="17">
        <f t="shared" si="79"/>
        <v>25</v>
      </c>
      <c r="OX39" s="17">
        <f t="shared" si="79"/>
        <v>25</v>
      </c>
      <c r="OY39" s="17">
        <f t="shared" si="79"/>
        <v>25</v>
      </c>
      <c r="OZ39" s="17">
        <f t="shared" si="79"/>
        <v>25</v>
      </c>
      <c r="PA39" s="17">
        <f t="shared" si="79"/>
        <v>25</v>
      </c>
      <c r="PB39" s="17">
        <f t="shared" si="79"/>
        <v>25</v>
      </c>
      <c r="PC39" s="17">
        <f t="shared" si="79"/>
        <v>25</v>
      </c>
      <c r="PD39" s="17">
        <f t="shared" si="79"/>
        <v>25</v>
      </c>
      <c r="PE39" s="17">
        <f t="shared" si="79"/>
        <v>25</v>
      </c>
      <c r="PF39" s="17">
        <f t="shared" si="79"/>
        <v>25</v>
      </c>
      <c r="PG39" s="17">
        <f t="shared" si="79"/>
        <v>25</v>
      </c>
    </row>
    <row r="40" spans="1:423" x14ac:dyDescent="0.25">
      <c r="A40" s="8" t="s">
        <v>5509</v>
      </c>
      <c r="B40" s="9" t="s">
        <v>5503</v>
      </c>
      <c r="C40" s="9" t="str">
        <f t="shared" si="72"/>
        <v>LR1</v>
      </c>
      <c r="D40" s="1" t="str">
        <f t="shared" si="73"/>
        <v>Libre R1</v>
      </c>
      <c r="E40" s="1" t="s">
        <v>15</v>
      </c>
      <c r="F40" s="9" t="s">
        <v>5508</v>
      </c>
      <c r="G40" s="9">
        <v>120</v>
      </c>
      <c r="H40" s="9">
        <v>30</v>
      </c>
      <c r="I40" s="127">
        <v>2.8</v>
      </c>
      <c r="J40" s="30" t="s">
        <v>5511</v>
      </c>
      <c r="K40" s="281"/>
      <c r="L40" s="8">
        <v>4</v>
      </c>
      <c r="M40" s="9">
        <v>4</v>
      </c>
      <c r="N40" s="10">
        <v>5.9989999999999997</v>
      </c>
      <c r="O40" s="269"/>
      <c r="P40" s="331"/>
      <c r="Q40" s="335"/>
      <c r="R40" s="128">
        <v>1</v>
      </c>
      <c r="S40" s="9">
        <v>1</v>
      </c>
      <c r="T40" s="10">
        <v>2</v>
      </c>
      <c r="U40" t="s">
        <v>5523</v>
      </c>
      <c r="V40" s="17">
        <v>0</v>
      </c>
      <c r="W40" s="17">
        <f>IF(Distances[[#This Row],[Colonne4]]=$G40,V40,Distances[[#This Row],[Colonne4]]+1)</f>
        <v>1</v>
      </c>
      <c r="X40" s="17">
        <f>IF(Distances[[#This Row],[Colonne5]]=$G40,W40,Distances[[#This Row],[Colonne5]]+1)</f>
        <v>2</v>
      </c>
      <c r="Y40" s="17">
        <f>IF(Distances[[#This Row],[Colonne6]]=$G40,X40,Distances[[#This Row],[Colonne6]]+1)</f>
        <v>3</v>
      </c>
      <c r="Z40" s="17">
        <f>IF(Distances[[#This Row],[Colonne7]]=$G40,Y40,Distances[[#This Row],[Colonne7]]+1)</f>
        <v>4</v>
      </c>
      <c r="AA40" s="17">
        <f>IF(Distances[[#This Row],[Colonne8]]=$G40,Z40,Distances[[#This Row],[Colonne8]]+1)</f>
        <v>5</v>
      </c>
      <c r="AB40" s="17">
        <f>IF(Distances[[#This Row],[Colonne9]]=$G40,AA40,Distances[[#This Row],[Colonne9]]+1)</f>
        <v>6</v>
      </c>
      <c r="AC40" s="17">
        <f>IF(Distances[[#This Row],[Colonne10]]=$G40,AB40,Distances[[#This Row],[Colonne10]]+1)</f>
        <v>7</v>
      </c>
      <c r="AD40" s="17">
        <f>IF(Distances[[#This Row],[Colonne11]]=$G40,AC40,Distances[[#This Row],[Colonne11]]+1)</f>
        <v>8</v>
      </c>
      <c r="AE40" s="17">
        <f>IF(Distances[[#This Row],[Colonne12]]=$G40,AD40,Distances[[#This Row],[Colonne12]]+1)</f>
        <v>9</v>
      </c>
      <c r="AF40" s="17">
        <f>IF(Distances[[#This Row],[Colonne13]]=$G40,AE40,Distances[[#This Row],[Colonne13]]+1)</f>
        <v>10</v>
      </c>
      <c r="AG40" s="17">
        <f>IF(Distances[[#This Row],[Colonne14]]=$G40,AF40,Distances[[#This Row],[Colonne14]]+1)</f>
        <v>11</v>
      </c>
      <c r="AH40" s="17">
        <f>IF(Distances[[#This Row],[Colonne15]]=$G40,AG40,Distances[[#This Row],[Colonne15]]+1)</f>
        <v>12</v>
      </c>
      <c r="AI40" s="17">
        <f>IF(Distances[[#This Row],[Colonne16]]=$G40,AH40,Distances[[#This Row],[Colonne16]]+1)</f>
        <v>13</v>
      </c>
      <c r="AJ40" s="17">
        <f>IF(Distances[[#This Row],[Colonne17]]=$G40,AI40,Distances[[#This Row],[Colonne17]]+1)</f>
        <v>14</v>
      </c>
      <c r="AK40" s="17">
        <f>IF(Distances[[#This Row],[Colonne18]]=$G40,AJ40,Distances[[#This Row],[Colonne18]]+1)</f>
        <v>15</v>
      </c>
      <c r="AL40" s="17">
        <f>IF(Distances[[#This Row],[Colonne19]]=$G40,AK40,Distances[[#This Row],[Colonne19]]+1)</f>
        <v>16</v>
      </c>
      <c r="AM40" s="17">
        <f>IF(Distances[[#This Row],[Colonne20]]=$G40,AL40,Distances[[#This Row],[Colonne20]]+1)</f>
        <v>17</v>
      </c>
      <c r="AN40" s="17">
        <f>IF(Distances[[#This Row],[Colonne21]]=$G40,AM40,Distances[[#This Row],[Colonne21]]+1)</f>
        <v>18</v>
      </c>
      <c r="AO40" s="17">
        <f>IF(Distances[[#This Row],[Colonne22]]=$G40,AN40,Distances[[#This Row],[Colonne22]]+1)</f>
        <v>19</v>
      </c>
      <c r="AP40" s="17">
        <f>IF(Distances[[#This Row],[Colonne23]]=$G40,AO40,Distances[[#This Row],[Colonne23]]+1)</f>
        <v>20</v>
      </c>
      <c r="AQ40" s="17">
        <f>IF(Distances[[#This Row],[Colonne24]]=$G40,AP40,Distances[[#This Row],[Colonne24]]+1)</f>
        <v>21</v>
      </c>
      <c r="AR40" s="17">
        <f>IF(Distances[[#This Row],[Colonne25]]=$G40,AQ40,Distances[[#This Row],[Colonne25]]+1)</f>
        <v>22</v>
      </c>
      <c r="AS40" s="17">
        <f>IF(Distances[[#This Row],[Colonne26]]=$G40,AR40,Distances[[#This Row],[Colonne26]]+1)</f>
        <v>23</v>
      </c>
      <c r="AT40" s="17">
        <f>IF(Distances[[#This Row],[Colonne27]]=$G40,AS40,Distances[[#This Row],[Colonne27]]+1)</f>
        <v>24</v>
      </c>
      <c r="AU40" s="17">
        <f>IF(Distances[[#This Row],[Colonne28]]=$G40,AT40,Distances[[#This Row],[Colonne28]]+1)</f>
        <v>25</v>
      </c>
      <c r="AV40" s="17">
        <f>IF(Distances[[#This Row],[Colonne29]]=$G40,AU40,Distances[[#This Row],[Colonne29]]+1)</f>
        <v>26</v>
      </c>
      <c r="AW40" s="17">
        <f>IF(Distances[[#This Row],[Colonne30]]=$G40,AV40,Distances[[#This Row],[Colonne30]]+1)</f>
        <v>27</v>
      </c>
      <c r="AX40" s="17">
        <f>IF(Distances[[#This Row],[Colonne31]]=$G40,AW40,Distances[[#This Row],[Colonne31]]+1)</f>
        <v>28</v>
      </c>
      <c r="AY40" s="17">
        <f>IF(Distances[[#This Row],[Colonne32]]=$G40,AX40,Distances[[#This Row],[Colonne32]]+1)</f>
        <v>29</v>
      </c>
      <c r="AZ40" s="17">
        <f>IF(Distances[[#This Row],[Colonne33]]=$G40,AY40,Distances[[#This Row],[Colonne33]]+1)</f>
        <v>30</v>
      </c>
      <c r="BA40" s="17">
        <f>IF(Distances[[#This Row],[Colonne34]]=$G40,AZ40,Distances[[#This Row],[Colonne34]]+1)</f>
        <v>31</v>
      </c>
      <c r="BB40" s="17">
        <f>IF(Distances[[#This Row],[Colonne35]]=$G40,BA40,Distances[[#This Row],[Colonne35]]+1)</f>
        <v>32</v>
      </c>
      <c r="BC40" s="17">
        <f>IF(Distances[[#This Row],[Colonne36]]=$G40,BB40,Distances[[#This Row],[Colonne36]]+1)</f>
        <v>33</v>
      </c>
      <c r="BD40" s="17">
        <f>IF(Distances[[#This Row],[Colonne37]]=$G40,BC40,Distances[[#This Row],[Colonne37]]+1)</f>
        <v>34</v>
      </c>
      <c r="BE40" s="17">
        <f>IF(Distances[[#This Row],[Colonne38]]=$G40,BD40,Distances[[#This Row],[Colonne38]]+1)</f>
        <v>35</v>
      </c>
      <c r="BF40" s="17">
        <f>IF(Distances[[#This Row],[Colonne39]]=$G40,BE40,Distances[[#This Row],[Colonne39]]+1)</f>
        <v>36</v>
      </c>
      <c r="BG40" s="17">
        <f>IF(Distances[[#This Row],[Colonne40]]=$G40,BF40,Distances[[#This Row],[Colonne40]]+1)</f>
        <v>37</v>
      </c>
      <c r="BH40" s="17">
        <f>IF(Distances[[#This Row],[Colonne41]]=$G40,BG40,Distances[[#This Row],[Colonne41]]+1)</f>
        <v>38</v>
      </c>
      <c r="BI40" s="17">
        <f>IF(Distances[[#This Row],[Colonne42]]=$G40,BH40,Distances[[#This Row],[Colonne42]]+1)</f>
        <v>39</v>
      </c>
      <c r="BJ40" s="17">
        <f>IF(Distances[[#This Row],[Colonne43]]=$G40,BI40,Distances[[#This Row],[Colonne43]]+1)</f>
        <v>40</v>
      </c>
      <c r="BK40" s="17">
        <f>IF(Distances[[#This Row],[Colonne44]]=$G40,BJ40,Distances[[#This Row],[Colonne44]]+1)</f>
        <v>41</v>
      </c>
      <c r="BL40" s="17">
        <f>IF(Distances[[#This Row],[Colonne45]]=$G40,BK40,Distances[[#This Row],[Colonne45]]+1)</f>
        <v>42</v>
      </c>
      <c r="BM40" s="17">
        <f>IF(Distances[[#This Row],[Colonne46]]=$G40,BL40,Distances[[#This Row],[Colonne46]]+1)</f>
        <v>43</v>
      </c>
      <c r="BN40" s="17">
        <f>IF(Distances[[#This Row],[Colonne47]]=$G40,BM40,Distances[[#This Row],[Colonne47]]+1)</f>
        <v>44</v>
      </c>
      <c r="BO40" s="17">
        <f>IF(Distances[[#This Row],[Colonne48]]=$G40,BN40,Distances[[#This Row],[Colonne48]]+1)</f>
        <v>45</v>
      </c>
      <c r="BP40" s="17">
        <f>IF(Distances[[#This Row],[Colonne49]]=$G40,BO40,Distances[[#This Row],[Colonne49]]+1)</f>
        <v>46</v>
      </c>
      <c r="BQ40" s="17">
        <f>IF(Distances[[#This Row],[Colonne50]]=$G40,BP40,Distances[[#This Row],[Colonne50]]+1)</f>
        <v>47</v>
      </c>
      <c r="BR40" s="17">
        <f>IF(Distances[[#This Row],[Colonne51]]=$G40,BQ40,Distances[[#This Row],[Colonne51]]+1)</f>
        <v>48</v>
      </c>
      <c r="BS40" s="17">
        <f>IF(Distances[[#This Row],[Colonne52]]=$G40,BR40,Distances[[#This Row],[Colonne52]]+1)</f>
        <v>49</v>
      </c>
      <c r="BT40" s="17">
        <f>IF(Distances[[#This Row],[Colonne53]]=$G40,BS40,Distances[[#This Row],[Colonne53]]+1)</f>
        <v>50</v>
      </c>
      <c r="BU40" s="17">
        <f>IF(Distances[[#This Row],[Colonne54]]=$G40,BT40,Distances[[#This Row],[Colonne54]]+1)</f>
        <v>51</v>
      </c>
      <c r="BV40" s="17">
        <f>IF(Distances[[#This Row],[Colonne55]]=$G40,BU40,Distances[[#This Row],[Colonne55]]+1)</f>
        <v>52</v>
      </c>
      <c r="BW40" s="17">
        <f>IF(Distances[[#This Row],[Colonne56]]=$G40,BV40,Distances[[#This Row],[Colonne56]]+1)</f>
        <v>53</v>
      </c>
      <c r="BX40" s="17">
        <f>IF(Distances[[#This Row],[Colonne57]]=$G40,BW40,Distances[[#This Row],[Colonne57]]+1)</f>
        <v>54</v>
      </c>
      <c r="BY40" s="17">
        <f>IF(Distances[[#This Row],[Colonne58]]=$G40,BX40,Distances[[#This Row],[Colonne58]]+1)</f>
        <v>55</v>
      </c>
      <c r="BZ40" s="17">
        <f>IF(Distances[[#This Row],[Colonne59]]=$G40,BY40,Distances[[#This Row],[Colonne59]]+1)</f>
        <v>56</v>
      </c>
      <c r="CA40" s="17">
        <f>IF(Distances[[#This Row],[Colonne60]]=$G40,BZ40,Distances[[#This Row],[Colonne60]]+1)</f>
        <v>57</v>
      </c>
      <c r="CB40" s="17">
        <f>IF(Distances[[#This Row],[Colonne61]]=$G40,CA40,Distances[[#This Row],[Colonne61]]+1)</f>
        <v>58</v>
      </c>
      <c r="CC40" s="17">
        <f>IF(Distances[[#This Row],[Colonne62]]=$G40,CB40,Distances[[#This Row],[Colonne62]]+1)</f>
        <v>59</v>
      </c>
      <c r="CD40" s="17">
        <f>IF(Distances[[#This Row],[Colonne63]]=$G40,CC40,Distances[[#This Row],[Colonne63]]+1)</f>
        <v>60</v>
      </c>
      <c r="CE40" s="17">
        <f>IF(Distances[[#This Row],[Colonne64]]=$G40,CD40,Distances[[#This Row],[Colonne64]]+1)</f>
        <v>61</v>
      </c>
      <c r="CF40" s="17">
        <f>IF(Distances[[#This Row],[Colonne65]]=$G40,CE40,Distances[[#This Row],[Colonne65]]+1)</f>
        <v>62</v>
      </c>
      <c r="CG40" s="17">
        <f>IF(Distances[[#This Row],[Colonne66]]=$G40,CF40,Distances[[#This Row],[Colonne66]]+1)</f>
        <v>63</v>
      </c>
      <c r="CH40" s="17">
        <f>IF(Distances[[#This Row],[Colonne67]]=$G40,CG40,Distances[[#This Row],[Colonne67]]+1)</f>
        <v>64</v>
      </c>
      <c r="CI40" s="17">
        <f>IF(Distances[[#This Row],[Colonne68]]=$G40,CH40,Distances[[#This Row],[Colonne68]]+1)</f>
        <v>65</v>
      </c>
      <c r="CJ40" s="17">
        <f>IF(Distances[[#This Row],[Colonne69]]=$G40,CI40,Distances[[#This Row],[Colonne69]]+1)</f>
        <v>66</v>
      </c>
      <c r="CK40" s="17">
        <f>IF(Distances[[#This Row],[Colonne70]]=$G40,CJ40,Distances[[#This Row],[Colonne70]]+1)</f>
        <v>67</v>
      </c>
      <c r="CL40" s="17">
        <f>IF(Distances[[#This Row],[Colonne71]]=$G40,CK40,Distances[[#This Row],[Colonne71]]+1)</f>
        <v>68</v>
      </c>
      <c r="CM40" s="17">
        <f>IF(Distances[[#This Row],[Colonne72]]=$G40,CL40,Distances[[#This Row],[Colonne72]]+1)</f>
        <v>69</v>
      </c>
      <c r="CN40" s="17">
        <f>IF(Distances[[#This Row],[Colonne73]]=$G40,CM40,Distances[[#This Row],[Colonne73]]+1)</f>
        <v>70</v>
      </c>
      <c r="CO40" s="17">
        <f>IF(Distances[[#This Row],[Colonne74]]=$G40,CN40,Distances[[#This Row],[Colonne74]]+1)</f>
        <v>71</v>
      </c>
      <c r="CP40" s="17">
        <f>IF(Distances[[#This Row],[Colonne75]]=$G40,CO40,Distances[[#This Row],[Colonne75]]+1)</f>
        <v>72</v>
      </c>
      <c r="CQ40" s="17">
        <f>IF(Distances[[#This Row],[Colonne76]]=$G40,CP40,Distances[[#This Row],[Colonne76]]+1)</f>
        <v>73</v>
      </c>
      <c r="CR40" s="17">
        <f>IF(Distances[[#This Row],[Colonne77]]=$G40,CQ40,Distances[[#This Row],[Colonne77]]+1)</f>
        <v>74</v>
      </c>
      <c r="CS40" s="17">
        <f>IF(Distances[[#This Row],[Colonne78]]=$G40,CR40,Distances[[#This Row],[Colonne78]]+1)</f>
        <v>75</v>
      </c>
      <c r="CT40" s="17">
        <f>IF(Distances[[#This Row],[Colonne79]]=$G40,CS40,Distances[[#This Row],[Colonne79]]+1)</f>
        <v>76</v>
      </c>
      <c r="CU40" s="17">
        <f>IF(Distances[[#This Row],[Colonne80]]=$G40,CT40,Distances[[#This Row],[Colonne80]]+1)</f>
        <v>77</v>
      </c>
      <c r="CV40" s="17">
        <f>IF(Distances[[#This Row],[Colonne81]]=$G40,CU40,Distances[[#This Row],[Colonne81]]+1)</f>
        <v>78</v>
      </c>
      <c r="CW40" s="17">
        <f>IF(Distances[[#This Row],[Colonne82]]=$G40,CV40,Distances[[#This Row],[Colonne82]]+1)</f>
        <v>79</v>
      </c>
      <c r="CX40" s="17">
        <f>IF(Distances[[#This Row],[Colonne83]]=$G40,CW40,Distances[[#This Row],[Colonne83]]+1)</f>
        <v>80</v>
      </c>
      <c r="CY40" s="17">
        <f>IF(Distances[[#This Row],[Colonne84]]=$G40,CX40,Distances[[#This Row],[Colonne84]]+1)</f>
        <v>81</v>
      </c>
      <c r="CZ40" s="17">
        <f>IF(Distances[[#This Row],[Colonne85]]=$G40,CY40,Distances[[#This Row],[Colonne85]]+1)</f>
        <v>82</v>
      </c>
      <c r="DA40" s="17">
        <f>IF(Distances[[#This Row],[Colonne86]]=$G40,CZ40,Distances[[#This Row],[Colonne86]]+1)</f>
        <v>83</v>
      </c>
      <c r="DB40" s="17">
        <f>IF(Distances[[#This Row],[Colonne87]]=$G40,DA40,Distances[[#This Row],[Colonne87]]+1)</f>
        <v>84</v>
      </c>
      <c r="DC40" s="17">
        <f>IF(Distances[[#This Row],[Colonne88]]=$G40,DB40,Distances[[#This Row],[Colonne88]]+1)</f>
        <v>85</v>
      </c>
      <c r="DD40" s="17">
        <f>IF(Distances[[#This Row],[Colonne89]]=$G40,DC40,Distances[[#This Row],[Colonne89]]+1)</f>
        <v>86</v>
      </c>
      <c r="DE40" s="17">
        <f>IF(Distances[[#This Row],[Colonne90]]=$G40,DD40,Distances[[#This Row],[Colonne90]]+1)</f>
        <v>87</v>
      </c>
      <c r="DF40" s="17">
        <f>IF(Distances[[#This Row],[Colonne91]]=$G40,DE40,Distances[[#This Row],[Colonne91]]+1)</f>
        <v>88</v>
      </c>
      <c r="DG40" s="17">
        <f>IF(Distances[[#This Row],[Colonne92]]=$G40,DF40,Distances[[#This Row],[Colonne92]]+1)</f>
        <v>89</v>
      </c>
      <c r="DH40" s="17">
        <f>IF(Distances[[#This Row],[Colonne93]]=$G40,DG40,Distances[[#This Row],[Colonne93]]+1)</f>
        <v>90</v>
      </c>
      <c r="DI40" s="17">
        <f>IF(Distances[[#This Row],[Colonne94]]=$G40,DH40,Distances[[#This Row],[Colonne94]]+1)</f>
        <v>91</v>
      </c>
      <c r="DJ40" s="17">
        <f>IF(Distances[[#This Row],[Colonne95]]=$G40,DI40,Distances[[#This Row],[Colonne95]]+1)</f>
        <v>92</v>
      </c>
      <c r="DK40" s="17">
        <f>IF(Distances[[#This Row],[Colonne96]]=$G40,DJ40,Distances[[#This Row],[Colonne96]]+1)</f>
        <v>93</v>
      </c>
      <c r="DL40" s="17">
        <f>IF(Distances[[#This Row],[Colonne97]]=$G40,DK40,Distances[[#This Row],[Colonne97]]+1)</f>
        <v>94</v>
      </c>
      <c r="DM40" s="17">
        <f>IF(Distances[[#This Row],[Colonne98]]=$G40,DL40,Distances[[#This Row],[Colonne98]]+1)</f>
        <v>95</v>
      </c>
      <c r="DN40" s="17">
        <f>IF(Distances[[#This Row],[Colonne99]]=$G40,DM40,Distances[[#This Row],[Colonne99]]+1)</f>
        <v>96</v>
      </c>
      <c r="DO40" s="17">
        <f>IF(Distances[[#This Row],[Colonne100]]=$G40,DN40,Distances[[#This Row],[Colonne100]]+1)</f>
        <v>97</v>
      </c>
      <c r="DP40" s="17">
        <f>IF(Distances[[#This Row],[Colonne101]]=$G40,DO40,Distances[[#This Row],[Colonne101]]+1)</f>
        <v>98</v>
      </c>
      <c r="DQ40" s="17">
        <f>IF(Distances[[#This Row],[Colonne102]]=$G40,DP40,Distances[[#This Row],[Colonne102]]+1)</f>
        <v>99</v>
      </c>
      <c r="DR40" s="17">
        <f>IF(Distances[[#This Row],[Colonne103]]=$G40,DQ40,Distances[[#This Row],[Colonne103]]+1)</f>
        <v>100</v>
      </c>
      <c r="DS40" s="17">
        <f>IF(Distances[[#This Row],[Colonne104]]=$G40,DR40,Distances[[#This Row],[Colonne104]]+1)</f>
        <v>101</v>
      </c>
      <c r="DT40" s="17">
        <f>IF(Distances[[#This Row],[Colonne105]]=$G40,DS40,Distances[[#This Row],[Colonne105]]+1)</f>
        <v>102</v>
      </c>
      <c r="DU40" s="17">
        <f>IF(Distances[[#This Row],[Colonne106]]=$G40,DT40,Distances[[#This Row],[Colonne106]]+1)</f>
        <v>103</v>
      </c>
      <c r="DV40" s="17">
        <f>IF(Distances[[#This Row],[Colonne107]]=$G40,DU40,Distances[[#This Row],[Colonne107]]+1)</f>
        <v>104</v>
      </c>
      <c r="DW40" s="17">
        <f>IF(Distances[[#This Row],[Colonne108]]=$G40,DV40,Distances[[#This Row],[Colonne108]]+1)</f>
        <v>105</v>
      </c>
      <c r="DX40" s="17">
        <f>IF(Distances[[#This Row],[Colonne109]]=$G40,DW40,Distances[[#This Row],[Colonne109]]+1)</f>
        <v>106</v>
      </c>
      <c r="DY40" s="17">
        <f>IF(Distances[[#This Row],[Colonne110]]=$G40,DX40,Distances[[#This Row],[Colonne110]]+1)</f>
        <v>107</v>
      </c>
      <c r="DZ40" s="17">
        <f>IF(Distances[[#This Row],[Colonne111]]=$G40,DY40,Distances[[#This Row],[Colonne111]]+1)</f>
        <v>108</v>
      </c>
      <c r="EA40" s="17">
        <f>IF(Distances[[#This Row],[Colonne112]]=$G40,DZ40,Distances[[#This Row],[Colonne112]]+1)</f>
        <v>109</v>
      </c>
      <c r="EB40" s="17">
        <f>IF(Distances[[#This Row],[Colonne113]]=$G40,EA40,Distances[[#This Row],[Colonne113]]+1)</f>
        <v>110</v>
      </c>
      <c r="EC40" s="17">
        <f>IF(Distances[[#This Row],[Colonne114]]=$G40,EB40,Distances[[#This Row],[Colonne114]]+1)</f>
        <v>111</v>
      </c>
      <c r="ED40" s="17">
        <f>IF(Distances[[#This Row],[Colonne115]]=$G40,EC40,Distances[[#This Row],[Colonne115]]+1)</f>
        <v>112</v>
      </c>
      <c r="EE40" s="17">
        <f>IF(Distances[[#This Row],[Colonne116]]=$G40,ED40,Distances[[#This Row],[Colonne116]]+1)</f>
        <v>113</v>
      </c>
      <c r="EF40" s="17">
        <f>IF(Distances[[#This Row],[Colonne117]]=$G40,EE40,Distances[[#This Row],[Colonne117]]+1)</f>
        <v>114</v>
      </c>
      <c r="EG40" s="17">
        <f>IF(Distances[[#This Row],[Colonne118]]=$G40,EF40,Distances[[#This Row],[Colonne118]]+1)</f>
        <v>115</v>
      </c>
      <c r="EH40" s="17">
        <f>IF(Distances[[#This Row],[Colonne119]]=$G40,EG40,Distances[[#This Row],[Colonne119]]+1)</f>
        <v>116</v>
      </c>
      <c r="EI40" s="17">
        <f>IF(Distances[[#This Row],[Colonne120]]=$G40,EH40,Distances[[#This Row],[Colonne120]]+1)</f>
        <v>117</v>
      </c>
      <c r="EJ40" s="17">
        <f>IF(Distances[[#This Row],[Colonne121]]=$G40,EI40,Distances[[#This Row],[Colonne121]]+1)</f>
        <v>118</v>
      </c>
      <c r="EK40" s="17">
        <f>IF(Distances[[#This Row],[Colonne122]]=$G40,EJ40,Distances[[#This Row],[Colonne122]]+1)</f>
        <v>119</v>
      </c>
      <c r="EL40" s="17">
        <f>IF(Distances[[#This Row],[Colonne123]]=$G40,EK40,Distances[[#This Row],[Colonne123]]+1)</f>
        <v>120</v>
      </c>
      <c r="EM40" s="17">
        <f>IF(Distances[[#This Row],[Colonne124]]=$G40,EL40,Distances[[#This Row],[Colonne124]]+1)</f>
        <v>120</v>
      </c>
      <c r="EN40" s="17">
        <f>IF(Distances[[#This Row],[Colonne125]]=$G40,EM40,Distances[[#This Row],[Colonne125]]+1)</f>
        <v>120</v>
      </c>
      <c r="EO40" s="17">
        <f>IF(Distances[[#This Row],[Colonne126]]=$G40,EN40,Distances[[#This Row],[Colonne126]]+1)</f>
        <v>120</v>
      </c>
      <c r="EP40" s="17">
        <f>IF(Distances[[#This Row],[Colonne127]]=$G40,EO40,Distances[[#This Row],[Colonne127]]+1)</f>
        <v>120</v>
      </c>
      <c r="EQ40" s="17">
        <f>IF(Distances[[#This Row],[Colonne128]]=$G40,EP40,Distances[[#This Row],[Colonne128]]+1)</f>
        <v>120</v>
      </c>
      <c r="ER40" s="17">
        <f>IF(Distances[[#This Row],[Colonne129]]=$G40,EQ40,Distances[[#This Row],[Colonne129]]+1)</f>
        <v>120</v>
      </c>
      <c r="ES40" s="17">
        <f>IF(Distances[[#This Row],[Colonne130]]=$G40,ER40,Distances[[#This Row],[Colonne130]]+1)</f>
        <v>120</v>
      </c>
      <c r="ET40" s="17">
        <f>IF(Distances[[#This Row],[Colonne131]]=$G40,ES40,Distances[[#This Row],[Colonne131]]+1)</f>
        <v>120</v>
      </c>
      <c r="EU40" s="17">
        <f>IF(Distances[[#This Row],[Colonne132]]=$G40,ET40,Distances[[#This Row],[Colonne132]]+1)</f>
        <v>120</v>
      </c>
      <c r="EV40" s="17">
        <f>IF(Distances[[#This Row],[Colonne133]]=$G40,EU40,Distances[[#This Row],[Colonne133]]+1)</f>
        <v>120</v>
      </c>
      <c r="EW40" s="17">
        <f>IF(Distances[[#This Row],[Colonne134]]=$G40,EV40,Distances[[#This Row],[Colonne134]]+1)</f>
        <v>120</v>
      </c>
      <c r="EX40" s="17">
        <f>IF(Distances[[#This Row],[Colonne135]]=$G40,EW40,Distances[[#This Row],[Colonne135]]+1)</f>
        <v>120</v>
      </c>
      <c r="EY40" s="17">
        <f>IF(Distances[[#This Row],[Colonne136]]=$G40,EX40,Distances[[#This Row],[Colonne136]]+1)</f>
        <v>120</v>
      </c>
      <c r="EZ40" s="17">
        <f>IF(Distances[[#This Row],[Colonne137]]=$G40,EY40,Distances[[#This Row],[Colonne137]]+1)</f>
        <v>120</v>
      </c>
      <c r="FA40" s="17">
        <f>IF(Distances[[#This Row],[Colonne138]]=$G40,EZ40,Distances[[#This Row],[Colonne138]]+1)</f>
        <v>120</v>
      </c>
      <c r="FB40" s="17">
        <f>IF(Distances[[#This Row],[Colonne139]]=$G40,FA40,Distances[[#This Row],[Colonne139]]+1)</f>
        <v>120</v>
      </c>
      <c r="FC40" s="17">
        <f>IF(Distances[[#This Row],[Colonne140]]=$G40,FB40,Distances[[#This Row],[Colonne140]]+1)</f>
        <v>120</v>
      </c>
      <c r="FD40" s="17">
        <f>IF(Distances[[#This Row],[Colonne141]]=$G40,FC40,Distances[[#This Row],[Colonne141]]+1)</f>
        <v>120</v>
      </c>
      <c r="FE40" s="17">
        <f>IF(Distances[[#This Row],[Colonne142]]=$G40,FD40,Distances[[#This Row],[Colonne142]]+1)</f>
        <v>120</v>
      </c>
      <c r="FF40" s="17">
        <f>IF(Distances[[#This Row],[Colonne143]]=$G40,FE40,Distances[[#This Row],[Colonne143]]+1)</f>
        <v>120</v>
      </c>
      <c r="FG40" s="17">
        <f>IF(Distances[[#This Row],[Colonne144]]=$G40,FF40,Distances[[#This Row],[Colonne144]]+1)</f>
        <v>120</v>
      </c>
      <c r="FH40" s="17">
        <f>IF(Distances[[#This Row],[Colonne145]]=$G40,FG40,Distances[[#This Row],[Colonne145]]+1)</f>
        <v>120</v>
      </c>
      <c r="FI40" s="17">
        <f>IF(Distances[[#This Row],[Colonne146]]=$G40,FH40,Distances[[#This Row],[Colonne146]]+1)</f>
        <v>120</v>
      </c>
      <c r="FJ40" s="17">
        <f>IF(Distances[[#This Row],[Colonne147]]=$G40,FI40,Distances[[#This Row],[Colonne147]]+1)</f>
        <v>120</v>
      </c>
      <c r="FK40" s="17">
        <f>IF(Distances[[#This Row],[Colonne148]]=$G40,FJ40,Distances[[#This Row],[Colonne148]]+1)</f>
        <v>120</v>
      </c>
      <c r="FL40" s="17">
        <f>IF(Distances[[#This Row],[Colonne149]]=$G40,FK40,Distances[[#This Row],[Colonne149]]+1)</f>
        <v>120</v>
      </c>
      <c r="FM40" s="17">
        <f>IF(Distances[[#This Row],[Colonne150]]=$G40,FL40,Distances[[#This Row],[Colonne150]]+1)</f>
        <v>120</v>
      </c>
      <c r="FN40" s="17">
        <f>IF(Distances[[#This Row],[Colonne151]]=$G40,FM40,Distances[[#This Row],[Colonne151]]+1)</f>
        <v>120</v>
      </c>
      <c r="FO40" s="17">
        <f>IF(Distances[[#This Row],[Colonne152]]=$G40,FN40,Distances[[#This Row],[Colonne152]]+1)</f>
        <v>120</v>
      </c>
      <c r="FP40" s="17">
        <f>IF(Distances[[#This Row],[Colonne153]]=$G40,FO40,Distances[[#This Row],[Colonne153]]+1)</f>
        <v>120</v>
      </c>
      <c r="FQ40" s="17">
        <f>IF(Distances[[#This Row],[Colonne154]]=$G40,FP40,Distances[[#This Row],[Colonne154]]+1)</f>
        <v>120</v>
      </c>
      <c r="FR40" s="17">
        <f>IF(Distances[[#This Row],[Colonne155]]=$G40,FQ40,Distances[[#This Row],[Colonne155]]+1)</f>
        <v>120</v>
      </c>
      <c r="FS40" s="17">
        <f>IF(Distances[[#This Row],[Colonne156]]=$G40,FR40,Distances[[#This Row],[Colonne156]]+1)</f>
        <v>120</v>
      </c>
      <c r="FT40" s="17">
        <f>IF(Distances[[#This Row],[Colonne157]]=$G40,FS40,Distances[[#This Row],[Colonne157]]+1)</f>
        <v>120</v>
      </c>
      <c r="FU40" s="17">
        <f>IF(Distances[[#This Row],[Colonne158]]=$G40,FT40,Distances[[#This Row],[Colonne158]]+1)</f>
        <v>120</v>
      </c>
      <c r="FV40" s="17">
        <f>IF(Distances[[#This Row],[Colonne159]]=$G40,FU40,Distances[[#This Row],[Colonne159]]+1)</f>
        <v>120</v>
      </c>
      <c r="FW40" s="17">
        <f>IF(Distances[[#This Row],[Colonne160]]=$G40,FV40,Distances[[#This Row],[Colonne160]]+1)</f>
        <v>120</v>
      </c>
      <c r="FX40" s="17">
        <f>IF(Distances[[#This Row],[Colonne161]]=$G40,FW40,Distances[[#This Row],[Colonne161]]+1)</f>
        <v>120</v>
      </c>
      <c r="FY40" s="17">
        <f>IF(Distances[[#This Row],[Colonne162]]=$G40,FX40,Distances[[#This Row],[Colonne162]]+1)</f>
        <v>120</v>
      </c>
      <c r="FZ40" s="17">
        <f>IF(Distances[[#This Row],[Colonne163]]=$G40,FY40,Distances[[#This Row],[Colonne163]]+1)</f>
        <v>120</v>
      </c>
      <c r="GA40" s="17">
        <f>IF(Distances[[#This Row],[Colonne164]]=$G40,FZ40,Distances[[#This Row],[Colonne164]]+1)</f>
        <v>120</v>
      </c>
      <c r="GB40" s="17">
        <f>IF(Distances[[#This Row],[Colonne165]]=$G40,GA40,Distances[[#This Row],[Colonne165]]+1)</f>
        <v>120</v>
      </c>
      <c r="GC40" s="17">
        <f>IF(Distances[[#This Row],[Colonne166]]=$G40,GB40,Distances[[#This Row],[Colonne166]]+1)</f>
        <v>120</v>
      </c>
      <c r="GD40" s="17">
        <f>IF(Distances[[#This Row],[Colonne167]]=$G40,GC40,Distances[[#This Row],[Colonne167]]+1)</f>
        <v>120</v>
      </c>
      <c r="GE40" s="17">
        <f>IF(Distances[[#This Row],[Colonne168]]=$G40,GD40,Distances[[#This Row],[Colonne168]]+1)</f>
        <v>120</v>
      </c>
      <c r="GF40" s="17">
        <f>IF(Distances[[#This Row],[Colonne169]]=$G40,GE40,Distances[[#This Row],[Colonne169]]+1)</f>
        <v>120</v>
      </c>
      <c r="GG40" s="17">
        <f>IF(Distances[[#This Row],[Colonne170]]=$G40,GF40,Distances[[#This Row],[Colonne170]]+1)</f>
        <v>120</v>
      </c>
      <c r="GH40" s="17">
        <f>IF(Distances[[#This Row],[Colonne171]]=$G40,GG40,Distances[[#This Row],[Colonne171]]+1)</f>
        <v>120</v>
      </c>
      <c r="GI40" s="17">
        <f>IF(Distances[[#This Row],[Colonne172]]=$G40,GH40,Distances[[#This Row],[Colonne172]]+1)</f>
        <v>120</v>
      </c>
      <c r="GJ40" s="17">
        <f>IF(Distances[[#This Row],[Colonne173]]=$G40,GI40,Distances[[#This Row],[Colonne173]]+1)</f>
        <v>120</v>
      </c>
      <c r="GK40" s="17">
        <f>IF(Distances[[#This Row],[Colonne174]]=$G40,GJ40,Distances[[#This Row],[Colonne174]]+1)</f>
        <v>120</v>
      </c>
      <c r="GL40" s="17">
        <f>IF(Distances[[#This Row],[Colonne175]]=$G40,GK40,Distances[[#This Row],[Colonne175]]+1)</f>
        <v>120</v>
      </c>
      <c r="GM40" s="17">
        <f>IF(Distances[[#This Row],[Colonne176]]=$G40,GL40,Distances[[#This Row],[Colonne176]]+1)</f>
        <v>120</v>
      </c>
      <c r="GN40" s="17">
        <f>IF(Distances[[#This Row],[Colonne177]]=$G40,GM40,Distances[[#This Row],[Colonne177]]+1)</f>
        <v>120</v>
      </c>
      <c r="GO40" s="17">
        <f>IF(Distances[[#This Row],[Colonne178]]=$G40,GN40,Distances[[#This Row],[Colonne178]]+1)</f>
        <v>120</v>
      </c>
      <c r="GP40" s="17">
        <f>IF(Distances[[#This Row],[Colonne179]]=$G40,GO40,Distances[[#This Row],[Colonne179]]+1)</f>
        <v>120</v>
      </c>
      <c r="GQ40" s="17">
        <f>IF(Distances[[#This Row],[Colonne180]]=$G40,GP40,Distances[[#This Row],[Colonne180]]+1)</f>
        <v>120</v>
      </c>
      <c r="GR40" s="17">
        <f>IF(Distances[[#This Row],[Colonne181]]=$G40,GQ40,Distances[[#This Row],[Colonne181]]+1)</f>
        <v>120</v>
      </c>
      <c r="GS40" s="17">
        <f>IF(Distances[[#This Row],[Colonne182]]=$G40,GR40,Distances[[#This Row],[Colonne182]]+1)</f>
        <v>120</v>
      </c>
      <c r="GT40" s="17">
        <f>IF(Distances[[#This Row],[Colonne183]]=$G40,GS40,Distances[[#This Row],[Colonne183]]+1)</f>
        <v>120</v>
      </c>
      <c r="GU40" s="17">
        <f>IF(Distances[[#This Row],[Colonne184]]=$G40,GT40,Distances[[#This Row],[Colonne184]]+1)</f>
        <v>120</v>
      </c>
      <c r="GV40" s="17">
        <f>IF(Distances[[#This Row],[Colonne185]]=$G40,GU40,Distances[[#This Row],[Colonne185]]+1)</f>
        <v>120</v>
      </c>
      <c r="GW40" s="17">
        <f>IF(Distances[[#This Row],[Colonne186]]=$G40,GV40,Distances[[#This Row],[Colonne186]]+1)</f>
        <v>120</v>
      </c>
      <c r="GX40" s="17">
        <f>IF(Distances[[#This Row],[Colonne187]]=$G40,GW40,Distances[[#This Row],[Colonne187]]+1)</f>
        <v>120</v>
      </c>
      <c r="GY40" s="17">
        <f>IF(Distances[[#This Row],[Colonne188]]=$G40,GX40,Distances[[#This Row],[Colonne188]]+1)</f>
        <v>120</v>
      </c>
      <c r="GZ40" s="17">
        <f>IF(Distances[[#This Row],[Colonne189]]=$G40,GY40,Distances[[#This Row],[Colonne189]]+1)</f>
        <v>120</v>
      </c>
      <c r="HA40" s="17">
        <f>IF(Distances[[#This Row],[Colonne190]]=$G40,GZ40,Distances[[#This Row],[Colonne190]]+1)</f>
        <v>120</v>
      </c>
      <c r="HB40" s="17">
        <f>IF(Distances[[#This Row],[Colonne191]]=$G40,HA40,Distances[[#This Row],[Colonne191]]+1)</f>
        <v>120</v>
      </c>
      <c r="HC40" s="17">
        <f>IF(Distances[[#This Row],[Colonne192]]=$G40,HB40,Distances[[#This Row],[Colonne192]]+1)</f>
        <v>120</v>
      </c>
      <c r="HD40" s="17">
        <f>IF(Distances[[#This Row],[Colonne193]]=$G40,HC40,Distances[[#This Row],[Colonne193]]+1)</f>
        <v>120</v>
      </c>
      <c r="HE40" s="17">
        <f>IF(Distances[[#This Row],[Colonne194]]=$G40,HD40,Distances[[#This Row],[Colonne194]]+1)</f>
        <v>120</v>
      </c>
      <c r="HF40" s="17">
        <f>IF(Distances[[#This Row],[Colonne195]]=$G40,HE40,Distances[[#This Row],[Colonne195]]+1)</f>
        <v>120</v>
      </c>
      <c r="HG40" s="17">
        <f>IF(Distances[[#This Row],[Colonne196]]=$G40,HF40,Distances[[#This Row],[Colonne196]]+1)</f>
        <v>120</v>
      </c>
      <c r="HH40" s="17">
        <f>IF(Distances[[#This Row],[Colonne197]]=$G40,HG40,Distances[[#This Row],[Colonne197]]+1)</f>
        <v>120</v>
      </c>
      <c r="HI40" s="17">
        <f>IF(Distances[[#This Row],[Colonne198]]=$G40,HH40,Distances[[#This Row],[Colonne198]]+1)</f>
        <v>120</v>
      </c>
      <c r="HJ40" s="17">
        <f>IF(Distances[[#This Row],[Colonne199]]=$G40,HI40,Distances[[#This Row],[Colonne199]]+1)</f>
        <v>120</v>
      </c>
      <c r="HK40" s="17">
        <f>IF(Distances[[#This Row],[Colonne200]]=$G40,HJ40,Distances[[#This Row],[Colonne200]]+1)</f>
        <v>120</v>
      </c>
      <c r="HL40" s="17">
        <f>IF(Distances[[#This Row],[Colonne201]]=$G40,HK40,Distances[[#This Row],[Colonne201]]+1)</f>
        <v>120</v>
      </c>
      <c r="HM40" s="17">
        <f>IF(Distances[[#This Row],[Colonne202]]=$G40,HL40,Distances[[#This Row],[Colonne202]]+1)</f>
        <v>120</v>
      </c>
      <c r="HN40" s="17">
        <f>IF(Distances[[#This Row],[Colonne203]]=$G40,HM40,Distances[[#This Row],[Colonne203]]+1)</f>
        <v>120</v>
      </c>
      <c r="HO40" s="17">
        <f>IF(Distances[[#This Row],[Colonne204]]=$G40,HN40,Distances[[#This Row],[Colonne204]]+1)</f>
        <v>120</v>
      </c>
      <c r="HP40" s="17">
        <f>IF(Distances[[#This Row],[Colonne205]]=$G40,HO40,Distances[[#This Row],[Colonne205]]+1)</f>
        <v>120</v>
      </c>
      <c r="HQ40" s="17">
        <f>IF(Distances[[#This Row],[Colonne206]]=$G40,HP40,Distances[[#This Row],[Colonne206]]+1)</f>
        <v>120</v>
      </c>
      <c r="HR40" s="17">
        <f>IF(Distances[[#This Row],[Colonne207]]=$G40,HQ40,Distances[[#This Row],[Colonne207]]+1)</f>
        <v>120</v>
      </c>
      <c r="HS40" s="17">
        <f>IF(Distances[[#This Row],[Colonne208]]=$G40,HR40,Distances[[#This Row],[Colonne208]]+1)</f>
        <v>120</v>
      </c>
      <c r="HT40" s="17">
        <f>IF(Distances[[#This Row],[Colonne209]]=$G40,HS40,Distances[[#This Row],[Colonne209]]+1)</f>
        <v>120</v>
      </c>
      <c r="HU40" s="17">
        <f>IF(Distances[[#This Row],[Colonne210]]=$G40,HT40,Distances[[#This Row],[Colonne210]]+1)</f>
        <v>120</v>
      </c>
      <c r="HV40" s="17">
        <f>IF(Distances[[#This Row],[Colonne211]]=$G40,HU40,Distances[[#This Row],[Colonne211]]+1)</f>
        <v>120</v>
      </c>
      <c r="HW40" s="17">
        <f>IF(Distances[[#This Row],[Colonne212]]=$G40,HV40,Distances[[#This Row],[Colonne212]]+1)</f>
        <v>120</v>
      </c>
      <c r="HX40" s="17">
        <f>IF(Distances[[#This Row],[Colonne213]]=$G40,HW40,Distances[[#This Row],[Colonne213]]+1)</f>
        <v>120</v>
      </c>
      <c r="HY40" s="17">
        <f>IF(Distances[[#This Row],[Colonne214]]=$G40,HX40,Distances[[#This Row],[Colonne214]]+1)</f>
        <v>120</v>
      </c>
      <c r="HZ40" s="17">
        <f>IF(Distances[[#This Row],[Colonne215]]=$G40,HY40,Distances[[#This Row],[Colonne215]]+1)</f>
        <v>120</v>
      </c>
      <c r="IA40" s="17">
        <f>IF(Distances[[#This Row],[Colonne216]]=$G40,HZ40,Distances[[#This Row],[Colonne216]]+1)</f>
        <v>120</v>
      </c>
      <c r="IB40" s="17">
        <f>IF(Distances[[#This Row],[Colonne217]]=$G40,IA40,Distances[[#This Row],[Colonne217]]+1)</f>
        <v>120</v>
      </c>
      <c r="IC40" s="17">
        <f>IF(Distances[[#This Row],[Colonne218]]=$G40,IB40,Distances[[#This Row],[Colonne218]]+1)</f>
        <v>120</v>
      </c>
      <c r="ID40" s="17">
        <f>IF(Distances[[#This Row],[Colonne219]]=$G40,IC40,Distances[[#This Row],[Colonne219]]+1)</f>
        <v>120</v>
      </c>
      <c r="IE40" s="17">
        <f>IF(Distances[[#This Row],[Colonne220]]=$G40,ID40,Distances[[#This Row],[Colonne220]]+1)</f>
        <v>120</v>
      </c>
      <c r="IF40" s="17">
        <f>IF(Distances[[#This Row],[Colonne221]]=$G40,IE40,Distances[[#This Row],[Colonne221]]+1)</f>
        <v>120</v>
      </c>
      <c r="IG40" s="17">
        <f>IF(Distances[[#This Row],[Colonne222]]=$G40,IF40,Distances[[#This Row],[Colonne222]]+1)</f>
        <v>120</v>
      </c>
      <c r="IH40" s="17">
        <f>IF(Distances[[#This Row],[Colonne223]]=$G40,IG40,Distances[[#This Row],[Colonne223]]+1)</f>
        <v>120</v>
      </c>
      <c r="II40" s="17">
        <f>IF(Distances[[#This Row],[Colonne224]]=$G40,IH40,Distances[[#This Row],[Colonne224]]+1)</f>
        <v>120</v>
      </c>
      <c r="IJ40" s="17">
        <f>IF(Distances[[#This Row],[Colonne225]]=$G40,II40,Distances[[#This Row],[Colonne225]]+1)</f>
        <v>120</v>
      </c>
      <c r="IK40" s="17">
        <f>IF(Distances[[#This Row],[Colonne226]]=$G40,IJ40,Distances[[#This Row],[Colonne226]]+1)</f>
        <v>120</v>
      </c>
      <c r="IL40" s="17">
        <f>IF(Distances[[#This Row],[Colonne227]]=$G40,IK40,Distances[[#This Row],[Colonne227]]+1)</f>
        <v>120</v>
      </c>
      <c r="IM40" s="17">
        <f>IF(Distances[[#This Row],[Colonne228]]=$G40,IL40,Distances[[#This Row],[Colonne228]]+1)</f>
        <v>120</v>
      </c>
      <c r="IN40" s="17">
        <f>IF(Distances[[#This Row],[Colonne229]]=$G40,IM40,Distances[[#This Row],[Colonne229]]+1)</f>
        <v>120</v>
      </c>
      <c r="IO40" s="17">
        <f>IF(Distances[[#This Row],[Colonne230]]=$G40,IN40,Distances[[#This Row],[Colonne230]]+1)</f>
        <v>120</v>
      </c>
      <c r="IP40" s="17">
        <f>IF(Distances[[#This Row],[Colonne231]]=$G40,IO40,Distances[[#This Row],[Colonne231]]+1)</f>
        <v>120</v>
      </c>
      <c r="IQ40" s="17">
        <f>IF(Distances[[#This Row],[Colonne232]]=$G40,IP40,Distances[[#This Row],[Colonne232]]+1)</f>
        <v>120</v>
      </c>
      <c r="IR40" s="17">
        <f>IF(Distances[[#This Row],[Colonne233]]=$G40,IQ40,Distances[[#This Row],[Colonne233]]+1)</f>
        <v>120</v>
      </c>
      <c r="IS40" s="17">
        <f>IF(Distances[[#This Row],[Colonne234]]=$G40,IR40,Distances[[#This Row],[Colonne234]]+1)</f>
        <v>120</v>
      </c>
      <c r="IT40" s="17">
        <f>IF(Distances[[#This Row],[Colonne235]]=$G40,IS40,Distances[[#This Row],[Colonne235]]+1)</f>
        <v>120</v>
      </c>
      <c r="IU40" s="17">
        <f>IF(Distances[[#This Row],[Colonne236]]=$G40,IT40,Distances[[#This Row],[Colonne236]]+1)</f>
        <v>120</v>
      </c>
      <c r="IV40" s="17">
        <f>IF(Distances[[#This Row],[Colonne237]]=$G40,IU40,Distances[[#This Row],[Colonne237]]+1)</f>
        <v>120</v>
      </c>
      <c r="IW40" s="17">
        <f>IF(Distances[[#This Row],[Colonne238]]=$G40,IV40,Distances[[#This Row],[Colonne238]]+1)</f>
        <v>120</v>
      </c>
      <c r="IX40" s="17">
        <f>IF(Distances[[#This Row],[Colonne239]]=$G40,IW40,Distances[[#This Row],[Colonne239]]+1)</f>
        <v>120</v>
      </c>
      <c r="IY40" s="17">
        <f>IF(Distances[[#This Row],[Colonne240]]=$G40,IX40,Distances[[#This Row],[Colonne240]]+1)</f>
        <v>120</v>
      </c>
      <c r="IZ40" s="17">
        <f>IF(Distances[[#This Row],[Colonne241]]=$G40,IY40,Distances[[#This Row],[Colonne241]]+1)</f>
        <v>120</v>
      </c>
      <c r="JA40" s="17">
        <f>IF(Distances[[#This Row],[Colonne242]]=$G40,IZ40,Distances[[#This Row],[Colonne242]]+1)</f>
        <v>120</v>
      </c>
      <c r="JB40" s="17">
        <f>IF(Distances[[#This Row],[Colonne243]]=$G40,JA40,Distances[[#This Row],[Colonne243]]+1)</f>
        <v>120</v>
      </c>
      <c r="JC40" s="17">
        <f>IF(Distances[[#This Row],[Colonne244]]=$G40,JB40,Distances[[#This Row],[Colonne244]]+1)</f>
        <v>120</v>
      </c>
      <c r="JD40" s="17">
        <f>IF(Distances[[#This Row],[Colonne245]]=$G40,JC40,Distances[[#This Row],[Colonne245]]+1)</f>
        <v>120</v>
      </c>
      <c r="JE40" s="17">
        <f>IF(Distances[[#This Row],[Colonne246]]=$G40,JD40,Distances[[#This Row],[Colonne246]]+1)</f>
        <v>120</v>
      </c>
      <c r="JF40" s="17">
        <f>IF(Distances[[#This Row],[Colonne247]]=$G40,JE40,Distances[[#This Row],[Colonne247]]+1)</f>
        <v>120</v>
      </c>
      <c r="JG40" s="17">
        <f>IF(Distances[[#This Row],[Colonne248]]=$G40,JF40,Distances[[#This Row],[Colonne248]]+1)</f>
        <v>120</v>
      </c>
      <c r="JH40" s="17">
        <f>IF(Distances[[#This Row],[Colonne249]]=$G40,JG40,Distances[[#This Row],[Colonne249]]+1)</f>
        <v>120</v>
      </c>
      <c r="JI40" s="17">
        <f>IF(Distances[[#This Row],[Colonne250]]=$G40,JH40,Distances[[#This Row],[Colonne250]]+1)</f>
        <v>120</v>
      </c>
      <c r="JJ40" s="17">
        <f>IF(Distances[[#This Row],[Colonne251]]=$G40,JI40,Distances[[#This Row],[Colonne251]]+1)</f>
        <v>120</v>
      </c>
      <c r="JK40" s="17">
        <f>IF(Distances[[#This Row],[Colonne252]]=$G40,JJ40,Distances[[#This Row],[Colonne252]]+1)</f>
        <v>120</v>
      </c>
      <c r="JL40" s="17">
        <f>IF(Distances[[#This Row],[Colonne253]]=$G40,JK40,Distances[[#This Row],[Colonne253]]+1)</f>
        <v>120</v>
      </c>
      <c r="JM40" s="17">
        <f>IF(Distances[[#This Row],[Colonne254]]=$G40,JL40,Distances[[#This Row],[Colonne254]]+1)</f>
        <v>120</v>
      </c>
      <c r="JN40" s="17">
        <f>IF(Distances[[#This Row],[Colonne255]]=$G40,JM40,Distances[[#This Row],[Colonne255]]+1)</f>
        <v>120</v>
      </c>
      <c r="JO40" s="17">
        <f>IF(Distances[[#This Row],[Colonne256]]=$G40,JN40,Distances[[#This Row],[Colonne256]]+1)</f>
        <v>120</v>
      </c>
      <c r="JP40" s="17">
        <f>IF(Distances[[#This Row],[Colonne257]]=$G40,JO40,Distances[[#This Row],[Colonne257]]+1)</f>
        <v>120</v>
      </c>
      <c r="JQ40" s="17">
        <f>IF(Distances[[#This Row],[Colonne258]]=$G40,JP40,Distances[[#This Row],[Colonne258]]+1)</f>
        <v>120</v>
      </c>
      <c r="JR40" s="17">
        <f>IF(Distances[[#This Row],[Colonne259]]=$G40,JQ40,Distances[[#This Row],[Colonne259]]+1)</f>
        <v>120</v>
      </c>
      <c r="JS40" s="17">
        <f>IF(Distances[[#This Row],[Colonne260]]=$G40,JR40,Distances[[#This Row],[Colonne260]]+1)</f>
        <v>120</v>
      </c>
      <c r="JT40" s="17">
        <f>IF(Distances[[#This Row],[Colonne261]]=$G40,JS40,Distances[[#This Row],[Colonne261]]+1)</f>
        <v>120</v>
      </c>
      <c r="JU40" s="17">
        <f>IF(Distances[[#This Row],[Colonne262]]=$G40,JT40,Distances[[#This Row],[Colonne262]]+1)</f>
        <v>120</v>
      </c>
      <c r="JV40" s="17">
        <f>IF(Distances[[#This Row],[Colonne263]]=$G40,JU40,Distances[[#This Row],[Colonne263]]+1)</f>
        <v>120</v>
      </c>
      <c r="JW40" s="17">
        <f>IF(Distances[[#This Row],[Colonne264]]=$G40,JV40,Distances[[#This Row],[Colonne264]]+1)</f>
        <v>120</v>
      </c>
      <c r="JX40" s="17">
        <f>IF(Distances[[#This Row],[Colonne265]]=$G40,JW40,Distances[[#This Row],[Colonne265]]+1)</f>
        <v>120</v>
      </c>
      <c r="JY40" s="17">
        <f>IF(Distances[[#This Row],[Colonne266]]=$G40,JX40,Distances[[#This Row],[Colonne266]]+1)</f>
        <v>120</v>
      </c>
      <c r="JZ40" s="17">
        <f>IF(Distances[[#This Row],[Colonne267]]=$G40,JY40,Distances[[#This Row],[Colonne267]]+1)</f>
        <v>120</v>
      </c>
      <c r="KA40" s="17">
        <f>IF(Distances[[#This Row],[Colonne268]]=$G40,JZ40,Distances[[#This Row],[Colonne268]]+1)</f>
        <v>120</v>
      </c>
      <c r="KB40" s="17">
        <f>IF(Distances[[#This Row],[Colonne269]]=$G40,KA40,Distances[[#This Row],[Colonne269]]+1)</f>
        <v>120</v>
      </c>
      <c r="KC40" s="17">
        <f>IF(Distances[[#This Row],[Colonne270]]=$G40,KB40,Distances[[#This Row],[Colonne270]]+1)</f>
        <v>120</v>
      </c>
      <c r="KD40" s="17">
        <f>IF(Distances[[#This Row],[Colonne271]]=$G40,KC40,Distances[[#This Row],[Colonne271]]+1)</f>
        <v>120</v>
      </c>
      <c r="KE40" s="17">
        <f>IF(Distances[[#This Row],[Colonne272]]=$G40,KD40,Distances[[#This Row],[Colonne272]]+1)</f>
        <v>120</v>
      </c>
      <c r="KF40" s="17">
        <f>IF(Distances[[#This Row],[Colonne273]]=$G40,KE40,Distances[[#This Row],[Colonne273]]+1)</f>
        <v>120</v>
      </c>
      <c r="KG40" s="17">
        <f>IF(Distances[[#This Row],[Colonne274]]=$G40,KF40,Distances[[#This Row],[Colonne274]]+1)</f>
        <v>120</v>
      </c>
      <c r="KH40" s="17">
        <f>IF(Distances[[#This Row],[Colonne275]]=$G40,KG40,Distances[[#This Row],[Colonne275]]+1)</f>
        <v>120</v>
      </c>
      <c r="KI40" s="17">
        <f>IF(Distances[[#This Row],[Colonne276]]=$G40,KH40,Distances[[#This Row],[Colonne276]]+1)</f>
        <v>120</v>
      </c>
      <c r="KJ40" s="17">
        <f>IF(Distances[[#This Row],[Colonne277]]=$G40,KI40,Distances[[#This Row],[Colonne277]]+1)</f>
        <v>120</v>
      </c>
      <c r="KK40" s="17">
        <f>IF(Distances[[#This Row],[Colonne278]]=$G40,KJ40,Distances[[#This Row],[Colonne278]]+1)</f>
        <v>120</v>
      </c>
      <c r="KL40" s="17">
        <f>IF(Distances[[#This Row],[Colonne279]]=$G40,KK40,Distances[[#This Row],[Colonne279]]+1)</f>
        <v>120</v>
      </c>
      <c r="KM40" s="17">
        <f>IF(Distances[[#This Row],[Colonne280]]=$G40,KL40,Distances[[#This Row],[Colonne280]]+1)</f>
        <v>120</v>
      </c>
      <c r="KN40" s="17">
        <f>IF(Distances[[#This Row],[Colonne281]]=$G40,KM40,Distances[[#This Row],[Colonne281]]+1)</f>
        <v>120</v>
      </c>
      <c r="KO40" s="17">
        <f>IF(Distances[[#This Row],[Colonne282]]=$G40,KN40,Distances[[#This Row],[Colonne282]]+1)</f>
        <v>120</v>
      </c>
      <c r="KP40" s="17">
        <f>IF(Distances[[#This Row],[Colonne283]]=$G40,KO40,Distances[[#This Row],[Colonne283]]+1)</f>
        <v>120</v>
      </c>
      <c r="KQ40" s="17">
        <f>IF(Distances[[#This Row],[Colonne284]]=$G40,KP40,Distances[[#This Row],[Colonne284]]+1)</f>
        <v>120</v>
      </c>
      <c r="KR40" s="17">
        <f>IF(Distances[[#This Row],[Colonne285]]=$G40,KQ40,Distances[[#This Row],[Colonne285]]+1)</f>
        <v>120</v>
      </c>
      <c r="KS40" s="17">
        <f>IF(Distances[[#This Row],[Colonne286]]=$G40,KR40,Distances[[#This Row],[Colonne286]]+1)</f>
        <v>120</v>
      </c>
      <c r="KT40" s="17">
        <f>IF(Distances[[#This Row],[Colonne287]]=$G40,KS40,Distances[[#This Row],[Colonne287]]+1)</f>
        <v>120</v>
      </c>
      <c r="KU40" s="17">
        <f>IF(Distances[[#This Row],[Colonne288]]=$G40,KT40,Distances[[#This Row],[Colonne288]]+1)</f>
        <v>120</v>
      </c>
      <c r="KV40" s="17">
        <f>IF(Distances[[#This Row],[Colonne289]]=$G40,KU40,Distances[[#This Row],[Colonne289]]+1)</f>
        <v>120</v>
      </c>
      <c r="KW40" s="17">
        <f>IF(Distances[[#This Row],[Colonne290]]=$G40,KV40,Distances[[#This Row],[Colonne290]]+1)</f>
        <v>120</v>
      </c>
      <c r="KX40" s="17">
        <f>IF(Distances[[#This Row],[Colonne291]]=$G40,KW40,Distances[[#This Row],[Colonne291]]+1)</f>
        <v>120</v>
      </c>
      <c r="KY40" s="17">
        <f>IF(Distances[[#This Row],[Colonne292]]=$G40,KX40,Distances[[#This Row],[Colonne292]]+1)</f>
        <v>120</v>
      </c>
      <c r="KZ40" s="17">
        <f>IF(Distances[[#This Row],[Colonne293]]=$G40,KY40,Distances[[#This Row],[Colonne293]]+1)</f>
        <v>120</v>
      </c>
      <c r="LA40" s="17">
        <f>IF(Distances[[#This Row],[Colonne294]]=$G40,KZ40,Distances[[#This Row],[Colonne294]]+1)</f>
        <v>120</v>
      </c>
      <c r="LB40" s="17">
        <f>IF(Distances[[#This Row],[Colonne295]]=$G40,LA40,Distances[[#This Row],[Colonne295]]+1)</f>
        <v>120</v>
      </c>
      <c r="LC40" s="17">
        <f>IF(Distances[[#This Row],[Colonne296]]=$G40,LB40,Distances[[#This Row],[Colonne296]]+1)</f>
        <v>120</v>
      </c>
      <c r="LD40" s="17">
        <f>IF(Distances[[#This Row],[Colonne297]]=$G40,LC40,Distances[[#This Row],[Colonne297]]+1)</f>
        <v>120</v>
      </c>
      <c r="LE40" s="17">
        <f>IF(Distances[[#This Row],[Colonne298]]=$G40,LD40,Distances[[#This Row],[Colonne298]]+1)</f>
        <v>120</v>
      </c>
      <c r="LF40" s="17">
        <f>IF(Distances[[#This Row],[Colonne299]]=$G40,LE40,Distances[[#This Row],[Colonne299]]+1)</f>
        <v>120</v>
      </c>
      <c r="LG40" s="17">
        <f>IF(Distances[[#This Row],[Colonne300]]=$G40,LF40,Distances[[#This Row],[Colonne300]]+1)</f>
        <v>120</v>
      </c>
      <c r="LH40" s="17">
        <f>IF(Distances[[#This Row],[Colonne301]]=$G40,LG40,Distances[[#This Row],[Colonne301]]+1)</f>
        <v>120</v>
      </c>
      <c r="LI40" s="17">
        <f>IF(Distances[[#This Row],[Colonne302]]=$G40,LH40,Distances[[#This Row],[Colonne302]]+1)</f>
        <v>120</v>
      </c>
      <c r="LJ40" s="17">
        <f>IF(Distances[[#This Row],[Colonne303]]=$G40,LI40,Distances[[#This Row],[Colonne303]]+1)</f>
        <v>120</v>
      </c>
      <c r="LK40" s="51"/>
      <c r="LL40" s="17">
        <f t="shared" ref="LL40:NW40" si="80">IF(LK40=$H40,LK40,LK40+1)</f>
        <v>1</v>
      </c>
      <c r="LM40" s="17">
        <f t="shared" si="80"/>
        <v>2</v>
      </c>
      <c r="LN40" s="17">
        <f t="shared" si="80"/>
        <v>3</v>
      </c>
      <c r="LO40" s="17">
        <f t="shared" si="80"/>
        <v>4</v>
      </c>
      <c r="LP40" s="17">
        <f t="shared" si="80"/>
        <v>5</v>
      </c>
      <c r="LQ40" s="17">
        <f t="shared" si="80"/>
        <v>6</v>
      </c>
      <c r="LR40" s="17">
        <f t="shared" si="80"/>
        <v>7</v>
      </c>
      <c r="LS40" s="17">
        <f t="shared" si="80"/>
        <v>8</v>
      </c>
      <c r="LT40" s="17">
        <f t="shared" si="80"/>
        <v>9</v>
      </c>
      <c r="LU40" s="17">
        <f t="shared" si="80"/>
        <v>10</v>
      </c>
      <c r="LV40" s="17">
        <f t="shared" si="80"/>
        <v>11</v>
      </c>
      <c r="LW40" s="17">
        <f t="shared" si="80"/>
        <v>12</v>
      </c>
      <c r="LX40" s="17">
        <f t="shared" si="80"/>
        <v>13</v>
      </c>
      <c r="LY40" s="17">
        <f t="shared" si="80"/>
        <v>14</v>
      </c>
      <c r="LZ40" s="17">
        <f t="shared" si="80"/>
        <v>15</v>
      </c>
      <c r="MA40" s="17">
        <f t="shared" si="80"/>
        <v>16</v>
      </c>
      <c r="MB40" s="17">
        <f t="shared" si="80"/>
        <v>17</v>
      </c>
      <c r="MC40" s="17">
        <f t="shared" si="80"/>
        <v>18</v>
      </c>
      <c r="MD40" s="17">
        <f t="shared" si="80"/>
        <v>19</v>
      </c>
      <c r="ME40" s="17">
        <f t="shared" si="80"/>
        <v>20</v>
      </c>
      <c r="MF40" s="17">
        <f t="shared" si="80"/>
        <v>21</v>
      </c>
      <c r="MG40" s="17">
        <f t="shared" si="80"/>
        <v>22</v>
      </c>
      <c r="MH40" s="17">
        <f t="shared" si="80"/>
        <v>23</v>
      </c>
      <c r="MI40" s="17">
        <f t="shared" si="80"/>
        <v>24</v>
      </c>
      <c r="MJ40" s="17">
        <f t="shared" si="80"/>
        <v>25</v>
      </c>
      <c r="MK40" s="17">
        <f t="shared" si="80"/>
        <v>26</v>
      </c>
      <c r="ML40" s="17">
        <f t="shared" si="80"/>
        <v>27</v>
      </c>
      <c r="MM40" s="17">
        <f t="shared" si="80"/>
        <v>28</v>
      </c>
      <c r="MN40" s="17">
        <f t="shared" si="80"/>
        <v>29</v>
      </c>
      <c r="MO40" s="17">
        <f t="shared" si="80"/>
        <v>30</v>
      </c>
      <c r="MP40" s="17">
        <f t="shared" si="80"/>
        <v>30</v>
      </c>
      <c r="MQ40" s="17">
        <f t="shared" si="80"/>
        <v>30</v>
      </c>
      <c r="MR40" s="17">
        <f t="shared" si="80"/>
        <v>30</v>
      </c>
      <c r="MS40" s="17">
        <f t="shared" si="80"/>
        <v>30</v>
      </c>
      <c r="MT40" s="17">
        <f t="shared" si="80"/>
        <v>30</v>
      </c>
      <c r="MU40" s="17">
        <f t="shared" si="80"/>
        <v>30</v>
      </c>
      <c r="MV40" s="17">
        <f t="shared" si="80"/>
        <v>30</v>
      </c>
      <c r="MW40" s="17">
        <f t="shared" si="80"/>
        <v>30</v>
      </c>
      <c r="MX40" s="17">
        <f t="shared" si="80"/>
        <v>30</v>
      </c>
      <c r="MY40" s="17">
        <f t="shared" si="80"/>
        <v>30</v>
      </c>
      <c r="MZ40" s="17">
        <f t="shared" si="80"/>
        <v>30</v>
      </c>
      <c r="NA40" s="17">
        <f t="shared" si="80"/>
        <v>30</v>
      </c>
      <c r="NB40" s="17">
        <f t="shared" si="80"/>
        <v>30</v>
      </c>
      <c r="NC40" s="17">
        <f t="shared" si="80"/>
        <v>30</v>
      </c>
      <c r="ND40" s="17">
        <f t="shared" si="80"/>
        <v>30</v>
      </c>
      <c r="NE40" s="17">
        <f t="shared" si="80"/>
        <v>30</v>
      </c>
      <c r="NF40" s="17">
        <f t="shared" si="80"/>
        <v>30</v>
      </c>
      <c r="NG40" s="17">
        <f t="shared" si="80"/>
        <v>30</v>
      </c>
      <c r="NH40" s="17">
        <f t="shared" si="80"/>
        <v>30</v>
      </c>
      <c r="NI40" s="17">
        <f t="shared" si="80"/>
        <v>30</v>
      </c>
      <c r="NJ40" s="17">
        <f t="shared" si="80"/>
        <v>30</v>
      </c>
      <c r="NK40" s="17">
        <f t="shared" si="80"/>
        <v>30</v>
      </c>
      <c r="NL40" s="17">
        <f t="shared" si="80"/>
        <v>30</v>
      </c>
      <c r="NM40" s="17">
        <f t="shared" si="80"/>
        <v>30</v>
      </c>
      <c r="NN40" s="17">
        <f t="shared" si="80"/>
        <v>30</v>
      </c>
      <c r="NO40" s="17">
        <f t="shared" si="80"/>
        <v>30</v>
      </c>
      <c r="NP40" s="17">
        <f t="shared" si="80"/>
        <v>30</v>
      </c>
      <c r="NQ40" s="17">
        <f t="shared" si="80"/>
        <v>30</v>
      </c>
      <c r="NR40" s="17">
        <f t="shared" si="80"/>
        <v>30</v>
      </c>
      <c r="NS40" s="17">
        <f t="shared" si="80"/>
        <v>30</v>
      </c>
      <c r="NT40" s="17">
        <f t="shared" si="80"/>
        <v>30</v>
      </c>
      <c r="NU40" s="17">
        <f t="shared" si="80"/>
        <v>30</v>
      </c>
      <c r="NV40" s="17">
        <f t="shared" si="80"/>
        <v>30</v>
      </c>
      <c r="NW40" s="17">
        <f t="shared" si="80"/>
        <v>30</v>
      </c>
      <c r="NX40" s="17">
        <f t="shared" ref="NX40:PG40" si="81">IF(NW40=$H40,NW40,NW40+1)</f>
        <v>30</v>
      </c>
      <c r="NY40" s="17">
        <f t="shared" si="81"/>
        <v>30</v>
      </c>
      <c r="NZ40" s="17">
        <f t="shared" si="81"/>
        <v>30</v>
      </c>
      <c r="OA40" s="17">
        <f t="shared" si="81"/>
        <v>30</v>
      </c>
      <c r="OB40" s="17">
        <f t="shared" si="81"/>
        <v>30</v>
      </c>
      <c r="OC40" s="17">
        <f t="shared" si="81"/>
        <v>30</v>
      </c>
      <c r="OD40" s="17">
        <f t="shared" si="81"/>
        <v>30</v>
      </c>
      <c r="OE40" s="17">
        <f t="shared" si="81"/>
        <v>30</v>
      </c>
      <c r="OF40" s="17">
        <f t="shared" si="81"/>
        <v>30</v>
      </c>
      <c r="OG40" s="17">
        <f t="shared" si="81"/>
        <v>30</v>
      </c>
      <c r="OH40" s="17">
        <f t="shared" si="81"/>
        <v>30</v>
      </c>
      <c r="OI40" s="17">
        <f t="shared" si="81"/>
        <v>30</v>
      </c>
      <c r="OJ40" s="17">
        <f t="shared" si="81"/>
        <v>30</v>
      </c>
      <c r="OK40" s="17">
        <f t="shared" si="81"/>
        <v>30</v>
      </c>
      <c r="OL40" s="17">
        <f t="shared" si="81"/>
        <v>30</v>
      </c>
      <c r="OM40" s="17">
        <f t="shared" si="81"/>
        <v>30</v>
      </c>
      <c r="ON40" s="17">
        <f t="shared" si="81"/>
        <v>30</v>
      </c>
      <c r="OO40" s="17">
        <f t="shared" si="81"/>
        <v>30</v>
      </c>
      <c r="OP40" s="17">
        <f t="shared" si="81"/>
        <v>30</v>
      </c>
      <c r="OQ40" s="17">
        <f t="shared" si="81"/>
        <v>30</v>
      </c>
      <c r="OR40" s="17">
        <f t="shared" si="81"/>
        <v>30</v>
      </c>
      <c r="OS40" s="17">
        <f t="shared" si="81"/>
        <v>30</v>
      </c>
      <c r="OT40" s="17">
        <f t="shared" si="81"/>
        <v>30</v>
      </c>
      <c r="OU40" s="17">
        <f t="shared" si="81"/>
        <v>30</v>
      </c>
      <c r="OV40" s="17">
        <f t="shared" si="81"/>
        <v>30</v>
      </c>
      <c r="OW40" s="17">
        <f t="shared" si="81"/>
        <v>30</v>
      </c>
      <c r="OX40" s="17">
        <f t="shared" si="81"/>
        <v>30</v>
      </c>
      <c r="OY40" s="17">
        <f t="shared" si="81"/>
        <v>30</v>
      </c>
      <c r="OZ40" s="17">
        <f t="shared" si="81"/>
        <v>30</v>
      </c>
      <c r="PA40" s="17">
        <f t="shared" si="81"/>
        <v>30</v>
      </c>
      <c r="PB40" s="17">
        <f t="shared" si="81"/>
        <v>30</v>
      </c>
      <c r="PC40" s="17">
        <f t="shared" si="81"/>
        <v>30</v>
      </c>
      <c r="PD40" s="17">
        <f t="shared" si="81"/>
        <v>30</v>
      </c>
      <c r="PE40" s="17">
        <f t="shared" si="81"/>
        <v>30</v>
      </c>
      <c r="PF40" s="17">
        <f t="shared" si="81"/>
        <v>30</v>
      </c>
      <c r="PG40" s="17">
        <f t="shared" si="81"/>
        <v>30</v>
      </c>
    </row>
    <row r="41" spans="1:423" x14ac:dyDescent="0.25">
      <c r="A41" s="8" t="s">
        <v>5509</v>
      </c>
      <c r="B41" s="9" t="s">
        <v>5504</v>
      </c>
      <c r="C41" s="9" t="str">
        <f t="shared" si="72"/>
        <v>LR2</v>
      </c>
      <c r="D41" s="1" t="str">
        <f t="shared" si="73"/>
        <v>Libre R2</v>
      </c>
      <c r="E41" s="1" t="s">
        <v>15</v>
      </c>
      <c r="F41" s="9" t="s">
        <v>5508</v>
      </c>
      <c r="G41" s="9">
        <v>80</v>
      </c>
      <c r="H41" s="9">
        <v>35</v>
      </c>
      <c r="I41" s="127">
        <v>2.8</v>
      </c>
      <c r="J41" s="30" t="s">
        <v>5511</v>
      </c>
      <c r="K41" s="281"/>
      <c r="L41" s="8">
        <v>2.2999999999999998</v>
      </c>
      <c r="M41" s="9">
        <v>2.2999999999999998</v>
      </c>
      <c r="N41" s="10">
        <v>3.9990000000000001</v>
      </c>
      <c r="O41" s="269"/>
      <c r="P41" s="331"/>
      <c r="Q41" s="335"/>
      <c r="R41" s="128">
        <v>1</v>
      </c>
      <c r="S41" s="9">
        <v>1</v>
      </c>
      <c r="T41" s="10">
        <v>2</v>
      </c>
      <c r="U41" t="s">
        <v>5523</v>
      </c>
      <c r="V41" s="17">
        <v>0</v>
      </c>
      <c r="W41" s="17">
        <f>IF(Distances[[#This Row],[Colonne4]]=$G41,V41,Distances[[#This Row],[Colonne4]]+1)</f>
        <v>1</v>
      </c>
      <c r="X41" s="17">
        <f>IF(Distances[[#This Row],[Colonne5]]=$G41,W41,Distances[[#This Row],[Colonne5]]+1)</f>
        <v>2</v>
      </c>
      <c r="Y41" s="17">
        <f>IF(Distances[[#This Row],[Colonne6]]=$G41,X41,Distances[[#This Row],[Colonne6]]+1)</f>
        <v>3</v>
      </c>
      <c r="Z41" s="17">
        <f>IF(Distances[[#This Row],[Colonne7]]=$G41,Y41,Distances[[#This Row],[Colonne7]]+1)</f>
        <v>4</v>
      </c>
      <c r="AA41" s="17">
        <f>IF(Distances[[#This Row],[Colonne8]]=$G41,Z41,Distances[[#This Row],[Colonne8]]+1)</f>
        <v>5</v>
      </c>
      <c r="AB41" s="17">
        <f>IF(Distances[[#This Row],[Colonne9]]=$G41,AA41,Distances[[#This Row],[Colonne9]]+1)</f>
        <v>6</v>
      </c>
      <c r="AC41" s="17">
        <f>IF(Distances[[#This Row],[Colonne10]]=$G41,AB41,Distances[[#This Row],[Colonne10]]+1)</f>
        <v>7</v>
      </c>
      <c r="AD41" s="17">
        <f>IF(Distances[[#This Row],[Colonne11]]=$G41,AC41,Distances[[#This Row],[Colonne11]]+1)</f>
        <v>8</v>
      </c>
      <c r="AE41" s="17">
        <f>IF(Distances[[#This Row],[Colonne12]]=$G41,AD41,Distances[[#This Row],[Colonne12]]+1)</f>
        <v>9</v>
      </c>
      <c r="AF41" s="17">
        <f>IF(Distances[[#This Row],[Colonne13]]=$G41,AE41,Distances[[#This Row],[Colonne13]]+1)</f>
        <v>10</v>
      </c>
      <c r="AG41" s="17">
        <f>IF(Distances[[#This Row],[Colonne14]]=$G41,AF41,Distances[[#This Row],[Colonne14]]+1)</f>
        <v>11</v>
      </c>
      <c r="AH41" s="17">
        <f>IF(Distances[[#This Row],[Colonne15]]=$G41,AG41,Distances[[#This Row],[Colonne15]]+1)</f>
        <v>12</v>
      </c>
      <c r="AI41" s="17">
        <f>IF(Distances[[#This Row],[Colonne16]]=$G41,AH41,Distances[[#This Row],[Colonne16]]+1)</f>
        <v>13</v>
      </c>
      <c r="AJ41" s="17">
        <f>IF(Distances[[#This Row],[Colonne17]]=$G41,AI41,Distances[[#This Row],[Colonne17]]+1)</f>
        <v>14</v>
      </c>
      <c r="AK41" s="17">
        <f>IF(Distances[[#This Row],[Colonne18]]=$G41,AJ41,Distances[[#This Row],[Colonne18]]+1)</f>
        <v>15</v>
      </c>
      <c r="AL41" s="17">
        <f>IF(Distances[[#This Row],[Colonne19]]=$G41,AK41,Distances[[#This Row],[Colonne19]]+1)</f>
        <v>16</v>
      </c>
      <c r="AM41" s="17">
        <f>IF(Distances[[#This Row],[Colonne20]]=$G41,AL41,Distances[[#This Row],[Colonne20]]+1)</f>
        <v>17</v>
      </c>
      <c r="AN41" s="17">
        <f>IF(Distances[[#This Row],[Colonne21]]=$G41,AM41,Distances[[#This Row],[Colonne21]]+1)</f>
        <v>18</v>
      </c>
      <c r="AO41" s="17">
        <f>IF(Distances[[#This Row],[Colonne22]]=$G41,AN41,Distances[[#This Row],[Colonne22]]+1)</f>
        <v>19</v>
      </c>
      <c r="AP41" s="17">
        <f>IF(Distances[[#This Row],[Colonne23]]=$G41,AO41,Distances[[#This Row],[Colonne23]]+1)</f>
        <v>20</v>
      </c>
      <c r="AQ41" s="17">
        <f>IF(Distances[[#This Row],[Colonne24]]=$G41,AP41,Distances[[#This Row],[Colonne24]]+1)</f>
        <v>21</v>
      </c>
      <c r="AR41" s="17">
        <f>IF(Distances[[#This Row],[Colonne25]]=$G41,AQ41,Distances[[#This Row],[Colonne25]]+1)</f>
        <v>22</v>
      </c>
      <c r="AS41" s="17">
        <f>IF(Distances[[#This Row],[Colonne26]]=$G41,AR41,Distances[[#This Row],[Colonne26]]+1)</f>
        <v>23</v>
      </c>
      <c r="AT41" s="17">
        <f>IF(Distances[[#This Row],[Colonne27]]=$G41,AS41,Distances[[#This Row],[Colonne27]]+1)</f>
        <v>24</v>
      </c>
      <c r="AU41" s="17">
        <f>IF(Distances[[#This Row],[Colonne28]]=$G41,AT41,Distances[[#This Row],[Colonne28]]+1)</f>
        <v>25</v>
      </c>
      <c r="AV41" s="17">
        <f>IF(Distances[[#This Row],[Colonne29]]=$G41,AU41,Distances[[#This Row],[Colonne29]]+1)</f>
        <v>26</v>
      </c>
      <c r="AW41" s="17">
        <f>IF(Distances[[#This Row],[Colonne30]]=$G41,AV41,Distances[[#This Row],[Colonne30]]+1)</f>
        <v>27</v>
      </c>
      <c r="AX41" s="17">
        <f>IF(Distances[[#This Row],[Colonne31]]=$G41,AW41,Distances[[#This Row],[Colonne31]]+1)</f>
        <v>28</v>
      </c>
      <c r="AY41" s="17">
        <f>IF(Distances[[#This Row],[Colonne32]]=$G41,AX41,Distances[[#This Row],[Colonne32]]+1)</f>
        <v>29</v>
      </c>
      <c r="AZ41" s="17">
        <f>IF(Distances[[#This Row],[Colonne33]]=$G41,AY41,Distances[[#This Row],[Colonne33]]+1)</f>
        <v>30</v>
      </c>
      <c r="BA41" s="17">
        <f>IF(Distances[[#This Row],[Colonne34]]=$G41,AZ41,Distances[[#This Row],[Colonne34]]+1)</f>
        <v>31</v>
      </c>
      <c r="BB41" s="17">
        <f>IF(Distances[[#This Row],[Colonne35]]=$G41,BA41,Distances[[#This Row],[Colonne35]]+1)</f>
        <v>32</v>
      </c>
      <c r="BC41" s="17">
        <f>IF(Distances[[#This Row],[Colonne36]]=$G41,BB41,Distances[[#This Row],[Colonne36]]+1)</f>
        <v>33</v>
      </c>
      <c r="BD41" s="17">
        <f>IF(Distances[[#This Row],[Colonne37]]=$G41,BC41,Distances[[#This Row],[Colonne37]]+1)</f>
        <v>34</v>
      </c>
      <c r="BE41" s="17">
        <f>IF(Distances[[#This Row],[Colonne38]]=$G41,BD41,Distances[[#This Row],[Colonne38]]+1)</f>
        <v>35</v>
      </c>
      <c r="BF41" s="17">
        <f>IF(Distances[[#This Row],[Colonne39]]=$G41,BE41,Distances[[#This Row],[Colonne39]]+1)</f>
        <v>36</v>
      </c>
      <c r="BG41" s="17">
        <f>IF(Distances[[#This Row],[Colonne40]]=$G41,BF41,Distances[[#This Row],[Colonne40]]+1)</f>
        <v>37</v>
      </c>
      <c r="BH41" s="17">
        <f>IF(Distances[[#This Row],[Colonne41]]=$G41,BG41,Distances[[#This Row],[Colonne41]]+1)</f>
        <v>38</v>
      </c>
      <c r="BI41" s="17">
        <f>IF(Distances[[#This Row],[Colonne42]]=$G41,BH41,Distances[[#This Row],[Colonne42]]+1)</f>
        <v>39</v>
      </c>
      <c r="BJ41" s="17">
        <f>IF(Distances[[#This Row],[Colonne43]]=$G41,BI41,Distances[[#This Row],[Colonne43]]+1)</f>
        <v>40</v>
      </c>
      <c r="BK41" s="17">
        <f>IF(Distances[[#This Row],[Colonne44]]=$G41,BJ41,Distances[[#This Row],[Colonne44]]+1)</f>
        <v>41</v>
      </c>
      <c r="BL41" s="17">
        <f>IF(Distances[[#This Row],[Colonne45]]=$G41,BK41,Distances[[#This Row],[Colonne45]]+1)</f>
        <v>42</v>
      </c>
      <c r="BM41" s="17">
        <f>IF(Distances[[#This Row],[Colonne46]]=$G41,BL41,Distances[[#This Row],[Colonne46]]+1)</f>
        <v>43</v>
      </c>
      <c r="BN41" s="17">
        <f>IF(Distances[[#This Row],[Colonne47]]=$G41,BM41,Distances[[#This Row],[Colonne47]]+1)</f>
        <v>44</v>
      </c>
      <c r="BO41" s="17">
        <f>IF(Distances[[#This Row],[Colonne48]]=$G41,BN41,Distances[[#This Row],[Colonne48]]+1)</f>
        <v>45</v>
      </c>
      <c r="BP41" s="17">
        <f>IF(Distances[[#This Row],[Colonne49]]=$G41,BO41,Distances[[#This Row],[Colonne49]]+1)</f>
        <v>46</v>
      </c>
      <c r="BQ41" s="17">
        <f>IF(Distances[[#This Row],[Colonne50]]=$G41,BP41,Distances[[#This Row],[Colonne50]]+1)</f>
        <v>47</v>
      </c>
      <c r="BR41" s="17">
        <f>IF(Distances[[#This Row],[Colonne51]]=$G41,BQ41,Distances[[#This Row],[Colonne51]]+1)</f>
        <v>48</v>
      </c>
      <c r="BS41" s="17">
        <f>IF(Distances[[#This Row],[Colonne52]]=$G41,BR41,Distances[[#This Row],[Colonne52]]+1)</f>
        <v>49</v>
      </c>
      <c r="BT41" s="17">
        <f>IF(Distances[[#This Row],[Colonne53]]=$G41,BS41,Distances[[#This Row],[Colonne53]]+1)</f>
        <v>50</v>
      </c>
      <c r="BU41" s="17">
        <f>IF(Distances[[#This Row],[Colonne54]]=$G41,BT41,Distances[[#This Row],[Colonne54]]+1)</f>
        <v>51</v>
      </c>
      <c r="BV41" s="17">
        <f>IF(Distances[[#This Row],[Colonne55]]=$G41,BU41,Distances[[#This Row],[Colonne55]]+1)</f>
        <v>52</v>
      </c>
      <c r="BW41" s="17">
        <f>IF(Distances[[#This Row],[Colonne56]]=$G41,BV41,Distances[[#This Row],[Colonne56]]+1)</f>
        <v>53</v>
      </c>
      <c r="BX41" s="17">
        <f>IF(Distances[[#This Row],[Colonne57]]=$G41,BW41,Distances[[#This Row],[Colonne57]]+1)</f>
        <v>54</v>
      </c>
      <c r="BY41" s="17">
        <f>IF(Distances[[#This Row],[Colonne58]]=$G41,BX41,Distances[[#This Row],[Colonne58]]+1)</f>
        <v>55</v>
      </c>
      <c r="BZ41" s="17">
        <f>IF(Distances[[#This Row],[Colonne59]]=$G41,BY41,Distances[[#This Row],[Colonne59]]+1)</f>
        <v>56</v>
      </c>
      <c r="CA41" s="17">
        <f>IF(Distances[[#This Row],[Colonne60]]=$G41,BZ41,Distances[[#This Row],[Colonne60]]+1)</f>
        <v>57</v>
      </c>
      <c r="CB41" s="17">
        <f>IF(Distances[[#This Row],[Colonne61]]=$G41,CA41,Distances[[#This Row],[Colonne61]]+1)</f>
        <v>58</v>
      </c>
      <c r="CC41" s="17">
        <f>IF(Distances[[#This Row],[Colonne62]]=$G41,CB41,Distances[[#This Row],[Colonne62]]+1)</f>
        <v>59</v>
      </c>
      <c r="CD41" s="17">
        <f>IF(Distances[[#This Row],[Colonne63]]=$G41,CC41,Distances[[#This Row],[Colonne63]]+1)</f>
        <v>60</v>
      </c>
      <c r="CE41" s="17">
        <f>IF(Distances[[#This Row],[Colonne64]]=$G41,CD41,Distances[[#This Row],[Colonne64]]+1)</f>
        <v>61</v>
      </c>
      <c r="CF41" s="17">
        <f>IF(Distances[[#This Row],[Colonne65]]=$G41,CE41,Distances[[#This Row],[Colonne65]]+1)</f>
        <v>62</v>
      </c>
      <c r="CG41" s="17">
        <f>IF(Distances[[#This Row],[Colonne66]]=$G41,CF41,Distances[[#This Row],[Colonne66]]+1)</f>
        <v>63</v>
      </c>
      <c r="CH41" s="17">
        <f>IF(Distances[[#This Row],[Colonne67]]=$G41,CG41,Distances[[#This Row],[Colonne67]]+1)</f>
        <v>64</v>
      </c>
      <c r="CI41" s="17">
        <f>IF(Distances[[#This Row],[Colonne68]]=$G41,CH41,Distances[[#This Row],[Colonne68]]+1)</f>
        <v>65</v>
      </c>
      <c r="CJ41" s="17">
        <f>IF(Distances[[#This Row],[Colonne69]]=$G41,CI41,Distances[[#This Row],[Colonne69]]+1)</f>
        <v>66</v>
      </c>
      <c r="CK41" s="17">
        <f>IF(Distances[[#This Row],[Colonne70]]=$G41,CJ41,Distances[[#This Row],[Colonne70]]+1)</f>
        <v>67</v>
      </c>
      <c r="CL41" s="17">
        <f>IF(Distances[[#This Row],[Colonne71]]=$G41,CK41,Distances[[#This Row],[Colonne71]]+1)</f>
        <v>68</v>
      </c>
      <c r="CM41" s="17">
        <f>IF(Distances[[#This Row],[Colonne72]]=$G41,CL41,Distances[[#This Row],[Colonne72]]+1)</f>
        <v>69</v>
      </c>
      <c r="CN41" s="17">
        <f>IF(Distances[[#This Row],[Colonne73]]=$G41,CM41,Distances[[#This Row],[Colonne73]]+1)</f>
        <v>70</v>
      </c>
      <c r="CO41" s="17">
        <f>IF(Distances[[#This Row],[Colonne74]]=$G41,CN41,Distances[[#This Row],[Colonne74]]+1)</f>
        <v>71</v>
      </c>
      <c r="CP41" s="17">
        <f>IF(Distances[[#This Row],[Colonne75]]=$G41,CO41,Distances[[#This Row],[Colonne75]]+1)</f>
        <v>72</v>
      </c>
      <c r="CQ41" s="17">
        <f>IF(Distances[[#This Row],[Colonne76]]=$G41,CP41,Distances[[#This Row],[Colonne76]]+1)</f>
        <v>73</v>
      </c>
      <c r="CR41" s="17">
        <f>IF(Distances[[#This Row],[Colonne77]]=$G41,CQ41,Distances[[#This Row],[Colonne77]]+1)</f>
        <v>74</v>
      </c>
      <c r="CS41" s="17">
        <f>IF(Distances[[#This Row],[Colonne78]]=$G41,CR41,Distances[[#This Row],[Colonne78]]+1)</f>
        <v>75</v>
      </c>
      <c r="CT41" s="17">
        <f>IF(Distances[[#This Row],[Colonne79]]=$G41,CS41,Distances[[#This Row],[Colonne79]]+1)</f>
        <v>76</v>
      </c>
      <c r="CU41" s="17">
        <f>IF(Distances[[#This Row],[Colonne80]]=$G41,CT41,Distances[[#This Row],[Colonne80]]+1)</f>
        <v>77</v>
      </c>
      <c r="CV41" s="17">
        <f>IF(Distances[[#This Row],[Colonne81]]=$G41,CU41,Distances[[#This Row],[Colonne81]]+1)</f>
        <v>78</v>
      </c>
      <c r="CW41" s="17">
        <f>IF(Distances[[#This Row],[Colonne82]]=$G41,CV41,Distances[[#This Row],[Colonne82]]+1)</f>
        <v>79</v>
      </c>
      <c r="CX41" s="17">
        <f>IF(Distances[[#This Row],[Colonne83]]=$G41,CW41,Distances[[#This Row],[Colonne83]]+1)</f>
        <v>80</v>
      </c>
      <c r="CY41" s="17">
        <f>IF(Distances[[#This Row],[Colonne84]]=$G41,CX41,Distances[[#This Row],[Colonne84]]+1)</f>
        <v>80</v>
      </c>
      <c r="CZ41" s="17">
        <f>IF(Distances[[#This Row],[Colonne85]]=$G41,CY41,Distances[[#This Row],[Colonne85]]+1)</f>
        <v>80</v>
      </c>
      <c r="DA41" s="17">
        <f>IF(Distances[[#This Row],[Colonne86]]=$G41,CZ41,Distances[[#This Row],[Colonne86]]+1)</f>
        <v>80</v>
      </c>
      <c r="DB41" s="17">
        <f>IF(Distances[[#This Row],[Colonne87]]=$G41,DA41,Distances[[#This Row],[Colonne87]]+1)</f>
        <v>80</v>
      </c>
      <c r="DC41" s="17">
        <f>IF(Distances[[#This Row],[Colonne88]]=$G41,DB41,Distances[[#This Row],[Colonne88]]+1)</f>
        <v>80</v>
      </c>
      <c r="DD41" s="17">
        <f>IF(Distances[[#This Row],[Colonne89]]=$G41,DC41,Distances[[#This Row],[Colonne89]]+1)</f>
        <v>80</v>
      </c>
      <c r="DE41" s="17">
        <f>IF(Distances[[#This Row],[Colonne90]]=$G41,DD41,Distances[[#This Row],[Colonne90]]+1)</f>
        <v>80</v>
      </c>
      <c r="DF41" s="17">
        <f>IF(Distances[[#This Row],[Colonne91]]=$G41,DE41,Distances[[#This Row],[Colonne91]]+1)</f>
        <v>80</v>
      </c>
      <c r="DG41" s="17">
        <f>IF(Distances[[#This Row],[Colonne92]]=$G41,DF41,Distances[[#This Row],[Colonne92]]+1)</f>
        <v>80</v>
      </c>
      <c r="DH41" s="17">
        <f>IF(Distances[[#This Row],[Colonne93]]=$G41,DG41,Distances[[#This Row],[Colonne93]]+1)</f>
        <v>80</v>
      </c>
      <c r="DI41" s="17">
        <f>IF(Distances[[#This Row],[Colonne94]]=$G41,DH41,Distances[[#This Row],[Colonne94]]+1)</f>
        <v>80</v>
      </c>
      <c r="DJ41" s="17">
        <f>IF(Distances[[#This Row],[Colonne95]]=$G41,DI41,Distances[[#This Row],[Colonne95]]+1)</f>
        <v>80</v>
      </c>
      <c r="DK41" s="17">
        <f>IF(Distances[[#This Row],[Colonne96]]=$G41,DJ41,Distances[[#This Row],[Colonne96]]+1)</f>
        <v>80</v>
      </c>
      <c r="DL41" s="17">
        <f>IF(Distances[[#This Row],[Colonne97]]=$G41,DK41,Distances[[#This Row],[Colonne97]]+1)</f>
        <v>80</v>
      </c>
      <c r="DM41" s="17">
        <f>IF(Distances[[#This Row],[Colonne98]]=$G41,DL41,Distances[[#This Row],[Colonne98]]+1)</f>
        <v>80</v>
      </c>
      <c r="DN41" s="17">
        <f>IF(Distances[[#This Row],[Colonne99]]=$G41,DM41,Distances[[#This Row],[Colonne99]]+1)</f>
        <v>80</v>
      </c>
      <c r="DO41" s="17">
        <f>IF(Distances[[#This Row],[Colonne100]]=$G41,DN41,Distances[[#This Row],[Colonne100]]+1)</f>
        <v>80</v>
      </c>
      <c r="DP41" s="17">
        <f>IF(Distances[[#This Row],[Colonne101]]=$G41,DO41,Distances[[#This Row],[Colonne101]]+1)</f>
        <v>80</v>
      </c>
      <c r="DQ41" s="17">
        <f>IF(Distances[[#This Row],[Colonne102]]=$G41,DP41,Distances[[#This Row],[Colonne102]]+1)</f>
        <v>80</v>
      </c>
      <c r="DR41" s="17">
        <f>IF(Distances[[#This Row],[Colonne103]]=$G41,DQ41,Distances[[#This Row],[Colonne103]]+1)</f>
        <v>80</v>
      </c>
      <c r="DS41" s="17">
        <f>IF(Distances[[#This Row],[Colonne104]]=$G41,DR41,Distances[[#This Row],[Colonne104]]+1)</f>
        <v>80</v>
      </c>
      <c r="DT41" s="17">
        <f>IF(Distances[[#This Row],[Colonne105]]=$G41,DS41,Distances[[#This Row],[Colonne105]]+1)</f>
        <v>80</v>
      </c>
      <c r="DU41" s="17">
        <f>IF(Distances[[#This Row],[Colonne106]]=$G41,DT41,Distances[[#This Row],[Colonne106]]+1)</f>
        <v>80</v>
      </c>
      <c r="DV41" s="17">
        <f>IF(Distances[[#This Row],[Colonne107]]=$G41,DU41,Distances[[#This Row],[Colonne107]]+1)</f>
        <v>80</v>
      </c>
      <c r="DW41" s="17">
        <f>IF(Distances[[#This Row],[Colonne108]]=$G41,DV41,Distances[[#This Row],[Colonne108]]+1)</f>
        <v>80</v>
      </c>
      <c r="DX41" s="17">
        <f>IF(Distances[[#This Row],[Colonne109]]=$G41,DW41,Distances[[#This Row],[Colonne109]]+1)</f>
        <v>80</v>
      </c>
      <c r="DY41" s="17">
        <f>IF(Distances[[#This Row],[Colonne110]]=$G41,DX41,Distances[[#This Row],[Colonne110]]+1)</f>
        <v>80</v>
      </c>
      <c r="DZ41" s="17">
        <f>IF(Distances[[#This Row],[Colonne111]]=$G41,DY41,Distances[[#This Row],[Colonne111]]+1)</f>
        <v>80</v>
      </c>
      <c r="EA41" s="17">
        <f>IF(Distances[[#This Row],[Colonne112]]=$G41,DZ41,Distances[[#This Row],[Colonne112]]+1)</f>
        <v>80</v>
      </c>
      <c r="EB41" s="17">
        <f>IF(Distances[[#This Row],[Colonne113]]=$G41,EA41,Distances[[#This Row],[Colonne113]]+1)</f>
        <v>80</v>
      </c>
      <c r="EC41" s="17">
        <f>IF(Distances[[#This Row],[Colonne114]]=$G41,EB41,Distances[[#This Row],[Colonne114]]+1)</f>
        <v>80</v>
      </c>
      <c r="ED41" s="17">
        <f>IF(Distances[[#This Row],[Colonne115]]=$G41,EC41,Distances[[#This Row],[Colonne115]]+1)</f>
        <v>80</v>
      </c>
      <c r="EE41" s="17">
        <f>IF(Distances[[#This Row],[Colonne116]]=$G41,ED41,Distances[[#This Row],[Colonne116]]+1)</f>
        <v>80</v>
      </c>
      <c r="EF41" s="17">
        <f>IF(Distances[[#This Row],[Colonne117]]=$G41,EE41,Distances[[#This Row],[Colonne117]]+1)</f>
        <v>80</v>
      </c>
      <c r="EG41" s="17">
        <f>IF(Distances[[#This Row],[Colonne118]]=$G41,EF41,Distances[[#This Row],[Colonne118]]+1)</f>
        <v>80</v>
      </c>
      <c r="EH41" s="17">
        <f>IF(Distances[[#This Row],[Colonne119]]=$G41,EG41,Distances[[#This Row],[Colonne119]]+1)</f>
        <v>80</v>
      </c>
      <c r="EI41" s="17">
        <f>IF(Distances[[#This Row],[Colonne120]]=$G41,EH41,Distances[[#This Row],[Colonne120]]+1)</f>
        <v>80</v>
      </c>
      <c r="EJ41" s="17">
        <f>IF(Distances[[#This Row],[Colonne121]]=$G41,EI41,Distances[[#This Row],[Colonne121]]+1)</f>
        <v>80</v>
      </c>
      <c r="EK41" s="17">
        <f>IF(Distances[[#This Row],[Colonne122]]=$G41,EJ41,Distances[[#This Row],[Colonne122]]+1)</f>
        <v>80</v>
      </c>
      <c r="EL41" s="17">
        <f>IF(Distances[[#This Row],[Colonne123]]=$G41,EK41,Distances[[#This Row],[Colonne123]]+1)</f>
        <v>80</v>
      </c>
      <c r="EM41" s="17">
        <f>IF(Distances[[#This Row],[Colonne124]]=$G41,EL41,Distances[[#This Row],[Colonne124]]+1)</f>
        <v>80</v>
      </c>
      <c r="EN41" s="17">
        <f>IF(Distances[[#This Row],[Colonne125]]=$G41,EM41,Distances[[#This Row],[Colonne125]]+1)</f>
        <v>80</v>
      </c>
      <c r="EO41" s="17">
        <f>IF(Distances[[#This Row],[Colonne126]]=$G41,EN41,Distances[[#This Row],[Colonne126]]+1)</f>
        <v>80</v>
      </c>
      <c r="EP41" s="17">
        <f>IF(Distances[[#This Row],[Colonne127]]=$G41,EO41,Distances[[#This Row],[Colonne127]]+1)</f>
        <v>80</v>
      </c>
      <c r="EQ41" s="17">
        <f>IF(Distances[[#This Row],[Colonne128]]=$G41,EP41,Distances[[#This Row],[Colonne128]]+1)</f>
        <v>80</v>
      </c>
      <c r="ER41" s="17">
        <f>IF(Distances[[#This Row],[Colonne129]]=$G41,EQ41,Distances[[#This Row],[Colonne129]]+1)</f>
        <v>80</v>
      </c>
      <c r="ES41" s="17">
        <f>IF(Distances[[#This Row],[Colonne130]]=$G41,ER41,Distances[[#This Row],[Colonne130]]+1)</f>
        <v>80</v>
      </c>
      <c r="ET41" s="17">
        <f>IF(Distances[[#This Row],[Colonne131]]=$G41,ES41,Distances[[#This Row],[Colonne131]]+1)</f>
        <v>80</v>
      </c>
      <c r="EU41" s="17">
        <f>IF(Distances[[#This Row],[Colonne132]]=$G41,ET41,Distances[[#This Row],[Colonne132]]+1)</f>
        <v>80</v>
      </c>
      <c r="EV41" s="17">
        <f>IF(Distances[[#This Row],[Colonne133]]=$G41,EU41,Distances[[#This Row],[Colonne133]]+1)</f>
        <v>80</v>
      </c>
      <c r="EW41" s="17">
        <f>IF(Distances[[#This Row],[Colonne134]]=$G41,EV41,Distances[[#This Row],[Colonne134]]+1)</f>
        <v>80</v>
      </c>
      <c r="EX41" s="17">
        <f>IF(Distances[[#This Row],[Colonne135]]=$G41,EW41,Distances[[#This Row],[Colonne135]]+1)</f>
        <v>80</v>
      </c>
      <c r="EY41" s="17">
        <f>IF(Distances[[#This Row],[Colonne136]]=$G41,EX41,Distances[[#This Row],[Colonne136]]+1)</f>
        <v>80</v>
      </c>
      <c r="EZ41" s="17">
        <f>IF(Distances[[#This Row],[Colonne137]]=$G41,EY41,Distances[[#This Row],[Colonne137]]+1)</f>
        <v>80</v>
      </c>
      <c r="FA41" s="17">
        <f>IF(Distances[[#This Row],[Colonne138]]=$G41,EZ41,Distances[[#This Row],[Colonne138]]+1)</f>
        <v>80</v>
      </c>
      <c r="FB41" s="17">
        <f>IF(Distances[[#This Row],[Colonne139]]=$G41,FA41,Distances[[#This Row],[Colonne139]]+1)</f>
        <v>80</v>
      </c>
      <c r="FC41" s="17">
        <f>IF(Distances[[#This Row],[Colonne140]]=$G41,FB41,Distances[[#This Row],[Colonne140]]+1)</f>
        <v>80</v>
      </c>
      <c r="FD41" s="17">
        <f>IF(Distances[[#This Row],[Colonne141]]=$G41,FC41,Distances[[#This Row],[Colonne141]]+1)</f>
        <v>80</v>
      </c>
      <c r="FE41" s="17">
        <f>IF(Distances[[#This Row],[Colonne142]]=$G41,FD41,Distances[[#This Row],[Colonne142]]+1)</f>
        <v>80</v>
      </c>
      <c r="FF41" s="17">
        <f>IF(Distances[[#This Row],[Colonne143]]=$G41,FE41,Distances[[#This Row],[Colonne143]]+1)</f>
        <v>80</v>
      </c>
      <c r="FG41" s="17">
        <f>IF(Distances[[#This Row],[Colonne144]]=$G41,FF41,Distances[[#This Row],[Colonne144]]+1)</f>
        <v>80</v>
      </c>
      <c r="FH41" s="17">
        <f>IF(Distances[[#This Row],[Colonne145]]=$G41,FG41,Distances[[#This Row],[Colonne145]]+1)</f>
        <v>80</v>
      </c>
      <c r="FI41" s="17">
        <f>IF(Distances[[#This Row],[Colonne146]]=$G41,FH41,Distances[[#This Row],[Colonne146]]+1)</f>
        <v>80</v>
      </c>
      <c r="FJ41" s="17">
        <f>IF(Distances[[#This Row],[Colonne147]]=$G41,FI41,Distances[[#This Row],[Colonne147]]+1)</f>
        <v>80</v>
      </c>
      <c r="FK41" s="17">
        <f>IF(Distances[[#This Row],[Colonne148]]=$G41,FJ41,Distances[[#This Row],[Colonne148]]+1)</f>
        <v>80</v>
      </c>
      <c r="FL41" s="17">
        <f>IF(Distances[[#This Row],[Colonne149]]=$G41,FK41,Distances[[#This Row],[Colonne149]]+1)</f>
        <v>80</v>
      </c>
      <c r="FM41" s="17">
        <f>IF(Distances[[#This Row],[Colonne150]]=$G41,FL41,Distances[[#This Row],[Colonne150]]+1)</f>
        <v>80</v>
      </c>
      <c r="FN41" s="17">
        <f>IF(Distances[[#This Row],[Colonne151]]=$G41,FM41,Distances[[#This Row],[Colonne151]]+1)</f>
        <v>80</v>
      </c>
      <c r="FO41" s="17">
        <f>IF(Distances[[#This Row],[Colonne152]]=$G41,FN41,Distances[[#This Row],[Colonne152]]+1)</f>
        <v>80</v>
      </c>
      <c r="FP41" s="17">
        <f>IF(Distances[[#This Row],[Colonne153]]=$G41,FO41,Distances[[#This Row],[Colonne153]]+1)</f>
        <v>80</v>
      </c>
      <c r="FQ41" s="17">
        <f>IF(Distances[[#This Row],[Colonne154]]=$G41,FP41,Distances[[#This Row],[Colonne154]]+1)</f>
        <v>80</v>
      </c>
      <c r="FR41" s="17">
        <f>IF(Distances[[#This Row],[Colonne155]]=$G41,FQ41,Distances[[#This Row],[Colonne155]]+1)</f>
        <v>80</v>
      </c>
      <c r="FS41" s="17">
        <f>IF(Distances[[#This Row],[Colonne156]]=$G41,FR41,Distances[[#This Row],[Colonne156]]+1)</f>
        <v>80</v>
      </c>
      <c r="FT41" s="17">
        <f>IF(Distances[[#This Row],[Colonne157]]=$G41,FS41,Distances[[#This Row],[Colonne157]]+1)</f>
        <v>80</v>
      </c>
      <c r="FU41" s="17">
        <f>IF(Distances[[#This Row],[Colonne158]]=$G41,FT41,Distances[[#This Row],[Colonne158]]+1)</f>
        <v>80</v>
      </c>
      <c r="FV41" s="17">
        <f>IF(Distances[[#This Row],[Colonne159]]=$G41,FU41,Distances[[#This Row],[Colonne159]]+1)</f>
        <v>80</v>
      </c>
      <c r="FW41" s="17">
        <f>IF(Distances[[#This Row],[Colonne160]]=$G41,FV41,Distances[[#This Row],[Colonne160]]+1)</f>
        <v>80</v>
      </c>
      <c r="FX41" s="17">
        <f>IF(Distances[[#This Row],[Colonne161]]=$G41,FW41,Distances[[#This Row],[Colonne161]]+1)</f>
        <v>80</v>
      </c>
      <c r="FY41" s="17">
        <f>IF(Distances[[#This Row],[Colonne162]]=$G41,FX41,Distances[[#This Row],[Colonne162]]+1)</f>
        <v>80</v>
      </c>
      <c r="FZ41" s="17">
        <f>IF(Distances[[#This Row],[Colonne163]]=$G41,FY41,Distances[[#This Row],[Colonne163]]+1)</f>
        <v>80</v>
      </c>
      <c r="GA41" s="17">
        <f>IF(Distances[[#This Row],[Colonne164]]=$G41,FZ41,Distances[[#This Row],[Colonne164]]+1)</f>
        <v>80</v>
      </c>
      <c r="GB41" s="17">
        <f>IF(Distances[[#This Row],[Colonne165]]=$G41,GA41,Distances[[#This Row],[Colonne165]]+1)</f>
        <v>80</v>
      </c>
      <c r="GC41" s="17">
        <f>IF(Distances[[#This Row],[Colonne166]]=$G41,GB41,Distances[[#This Row],[Colonne166]]+1)</f>
        <v>80</v>
      </c>
      <c r="GD41" s="17">
        <f>IF(Distances[[#This Row],[Colonne167]]=$G41,GC41,Distances[[#This Row],[Colonne167]]+1)</f>
        <v>80</v>
      </c>
      <c r="GE41" s="17">
        <f>IF(Distances[[#This Row],[Colonne168]]=$G41,GD41,Distances[[#This Row],[Colonne168]]+1)</f>
        <v>80</v>
      </c>
      <c r="GF41" s="17">
        <f>IF(Distances[[#This Row],[Colonne169]]=$G41,GE41,Distances[[#This Row],[Colonne169]]+1)</f>
        <v>80</v>
      </c>
      <c r="GG41" s="17">
        <f>IF(Distances[[#This Row],[Colonne170]]=$G41,GF41,Distances[[#This Row],[Colonne170]]+1)</f>
        <v>80</v>
      </c>
      <c r="GH41" s="17">
        <f>IF(Distances[[#This Row],[Colonne171]]=$G41,GG41,Distances[[#This Row],[Colonne171]]+1)</f>
        <v>80</v>
      </c>
      <c r="GI41" s="17">
        <f>IF(Distances[[#This Row],[Colonne172]]=$G41,GH41,Distances[[#This Row],[Colonne172]]+1)</f>
        <v>80</v>
      </c>
      <c r="GJ41" s="17">
        <f>IF(Distances[[#This Row],[Colonne173]]=$G41,GI41,Distances[[#This Row],[Colonne173]]+1)</f>
        <v>80</v>
      </c>
      <c r="GK41" s="17">
        <f>IF(Distances[[#This Row],[Colonne174]]=$G41,GJ41,Distances[[#This Row],[Colonne174]]+1)</f>
        <v>80</v>
      </c>
      <c r="GL41" s="17">
        <f>IF(Distances[[#This Row],[Colonne175]]=$G41,GK41,Distances[[#This Row],[Colonne175]]+1)</f>
        <v>80</v>
      </c>
      <c r="GM41" s="17">
        <f>IF(Distances[[#This Row],[Colonne176]]=$G41,GL41,Distances[[#This Row],[Colonne176]]+1)</f>
        <v>80</v>
      </c>
      <c r="GN41" s="17">
        <f>IF(Distances[[#This Row],[Colonne177]]=$G41,GM41,Distances[[#This Row],[Colonne177]]+1)</f>
        <v>80</v>
      </c>
      <c r="GO41" s="17">
        <f>IF(Distances[[#This Row],[Colonne178]]=$G41,GN41,Distances[[#This Row],[Colonne178]]+1)</f>
        <v>80</v>
      </c>
      <c r="GP41" s="17">
        <f>IF(Distances[[#This Row],[Colonne179]]=$G41,GO41,Distances[[#This Row],[Colonne179]]+1)</f>
        <v>80</v>
      </c>
      <c r="GQ41" s="17">
        <f>IF(Distances[[#This Row],[Colonne180]]=$G41,GP41,Distances[[#This Row],[Colonne180]]+1)</f>
        <v>80</v>
      </c>
      <c r="GR41" s="17">
        <f>IF(Distances[[#This Row],[Colonne181]]=$G41,GQ41,Distances[[#This Row],[Colonne181]]+1)</f>
        <v>80</v>
      </c>
      <c r="GS41" s="17">
        <f>IF(Distances[[#This Row],[Colonne182]]=$G41,GR41,Distances[[#This Row],[Colonne182]]+1)</f>
        <v>80</v>
      </c>
      <c r="GT41" s="17">
        <f>IF(Distances[[#This Row],[Colonne183]]=$G41,GS41,Distances[[#This Row],[Colonne183]]+1)</f>
        <v>80</v>
      </c>
      <c r="GU41" s="17">
        <f>IF(Distances[[#This Row],[Colonne184]]=$G41,GT41,Distances[[#This Row],[Colonne184]]+1)</f>
        <v>80</v>
      </c>
      <c r="GV41" s="17">
        <f>IF(Distances[[#This Row],[Colonne185]]=$G41,GU41,Distances[[#This Row],[Colonne185]]+1)</f>
        <v>80</v>
      </c>
      <c r="GW41" s="17">
        <f>IF(Distances[[#This Row],[Colonne186]]=$G41,GV41,Distances[[#This Row],[Colonne186]]+1)</f>
        <v>80</v>
      </c>
      <c r="GX41" s="17">
        <f>IF(Distances[[#This Row],[Colonne187]]=$G41,GW41,Distances[[#This Row],[Colonne187]]+1)</f>
        <v>80</v>
      </c>
      <c r="GY41" s="17">
        <f>IF(Distances[[#This Row],[Colonne188]]=$G41,GX41,Distances[[#This Row],[Colonne188]]+1)</f>
        <v>80</v>
      </c>
      <c r="GZ41" s="17">
        <f>IF(Distances[[#This Row],[Colonne189]]=$G41,GY41,Distances[[#This Row],[Colonne189]]+1)</f>
        <v>80</v>
      </c>
      <c r="HA41" s="17">
        <f>IF(Distances[[#This Row],[Colonne190]]=$G41,GZ41,Distances[[#This Row],[Colonne190]]+1)</f>
        <v>80</v>
      </c>
      <c r="HB41" s="17">
        <f>IF(Distances[[#This Row],[Colonne191]]=$G41,HA41,Distances[[#This Row],[Colonne191]]+1)</f>
        <v>80</v>
      </c>
      <c r="HC41" s="17">
        <f>IF(Distances[[#This Row],[Colonne192]]=$G41,HB41,Distances[[#This Row],[Colonne192]]+1)</f>
        <v>80</v>
      </c>
      <c r="HD41" s="17">
        <f>IF(Distances[[#This Row],[Colonne193]]=$G41,HC41,Distances[[#This Row],[Colonne193]]+1)</f>
        <v>80</v>
      </c>
      <c r="HE41" s="17">
        <f>IF(Distances[[#This Row],[Colonne194]]=$G41,HD41,Distances[[#This Row],[Colonne194]]+1)</f>
        <v>80</v>
      </c>
      <c r="HF41" s="17">
        <f>IF(Distances[[#This Row],[Colonne195]]=$G41,HE41,Distances[[#This Row],[Colonne195]]+1)</f>
        <v>80</v>
      </c>
      <c r="HG41" s="17">
        <f>IF(Distances[[#This Row],[Colonne196]]=$G41,HF41,Distances[[#This Row],[Colonne196]]+1)</f>
        <v>80</v>
      </c>
      <c r="HH41" s="17">
        <f>IF(Distances[[#This Row],[Colonne197]]=$G41,HG41,Distances[[#This Row],[Colonne197]]+1)</f>
        <v>80</v>
      </c>
      <c r="HI41" s="17">
        <f>IF(Distances[[#This Row],[Colonne198]]=$G41,HH41,Distances[[#This Row],[Colonne198]]+1)</f>
        <v>80</v>
      </c>
      <c r="HJ41" s="17">
        <f>IF(Distances[[#This Row],[Colonne199]]=$G41,HI41,Distances[[#This Row],[Colonne199]]+1)</f>
        <v>80</v>
      </c>
      <c r="HK41" s="17">
        <f>IF(Distances[[#This Row],[Colonne200]]=$G41,HJ41,Distances[[#This Row],[Colonne200]]+1)</f>
        <v>80</v>
      </c>
      <c r="HL41" s="17">
        <f>IF(Distances[[#This Row],[Colonne201]]=$G41,HK41,Distances[[#This Row],[Colonne201]]+1)</f>
        <v>80</v>
      </c>
      <c r="HM41" s="17">
        <f>IF(Distances[[#This Row],[Colonne202]]=$G41,HL41,Distances[[#This Row],[Colonne202]]+1)</f>
        <v>80</v>
      </c>
      <c r="HN41" s="17">
        <f>IF(Distances[[#This Row],[Colonne203]]=$G41,HM41,Distances[[#This Row],[Colonne203]]+1)</f>
        <v>80</v>
      </c>
      <c r="HO41" s="17">
        <f>IF(Distances[[#This Row],[Colonne204]]=$G41,HN41,Distances[[#This Row],[Colonne204]]+1)</f>
        <v>80</v>
      </c>
      <c r="HP41" s="17">
        <f>IF(Distances[[#This Row],[Colonne205]]=$G41,HO41,Distances[[#This Row],[Colonne205]]+1)</f>
        <v>80</v>
      </c>
      <c r="HQ41" s="17">
        <f>IF(Distances[[#This Row],[Colonne206]]=$G41,HP41,Distances[[#This Row],[Colonne206]]+1)</f>
        <v>80</v>
      </c>
      <c r="HR41" s="17">
        <f>IF(Distances[[#This Row],[Colonne207]]=$G41,HQ41,Distances[[#This Row],[Colonne207]]+1)</f>
        <v>80</v>
      </c>
      <c r="HS41" s="17">
        <f>IF(Distances[[#This Row],[Colonne208]]=$G41,HR41,Distances[[#This Row],[Colonne208]]+1)</f>
        <v>80</v>
      </c>
      <c r="HT41" s="17">
        <f>IF(Distances[[#This Row],[Colonne209]]=$G41,HS41,Distances[[#This Row],[Colonne209]]+1)</f>
        <v>80</v>
      </c>
      <c r="HU41" s="17">
        <f>IF(Distances[[#This Row],[Colonne210]]=$G41,HT41,Distances[[#This Row],[Colonne210]]+1)</f>
        <v>80</v>
      </c>
      <c r="HV41" s="17">
        <f>IF(Distances[[#This Row],[Colonne211]]=$G41,HU41,Distances[[#This Row],[Colonne211]]+1)</f>
        <v>80</v>
      </c>
      <c r="HW41" s="17">
        <f>IF(Distances[[#This Row],[Colonne212]]=$G41,HV41,Distances[[#This Row],[Colonne212]]+1)</f>
        <v>80</v>
      </c>
      <c r="HX41" s="17">
        <f>IF(Distances[[#This Row],[Colonne213]]=$G41,HW41,Distances[[#This Row],[Colonne213]]+1)</f>
        <v>80</v>
      </c>
      <c r="HY41" s="17">
        <f>IF(Distances[[#This Row],[Colonne214]]=$G41,HX41,Distances[[#This Row],[Colonne214]]+1)</f>
        <v>80</v>
      </c>
      <c r="HZ41" s="17">
        <f>IF(Distances[[#This Row],[Colonne215]]=$G41,HY41,Distances[[#This Row],[Colonne215]]+1)</f>
        <v>80</v>
      </c>
      <c r="IA41" s="17">
        <f>IF(Distances[[#This Row],[Colonne216]]=$G41,HZ41,Distances[[#This Row],[Colonne216]]+1)</f>
        <v>80</v>
      </c>
      <c r="IB41" s="17">
        <f>IF(Distances[[#This Row],[Colonne217]]=$G41,IA41,Distances[[#This Row],[Colonne217]]+1)</f>
        <v>80</v>
      </c>
      <c r="IC41" s="17">
        <f>IF(Distances[[#This Row],[Colonne218]]=$G41,IB41,Distances[[#This Row],[Colonne218]]+1)</f>
        <v>80</v>
      </c>
      <c r="ID41" s="17">
        <f>IF(Distances[[#This Row],[Colonne219]]=$G41,IC41,Distances[[#This Row],[Colonne219]]+1)</f>
        <v>80</v>
      </c>
      <c r="IE41" s="17">
        <f>IF(Distances[[#This Row],[Colonne220]]=$G41,ID41,Distances[[#This Row],[Colonne220]]+1)</f>
        <v>80</v>
      </c>
      <c r="IF41" s="17">
        <f>IF(Distances[[#This Row],[Colonne221]]=$G41,IE41,Distances[[#This Row],[Colonne221]]+1)</f>
        <v>80</v>
      </c>
      <c r="IG41" s="17">
        <f>IF(Distances[[#This Row],[Colonne222]]=$G41,IF41,Distances[[#This Row],[Colonne222]]+1)</f>
        <v>80</v>
      </c>
      <c r="IH41" s="17">
        <f>IF(Distances[[#This Row],[Colonne223]]=$G41,IG41,Distances[[#This Row],[Colonne223]]+1)</f>
        <v>80</v>
      </c>
      <c r="II41" s="17">
        <f>IF(Distances[[#This Row],[Colonne224]]=$G41,IH41,Distances[[#This Row],[Colonne224]]+1)</f>
        <v>80</v>
      </c>
      <c r="IJ41" s="17">
        <f>IF(Distances[[#This Row],[Colonne225]]=$G41,II41,Distances[[#This Row],[Colonne225]]+1)</f>
        <v>80</v>
      </c>
      <c r="IK41" s="17">
        <f>IF(Distances[[#This Row],[Colonne226]]=$G41,IJ41,Distances[[#This Row],[Colonne226]]+1)</f>
        <v>80</v>
      </c>
      <c r="IL41" s="17">
        <f>IF(Distances[[#This Row],[Colonne227]]=$G41,IK41,Distances[[#This Row],[Colonne227]]+1)</f>
        <v>80</v>
      </c>
      <c r="IM41" s="17">
        <f>IF(Distances[[#This Row],[Colonne228]]=$G41,IL41,Distances[[#This Row],[Colonne228]]+1)</f>
        <v>80</v>
      </c>
      <c r="IN41" s="17">
        <f>IF(Distances[[#This Row],[Colonne229]]=$G41,IM41,Distances[[#This Row],[Colonne229]]+1)</f>
        <v>80</v>
      </c>
      <c r="IO41" s="17">
        <f>IF(Distances[[#This Row],[Colonne230]]=$G41,IN41,Distances[[#This Row],[Colonne230]]+1)</f>
        <v>80</v>
      </c>
      <c r="IP41" s="17">
        <f>IF(Distances[[#This Row],[Colonne231]]=$G41,IO41,Distances[[#This Row],[Colonne231]]+1)</f>
        <v>80</v>
      </c>
      <c r="IQ41" s="17">
        <f>IF(Distances[[#This Row],[Colonne232]]=$G41,IP41,Distances[[#This Row],[Colonne232]]+1)</f>
        <v>80</v>
      </c>
      <c r="IR41" s="17">
        <f>IF(Distances[[#This Row],[Colonne233]]=$G41,IQ41,Distances[[#This Row],[Colonne233]]+1)</f>
        <v>80</v>
      </c>
      <c r="IS41" s="17">
        <f>IF(Distances[[#This Row],[Colonne234]]=$G41,IR41,Distances[[#This Row],[Colonne234]]+1)</f>
        <v>80</v>
      </c>
      <c r="IT41" s="17">
        <f>IF(Distances[[#This Row],[Colonne235]]=$G41,IS41,Distances[[#This Row],[Colonne235]]+1)</f>
        <v>80</v>
      </c>
      <c r="IU41" s="17">
        <f>IF(Distances[[#This Row],[Colonne236]]=$G41,IT41,Distances[[#This Row],[Colonne236]]+1)</f>
        <v>80</v>
      </c>
      <c r="IV41" s="17">
        <f>IF(Distances[[#This Row],[Colonne237]]=$G41,IU41,Distances[[#This Row],[Colonne237]]+1)</f>
        <v>80</v>
      </c>
      <c r="IW41" s="17">
        <f>IF(Distances[[#This Row],[Colonne238]]=$G41,IV41,Distances[[#This Row],[Colonne238]]+1)</f>
        <v>80</v>
      </c>
      <c r="IX41" s="17">
        <f>IF(Distances[[#This Row],[Colonne239]]=$G41,IW41,Distances[[#This Row],[Colonne239]]+1)</f>
        <v>80</v>
      </c>
      <c r="IY41" s="17">
        <f>IF(Distances[[#This Row],[Colonne240]]=$G41,IX41,Distances[[#This Row],[Colonne240]]+1)</f>
        <v>80</v>
      </c>
      <c r="IZ41" s="17">
        <f>IF(Distances[[#This Row],[Colonne241]]=$G41,IY41,Distances[[#This Row],[Colonne241]]+1)</f>
        <v>80</v>
      </c>
      <c r="JA41" s="17">
        <f>IF(Distances[[#This Row],[Colonne242]]=$G41,IZ41,Distances[[#This Row],[Colonne242]]+1)</f>
        <v>80</v>
      </c>
      <c r="JB41" s="17">
        <f>IF(Distances[[#This Row],[Colonne243]]=$G41,JA41,Distances[[#This Row],[Colonne243]]+1)</f>
        <v>80</v>
      </c>
      <c r="JC41" s="17">
        <f>IF(Distances[[#This Row],[Colonne244]]=$G41,JB41,Distances[[#This Row],[Colonne244]]+1)</f>
        <v>80</v>
      </c>
      <c r="JD41" s="17">
        <f>IF(Distances[[#This Row],[Colonne245]]=$G41,JC41,Distances[[#This Row],[Colonne245]]+1)</f>
        <v>80</v>
      </c>
      <c r="JE41" s="17">
        <f>IF(Distances[[#This Row],[Colonne246]]=$G41,JD41,Distances[[#This Row],[Colonne246]]+1)</f>
        <v>80</v>
      </c>
      <c r="JF41" s="17">
        <f>IF(Distances[[#This Row],[Colonne247]]=$G41,JE41,Distances[[#This Row],[Colonne247]]+1)</f>
        <v>80</v>
      </c>
      <c r="JG41" s="17">
        <f>IF(Distances[[#This Row],[Colonne248]]=$G41,JF41,Distances[[#This Row],[Colonne248]]+1)</f>
        <v>80</v>
      </c>
      <c r="JH41" s="17">
        <f>IF(Distances[[#This Row],[Colonne249]]=$G41,JG41,Distances[[#This Row],[Colonne249]]+1)</f>
        <v>80</v>
      </c>
      <c r="JI41" s="17">
        <f>IF(Distances[[#This Row],[Colonne250]]=$G41,JH41,Distances[[#This Row],[Colonne250]]+1)</f>
        <v>80</v>
      </c>
      <c r="JJ41" s="17">
        <f>IF(Distances[[#This Row],[Colonne251]]=$G41,JI41,Distances[[#This Row],[Colonne251]]+1)</f>
        <v>80</v>
      </c>
      <c r="JK41" s="17">
        <f>IF(Distances[[#This Row],[Colonne252]]=$G41,JJ41,Distances[[#This Row],[Colonne252]]+1)</f>
        <v>80</v>
      </c>
      <c r="JL41" s="17">
        <f>IF(Distances[[#This Row],[Colonne253]]=$G41,JK41,Distances[[#This Row],[Colonne253]]+1)</f>
        <v>80</v>
      </c>
      <c r="JM41" s="17">
        <f>IF(Distances[[#This Row],[Colonne254]]=$G41,JL41,Distances[[#This Row],[Colonne254]]+1)</f>
        <v>80</v>
      </c>
      <c r="JN41" s="17">
        <f>IF(Distances[[#This Row],[Colonne255]]=$G41,JM41,Distances[[#This Row],[Colonne255]]+1)</f>
        <v>80</v>
      </c>
      <c r="JO41" s="17">
        <f>IF(Distances[[#This Row],[Colonne256]]=$G41,JN41,Distances[[#This Row],[Colonne256]]+1)</f>
        <v>80</v>
      </c>
      <c r="JP41" s="17">
        <f>IF(Distances[[#This Row],[Colonne257]]=$G41,JO41,Distances[[#This Row],[Colonne257]]+1)</f>
        <v>80</v>
      </c>
      <c r="JQ41" s="17">
        <f>IF(Distances[[#This Row],[Colonne258]]=$G41,JP41,Distances[[#This Row],[Colonne258]]+1)</f>
        <v>80</v>
      </c>
      <c r="JR41" s="17">
        <f>IF(Distances[[#This Row],[Colonne259]]=$G41,JQ41,Distances[[#This Row],[Colonne259]]+1)</f>
        <v>80</v>
      </c>
      <c r="JS41" s="17">
        <f>IF(Distances[[#This Row],[Colonne260]]=$G41,JR41,Distances[[#This Row],[Colonne260]]+1)</f>
        <v>80</v>
      </c>
      <c r="JT41" s="17">
        <f>IF(Distances[[#This Row],[Colonne261]]=$G41,JS41,Distances[[#This Row],[Colonne261]]+1)</f>
        <v>80</v>
      </c>
      <c r="JU41" s="17">
        <f>IF(Distances[[#This Row],[Colonne262]]=$G41,JT41,Distances[[#This Row],[Colonne262]]+1)</f>
        <v>80</v>
      </c>
      <c r="JV41" s="17">
        <f>IF(Distances[[#This Row],[Colonne263]]=$G41,JU41,Distances[[#This Row],[Colonne263]]+1)</f>
        <v>80</v>
      </c>
      <c r="JW41" s="17">
        <f>IF(Distances[[#This Row],[Colonne264]]=$G41,JV41,Distances[[#This Row],[Colonne264]]+1)</f>
        <v>80</v>
      </c>
      <c r="JX41" s="17">
        <f>IF(Distances[[#This Row],[Colonne265]]=$G41,JW41,Distances[[#This Row],[Colonne265]]+1)</f>
        <v>80</v>
      </c>
      <c r="JY41" s="17">
        <f>IF(Distances[[#This Row],[Colonne266]]=$G41,JX41,Distances[[#This Row],[Colonne266]]+1)</f>
        <v>80</v>
      </c>
      <c r="JZ41" s="17">
        <f>IF(Distances[[#This Row],[Colonne267]]=$G41,JY41,Distances[[#This Row],[Colonne267]]+1)</f>
        <v>80</v>
      </c>
      <c r="KA41" s="17">
        <f>IF(Distances[[#This Row],[Colonne268]]=$G41,JZ41,Distances[[#This Row],[Colonne268]]+1)</f>
        <v>80</v>
      </c>
      <c r="KB41" s="17">
        <f>IF(Distances[[#This Row],[Colonne269]]=$G41,KA41,Distances[[#This Row],[Colonne269]]+1)</f>
        <v>80</v>
      </c>
      <c r="KC41" s="17">
        <f>IF(Distances[[#This Row],[Colonne270]]=$G41,KB41,Distances[[#This Row],[Colonne270]]+1)</f>
        <v>80</v>
      </c>
      <c r="KD41" s="17">
        <f>IF(Distances[[#This Row],[Colonne271]]=$G41,KC41,Distances[[#This Row],[Colonne271]]+1)</f>
        <v>80</v>
      </c>
      <c r="KE41" s="17">
        <f>IF(Distances[[#This Row],[Colonne272]]=$G41,KD41,Distances[[#This Row],[Colonne272]]+1)</f>
        <v>80</v>
      </c>
      <c r="KF41" s="17">
        <f>IF(Distances[[#This Row],[Colonne273]]=$G41,KE41,Distances[[#This Row],[Colonne273]]+1)</f>
        <v>80</v>
      </c>
      <c r="KG41" s="17">
        <f>IF(Distances[[#This Row],[Colonne274]]=$G41,KF41,Distances[[#This Row],[Colonne274]]+1)</f>
        <v>80</v>
      </c>
      <c r="KH41" s="17">
        <f>IF(Distances[[#This Row],[Colonne275]]=$G41,KG41,Distances[[#This Row],[Colonne275]]+1)</f>
        <v>80</v>
      </c>
      <c r="KI41" s="17">
        <f>IF(Distances[[#This Row],[Colonne276]]=$G41,KH41,Distances[[#This Row],[Colonne276]]+1)</f>
        <v>80</v>
      </c>
      <c r="KJ41" s="17">
        <f>IF(Distances[[#This Row],[Colonne277]]=$G41,KI41,Distances[[#This Row],[Colonne277]]+1)</f>
        <v>80</v>
      </c>
      <c r="KK41" s="17">
        <f>IF(Distances[[#This Row],[Colonne278]]=$G41,KJ41,Distances[[#This Row],[Colonne278]]+1)</f>
        <v>80</v>
      </c>
      <c r="KL41" s="17">
        <f>IF(Distances[[#This Row],[Colonne279]]=$G41,KK41,Distances[[#This Row],[Colonne279]]+1)</f>
        <v>80</v>
      </c>
      <c r="KM41" s="17">
        <f>IF(Distances[[#This Row],[Colonne280]]=$G41,KL41,Distances[[#This Row],[Colonne280]]+1)</f>
        <v>80</v>
      </c>
      <c r="KN41" s="17">
        <f>IF(Distances[[#This Row],[Colonne281]]=$G41,KM41,Distances[[#This Row],[Colonne281]]+1)</f>
        <v>80</v>
      </c>
      <c r="KO41" s="17">
        <f>IF(Distances[[#This Row],[Colonne282]]=$G41,KN41,Distances[[#This Row],[Colonne282]]+1)</f>
        <v>80</v>
      </c>
      <c r="KP41" s="17">
        <f>IF(Distances[[#This Row],[Colonne283]]=$G41,KO41,Distances[[#This Row],[Colonne283]]+1)</f>
        <v>80</v>
      </c>
      <c r="KQ41" s="17">
        <f>IF(Distances[[#This Row],[Colonne284]]=$G41,KP41,Distances[[#This Row],[Colonne284]]+1)</f>
        <v>80</v>
      </c>
      <c r="KR41" s="17">
        <f>IF(Distances[[#This Row],[Colonne285]]=$G41,KQ41,Distances[[#This Row],[Colonne285]]+1)</f>
        <v>80</v>
      </c>
      <c r="KS41" s="17">
        <f>IF(Distances[[#This Row],[Colonne286]]=$G41,KR41,Distances[[#This Row],[Colonne286]]+1)</f>
        <v>80</v>
      </c>
      <c r="KT41" s="17">
        <f>IF(Distances[[#This Row],[Colonne287]]=$G41,KS41,Distances[[#This Row],[Colonne287]]+1)</f>
        <v>80</v>
      </c>
      <c r="KU41" s="17">
        <f>IF(Distances[[#This Row],[Colonne288]]=$G41,KT41,Distances[[#This Row],[Colonne288]]+1)</f>
        <v>80</v>
      </c>
      <c r="KV41" s="17">
        <f>IF(Distances[[#This Row],[Colonne289]]=$G41,KU41,Distances[[#This Row],[Colonne289]]+1)</f>
        <v>80</v>
      </c>
      <c r="KW41" s="17">
        <f>IF(Distances[[#This Row],[Colonne290]]=$G41,KV41,Distances[[#This Row],[Colonne290]]+1)</f>
        <v>80</v>
      </c>
      <c r="KX41" s="17">
        <f>IF(Distances[[#This Row],[Colonne291]]=$G41,KW41,Distances[[#This Row],[Colonne291]]+1)</f>
        <v>80</v>
      </c>
      <c r="KY41" s="17">
        <f>IF(Distances[[#This Row],[Colonne292]]=$G41,KX41,Distances[[#This Row],[Colonne292]]+1)</f>
        <v>80</v>
      </c>
      <c r="KZ41" s="17">
        <f>IF(Distances[[#This Row],[Colonne293]]=$G41,KY41,Distances[[#This Row],[Colonne293]]+1)</f>
        <v>80</v>
      </c>
      <c r="LA41" s="17">
        <f>IF(Distances[[#This Row],[Colonne294]]=$G41,KZ41,Distances[[#This Row],[Colonne294]]+1)</f>
        <v>80</v>
      </c>
      <c r="LB41" s="17">
        <f>IF(Distances[[#This Row],[Colonne295]]=$G41,LA41,Distances[[#This Row],[Colonne295]]+1)</f>
        <v>80</v>
      </c>
      <c r="LC41" s="17">
        <f>IF(Distances[[#This Row],[Colonne296]]=$G41,LB41,Distances[[#This Row],[Colonne296]]+1)</f>
        <v>80</v>
      </c>
      <c r="LD41" s="17">
        <f>IF(Distances[[#This Row],[Colonne297]]=$G41,LC41,Distances[[#This Row],[Colonne297]]+1)</f>
        <v>80</v>
      </c>
      <c r="LE41" s="17">
        <f>IF(Distances[[#This Row],[Colonne298]]=$G41,LD41,Distances[[#This Row],[Colonne298]]+1)</f>
        <v>80</v>
      </c>
      <c r="LF41" s="17">
        <f>IF(Distances[[#This Row],[Colonne299]]=$G41,LE41,Distances[[#This Row],[Colonne299]]+1)</f>
        <v>80</v>
      </c>
      <c r="LG41" s="17">
        <f>IF(Distances[[#This Row],[Colonne300]]=$G41,LF41,Distances[[#This Row],[Colonne300]]+1)</f>
        <v>80</v>
      </c>
      <c r="LH41" s="17">
        <f>IF(Distances[[#This Row],[Colonne301]]=$G41,LG41,Distances[[#This Row],[Colonne301]]+1)</f>
        <v>80</v>
      </c>
      <c r="LI41" s="17">
        <f>IF(Distances[[#This Row],[Colonne302]]=$G41,LH41,Distances[[#This Row],[Colonne302]]+1)</f>
        <v>80</v>
      </c>
      <c r="LJ41" s="17">
        <f>IF(Distances[[#This Row],[Colonne303]]=$G41,LI41,Distances[[#This Row],[Colonne303]]+1)</f>
        <v>80</v>
      </c>
      <c r="LK41" s="51"/>
      <c r="LL41" s="17">
        <f t="shared" ref="LL41:NW41" si="82">IF(LK41=$H41,LK41,LK41+1)</f>
        <v>1</v>
      </c>
      <c r="LM41" s="17">
        <f t="shared" si="82"/>
        <v>2</v>
      </c>
      <c r="LN41" s="17">
        <f t="shared" si="82"/>
        <v>3</v>
      </c>
      <c r="LO41" s="17">
        <f t="shared" si="82"/>
        <v>4</v>
      </c>
      <c r="LP41" s="17">
        <f t="shared" si="82"/>
        <v>5</v>
      </c>
      <c r="LQ41" s="17">
        <f t="shared" si="82"/>
        <v>6</v>
      </c>
      <c r="LR41" s="17">
        <f t="shared" si="82"/>
        <v>7</v>
      </c>
      <c r="LS41" s="17">
        <f t="shared" si="82"/>
        <v>8</v>
      </c>
      <c r="LT41" s="17">
        <f t="shared" si="82"/>
        <v>9</v>
      </c>
      <c r="LU41" s="17">
        <f t="shared" si="82"/>
        <v>10</v>
      </c>
      <c r="LV41" s="17">
        <f t="shared" si="82"/>
        <v>11</v>
      </c>
      <c r="LW41" s="17">
        <f t="shared" si="82"/>
        <v>12</v>
      </c>
      <c r="LX41" s="17">
        <f t="shared" si="82"/>
        <v>13</v>
      </c>
      <c r="LY41" s="17">
        <f t="shared" si="82"/>
        <v>14</v>
      </c>
      <c r="LZ41" s="17">
        <f t="shared" si="82"/>
        <v>15</v>
      </c>
      <c r="MA41" s="17">
        <f t="shared" si="82"/>
        <v>16</v>
      </c>
      <c r="MB41" s="17">
        <f t="shared" si="82"/>
        <v>17</v>
      </c>
      <c r="MC41" s="17">
        <f t="shared" si="82"/>
        <v>18</v>
      </c>
      <c r="MD41" s="17">
        <f t="shared" si="82"/>
        <v>19</v>
      </c>
      <c r="ME41" s="17">
        <f t="shared" si="82"/>
        <v>20</v>
      </c>
      <c r="MF41" s="17">
        <f t="shared" si="82"/>
        <v>21</v>
      </c>
      <c r="MG41" s="17">
        <f t="shared" si="82"/>
        <v>22</v>
      </c>
      <c r="MH41" s="17">
        <f t="shared" si="82"/>
        <v>23</v>
      </c>
      <c r="MI41" s="17">
        <f t="shared" si="82"/>
        <v>24</v>
      </c>
      <c r="MJ41" s="17">
        <f t="shared" si="82"/>
        <v>25</v>
      </c>
      <c r="MK41" s="17">
        <f t="shared" si="82"/>
        <v>26</v>
      </c>
      <c r="ML41" s="17">
        <f t="shared" si="82"/>
        <v>27</v>
      </c>
      <c r="MM41" s="17">
        <f t="shared" si="82"/>
        <v>28</v>
      </c>
      <c r="MN41" s="17">
        <f t="shared" si="82"/>
        <v>29</v>
      </c>
      <c r="MO41" s="17">
        <f t="shared" si="82"/>
        <v>30</v>
      </c>
      <c r="MP41" s="17">
        <f t="shared" si="82"/>
        <v>31</v>
      </c>
      <c r="MQ41" s="17">
        <f t="shared" si="82"/>
        <v>32</v>
      </c>
      <c r="MR41" s="17">
        <f t="shared" si="82"/>
        <v>33</v>
      </c>
      <c r="MS41" s="17">
        <f t="shared" si="82"/>
        <v>34</v>
      </c>
      <c r="MT41" s="17">
        <f t="shared" si="82"/>
        <v>35</v>
      </c>
      <c r="MU41" s="17">
        <f t="shared" si="82"/>
        <v>35</v>
      </c>
      <c r="MV41" s="17">
        <f t="shared" si="82"/>
        <v>35</v>
      </c>
      <c r="MW41" s="17">
        <f t="shared" si="82"/>
        <v>35</v>
      </c>
      <c r="MX41" s="17">
        <f t="shared" si="82"/>
        <v>35</v>
      </c>
      <c r="MY41" s="17">
        <f t="shared" si="82"/>
        <v>35</v>
      </c>
      <c r="MZ41" s="17">
        <f t="shared" si="82"/>
        <v>35</v>
      </c>
      <c r="NA41" s="17">
        <f t="shared" si="82"/>
        <v>35</v>
      </c>
      <c r="NB41" s="17">
        <f t="shared" si="82"/>
        <v>35</v>
      </c>
      <c r="NC41" s="17">
        <f t="shared" si="82"/>
        <v>35</v>
      </c>
      <c r="ND41" s="17">
        <f t="shared" si="82"/>
        <v>35</v>
      </c>
      <c r="NE41" s="17">
        <f t="shared" si="82"/>
        <v>35</v>
      </c>
      <c r="NF41" s="17">
        <f t="shared" si="82"/>
        <v>35</v>
      </c>
      <c r="NG41" s="17">
        <f t="shared" si="82"/>
        <v>35</v>
      </c>
      <c r="NH41" s="17">
        <f t="shared" si="82"/>
        <v>35</v>
      </c>
      <c r="NI41" s="17">
        <f t="shared" si="82"/>
        <v>35</v>
      </c>
      <c r="NJ41" s="17">
        <f t="shared" si="82"/>
        <v>35</v>
      </c>
      <c r="NK41" s="17">
        <f t="shared" si="82"/>
        <v>35</v>
      </c>
      <c r="NL41" s="17">
        <f t="shared" si="82"/>
        <v>35</v>
      </c>
      <c r="NM41" s="17">
        <f t="shared" si="82"/>
        <v>35</v>
      </c>
      <c r="NN41" s="17">
        <f t="shared" si="82"/>
        <v>35</v>
      </c>
      <c r="NO41" s="17">
        <f t="shared" si="82"/>
        <v>35</v>
      </c>
      <c r="NP41" s="17">
        <f t="shared" si="82"/>
        <v>35</v>
      </c>
      <c r="NQ41" s="17">
        <f t="shared" si="82"/>
        <v>35</v>
      </c>
      <c r="NR41" s="17">
        <f t="shared" si="82"/>
        <v>35</v>
      </c>
      <c r="NS41" s="17">
        <f t="shared" si="82"/>
        <v>35</v>
      </c>
      <c r="NT41" s="17">
        <f t="shared" si="82"/>
        <v>35</v>
      </c>
      <c r="NU41" s="17">
        <f t="shared" si="82"/>
        <v>35</v>
      </c>
      <c r="NV41" s="17">
        <f t="shared" si="82"/>
        <v>35</v>
      </c>
      <c r="NW41" s="17">
        <f t="shared" si="82"/>
        <v>35</v>
      </c>
      <c r="NX41" s="17">
        <f t="shared" ref="NX41:PG41" si="83">IF(NW41=$H41,NW41,NW41+1)</f>
        <v>35</v>
      </c>
      <c r="NY41" s="17">
        <f t="shared" si="83"/>
        <v>35</v>
      </c>
      <c r="NZ41" s="17">
        <f t="shared" si="83"/>
        <v>35</v>
      </c>
      <c r="OA41" s="17">
        <f t="shared" si="83"/>
        <v>35</v>
      </c>
      <c r="OB41" s="17">
        <f t="shared" si="83"/>
        <v>35</v>
      </c>
      <c r="OC41" s="17">
        <f t="shared" si="83"/>
        <v>35</v>
      </c>
      <c r="OD41" s="17">
        <f t="shared" si="83"/>
        <v>35</v>
      </c>
      <c r="OE41" s="17">
        <f t="shared" si="83"/>
        <v>35</v>
      </c>
      <c r="OF41" s="17">
        <f t="shared" si="83"/>
        <v>35</v>
      </c>
      <c r="OG41" s="17">
        <f t="shared" si="83"/>
        <v>35</v>
      </c>
      <c r="OH41" s="17">
        <f t="shared" si="83"/>
        <v>35</v>
      </c>
      <c r="OI41" s="17">
        <f t="shared" si="83"/>
        <v>35</v>
      </c>
      <c r="OJ41" s="17">
        <f t="shared" si="83"/>
        <v>35</v>
      </c>
      <c r="OK41" s="17">
        <f t="shared" si="83"/>
        <v>35</v>
      </c>
      <c r="OL41" s="17">
        <f t="shared" si="83"/>
        <v>35</v>
      </c>
      <c r="OM41" s="17">
        <f t="shared" si="83"/>
        <v>35</v>
      </c>
      <c r="ON41" s="17">
        <f t="shared" si="83"/>
        <v>35</v>
      </c>
      <c r="OO41" s="17">
        <f t="shared" si="83"/>
        <v>35</v>
      </c>
      <c r="OP41" s="17">
        <f t="shared" si="83"/>
        <v>35</v>
      </c>
      <c r="OQ41" s="17">
        <f t="shared" si="83"/>
        <v>35</v>
      </c>
      <c r="OR41" s="17">
        <f t="shared" si="83"/>
        <v>35</v>
      </c>
      <c r="OS41" s="17">
        <f t="shared" si="83"/>
        <v>35</v>
      </c>
      <c r="OT41" s="17">
        <f t="shared" si="83"/>
        <v>35</v>
      </c>
      <c r="OU41" s="17">
        <f t="shared" si="83"/>
        <v>35</v>
      </c>
      <c r="OV41" s="17">
        <f t="shared" si="83"/>
        <v>35</v>
      </c>
      <c r="OW41" s="17">
        <f t="shared" si="83"/>
        <v>35</v>
      </c>
      <c r="OX41" s="17">
        <f t="shared" si="83"/>
        <v>35</v>
      </c>
      <c r="OY41" s="17">
        <f t="shared" si="83"/>
        <v>35</v>
      </c>
      <c r="OZ41" s="17">
        <f t="shared" si="83"/>
        <v>35</v>
      </c>
      <c r="PA41" s="17">
        <f t="shared" si="83"/>
        <v>35</v>
      </c>
      <c r="PB41" s="17">
        <f t="shared" si="83"/>
        <v>35</v>
      </c>
      <c r="PC41" s="17">
        <f t="shared" si="83"/>
        <v>35</v>
      </c>
      <c r="PD41" s="17">
        <f t="shared" si="83"/>
        <v>35</v>
      </c>
      <c r="PE41" s="17">
        <f t="shared" si="83"/>
        <v>35</v>
      </c>
      <c r="PF41" s="17">
        <f t="shared" si="83"/>
        <v>35</v>
      </c>
      <c r="PG41" s="17">
        <f t="shared" si="83"/>
        <v>35</v>
      </c>
    </row>
    <row r="42" spans="1:423" x14ac:dyDescent="0.25">
      <c r="A42" s="8" t="s">
        <v>5509</v>
      </c>
      <c r="B42" s="9" t="s">
        <v>5505</v>
      </c>
      <c r="C42" s="9" t="str">
        <f t="shared" si="72"/>
        <v>LR3</v>
      </c>
      <c r="D42" s="1" t="str">
        <f t="shared" si="73"/>
        <v>Libre R3</v>
      </c>
      <c r="E42" s="1" t="s">
        <v>15</v>
      </c>
      <c r="F42" s="9" t="s">
        <v>5508</v>
      </c>
      <c r="G42" s="9">
        <v>60</v>
      </c>
      <c r="H42" s="9">
        <v>35</v>
      </c>
      <c r="I42" s="127">
        <v>2.8</v>
      </c>
      <c r="J42" s="30" t="s">
        <v>5511</v>
      </c>
      <c r="K42" s="281"/>
      <c r="L42" s="8">
        <v>1.2</v>
      </c>
      <c r="M42" s="9">
        <v>1.2</v>
      </c>
      <c r="N42" s="10">
        <v>2.2989999999999999</v>
      </c>
      <c r="O42" s="269"/>
      <c r="P42" s="331"/>
      <c r="Q42" s="335"/>
      <c r="R42" s="128">
        <v>1</v>
      </c>
      <c r="S42" s="9">
        <v>1</v>
      </c>
      <c r="T42" s="10">
        <v>2</v>
      </c>
      <c r="U42" t="s">
        <v>5523</v>
      </c>
      <c r="V42" s="17">
        <v>0</v>
      </c>
      <c r="W42" s="17">
        <f>IF(Distances[[#This Row],[Colonne4]]=$G42,V42,Distances[[#This Row],[Colonne4]]+1)</f>
        <v>1</v>
      </c>
      <c r="X42" s="17">
        <f>IF(Distances[[#This Row],[Colonne5]]=$G42,W42,Distances[[#This Row],[Colonne5]]+1)</f>
        <v>2</v>
      </c>
      <c r="Y42" s="17">
        <f>IF(Distances[[#This Row],[Colonne6]]=$G42,X42,Distances[[#This Row],[Colonne6]]+1)</f>
        <v>3</v>
      </c>
      <c r="Z42" s="17">
        <f>IF(Distances[[#This Row],[Colonne7]]=$G42,Y42,Distances[[#This Row],[Colonne7]]+1)</f>
        <v>4</v>
      </c>
      <c r="AA42" s="17">
        <f>IF(Distances[[#This Row],[Colonne8]]=$G42,Z42,Distances[[#This Row],[Colonne8]]+1)</f>
        <v>5</v>
      </c>
      <c r="AB42" s="17">
        <f>IF(Distances[[#This Row],[Colonne9]]=$G42,AA42,Distances[[#This Row],[Colonne9]]+1)</f>
        <v>6</v>
      </c>
      <c r="AC42" s="17">
        <f>IF(Distances[[#This Row],[Colonne10]]=$G42,AB42,Distances[[#This Row],[Colonne10]]+1)</f>
        <v>7</v>
      </c>
      <c r="AD42" s="17">
        <f>IF(Distances[[#This Row],[Colonne11]]=$G42,AC42,Distances[[#This Row],[Colonne11]]+1)</f>
        <v>8</v>
      </c>
      <c r="AE42" s="17">
        <f>IF(Distances[[#This Row],[Colonne12]]=$G42,AD42,Distances[[#This Row],[Colonne12]]+1)</f>
        <v>9</v>
      </c>
      <c r="AF42" s="17">
        <f>IF(Distances[[#This Row],[Colonne13]]=$G42,AE42,Distances[[#This Row],[Colonne13]]+1)</f>
        <v>10</v>
      </c>
      <c r="AG42" s="17">
        <f>IF(Distances[[#This Row],[Colonne14]]=$G42,AF42,Distances[[#This Row],[Colonne14]]+1)</f>
        <v>11</v>
      </c>
      <c r="AH42" s="17">
        <f>IF(Distances[[#This Row],[Colonne15]]=$G42,AG42,Distances[[#This Row],[Colonne15]]+1)</f>
        <v>12</v>
      </c>
      <c r="AI42" s="17">
        <f>IF(Distances[[#This Row],[Colonne16]]=$G42,AH42,Distances[[#This Row],[Colonne16]]+1)</f>
        <v>13</v>
      </c>
      <c r="AJ42" s="17">
        <f>IF(Distances[[#This Row],[Colonne17]]=$G42,AI42,Distances[[#This Row],[Colonne17]]+1)</f>
        <v>14</v>
      </c>
      <c r="AK42" s="17">
        <f>IF(Distances[[#This Row],[Colonne18]]=$G42,AJ42,Distances[[#This Row],[Colonne18]]+1)</f>
        <v>15</v>
      </c>
      <c r="AL42" s="17">
        <f>IF(Distances[[#This Row],[Colonne19]]=$G42,AK42,Distances[[#This Row],[Colonne19]]+1)</f>
        <v>16</v>
      </c>
      <c r="AM42" s="17">
        <f>IF(Distances[[#This Row],[Colonne20]]=$G42,AL42,Distances[[#This Row],[Colonne20]]+1)</f>
        <v>17</v>
      </c>
      <c r="AN42" s="17">
        <f>IF(Distances[[#This Row],[Colonne21]]=$G42,AM42,Distances[[#This Row],[Colonne21]]+1)</f>
        <v>18</v>
      </c>
      <c r="AO42" s="17">
        <f>IF(Distances[[#This Row],[Colonne22]]=$G42,AN42,Distances[[#This Row],[Colonne22]]+1)</f>
        <v>19</v>
      </c>
      <c r="AP42" s="17">
        <f>IF(Distances[[#This Row],[Colonne23]]=$G42,AO42,Distances[[#This Row],[Colonne23]]+1)</f>
        <v>20</v>
      </c>
      <c r="AQ42" s="17">
        <f>IF(Distances[[#This Row],[Colonne24]]=$G42,AP42,Distances[[#This Row],[Colonne24]]+1)</f>
        <v>21</v>
      </c>
      <c r="AR42" s="17">
        <f>IF(Distances[[#This Row],[Colonne25]]=$G42,AQ42,Distances[[#This Row],[Colonne25]]+1)</f>
        <v>22</v>
      </c>
      <c r="AS42" s="17">
        <f>IF(Distances[[#This Row],[Colonne26]]=$G42,AR42,Distances[[#This Row],[Colonne26]]+1)</f>
        <v>23</v>
      </c>
      <c r="AT42" s="17">
        <f>IF(Distances[[#This Row],[Colonne27]]=$G42,AS42,Distances[[#This Row],[Colonne27]]+1)</f>
        <v>24</v>
      </c>
      <c r="AU42" s="17">
        <f>IF(Distances[[#This Row],[Colonne28]]=$G42,AT42,Distances[[#This Row],[Colonne28]]+1)</f>
        <v>25</v>
      </c>
      <c r="AV42" s="17">
        <f>IF(Distances[[#This Row],[Colonne29]]=$G42,AU42,Distances[[#This Row],[Colonne29]]+1)</f>
        <v>26</v>
      </c>
      <c r="AW42" s="17">
        <f>IF(Distances[[#This Row],[Colonne30]]=$G42,AV42,Distances[[#This Row],[Colonne30]]+1)</f>
        <v>27</v>
      </c>
      <c r="AX42" s="17">
        <f>IF(Distances[[#This Row],[Colonne31]]=$G42,AW42,Distances[[#This Row],[Colonne31]]+1)</f>
        <v>28</v>
      </c>
      <c r="AY42" s="17">
        <f>IF(Distances[[#This Row],[Colonne32]]=$G42,AX42,Distances[[#This Row],[Colonne32]]+1)</f>
        <v>29</v>
      </c>
      <c r="AZ42" s="17">
        <f>IF(Distances[[#This Row],[Colonne33]]=$G42,AY42,Distances[[#This Row],[Colonne33]]+1)</f>
        <v>30</v>
      </c>
      <c r="BA42" s="17">
        <f>IF(Distances[[#This Row],[Colonne34]]=$G42,AZ42,Distances[[#This Row],[Colonne34]]+1)</f>
        <v>31</v>
      </c>
      <c r="BB42" s="17">
        <f>IF(Distances[[#This Row],[Colonne35]]=$G42,BA42,Distances[[#This Row],[Colonne35]]+1)</f>
        <v>32</v>
      </c>
      <c r="BC42" s="17">
        <f>IF(Distances[[#This Row],[Colonne36]]=$G42,BB42,Distances[[#This Row],[Colonne36]]+1)</f>
        <v>33</v>
      </c>
      <c r="BD42" s="17">
        <f>IF(Distances[[#This Row],[Colonne37]]=$G42,BC42,Distances[[#This Row],[Colonne37]]+1)</f>
        <v>34</v>
      </c>
      <c r="BE42" s="17">
        <f>IF(Distances[[#This Row],[Colonne38]]=$G42,BD42,Distances[[#This Row],[Colonne38]]+1)</f>
        <v>35</v>
      </c>
      <c r="BF42" s="17">
        <f>IF(Distances[[#This Row],[Colonne39]]=$G42,BE42,Distances[[#This Row],[Colonne39]]+1)</f>
        <v>36</v>
      </c>
      <c r="BG42" s="17">
        <f>IF(Distances[[#This Row],[Colonne40]]=$G42,BF42,Distances[[#This Row],[Colonne40]]+1)</f>
        <v>37</v>
      </c>
      <c r="BH42" s="17">
        <f>IF(Distances[[#This Row],[Colonne41]]=$G42,BG42,Distances[[#This Row],[Colonne41]]+1)</f>
        <v>38</v>
      </c>
      <c r="BI42" s="17">
        <f>IF(Distances[[#This Row],[Colonne42]]=$G42,BH42,Distances[[#This Row],[Colonne42]]+1)</f>
        <v>39</v>
      </c>
      <c r="BJ42" s="17">
        <f>IF(Distances[[#This Row],[Colonne43]]=$G42,BI42,Distances[[#This Row],[Colonne43]]+1)</f>
        <v>40</v>
      </c>
      <c r="BK42" s="17">
        <f>IF(Distances[[#This Row],[Colonne44]]=$G42,BJ42,Distances[[#This Row],[Colonne44]]+1)</f>
        <v>41</v>
      </c>
      <c r="BL42" s="17">
        <f>IF(Distances[[#This Row],[Colonne45]]=$G42,BK42,Distances[[#This Row],[Colonne45]]+1)</f>
        <v>42</v>
      </c>
      <c r="BM42" s="17">
        <f>IF(Distances[[#This Row],[Colonne46]]=$G42,BL42,Distances[[#This Row],[Colonne46]]+1)</f>
        <v>43</v>
      </c>
      <c r="BN42" s="17">
        <f>IF(Distances[[#This Row],[Colonne47]]=$G42,BM42,Distances[[#This Row],[Colonne47]]+1)</f>
        <v>44</v>
      </c>
      <c r="BO42" s="17">
        <f>IF(Distances[[#This Row],[Colonne48]]=$G42,BN42,Distances[[#This Row],[Colonne48]]+1)</f>
        <v>45</v>
      </c>
      <c r="BP42" s="17">
        <f>IF(Distances[[#This Row],[Colonne49]]=$G42,BO42,Distances[[#This Row],[Colonne49]]+1)</f>
        <v>46</v>
      </c>
      <c r="BQ42" s="17">
        <f>IF(Distances[[#This Row],[Colonne50]]=$G42,BP42,Distances[[#This Row],[Colonne50]]+1)</f>
        <v>47</v>
      </c>
      <c r="BR42" s="17">
        <f>IF(Distances[[#This Row],[Colonne51]]=$G42,BQ42,Distances[[#This Row],[Colonne51]]+1)</f>
        <v>48</v>
      </c>
      <c r="BS42" s="17">
        <f>IF(Distances[[#This Row],[Colonne52]]=$G42,BR42,Distances[[#This Row],[Colonne52]]+1)</f>
        <v>49</v>
      </c>
      <c r="BT42" s="17">
        <f>IF(Distances[[#This Row],[Colonne53]]=$G42,BS42,Distances[[#This Row],[Colonne53]]+1)</f>
        <v>50</v>
      </c>
      <c r="BU42" s="17">
        <f>IF(Distances[[#This Row],[Colonne54]]=$G42,BT42,Distances[[#This Row],[Colonne54]]+1)</f>
        <v>51</v>
      </c>
      <c r="BV42" s="17">
        <f>IF(Distances[[#This Row],[Colonne55]]=$G42,BU42,Distances[[#This Row],[Colonne55]]+1)</f>
        <v>52</v>
      </c>
      <c r="BW42" s="17">
        <f>IF(Distances[[#This Row],[Colonne56]]=$G42,BV42,Distances[[#This Row],[Colonne56]]+1)</f>
        <v>53</v>
      </c>
      <c r="BX42" s="17">
        <f>IF(Distances[[#This Row],[Colonne57]]=$G42,BW42,Distances[[#This Row],[Colonne57]]+1)</f>
        <v>54</v>
      </c>
      <c r="BY42" s="17">
        <f>IF(Distances[[#This Row],[Colonne58]]=$G42,BX42,Distances[[#This Row],[Colonne58]]+1)</f>
        <v>55</v>
      </c>
      <c r="BZ42" s="17">
        <f>IF(Distances[[#This Row],[Colonne59]]=$G42,BY42,Distances[[#This Row],[Colonne59]]+1)</f>
        <v>56</v>
      </c>
      <c r="CA42" s="17">
        <f>IF(Distances[[#This Row],[Colonne60]]=$G42,BZ42,Distances[[#This Row],[Colonne60]]+1)</f>
        <v>57</v>
      </c>
      <c r="CB42" s="17">
        <f>IF(Distances[[#This Row],[Colonne61]]=$G42,CA42,Distances[[#This Row],[Colonne61]]+1)</f>
        <v>58</v>
      </c>
      <c r="CC42" s="17">
        <f>IF(Distances[[#This Row],[Colonne62]]=$G42,CB42,Distances[[#This Row],[Colonne62]]+1)</f>
        <v>59</v>
      </c>
      <c r="CD42" s="17">
        <f>IF(Distances[[#This Row],[Colonne63]]=$G42,CC42,Distances[[#This Row],[Colonne63]]+1)</f>
        <v>60</v>
      </c>
      <c r="CE42" s="17">
        <f>IF(Distances[[#This Row],[Colonne64]]=$G42,CD42,Distances[[#This Row],[Colonne64]]+1)</f>
        <v>60</v>
      </c>
      <c r="CF42" s="17">
        <f>IF(Distances[[#This Row],[Colonne65]]=$G42,CE42,Distances[[#This Row],[Colonne65]]+1)</f>
        <v>60</v>
      </c>
      <c r="CG42" s="17">
        <f>IF(Distances[[#This Row],[Colonne66]]=$G42,CF42,Distances[[#This Row],[Colonne66]]+1)</f>
        <v>60</v>
      </c>
      <c r="CH42" s="17">
        <f>IF(Distances[[#This Row],[Colonne67]]=$G42,CG42,Distances[[#This Row],[Colonne67]]+1)</f>
        <v>60</v>
      </c>
      <c r="CI42" s="17">
        <f>IF(Distances[[#This Row],[Colonne68]]=$G42,CH42,Distances[[#This Row],[Colonne68]]+1)</f>
        <v>60</v>
      </c>
      <c r="CJ42" s="17">
        <f>IF(Distances[[#This Row],[Colonne69]]=$G42,CI42,Distances[[#This Row],[Colonne69]]+1)</f>
        <v>60</v>
      </c>
      <c r="CK42" s="17">
        <f>IF(Distances[[#This Row],[Colonne70]]=$G42,CJ42,Distances[[#This Row],[Colonne70]]+1)</f>
        <v>60</v>
      </c>
      <c r="CL42" s="17">
        <f>IF(Distances[[#This Row],[Colonne71]]=$G42,CK42,Distances[[#This Row],[Colonne71]]+1)</f>
        <v>60</v>
      </c>
      <c r="CM42" s="17">
        <f>IF(Distances[[#This Row],[Colonne72]]=$G42,CL42,Distances[[#This Row],[Colonne72]]+1)</f>
        <v>60</v>
      </c>
      <c r="CN42" s="17">
        <f>IF(Distances[[#This Row],[Colonne73]]=$G42,CM42,Distances[[#This Row],[Colonne73]]+1)</f>
        <v>60</v>
      </c>
      <c r="CO42" s="17">
        <f>IF(Distances[[#This Row],[Colonne74]]=$G42,CN42,Distances[[#This Row],[Colonne74]]+1)</f>
        <v>60</v>
      </c>
      <c r="CP42" s="17">
        <f>IF(Distances[[#This Row],[Colonne75]]=$G42,CO42,Distances[[#This Row],[Colonne75]]+1)</f>
        <v>60</v>
      </c>
      <c r="CQ42" s="17">
        <f>IF(Distances[[#This Row],[Colonne76]]=$G42,CP42,Distances[[#This Row],[Colonne76]]+1)</f>
        <v>60</v>
      </c>
      <c r="CR42" s="17">
        <f>IF(Distances[[#This Row],[Colonne77]]=$G42,CQ42,Distances[[#This Row],[Colonne77]]+1)</f>
        <v>60</v>
      </c>
      <c r="CS42" s="17">
        <f>IF(Distances[[#This Row],[Colonne78]]=$G42,CR42,Distances[[#This Row],[Colonne78]]+1)</f>
        <v>60</v>
      </c>
      <c r="CT42" s="17">
        <f>IF(Distances[[#This Row],[Colonne79]]=$G42,CS42,Distances[[#This Row],[Colonne79]]+1)</f>
        <v>60</v>
      </c>
      <c r="CU42" s="17">
        <f>IF(Distances[[#This Row],[Colonne80]]=$G42,CT42,Distances[[#This Row],[Colonne80]]+1)</f>
        <v>60</v>
      </c>
      <c r="CV42" s="17">
        <f>IF(Distances[[#This Row],[Colonne81]]=$G42,CU42,Distances[[#This Row],[Colonne81]]+1)</f>
        <v>60</v>
      </c>
      <c r="CW42" s="17">
        <f>IF(Distances[[#This Row],[Colonne82]]=$G42,CV42,Distances[[#This Row],[Colonne82]]+1)</f>
        <v>60</v>
      </c>
      <c r="CX42" s="17">
        <f>IF(Distances[[#This Row],[Colonne83]]=$G42,CW42,Distances[[#This Row],[Colonne83]]+1)</f>
        <v>60</v>
      </c>
      <c r="CY42" s="17">
        <f>IF(Distances[[#This Row],[Colonne84]]=$G42,CX42,Distances[[#This Row],[Colonne84]]+1)</f>
        <v>60</v>
      </c>
      <c r="CZ42" s="17">
        <f>IF(Distances[[#This Row],[Colonne85]]=$G42,CY42,Distances[[#This Row],[Colonne85]]+1)</f>
        <v>60</v>
      </c>
      <c r="DA42" s="17">
        <f>IF(Distances[[#This Row],[Colonne86]]=$G42,CZ42,Distances[[#This Row],[Colonne86]]+1)</f>
        <v>60</v>
      </c>
      <c r="DB42" s="17">
        <f>IF(Distances[[#This Row],[Colonne87]]=$G42,DA42,Distances[[#This Row],[Colonne87]]+1)</f>
        <v>60</v>
      </c>
      <c r="DC42" s="17">
        <f>IF(Distances[[#This Row],[Colonne88]]=$G42,DB42,Distances[[#This Row],[Colonne88]]+1)</f>
        <v>60</v>
      </c>
      <c r="DD42" s="17">
        <f>IF(Distances[[#This Row],[Colonne89]]=$G42,DC42,Distances[[#This Row],[Colonne89]]+1)</f>
        <v>60</v>
      </c>
      <c r="DE42" s="17">
        <f>IF(Distances[[#This Row],[Colonne90]]=$G42,DD42,Distances[[#This Row],[Colonne90]]+1)</f>
        <v>60</v>
      </c>
      <c r="DF42" s="17">
        <f>IF(Distances[[#This Row],[Colonne91]]=$G42,DE42,Distances[[#This Row],[Colonne91]]+1)</f>
        <v>60</v>
      </c>
      <c r="DG42" s="17">
        <f>IF(Distances[[#This Row],[Colonne92]]=$G42,DF42,Distances[[#This Row],[Colonne92]]+1)</f>
        <v>60</v>
      </c>
      <c r="DH42" s="17">
        <f>IF(Distances[[#This Row],[Colonne93]]=$G42,DG42,Distances[[#This Row],[Colonne93]]+1)</f>
        <v>60</v>
      </c>
      <c r="DI42" s="17">
        <f>IF(Distances[[#This Row],[Colonne94]]=$G42,DH42,Distances[[#This Row],[Colonne94]]+1)</f>
        <v>60</v>
      </c>
      <c r="DJ42" s="17">
        <f>IF(Distances[[#This Row],[Colonne95]]=$G42,DI42,Distances[[#This Row],[Colonne95]]+1)</f>
        <v>60</v>
      </c>
      <c r="DK42" s="17">
        <f>IF(Distances[[#This Row],[Colonne96]]=$G42,DJ42,Distances[[#This Row],[Colonne96]]+1)</f>
        <v>60</v>
      </c>
      <c r="DL42" s="17">
        <f>IF(Distances[[#This Row],[Colonne97]]=$G42,DK42,Distances[[#This Row],[Colonne97]]+1)</f>
        <v>60</v>
      </c>
      <c r="DM42" s="17">
        <f>IF(Distances[[#This Row],[Colonne98]]=$G42,DL42,Distances[[#This Row],[Colonne98]]+1)</f>
        <v>60</v>
      </c>
      <c r="DN42" s="17">
        <f>IF(Distances[[#This Row],[Colonne99]]=$G42,DM42,Distances[[#This Row],[Colonne99]]+1)</f>
        <v>60</v>
      </c>
      <c r="DO42" s="17">
        <f>IF(Distances[[#This Row],[Colonne100]]=$G42,DN42,Distances[[#This Row],[Colonne100]]+1)</f>
        <v>60</v>
      </c>
      <c r="DP42" s="17">
        <f>IF(Distances[[#This Row],[Colonne101]]=$G42,DO42,Distances[[#This Row],[Colonne101]]+1)</f>
        <v>60</v>
      </c>
      <c r="DQ42" s="17">
        <f>IF(Distances[[#This Row],[Colonne102]]=$G42,DP42,Distances[[#This Row],[Colonne102]]+1)</f>
        <v>60</v>
      </c>
      <c r="DR42" s="17">
        <f>IF(Distances[[#This Row],[Colonne103]]=$G42,DQ42,Distances[[#This Row],[Colonne103]]+1)</f>
        <v>60</v>
      </c>
      <c r="DS42" s="17">
        <f>IF(Distances[[#This Row],[Colonne104]]=$G42,DR42,Distances[[#This Row],[Colonne104]]+1)</f>
        <v>60</v>
      </c>
      <c r="DT42" s="17">
        <f>IF(Distances[[#This Row],[Colonne105]]=$G42,DS42,Distances[[#This Row],[Colonne105]]+1)</f>
        <v>60</v>
      </c>
      <c r="DU42" s="17">
        <f>IF(Distances[[#This Row],[Colonne106]]=$G42,DT42,Distances[[#This Row],[Colonne106]]+1)</f>
        <v>60</v>
      </c>
      <c r="DV42" s="17">
        <f>IF(Distances[[#This Row],[Colonne107]]=$G42,DU42,Distances[[#This Row],[Colonne107]]+1)</f>
        <v>60</v>
      </c>
      <c r="DW42" s="17">
        <f>IF(Distances[[#This Row],[Colonne108]]=$G42,DV42,Distances[[#This Row],[Colonne108]]+1)</f>
        <v>60</v>
      </c>
      <c r="DX42" s="17">
        <f>IF(Distances[[#This Row],[Colonne109]]=$G42,DW42,Distances[[#This Row],[Colonne109]]+1)</f>
        <v>60</v>
      </c>
      <c r="DY42" s="17">
        <f>IF(Distances[[#This Row],[Colonne110]]=$G42,DX42,Distances[[#This Row],[Colonne110]]+1)</f>
        <v>60</v>
      </c>
      <c r="DZ42" s="17">
        <f>IF(Distances[[#This Row],[Colonne111]]=$G42,DY42,Distances[[#This Row],[Colonne111]]+1)</f>
        <v>60</v>
      </c>
      <c r="EA42" s="17">
        <f>IF(Distances[[#This Row],[Colonne112]]=$G42,DZ42,Distances[[#This Row],[Colonne112]]+1)</f>
        <v>60</v>
      </c>
      <c r="EB42" s="17">
        <f>IF(Distances[[#This Row],[Colonne113]]=$G42,EA42,Distances[[#This Row],[Colonne113]]+1)</f>
        <v>60</v>
      </c>
      <c r="EC42" s="17">
        <f>IF(Distances[[#This Row],[Colonne114]]=$G42,EB42,Distances[[#This Row],[Colonne114]]+1)</f>
        <v>60</v>
      </c>
      <c r="ED42" s="17">
        <f>IF(Distances[[#This Row],[Colonne115]]=$G42,EC42,Distances[[#This Row],[Colonne115]]+1)</f>
        <v>60</v>
      </c>
      <c r="EE42" s="17">
        <f>IF(Distances[[#This Row],[Colonne116]]=$G42,ED42,Distances[[#This Row],[Colonne116]]+1)</f>
        <v>60</v>
      </c>
      <c r="EF42" s="17">
        <f>IF(Distances[[#This Row],[Colonne117]]=$G42,EE42,Distances[[#This Row],[Colonne117]]+1)</f>
        <v>60</v>
      </c>
      <c r="EG42" s="17">
        <f>IF(Distances[[#This Row],[Colonne118]]=$G42,EF42,Distances[[#This Row],[Colonne118]]+1)</f>
        <v>60</v>
      </c>
      <c r="EH42" s="17">
        <f>IF(Distances[[#This Row],[Colonne119]]=$G42,EG42,Distances[[#This Row],[Colonne119]]+1)</f>
        <v>60</v>
      </c>
      <c r="EI42" s="17">
        <f>IF(Distances[[#This Row],[Colonne120]]=$G42,EH42,Distances[[#This Row],[Colonne120]]+1)</f>
        <v>60</v>
      </c>
      <c r="EJ42" s="17">
        <f>IF(Distances[[#This Row],[Colonne121]]=$G42,EI42,Distances[[#This Row],[Colonne121]]+1)</f>
        <v>60</v>
      </c>
      <c r="EK42" s="17">
        <f>IF(Distances[[#This Row],[Colonne122]]=$G42,EJ42,Distances[[#This Row],[Colonne122]]+1)</f>
        <v>60</v>
      </c>
      <c r="EL42" s="17">
        <f>IF(Distances[[#This Row],[Colonne123]]=$G42,EK42,Distances[[#This Row],[Colonne123]]+1)</f>
        <v>60</v>
      </c>
      <c r="EM42" s="17">
        <f>IF(Distances[[#This Row],[Colonne124]]=$G42,EL42,Distances[[#This Row],[Colonne124]]+1)</f>
        <v>60</v>
      </c>
      <c r="EN42" s="17">
        <f>IF(Distances[[#This Row],[Colonne125]]=$G42,EM42,Distances[[#This Row],[Colonne125]]+1)</f>
        <v>60</v>
      </c>
      <c r="EO42" s="17">
        <f>IF(Distances[[#This Row],[Colonne126]]=$G42,EN42,Distances[[#This Row],[Colonne126]]+1)</f>
        <v>60</v>
      </c>
      <c r="EP42" s="17">
        <f>IF(Distances[[#This Row],[Colonne127]]=$G42,EO42,Distances[[#This Row],[Colonne127]]+1)</f>
        <v>60</v>
      </c>
      <c r="EQ42" s="17">
        <f>IF(Distances[[#This Row],[Colonne128]]=$G42,EP42,Distances[[#This Row],[Colonne128]]+1)</f>
        <v>60</v>
      </c>
      <c r="ER42" s="17">
        <f>IF(Distances[[#This Row],[Colonne129]]=$G42,EQ42,Distances[[#This Row],[Colonne129]]+1)</f>
        <v>60</v>
      </c>
      <c r="ES42" s="17">
        <f>IF(Distances[[#This Row],[Colonne130]]=$G42,ER42,Distances[[#This Row],[Colonne130]]+1)</f>
        <v>60</v>
      </c>
      <c r="ET42" s="17">
        <f>IF(Distances[[#This Row],[Colonne131]]=$G42,ES42,Distances[[#This Row],[Colonne131]]+1)</f>
        <v>60</v>
      </c>
      <c r="EU42" s="17">
        <f>IF(Distances[[#This Row],[Colonne132]]=$G42,ET42,Distances[[#This Row],[Colonne132]]+1)</f>
        <v>60</v>
      </c>
      <c r="EV42" s="17">
        <f>IF(Distances[[#This Row],[Colonne133]]=$G42,EU42,Distances[[#This Row],[Colonne133]]+1)</f>
        <v>60</v>
      </c>
      <c r="EW42" s="17">
        <f>IF(Distances[[#This Row],[Colonne134]]=$G42,EV42,Distances[[#This Row],[Colonne134]]+1)</f>
        <v>60</v>
      </c>
      <c r="EX42" s="17">
        <f>IF(Distances[[#This Row],[Colonne135]]=$G42,EW42,Distances[[#This Row],[Colonne135]]+1)</f>
        <v>60</v>
      </c>
      <c r="EY42" s="17">
        <f>IF(Distances[[#This Row],[Colonne136]]=$G42,EX42,Distances[[#This Row],[Colonne136]]+1)</f>
        <v>60</v>
      </c>
      <c r="EZ42" s="17">
        <f>IF(Distances[[#This Row],[Colonne137]]=$G42,EY42,Distances[[#This Row],[Colonne137]]+1)</f>
        <v>60</v>
      </c>
      <c r="FA42" s="17">
        <f>IF(Distances[[#This Row],[Colonne138]]=$G42,EZ42,Distances[[#This Row],[Colonne138]]+1)</f>
        <v>60</v>
      </c>
      <c r="FB42" s="17">
        <f>IF(Distances[[#This Row],[Colonne139]]=$G42,FA42,Distances[[#This Row],[Colonne139]]+1)</f>
        <v>60</v>
      </c>
      <c r="FC42" s="17">
        <f>IF(Distances[[#This Row],[Colonne140]]=$G42,FB42,Distances[[#This Row],[Colonne140]]+1)</f>
        <v>60</v>
      </c>
      <c r="FD42" s="17">
        <f>IF(Distances[[#This Row],[Colonne141]]=$G42,FC42,Distances[[#This Row],[Colonne141]]+1)</f>
        <v>60</v>
      </c>
      <c r="FE42" s="17">
        <f>IF(Distances[[#This Row],[Colonne142]]=$G42,FD42,Distances[[#This Row],[Colonne142]]+1)</f>
        <v>60</v>
      </c>
      <c r="FF42" s="17">
        <f>IF(Distances[[#This Row],[Colonne143]]=$G42,FE42,Distances[[#This Row],[Colonne143]]+1)</f>
        <v>60</v>
      </c>
      <c r="FG42" s="17">
        <f>IF(Distances[[#This Row],[Colonne144]]=$G42,FF42,Distances[[#This Row],[Colonne144]]+1)</f>
        <v>60</v>
      </c>
      <c r="FH42" s="17">
        <f>IF(Distances[[#This Row],[Colonne145]]=$G42,FG42,Distances[[#This Row],[Colonne145]]+1)</f>
        <v>60</v>
      </c>
      <c r="FI42" s="17">
        <f>IF(Distances[[#This Row],[Colonne146]]=$G42,FH42,Distances[[#This Row],[Colonne146]]+1)</f>
        <v>60</v>
      </c>
      <c r="FJ42" s="17">
        <f>IF(Distances[[#This Row],[Colonne147]]=$G42,FI42,Distances[[#This Row],[Colonne147]]+1)</f>
        <v>60</v>
      </c>
      <c r="FK42" s="17">
        <f>IF(Distances[[#This Row],[Colonne148]]=$G42,FJ42,Distances[[#This Row],[Colonne148]]+1)</f>
        <v>60</v>
      </c>
      <c r="FL42" s="17">
        <f>IF(Distances[[#This Row],[Colonne149]]=$G42,FK42,Distances[[#This Row],[Colonne149]]+1)</f>
        <v>60</v>
      </c>
      <c r="FM42" s="17">
        <f>IF(Distances[[#This Row],[Colonne150]]=$G42,FL42,Distances[[#This Row],[Colonne150]]+1)</f>
        <v>60</v>
      </c>
      <c r="FN42" s="17">
        <f>IF(Distances[[#This Row],[Colonne151]]=$G42,FM42,Distances[[#This Row],[Colonne151]]+1)</f>
        <v>60</v>
      </c>
      <c r="FO42" s="17">
        <f>IF(Distances[[#This Row],[Colonne152]]=$G42,FN42,Distances[[#This Row],[Colonne152]]+1)</f>
        <v>60</v>
      </c>
      <c r="FP42" s="17">
        <f>IF(Distances[[#This Row],[Colonne153]]=$G42,FO42,Distances[[#This Row],[Colonne153]]+1)</f>
        <v>60</v>
      </c>
      <c r="FQ42" s="17">
        <f>IF(Distances[[#This Row],[Colonne154]]=$G42,FP42,Distances[[#This Row],[Colonne154]]+1)</f>
        <v>60</v>
      </c>
      <c r="FR42" s="17">
        <f>IF(Distances[[#This Row],[Colonne155]]=$G42,FQ42,Distances[[#This Row],[Colonne155]]+1)</f>
        <v>60</v>
      </c>
      <c r="FS42" s="17">
        <f>IF(Distances[[#This Row],[Colonne156]]=$G42,FR42,Distances[[#This Row],[Colonne156]]+1)</f>
        <v>60</v>
      </c>
      <c r="FT42" s="17">
        <f>IF(Distances[[#This Row],[Colonne157]]=$G42,FS42,Distances[[#This Row],[Colonne157]]+1)</f>
        <v>60</v>
      </c>
      <c r="FU42" s="17">
        <f>IF(Distances[[#This Row],[Colonne158]]=$G42,FT42,Distances[[#This Row],[Colonne158]]+1)</f>
        <v>60</v>
      </c>
      <c r="FV42" s="17">
        <f>IF(Distances[[#This Row],[Colonne159]]=$G42,FU42,Distances[[#This Row],[Colonne159]]+1)</f>
        <v>60</v>
      </c>
      <c r="FW42" s="17">
        <f>IF(Distances[[#This Row],[Colonne160]]=$G42,FV42,Distances[[#This Row],[Colonne160]]+1)</f>
        <v>60</v>
      </c>
      <c r="FX42" s="17">
        <f>IF(Distances[[#This Row],[Colonne161]]=$G42,FW42,Distances[[#This Row],[Colonne161]]+1)</f>
        <v>60</v>
      </c>
      <c r="FY42" s="17">
        <f>IF(Distances[[#This Row],[Colonne162]]=$G42,FX42,Distances[[#This Row],[Colonne162]]+1)</f>
        <v>60</v>
      </c>
      <c r="FZ42" s="17">
        <f>IF(Distances[[#This Row],[Colonne163]]=$G42,FY42,Distances[[#This Row],[Colonne163]]+1)</f>
        <v>60</v>
      </c>
      <c r="GA42" s="17">
        <f>IF(Distances[[#This Row],[Colonne164]]=$G42,FZ42,Distances[[#This Row],[Colonne164]]+1)</f>
        <v>60</v>
      </c>
      <c r="GB42" s="17">
        <f>IF(Distances[[#This Row],[Colonne165]]=$G42,GA42,Distances[[#This Row],[Colonne165]]+1)</f>
        <v>60</v>
      </c>
      <c r="GC42" s="17">
        <f>IF(Distances[[#This Row],[Colonne166]]=$G42,GB42,Distances[[#This Row],[Colonne166]]+1)</f>
        <v>60</v>
      </c>
      <c r="GD42" s="17">
        <f>IF(Distances[[#This Row],[Colonne167]]=$G42,GC42,Distances[[#This Row],[Colonne167]]+1)</f>
        <v>60</v>
      </c>
      <c r="GE42" s="17">
        <f>IF(Distances[[#This Row],[Colonne168]]=$G42,GD42,Distances[[#This Row],[Colonne168]]+1)</f>
        <v>60</v>
      </c>
      <c r="GF42" s="17">
        <f>IF(Distances[[#This Row],[Colonne169]]=$G42,GE42,Distances[[#This Row],[Colonne169]]+1)</f>
        <v>60</v>
      </c>
      <c r="GG42" s="17">
        <f>IF(Distances[[#This Row],[Colonne170]]=$G42,GF42,Distances[[#This Row],[Colonne170]]+1)</f>
        <v>60</v>
      </c>
      <c r="GH42" s="17">
        <f>IF(Distances[[#This Row],[Colonne171]]=$G42,GG42,Distances[[#This Row],[Colonne171]]+1)</f>
        <v>60</v>
      </c>
      <c r="GI42" s="17">
        <f>IF(Distances[[#This Row],[Colonne172]]=$G42,GH42,Distances[[#This Row],[Colonne172]]+1)</f>
        <v>60</v>
      </c>
      <c r="GJ42" s="17">
        <f>IF(Distances[[#This Row],[Colonne173]]=$G42,GI42,Distances[[#This Row],[Colonne173]]+1)</f>
        <v>60</v>
      </c>
      <c r="GK42" s="17">
        <f>IF(Distances[[#This Row],[Colonne174]]=$G42,GJ42,Distances[[#This Row],[Colonne174]]+1)</f>
        <v>60</v>
      </c>
      <c r="GL42" s="17">
        <f>IF(Distances[[#This Row],[Colonne175]]=$G42,GK42,Distances[[#This Row],[Colonne175]]+1)</f>
        <v>60</v>
      </c>
      <c r="GM42" s="17">
        <f>IF(Distances[[#This Row],[Colonne176]]=$G42,GL42,Distances[[#This Row],[Colonne176]]+1)</f>
        <v>60</v>
      </c>
      <c r="GN42" s="17">
        <f>IF(Distances[[#This Row],[Colonne177]]=$G42,GM42,Distances[[#This Row],[Colonne177]]+1)</f>
        <v>60</v>
      </c>
      <c r="GO42" s="17">
        <f>IF(Distances[[#This Row],[Colonne178]]=$G42,GN42,Distances[[#This Row],[Colonne178]]+1)</f>
        <v>60</v>
      </c>
      <c r="GP42" s="17">
        <f>IF(Distances[[#This Row],[Colonne179]]=$G42,GO42,Distances[[#This Row],[Colonne179]]+1)</f>
        <v>60</v>
      </c>
      <c r="GQ42" s="17">
        <f>IF(Distances[[#This Row],[Colonne180]]=$G42,GP42,Distances[[#This Row],[Colonne180]]+1)</f>
        <v>60</v>
      </c>
      <c r="GR42" s="17">
        <f>IF(Distances[[#This Row],[Colonne181]]=$G42,GQ42,Distances[[#This Row],[Colonne181]]+1)</f>
        <v>60</v>
      </c>
      <c r="GS42" s="17">
        <f>IF(Distances[[#This Row],[Colonne182]]=$G42,GR42,Distances[[#This Row],[Colonne182]]+1)</f>
        <v>60</v>
      </c>
      <c r="GT42" s="17">
        <f>IF(Distances[[#This Row],[Colonne183]]=$G42,GS42,Distances[[#This Row],[Colonne183]]+1)</f>
        <v>60</v>
      </c>
      <c r="GU42" s="17">
        <f>IF(Distances[[#This Row],[Colonne184]]=$G42,GT42,Distances[[#This Row],[Colonne184]]+1)</f>
        <v>60</v>
      </c>
      <c r="GV42" s="17">
        <f>IF(Distances[[#This Row],[Colonne185]]=$G42,GU42,Distances[[#This Row],[Colonne185]]+1)</f>
        <v>60</v>
      </c>
      <c r="GW42" s="17">
        <f>IF(Distances[[#This Row],[Colonne186]]=$G42,GV42,Distances[[#This Row],[Colonne186]]+1)</f>
        <v>60</v>
      </c>
      <c r="GX42" s="17">
        <f>IF(Distances[[#This Row],[Colonne187]]=$G42,GW42,Distances[[#This Row],[Colonne187]]+1)</f>
        <v>60</v>
      </c>
      <c r="GY42" s="17">
        <f>IF(Distances[[#This Row],[Colonne188]]=$G42,GX42,Distances[[#This Row],[Colonne188]]+1)</f>
        <v>60</v>
      </c>
      <c r="GZ42" s="17">
        <f>IF(Distances[[#This Row],[Colonne189]]=$G42,GY42,Distances[[#This Row],[Colonne189]]+1)</f>
        <v>60</v>
      </c>
      <c r="HA42" s="17">
        <f>IF(Distances[[#This Row],[Colonne190]]=$G42,GZ42,Distances[[#This Row],[Colonne190]]+1)</f>
        <v>60</v>
      </c>
      <c r="HB42" s="17">
        <f>IF(Distances[[#This Row],[Colonne191]]=$G42,HA42,Distances[[#This Row],[Colonne191]]+1)</f>
        <v>60</v>
      </c>
      <c r="HC42" s="17">
        <f>IF(Distances[[#This Row],[Colonne192]]=$G42,HB42,Distances[[#This Row],[Colonne192]]+1)</f>
        <v>60</v>
      </c>
      <c r="HD42" s="17">
        <f>IF(Distances[[#This Row],[Colonne193]]=$G42,HC42,Distances[[#This Row],[Colonne193]]+1)</f>
        <v>60</v>
      </c>
      <c r="HE42" s="17">
        <f>IF(Distances[[#This Row],[Colonne194]]=$G42,HD42,Distances[[#This Row],[Colonne194]]+1)</f>
        <v>60</v>
      </c>
      <c r="HF42" s="17">
        <f>IF(Distances[[#This Row],[Colonne195]]=$G42,HE42,Distances[[#This Row],[Colonne195]]+1)</f>
        <v>60</v>
      </c>
      <c r="HG42" s="17">
        <f>IF(Distances[[#This Row],[Colonne196]]=$G42,HF42,Distances[[#This Row],[Colonne196]]+1)</f>
        <v>60</v>
      </c>
      <c r="HH42" s="17">
        <f>IF(Distances[[#This Row],[Colonne197]]=$G42,HG42,Distances[[#This Row],[Colonne197]]+1)</f>
        <v>60</v>
      </c>
      <c r="HI42" s="17">
        <f>IF(Distances[[#This Row],[Colonne198]]=$G42,HH42,Distances[[#This Row],[Colonne198]]+1)</f>
        <v>60</v>
      </c>
      <c r="HJ42" s="17">
        <f>IF(Distances[[#This Row],[Colonne199]]=$G42,HI42,Distances[[#This Row],[Colonne199]]+1)</f>
        <v>60</v>
      </c>
      <c r="HK42" s="17">
        <f>IF(Distances[[#This Row],[Colonne200]]=$G42,HJ42,Distances[[#This Row],[Colonne200]]+1)</f>
        <v>60</v>
      </c>
      <c r="HL42" s="17">
        <f>IF(Distances[[#This Row],[Colonne201]]=$G42,HK42,Distances[[#This Row],[Colonne201]]+1)</f>
        <v>60</v>
      </c>
      <c r="HM42" s="17">
        <f>IF(Distances[[#This Row],[Colonne202]]=$G42,HL42,Distances[[#This Row],[Colonne202]]+1)</f>
        <v>60</v>
      </c>
      <c r="HN42" s="17">
        <f>IF(Distances[[#This Row],[Colonne203]]=$G42,HM42,Distances[[#This Row],[Colonne203]]+1)</f>
        <v>60</v>
      </c>
      <c r="HO42" s="17">
        <f>IF(Distances[[#This Row],[Colonne204]]=$G42,HN42,Distances[[#This Row],[Colonne204]]+1)</f>
        <v>60</v>
      </c>
      <c r="HP42" s="17">
        <f>IF(Distances[[#This Row],[Colonne205]]=$G42,HO42,Distances[[#This Row],[Colonne205]]+1)</f>
        <v>60</v>
      </c>
      <c r="HQ42" s="17">
        <f>IF(Distances[[#This Row],[Colonne206]]=$G42,HP42,Distances[[#This Row],[Colonne206]]+1)</f>
        <v>60</v>
      </c>
      <c r="HR42" s="17">
        <f>IF(Distances[[#This Row],[Colonne207]]=$G42,HQ42,Distances[[#This Row],[Colonne207]]+1)</f>
        <v>60</v>
      </c>
      <c r="HS42" s="17">
        <f>IF(Distances[[#This Row],[Colonne208]]=$G42,HR42,Distances[[#This Row],[Colonne208]]+1)</f>
        <v>60</v>
      </c>
      <c r="HT42" s="17">
        <f>IF(Distances[[#This Row],[Colonne209]]=$G42,HS42,Distances[[#This Row],[Colonne209]]+1)</f>
        <v>60</v>
      </c>
      <c r="HU42" s="17">
        <f>IF(Distances[[#This Row],[Colonne210]]=$G42,HT42,Distances[[#This Row],[Colonne210]]+1)</f>
        <v>60</v>
      </c>
      <c r="HV42" s="17">
        <f>IF(Distances[[#This Row],[Colonne211]]=$G42,HU42,Distances[[#This Row],[Colonne211]]+1)</f>
        <v>60</v>
      </c>
      <c r="HW42" s="17">
        <f>IF(Distances[[#This Row],[Colonne212]]=$G42,HV42,Distances[[#This Row],[Colonne212]]+1)</f>
        <v>60</v>
      </c>
      <c r="HX42" s="17">
        <f>IF(Distances[[#This Row],[Colonne213]]=$G42,HW42,Distances[[#This Row],[Colonne213]]+1)</f>
        <v>60</v>
      </c>
      <c r="HY42" s="17">
        <f>IF(Distances[[#This Row],[Colonne214]]=$G42,HX42,Distances[[#This Row],[Colonne214]]+1)</f>
        <v>60</v>
      </c>
      <c r="HZ42" s="17">
        <f>IF(Distances[[#This Row],[Colonne215]]=$G42,HY42,Distances[[#This Row],[Colonne215]]+1)</f>
        <v>60</v>
      </c>
      <c r="IA42" s="17">
        <f>IF(Distances[[#This Row],[Colonne216]]=$G42,HZ42,Distances[[#This Row],[Colonne216]]+1)</f>
        <v>60</v>
      </c>
      <c r="IB42" s="17">
        <f>IF(Distances[[#This Row],[Colonne217]]=$G42,IA42,Distances[[#This Row],[Colonne217]]+1)</f>
        <v>60</v>
      </c>
      <c r="IC42" s="17">
        <f>IF(Distances[[#This Row],[Colonne218]]=$G42,IB42,Distances[[#This Row],[Colonne218]]+1)</f>
        <v>60</v>
      </c>
      <c r="ID42" s="17">
        <f>IF(Distances[[#This Row],[Colonne219]]=$G42,IC42,Distances[[#This Row],[Colonne219]]+1)</f>
        <v>60</v>
      </c>
      <c r="IE42" s="17">
        <f>IF(Distances[[#This Row],[Colonne220]]=$G42,ID42,Distances[[#This Row],[Colonne220]]+1)</f>
        <v>60</v>
      </c>
      <c r="IF42" s="17">
        <f>IF(Distances[[#This Row],[Colonne221]]=$G42,IE42,Distances[[#This Row],[Colonne221]]+1)</f>
        <v>60</v>
      </c>
      <c r="IG42" s="17">
        <f>IF(Distances[[#This Row],[Colonne222]]=$G42,IF42,Distances[[#This Row],[Colonne222]]+1)</f>
        <v>60</v>
      </c>
      <c r="IH42" s="17">
        <f>IF(Distances[[#This Row],[Colonne223]]=$G42,IG42,Distances[[#This Row],[Colonne223]]+1)</f>
        <v>60</v>
      </c>
      <c r="II42" s="17">
        <f>IF(Distances[[#This Row],[Colonne224]]=$G42,IH42,Distances[[#This Row],[Colonne224]]+1)</f>
        <v>60</v>
      </c>
      <c r="IJ42" s="17">
        <f>IF(Distances[[#This Row],[Colonne225]]=$G42,II42,Distances[[#This Row],[Colonne225]]+1)</f>
        <v>60</v>
      </c>
      <c r="IK42" s="17">
        <f>IF(Distances[[#This Row],[Colonne226]]=$G42,IJ42,Distances[[#This Row],[Colonne226]]+1)</f>
        <v>60</v>
      </c>
      <c r="IL42" s="17">
        <f>IF(Distances[[#This Row],[Colonne227]]=$G42,IK42,Distances[[#This Row],[Colonne227]]+1)</f>
        <v>60</v>
      </c>
      <c r="IM42" s="17">
        <f>IF(Distances[[#This Row],[Colonne228]]=$G42,IL42,Distances[[#This Row],[Colonne228]]+1)</f>
        <v>60</v>
      </c>
      <c r="IN42" s="17">
        <f>IF(Distances[[#This Row],[Colonne229]]=$G42,IM42,Distances[[#This Row],[Colonne229]]+1)</f>
        <v>60</v>
      </c>
      <c r="IO42" s="17">
        <f>IF(Distances[[#This Row],[Colonne230]]=$G42,IN42,Distances[[#This Row],[Colonne230]]+1)</f>
        <v>60</v>
      </c>
      <c r="IP42" s="17">
        <f>IF(Distances[[#This Row],[Colonne231]]=$G42,IO42,Distances[[#This Row],[Colonne231]]+1)</f>
        <v>60</v>
      </c>
      <c r="IQ42" s="17">
        <f>IF(Distances[[#This Row],[Colonne232]]=$G42,IP42,Distances[[#This Row],[Colonne232]]+1)</f>
        <v>60</v>
      </c>
      <c r="IR42" s="17">
        <f>IF(Distances[[#This Row],[Colonne233]]=$G42,IQ42,Distances[[#This Row],[Colonne233]]+1)</f>
        <v>60</v>
      </c>
      <c r="IS42" s="17">
        <f>IF(Distances[[#This Row],[Colonne234]]=$G42,IR42,Distances[[#This Row],[Colonne234]]+1)</f>
        <v>60</v>
      </c>
      <c r="IT42" s="17">
        <f>IF(Distances[[#This Row],[Colonne235]]=$G42,IS42,Distances[[#This Row],[Colonne235]]+1)</f>
        <v>60</v>
      </c>
      <c r="IU42" s="17">
        <f>IF(Distances[[#This Row],[Colonne236]]=$G42,IT42,Distances[[#This Row],[Colonne236]]+1)</f>
        <v>60</v>
      </c>
      <c r="IV42" s="17">
        <f>IF(Distances[[#This Row],[Colonne237]]=$G42,IU42,Distances[[#This Row],[Colonne237]]+1)</f>
        <v>60</v>
      </c>
      <c r="IW42" s="17">
        <f>IF(Distances[[#This Row],[Colonne238]]=$G42,IV42,Distances[[#This Row],[Colonne238]]+1)</f>
        <v>60</v>
      </c>
      <c r="IX42" s="17">
        <f>IF(Distances[[#This Row],[Colonne239]]=$G42,IW42,Distances[[#This Row],[Colonne239]]+1)</f>
        <v>60</v>
      </c>
      <c r="IY42" s="17">
        <f>IF(Distances[[#This Row],[Colonne240]]=$G42,IX42,Distances[[#This Row],[Colonne240]]+1)</f>
        <v>60</v>
      </c>
      <c r="IZ42" s="17">
        <f>IF(Distances[[#This Row],[Colonne241]]=$G42,IY42,Distances[[#This Row],[Colonne241]]+1)</f>
        <v>60</v>
      </c>
      <c r="JA42" s="17">
        <f>IF(Distances[[#This Row],[Colonne242]]=$G42,IZ42,Distances[[#This Row],[Colonne242]]+1)</f>
        <v>60</v>
      </c>
      <c r="JB42" s="17">
        <f>IF(Distances[[#This Row],[Colonne243]]=$G42,JA42,Distances[[#This Row],[Colonne243]]+1)</f>
        <v>60</v>
      </c>
      <c r="JC42" s="17">
        <f>IF(Distances[[#This Row],[Colonne244]]=$G42,JB42,Distances[[#This Row],[Colonne244]]+1)</f>
        <v>60</v>
      </c>
      <c r="JD42" s="17">
        <f>IF(Distances[[#This Row],[Colonne245]]=$G42,JC42,Distances[[#This Row],[Colonne245]]+1)</f>
        <v>60</v>
      </c>
      <c r="JE42" s="17">
        <f>IF(Distances[[#This Row],[Colonne246]]=$G42,JD42,Distances[[#This Row],[Colonne246]]+1)</f>
        <v>60</v>
      </c>
      <c r="JF42" s="17">
        <f>IF(Distances[[#This Row],[Colonne247]]=$G42,JE42,Distances[[#This Row],[Colonne247]]+1)</f>
        <v>60</v>
      </c>
      <c r="JG42" s="17">
        <f>IF(Distances[[#This Row],[Colonne248]]=$G42,JF42,Distances[[#This Row],[Colonne248]]+1)</f>
        <v>60</v>
      </c>
      <c r="JH42" s="17">
        <f>IF(Distances[[#This Row],[Colonne249]]=$G42,JG42,Distances[[#This Row],[Colonne249]]+1)</f>
        <v>60</v>
      </c>
      <c r="JI42" s="17">
        <f>IF(Distances[[#This Row],[Colonne250]]=$G42,JH42,Distances[[#This Row],[Colonne250]]+1)</f>
        <v>60</v>
      </c>
      <c r="JJ42" s="17">
        <f>IF(Distances[[#This Row],[Colonne251]]=$G42,JI42,Distances[[#This Row],[Colonne251]]+1)</f>
        <v>60</v>
      </c>
      <c r="JK42" s="17">
        <f>IF(Distances[[#This Row],[Colonne252]]=$G42,JJ42,Distances[[#This Row],[Colonne252]]+1)</f>
        <v>60</v>
      </c>
      <c r="JL42" s="17">
        <f>IF(Distances[[#This Row],[Colonne253]]=$G42,JK42,Distances[[#This Row],[Colonne253]]+1)</f>
        <v>60</v>
      </c>
      <c r="JM42" s="17">
        <f>IF(Distances[[#This Row],[Colonne254]]=$G42,JL42,Distances[[#This Row],[Colonne254]]+1)</f>
        <v>60</v>
      </c>
      <c r="JN42" s="17">
        <f>IF(Distances[[#This Row],[Colonne255]]=$G42,JM42,Distances[[#This Row],[Colonne255]]+1)</f>
        <v>60</v>
      </c>
      <c r="JO42" s="17">
        <f>IF(Distances[[#This Row],[Colonne256]]=$G42,JN42,Distances[[#This Row],[Colonne256]]+1)</f>
        <v>60</v>
      </c>
      <c r="JP42" s="17">
        <f>IF(Distances[[#This Row],[Colonne257]]=$G42,JO42,Distances[[#This Row],[Colonne257]]+1)</f>
        <v>60</v>
      </c>
      <c r="JQ42" s="17">
        <f>IF(Distances[[#This Row],[Colonne258]]=$G42,JP42,Distances[[#This Row],[Colonne258]]+1)</f>
        <v>60</v>
      </c>
      <c r="JR42" s="17">
        <f>IF(Distances[[#This Row],[Colonne259]]=$G42,JQ42,Distances[[#This Row],[Colonne259]]+1)</f>
        <v>60</v>
      </c>
      <c r="JS42" s="17">
        <f>IF(Distances[[#This Row],[Colonne260]]=$G42,JR42,Distances[[#This Row],[Colonne260]]+1)</f>
        <v>60</v>
      </c>
      <c r="JT42" s="17">
        <f>IF(Distances[[#This Row],[Colonne261]]=$G42,JS42,Distances[[#This Row],[Colonne261]]+1)</f>
        <v>60</v>
      </c>
      <c r="JU42" s="17">
        <f>IF(Distances[[#This Row],[Colonne262]]=$G42,JT42,Distances[[#This Row],[Colonne262]]+1)</f>
        <v>60</v>
      </c>
      <c r="JV42" s="17">
        <f>IF(Distances[[#This Row],[Colonne263]]=$G42,JU42,Distances[[#This Row],[Colonne263]]+1)</f>
        <v>60</v>
      </c>
      <c r="JW42" s="17">
        <f>IF(Distances[[#This Row],[Colonne264]]=$G42,JV42,Distances[[#This Row],[Colonne264]]+1)</f>
        <v>60</v>
      </c>
      <c r="JX42" s="17">
        <f>IF(Distances[[#This Row],[Colonne265]]=$G42,JW42,Distances[[#This Row],[Colonne265]]+1)</f>
        <v>60</v>
      </c>
      <c r="JY42" s="17">
        <f>IF(Distances[[#This Row],[Colonne266]]=$G42,JX42,Distances[[#This Row],[Colonne266]]+1)</f>
        <v>60</v>
      </c>
      <c r="JZ42" s="17">
        <f>IF(Distances[[#This Row],[Colonne267]]=$G42,JY42,Distances[[#This Row],[Colonne267]]+1)</f>
        <v>60</v>
      </c>
      <c r="KA42" s="17">
        <f>IF(Distances[[#This Row],[Colonne268]]=$G42,JZ42,Distances[[#This Row],[Colonne268]]+1)</f>
        <v>60</v>
      </c>
      <c r="KB42" s="17">
        <f>IF(Distances[[#This Row],[Colonne269]]=$G42,KA42,Distances[[#This Row],[Colonne269]]+1)</f>
        <v>60</v>
      </c>
      <c r="KC42" s="17">
        <f>IF(Distances[[#This Row],[Colonne270]]=$G42,KB42,Distances[[#This Row],[Colonne270]]+1)</f>
        <v>60</v>
      </c>
      <c r="KD42" s="17">
        <f>IF(Distances[[#This Row],[Colonne271]]=$G42,KC42,Distances[[#This Row],[Colonne271]]+1)</f>
        <v>60</v>
      </c>
      <c r="KE42" s="17">
        <f>IF(Distances[[#This Row],[Colonne272]]=$G42,KD42,Distances[[#This Row],[Colonne272]]+1)</f>
        <v>60</v>
      </c>
      <c r="KF42" s="17">
        <f>IF(Distances[[#This Row],[Colonne273]]=$G42,KE42,Distances[[#This Row],[Colonne273]]+1)</f>
        <v>60</v>
      </c>
      <c r="KG42" s="17">
        <f>IF(Distances[[#This Row],[Colonne274]]=$G42,KF42,Distances[[#This Row],[Colonne274]]+1)</f>
        <v>60</v>
      </c>
      <c r="KH42" s="17">
        <f>IF(Distances[[#This Row],[Colonne275]]=$G42,KG42,Distances[[#This Row],[Colonne275]]+1)</f>
        <v>60</v>
      </c>
      <c r="KI42" s="17">
        <f>IF(Distances[[#This Row],[Colonne276]]=$G42,KH42,Distances[[#This Row],[Colonne276]]+1)</f>
        <v>60</v>
      </c>
      <c r="KJ42" s="17">
        <f>IF(Distances[[#This Row],[Colonne277]]=$G42,KI42,Distances[[#This Row],[Colonne277]]+1)</f>
        <v>60</v>
      </c>
      <c r="KK42" s="17">
        <f>IF(Distances[[#This Row],[Colonne278]]=$G42,KJ42,Distances[[#This Row],[Colonne278]]+1)</f>
        <v>60</v>
      </c>
      <c r="KL42" s="17">
        <f>IF(Distances[[#This Row],[Colonne279]]=$G42,KK42,Distances[[#This Row],[Colonne279]]+1)</f>
        <v>60</v>
      </c>
      <c r="KM42" s="17">
        <f>IF(Distances[[#This Row],[Colonne280]]=$G42,KL42,Distances[[#This Row],[Colonne280]]+1)</f>
        <v>60</v>
      </c>
      <c r="KN42" s="17">
        <f>IF(Distances[[#This Row],[Colonne281]]=$G42,KM42,Distances[[#This Row],[Colonne281]]+1)</f>
        <v>60</v>
      </c>
      <c r="KO42" s="17">
        <f>IF(Distances[[#This Row],[Colonne282]]=$G42,KN42,Distances[[#This Row],[Colonne282]]+1)</f>
        <v>60</v>
      </c>
      <c r="KP42" s="17">
        <f>IF(Distances[[#This Row],[Colonne283]]=$G42,KO42,Distances[[#This Row],[Colonne283]]+1)</f>
        <v>60</v>
      </c>
      <c r="KQ42" s="17">
        <f>IF(Distances[[#This Row],[Colonne284]]=$G42,KP42,Distances[[#This Row],[Colonne284]]+1)</f>
        <v>60</v>
      </c>
      <c r="KR42" s="17">
        <f>IF(Distances[[#This Row],[Colonne285]]=$G42,KQ42,Distances[[#This Row],[Colonne285]]+1)</f>
        <v>60</v>
      </c>
      <c r="KS42" s="17">
        <f>IF(Distances[[#This Row],[Colonne286]]=$G42,KR42,Distances[[#This Row],[Colonne286]]+1)</f>
        <v>60</v>
      </c>
      <c r="KT42" s="17">
        <f>IF(Distances[[#This Row],[Colonne287]]=$G42,KS42,Distances[[#This Row],[Colonne287]]+1)</f>
        <v>60</v>
      </c>
      <c r="KU42" s="17">
        <f>IF(Distances[[#This Row],[Colonne288]]=$G42,KT42,Distances[[#This Row],[Colonne288]]+1)</f>
        <v>60</v>
      </c>
      <c r="KV42" s="17">
        <f>IF(Distances[[#This Row],[Colonne289]]=$G42,KU42,Distances[[#This Row],[Colonne289]]+1)</f>
        <v>60</v>
      </c>
      <c r="KW42" s="17">
        <f>IF(Distances[[#This Row],[Colonne290]]=$G42,KV42,Distances[[#This Row],[Colonne290]]+1)</f>
        <v>60</v>
      </c>
      <c r="KX42" s="17">
        <f>IF(Distances[[#This Row],[Colonne291]]=$G42,KW42,Distances[[#This Row],[Colonne291]]+1)</f>
        <v>60</v>
      </c>
      <c r="KY42" s="17">
        <f>IF(Distances[[#This Row],[Colonne292]]=$G42,KX42,Distances[[#This Row],[Colonne292]]+1)</f>
        <v>60</v>
      </c>
      <c r="KZ42" s="17">
        <f>IF(Distances[[#This Row],[Colonne293]]=$G42,KY42,Distances[[#This Row],[Colonne293]]+1)</f>
        <v>60</v>
      </c>
      <c r="LA42" s="17">
        <f>IF(Distances[[#This Row],[Colonne294]]=$G42,KZ42,Distances[[#This Row],[Colonne294]]+1)</f>
        <v>60</v>
      </c>
      <c r="LB42" s="17">
        <f>IF(Distances[[#This Row],[Colonne295]]=$G42,LA42,Distances[[#This Row],[Colonne295]]+1)</f>
        <v>60</v>
      </c>
      <c r="LC42" s="17">
        <f>IF(Distances[[#This Row],[Colonne296]]=$G42,LB42,Distances[[#This Row],[Colonne296]]+1)</f>
        <v>60</v>
      </c>
      <c r="LD42" s="17">
        <f>IF(Distances[[#This Row],[Colonne297]]=$G42,LC42,Distances[[#This Row],[Colonne297]]+1)</f>
        <v>60</v>
      </c>
      <c r="LE42" s="17">
        <f>IF(Distances[[#This Row],[Colonne298]]=$G42,LD42,Distances[[#This Row],[Colonne298]]+1)</f>
        <v>60</v>
      </c>
      <c r="LF42" s="17">
        <f>IF(Distances[[#This Row],[Colonne299]]=$G42,LE42,Distances[[#This Row],[Colonne299]]+1)</f>
        <v>60</v>
      </c>
      <c r="LG42" s="17">
        <f>IF(Distances[[#This Row],[Colonne300]]=$G42,LF42,Distances[[#This Row],[Colonne300]]+1)</f>
        <v>60</v>
      </c>
      <c r="LH42" s="17">
        <f>IF(Distances[[#This Row],[Colonne301]]=$G42,LG42,Distances[[#This Row],[Colonne301]]+1)</f>
        <v>60</v>
      </c>
      <c r="LI42" s="17">
        <f>IF(Distances[[#This Row],[Colonne302]]=$G42,LH42,Distances[[#This Row],[Colonne302]]+1)</f>
        <v>60</v>
      </c>
      <c r="LJ42" s="17">
        <f>IF(Distances[[#This Row],[Colonne303]]=$G42,LI42,Distances[[#This Row],[Colonne303]]+1)</f>
        <v>60</v>
      </c>
      <c r="LK42" s="51"/>
      <c r="LL42" s="17">
        <f t="shared" ref="LL42:NW42" si="84">IF(LK42=$H42,LK42,LK42+1)</f>
        <v>1</v>
      </c>
      <c r="LM42" s="17">
        <f t="shared" si="84"/>
        <v>2</v>
      </c>
      <c r="LN42" s="17">
        <f t="shared" si="84"/>
        <v>3</v>
      </c>
      <c r="LO42" s="17">
        <f t="shared" si="84"/>
        <v>4</v>
      </c>
      <c r="LP42" s="17">
        <f t="shared" si="84"/>
        <v>5</v>
      </c>
      <c r="LQ42" s="17">
        <f t="shared" si="84"/>
        <v>6</v>
      </c>
      <c r="LR42" s="17">
        <f t="shared" si="84"/>
        <v>7</v>
      </c>
      <c r="LS42" s="17">
        <f t="shared" si="84"/>
        <v>8</v>
      </c>
      <c r="LT42" s="17">
        <f t="shared" si="84"/>
        <v>9</v>
      </c>
      <c r="LU42" s="17">
        <f t="shared" si="84"/>
        <v>10</v>
      </c>
      <c r="LV42" s="17">
        <f t="shared" si="84"/>
        <v>11</v>
      </c>
      <c r="LW42" s="17">
        <f t="shared" si="84"/>
        <v>12</v>
      </c>
      <c r="LX42" s="17">
        <f t="shared" si="84"/>
        <v>13</v>
      </c>
      <c r="LY42" s="17">
        <f t="shared" si="84"/>
        <v>14</v>
      </c>
      <c r="LZ42" s="17">
        <f t="shared" si="84"/>
        <v>15</v>
      </c>
      <c r="MA42" s="17">
        <f t="shared" si="84"/>
        <v>16</v>
      </c>
      <c r="MB42" s="17">
        <f t="shared" si="84"/>
        <v>17</v>
      </c>
      <c r="MC42" s="17">
        <f t="shared" si="84"/>
        <v>18</v>
      </c>
      <c r="MD42" s="17">
        <f t="shared" si="84"/>
        <v>19</v>
      </c>
      <c r="ME42" s="17">
        <f t="shared" si="84"/>
        <v>20</v>
      </c>
      <c r="MF42" s="17">
        <f t="shared" si="84"/>
        <v>21</v>
      </c>
      <c r="MG42" s="17">
        <f t="shared" si="84"/>
        <v>22</v>
      </c>
      <c r="MH42" s="17">
        <f t="shared" si="84"/>
        <v>23</v>
      </c>
      <c r="MI42" s="17">
        <f t="shared" si="84"/>
        <v>24</v>
      </c>
      <c r="MJ42" s="17">
        <f t="shared" si="84"/>
        <v>25</v>
      </c>
      <c r="MK42" s="17">
        <f t="shared" si="84"/>
        <v>26</v>
      </c>
      <c r="ML42" s="17">
        <f t="shared" si="84"/>
        <v>27</v>
      </c>
      <c r="MM42" s="17">
        <f t="shared" si="84"/>
        <v>28</v>
      </c>
      <c r="MN42" s="17">
        <f t="shared" si="84"/>
        <v>29</v>
      </c>
      <c r="MO42" s="17">
        <f t="shared" si="84"/>
        <v>30</v>
      </c>
      <c r="MP42" s="17">
        <f t="shared" si="84"/>
        <v>31</v>
      </c>
      <c r="MQ42" s="17">
        <f t="shared" si="84"/>
        <v>32</v>
      </c>
      <c r="MR42" s="17">
        <f t="shared" si="84"/>
        <v>33</v>
      </c>
      <c r="MS42" s="17">
        <f t="shared" si="84"/>
        <v>34</v>
      </c>
      <c r="MT42" s="17">
        <f t="shared" si="84"/>
        <v>35</v>
      </c>
      <c r="MU42" s="17">
        <f t="shared" si="84"/>
        <v>35</v>
      </c>
      <c r="MV42" s="17">
        <f t="shared" si="84"/>
        <v>35</v>
      </c>
      <c r="MW42" s="17">
        <f t="shared" si="84"/>
        <v>35</v>
      </c>
      <c r="MX42" s="17">
        <f t="shared" si="84"/>
        <v>35</v>
      </c>
      <c r="MY42" s="17">
        <f t="shared" si="84"/>
        <v>35</v>
      </c>
      <c r="MZ42" s="17">
        <f t="shared" si="84"/>
        <v>35</v>
      </c>
      <c r="NA42" s="17">
        <f t="shared" si="84"/>
        <v>35</v>
      </c>
      <c r="NB42" s="17">
        <f t="shared" si="84"/>
        <v>35</v>
      </c>
      <c r="NC42" s="17">
        <f t="shared" si="84"/>
        <v>35</v>
      </c>
      <c r="ND42" s="17">
        <f t="shared" si="84"/>
        <v>35</v>
      </c>
      <c r="NE42" s="17">
        <f t="shared" si="84"/>
        <v>35</v>
      </c>
      <c r="NF42" s="17">
        <f t="shared" si="84"/>
        <v>35</v>
      </c>
      <c r="NG42" s="17">
        <f t="shared" si="84"/>
        <v>35</v>
      </c>
      <c r="NH42" s="17">
        <f t="shared" si="84"/>
        <v>35</v>
      </c>
      <c r="NI42" s="17">
        <f t="shared" si="84"/>
        <v>35</v>
      </c>
      <c r="NJ42" s="17">
        <f t="shared" si="84"/>
        <v>35</v>
      </c>
      <c r="NK42" s="17">
        <f t="shared" si="84"/>
        <v>35</v>
      </c>
      <c r="NL42" s="17">
        <f t="shared" si="84"/>
        <v>35</v>
      </c>
      <c r="NM42" s="17">
        <f t="shared" si="84"/>
        <v>35</v>
      </c>
      <c r="NN42" s="17">
        <f t="shared" si="84"/>
        <v>35</v>
      </c>
      <c r="NO42" s="17">
        <f t="shared" si="84"/>
        <v>35</v>
      </c>
      <c r="NP42" s="17">
        <f t="shared" si="84"/>
        <v>35</v>
      </c>
      <c r="NQ42" s="17">
        <f t="shared" si="84"/>
        <v>35</v>
      </c>
      <c r="NR42" s="17">
        <f t="shared" si="84"/>
        <v>35</v>
      </c>
      <c r="NS42" s="17">
        <f t="shared" si="84"/>
        <v>35</v>
      </c>
      <c r="NT42" s="17">
        <f t="shared" si="84"/>
        <v>35</v>
      </c>
      <c r="NU42" s="17">
        <f t="shared" si="84"/>
        <v>35</v>
      </c>
      <c r="NV42" s="17">
        <f t="shared" si="84"/>
        <v>35</v>
      </c>
      <c r="NW42" s="17">
        <f t="shared" si="84"/>
        <v>35</v>
      </c>
      <c r="NX42" s="17">
        <f t="shared" ref="NX42:PG42" si="85">IF(NW42=$H42,NW42,NW42+1)</f>
        <v>35</v>
      </c>
      <c r="NY42" s="17">
        <f t="shared" si="85"/>
        <v>35</v>
      </c>
      <c r="NZ42" s="17">
        <f t="shared" si="85"/>
        <v>35</v>
      </c>
      <c r="OA42" s="17">
        <f t="shared" si="85"/>
        <v>35</v>
      </c>
      <c r="OB42" s="17">
        <f t="shared" si="85"/>
        <v>35</v>
      </c>
      <c r="OC42" s="17">
        <f t="shared" si="85"/>
        <v>35</v>
      </c>
      <c r="OD42" s="17">
        <f t="shared" si="85"/>
        <v>35</v>
      </c>
      <c r="OE42" s="17">
        <f t="shared" si="85"/>
        <v>35</v>
      </c>
      <c r="OF42" s="17">
        <f t="shared" si="85"/>
        <v>35</v>
      </c>
      <c r="OG42" s="17">
        <f t="shared" si="85"/>
        <v>35</v>
      </c>
      <c r="OH42" s="17">
        <f t="shared" si="85"/>
        <v>35</v>
      </c>
      <c r="OI42" s="17">
        <f t="shared" si="85"/>
        <v>35</v>
      </c>
      <c r="OJ42" s="17">
        <f t="shared" si="85"/>
        <v>35</v>
      </c>
      <c r="OK42" s="17">
        <f t="shared" si="85"/>
        <v>35</v>
      </c>
      <c r="OL42" s="17">
        <f t="shared" si="85"/>
        <v>35</v>
      </c>
      <c r="OM42" s="17">
        <f t="shared" si="85"/>
        <v>35</v>
      </c>
      <c r="ON42" s="17">
        <f t="shared" si="85"/>
        <v>35</v>
      </c>
      <c r="OO42" s="17">
        <f t="shared" si="85"/>
        <v>35</v>
      </c>
      <c r="OP42" s="17">
        <f t="shared" si="85"/>
        <v>35</v>
      </c>
      <c r="OQ42" s="17">
        <f t="shared" si="85"/>
        <v>35</v>
      </c>
      <c r="OR42" s="17">
        <f t="shared" si="85"/>
        <v>35</v>
      </c>
      <c r="OS42" s="17">
        <f t="shared" si="85"/>
        <v>35</v>
      </c>
      <c r="OT42" s="17">
        <f t="shared" si="85"/>
        <v>35</v>
      </c>
      <c r="OU42" s="17">
        <f t="shared" si="85"/>
        <v>35</v>
      </c>
      <c r="OV42" s="17">
        <f t="shared" si="85"/>
        <v>35</v>
      </c>
      <c r="OW42" s="17">
        <f t="shared" si="85"/>
        <v>35</v>
      </c>
      <c r="OX42" s="17">
        <f t="shared" si="85"/>
        <v>35</v>
      </c>
      <c r="OY42" s="17">
        <f t="shared" si="85"/>
        <v>35</v>
      </c>
      <c r="OZ42" s="17">
        <f t="shared" si="85"/>
        <v>35</v>
      </c>
      <c r="PA42" s="17">
        <f t="shared" si="85"/>
        <v>35</v>
      </c>
      <c r="PB42" s="17">
        <f t="shared" si="85"/>
        <v>35</v>
      </c>
      <c r="PC42" s="17">
        <f t="shared" si="85"/>
        <v>35</v>
      </c>
      <c r="PD42" s="17">
        <f t="shared" si="85"/>
        <v>35</v>
      </c>
      <c r="PE42" s="17">
        <f t="shared" si="85"/>
        <v>35</v>
      </c>
      <c r="PF42" s="17">
        <f t="shared" si="85"/>
        <v>35</v>
      </c>
      <c r="PG42" s="17">
        <f t="shared" si="85"/>
        <v>35</v>
      </c>
    </row>
    <row r="43" spans="1:423" x14ac:dyDescent="0.25">
      <c r="A43" s="8" t="s">
        <v>5509</v>
      </c>
      <c r="B43" s="9" t="s">
        <v>7537</v>
      </c>
      <c r="C43" s="9" t="str">
        <f t="shared" si="72"/>
        <v>LR4</v>
      </c>
      <c r="D43" s="1" t="str">
        <f t="shared" si="73"/>
        <v>Libre R4</v>
      </c>
      <c r="E43" s="1" t="s">
        <v>15</v>
      </c>
      <c r="F43" s="9" t="s">
        <v>5508</v>
      </c>
      <c r="G43" s="9">
        <v>40</v>
      </c>
      <c r="H43" s="9">
        <v>35</v>
      </c>
      <c r="I43" s="127">
        <v>2.8</v>
      </c>
      <c r="J43" s="30" t="s">
        <v>5511</v>
      </c>
      <c r="K43" s="281"/>
      <c r="L43" s="8">
        <v>0</v>
      </c>
      <c r="M43" s="9">
        <v>0</v>
      </c>
      <c r="N43" s="10">
        <v>1.1990000000000001</v>
      </c>
      <c r="O43" s="269"/>
      <c r="P43" s="331"/>
      <c r="Q43" s="335"/>
      <c r="R43" s="128">
        <v>1</v>
      </c>
      <c r="S43" s="9">
        <v>1</v>
      </c>
      <c r="T43" s="10">
        <v>2</v>
      </c>
      <c r="U43" t="s">
        <v>5523</v>
      </c>
      <c r="V43" s="17">
        <v>0</v>
      </c>
      <c r="W43" s="17">
        <f>IF(Distances[[#This Row],[Colonne4]]=$G43,V43,Distances[[#This Row],[Colonne4]]+1)</f>
        <v>1</v>
      </c>
      <c r="X43" s="17">
        <f>IF(Distances[[#This Row],[Colonne5]]=$G43,W43,Distances[[#This Row],[Colonne5]]+1)</f>
        <v>2</v>
      </c>
      <c r="Y43" s="17">
        <f>IF(Distances[[#This Row],[Colonne6]]=$G43,X43,Distances[[#This Row],[Colonne6]]+1)</f>
        <v>3</v>
      </c>
      <c r="Z43" s="17">
        <f>IF(Distances[[#This Row],[Colonne7]]=$G43,Y43,Distances[[#This Row],[Colonne7]]+1)</f>
        <v>4</v>
      </c>
      <c r="AA43" s="17">
        <f>IF(Distances[[#This Row],[Colonne8]]=$G43,Z43,Distances[[#This Row],[Colonne8]]+1)</f>
        <v>5</v>
      </c>
      <c r="AB43" s="17">
        <f>IF(Distances[[#This Row],[Colonne9]]=$G43,AA43,Distances[[#This Row],[Colonne9]]+1)</f>
        <v>6</v>
      </c>
      <c r="AC43" s="17">
        <f>IF(Distances[[#This Row],[Colonne10]]=$G43,AB43,Distances[[#This Row],[Colonne10]]+1)</f>
        <v>7</v>
      </c>
      <c r="AD43" s="17">
        <f>IF(Distances[[#This Row],[Colonne11]]=$G43,AC43,Distances[[#This Row],[Colonne11]]+1)</f>
        <v>8</v>
      </c>
      <c r="AE43" s="17">
        <f>IF(Distances[[#This Row],[Colonne12]]=$G43,AD43,Distances[[#This Row],[Colonne12]]+1)</f>
        <v>9</v>
      </c>
      <c r="AF43" s="17">
        <f>IF(Distances[[#This Row],[Colonne13]]=$G43,AE43,Distances[[#This Row],[Colonne13]]+1)</f>
        <v>10</v>
      </c>
      <c r="AG43" s="17">
        <f>IF(Distances[[#This Row],[Colonne14]]=$G43,AF43,Distances[[#This Row],[Colonne14]]+1)</f>
        <v>11</v>
      </c>
      <c r="AH43" s="17">
        <f>IF(Distances[[#This Row],[Colonne15]]=$G43,AG43,Distances[[#This Row],[Colonne15]]+1)</f>
        <v>12</v>
      </c>
      <c r="AI43" s="17">
        <f>IF(Distances[[#This Row],[Colonne16]]=$G43,AH43,Distances[[#This Row],[Colonne16]]+1)</f>
        <v>13</v>
      </c>
      <c r="AJ43" s="17">
        <f>IF(Distances[[#This Row],[Colonne17]]=$G43,AI43,Distances[[#This Row],[Colonne17]]+1)</f>
        <v>14</v>
      </c>
      <c r="AK43" s="17">
        <f>IF(Distances[[#This Row],[Colonne18]]=$G43,AJ43,Distances[[#This Row],[Colonne18]]+1)</f>
        <v>15</v>
      </c>
      <c r="AL43" s="17">
        <f>IF(Distances[[#This Row],[Colonne19]]=$G43,AK43,Distances[[#This Row],[Colonne19]]+1)</f>
        <v>16</v>
      </c>
      <c r="AM43" s="17">
        <f>IF(Distances[[#This Row],[Colonne20]]=$G43,AL43,Distances[[#This Row],[Colonne20]]+1)</f>
        <v>17</v>
      </c>
      <c r="AN43" s="17">
        <f>IF(Distances[[#This Row],[Colonne21]]=$G43,AM43,Distances[[#This Row],[Colonne21]]+1)</f>
        <v>18</v>
      </c>
      <c r="AO43" s="17">
        <f>IF(Distances[[#This Row],[Colonne22]]=$G43,AN43,Distances[[#This Row],[Colonne22]]+1)</f>
        <v>19</v>
      </c>
      <c r="AP43" s="17">
        <f>IF(Distances[[#This Row],[Colonne23]]=$G43,AO43,Distances[[#This Row],[Colonne23]]+1)</f>
        <v>20</v>
      </c>
      <c r="AQ43" s="17">
        <f>IF(Distances[[#This Row],[Colonne24]]=$G43,AP43,Distances[[#This Row],[Colonne24]]+1)</f>
        <v>21</v>
      </c>
      <c r="AR43" s="17">
        <f>IF(Distances[[#This Row],[Colonne25]]=$G43,AQ43,Distances[[#This Row],[Colonne25]]+1)</f>
        <v>22</v>
      </c>
      <c r="AS43" s="17">
        <f>IF(Distances[[#This Row],[Colonne26]]=$G43,AR43,Distances[[#This Row],[Colonne26]]+1)</f>
        <v>23</v>
      </c>
      <c r="AT43" s="17">
        <f>IF(Distances[[#This Row],[Colonne27]]=$G43,AS43,Distances[[#This Row],[Colonne27]]+1)</f>
        <v>24</v>
      </c>
      <c r="AU43" s="17">
        <f>IF(Distances[[#This Row],[Colonne28]]=$G43,AT43,Distances[[#This Row],[Colonne28]]+1)</f>
        <v>25</v>
      </c>
      <c r="AV43" s="17">
        <f>IF(Distances[[#This Row],[Colonne29]]=$G43,AU43,Distances[[#This Row],[Colonne29]]+1)</f>
        <v>26</v>
      </c>
      <c r="AW43" s="17">
        <f>IF(Distances[[#This Row],[Colonne30]]=$G43,AV43,Distances[[#This Row],[Colonne30]]+1)</f>
        <v>27</v>
      </c>
      <c r="AX43" s="17">
        <f>IF(Distances[[#This Row],[Colonne31]]=$G43,AW43,Distances[[#This Row],[Colonne31]]+1)</f>
        <v>28</v>
      </c>
      <c r="AY43" s="17">
        <f>IF(Distances[[#This Row],[Colonne32]]=$G43,AX43,Distances[[#This Row],[Colonne32]]+1)</f>
        <v>29</v>
      </c>
      <c r="AZ43" s="17">
        <f>IF(Distances[[#This Row],[Colonne33]]=$G43,AY43,Distances[[#This Row],[Colonne33]]+1)</f>
        <v>30</v>
      </c>
      <c r="BA43" s="17">
        <f>IF(Distances[[#This Row],[Colonne34]]=$G43,AZ43,Distances[[#This Row],[Colonne34]]+1)</f>
        <v>31</v>
      </c>
      <c r="BB43" s="17">
        <f>IF(Distances[[#This Row],[Colonne35]]=$G43,BA43,Distances[[#This Row],[Colonne35]]+1)</f>
        <v>32</v>
      </c>
      <c r="BC43" s="17">
        <f>IF(Distances[[#This Row],[Colonne36]]=$G43,BB43,Distances[[#This Row],[Colonne36]]+1)</f>
        <v>33</v>
      </c>
      <c r="BD43" s="17">
        <f>IF(Distances[[#This Row],[Colonne37]]=$G43,BC43,Distances[[#This Row],[Colonne37]]+1)</f>
        <v>34</v>
      </c>
      <c r="BE43" s="17">
        <f>IF(Distances[[#This Row],[Colonne38]]=$G43,BD43,Distances[[#This Row],[Colonne38]]+1)</f>
        <v>35</v>
      </c>
      <c r="BF43" s="17">
        <f>IF(Distances[[#This Row],[Colonne39]]=$G43,BE43,Distances[[#This Row],[Colonne39]]+1)</f>
        <v>36</v>
      </c>
      <c r="BG43" s="17">
        <f>IF(Distances[[#This Row],[Colonne40]]=$G43,BF43,Distances[[#This Row],[Colonne40]]+1)</f>
        <v>37</v>
      </c>
      <c r="BH43" s="17">
        <f>IF(Distances[[#This Row],[Colonne41]]=$G43,BG43,Distances[[#This Row],[Colonne41]]+1)</f>
        <v>38</v>
      </c>
      <c r="BI43" s="17">
        <f>IF(Distances[[#This Row],[Colonne42]]=$G43,BH43,Distances[[#This Row],[Colonne42]]+1)</f>
        <v>39</v>
      </c>
      <c r="BJ43" s="17">
        <f>IF(Distances[[#This Row],[Colonne43]]=$G43,BI43,Distances[[#This Row],[Colonne43]]+1)</f>
        <v>40</v>
      </c>
      <c r="BK43" s="17">
        <f>IF(Distances[[#This Row],[Colonne44]]=$G43,BJ43,Distances[[#This Row],[Colonne44]]+1)</f>
        <v>40</v>
      </c>
      <c r="BL43" s="17">
        <f>IF(Distances[[#This Row],[Colonne45]]=$G43,BK43,Distances[[#This Row],[Colonne45]]+1)</f>
        <v>40</v>
      </c>
      <c r="BM43" s="17">
        <f>IF(Distances[[#This Row],[Colonne46]]=$G43,BL43,Distances[[#This Row],[Colonne46]]+1)</f>
        <v>40</v>
      </c>
      <c r="BN43" s="17">
        <f>IF(Distances[[#This Row],[Colonne47]]=$G43,BM43,Distances[[#This Row],[Colonne47]]+1)</f>
        <v>40</v>
      </c>
      <c r="BO43" s="17">
        <f>IF(Distances[[#This Row],[Colonne48]]=$G43,BN43,Distances[[#This Row],[Colonne48]]+1)</f>
        <v>40</v>
      </c>
      <c r="BP43" s="17">
        <f>IF(Distances[[#This Row],[Colonne49]]=$G43,BO43,Distances[[#This Row],[Colonne49]]+1)</f>
        <v>40</v>
      </c>
      <c r="BQ43" s="17">
        <f>IF(Distances[[#This Row],[Colonne50]]=$G43,BP43,Distances[[#This Row],[Colonne50]]+1)</f>
        <v>40</v>
      </c>
      <c r="BR43" s="17">
        <f>IF(Distances[[#This Row],[Colonne51]]=$G43,BQ43,Distances[[#This Row],[Colonne51]]+1)</f>
        <v>40</v>
      </c>
      <c r="BS43" s="17">
        <f>IF(Distances[[#This Row],[Colonne52]]=$G43,BR43,Distances[[#This Row],[Colonne52]]+1)</f>
        <v>40</v>
      </c>
      <c r="BT43" s="17">
        <f>IF(Distances[[#This Row],[Colonne53]]=$G43,BS43,Distances[[#This Row],[Colonne53]]+1)</f>
        <v>40</v>
      </c>
      <c r="BU43" s="17">
        <f>IF(Distances[[#This Row],[Colonne54]]=$G43,BT43,Distances[[#This Row],[Colonne54]]+1)</f>
        <v>40</v>
      </c>
      <c r="BV43" s="17">
        <f>IF(Distances[[#This Row],[Colonne55]]=$G43,BU43,Distances[[#This Row],[Colonne55]]+1)</f>
        <v>40</v>
      </c>
      <c r="BW43" s="17">
        <f>IF(Distances[[#This Row],[Colonne56]]=$G43,BV43,Distances[[#This Row],[Colonne56]]+1)</f>
        <v>40</v>
      </c>
      <c r="BX43" s="17">
        <f>IF(Distances[[#This Row],[Colonne57]]=$G43,BW43,Distances[[#This Row],[Colonne57]]+1)</f>
        <v>40</v>
      </c>
      <c r="BY43" s="17">
        <f>IF(Distances[[#This Row],[Colonne58]]=$G43,BX43,Distances[[#This Row],[Colonne58]]+1)</f>
        <v>40</v>
      </c>
      <c r="BZ43" s="17">
        <f>IF(Distances[[#This Row],[Colonne59]]=$G43,BY43,Distances[[#This Row],[Colonne59]]+1)</f>
        <v>40</v>
      </c>
      <c r="CA43" s="17">
        <f>IF(Distances[[#This Row],[Colonne60]]=$G43,BZ43,Distances[[#This Row],[Colonne60]]+1)</f>
        <v>40</v>
      </c>
      <c r="CB43" s="17">
        <f>IF(Distances[[#This Row],[Colonne61]]=$G43,CA43,Distances[[#This Row],[Colonne61]]+1)</f>
        <v>40</v>
      </c>
      <c r="CC43" s="17">
        <f>IF(Distances[[#This Row],[Colonne62]]=$G43,CB43,Distances[[#This Row],[Colonne62]]+1)</f>
        <v>40</v>
      </c>
      <c r="CD43" s="17">
        <f>IF(Distances[[#This Row],[Colonne63]]=$G43,CC43,Distances[[#This Row],[Colonne63]]+1)</f>
        <v>40</v>
      </c>
      <c r="CE43" s="17">
        <f>IF(Distances[[#This Row],[Colonne64]]=$G43,CD43,Distances[[#This Row],[Colonne64]]+1)</f>
        <v>40</v>
      </c>
      <c r="CF43" s="17">
        <f>IF(Distances[[#This Row],[Colonne65]]=$G43,CE43,Distances[[#This Row],[Colonne65]]+1)</f>
        <v>40</v>
      </c>
      <c r="CG43" s="17">
        <f>IF(Distances[[#This Row],[Colonne66]]=$G43,CF43,Distances[[#This Row],[Colonne66]]+1)</f>
        <v>40</v>
      </c>
      <c r="CH43" s="17">
        <f>IF(Distances[[#This Row],[Colonne67]]=$G43,CG43,Distances[[#This Row],[Colonne67]]+1)</f>
        <v>40</v>
      </c>
      <c r="CI43" s="17">
        <f>IF(Distances[[#This Row],[Colonne68]]=$G43,CH43,Distances[[#This Row],[Colonne68]]+1)</f>
        <v>40</v>
      </c>
      <c r="CJ43" s="17">
        <f>IF(Distances[[#This Row],[Colonne69]]=$G43,CI43,Distances[[#This Row],[Colonne69]]+1)</f>
        <v>40</v>
      </c>
      <c r="CK43" s="17">
        <f>IF(Distances[[#This Row],[Colonne70]]=$G43,CJ43,Distances[[#This Row],[Colonne70]]+1)</f>
        <v>40</v>
      </c>
      <c r="CL43" s="17">
        <f>IF(Distances[[#This Row],[Colonne71]]=$G43,CK43,Distances[[#This Row],[Colonne71]]+1)</f>
        <v>40</v>
      </c>
      <c r="CM43" s="17">
        <f>IF(Distances[[#This Row],[Colonne72]]=$G43,CL43,Distances[[#This Row],[Colonne72]]+1)</f>
        <v>40</v>
      </c>
      <c r="CN43" s="17">
        <f>IF(Distances[[#This Row],[Colonne73]]=$G43,CM43,Distances[[#This Row],[Colonne73]]+1)</f>
        <v>40</v>
      </c>
      <c r="CO43" s="17">
        <f>IF(Distances[[#This Row],[Colonne74]]=$G43,CN43,Distances[[#This Row],[Colonne74]]+1)</f>
        <v>40</v>
      </c>
      <c r="CP43" s="17">
        <f>IF(Distances[[#This Row],[Colonne75]]=$G43,CO43,Distances[[#This Row],[Colonne75]]+1)</f>
        <v>40</v>
      </c>
      <c r="CQ43" s="17">
        <f>IF(Distances[[#This Row],[Colonne76]]=$G43,CP43,Distances[[#This Row],[Colonne76]]+1)</f>
        <v>40</v>
      </c>
      <c r="CR43" s="17">
        <f>IF(Distances[[#This Row],[Colonne77]]=$G43,CQ43,Distances[[#This Row],[Colonne77]]+1)</f>
        <v>40</v>
      </c>
      <c r="CS43" s="17">
        <f>IF(Distances[[#This Row],[Colonne78]]=$G43,CR43,Distances[[#This Row],[Colonne78]]+1)</f>
        <v>40</v>
      </c>
      <c r="CT43" s="17">
        <f>IF(Distances[[#This Row],[Colonne79]]=$G43,CS43,Distances[[#This Row],[Colonne79]]+1)</f>
        <v>40</v>
      </c>
      <c r="CU43" s="17">
        <f>IF(Distances[[#This Row],[Colonne80]]=$G43,CT43,Distances[[#This Row],[Colonne80]]+1)</f>
        <v>40</v>
      </c>
      <c r="CV43" s="17">
        <f>IF(Distances[[#This Row],[Colonne81]]=$G43,CU43,Distances[[#This Row],[Colonne81]]+1)</f>
        <v>40</v>
      </c>
      <c r="CW43" s="17">
        <f>IF(Distances[[#This Row],[Colonne82]]=$G43,CV43,Distances[[#This Row],[Colonne82]]+1)</f>
        <v>40</v>
      </c>
      <c r="CX43" s="17">
        <f>IF(Distances[[#This Row],[Colonne83]]=$G43,CW43,Distances[[#This Row],[Colonne83]]+1)</f>
        <v>40</v>
      </c>
      <c r="CY43" s="17">
        <f>IF(Distances[[#This Row],[Colonne84]]=$G43,CX43,Distances[[#This Row],[Colonne84]]+1)</f>
        <v>40</v>
      </c>
      <c r="CZ43" s="17">
        <f>IF(Distances[[#This Row],[Colonne85]]=$G43,CY43,Distances[[#This Row],[Colonne85]]+1)</f>
        <v>40</v>
      </c>
      <c r="DA43" s="17">
        <f>IF(Distances[[#This Row],[Colonne86]]=$G43,CZ43,Distances[[#This Row],[Colonne86]]+1)</f>
        <v>40</v>
      </c>
      <c r="DB43" s="17">
        <f>IF(Distances[[#This Row],[Colonne87]]=$G43,DA43,Distances[[#This Row],[Colonne87]]+1)</f>
        <v>40</v>
      </c>
      <c r="DC43" s="17">
        <f>IF(Distances[[#This Row],[Colonne88]]=$G43,DB43,Distances[[#This Row],[Colonne88]]+1)</f>
        <v>40</v>
      </c>
      <c r="DD43" s="17">
        <f>IF(Distances[[#This Row],[Colonne89]]=$G43,DC43,Distances[[#This Row],[Colonne89]]+1)</f>
        <v>40</v>
      </c>
      <c r="DE43" s="17">
        <f>IF(Distances[[#This Row],[Colonne90]]=$G43,DD43,Distances[[#This Row],[Colonne90]]+1)</f>
        <v>40</v>
      </c>
      <c r="DF43" s="17">
        <f>IF(Distances[[#This Row],[Colonne91]]=$G43,DE43,Distances[[#This Row],[Colonne91]]+1)</f>
        <v>40</v>
      </c>
      <c r="DG43" s="17">
        <f>IF(Distances[[#This Row],[Colonne92]]=$G43,DF43,Distances[[#This Row],[Colonne92]]+1)</f>
        <v>40</v>
      </c>
      <c r="DH43" s="17">
        <f>IF(Distances[[#This Row],[Colonne93]]=$G43,DG43,Distances[[#This Row],[Colonne93]]+1)</f>
        <v>40</v>
      </c>
      <c r="DI43" s="17">
        <f>IF(Distances[[#This Row],[Colonne94]]=$G43,DH43,Distances[[#This Row],[Colonne94]]+1)</f>
        <v>40</v>
      </c>
      <c r="DJ43" s="17">
        <f>IF(Distances[[#This Row],[Colonne95]]=$G43,DI43,Distances[[#This Row],[Colonne95]]+1)</f>
        <v>40</v>
      </c>
      <c r="DK43" s="17">
        <f>IF(Distances[[#This Row],[Colonne96]]=$G43,DJ43,Distances[[#This Row],[Colonne96]]+1)</f>
        <v>40</v>
      </c>
      <c r="DL43" s="17">
        <f>IF(Distances[[#This Row],[Colonne97]]=$G43,DK43,Distances[[#This Row],[Colonne97]]+1)</f>
        <v>40</v>
      </c>
      <c r="DM43" s="17">
        <f>IF(Distances[[#This Row],[Colonne98]]=$G43,DL43,Distances[[#This Row],[Colonne98]]+1)</f>
        <v>40</v>
      </c>
      <c r="DN43" s="17">
        <f>IF(Distances[[#This Row],[Colonne99]]=$G43,DM43,Distances[[#This Row],[Colonne99]]+1)</f>
        <v>40</v>
      </c>
      <c r="DO43" s="17">
        <f>IF(Distances[[#This Row],[Colonne100]]=$G43,DN43,Distances[[#This Row],[Colonne100]]+1)</f>
        <v>40</v>
      </c>
      <c r="DP43" s="17">
        <f>IF(Distances[[#This Row],[Colonne101]]=$G43,DO43,Distances[[#This Row],[Colonne101]]+1)</f>
        <v>40</v>
      </c>
      <c r="DQ43" s="17">
        <f>IF(Distances[[#This Row],[Colonne102]]=$G43,DP43,Distances[[#This Row],[Colonne102]]+1)</f>
        <v>40</v>
      </c>
      <c r="DR43" s="17">
        <f>IF(Distances[[#This Row],[Colonne103]]=$G43,DQ43,Distances[[#This Row],[Colonne103]]+1)</f>
        <v>40</v>
      </c>
      <c r="DS43" s="17">
        <f>IF(Distances[[#This Row],[Colonne104]]=$G43,DR43,Distances[[#This Row],[Colonne104]]+1)</f>
        <v>40</v>
      </c>
      <c r="DT43" s="17">
        <f>IF(Distances[[#This Row],[Colonne105]]=$G43,DS43,Distances[[#This Row],[Colonne105]]+1)</f>
        <v>40</v>
      </c>
      <c r="DU43" s="17">
        <f>IF(Distances[[#This Row],[Colonne106]]=$G43,DT43,Distances[[#This Row],[Colonne106]]+1)</f>
        <v>40</v>
      </c>
      <c r="DV43" s="17">
        <f>IF(Distances[[#This Row],[Colonne107]]=$G43,DU43,Distances[[#This Row],[Colonne107]]+1)</f>
        <v>40</v>
      </c>
      <c r="DW43" s="17">
        <f>IF(Distances[[#This Row],[Colonne108]]=$G43,DV43,Distances[[#This Row],[Colonne108]]+1)</f>
        <v>40</v>
      </c>
      <c r="DX43" s="17">
        <f>IF(Distances[[#This Row],[Colonne109]]=$G43,DW43,Distances[[#This Row],[Colonne109]]+1)</f>
        <v>40</v>
      </c>
      <c r="DY43" s="17">
        <f>IF(Distances[[#This Row],[Colonne110]]=$G43,DX43,Distances[[#This Row],[Colonne110]]+1)</f>
        <v>40</v>
      </c>
      <c r="DZ43" s="17">
        <f>IF(Distances[[#This Row],[Colonne111]]=$G43,DY43,Distances[[#This Row],[Colonne111]]+1)</f>
        <v>40</v>
      </c>
      <c r="EA43" s="17">
        <f>IF(Distances[[#This Row],[Colonne112]]=$G43,DZ43,Distances[[#This Row],[Colonne112]]+1)</f>
        <v>40</v>
      </c>
      <c r="EB43" s="17">
        <f>IF(Distances[[#This Row],[Colonne113]]=$G43,EA43,Distances[[#This Row],[Colonne113]]+1)</f>
        <v>40</v>
      </c>
      <c r="EC43" s="17">
        <f>IF(Distances[[#This Row],[Colonne114]]=$G43,EB43,Distances[[#This Row],[Colonne114]]+1)</f>
        <v>40</v>
      </c>
      <c r="ED43" s="17">
        <f>IF(Distances[[#This Row],[Colonne115]]=$G43,EC43,Distances[[#This Row],[Colonne115]]+1)</f>
        <v>40</v>
      </c>
      <c r="EE43" s="17">
        <f>IF(Distances[[#This Row],[Colonne116]]=$G43,ED43,Distances[[#This Row],[Colonne116]]+1)</f>
        <v>40</v>
      </c>
      <c r="EF43" s="17">
        <f>IF(Distances[[#This Row],[Colonne117]]=$G43,EE43,Distances[[#This Row],[Colonne117]]+1)</f>
        <v>40</v>
      </c>
      <c r="EG43" s="17">
        <f>IF(Distances[[#This Row],[Colonne118]]=$G43,EF43,Distances[[#This Row],[Colonne118]]+1)</f>
        <v>40</v>
      </c>
      <c r="EH43" s="17">
        <f>IF(Distances[[#This Row],[Colonne119]]=$G43,EG43,Distances[[#This Row],[Colonne119]]+1)</f>
        <v>40</v>
      </c>
      <c r="EI43" s="17">
        <f>IF(Distances[[#This Row],[Colonne120]]=$G43,EH43,Distances[[#This Row],[Colonne120]]+1)</f>
        <v>40</v>
      </c>
      <c r="EJ43" s="17">
        <f>IF(Distances[[#This Row],[Colonne121]]=$G43,EI43,Distances[[#This Row],[Colonne121]]+1)</f>
        <v>40</v>
      </c>
      <c r="EK43" s="17">
        <f>IF(Distances[[#This Row],[Colonne122]]=$G43,EJ43,Distances[[#This Row],[Colonne122]]+1)</f>
        <v>40</v>
      </c>
      <c r="EL43" s="17">
        <f>IF(Distances[[#This Row],[Colonne123]]=$G43,EK43,Distances[[#This Row],[Colonne123]]+1)</f>
        <v>40</v>
      </c>
      <c r="EM43" s="17">
        <f>IF(Distances[[#This Row],[Colonne124]]=$G43,EL43,Distances[[#This Row],[Colonne124]]+1)</f>
        <v>40</v>
      </c>
      <c r="EN43" s="17">
        <f>IF(Distances[[#This Row],[Colonne125]]=$G43,EM43,Distances[[#This Row],[Colonne125]]+1)</f>
        <v>40</v>
      </c>
      <c r="EO43" s="17">
        <f>IF(Distances[[#This Row],[Colonne126]]=$G43,EN43,Distances[[#This Row],[Colonne126]]+1)</f>
        <v>40</v>
      </c>
      <c r="EP43" s="17">
        <f>IF(Distances[[#This Row],[Colonne127]]=$G43,EO43,Distances[[#This Row],[Colonne127]]+1)</f>
        <v>40</v>
      </c>
      <c r="EQ43" s="17">
        <f>IF(Distances[[#This Row],[Colonne128]]=$G43,EP43,Distances[[#This Row],[Colonne128]]+1)</f>
        <v>40</v>
      </c>
      <c r="ER43" s="17">
        <f>IF(Distances[[#This Row],[Colonne129]]=$G43,EQ43,Distances[[#This Row],[Colonne129]]+1)</f>
        <v>40</v>
      </c>
      <c r="ES43" s="17">
        <f>IF(Distances[[#This Row],[Colonne130]]=$G43,ER43,Distances[[#This Row],[Colonne130]]+1)</f>
        <v>40</v>
      </c>
      <c r="ET43" s="17">
        <f>IF(Distances[[#This Row],[Colonne131]]=$G43,ES43,Distances[[#This Row],[Colonne131]]+1)</f>
        <v>40</v>
      </c>
      <c r="EU43" s="17">
        <f>IF(Distances[[#This Row],[Colonne132]]=$G43,ET43,Distances[[#This Row],[Colonne132]]+1)</f>
        <v>40</v>
      </c>
      <c r="EV43" s="17">
        <f>IF(Distances[[#This Row],[Colonne133]]=$G43,EU43,Distances[[#This Row],[Colonne133]]+1)</f>
        <v>40</v>
      </c>
      <c r="EW43" s="17">
        <f>IF(Distances[[#This Row],[Colonne134]]=$G43,EV43,Distances[[#This Row],[Colonne134]]+1)</f>
        <v>40</v>
      </c>
      <c r="EX43" s="17">
        <f>IF(Distances[[#This Row],[Colonne135]]=$G43,EW43,Distances[[#This Row],[Colonne135]]+1)</f>
        <v>40</v>
      </c>
      <c r="EY43" s="17">
        <f>IF(Distances[[#This Row],[Colonne136]]=$G43,EX43,Distances[[#This Row],[Colonne136]]+1)</f>
        <v>40</v>
      </c>
      <c r="EZ43" s="17">
        <f>IF(Distances[[#This Row],[Colonne137]]=$G43,EY43,Distances[[#This Row],[Colonne137]]+1)</f>
        <v>40</v>
      </c>
      <c r="FA43" s="17">
        <f>IF(Distances[[#This Row],[Colonne138]]=$G43,EZ43,Distances[[#This Row],[Colonne138]]+1)</f>
        <v>40</v>
      </c>
      <c r="FB43" s="17">
        <f>IF(Distances[[#This Row],[Colonne139]]=$G43,FA43,Distances[[#This Row],[Colonne139]]+1)</f>
        <v>40</v>
      </c>
      <c r="FC43" s="17">
        <f>IF(Distances[[#This Row],[Colonne140]]=$G43,FB43,Distances[[#This Row],[Colonne140]]+1)</f>
        <v>40</v>
      </c>
      <c r="FD43" s="17">
        <f>IF(Distances[[#This Row],[Colonne141]]=$G43,FC43,Distances[[#This Row],[Colonne141]]+1)</f>
        <v>40</v>
      </c>
      <c r="FE43" s="17">
        <f>IF(Distances[[#This Row],[Colonne142]]=$G43,FD43,Distances[[#This Row],[Colonne142]]+1)</f>
        <v>40</v>
      </c>
      <c r="FF43" s="17">
        <f>IF(Distances[[#This Row],[Colonne143]]=$G43,FE43,Distances[[#This Row],[Colonne143]]+1)</f>
        <v>40</v>
      </c>
      <c r="FG43" s="17">
        <f>IF(Distances[[#This Row],[Colonne144]]=$G43,FF43,Distances[[#This Row],[Colonne144]]+1)</f>
        <v>40</v>
      </c>
      <c r="FH43" s="17">
        <f>IF(Distances[[#This Row],[Colonne145]]=$G43,FG43,Distances[[#This Row],[Colonne145]]+1)</f>
        <v>40</v>
      </c>
      <c r="FI43" s="17">
        <f>IF(Distances[[#This Row],[Colonne146]]=$G43,FH43,Distances[[#This Row],[Colonne146]]+1)</f>
        <v>40</v>
      </c>
      <c r="FJ43" s="17">
        <f>IF(Distances[[#This Row],[Colonne147]]=$G43,FI43,Distances[[#This Row],[Colonne147]]+1)</f>
        <v>40</v>
      </c>
      <c r="FK43" s="17">
        <f>IF(Distances[[#This Row],[Colonne148]]=$G43,FJ43,Distances[[#This Row],[Colonne148]]+1)</f>
        <v>40</v>
      </c>
      <c r="FL43" s="17">
        <f>IF(Distances[[#This Row],[Colonne149]]=$G43,FK43,Distances[[#This Row],[Colonne149]]+1)</f>
        <v>40</v>
      </c>
      <c r="FM43" s="17">
        <f>IF(Distances[[#This Row],[Colonne150]]=$G43,FL43,Distances[[#This Row],[Colonne150]]+1)</f>
        <v>40</v>
      </c>
      <c r="FN43" s="17">
        <f>IF(Distances[[#This Row],[Colonne151]]=$G43,FM43,Distances[[#This Row],[Colonne151]]+1)</f>
        <v>40</v>
      </c>
      <c r="FO43" s="17">
        <f>IF(Distances[[#This Row],[Colonne152]]=$G43,FN43,Distances[[#This Row],[Colonne152]]+1)</f>
        <v>40</v>
      </c>
      <c r="FP43" s="17">
        <f>IF(Distances[[#This Row],[Colonne153]]=$G43,FO43,Distances[[#This Row],[Colonne153]]+1)</f>
        <v>40</v>
      </c>
      <c r="FQ43" s="17">
        <f>IF(Distances[[#This Row],[Colonne154]]=$G43,FP43,Distances[[#This Row],[Colonne154]]+1)</f>
        <v>40</v>
      </c>
      <c r="FR43" s="17">
        <f>IF(Distances[[#This Row],[Colonne155]]=$G43,FQ43,Distances[[#This Row],[Colonne155]]+1)</f>
        <v>40</v>
      </c>
      <c r="FS43" s="17">
        <f>IF(Distances[[#This Row],[Colonne156]]=$G43,FR43,Distances[[#This Row],[Colonne156]]+1)</f>
        <v>40</v>
      </c>
      <c r="FT43" s="17">
        <f>IF(Distances[[#This Row],[Colonne157]]=$G43,FS43,Distances[[#This Row],[Colonne157]]+1)</f>
        <v>40</v>
      </c>
      <c r="FU43" s="17">
        <f>IF(Distances[[#This Row],[Colonne158]]=$G43,FT43,Distances[[#This Row],[Colonne158]]+1)</f>
        <v>40</v>
      </c>
      <c r="FV43" s="17">
        <f>IF(Distances[[#This Row],[Colonne159]]=$G43,FU43,Distances[[#This Row],[Colonne159]]+1)</f>
        <v>40</v>
      </c>
      <c r="FW43" s="17">
        <f>IF(Distances[[#This Row],[Colonne160]]=$G43,FV43,Distances[[#This Row],[Colonne160]]+1)</f>
        <v>40</v>
      </c>
      <c r="FX43" s="17">
        <f>IF(Distances[[#This Row],[Colonne161]]=$G43,FW43,Distances[[#This Row],[Colonne161]]+1)</f>
        <v>40</v>
      </c>
      <c r="FY43" s="17">
        <f>IF(Distances[[#This Row],[Colonne162]]=$G43,FX43,Distances[[#This Row],[Colonne162]]+1)</f>
        <v>40</v>
      </c>
      <c r="FZ43" s="17">
        <f>IF(Distances[[#This Row],[Colonne163]]=$G43,FY43,Distances[[#This Row],[Colonne163]]+1)</f>
        <v>40</v>
      </c>
      <c r="GA43" s="17">
        <f>IF(Distances[[#This Row],[Colonne164]]=$G43,FZ43,Distances[[#This Row],[Colonne164]]+1)</f>
        <v>40</v>
      </c>
      <c r="GB43" s="17">
        <f>IF(Distances[[#This Row],[Colonne165]]=$G43,GA43,Distances[[#This Row],[Colonne165]]+1)</f>
        <v>40</v>
      </c>
      <c r="GC43" s="17">
        <f>IF(Distances[[#This Row],[Colonne166]]=$G43,GB43,Distances[[#This Row],[Colonne166]]+1)</f>
        <v>40</v>
      </c>
      <c r="GD43" s="17">
        <f>IF(Distances[[#This Row],[Colonne167]]=$G43,GC43,Distances[[#This Row],[Colonne167]]+1)</f>
        <v>40</v>
      </c>
      <c r="GE43" s="17">
        <f>IF(Distances[[#This Row],[Colonne168]]=$G43,GD43,Distances[[#This Row],[Colonne168]]+1)</f>
        <v>40</v>
      </c>
      <c r="GF43" s="17">
        <f>IF(Distances[[#This Row],[Colonne169]]=$G43,GE43,Distances[[#This Row],[Colonne169]]+1)</f>
        <v>40</v>
      </c>
      <c r="GG43" s="17">
        <f>IF(Distances[[#This Row],[Colonne170]]=$G43,GF43,Distances[[#This Row],[Colonne170]]+1)</f>
        <v>40</v>
      </c>
      <c r="GH43" s="17">
        <f>IF(Distances[[#This Row],[Colonne171]]=$G43,GG43,Distances[[#This Row],[Colonne171]]+1)</f>
        <v>40</v>
      </c>
      <c r="GI43" s="17">
        <f>IF(Distances[[#This Row],[Colonne172]]=$G43,GH43,Distances[[#This Row],[Colonne172]]+1)</f>
        <v>40</v>
      </c>
      <c r="GJ43" s="17">
        <f>IF(Distances[[#This Row],[Colonne173]]=$G43,GI43,Distances[[#This Row],[Colonne173]]+1)</f>
        <v>40</v>
      </c>
      <c r="GK43" s="17">
        <f>IF(Distances[[#This Row],[Colonne174]]=$G43,GJ43,Distances[[#This Row],[Colonne174]]+1)</f>
        <v>40</v>
      </c>
      <c r="GL43" s="17">
        <f>IF(Distances[[#This Row],[Colonne175]]=$G43,GK43,Distances[[#This Row],[Colonne175]]+1)</f>
        <v>40</v>
      </c>
      <c r="GM43" s="17">
        <f>IF(Distances[[#This Row],[Colonne176]]=$G43,GL43,Distances[[#This Row],[Colonne176]]+1)</f>
        <v>40</v>
      </c>
      <c r="GN43" s="17">
        <f>IF(Distances[[#This Row],[Colonne177]]=$G43,GM43,Distances[[#This Row],[Colonne177]]+1)</f>
        <v>40</v>
      </c>
      <c r="GO43" s="17">
        <f>IF(Distances[[#This Row],[Colonne178]]=$G43,GN43,Distances[[#This Row],[Colonne178]]+1)</f>
        <v>40</v>
      </c>
      <c r="GP43" s="17">
        <f>IF(Distances[[#This Row],[Colonne179]]=$G43,GO43,Distances[[#This Row],[Colonne179]]+1)</f>
        <v>40</v>
      </c>
      <c r="GQ43" s="17">
        <f>IF(Distances[[#This Row],[Colonne180]]=$G43,GP43,Distances[[#This Row],[Colonne180]]+1)</f>
        <v>40</v>
      </c>
      <c r="GR43" s="17">
        <f>IF(Distances[[#This Row],[Colonne181]]=$G43,GQ43,Distances[[#This Row],[Colonne181]]+1)</f>
        <v>40</v>
      </c>
      <c r="GS43" s="17">
        <f>IF(Distances[[#This Row],[Colonne182]]=$G43,GR43,Distances[[#This Row],[Colonne182]]+1)</f>
        <v>40</v>
      </c>
      <c r="GT43" s="17">
        <f>IF(Distances[[#This Row],[Colonne183]]=$G43,GS43,Distances[[#This Row],[Colonne183]]+1)</f>
        <v>40</v>
      </c>
      <c r="GU43" s="17">
        <f>IF(Distances[[#This Row],[Colonne184]]=$G43,GT43,Distances[[#This Row],[Colonne184]]+1)</f>
        <v>40</v>
      </c>
      <c r="GV43" s="17">
        <f>IF(Distances[[#This Row],[Colonne185]]=$G43,GU43,Distances[[#This Row],[Colonne185]]+1)</f>
        <v>40</v>
      </c>
      <c r="GW43" s="17">
        <f>IF(Distances[[#This Row],[Colonne186]]=$G43,GV43,Distances[[#This Row],[Colonne186]]+1)</f>
        <v>40</v>
      </c>
      <c r="GX43" s="17">
        <f>IF(Distances[[#This Row],[Colonne187]]=$G43,GW43,Distances[[#This Row],[Colonne187]]+1)</f>
        <v>40</v>
      </c>
      <c r="GY43" s="17">
        <f>IF(Distances[[#This Row],[Colonne188]]=$G43,GX43,Distances[[#This Row],[Colonne188]]+1)</f>
        <v>40</v>
      </c>
      <c r="GZ43" s="17">
        <f>IF(Distances[[#This Row],[Colonne189]]=$G43,GY43,Distances[[#This Row],[Colonne189]]+1)</f>
        <v>40</v>
      </c>
      <c r="HA43" s="17">
        <f>IF(Distances[[#This Row],[Colonne190]]=$G43,GZ43,Distances[[#This Row],[Colonne190]]+1)</f>
        <v>40</v>
      </c>
      <c r="HB43" s="17">
        <f>IF(Distances[[#This Row],[Colonne191]]=$G43,HA43,Distances[[#This Row],[Colonne191]]+1)</f>
        <v>40</v>
      </c>
      <c r="HC43" s="17">
        <f>IF(Distances[[#This Row],[Colonne192]]=$G43,HB43,Distances[[#This Row],[Colonne192]]+1)</f>
        <v>40</v>
      </c>
      <c r="HD43" s="17">
        <f>IF(Distances[[#This Row],[Colonne193]]=$G43,HC43,Distances[[#This Row],[Colonne193]]+1)</f>
        <v>40</v>
      </c>
      <c r="HE43" s="17">
        <f>IF(Distances[[#This Row],[Colonne194]]=$G43,HD43,Distances[[#This Row],[Colonne194]]+1)</f>
        <v>40</v>
      </c>
      <c r="HF43" s="17">
        <f>IF(Distances[[#This Row],[Colonne195]]=$G43,HE43,Distances[[#This Row],[Colonne195]]+1)</f>
        <v>40</v>
      </c>
      <c r="HG43" s="17">
        <f>IF(Distances[[#This Row],[Colonne196]]=$G43,HF43,Distances[[#This Row],[Colonne196]]+1)</f>
        <v>40</v>
      </c>
      <c r="HH43" s="17">
        <f>IF(Distances[[#This Row],[Colonne197]]=$G43,HG43,Distances[[#This Row],[Colonne197]]+1)</f>
        <v>40</v>
      </c>
      <c r="HI43" s="17">
        <f>IF(Distances[[#This Row],[Colonne198]]=$G43,HH43,Distances[[#This Row],[Colonne198]]+1)</f>
        <v>40</v>
      </c>
      <c r="HJ43" s="17">
        <f>IF(Distances[[#This Row],[Colonne199]]=$G43,HI43,Distances[[#This Row],[Colonne199]]+1)</f>
        <v>40</v>
      </c>
      <c r="HK43" s="17">
        <f>IF(Distances[[#This Row],[Colonne200]]=$G43,HJ43,Distances[[#This Row],[Colonne200]]+1)</f>
        <v>40</v>
      </c>
      <c r="HL43" s="17">
        <f>IF(Distances[[#This Row],[Colonne201]]=$G43,HK43,Distances[[#This Row],[Colonne201]]+1)</f>
        <v>40</v>
      </c>
      <c r="HM43" s="17">
        <f>IF(Distances[[#This Row],[Colonne202]]=$G43,HL43,Distances[[#This Row],[Colonne202]]+1)</f>
        <v>40</v>
      </c>
      <c r="HN43" s="17">
        <f>IF(Distances[[#This Row],[Colonne203]]=$G43,HM43,Distances[[#This Row],[Colonne203]]+1)</f>
        <v>40</v>
      </c>
      <c r="HO43" s="17">
        <f>IF(Distances[[#This Row],[Colonne204]]=$G43,HN43,Distances[[#This Row],[Colonne204]]+1)</f>
        <v>40</v>
      </c>
      <c r="HP43" s="17">
        <f>IF(Distances[[#This Row],[Colonne205]]=$G43,HO43,Distances[[#This Row],[Colonne205]]+1)</f>
        <v>40</v>
      </c>
      <c r="HQ43" s="17">
        <f>IF(Distances[[#This Row],[Colonne206]]=$G43,HP43,Distances[[#This Row],[Colonne206]]+1)</f>
        <v>40</v>
      </c>
      <c r="HR43" s="17">
        <f>IF(Distances[[#This Row],[Colonne207]]=$G43,HQ43,Distances[[#This Row],[Colonne207]]+1)</f>
        <v>40</v>
      </c>
      <c r="HS43" s="17">
        <f>IF(Distances[[#This Row],[Colonne208]]=$G43,HR43,Distances[[#This Row],[Colonne208]]+1)</f>
        <v>40</v>
      </c>
      <c r="HT43" s="17">
        <f>IF(Distances[[#This Row],[Colonne209]]=$G43,HS43,Distances[[#This Row],[Colonne209]]+1)</f>
        <v>40</v>
      </c>
      <c r="HU43" s="17">
        <f>IF(Distances[[#This Row],[Colonne210]]=$G43,HT43,Distances[[#This Row],[Colonne210]]+1)</f>
        <v>40</v>
      </c>
      <c r="HV43" s="17">
        <f>IF(Distances[[#This Row],[Colonne211]]=$G43,HU43,Distances[[#This Row],[Colonne211]]+1)</f>
        <v>40</v>
      </c>
      <c r="HW43" s="17">
        <f>IF(Distances[[#This Row],[Colonne212]]=$G43,HV43,Distances[[#This Row],[Colonne212]]+1)</f>
        <v>40</v>
      </c>
      <c r="HX43" s="17">
        <f>IF(Distances[[#This Row],[Colonne213]]=$G43,HW43,Distances[[#This Row],[Colonne213]]+1)</f>
        <v>40</v>
      </c>
      <c r="HY43" s="17">
        <f>IF(Distances[[#This Row],[Colonne214]]=$G43,HX43,Distances[[#This Row],[Colonne214]]+1)</f>
        <v>40</v>
      </c>
      <c r="HZ43" s="17">
        <f>IF(Distances[[#This Row],[Colonne215]]=$G43,HY43,Distances[[#This Row],[Colonne215]]+1)</f>
        <v>40</v>
      </c>
      <c r="IA43" s="17">
        <f>IF(Distances[[#This Row],[Colonne216]]=$G43,HZ43,Distances[[#This Row],[Colonne216]]+1)</f>
        <v>40</v>
      </c>
      <c r="IB43" s="17">
        <f>IF(Distances[[#This Row],[Colonne217]]=$G43,IA43,Distances[[#This Row],[Colonne217]]+1)</f>
        <v>40</v>
      </c>
      <c r="IC43" s="17">
        <f>IF(Distances[[#This Row],[Colonne218]]=$G43,IB43,Distances[[#This Row],[Colonne218]]+1)</f>
        <v>40</v>
      </c>
      <c r="ID43" s="17">
        <f>IF(Distances[[#This Row],[Colonne219]]=$G43,IC43,Distances[[#This Row],[Colonne219]]+1)</f>
        <v>40</v>
      </c>
      <c r="IE43" s="17">
        <f>IF(Distances[[#This Row],[Colonne220]]=$G43,ID43,Distances[[#This Row],[Colonne220]]+1)</f>
        <v>40</v>
      </c>
      <c r="IF43" s="17">
        <f>IF(Distances[[#This Row],[Colonne221]]=$G43,IE43,Distances[[#This Row],[Colonne221]]+1)</f>
        <v>40</v>
      </c>
      <c r="IG43" s="17">
        <f>IF(Distances[[#This Row],[Colonne222]]=$G43,IF43,Distances[[#This Row],[Colonne222]]+1)</f>
        <v>40</v>
      </c>
      <c r="IH43" s="17">
        <f>IF(Distances[[#This Row],[Colonne223]]=$G43,IG43,Distances[[#This Row],[Colonne223]]+1)</f>
        <v>40</v>
      </c>
      <c r="II43" s="17">
        <f>IF(Distances[[#This Row],[Colonne224]]=$G43,IH43,Distances[[#This Row],[Colonne224]]+1)</f>
        <v>40</v>
      </c>
      <c r="IJ43" s="17">
        <f>IF(Distances[[#This Row],[Colonne225]]=$G43,II43,Distances[[#This Row],[Colonne225]]+1)</f>
        <v>40</v>
      </c>
      <c r="IK43" s="17">
        <f>IF(Distances[[#This Row],[Colonne226]]=$G43,IJ43,Distances[[#This Row],[Colonne226]]+1)</f>
        <v>40</v>
      </c>
      <c r="IL43" s="17">
        <f>IF(Distances[[#This Row],[Colonne227]]=$G43,IK43,Distances[[#This Row],[Colonne227]]+1)</f>
        <v>40</v>
      </c>
      <c r="IM43" s="17">
        <f>IF(Distances[[#This Row],[Colonne228]]=$G43,IL43,Distances[[#This Row],[Colonne228]]+1)</f>
        <v>40</v>
      </c>
      <c r="IN43" s="17">
        <f>IF(Distances[[#This Row],[Colonne229]]=$G43,IM43,Distances[[#This Row],[Colonne229]]+1)</f>
        <v>40</v>
      </c>
      <c r="IO43" s="17">
        <f>IF(Distances[[#This Row],[Colonne230]]=$G43,IN43,Distances[[#This Row],[Colonne230]]+1)</f>
        <v>40</v>
      </c>
      <c r="IP43" s="17">
        <f>IF(Distances[[#This Row],[Colonne231]]=$G43,IO43,Distances[[#This Row],[Colonne231]]+1)</f>
        <v>40</v>
      </c>
      <c r="IQ43" s="17">
        <f>IF(Distances[[#This Row],[Colonne232]]=$G43,IP43,Distances[[#This Row],[Colonne232]]+1)</f>
        <v>40</v>
      </c>
      <c r="IR43" s="17">
        <f>IF(Distances[[#This Row],[Colonne233]]=$G43,IQ43,Distances[[#This Row],[Colonne233]]+1)</f>
        <v>40</v>
      </c>
      <c r="IS43" s="17">
        <f>IF(Distances[[#This Row],[Colonne234]]=$G43,IR43,Distances[[#This Row],[Colonne234]]+1)</f>
        <v>40</v>
      </c>
      <c r="IT43" s="17">
        <f>IF(Distances[[#This Row],[Colonne235]]=$G43,IS43,Distances[[#This Row],[Colonne235]]+1)</f>
        <v>40</v>
      </c>
      <c r="IU43" s="17">
        <f>IF(Distances[[#This Row],[Colonne236]]=$G43,IT43,Distances[[#This Row],[Colonne236]]+1)</f>
        <v>40</v>
      </c>
      <c r="IV43" s="17">
        <f>IF(Distances[[#This Row],[Colonne237]]=$G43,IU43,Distances[[#This Row],[Colonne237]]+1)</f>
        <v>40</v>
      </c>
      <c r="IW43" s="17">
        <f>IF(Distances[[#This Row],[Colonne238]]=$G43,IV43,Distances[[#This Row],[Colonne238]]+1)</f>
        <v>40</v>
      </c>
      <c r="IX43" s="17">
        <f>IF(Distances[[#This Row],[Colonne239]]=$G43,IW43,Distances[[#This Row],[Colonne239]]+1)</f>
        <v>40</v>
      </c>
      <c r="IY43" s="17">
        <f>IF(Distances[[#This Row],[Colonne240]]=$G43,IX43,Distances[[#This Row],[Colonne240]]+1)</f>
        <v>40</v>
      </c>
      <c r="IZ43" s="17">
        <f>IF(Distances[[#This Row],[Colonne241]]=$G43,IY43,Distances[[#This Row],[Colonne241]]+1)</f>
        <v>40</v>
      </c>
      <c r="JA43" s="17">
        <f>IF(Distances[[#This Row],[Colonne242]]=$G43,IZ43,Distances[[#This Row],[Colonne242]]+1)</f>
        <v>40</v>
      </c>
      <c r="JB43" s="17">
        <f>IF(Distances[[#This Row],[Colonne243]]=$G43,JA43,Distances[[#This Row],[Colonne243]]+1)</f>
        <v>40</v>
      </c>
      <c r="JC43" s="17">
        <f>IF(Distances[[#This Row],[Colonne244]]=$G43,JB43,Distances[[#This Row],[Colonne244]]+1)</f>
        <v>40</v>
      </c>
      <c r="JD43" s="17">
        <f>IF(Distances[[#This Row],[Colonne245]]=$G43,JC43,Distances[[#This Row],[Colonne245]]+1)</f>
        <v>40</v>
      </c>
      <c r="JE43" s="17">
        <f>IF(Distances[[#This Row],[Colonne246]]=$G43,JD43,Distances[[#This Row],[Colonne246]]+1)</f>
        <v>40</v>
      </c>
      <c r="JF43" s="17">
        <f>IF(Distances[[#This Row],[Colonne247]]=$G43,JE43,Distances[[#This Row],[Colonne247]]+1)</f>
        <v>40</v>
      </c>
      <c r="JG43" s="17">
        <f>IF(Distances[[#This Row],[Colonne248]]=$G43,JF43,Distances[[#This Row],[Colonne248]]+1)</f>
        <v>40</v>
      </c>
      <c r="JH43" s="17">
        <f>IF(Distances[[#This Row],[Colonne249]]=$G43,JG43,Distances[[#This Row],[Colonne249]]+1)</f>
        <v>40</v>
      </c>
      <c r="JI43" s="17">
        <f>IF(Distances[[#This Row],[Colonne250]]=$G43,JH43,Distances[[#This Row],[Colonne250]]+1)</f>
        <v>40</v>
      </c>
      <c r="JJ43" s="17">
        <f>IF(Distances[[#This Row],[Colonne251]]=$G43,JI43,Distances[[#This Row],[Colonne251]]+1)</f>
        <v>40</v>
      </c>
      <c r="JK43" s="17">
        <f>IF(Distances[[#This Row],[Colonne252]]=$G43,JJ43,Distances[[#This Row],[Colonne252]]+1)</f>
        <v>40</v>
      </c>
      <c r="JL43" s="17">
        <f>IF(Distances[[#This Row],[Colonne253]]=$G43,JK43,Distances[[#This Row],[Colonne253]]+1)</f>
        <v>40</v>
      </c>
      <c r="JM43" s="17">
        <f>IF(Distances[[#This Row],[Colonne254]]=$G43,JL43,Distances[[#This Row],[Colonne254]]+1)</f>
        <v>40</v>
      </c>
      <c r="JN43" s="17">
        <f>IF(Distances[[#This Row],[Colonne255]]=$G43,JM43,Distances[[#This Row],[Colonne255]]+1)</f>
        <v>40</v>
      </c>
      <c r="JO43" s="17">
        <f>IF(Distances[[#This Row],[Colonne256]]=$G43,JN43,Distances[[#This Row],[Colonne256]]+1)</f>
        <v>40</v>
      </c>
      <c r="JP43" s="17">
        <f>IF(Distances[[#This Row],[Colonne257]]=$G43,JO43,Distances[[#This Row],[Colonne257]]+1)</f>
        <v>40</v>
      </c>
      <c r="JQ43" s="17">
        <f>IF(Distances[[#This Row],[Colonne258]]=$G43,JP43,Distances[[#This Row],[Colonne258]]+1)</f>
        <v>40</v>
      </c>
      <c r="JR43" s="17">
        <f>IF(Distances[[#This Row],[Colonne259]]=$G43,JQ43,Distances[[#This Row],[Colonne259]]+1)</f>
        <v>40</v>
      </c>
      <c r="JS43" s="17">
        <f>IF(Distances[[#This Row],[Colonne260]]=$G43,JR43,Distances[[#This Row],[Colonne260]]+1)</f>
        <v>40</v>
      </c>
      <c r="JT43" s="17">
        <f>IF(Distances[[#This Row],[Colonne261]]=$G43,JS43,Distances[[#This Row],[Colonne261]]+1)</f>
        <v>40</v>
      </c>
      <c r="JU43" s="17">
        <f>IF(Distances[[#This Row],[Colonne262]]=$G43,JT43,Distances[[#This Row],[Colonne262]]+1)</f>
        <v>40</v>
      </c>
      <c r="JV43" s="17">
        <f>IF(Distances[[#This Row],[Colonne263]]=$G43,JU43,Distances[[#This Row],[Colonne263]]+1)</f>
        <v>40</v>
      </c>
      <c r="JW43" s="17">
        <f>IF(Distances[[#This Row],[Colonne264]]=$G43,JV43,Distances[[#This Row],[Colonne264]]+1)</f>
        <v>40</v>
      </c>
      <c r="JX43" s="17">
        <f>IF(Distances[[#This Row],[Colonne265]]=$G43,JW43,Distances[[#This Row],[Colonne265]]+1)</f>
        <v>40</v>
      </c>
      <c r="JY43" s="17">
        <f>IF(Distances[[#This Row],[Colonne266]]=$G43,JX43,Distances[[#This Row],[Colonne266]]+1)</f>
        <v>40</v>
      </c>
      <c r="JZ43" s="17">
        <f>IF(Distances[[#This Row],[Colonne267]]=$G43,JY43,Distances[[#This Row],[Colonne267]]+1)</f>
        <v>40</v>
      </c>
      <c r="KA43" s="17">
        <f>IF(Distances[[#This Row],[Colonne268]]=$G43,JZ43,Distances[[#This Row],[Colonne268]]+1)</f>
        <v>40</v>
      </c>
      <c r="KB43" s="17">
        <f>IF(Distances[[#This Row],[Colonne269]]=$G43,KA43,Distances[[#This Row],[Colonne269]]+1)</f>
        <v>40</v>
      </c>
      <c r="KC43" s="17">
        <f>IF(Distances[[#This Row],[Colonne270]]=$G43,KB43,Distances[[#This Row],[Colonne270]]+1)</f>
        <v>40</v>
      </c>
      <c r="KD43" s="17">
        <f>IF(Distances[[#This Row],[Colonne271]]=$G43,KC43,Distances[[#This Row],[Colonne271]]+1)</f>
        <v>40</v>
      </c>
      <c r="KE43" s="17">
        <f>IF(Distances[[#This Row],[Colonne272]]=$G43,KD43,Distances[[#This Row],[Colonne272]]+1)</f>
        <v>40</v>
      </c>
      <c r="KF43" s="17">
        <f>IF(Distances[[#This Row],[Colonne273]]=$G43,KE43,Distances[[#This Row],[Colonne273]]+1)</f>
        <v>40</v>
      </c>
      <c r="KG43" s="17">
        <f>IF(Distances[[#This Row],[Colonne274]]=$G43,KF43,Distances[[#This Row],[Colonne274]]+1)</f>
        <v>40</v>
      </c>
      <c r="KH43" s="17">
        <f>IF(Distances[[#This Row],[Colonne275]]=$G43,KG43,Distances[[#This Row],[Colonne275]]+1)</f>
        <v>40</v>
      </c>
      <c r="KI43" s="17">
        <f>IF(Distances[[#This Row],[Colonne276]]=$G43,KH43,Distances[[#This Row],[Colonne276]]+1)</f>
        <v>40</v>
      </c>
      <c r="KJ43" s="17">
        <f>IF(Distances[[#This Row],[Colonne277]]=$G43,KI43,Distances[[#This Row],[Colonne277]]+1)</f>
        <v>40</v>
      </c>
      <c r="KK43" s="17">
        <f>IF(Distances[[#This Row],[Colonne278]]=$G43,KJ43,Distances[[#This Row],[Colonne278]]+1)</f>
        <v>40</v>
      </c>
      <c r="KL43" s="17">
        <f>IF(Distances[[#This Row],[Colonne279]]=$G43,KK43,Distances[[#This Row],[Colonne279]]+1)</f>
        <v>40</v>
      </c>
      <c r="KM43" s="17">
        <f>IF(Distances[[#This Row],[Colonne280]]=$G43,KL43,Distances[[#This Row],[Colonne280]]+1)</f>
        <v>40</v>
      </c>
      <c r="KN43" s="17">
        <f>IF(Distances[[#This Row],[Colonne281]]=$G43,KM43,Distances[[#This Row],[Colonne281]]+1)</f>
        <v>40</v>
      </c>
      <c r="KO43" s="17">
        <f>IF(Distances[[#This Row],[Colonne282]]=$G43,KN43,Distances[[#This Row],[Colonne282]]+1)</f>
        <v>40</v>
      </c>
      <c r="KP43" s="17">
        <f>IF(Distances[[#This Row],[Colonne283]]=$G43,KO43,Distances[[#This Row],[Colonne283]]+1)</f>
        <v>40</v>
      </c>
      <c r="KQ43" s="17">
        <f>IF(Distances[[#This Row],[Colonne284]]=$G43,KP43,Distances[[#This Row],[Colonne284]]+1)</f>
        <v>40</v>
      </c>
      <c r="KR43" s="17">
        <f>IF(Distances[[#This Row],[Colonne285]]=$G43,KQ43,Distances[[#This Row],[Colonne285]]+1)</f>
        <v>40</v>
      </c>
      <c r="KS43" s="17">
        <f>IF(Distances[[#This Row],[Colonne286]]=$G43,KR43,Distances[[#This Row],[Colonne286]]+1)</f>
        <v>40</v>
      </c>
      <c r="KT43" s="17">
        <f>IF(Distances[[#This Row],[Colonne287]]=$G43,KS43,Distances[[#This Row],[Colonne287]]+1)</f>
        <v>40</v>
      </c>
      <c r="KU43" s="17">
        <f>IF(Distances[[#This Row],[Colonne288]]=$G43,KT43,Distances[[#This Row],[Colonne288]]+1)</f>
        <v>40</v>
      </c>
      <c r="KV43" s="17">
        <f>IF(Distances[[#This Row],[Colonne289]]=$G43,KU43,Distances[[#This Row],[Colonne289]]+1)</f>
        <v>40</v>
      </c>
      <c r="KW43" s="17">
        <f>IF(Distances[[#This Row],[Colonne290]]=$G43,KV43,Distances[[#This Row],[Colonne290]]+1)</f>
        <v>40</v>
      </c>
      <c r="KX43" s="17">
        <f>IF(Distances[[#This Row],[Colonne291]]=$G43,KW43,Distances[[#This Row],[Colonne291]]+1)</f>
        <v>40</v>
      </c>
      <c r="KY43" s="17">
        <f>IF(Distances[[#This Row],[Colonne292]]=$G43,KX43,Distances[[#This Row],[Colonne292]]+1)</f>
        <v>40</v>
      </c>
      <c r="KZ43" s="17">
        <f>IF(Distances[[#This Row],[Colonne293]]=$G43,KY43,Distances[[#This Row],[Colonne293]]+1)</f>
        <v>40</v>
      </c>
      <c r="LA43" s="17">
        <f>IF(Distances[[#This Row],[Colonne294]]=$G43,KZ43,Distances[[#This Row],[Colonne294]]+1)</f>
        <v>40</v>
      </c>
      <c r="LB43" s="17">
        <f>IF(Distances[[#This Row],[Colonne295]]=$G43,LA43,Distances[[#This Row],[Colonne295]]+1)</f>
        <v>40</v>
      </c>
      <c r="LC43" s="17">
        <f>IF(Distances[[#This Row],[Colonne296]]=$G43,LB43,Distances[[#This Row],[Colonne296]]+1)</f>
        <v>40</v>
      </c>
      <c r="LD43" s="17">
        <f>IF(Distances[[#This Row],[Colonne297]]=$G43,LC43,Distances[[#This Row],[Colonne297]]+1)</f>
        <v>40</v>
      </c>
      <c r="LE43" s="17">
        <f>IF(Distances[[#This Row],[Colonne298]]=$G43,LD43,Distances[[#This Row],[Colonne298]]+1)</f>
        <v>40</v>
      </c>
      <c r="LF43" s="17">
        <f>IF(Distances[[#This Row],[Colonne299]]=$G43,LE43,Distances[[#This Row],[Colonne299]]+1)</f>
        <v>40</v>
      </c>
      <c r="LG43" s="17">
        <f>IF(Distances[[#This Row],[Colonne300]]=$G43,LF43,Distances[[#This Row],[Colonne300]]+1)</f>
        <v>40</v>
      </c>
      <c r="LH43" s="17">
        <f>IF(Distances[[#This Row],[Colonne301]]=$G43,LG43,Distances[[#This Row],[Colonne301]]+1)</f>
        <v>40</v>
      </c>
      <c r="LI43" s="17">
        <f>IF(Distances[[#This Row],[Colonne302]]=$G43,LH43,Distances[[#This Row],[Colonne302]]+1)</f>
        <v>40</v>
      </c>
      <c r="LJ43" s="17">
        <f>IF(Distances[[#This Row],[Colonne303]]=$G43,LI43,Distances[[#This Row],[Colonne303]]+1)</f>
        <v>40</v>
      </c>
      <c r="LK43" s="51"/>
      <c r="LL43" s="17">
        <f t="shared" ref="LL43:NW43" si="86">IF(LK43=$H43,LK43,LK43+1)</f>
        <v>1</v>
      </c>
      <c r="LM43" s="17">
        <f t="shared" si="86"/>
        <v>2</v>
      </c>
      <c r="LN43" s="17">
        <f t="shared" si="86"/>
        <v>3</v>
      </c>
      <c r="LO43" s="17">
        <f t="shared" si="86"/>
        <v>4</v>
      </c>
      <c r="LP43" s="17">
        <f t="shared" si="86"/>
        <v>5</v>
      </c>
      <c r="LQ43" s="17">
        <f t="shared" si="86"/>
        <v>6</v>
      </c>
      <c r="LR43" s="17">
        <f t="shared" si="86"/>
        <v>7</v>
      </c>
      <c r="LS43" s="17">
        <f t="shared" si="86"/>
        <v>8</v>
      </c>
      <c r="LT43" s="17">
        <f t="shared" si="86"/>
        <v>9</v>
      </c>
      <c r="LU43" s="17">
        <f t="shared" si="86"/>
        <v>10</v>
      </c>
      <c r="LV43" s="17">
        <f t="shared" si="86"/>
        <v>11</v>
      </c>
      <c r="LW43" s="17">
        <f t="shared" si="86"/>
        <v>12</v>
      </c>
      <c r="LX43" s="17">
        <f t="shared" si="86"/>
        <v>13</v>
      </c>
      <c r="LY43" s="17">
        <f t="shared" si="86"/>
        <v>14</v>
      </c>
      <c r="LZ43" s="17">
        <f t="shared" si="86"/>
        <v>15</v>
      </c>
      <c r="MA43" s="17">
        <f t="shared" si="86"/>
        <v>16</v>
      </c>
      <c r="MB43" s="17">
        <f t="shared" si="86"/>
        <v>17</v>
      </c>
      <c r="MC43" s="17">
        <f t="shared" si="86"/>
        <v>18</v>
      </c>
      <c r="MD43" s="17">
        <f t="shared" si="86"/>
        <v>19</v>
      </c>
      <c r="ME43" s="17">
        <f t="shared" si="86"/>
        <v>20</v>
      </c>
      <c r="MF43" s="17">
        <f t="shared" si="86"/>
        <v>21</v>
      </c>
      <c r="MG43" s="17">
        <f t="shared" si="86"/>
        <v>22</v>
      </c>
      <c r="MH43" s="17">
        <f t="shared" si="86"/>
        <v>23</v>
      </c>
      <c r="MI43" s="17">
        <f t="shared" si="86"/>
        <v>24</v>
      </c>
      <c r="MJ43" s="17">
        <f t="shared" si="86"/>
        <v>25</v>
      </c>
      <c r="MK43" s="17">
        <f t="shared" si="86"/>
        <v>26</v>
      </c>
      <c r="ML43" s="17">
        <f t="shared" si="86"/>
        <v>27</v>
      </c>
      <c r="MM43" s="17">
        <f t="shared" si="86"/>
        <v>28</v>
      </c>
      <c r="MN43" s="17">
        <f t="shared" si="86"/>
        <v>29</v>
      </c>
      <c r="MO43" s="17">
        <f t="shared" si="86"/>
        <v>30</v>
      </c>
      <c r="MP43" s="17">
        <f t="shared" si="86"/>
        <v>31</v>
      </c>
      <c r="MQ43" s="17">
        <f t="shared" si="86"/>
        <v>32</v>
      </c>
      <c r="MR43" s="17">
        <f t="shared" si="86"/>
        <v>33</v>
      </c>
      <c r="MS43" s="17">
        <f t="shared" si="86"/>
        <v>34</v>
      </c>
      <c r="MT43" s="17">
        <f t="shared" si="86"/>
        <v>35</v>
      </c>
      <c r="MU43" s="17">
        <f t="shared" si="86"/>
        <v>35</v>
      </c>
      <c r="MV43" s="17">
        <f t="shared" si="86"/>
        <v>35</v>
      </c>
      <c r="MW43" s="17">
        <f t="shared" si="86"/>
        <v>35</v>
      </c>
      <c r="MX43" s="17">
        <f t="shared" si="86"/>
        <v>35</v>
      </c>
      <c r="MY43" s="17">
        <f t="shared" si="86"/>
        <v>35</v>
      </c>
      <c r="MZ43" s="17">
        <f t="shared" si="86"/>
        <v>35</v>
      </c>
      <c r="NA43" s="17">
        <f t="shared" si="86"/>
        <v>35</v>
      </c>
      <c r="NB43" s="17">
        <f t="shared" si="86"/>
        <v>35</v>
      </c>
      <c r="NC43" s="17">
        <f t="shared" si="86"/>
        <v>35</v>
      </c>
      <c r="ND43" s="17">
        <f t="shared" si="86"/>
        <v>35</v>
      </c>
      <c r="NE43" s="17">
        <f t="shared" si="86"/>
        <v>35</v>
      </c>
      <c r="NF43" s="17">
        <f t="shared" si="86"/>
        <v>35</v>
      </c>
      <c r="NG43" s="17">
        <f t="shared" si="86"/>
        <v>35</v>
      </c>
      <c r="NH43" s="17">
        <f t="shared" si="86"/>
        <v>35</v>
      </c>
      <c r="NI43" s="17">
        <f t="shared" si="86"/>
        <v>35</v>
      </c>
      <c r="NJ43" s="17">
        <f t="shared" si="86"/>
        <v>35</v>
      </c>
      <c r="NK43" s="17">
        <f t="shared" si="86"/>
        <v>35</v>
      </c>
      <c r="NL43" s="17">
        <f t="shared" si="86"/>
        <v>35</v>
      </c>
      <c r="NM43" s="17">
        <f t="shared" si="86"/>
        <v>35</v>
      </c>
      <c r="NN43" s="17">
        <f t="shared" si="86"/>
        <v>35</v>
      </c>
      <c r="NO43" s="17">
        <f t="shared" si="86"/>
        <v>35</v>
      </c>
      <c r="NP43" s="17">
        <f t="shared" si="86"/>
        <v>35</v>
      </c>
      <c r="NQ43" s="17">
        <f t="shared" si="86"/>
        <v>35</v>
      </c>
      <c r="NR43" s="17">
        <f t="shared" si="86"/>
        <v>35</v>
      </c>
      <c r="NS43" s="17">
        <f t="shared" si="86"/>
        <v>35</v>
      </c>
      <c r="NT43" s="17">
        <f t="shared" si="86"/>
        <v>35</v>
      </c>
      <c r="NU43" s="17">
        <f t="shared" si="86"/>
        <v>35</v>
      </c>
      <c r="NV43" s="17">
        <f t="shared" si="86"/>
        <v>35</v>
      </c>
      <c r="NW43" s="17">
        <f t="shared" si="86"/>
        <v>35</v>
      </c>
      <c r="NX43" s="17">
        <f t="shared" ref="NX43:PG43" si="87">IF(NW43=$H43,NW43,NW43+1)</f>
        <v>35</v>
      </c>
      <c r="NY43" s="17">
        <f t="shared" si="87"/>
        <v>35</v>
      </c>
      <c r="NZ43" s="17">
        <f t="shared" si="87"/>
        <v>35</v>
      </c>
      <c r="OA43" s="17">
        <f t="shared" si="87"/>
        <v>35</v>
      </c>
      <c r="OB43" s="17">
        <f t="shared" si="87"/>
        <v>35</v>
      </c>
      <c r="OC43" s="17">
        <f t="shared" si="87"/>
        <v>35</v>
      </c>
      <c r="OD43" s="17">
        <f t="shared" si="87"/>
        <v>35</v>
      </c>
      <c r="OE43" s="17">
        <f t="shared" si="87"/>
        <v>35</v>
      </c>
      <c r="OF43" s="17">
        <f t="shared" si="87"/>
        <v>35</v>
      </c>
      <c r="OG43" s="17">
        <f t="shared" si="87"/>
        <v>35</v>
      </c>
      <c r="OH43" s="17">
        <f t="shared" si="87"/>
        <v>35</v>
      </c>
      <c r="OI43" s="17">
        <f t="shared" si="87"/>
        <v>35</v>
      </c>
      <c r="OJ43" s="17">
        <f t="shared" si="87"/>
        <v>35</v>
      </c>
      <c r="OK43" s="17">
        <f t="shared" si="87"/>
        <v>35</v>
      </c>
      <c r="OL43" s="17">
        <f t="shared" si="87"/>
        <v>35</v>
      </c>
      <c r="OM43" s="17">
        <f t="shared" si="87"/>
        <v>35</v>
      </c>
      <c r="ON43" s="17">
        <f t="shared" si="87"/>
        <v>35</v>
      </c>
      <c r="OO43" s="17">
        <f t="shared" si="87"/>
        <v>35</v>
      </c>
      <c r="OP43" s="17">
        <f t="shared" si="87"/>
        <v>35</v>
      </c>
      <c r="OQ43" s="17">
        <f t="shared" si="87"/>
        <v>35</v>
      </c>
      <c r="OR43" s="17">
        <f t="shared" si="87"/>
        <v>35</v>
      </c>
      <c r="OS43" s="17">
        <f t="shared" si="87"/>
        <v>35</v>
      </c>
      <c r="OT43" s="17">
        <f t="shared" si="87"/>
        <v>35</v>
      </c>
      <c r="OU43" s="17">
        <f t="shared" si="87"/>
        <v>35</v>
      </c>
      <c r="OV43" s="17">
        <f t="shared" si="87"/>
        <v>35</v>
      </c>
      <c r="OW43" s="17">
        <f t="shared" si="87"/>
        <v>35</v>
      </c>
      <c r="OX43" s="17">
        <f t="shared" si="87"/>
        <v>35</v>
      </c>
      <c r="OY43" s="17">
        <f t="shared" si="87"/>
        <v>35</v>
      </c>
      <c r="OZ43" s="17">
        <f t="shared" si="87"/>
        <v>35</v>
      </c>
      <c r="PA43" s="17">
        <f t="shared" si="87"/>
        <v>35</v>
      </c>
      <c r="PB43" s="17">
        <f t="shared" si="87"/>
        <v>35</v>
      </c>
      <c r="PC43" s="17">
        <f t="shared" si="87"/>
        <v>35</v>
      </c>
      <c r="PD43" s="17">
        <f t="shared" si="87"/>
        <v>35</v>
      </c>
      <c r="PE43" s="17">
        <f t="shared" si="87"/>
        <v>35</v>
      </c>
      <c r="PF43" s="17">
        <f t="shared" si="87"/>
        <v>35</v>
      </c>
      <c r="PG43" s="17">
        <f t="shared" si="87"/>
        <v>35</v>
      </c>
    </row>
    <row r="44" spans="1:423" x14ac:dyDescent="0.25">
      <c r="A44" s="8" t="s">
        <v>5509</v>
      </c>
      <c r="B44" s="9" t="s">
        <v>8503</v>
      </c>
      <c r="C44" s="9" t="str">
        <f t="shared" si="72"/>
        <v>LDames LBIF</v>
      </c>
      <c r="D44" s="1" t="str">
        <f t="shared" si="73"/>
        <v>Libre Dames LBIF</v>
      </c>
      <c r="E44" s="1" t="s">
        <v>8498</v>
      </c>
      <c r="F44" s="9" t="s">
        <v>5508</v>
      </c>
      <c r="G44" s="9">
        <v>40</v>
      </c>
      <c r="H44" s="9">
        <v>30</v>
      </c>
      <c r="I44" s="127">
        <v>2.8</v>
      </c>
      <c r="J44" s="30" t="s">
        <v>5511</v>
      </c>
      <c r="K44" s="10"/>
      <c r="L44" s="8">
        <v>0</v>
      </c>
      <c r="M44" s="9"/>
      <c r="N44" s="10">
        <v>1.6</v>
      </c>
      <c r="O44" s="269"/>
      <c r="P44" s="331"/>
      <c r="Q44" s="335"/>
      <c r="R44" s="128"/>
      <c r="S44" s="9"/>
      <c r="T44" s="10"/>
      <c r="U44" t="s">
        <v>5523</v>
      </c>
      <c r="V44" s="17">
        <v>0</v>
      </c>
      <c r="W44" s="17">
        <f>IF(Distances[[#This Row],[Colonne4]]=$G44,V44,Distances[[#This Row],[Colonne4]]+1)</f>
        <v>1</v>
      </c>
      <c r="X44" s="17">
        <f>IF(Distances[[#This Row],[Colonne5]]=$G44,W44,Distances[[#This Row],[Colonne5]]+1)</f>
        <v>2</v>
      </c>
      <c r="Y44" s="17">
        <f>IF(Distances[[#This Row],[Colonne6]]=$G44,X44,Distances[[#This Row],[Colonne6]]+1)</f>
        <v>3</v>
      </c>
      <c r="Z44" s="17">
        <f>IF(Distances[[#This Row],[Colonne7]]=$G44,Y44,Distances[[#This Row],[Colonne7]]+1)</f>
        <v>4</v>
      </c>
      <c r="AA44" s="17">
        <f>IF(Distances[[#This Row],[Colonne8]]=$G44,Z44,Distances[[#This Row],[Colonne8]]+1)</f>
        <v>5</v>
      </c>
      <c r="AB44" s="17">
        <f>IF(Distances[[#This Row],[Colonne9]]=$G44,AA44,Distances[[#This Row],[Colonne9]]+1)</f>
        <v>6</v>
      </c>
      <c r="AC44" s="17">
        <f>IF(Distances[[#This Row],[Colonne10]]=$G44,AB44,Distances[[#This Row],[Colonne10]]+1)</f>
        <v>7</v>
      </c>
      <c r="AD44" s="17">
        <f>IF(Distances[[#This Row],[Colonne11]]=$G44,AC44,Distances[[#This Row],[Colonne11]]+1)</f>
        <v>8</v>
      </c>
      <c r="AE44" s="17">
        <f>IF(Distances[[#This Row],[Colonne12]]=$G44,AD44,Distances[[#This Row],[Colonne12]]+1)</f>
        <v>9</v>
      </c>
      <c r="AF44" s="17">
        <f>IF(Distances[[#This Row],[Colonne13]]=$G44,AE44,Distances[[#This Row],[Colonne13]]+1)</f>
        <v>10</v>
      </c>
      <c r="AG44" s="17">
        <f>IF(Distances[[#This Row],[Colonne14]]=$G44,AF44,Distances[[#This Row],[Colonne14]]+1)</f>
        <v>11</v>
      </c>
      <c r="AH44" s="17">
        <f>IF(Distances[[#This Row],[Colonne15]]=$G44,AG44,Distances[[#This Row],[Colonne15]]+1)</f>
        <v>12</v>
      </c>
      <c r="AI44" s="17">
        <f>IF(Distances[[#This Row],[Colonne16]]=$G44,AH44,Distances[[#This Row],[Colonne16]]+1)</f>
        <v>13</v>
      </c>
      <c r="AJ44" s="17">
        <f>IF(Distances[[#This Row],[Colonne17]]=$G44,AI44,Distances[[#This Row],[Colonne17]]+1)</f>
        <v>14</v>
      </c>
      <c r="AK44" s="17">
        <f>IF(Distances[[#This Row],[Colonne18]]=$G44,AJ44,Distances[[#This Row],[Colonne18]]+1)</f>
        <v>15</v>
      </c>
      <c r="AL44" s="17">
        <f>IF(Distances[[#This Row],[Colonne19]]=$G44,AK44,Distances[[#This Row],[Colonne19]]+1)</f>
        <v>16</v>
      </c>
      <c r="AM44" s="17">
        <f>IF(Distances[[#This Row],[Colonne20]]=$G44,AL44,Distances[[#This Row],[Colonne20]]+1)</f>
        <v>17</v>
      </c>
      <c r="AN44" s="17">
        <f>IF(Distances[[#This Row],[Colonne21]]=$G44,AM44,Distances[[#This Row],[Colonne21]]+1)</f>
        <v>18</v>
      </c>
      <c r="AO44" s="17">
        <f>IF(Distances[[#This Row],[Colonne22]]=$G44,AN44,Distances[[#This Row],[Colonne22]]+1)</f>
        <v>19</v>
      </c>
      <c r="AP44" s="17">
        <f>IF(Distances[[#This Row],[Colonne23]]=$G44,AO44,Distances[[#This Row],[Colonne23]]+1)</f>
        <v>20</v>
      </c>
      <c r="AQ44" s="17">
        <f>IF(Distances[[#This Row],[Colonne24]]=$G44,AP44,Distances[[#This Row],[Colonne24]]+1)</f>
        <v>21</v>
      </c>
      <c r="AR44" s="17">
        <f>IF(Distances[[#This Row],[Colonne25]]=$G44,AQ44,Distances[[#This Row],[Colonne25]]+1)</f>
        <v>22</v>
      </c>
      <c r="AS44" s="17">
        <f>IF(Distances[[#This Row],[Colonne26]]=$G44,AR44,Distances[[#This Row],[Colonne26]]+1)</f>
        <v>23</v>
      </c>
      <c r="AT44" s="17">
        <f>IF(Distances[[#This Row],[Colonne27]]=$G44,AS44,Distances[[#This Row],[Colonne27]]+1)</f>
        <v>24</v>
      </c>
      <c r="AU44" s="17">
        <f>IF(Distances[[#This Row],[Colonne28]]=$G44,AT44,Distances[[#This Row],[Colonne28]]+1)</f>
        <v>25</v>
      </c>
      <c r="AV44" s="17">
        <f>IF(Distances[[#This Row],[Colonne29]]=$G44,AU44,Distances[[#This Row],[Colonne29]]+1)</f>
        <v>26</v>
      </c>
      <c r="AW44" s="17">
        <f>IF(Distances[[#This Row],[Colonne30]]=$G44,AV44,Distances[[#This Row],[Colonne30]]+1)</f>
        <v>27</v>
      </c>
      <c r="AX44" s="17">
        <f>IF(Distances[[#This Row],[Colonne31]]=$G44,AW44,Distances[[#This Row],[Colonne31]]+1)</f>
        <v>28</v>
      </c>
      <c r="AY44" s="17">
        <f>IF(Distances[[#This Row],[Colonne32]]=$G44,AX44,Distances[[#This Row],[Colonne32]]+1)</f>
        <v>29</v>
      </c>
      <c r="AZ44" s="17">
        <f>IF(Distances[[#This Row],[Colonne33]]=$G44,AY44,Distances[[#This Row],[Colonne33]]+1)</f>
        <v>30</v>
      </c>
      <c r="BA44" s="17">
        <f>IF(Distances[[#This Row],[Colonne34]]=$G44,AZ44,Distances[[#This Row],[Colonne34]]+1)</f>
        <v>31</v>
      </c>
      <c r="BB44" s="17">
        <f>IF(Distances[[#This Row],[Colonne35]]=$G44,BA44,Distances[[#This Row],[Colonne35]]+1)</f>
        <v>32</v>
      </c>
      <c r="BC44" s="17">
        <f>IF(Distances[[#This Row],[Colonne36]]=$G44,BB44,Distances[[#This Row],[Colonne36]]+1)</f>
        <v>33</v>
      </c>
      <c r="BD44" s="17">
        <f>IF(Distances[[#This Row],[Colonne37]]=$G44,BC44,Distances[[#This Row],[Colonne37]]+1)</f>
        <v>34</v>
      </c>
      <c r="BE44" s="17">
        <f>IF(Distances[[#This Row],[Colonne38]]=$G44,BD44,Distances[[#This Row],[Colonne38]]+1)</f>
        <v>35</v>
      </c>
      <c r="BF44" s="17">
        <f>IF(Distances[[#This Row],[Colonne39]]=$G44,BE44,Distances[[#This Row],[Colonne39]]+1)</f>
        <v>36</v>
      </c>
      <c r="BG44" s="17">
        <f>IF(Distances[[#This Row],[Colonne40]]=$G44,BF44,Distances[[#This Row],[Colonne40]]+1)</f>
        <v>37</v>
      </c>
      <c r="BH44" s="17">
        <f>IF(Distances[[#This Row],[Colonne41]]=$G44,BG44,Distances[[#This Row],[Colonne41]]+1)</f>
        <v>38</v>
      </c>
      <c r="BI44" s="17">
        <f>IF(Distances[[#This Row],[Colonne42]]=$G44,BH44,Distances[[#This Row],[Colonne42]]+1)</f>
        <v>39</v>
      </c>
      <c r="BJ44" s="17">
        <f>IF(Distances[[#This Row],[Colonne43]]=$G44,BI44,Distances[[#This Row],[Colonne43]]+1)</f>
        <v>40</v>
      </c>
      <c r="BK44" s="17">
        <f>IF(Distances[[#This Row],[Colonne44]]=$G44,BJ44,Distances[[#This Row],[Colonne44]]+1)</f>
        <v>40</v>
      </c>
      <c r="BL44" s="17">
        <f>IF(Distances[[#This Row],[Colonne45]]=$G44,BK44,Distances[[#This Row],[Colonne45]]+1)</f>
        <v>40</v>
      </c>
      <c r="BM44" s="17">
        <f>IF(Distances[[#This Row],[Colonne46]]=$G44,BL44,Distances[[#This Row],[Colonne46]]+1)</f>
        <v>40</v>
      </c>
      <c r="BN44" s="17">
        <f>IF(Distances[[#This Row],[Colonne47]]=$G44,BM44,Distances[[#This Row],[Colonne47]]+1)</f>
        <v>40</v>
      </c>
      <c r="BO44" s="17">
        <f>IF(Distances[[#This Row],[Colonne48]]=$G44,BN44,Distances[[#This Row],[Colonne48]]+1)</f>
        <v>40</v>
      </c>
      <c r="BP44" s="17">
        <f>IF(Distances[[#This Row],[Colonne49]]=$G44,BO44,Distances[[#This Row],[Colonne49]]+1)</f>
        <v>40</v>
      </c>
      <c r="BQ44" s="17">
        <f>IF(Distances[[#This Row],[Colonne50]]=$G44,BP44,Distances[[#This Row],[Colonne50]]+1)</f>
        <v>40</v>
      </c>
      <c r="BR44" s="17">
        <f>IF(Distances[[#This Row],[Colonne51]]=$G44,BQ44,Distances[[#This Row],[Colonne51]]+1)</f>
        <v>40</v>
      </c>
      <c r="BS44" s="17">
        <f>IF(Distances[[#This Row],[Colonne52]]=$G44,BR44,Distances[[#This Row],[Colonne52]]+1)</f>
        <v>40</v>
      </c>
      <c r="BT44" s="17">
        <f>IF(Distances[[#This Row],[Colonne53]]=$G44,BS44,Distances[[#This Row],[Colonne53]]+1)</f>
        <v>40</v>
      </c>
      <c r="BU44" s="17">
        <f>IF(Distances[[#This Row],[Colonne54]]=$G44,BT44,Distances[[#This Row],[Colonne54]]+1)</f>
        <v>40</v>
      </c>
      <c r="BV44" s="17">
        <f>IF(Distances[[#This Row],[Colonne55]]=$G44,BU44,Distances[[#This Row],[Colonne55]]+1)</f>
        <v>40</v>
      </c>
      <c r="BW44" s="17">
        <f>IF(Distances[[#This Row],[Colonne56]]=$G44,BV44,Distances[[#This Row],[Colonne56]]+1)</f>
        <v>40</v>
      </c>
      <c r="BX44" s="17">
        <f>IF(Distances[[#This Row],[Colonne57]]=$G44,BW44,Distances[[#This Row],[Colonne57]]+1)</f>
        <v>40</v>
      </c>
      <c r="BY44" s="17">
        <f>IF(Distances[[#This Row],[Colonne58]]=$G44,BX44,Distances[[#This Row],[Colonne58]]+1)</f>
        <v>40</v>
      </c>
      <c r="BZ44" s="17">
        <f>IF(Distances[[#This Row],[Colonne59]]=$G44,BY44,Distances[[#This Row],[Colonne59]]+1)</f>
        <v>40</v>
      </c>
      <c r="CA44" s="17">
        <f>IF(Distances[[#This Row],[Colonne60]]=$G44,BZ44,Distances[[#This Row],[Colonne60]]+1)</f>
        <v>40</v>
      </c>
      <c r="CB44" s="17">
        <f>IF(Distances[[#This Row],[Colonne61]]=$G44,CA44,Distances[[#This Row],[Colonne61]]+1)</f>
        <v>40</v>
      </c>
      <c r="CC44" s="17">
        <f>IF(Distances[[#This Row],[Colonne62]]=$G44,CB44,Distances[[#This Row],[Colonne62]]+1)</f>
        <v>40</v>
      </c>
      <c r="CD44" s="17">
        <f>IF(Distances[[#This Row],[Colonne63]]=$G44,CC44,Distances[[#This Row],[Colonne63]]+1)</f>
        <v>40</v>
      </c>
      <c r="CE44" s="17">
        <f>IF(Distances[[#This Row],[Colonne64]]=$G44,CD44,Distances[[#This Row],[Colonne64]]+1)</f>
        <v>40</v>
      </c>
      <c r="CF44" s="17">
        <f>IF(Distances[[#This Row],[Colonne65]]=$G44,CE44,Distances[[#This Row],[Colonne65]]+1)</f>
        <v>40</v>
      </c>
      <c r="CG44" s="17">
        <f>IF(Distances[[#This Row],[Colonne66]]=$G44,CF44,Distances[[#This Row],[Colonne66]]+1)</f>
        <v>40</v>
      </c>
      <c r="CH44" s="17">
        <f>IF(Distances[[#This Row],[Colonne67]]=$G44,CG44,Distances[[#This Row],[Colonne67]]+1)</f>
        <v>40</v>
      </c>
      <c r="CI44" s="17">
        <f>IF(Distances[[#This Row],[Colonne68]]=$G44,CH44,Distances[[#This Row],[Colonne68]]+1)</f>
        <v>40</v>
      </c>
      <c r="CJ44" s="17">
        <f>IF(Distances[[#This Row],[Colonne69]]=$G44,CI44,Distances[[#This Row],[Colonne69]]+1)</f>
        <v>40</v>
      </c>
      <c r="CK44" s="17">
        <f>IF(Distances[[#This Row],[Colonne70]]=$G44,CJ44,Distances[[#This Row],[Colonne70]]+1)</f>
        <v>40</v>
      </c>
      <c r="CL44" s="17">
        <f>IF(Distances[[#This Row],[Colonne71]]=$G44,CK44,Distances[[#This Row],[Colonne71]]+1)</f>
        <v>40</v>
      </c>
      <c r="CM44" s="17">
        <f>IF(Distances[[#This Row],[Colonne72]]=$G44,CL44,Distances[[#This Row],[Colonne72]]+1)</f>
        <v>40</v>
      </c>
      <c r="CN44" s="17">
        <f>IF(Distances[[#This Row],[Colonne73]]=$G44,CM44,Distances[[#This Row],[Colonne73]]+1)</f>
        <v>40</v>
      </c>
      <c r="CO44" s="17">
        <f>IF(Distances[[#This Row],[Colonne74]]=$G44,CN44,Distances[[#This Row],[Colonne74]]+1)</f>
        <v>40</v>
      </c>
      <c r="CP44" s="17">
        <f>IF(Distances[[#This Row],[Colonne75]]=$G44,CO44,Distances[[#This Row],[Colonne75]]+1)</f>
        <v>40</v>
      </c>
      <c r="CQ44" s="17">
        <f>IF(Distances[[#This Row],[Colonne76]]=$G44,CP44,Distances[[#This Row],[Colonne76]]+1)</f>
        <v>40</v>
      </c>
      <c r="CR44" s="17">
        <f>IF(Distances[[#This Row],[Colonne77]]=$G44,CQ44,Distances[[#This Row],[Colonne77]]+1)</f>
        <v>40</v>
      </c>
      <c r="CS44" s="17">
        <f>IF(Distances[[#This Row],[Colonne78]]=$G44,CR44,Distances[[#This Row],[Colonne78]]+1)</f>
        <v>40</v>
      </c>
      <c r="CT44" s="17">
        <f>IF(Distances[[#This Row],[Colonne79]]=$G44,CS44,Distances[[#This Row],[Colonne79]]+1)</f>
        <v>40</v>
      </c>
      <c r="CU44" s="17">
        <f>IF(Distances[[#This Row],[Colonne80]]=$G44,CT44,Distances[[#This Row],[Colonne80]]+1)</f>
        <v>40</v>
      </c>
      <c r="CV44" s="17">
        <f>IF(Distances[[#This Row],[Colonne81]]=$G44,CU44,Distances[[#This Row],[Colonne81]]+1)</f>
        <v>40</v>
      </c>
      <c r="CW44" s="17">
        <f>IF(Distances[[#This Row],[Colonne82]]=$G44,CV44,Distances[[#This Row],[Colonne82]]+1)</f>
        <v>40</v>
      </c>
      <c r="CX44" s="17">
        <f>IF(Distances[[#This Row],[Colonne83]]=$G44,CW44,Distances[[#This Row],[Colonne83]]+1)</f>
        <v>40</v>
      </c>
      <c r="CY44" s="17">
        <f>IF(Distances[[#This Row],[Colonne84]]=$G44,CX44,Distances[[#This Row],[Colonne84]]+1)</f>
        <v>40</v>
      </c>
      <c r="CZ44" s="17">
        <f>IF(Distances[[#This Row],[Colonne85]]=$G44,CY44,Distances[[#This Row],[Colonne85]]+1)</f>
        <v>40</v>
      </c>
      <c r="DA44" s="17">
        <f>IF(Distances[[#This Row],[Colonne86]]=$G44,CZ44,Distances[[#This Row],[Colonne86]]+1)</f>
        <v>40</v>
      </c>
      <c r="DB44" s="17">
        <f>IF(Distances[[#This Row],[Colonne87]]=$G44,DA44,Distances[[#This Row],[Colonne87]]+1)</f>
        <v>40</v>
      </c>
      <c r="DC44" s="17">
        <f>IF(Distances[[#This Row],[Colonne88]]=$G44,DB44,Distances[[#This Row],[Colonne88]]+1)</f>
        <v>40</v>
      </c>
      <c r="DD44" s="17">
        <f>IF(Distances[[#This Row],[Colonne89]]=$G44,DC44,Distances[[#This Row],[Colonne89]]+1)</f>
        <v>40</v>
      </c>
      <c r="DE44" s="17">
        <f>IF(Distances[[#This Row],[Colonne90]]=$G44,DD44,Distances[[#This Row],[Colonne90]]+1)</f>
        <v>40</v>
      </c>
      <c r="DF44" s="17">
        <f>IF(Distances[[#This Row],[Colonne91]]=$G44,DE44,Distances[[#This Row],[Colonne91]]+1)</f>
        <v>40</v>
      </c>
      <c r="DG44" s="17">
        <f>IF(Distances[[#This Row],[Colonne92]]=$G44,DF44,Distances[[#This Row],[Colonne92]]+1)</f>
        <v>40</v>
      </c>
      <c r="DH44" s="17">
        <f>IF(Distances[[#This Row],[Colonne93]]=$G44,DG44,Distances[[#This Row],[Colonne93]]+1)</f>
        <v>40</v>
      </c>
      <c r="DI44" s="17">
        <f>IF(Distances[[#This Row],[Colonne94]]=$G44,DH44,Distances[[#This Row],[Colonne94]]+1)</f>
        <v>40</v>
      </c>
      <c r="DJ44" s="17">
        <f>IF(Distances[[#This Row],[Colonne95]]=$G44,DI44,Distances[[#This Row],[Colonne95]]+1)</f>
        <v>40</v>
      </c>
      <c r="DK44" s="17">
        <f>IF(Distances[[#This Row],[Colonne96]]=$G44,DJ44,Distances[[#This Row],[Colonne96]]+1)</f>
        <v>40</v>
      </c>
      <c r="DL44" s="17">
        <f>IF(Distances[[#This Row],[Colonne97]]=$G44,DK44,Distances[[#This Row],[Colonne97]]+1)</f>
        <v>40</v>
      </c>
      <c r="DM44" s="17">
        <f>IF(Distances[[#This Row],[Colonne98]]=$G44,DL44,Distances[[#This Row],[Colonne98]]+1)</f>
        <v>40</v>
      </c>
      <c r="DN44" s="17">
        <f>IF(Distances[[#This Row],[Colonne99]]=$G44,DM44,Distances[[#This Row],[Colonne99]]+1)</f>
        <v>40</v>
      </c>
      <c r="DO44" s="17">
        <f>IF(Distances[[#This Row],[Colonne100]]=$G44,DN44,Distances[[#This Row],[Colonne100]]+1)</f>
        <v>40</v>
      </c>
      <c r="DP44" s="17">
        <f>IF(Distances[[#This Row],[Colonne101]]=$G44,DO44,Distances[[#This Row],[Colonne101]]+1)</f>
        <v>40</v>
      </c>
      <c r="DQ44" s="17">
        <f>IF(Distances[[#This Row],[Colonne102]]=$G44,DP44,Distances[[#This Row],[Colonne102]]+1)</f>
        <v>40</v>
      </c>
      <c r="DR44" s="17">
        <f>IF(Distances[[#This Row],[Colonne103]]=$G44,DQ44,Distances[[#This Row],[Colonne103]]+1)</f>
        <v>40</v>
      </c>
      <c r="DS44" s="17">
        <f>IF(Distances[[#This Row],[Colonne104]]=$G44,DR44,Distances[[#This Row],[Colonne104]]+1)</f>
        <v>40</v>
      </c>
      <c r="DT44" s="17">
        <f>IF(Distances[[#This Row],[Colonne105]]=$G44,DS44,Distances[[#This Row],[Colonne105]]+1)</f>
        <v>40</v>
      </c>
      <c r="DU44" s="17">
        <f>IF(Distances[[#This Row],[Colonne106]]=$G44,DT44,Distances[[#This Row],[Colonne106]]+1)</f>
        <v>40</v>
      </c>
      <c r="DV44" s="17">
        <f>IF(Distances[[#This Row],[Colonne107]]=$G44,DU44,Distances[[#This Row],[Colonne107]]+1)</f>
        <v>40</v>
      </c>
      <c r="DW44" s="17">
        <f>IF(Distances[[#This Row],[Colonne108]]=$G44,DV44,Distances[[#This Row],[Colonne108]]+1)</f>
        <v>40</v>
      </c>
      <c r="DX44" s="17">
        <f>IF(Distances[[#This Row],[Colonne109]]=$G44,DW44,Distances[[#This Row],[Colonne109]]+1)</f>
        <v>40</v>
      </c>
      <c r="DY44" s="17">
        <f>IF(Distances[[#This Row],[Colonne110]]=$G44,DX44,Distances[[#This Row],[Colonne110]]+1)</f>
        <v>40</v>
      </c>
      <c r="DZ44" s="17">
        <f>IF(Distances[[#This Row],[Colonne111]]=$G44,DY44,Distances[[#This Row],[Colonne111]]+1)</f>
        <v>40</v>
      </c>
      <c r="EA44" s="17">
        <f>IF(Distances[[#This Row],[Colonne112]]=$G44,DZ44,Distances[[#This Row],[Colonne112]]+1)</f>
        <v>40</v>
      </c>
      <c r="EB44" s="17">
        <f>IF(Distances[[#This Row],[Colonne113]]=$G44,EA44,Distances[[#This Row],[Colonne113]]+1)</f>
        <v>40</v>
      </c>
      <c r="EC44" s="17">
        <f>IF(Distances[[#This Row],[Colonne114]]=$G44,EB44,Distances[[#This Row],[Colonne114]]+1)</f>
        <v>40</v>
      </c>
      <c r="ED44" s="17">
        <f>IF(Distances[[#This Row],[Colonne115]]=$G44,EC44,Distances[[#This Row],[Colonne115]]+1)</f>
        <v>40</v>
      </c>
      <c r="EE44" s="17">
        <f>IF(Distances[[#This Row],[Colonne116]]=$G44,ED44,Distances[[#This Row],[Colonne116]]+1)</f>
        <v>40</v>
      </c>
      <c r="EF44" s="17">
        <f>IF(Distances[[#This Row],[Colonne117]]=$G44,EE44,Distances[[#This Row],[Colonne117]]+1)</f>
        <v>40</v>
      </c>
      <c r="EG44" s="17">
        <f>IF(Distances[[#This Row],[Colonne118]]=$G44,EF44,Distances[[#This Row],[Colonne118]]+1)</f>
        <v>40</v>
      </c>
      <c r="EH44" s="17">
        <f>IF(Distances[[#This Row],[Colonne119]]=$G44,EG44,Distances[[#This Row],[Colonne119]]+1)</f>
        <v>40</v>
      </c>
      <c r="EI44" s="17">
        <f>IF(Distances[[#This Row],[Colonne120]]=$G44,EH44,Distances[[#This Row],[Colonne120]]+1)</f>
        <v>40</v>
      </c>
      <c r="EJ44" s="17">
        <f>IF(Distances[[#This Row],[Colonne121]]=$G44,EI44,Distances[[#This Row],[Colonne121]]+1)</f>
        <v>40</v>
      </c>
      <c r="EK44" s="17">
        <f>IF(Distances[[#This Row],[Colonne122]]=$G44,EJ44,Distances[[#This Row],[Colonne122]]+1)</f>
        <v>40</v>
      </c>
      <c r="EL44" s="17">
        <f>IF(Distances[[#This Row],[Colonne123]]=$G44,EK44,Distances[[#This Row],[Colonne123]]+1)</f>
        <v>40</v>
      </c>
      <c r="EM44" s="17">
        <f>IF(Distances[[#This Row],[Colonne124]]=$G44,EL44,Distances[[#This Row],[Colonne124]]+1)</f>
        <v>40</v>
      </c>
      <c r="EN44" s="17">
        <f>IF(Distances[[#This Row],[Colonne125]]=$G44,EM44,Distances[[#This Row],[Colonne125]]+1)</f>
        <v>40</v>
      </c>
      <c r="EO44" s="17">
        <f>IF(Distances[[#This Row],[Colonne126]]=$G44,EN44,Distances[[#This Row],[Colonne126]]+1)</f>
        <v>40</v>
      </c>
      <c r="EP44" s="17">
        <f>IF(Distances[[#This Row],[Colonne127]]=$G44,EO44,Distances[[#This Row],[Colonne127]]+1)</f>
        <v>40</v>
      </c>
      <c r="EQ44" s="17">
        <f>IF(Distances[[#This Row],[Colonne128]]=$G44,EP44,Distances[[#This Row],[Colonne128]]+1)</f>
        <v>40</v>
      </c>
      <c r="ER44" s="17">
        <f>IF(Distances[[#This Row],[Colonne129]]=$G44,EQ44,Distances[[#This Row],[Colonne129]]+1)</f>
        <v>40</v>
      </c>
      <c r="ES44" s="17">
        <f>IF(Distances[[#This Row],[Colonne130]]=$G44,ER44,Distances[[#This Row],[Colonne130]]+1)</f>
        <v>40</v>
      </c>
      <c r="ET44" s="17">
        <f>IF(Distances[[#This Row],[Colonne131]]=$G44,ES44,Distances[[#This Row],[Colonne131]]+1)</f>
        <v>40</v>
      </c>
      <c r="EU44" s="17">
        <f>IF(Distances[[#This Row],[Colonne132]]=$G44,ET44,Distances[[#This Row],[Colonne132]]+1)</f>
        <v>40</v>
      </c>
      <c r="EV44" s="17">
        <f>IF(Distances[[#This Row],[Colonne133]]=$G44,EU44,Distances[[#This Row],[Colonne133]]+1)</f>
        <v>40</v>
      </c>
      <c r="EW44" s="17">
        <f>IF(Distances[[#This Row],[Colonne134]]=$G44,EV44,Distances[[#This Row],[Colonne134]]+1)</f>
        <v>40</v>
      </c>
      <c r="EX44" s="17">
        <f>IF(Distances[[#This Row],[Colonne135]]=$G44,EW44,Distances[[#This Row],[Colonne135]]+1)</f>
        <v>40</v>
      </c>
      <c r="EY44" s="17">
        <f>IF(Distances[[#This Row],[Colonne136]]=$G44,EX44,Distances[[#This Row],[Colonne136]]+1)</f>
        <v>40</v>
      </c>
      <c r="EZ44" s="17">
        <f>IF(Distances[[#This Row],[Colonne137]]=$G44,EY44,Distances[[#This Row],[Colonne137]]+1)</f>
        <v>40</v>
      </c>
      <c r="FA44" s="17">
        <f>IF(Distances[[#This Row],[Colonne138]]=$G44,EZ44,Distances[[#This Row],[Colonne138]]+1)</f>
        <v>40</v>
      </c>
      <c r="FB44" s="17">
        <f>IF(Distances[[#This Row],[Colonne139]]=$G44,FA44,Distances[[#This Row],[Colonne139]]+1)</f>
        <v>40</v>
      </c>
      <c r="FC44" s="17">
        <f>IF(Distances[[#This Row],[Colonne140]]=$G44,FB44,Distances[[#This Row],[Colonne140]]+1)</f>
        <v>40</v>
      </c>
      <c r="FD44" s="17">
        <f>IF(Distances[[#This Row],[Colonne141]]=$G44,FC44,Distances[[#This Row],[Colonne141]]+1)</f>
        <v>40</v>
      </c>
      <c r="FE44" s="17">
        <f>IF(Distances[[#This Row],[Colonne142]]=$G44,FD44,Distances[[#This Row],[Colonne142]]+1)</f>
        <v>40</v>
      </c>
      <c r="FF44" s="17">
        <f>IF(Distances[[#This Row],[Colonne143]]=$G44,FE44,Distances[[#This Row],[Colonne143]]+1)</f>
        <v>40</v>
      </c>
      <c r="FG44" s="17">
        <f>IF(Distances[[#This Row],[Colonne144]]=$G44,FF44,Distances[[#This Row],[Colonne144]]+1)</f>
        <v>40</v>
      </c>
      <c r="FH44" s="17">
        <f>IF(Distances[[#This Row],[Colonne145]]=$G44,FG44,Distances[[#This Row],[Colonne145]]+1)</f>
        <v>40</v>
      </c>
      <c r="FI44" s="17">
        <f>IF(Distances[[#This Row],[Colonne146]]=$G44,FH44,Distances[[#This Row],[Colonne146]]+1)</f>
        <v>40</v>
      </c>
      <c r="FJ44" s="17">
        <f>IF(Distances[[#This Row],[Colonne147]]=$G44,FI44,Distances[[#This Row],[Colonne147]]+1)</f>
        <v>40</v>
      </c>
      <c r="FK44" s="17">
        <f>IF(Distances[[#This Row],[Colonne148]]=$G44,FJ44,Distances[[#This Row],[Colonne148]]+1)</f>
        <v>40</v>
      </c>
      <c r="FL44" s="17">
        <f>IF(Distances[[#This Row],[Colonne149]]=$G44,FK44,Distances[[#This Row],[Colonne149]]+1)</f>
        <v>40</v>
      </c>
      <c r="FM44" s="17">
        <f>IF(Distances[[#This Row],[Colonne150]]=$G44,FL44,Distances[[#This Row],[Colonne150]]+1)</f>
        <v>40</v>
      </c>
      <c r="FN44" s="17">
        <f>IF(Distances[[#This Row],[Colonne151]]=$G44,FM44,Distances[[#This Row],[Colonne151]]+1)</f>
        <v>40</v>
      </c>
      <c r="FO44" s="17">
        <f>IF(Distances[[#This Row],[Colonne152]]=$G44,FN44,Distances[[#This Row],[Colonne152]]+1)</f>
        <v>40</v>
      </c>
      <c r="FP44" s="17">
        <f>IF(Distances[[#This Row],[Colonne153]]=$G44,FO44,Distances[[#This Row],[Colonne153]]+1)</f>
        <v>40</v>
      </c>
      <c r="FQ44" s="17">
        <f>IF(Distances[[#This Row],[Colonne154]]=$G44,FP44,Distances[[#This Row],[Colonne154]]+1)</f>
        <v>40</v>
      </c>
      <c r="FR44" s="17">
        <f>IF(Distances[[#This Row],[Colonne155]]=$G44,FQ44,Distances[[#This Row],[Colonne155]]+1)</f>
        <v>40</v>
      </c>
      <c r="FS44" s="17">
        <f>IF(Distances[[#This Row],[Colonne156]]=$G44,FR44,Distances[[#This Row],[Colonne156]]+1)</f>
        <v>40</v>
      </c>
      <c r="FT44" s="17">
        <f>IF(Distances[[#This Row],[Colonne157]]=$G44,FS44,Distances[[#This Row],[Colonne157]]+1)</f>
        <v>40</v>
      </c>
      <c r="FU44" s="17">
        <f>IF(Distances[[#This Row],[Colonne158]]=$G44,FT44,Distances[[#This Row],[Colonne158]]+1)</f>
        <v>40</v>
      </c>
      <c r="FV44" s="17">
        <f>IF(Distances[[#This Row],[Colonne159]]=$G44,FU44,Distances[[#This Row],[Colonne159]]+1)</f>
        <v>40</v>
      </c>
      <c r="FW44" s="17">
        <f>IF(Distances[[#This Row],[Colonne160]]=$G44,FV44,Distances[[#This Row],[Colonne160]]+1)</f>
        <v>40</v>
      </c>
      <c r="FX44" s="17">
        <f>IF(Distances[[#This Row],[Colonne161]]=$G44,FW44,Distances[[#This Row],[Colonne161]]+1)</f>
        <v>40</v>
      </c>
      <c r="FY44" s="17">
        <f>IF(Distances[[#This Row],[Colonne162]]=$G44,FX44,Distances[[#This Row],[Colonne162]]+1)</f>
        <v>40</v>
      </c>
      <c r="FZ44" s="17">
        <f>IF(Distances[[#This Row],[Colonne163]]=$G44,FY44,Distances[[#This Row],[Colonne163]]+1)</f>
        <v>40</v>
      </c>
      <c r="GA44" s="17">
        <f>IF(Distances[[#This Row],[Colonne164]]=$G44,FZ44,Distances[[#This Row],[Colonne164]]+1)</f>
        <v>40</v>
      </c>
      <c r="GB44" s="17">
        <f>IF(Distances[[#This Row],[Colonne165]]=$G44,GA44,Distances[[#This Row],[Colonne165]]+1)</f>
        <v>40</v>
      </c>
      <c r="GC44" s="17">
        <f>IF(Distances[[#This Row],[Colonne166]]=$G44,GB44,Distances[[#This Row],[Colonne166]]+1)</f>
        <v>40</v>
      </c>
      <c r="GD44" s="17">
        <f>IF(Distances[[#This Row],[Colonne167]]=$G44,GC44,Distances[[#This Row],[Colonne167]]+1)</f>
        <v>40</v>
      </c>
      <c r="GE44" s="17">
        <f>IF(Distances[[#This Row],[Colonne168]]=$G44,GD44,Distances[[#This Row],[Colonne168]]+1)</f>
        <v>40</v>
      </c>
      <c r="GF44" s="17">
        <f>IF(Distances[[#This Row],[Colonne169]]=$G44,GE44,Distances[[#This Row],[Colonne169]]+1)</f>
        <v>40</v>
      </c>
      <c r="GG44" s="17">
        <f>IF(Distances[[#This Row],[Colonne170]]=$G44,GF44,Distances[[#This Row],[Colonne170]]+1)</f>
        <v>40</v>
      </c>
      <c r="GH44" s="17">
        <f>IF(Distances[[#This Row],[Colonne171]]=$G44,GG44,Distances[[#This Row],[Colonne171]]+1)</f>
        <v>40</v>
      </c>
      <c r="GI44" s="17">
        <f>IF(Distances[[#This Row],[Colonne172]]=$G44,GH44,Distances[[#This Row],[Colonne172]]+1)</f>
        <v>40</v>
      </c>
      <c r="GJ44" s="17">
        <f>IF(Distances[[#This Row],[Colonne173]]=$G44,GI44,Distances[[#This Row],[Colonne173]]+1)</f>
        <v>40</v>
      </c>
      <c r="GK44" s="17">
        <f>IF(Distances[[#This Row],[Colonne174]]=$G44,GJ44,Distances[[#This Row],[Colonne174]]+1)</f>
        <v>40</v>
      </c>
      <c r="GL44" s="17">
        <f>IF(Distances[[#This Row],[Colonne175]]=$G44,GK44,Distances[[#This Row],[Colonne175]]+1)</f>
        <v>40</v>
      </c>
      <c r="GM44" s="17">
        <f>IF(Distances[[#This Row],[Colonne176]]=$G44,GL44,Distances[[#This Row],[Colonne176]]+1)</f>
        <v>40</v>
      </c>
      <c r="GN44" s="17">
        <f>IF(Distances[[#This Row],[Colonne177]]=$G44,GM44,Distances[[#This Row],[Colonne177]]+1)</f>
        <v>40</v>
      </c>
      <c r="GO44" s="17">
        <f>IF(Distances[[#This Row],[Colonne178]]=$G44,GN44,Distances[[#This Row],[Colonne178]]+1)</f>
        <v>40</v>
      </c>
      <c r="GP44" s="17">
        <f>IF(Distances[[#This Row],[Colonne179]]=$G44,GO44,Distances[[#This Row],[Colonne179]]+1)</f>
        <v>40</v>
      </c>
      <c r="GQ44" s="17">
        <f>IF(Distances[[#This Row],[Colonne180]]=$G44,GP44,Distances[[#This Row],[Colonne180]]+1)</f>
        <v>40</v>
      </c>
      <c r="GR44" s="17">
        <f>IF(Distances[[#This Row],[Colonne181]]=$G44,GQ44,Distances[[#This Row],[Colonne181]]+1)</f>
        <v>40</v>
      </c>
      <c r="GS44" s="17">
        <f>IF(Distances[[#This Row],[Colonne182]]=$G44,GR44,Distances[[#This Row],[Colonne182]]+1)</f>
        <v>40</v>
      </c>
      <c r="GT44" s="17">
        <f>IF(Distances[[#This Row],[Colonne183]]=$G44,GS44,Distances[[#This Row],[Colonne183]]+1)</f>
        <v>40</v>
      </c>
      <c r="GU44" s="17">
        <f>IF(Distances[[#This Row],[Colonne184]]=$G44,GT44,Distances[[#This Row],[Colonne184]]+1)</f>
        <v>40</v>
      </c>
      <c r="GV44" s="17">
        <f>IF(Distances[[#This Row],[Colonne185]]=$G44,GU44,Distances[[#This Row],[Colonne185]]+1)</f>
        <v>40</v>
      </c>
      <c r="GW44" s="17">
        <f>IF(Distances[[#This Row],[Colonne186]]=$G44,GV44,Distances[[#This Row],[Colonne186]]+1)</f>
        <v>40</v>
      </c>
      <c r="GX44" s="17">
        <f>IF(Distances[[#This Row],[Colonne187]]=$G44,GW44,Distances[[#This Row],[Colonne187]]+1)</f>
        <v>40</v>
      </c>
      <c r="GY44" s="17">
        <f>IF(Distances[[#This Row],[Colonne188]]=$G44,GX44,Distances[[#This Row],[Colonne188]]+1)</f>
        <v>40</v>
      </c>
      <c r="GZ44" s="17">
        <f>IF(Distances[[#This Row],[Colonne189]]=$G44,GY44,Distances[[#This Row],[Colonne189]]+1)</f>
        <v>40</v>
      </c>
      <c r="HA44" s="17">
        <f>IF(Distances[[#This Row],[Colonne190]]=$G44,GZ44,Distances[[#This Row],[Colonne190]]+1)</f>
        <v>40</v>
      </c>
      <c r="HB44" s="17">
        <f>IF(Distances[[#This Row],[Colonne191]]=$G44,HA44,Distances[[#This Row],[Colonne191]]+1)</f>
        <v>40</v>
      </c>
      <c r="HC44" s="17">
        <f>IF(Distances[[#This Row],[Colonne192]]=$G44,HB44,Distances[[#This Row],[Colonne192]]+1)</f>
        <v>40</v>
      </c>
      <c r="HD44" s="17">
        <f>IF(Distances[[#This Row],[Colonne193]]=$G44,HC44,Distances[[#This Row],[Colonne193]]+1)</f>
        <v>40</v>
      </c>
      <c r="HE44" s="17">
        <f>IF(Distances[[#This Row],[Colonne194]]=$G44,HD44,Distances[[#This Row],[Colonne194]]+1)</f>
        <v>40</v>
      </c>
      <c r="HF44" s="17">
        <f>IF(Distances[[#This Row],[Colonne195]]=$G44,HE44,Distances[[#This Row],[Colonne195]]+1)</f>
        <v>40</v>
      </c>
      <c r="HG44" s="17">
        <f>IF(Distances[[#This Row],[Colonne196]]=$G44,HF44,Distances[[#This Row],[Colonne196]]+1)</f>
        <v>40</v>
      </c>
      <c r="HH44" s="17">
        <f>IF(Distances[[#This Row],[Colonne197]]=$G44,HG44,Distances[[#This Row],[Colonne197]]+1)</f>
        <v>40</v>
      </c>
      <c r="HI44" s="17">
        <f>IF(Distances[[#This Row],[Colonne198]]=$G44,HH44,Distances[[#This Row],[Colonne198]]+1)</f>
        <v>40</v>
      </c>
      <c r="HJ44" s="17">
        <f>IF(Distances[[#This Row],[Colonne199]]=$G44,HI44,Distances[[#This Row],[Colonne199]]+1)</f>
        <v>40</v>
      </c>
      <c r="HK44" s="17">
        <f>IF(Distances[[#This Row],[Colonne200]]=$G44,HJ44,Distances[[#This Row],[Colonne200]]+1)</f>
        <v>40</v>
      </c>
      <c r="HL44" s="17">
        <f>IF(Distances[[#This Row],[Colonne201]]=$G44,HK44,Distances[[#This Row],[Colonne201]]+1)</f>
        <v>40</v>
      </c>
      <c r="HM44" s="17">
        <f>IF(Distances[[#This Row],[Colonne202]]=$G44,HL44,Distances[[#This Row],[Colonne202]]+1)</f>
        <v>40</v>
      </c>
      <c r="HN44" s="17">
        <f>IF(Distances[[#This Row],[Colonne203]]=$G44,HM44,Distances[[#This Row],[Colonne203]]+1)</f>
        <v>40</v>
      </c>
      <c r="HO44" s="17">
        <f>IF(Distances[[#This Row],[Colonne204]]=$G44,HN44,Distances[[#This Row],[Colonne204]]+1)</f>
        <v>40</v>
      </c>
      <c r="HP44" s="17">
        <f>IF(Distances[[#This Row],[Colonne205]]=$G44,HO44,Distances[[#This Row],[Colonne205]]+1)</f>
        <v>40</v>
      </c>
      <c r="HQ44" s="17">
        <f>IF(Distances[[#This Row],[Colonne206]]=$G44,HP44,Distances[[#This Row],[Colonne206]]+1)</f>
        <v>40</v>
      </c>
      <c r="HR44" s="17">
        <f>IF(Distances[[#This Row],[Colonne207]]=$G44,HQ44,Distances[[#This Row],[Colonne207]]+1)</f>
        <v>40</v>
      </c>
      <c r="HS44" s="17">
        <f>IF(Distances[[#This Row],[Colonne208]]=$G44,HR44,Distances[[#This Row],[Colonne208]]+1)</f>
        <v>40</v>
      </c>
      <c r="HT44" s="17">
        <f>IF(Distances[[#This Row],[Colonne209]]=$G44,HS44,Distances[[#This Row],[Colonne209]]+1)</f>
        <v>40</v>
      </c>
      <c r="HU44" s="17">
        <f>IF(Distances[[#This Row],[Colonne210]]=$G44,HT44,Distances[[#This Row],[Colonne210]]+1)</f>
        <v>40</v>
      </c>
      <c r="HV44" s="17">
        <f>IF(Distances[[#This Row],[Colonne211]]=$G44,HU44,Distances[[#This Row],[Colonne211]]+1)</f>
        <v>40</v>
      </c>
      <c r="HW44" s="17">
        <f>IF(Distances[[#This Row],[Colonne212]]=$G44,HV44,Distances[[#This Row],[Colonne212]]+1)</f>
        <v>40</v>
      </c>
      <c r="HX44" s="17">
        <f>IF(Distances[[#This Row],[Colonne213]]=$G44,HW44,Distances[[#This Row],[Colonne213]]+1)</f>
        <v>40</v>
      </c>
      <c r="HY44" s="17">
        <f>IF(Distances[[#This Row],[Colonne214]]=$G44,HX44,Distances[[#This Row],[Colonne214]]+1)</f>
        <v>40</v>
      </c>
      <c r="HZ44" s="17">
        <f>IF(Distances[[#This Row],[Colonne215]]=$G44,HY44,Distances[[#This Row],[Colonne215]]+1)</f>
        <v>40</v>
      </c>
      <c r="IA44" s="17">
        <f>IF(Distances[[#This Row],[Colonne216]]=$G44,HZ44,Distances[[#This Row],[Colonne216]]+1)</f>
        <v>40</v>
      </c>
      <c r="IB44" s="17">
        <f>IF(Distances[[#This Row],[Colonne217]]=$G44,IA44,Distances[[#This Row],[Colonne217]]+1)</f>
        <v>40</v>
      </c>
      <c r="IC44" s="17">
        <f>IF(Distances[[#This Row],[Colonne218]]=$G44,IB44,Distances[[#This Row],[Colonne218]]+1)</f>
        <v>40</v>
      </c>
      <c r="ID44" s="17">
        <f>IF(Distances[[#This Row],[Colonne219]]=$G44,IC44,Distances[[#This Row],[Colonne219]]+1)</f>
        <v>40</v>
      </c>
      <c r="IE44" s="17">
        <f>IF(Distances[[#This Row],[Colonne220]]=$G44,ID44,Distances[[#This Row],[Colonne220]]+1)</f>
        <v>40</v>
      </c>
      <c r="IF44" s="17">
        <f>IF(Distances[[#This Row],[Colonne221]]=$G44,IE44,Distances[[#This Row],[Colonne221]]+1)</f>
        <v>40</v>
      </c>
      <c r="IG44" s="17">
        <f>IF(Distances[[#This Row],[Colonne222]]=$G44,IF44,Distances[[#This Row],[Colonne222]]+1)</f>
        <v>40</v>
      </c>
      <c r="IH44" s="17">
        <f>IF(Distances[[#This Row],[Colonne223]]=$G44,IG44,Distances[[#This Row],[Colonne223]]+1)</f>
        <v>40</v>
      </c>
      <c r="II44" s="17">
        <f>IF(Distances[[#This Row],[Colonne224]]=$G44,IH44,Distances[[#This Row],[Colonne224]]+1)</f>
        <v>40</v>
      </c>
      <c r="IJ44" s="17">
        <f>IF(Distances[[#This Row],[Colonne225]]=$G44,II44,Distances[[#This Row],[Colonne225]]+1)</f>
        <v>40</v>
      </c>
      <c r="IK44" s="17">
        <f>IF(Distances[[#This Row],[Colonne226]]=$G44,IJ44,Distances[[#This Row],[Colonne226]]+1)</f>
        <v>40</v>
      </c>
      <c r="IL44" s="17">
        <f>IF(Distances[[#This Row],[Colonne227]]=$G44,IK44,Distances[[#This Row],[Colonne227]]+1)</f>
        <v>40</v>
      </c>
      <c r="IM44" s="17">
        <f>IF(Distances[[#This Row],[Colonne228]]=$G44,IL44,Distances[[#This Row],[Colonne228]]+1)</f>
        <v>40</v>
      </c>
      <c r="IN44" s="17">
        <f>IF(Distances[[#This Row],[Colonne229]]=$G44,IM44,Distances[[#This Row],[Colonne229]]+1)</f>
        <v>40</v>
      </c>
      <c r="IO44" s="17">
        <f>IF(Distances[[#This Row],[Colonne230]]=$G44,IN44,Distances[[#This Row],[Colonne230]]+1)</f>
        <v>40</v>
      </c>
      <c r="IP44" s="17">
        <f>IF(Distances[[#This Row],[Colonne231]]=$G44,IO44,Distances[[#This Row],[Colonne231]]+1)</f>
        <v>40</v>
      </c>
      <c r="IQ44" s="17">
        <f>IF(Distances[[#This Row],[Colonne232]]=$G44,IP44,Distances[[#This Row],[Colonne232]]+1)</f>
        <v>40</v>
      </c>
      <c r="IR44" s="17">
        <f>IF(Distances[[#This Row],[Colonne233]]=$G44,IQ44,Distances[[#This Row],[Colonne233]]+1)</f>
        <v>40</v>
      </c>
      <c r="IS44" s="17">
        <f>IF(Distances[[#This Row],[Colonne234]]=$G44,IR44,Distances[[#This Row],[Colonne234]]+1)</f>
        <v>40</v>
      </c>
      <c r="IT44" s="17">
        <f>IF(Distances[[#This Row],[Colonne235]]=$G44,IS44,Distances[[#This Row],[Colonne235]]+1)</f>
        <v>40</v>
      </c>
      <c r="IU44" s="17">
        <f>IF(Distances[[#This Row],[Colonne236]]=$G44,IT44,Distances[[#This Row],[Colonne236]]+1)</f>
        <v>40</v>
      </c>
      <c r="IV44" s="17">
        <f>IF(Distances[[#This Row],[Colonne237]]=$G44,IU44,Distances[[#This Row],[Colonne237]]+1)</f>
        <v>40</v>
      </c>
      <c r="IW44" s="17">
        <f>IF(Distances[[#This Row],[Colonne238]]=$G44,IV44,Distances[[#This Row],[Colonne238]]+1)</f>
        <v>40</v>
      </c>
      <c r="IX44" s="17">
        <f>IF(Distances[[#This Row],[Colonne239]]=$G44,IW44,Distances[[#This Row],[Colonne239]]+1)</f>
        <v>40</v>
      </c>
      <c r="IY44" s="17">
        <f>IF(Distances[[#This Row],[Colonne240]]=$G44,IX44,Distances[[#This Row],[Colonne240]]+1)</f>
        <v>40</v>
      </c>
      <c r="IZ44" s="17">
        <f>IF(Distances[[#This Row],[Colonne241]]=$G44,IY44,Distances[[#This Row],[Colonne241]]+1)</f>
        <v>40</v>
      </c>
      <c r="JA44" s="17">
        <f>IF(Distances[[#This Row],[Colonne242]]=$G44,IZ44,Distances[[#This Row],[Colonne242]]+1)</f>
        <v>40</v>
      </c>
      <c r="JB44" s="17">
        <f>IF(Distances[[#This Row],[Colonne243]]=$G44,JA44,Distances[[#This Row],[Colonne243]]+1)</f>
        <v>40</v>
      </c>
      <c r="JC44" s="17">
        <f>IF(Distances[[#This Row],[Colonne244]]=$G44,JB44,Distances[[#This Row],[Colonne244]]+1)</f>
        <v>40</v>
      </c>
      <c r="JD44" s="17">
        <f>IF(Distances[[#This Row],[Colonne245]]=$G44,JC44,Distances[[#This Row],[Colonne245]]+1)</f>
        <v>40</v>
      </c>
      <c r="JE44" s="17">
        <f>IF(Distances[[#This Row],[Colonne246]]=$G44,JD44,Distances[[#This Row],[Colonne246]]+1)</f>
        <v>40</v>
      </c>
      <c r="JF44" s="17">
        <f>IF(Distances[[#This Row],[Colonne247]]=$G44,JE44,Distances[[#This Row],[Colonne247]]+1)</f>
        <v>40</v>
      </c>
      <c r="JG44" s="17">
        <f>IF(Distances[[#This Row],[Colonne248]]=$G44,JF44,Distances[[#This Row],[Colonne248]]+1)</f>
        <v>40</v>
      </c>
      <c r="JH44" s="17">
        <f>IF(Distances[[#This Row],[Colonne249]]=$G44,JG44,Distances[[#This Row],[Colonne249]]+1)</f>
        <v>40</v>
      </c>
      <c r="JI44" s="17">
        <f>IF(Distances[[#This Row],[Colonne250]]=$G44,JH44,Distances[[#This Row],[Colonne250]]+1)</f>
        <v>40</v>
      </c>
      <c r="JJ44" s="17">
        <f>IF(Distances[[#This Row],[Colonne251]]=$G44,JI44,Distances[[#This Row],[Colonne251]]+1)</f>
        <v>40</v>
      </c>
      <c r="JK44" s="17">
        <f>IF(Distances[[#This Row],[Colonne252]]=$G44,JJ44,Distances[[#This Row],[Colonne252]]+1)</f>
        <v>40</v>
      </c>
      <c r="JL44" s="17">
        <f>IF(Distances[[#This Row],[Colonne253]]=$G44,JK44,Distances[[#This Row],[Colonne253]]+1)</f>
        <v>40</v>
      </c>
      <c r="JM44" s="17">
        <f>IF(Distances[[#This Row],[Colonne254]]=$G44,JL44,Distances[[#This Row],[Colonne254]]+1)</f>
        <v>40</v>
      </c>
      <c r="JN44" s="17">
        <f>IF(Distances[[#This Row],[Colonne255]]=$G44,JM44,Distances[[#This Row],[Colonne255]]+1)</f>
        <v>40</v>
      </c>
      <c r="JO44" s="17">
        <f>IF(Distances[[#This Row],[Colonne256]]=$G44,JN44,Distances[[#This Row],[Colonne256]]+1)</f>
        <v>40</v>
      </c>
      <c r="JP44" s="17">
        <f>IF(Distances[[#This Row],[Colonne257]]=$G44,JO44,Distances[[#This Row],[Colonne257]]+1)</f>
        <v>40</v>
      </c>
      <c r="JQ44" s="17">
        <f>IF(Distances[[#This Row],[Colonne258]]=$G44,JP44,Distances[[#This Row],[Colonne258]]+1)</f>
        <v>40</v>
      </c>
      <c r="JR44" s="17">
        <f>IF(Distances[[#This Row],[Colonne259]]=$G44,JQ44,Distances[[#This Row],[Colonne259]]+1)</f>
        <v>40</v>
      </c>
      <c r="JS44" s="17">
        <f>IF(Distances[[#This Row],[Colonne260]]=$G44,JR44,Distances[[#This Row],[Colonne260]]+1)</f>
        <v>40</v>
      </c>
      <c r="JT44" s="17">
        <f>IF(Distances[[#This Row],[Colonne261]]=$G44,JS44,Distances[[#This Row],[Colonne261]]+1)</f>
        <v>40</v>
      </c>
      <c r="JU44" s="17">
        <f>IF(Distances[[#This Row],[Colonne262]]=$G44,JT44,Distances[[#This Row],[Colonne262]]+1)</f>
        <v>40</v>
      </c>
      <c r="JV44" s="17">
        <f>IF(Distances[[#This Row],[Colonne263]]=$G44,JU44,Distances[[#This Row],[Colonne263]]+1)</f>
        <v>40</v>
      </c>
      <c r="JW44" s="17">
        <f>IF(Distances[[#This Row],[Colonne264]]=$G44,JV44,Distances[[#This Row],[Colonne264]]+1)</f>
        <v>40</v>
      </c>
      <c r="JX44" s="17">
        <f>IF(Distances[[#This Row],[Colonne265]]=$G44,JW44,Distances[[#This Row],[Colonne265]]+1)</f>
        <v>40</v>
      </c>
      <c r="JY44" s="17">
        <f>IF(Distances[[#This Row],[Colonne266]]=$G44,JX44,Distances[[#This Row],[Colonne266]]+1)</f>
        <v>40</v>
      </c>
      <c r="JZ44" s="17">
        <f>IF(Distances[[#This Row],[Colonne267]]=$G44,JY44,Distances[[#This Row],[Colonne267]]+1)</f>
        <v>40</v>
      </c>
      <c r="KA44" s="17">
        <f>IF(Distances[[#This Row],[Colonne268]]=$G44,JZ44,Distances[[#This Row],[Colonne268]]+1)</f>
        <v>40</v>
      </c>
      <c r="KB44" s="17">
        <f>IF(Distances[[#This Row],[Colonne269]]=$G44,KA44,Distances[[#This Row],[Colonne269]]+1)</f>
        <v>40</v>
      </c>
      <c r="KC44" s="17">
        <f>IF(Distances[[#This Row],[Colonne270]]=$G44,KB44,Distances[[#This Row],[Colonne270]]+1)</f>
        <v>40</v>
      </c>
      <c r="KD44" s="17">
        <f>IF(Distances[[#This Row],[Colonne271]]=$G44,KC44,Distances[[#This Row],[Colonne271]]+1)</f>
        <v>40</v>
      </c>
      <c r="KE44" s="17">
        <f>IF(Distances[[#This Row],[Colonne272]]=$G44,KD44,Distances[[#This Row],[Colonne272]]+1)</f>
        <v>40</v>
      </c>
      <c r="KF44" s="17">
        <f>IF(Distances[[#This Row],[Colonne273]]=$G44,KE44,Distances[[#This Row],[Colonne273]]+1)</f>
        <v>40</v>
      </c>
      <c r="KG44" s="17">
        <f>IF(Distances[[#This Row],[Colonne274]]=$G44,KF44,Distances[[#This Row],[Colonne274]]+1)</f>
        <v>40</v>
      </c>
      <c r="KH44" s="17">
        <f>IF(Distances[[#This Row],[Colonne275]]=$G44,KG44,Distances[[#This Row],[Colonne275]]+1)</f>
        <v>40</v>
      </c>
      <c r="KI44" s="17">
        <f>IF(Distances[[#This Row],[Colonne276]]=$G44,KH44,Distances[[#This Row],[Colonne276]]+1)</f>
        <v>40</v>
      </c>
      <c r="KJ44" s="17">
        <f>IF(Distances[[#This Row],[Colonne277]]=$G44,KI44,Distances[[#This Row],[Colonne277]]+1)</f>
        <v>40</v>
      </c>
      <c r="KK44" s="17">
        <f>IF(Distances[[#This Row],[Colonne278]]=$G44,KJ44,Distances[[#This Row],[Colonne278]]+1)</f>
        <v>40</v>
      </c>
      <c r="KL44" s="17">
        <f>IF(Distances[[#This Row],[Colonne279]]=$G44,KK44,Distances[[#This Row],[Colonne279]]+1)</f>
        <v>40</v>
      </c>
      <c r="KM44" s="17">
        <f>IF(Distances[[#This Row],[Colonne280]]=$G44,KL44,Distances[[#This Row],[Colonne280]]+1)</f>
        <v>40</v>
      </c>
      <c r="KN44" s="17">
        <f>IF(Distances[[#This Row],[Colonne281]]=$G44,KM44,Distances[[#This Row],[Colonne281]]+1)</f>
        <v>40</v>
      </c>
      <c r="KO44" s="17">
        <f>IF(Distances[[#This Row],[Colonne282]]=$G44,KN44,Distances[[#This Row],[Colonne282]]+1)</f>
        <v>40</v>
      </c>
      <c r="KP44" s="17">
        <f>IF(Distances[[#This Row],[Colonne283]]=$G44,KO44,Distances[[#This Row],[Colonne283]]+1)</f>
        <v>40</v>
      </c>
      <c r="KQ44" s="17">
        <f>IF(Distances[[#This Row],[Colonne284]]=$G44,KP44,Distances[[#This Row],[Colonne284]]+1)</f>
        <v>40</v>
      </c>
      <c r="KR44" s="17">
        <f>IF(Distances[[#This Row],[Colonne285]]=$G44,KQ44,Distances[[#This Row],[Colonne285]]+1)</f>
        <v>40</v>
      </c>
      <c r="KS44" s="17">
        <f>IF(Distances[[#This Row],[Colonne286]]=$G44,KR44,Distances[[#This Row],[Colonne286]]+1)</f>
        <v>40</v>
      </c>
      <c r="KT44" s="17">
        <f>IF(Distances[[#This Row],[Colonne287]]=$G44,KS44,Distances[[#This Row],[Colonne287]]+1)</f>
        <v>40</v>
      </c>
      <c r="KU44" s="17">
        <f>IF(Distances[[#This Row],[Colonne288]]=$G44,KT44,Distances[[#This Row],[Colonne288]]+1)</f>
        <v>40</v>
      </c>
      <c r="KV44" s="17">
        <f>IF(Distances[[#This Row],[Colonne289]]=$G44,KU44,Distances[[#This Row],[Colonne289]]+1)</f>
        <v>40</v>
      </c>
      <c r="KW44" s="17">
        <f>IF(Distances[[#This Row],[Colonne290]]=$G44,KV44,Distances[[#This Row],[Colonne290]]+1)</f>
        <v>40</v>
      </c>
      <c r="KX44" s="17">
        <f>IF(Distances[[#This Row],[Colonne291]]=$G44,KW44,Distances[[#This Row],[Colonne291]]+1)</f>
        <v>40</v>
      </c>
      <c r="KY44" s="17">
        <f>IF(Distances[[#This Row],[Colonne292]]=$G44,KX44,Distances[[#This Row],[Colonne292]]+1)</f>
        <v>40</v>
      </c>
      <c r="KZ44" s="17">
        <f>IF(Distances[[#This Row],[Colonne293]]=$G44,KY44,Distances[[#This Row],[Colonne293]]+1)</f>
        <v>40</v>
      </c>
      <c r="LA44" s="17">
        <f>IF(Distances[[#This Row],[Colonne294]]=$G44,KZ44,Distances[[#This Row],[Colonne294]]+1)</f>
        <v>40</v>
      </c>
      <c r="LB44" s="17">
        <f>IF(Distances[[#This Row],[Colonne295]]=$G44,LA44,Distances[[#This Row],[Colonne295]]+1)</f>
        <v>40</v>
      </c>
      <c r="LC44" s="17">
        <f>IF(Distances[[#This Row],[Colonne296]]=$G44,LB44,Distances[[#This Row],[Colonne296]]+1)</f>
        <v>40</v>
      </c>
      <c r="LD44" s="17">
        <f>IF(Distances[[#This Row],[Colonne297]]=$G44,LC44,Distances[[#This Row],[Colonne297]]+1)</f>
        <v>40</v>
      </c>
      <c r="LE44" s="17">
        <f>IF(Distances[[#This Row],[Colonne298]]=$G44,LD44,Distances[[#This Row],[Colonne298]]+1)</f>
        <v>40</v>
      </c>
      <c r="LF44" s="17">
        <f>IF(Distances[[#This Row],[Colonne299]]=$G44,LE44,Distances[[#This Row],[Colonne299]]+1)</f>
        <v>40</v>
      </c>
      <c r="LG44" s="17">
        <f>IF(Distances[[#This Row],[Colonne300]]=$G44,LF44,Distances[[#This Row],[Colonne300]]+1)</f>
        <v>40</v>
      </c>
      <c r="LH44" s="17">
        <f>IF(Distances[[#This Row],[Colonne301]]=$G44,LG44,Distances[[#This Row],[Colonne301]]+1)</f>
        <v>40</v>
      </c>
      <c r="LI44" s="17">
        <f>IF(Distances[[#This Row],[Colonne302]]=$G44,LH44,Distances[[#This Row],[Colonne302]]+1)</f>
        <v>40</v>
      </c>
      <c r="LJ44" s="17">
        <f>IF(Distances[[#This Row],[Colonne303]]=$G44,LI44,Distances[[#This Row],[Colonne303]]+1)</f>
        <v>40</v>
      </c>
      <c r="LK44" s="51"/>
      <c r="LL44" s="17">
        <f t="shared" ref="LL44:NW44" si="88">IF(LK44=$H44,LK44,LK44+1)</f>
        <v>1</v>
      </c>
      <c r="LM44" s="17">
        <f t="shared" si="88"/>
        <v>2</v>
      </c>
      <c r="LN44" s="17">
        <f t="shared" si="88"/>
        <v>3</v>
      </c>
      <c r="LO44" s="17">
        <f t="shared" si="88"/>
        <v>4</v>
      </c>
      <c r="LP44" s="17">
        <f t="shared" si="88"/>
        <v>5</v>
      </c>
      <c r="LQ44" s="17">
        <f t="shared" si="88"/>
        <v>6</v>
      </c>
      <c r="LR44" s="17">
        <f t="shared" si="88"/>
        <v>7</v>
      </c>
      <c r="LS44" s="17">
        <f t="shared" si="88"/>
        <v>8</v>
      </c>
      <c r="LT44" s="17">
        <f t="shared" si="88"/>
        <v>9</v>
      </c>
      <c r="LU44" s="17">
        <f t="shared" si="88"/>
        <v>10</v>
      </c>
      <c r="LV44" s="17">
        <f t="shared" si="88"/>
        <v>11</v>
      </c>
      <c r="LW44" s="17">
        <f t="shared" si="88"/>
        <v>12</v>
      </c>
      <c r="LX44" s="17">
        <f t="shared" si="88"/>
        <v>13</v>
      </c>
      <c r="LY44" s="17">
        <f t="shared" si="88"/>
        <v>14</v>
      </c>
      <c r="LZ44" s="17">
        <f t="shared" si="88"/>
        <v>15</v>
      </c>
      <c r="MA44" s="17">
        <f t="shared" si="88"/>
        <v>16</v>
      </c>
      <c r="MB44" s="17">
        <f t="shared" si="88"/>
        <v>17</v>
      </c>
      <c r="MC44" s="17">
        <f t="shared" si="88"/>
        <v>18</v>
      </c>
      <c r="MD44" s="17">
        <f t="shared" si="88"/>
        <v>19</v>
      </c>
      <c r="ME44" s="17">
        <f t="shared" si="88"/>
        <v>20</v>
      </c>
      <c r="MF44" s="17">
        <f t="shared" si="88"/>
        <v>21</v>
      </c>
      <c r="MG44" s="17">
        <f t="shared" si="88"/>
        <v>22</v>
      </c>
      <c r="MH44" s="17">
        <f t="shared" si="88"/>
        <v>23</v>
      </c>
      <c r="MI44" s="17">
        <f t="shared" si="88"/>
        <v>24</v>
      </c>
      <c r="MJ44" s="17">
        <f t="shared" si="88"/>
        <v>25</v>
      </c>
      <c r="MK44" s="17">
        <f t="shared" si="88"/>
        <v>26</v>
      </c>
      <c r="ML44" s="17">
        <f t="shared" si="88"/>
        <v>27</v>
      </c>
      <c r="MM44" s="17">
        <f t="shared" si="88"/>
        <v>28</v>
      </c>
      <c r="MN44" s="17">
        <f t="shared" si="88"/>
        <v>29</v>
      </c>
      <c r="MO44" s="17">
        <f t="shared" si="88"/>
        <v>30</v>
      </c>
      <c r="MP44" s="17">
        <f t="shared" si="88"/>
        <v>30</v>
      </c>
      <c r="MQ44" s="17">
        <f t="shared" si="88"/>
        <v>30</v>
      </c>
      <c r="MR44" s="17">
        <f t="shared" si="88"/>
        <v>30</v>
      </c>
      <c r="MS44" s="17">
        <f t="shared" si="88"/>
        <v>30</v>
      </c>
      <c r="MT44" s="17">
        <f t="shared" si="88"/>
        <v>30</v>
      </c>
      <c r="MU44" s="17">
        <f t="shared" si="88"/>
        <v>30</v>
      </c>
      <c r="MV44" s="17">
        <f t="shared" si="88"/>
        <v>30</v>
      </c>
      <c r="MW44" s="17">
        <f t="shared" si="88"/>
        <v>30</v>
      </c>
      <c r="MX44" s="17">
        <f t="shared" si="88"/>
        <v>30</v>
      </c>
      <c r="MY44" s="17">
        <f t="shared" si="88"/>
        <v>30</v>
      </c>
      <c r="MZ44" s="17">
        <f t="shared" si="88"/>
        <v>30</v>
      </c>
      <c r="NA44" s="17">
        <f t="shared" si="88"/>
        <v>30</v>
      </c>
      <c r="NB44" s="17">
        <f t="shared" si="88"/>
        <v>30</v>
      </c>
      <c r="NC44" s="17">
        <f t="shared" si="88"/>
        <v>30</v>
      </c>
      <c r="ND44" s="17">
        <f t="shared" si="88"/>
        <v>30</v>
      </c>
      <c r="NE44" s="17">
        <f t="shared" si="88"/>
        <v>30</v>
      </c>
      <c r="NF44" s="17">
        <f t="shared" si="88"/>
        <v>30</v>
      </c>
      <c r="NG44" s="17">
        <f t="shared" si="88"/>
        <v>30</v>
      </c>
      <c r="NH44" s="17">
        <f t="shared" si="88"/>
        <v>30</v>
      </c>
      <c r="NI44" s="17">
        <f t="shared" si="88"/>
        <v>30</v>
      </c>
      <c r="NJ44" s="17">
        <f t="shared" si="88"/>
        <v>30</v>
      </c>
      <c r="NK44" s="17">
        <f t="shared" si="88"/>
        <v>30</v>
      </c>
      <c r="NL44" s="17">
        <f t="shared" si="88"/>
        <v>30</v>
      </c>
      <c r="NM44" s="17">
        <f t="shared" si="88"/>
        <v>30</v>
      </c>
      <c r="NN44" s="17">
        <f t="shared" si="88"/>
        <v>30</v>
      </c>
      <c r="NO44" s="17">
        <f t="shared" si="88"/>
        <v>30</v>
      </c>
      <c r="NP44" s="17">
        <f t="shared" si="88"/>
        <v>30</v>
      </c>
      <c r="NQ44" s="17">
        <f t="shared" si="88"/>
        <v>30</v>
      </c>
      <c r="NR44" s="17">
        <f t="shared" si="88"/>
        <v>30</v>
      </c>
      <c r="NS44" s="17">
        <f t="shared" si="88"/>
        <v>30</v>
      </c>
      <c r="NT44" s="17">
        <f t="shared" si="88"/>
        <v>30</v>
      </c>
      <c r="NU44" s="17">
        <f t="shared" si="88"/>
        <v>30</v>
      </c>
      <c r="NV44" s="17">
        <f t="shared" si="88"/>
        <v>30</v>
      </c>
      <c r="NW44" s="17">
        <f t="shared" si="88"/>
        <v>30</v>
      </c>
      <c r="NX44" s="17">
        <f t="shared" ref="NX44:PG44" si="89">IF(NW44=$H44,NW44,NW44+1)</f>
        <v>30</v>
      </c>
      <c r="NY44" s="17">
        <f t="shared" si="89"/>
        <v>30</v>
      </c>
      <c r="NZ44" s="17">
        <f t="shared" si="89"/>
        <v>30</v>
      </c>
      <c r="OA44" s="17">
        <f t="shared" si="89"/>
        <v>30</v>
      </c>
      <c r="OB44" s="17">
        <f t="shared" si="89"/>
        <v>30</v>
      </c>
      <c r="OC44" s="17">
        <f t="shared" si="89"/>
        <v>30</v>
      </c>
      <c r="OD44" s="17">
        <f t="shared" si="89"/>
        <v>30</v>
      </c>
      <c r="OE44" s="17">
        <f t="shared" si="89"/>
        <v>30</v>
      </c>
      <c r="OF44" s="17">
        <f t="shared" si="89"/>
        <v>30</v>
      </c>
      <c r="OG44" s="17">
        <f t="shared" si="89"/>
        <v>30</v>
      </c>
      <c r="OH44" s="17">
        <f t="shared" si="89"/>
        <v>30</v>
      </c>
      <c r="OI44" s="17">
        <f t="shared" si="89"/>
        <v>30</v>
      </c>
      <c r="OJ44" s="17">
        <f t="shared" si="89"/>
        <v>30</v>
      </c>
      <c r="OK44" s="17">
        <f t="shared" si="89"/>
        <v>30</v>
      </c>
      <c r="OL44" s="17">
        <f t="shared" si="89"/>
        <v>30</v>
      </c>
      <c r="OM44" s="17">
        <f t="shared" si="89"/>
        <v>30</v>
      </c>
      <c r="ON44" s="17">
        <f t="shared" si="89"/>
        <v>30</v>
      </c>
      <c r="OO44" s="17">
        <f t="shared" si="89"/>
        <v>30</v>
      </c>
      <c r="OP44" s="17">
        <f t="shared" si="89"/>
        <v>30</v>
      </c>
      <c r="OQ44" s="17">
        <f t="shared" si="89"/>
        <v>30</v>
      </c>
      <c r="OR44" s="17">
        <f t="shared" si="89"/>
        <v>30</v>
      </c>
      <c r="OS44" s="17">
        <f t="shared" si="89"/>
        <v>30</v>
      </c>
      <c r="OT44" s="17">
        <f t="shared" si="89"/>
        <v>30</v>
      </c>
      <c r="OU44" s="17">
        <f t="shared" si="89"/>
        <v>30</v>
      </c>
      <c r="OV44" s="17">
        <f t="shared" si="89"/>
        <v>30</v>
      </c>
      <c r="OW44" s="17">
        <f t="shared" si="89"/>
        <v>30</v>
      </c>
      <c r="OX44" s="17">
        <f t="shared" si="89"/>
        <v>30</v>
      </c>
      <c r="OY44" s="17">
        <f t="shared" si="89"/>
        <v>30</v>
      </c>
      <c r="OZ44" s="17">
        <f t="shared" si="89"/>
        <v>30</v>
      </c>
      <c r="PA44" s="17">
        <f t="shared" si="89"/>
        <v>30</v>
      </c>
      <c r="PB44" s="17">
        <f t="shared" si="89"/>
        <v>30</v>
      </c>
      <c r="PC44" s="17">
        <f t="shared" si="89"/>
        <v>30</v>
      </c>
      <c r="PD44" s="17">
        <f t="shared" si="89"/>
        <v>30</v>
      </c>
      <c r="PE44" s="17">
        <f t="shared" si="89"/>
        <v>30</v>
      </c>
      <c r="PF44" s="17">
        <f t="shared" si="89"/>
        <v>30</v>
      </c>
      <c r="PG44" s="17">
        <f t="shared" si="89"/>
        <v>30</v>
      </c>
    </row>
    <row r="45" spans="1:423" x14ac:dyDescent="0.25">
      <c r="A45" s="8" t="s">
        <v>5506</v>
      </c>
      <c r="B45" s="9" t="s">
        <v>24</v>
      </c>
      <c r="C45" s="9" t="str">
        <f t="shared" si="72"/>
        <v>CN1</v>
      </c>
      <c r="D45" s="1" t="str">
        <f t="shared" si="73"/>
        <v>Cadre N1</v>
      </c>
      <c r="E45" s="1" t="s">
        <v>9865</v>
      </c>
      <c r="F45" s="9" t="s">
        <v>5508</v>
      </c>
      <c r="G45" s="9">
        <v>150</v>
      </c>
      <c r="H45" s="9">
        <v>15</v>
      </c>
      <c r="I45" s="127">
        <v>3.1</v>
      </c>
      <c r="J45" s="30"/>
      <c r="K45" s="281" t="s">
        <v>5539</v>
      </c>
      <c r="L45" s="8">
        <v>10</v>
      </c>
      <c r="M45" s="9">
        <v>10</v>
      </c>
      <c r="N45" s="10">
        <v>19.998999999999999</v>
      </c>
      <c r="O45" s="269">
        <v>1</v>
      </c>
      <c r="P45" s="331">
        <v>1</v>
      </c>
      <c r="Q45" s="335">
        <v>2</v>
      </c>
      <c r="R45" s="128"/>
      <c r="S45" s="9"/>
      <c r="T45" s="10"/>
      <c r="U45" t="s">
        <v>5523</v>
      </c>
      <c r="V45" s="17">
        <v>0</v>
      </c>
      <c r="W45" s="17">
        <f>IF(Distances[[#This Row],[Colonne4]]=$G45,V45,Distances[[#This Row],[Colonne4]]+1)</f>
        <v>1</v>
      </c>
      <c r="X45" s="17">
        <f>IF(Distances[[#This Row],[Colonne5]]=$G45,W45,Distances[[#This Row],[Colonne5]]+1)</f>
        <v>2</v>
      </c>
      <c r="Y45" s="17">
        <f>IF(Distances[[#This Row],[Colonne6]]=$G45,X45,Distances[[#This Row],[Colonne6]]+1)</f>
        <v>3</v>
      </c>
      <c r="Z45" s="17">
        <f>IF(Distances[[#This Row],[Colonne7]]=$G45,Y45,Distances[[#This Row],[Colonne7]]+1)</f>
        <v>4</v>
      </c>
      <c r="AA45" s="17">
        <f>IF(Distances[[#This Row],[Colonne8]]=$G45,Z45,Distances[[#This Row],[Colonne8]]+1)</f>
        <v>5</v>
      </c>
      <c r="AB45" s="17">
        <f>IF(Distances[[#This Row],[Colonne9]]=$G45,AA45,Distances[[#This Row],[Colonne9]]+1)</f>
        <v>6</v>
      </c>
      <c r="AC45" s="17">
        <f>IF(Distances[[#This Row],[Colonne10]]=$G45,AB45,Distances[[#This Row],[Colonne10]]+1)</f>
        <v>7</v>
      </c>
      <c r="AD45" s="17">
        <f>IF(Distances[[#This Row],[Colonne11]]=$G45,AC45,Distances[[#This Row],[Colonne11]]+1)</f>
        <v>8</v>
      </c>
      <c r="AE45" s="17">
        <f>IF(Distances[[#This Row],[Colonne12]]=$G45,AD45,Distances[[#This Row],[Colonne12]]+1)</f>
        <v>9</v>
      </c>
      <c r="AF45" s="17">
        <f>IF(Distances[[#This Row],[Colonne13]]=$G45,AE45,Distances[[#This Row],[Colonne13]]+1)</f>
        <v>10</v>
      </c>
      <c r="AG45" s="17">
        <f>IF(Distances[[#This Row],[Colonne14]]=$G45,AF45,Distances[[#This Row],[Colonne14]]+1)</f>
        <v>11</v>
      </c>
      <c r="AH45" s="17">
        <f>IF(Distances[[#This Row],[Colonne15]]=$G45,AG45,Distances[[#This Row],[Colonne15]]+1)</f>
        <v>12</v>
      </c>
      <c r="AI45" s="17">
        <f>IF(Distances[[#This Row],[Colonne16]]=$G45,AH45,Distances[[#This Row],[Colonne16]]+1)</f>
        <v>13</v>
      </c>
      <c r="AJ45" s="17">
        <f>IF(Distances[[#This Row],[Colonne17]]=$G45,AI45,Distances[[#This Row],[Colonne17]]+1)</f>
        <v>14</v>
      </c>
      <c r="AK45" s="17">
        <f>IF(Distances[[#This Row],[Colonne18]]=$G45,AJ45,Distances[[#This Row],[Colonne18]]+1)</f>
        <v>15</v>
      </c>
      <c r="AL45" s="17">
        <f>IF(Distances[[#This Row],[Colonne19]]=$G45,AK45,Distances[[#This Row],[Colonne19]]+1)</f>
        <v>16</v>
      </c>
      <c r="AM45" s="17">
        <f>IF(Distances[[#This Row],[Colonne20]]=$G45,AL45,Distances[[#This Row],[Colonne20]]+1)</f>
        <v>17</v>
      </c>
      <c r="AN45" s="17">
        <f>IF(Distances[[#This Row],[Colonne21]]=$G45,AM45,Distances[[#This Row],[Colonne21]]+1)</f>
        <v>18</v>
      </c>
      <c r="AO45" s="17">
        <f>IF(Distances[[#This Row],[Colonne22]]=$G45,AN45,Distances[[#This Row],[Colonne22]]+1)</f>
        <v>19</v>
      </c>
      <c r="AP45" s="17">
        <f>IF(Distances[[#This Row],[Colonne23]]=$G45,AO45,Distances[[#This Row],[Colonne23]]+1)</f>
        <v>20</v>
      </c>
      <c r="AQ45" s="17">
        <f>IF(Distances[[#This Row],[Colonne24]]=$G45,AP45,Distances[[#This Row],[Colonne24]]+1)</f>
        <v>21</v>
      </c>
      <c r="AR45" s="17">
        <f>IF(Distances[[#This Row],[Colonne25]]=$G45,AQ45,Distances[[#This Row],[Colonne25]]+1)</f>
        <v>22</v>
      </c>
      <c r="AS45" s="17">
        <f>IF(Distances[[#This Row],[Colonne26]]=$G45,AR45,Distances[[#This Row],[Colonne26]]+1)</f>
        <v>23</v>
      </c>
      <c r="AT45" s="17">
        <f>IF(Distances[[#This Row],[Colonne27]]=$G45,AS45,Distances[[#This Row],[Colonne27]]+1)</f>
        <v>24</v>
      </c>
      <c r="AU45" s="17">
        <f>IF(Distances[[#This Row],[Colonne28]]=$G45,AT45,Distances[[#This Row],[Colonne28]]+1)</f>
        <v>25</v>
      </c>
      <c r="AV45" s="17">
        <f>IF(Distances[[#This Row],[Colonne29]]=$G45,AU45,Distances[[#This Row],[Colonne29]]+1)</f>
        <v>26</v>
      </c>
      <c r="AW45" s="17">
        <f>IF(Distances[[#This Row],[Colonne30]]=$G45,AV45,Distances[[#This Row],[Colonne30]]+1)</f>
        <v>27</v>
      </c>
      <c r="AX45" s="17">
        <f>IF(Distances[[#This Row],[Colonne31]]=$G45,AW45,Distances[[#This Row],[Colonne31]]+1)</f>
        <v>28</v>
      </c>
      <c r="AY45" s="17">
        <f>IF(Distances[[#This Row],[Colonne32]]=$G45,AX45,Distances[[#This Row],[Colonne32]]+1)</f>
        <v>29</v>
      </c>
      <c r="AZ45" s="17">
        <f>IF(Distances[[#This Row],[Colonne33]]=$G45,AY45,Distances[[#This Row],[Colonne33]]+1)</f>
        <v>30</v>
      </c>
      <c r="BA45" s="17">
        <f>IF(Distances[[#This Row],[Colonne34]]=$G45,AZ45,Distances[[#This Row],[Colonne34]]+1)</f>
        <v>31</v>
      </c>
      <c r="BB45" s="17">
        <f>IF(Distances[[#This Row],[Colonne35]]=$G45,BA45,Distances[[#This Row],[Colonne35]]+1)</f>
        <v>32</v>
      </c>
      <c r="BC45" s="17">
        <f>IF(Distances[[#This Row],[Colonne36]]=$G45,BB45,Distances[[#This Row],[Colonne36]]+1)</f>
        <v>33</v>
      </c>
      <c r="BD45" s="17">
        <f>IF(Distances[[#This Row],[Colonne37]]=$G45,BC45,Distances[[#This Row],[Colonne37]]+1)</f>
        <v>34</v>
      </c>
      <c r="BE45" s="17">
        <f>IF(Distances[[#This Row],[Colonne38]]=$G45,BD45,Distances[[#This Row],[Colonne38]]+1)</f>
        <v>35</v>
      </c>
      <c r="BF45" s="17">
        <f>IF(Distances[[#This Row],[Colonne39]]=$G45,BE45,Distances[[#This Row],[Colonne39]]+1)</f>
        <v>36</v>
      </c>
      <c r="BG45" s="17">
        <f>IF(Distances[[#This Row],[Colonne40]]=$G45,BF45,Distances[[#This Row],[Colonne40]]+1)</f>
        <v>37</v>
      </c>
      <c r="BH45" s="17">
        <f>IF(Distances[[#This Row],[Colonne41]]=$G45,BG45,Distances[[#This Row],[Colonne41]]+1)</f>
        <v>38</v>
      </c>
      <c r="BI45" s="17">
        <f>IF(Distances[[#This Row],[Colonne42]]=$G45,BH45,Distances[[#This Row],[Colonne42]]+1)</f>
        <v>39</v>
      </c>
      <c r="BJ45" s="17">
        <f>IF(Distances[[#This Row],[Colonne43]]=$G45,BI45,Distances[[#This Row],[Colonne43]]+1)</f>
        <v>40</v>
      </c>
      <c r="BK45" s="17">
        <f>IF(Distances[[#This Row],[Colonne44]]=$G45,BJ45,Distances[[#This Row],[Colonne44]]+1)</f>
        <v>41</v>
      </c>
      <c r="BL45" s="17">
        <f>IF(Distances[[#This Row],[Colonne45]]=$G45,BK45,Distances[[#This Row],[Colonne45]]+1)</f>
        <v>42</v>
      </c>
      <c r="BM45" s="17">
        <f>IF(Distances[[#This Row],[Colonne46]]=$G45,BL45,Distances[[#This Row],[Colonne46]]+1)</f>
        <v>43</v>
      </c>
      <c r="BN45" s="17">
        <f>IF(Distances[[#This Row],[Colonne47]]=$G45,BM45,Distances[[#This Row],[Colonne47]]+1)</f>
        <v>44</v>
      </c>
      <c r="BO45" s="17">
        <f>IF(Distances[[#This Row],[Colonne48]]=$G45,BN45,Distances[[#This Row],[Colonne48]]+1)</f>
        <v>45</v>
      </c>
      <c r="BP45" s="17">
        <f>IF(Distances[[#This Row],[Colonne49]]=$G45,BO45,Distances[[#This Row],[Colonne49]]+1)</f>
        <v>46</v>
      </c>
      <c r="BQ45" s="17">
        <f>IF(Distances[[#This Row],[Colonne50]]=$G45,BP45,Distances[[#This Row],[Colonne50]]+1)</f>
        <v>47</v>
      </c>
      <c r="BR45" s="17">
        <f>IF(Distances[[#This Row],[Colonne51]]=$G45,BQ45,Distances[[#This Row],[Colonne51]]+1)</f>
        <v>48</v>
      </c>
      <c r="BS45" s="17">
        <f>IF(Distances[[#This Row],[Colonne52]]=$G45,BR45,Distances[[#This Row],[Colonne52]]+1)</f>
        <v>49</v>
      </c>
      <c r="BT45" s="17">
        <f>IF(Distances[[#This Row],[Colonne53]]=$G45,BS45,Distances[[#This Row],[Colonne53]]+1)</f>
        <v>50</v>
      </c>
      <c r="BU45" s="17">
        <f>IF(Distances[[#This Row],[Colonne54]]=$G45,BT45,Distances[[#This Row],[Colonne54]]+1)</f>
        <v>51</v>
      </c>
      <c r="BV45" s="17">
        <f>IF(Distances[[#This Row],[Colonne55]]=$G45,BU45,Distances[[#This Row],[Colonne55]]+1)</f>
        <v>52</v>
      </c>
      <c r="BW45" s="17">
        <f>IF(Distances[[#This Row],[Colonne56]]=$G45,BV45,Distances[[#This Row],[Colonne56]]+1)</f>
        <v>53</v>
      </c>
      <c r="BX45" s="17">
        <f>IF(Distances[[#This Row],[Colonne57]]=$G45,BW45,Distances[[#This Row],[Colonne57]]+1)</f>
        <v>54</v>
      </c>
      <c r="BY45" s="17">
        <f>IF(Distances[[#This Row],[Colonne58]]=$G45,BX45,Distances[[#This Row],[Colonne58]]+1)</f>
        <v>55</v>
      </c>
      <c r="BZ45" s="17">
        <f>IF(Distances[[#This Row],[Colonne59]]=$G45,BY45,Distances[[#This Row],[Colonne59]]+1)</f>
        <v>56</v>
      </c>
      <c r="CA45" s="17">
        <f>IF(Distances[[#This Row],[Colonne60]]=$G45,BZ45,Distances[[#This Row],[Colonne60]]+1)</f>
        <v>57</v>
      </c>
      <c r="CB45" s="17">
        <f>IF(Distances[[#This Row],[Colonne61]]=$G45,CA45,Distances[[#This Row],[Colonne61]]+1)</f>
        <v>58</v>
      </c>
      <c r="CC45" s="17">
        <f>IF(Distances[[#This Row],[Colonne62]]=$G45,CB45,Distances[[#This Row],[Colonne62]]+1)</f>
        <v>59</v>
      </c>
      <c r="CD45" s="17">
        <f>IF(Distances[[#This Row],[Colonne63]]=$G45,CC45,Distances[[#This Row],[Colonne63]]+1)</f>
        <v>60</v>
      </c>
      <c r="CE45" s="17">
        <f>IF(Distances[[#This Row],[Colonne64]]=$G45,CD45,Distances[[#This Row],[Colonne64]]+1)</f>
        <v>61</v>
      </c>
      <c r="CF45" s="17">
        <f>IF(Distances[[#This Row],[Colonne65]]=$G45,CE45,Distances[[#This Row],[Colonne65]]+1)</f>
        <v>62</v>
      </c>
      <c r="CG45" s="17">
        <f>IF(Distances[[#This Row],[Colonne66]]=$G45,CF45,Distances[[#This Row],[Colonne66]]+1)</f>
        <v>63</v>
      </c>
      <c r="CH45" s="17">
        <f>IF(Distances[[#This Row],[Colonne67]]=$G45,CG45,Distances[[#This Row],[Colonne67]]+1)</f>
        <v>64</v>
      </c>
      <c r="CI45" s="17">
        <f>IF(Distances[[#This Row],[Colonne68]]=$G45,CH45,Distances[[#This Row],[Colonne68]]+1)</f>
        <v>65</v>
      </c>
      <c r="CJ45" s="17">
        <f>IF(Distances[[#This Row],[Colonne69]]=$G45,CI45,Distances[[#This Row],[Colonne69]]+1)</f>
        <v>66</v>
      </c>
      <c r="CK45" s="17">
        <f>IF(Distances[[#This Row],[Colonne70]]=$G45,CJ45,Distances[[#This Row],[Colonne70]]+1)</f>
        <v>67</v>
      </c>
      <c r="CL45" s="17">
        <f>IF(Distances[[#This Row],[Colonne71]]=$G45,CK45,Distances[[#This Row],[Colonne71]]+1)</f>
        <v>68</v>
      </c>
      <c r="CM45" s="17">
        <f>IF(Distances[[#This Row],[Colonne72]]=$G45,CL45,Distances[[#This Row],[Colonne72]]+1)</f>
        <v>69</v>
      </c>
      <c r="CN45" s="17">
        <f>IF(Distances[[#This Row],[Colonne73]]=$G45,CM45,Distances[[#This Row],[Colonne73]]+1)</f>
        <v>70</v>
      </c>
      <c r="CO45" s="17">
        <f>IF(Distances[[#This Row],[Colonne74]]=$G45,CN45,Distances[[#This Row],[Colonne74]]+1)</f>
        <v>71</v>
      </c>
      <c r="CP45" s="17">
        <f>IF(Distances[[#This Row],[Colonne75]]=$G45,CO45,Distances[[#This Row],[Colonne75]]+1)</f>
        <v>72</v>
      </c>
      <c r="CQ45" s="17">
        <f>IF(Distances[[#This Row],[Colonne76]]=$G45,CP45,Distances[[#This Row],[Colonne76]]+1)</f>
        <v>73</v>
      </c>
      <c r="CR45" s="17">
        <f>IF(Distances[[#This Row],[Colonne77]]=$G45,CQ45,Distances[[#This Row],[Colonne77]]+1)</f>
        <v>74</v>
      </c>
      <c r="CS45" s="17">
        <f>IF(Distances[[#This Row],[Colonne78]]=$G45,CR45,Distances[[#This Row],[Colonne78]]+1)</f>
        <v>75</v>
      </c>
      <c r="CT45" s="17">
        <f>IF(Distances[[#This Row],[Colonne79]]=$G45,CS45,Distances[[#This Row],[Colonne79]]+1)</f>
        <v>76</v>
      </c>
      <c r="CU45" s="17">
        <f>IF(Distances[[#This Row],[Colonne80]]=$G45,CT45,Distances[[#This Row],[Colonne80]]+1)</f>
        <v>77</v>
      </c>
      <c r="CV45" s="17">
        <f>IF(Distances[[#This Row],[Colonne81]]=$G45,CU45,Distances[[#This Row],[Colonne81]]+1)</f>
        <v>78</v>
      </c>
      <c r="CW45" s="17">
        <f>IF(Distances[[#This Row],[Colonne82]]=$G45,CV45,Distances[[#This Row],[Colonne82]]+1)</f>
        <v>79</v>
      </c>
      <c r="CX45" s="17">
        <f>IF(Distances[[#This Row],[Colonne83]]=$G45,CW45,Distances[[#This Row],[Colonne83]]+1)</f>
        <v>80</v>
      </c>
      <c r="CY45" s="17">
        <f>IF(Distances[[#This Row],[Colonne84]]=$G45,CX45,Distances[[#This Row],[Colonne84]]+1)</f>
        <v>81</v>
      </c>
      <c r="CZ45" s="17">
        <f>IF(Distances[[#This Row],[Colonne85]]=$G45,CY45,Distances[[#This Row],[Colonne85]]+1)</f>
        <v>82</v>
      </c>
      <c r="DA45" s="17">
        <f>IF(Distances[[#This Row],[Colonne86]]=$G45,CZ45,Distances[[#This Row],[Colonne86]]+1)</f>
        <v>83</v>
      </c>
      <c r="DB45" s="17">
        <f>IF(Distances[[#This Row],[Colonne87]]=$G45,DA45,Distances[[#This Row],[Colonne87]]+1)</f>
        <v>84</v>
      </c>
      <c r="DC45" s="17">
        <f>IF(Distances[[#This Row],[Colonne88]]=$G45,DB45,Distances[[#This Row],[Colonne88]]+1)</f>
        <v>85</v>
      </c>
      <c r="DD45" s="17">
        <f>IF(Distances[[#This Row],[Colonne89]]=$G45,DC45,Distances[[#This Row],[Colonne89]]+1)</f>
        <v>86</v>
      </c>
      <c r="DE45" s="17">
        <f>IF(Distances[[#This Row],[Colonne90]]=$G45,DD45,Distances[[#This Row],[Colonne90]]+1)</f>
        <v>87</v>
      </c>
      <c r="DF45" s="17">
        <f>IF(Distances[[#This Row],[Colonne91]]=$G45,DE45,Distances[[#This Row],[Colonne91]]+1)</f>
        <v>88</v>
      </c>
      <c r="DG45" s="17">
        <f>IF(Distances[[#This Row],[Colonne92]]=$G45,DF45,Distances[[#This Row],[Colonne92]]+1)</f>
        <v>89</v>
      </c>
      <c r="DH45" s="17">
        <f>IF(Distances[[#This Row],[Colonne93]]=$G45,DG45,Distances[[#This Row],[Colonne93]]+1)</f>
        <v>90</v>
      </c>
      <c r="DI45" s="17">
        <f>IF(Distances[[#This Row],[Colonne94]]=$G45,DH45,Distances[[#This Row],[Colonne94]]+1)</f>
        <v>91</v>
      </c>
      <c r="DJ45" s="17">
        <f>IF(Distances[[#This Row],[Colonne95]]=$G45,DI45,Distances[[#This Row],[Colonne95]]+1)</f>
        <v>92</v>
      </c>
      <c r="DK45" s="17">
        <f>IF(Distances[[#This Row],[Colonne96]]=$G45,DJ45,Distances[[#This Row],[Colonne96]]+1)</f>
        <v>93</v>
      </c>
      <c r="DL45" s="17">
        <f>IF(Distances[[#This Row],[Colonne97]]=$G45,DK45,Distances[[#This Row],[Colonne97]]+1)</f>
        <v>94</v>
      </c>
      <c r="DM45" s="17">
        <f>IF(Distances[[#This Row],[Colonne98]]=$G45,DL45,Distances[[#This Row],[Colonne98]]+1)</f>
        <v>95</v>
      </c>
      <c r="DN45" s="17">
        <f>IF(Distances[[#This Row],[Colonne99]]=$G45,DM45,Distances[[#This Row],[Colonne99]]+1)</f>
        <v>96</v>
      </c>
      <c r="DO45" s="17">
        <f>IF(Distances[[#This Row],[Colonne100]]=$G45,DN45,Distances[[#This Row],[Colonne100]]+1)</f>
        <v>97</v>
      </c>
      <c r="DP45" s="17">
        <f>IF(Distances[[#This Row],[Colonne101]]=$G45,DO45,Distances[[#This Row],[Colonne101]]+1)</f>
        <v>98</v>
      </c>
      <c r="DQ45" s="17">
        <f>IF(Distances[[#This Row],[Colonne102]]=$G45,DP45,Distances[[#This Row],[Colonne102]]+1)</f>
        <v>99</v>
      </c>
      <c r="DR45" s="17">
        <f>IF(Distances[[#This Row],[Colonne103]]=$G45,DQ45,Distances[[#This Row],[Colonne103]]+1)</f>
        <v>100</v>
      </c>
      <c r="DS45" s="17">
        <f>IF(Distances[[#This Row],[Colonne104]]=$G45,DR45,Distances[[#This Row],[Colonne104]]+1)</f>
        <v>101</v>
      </c>
      <c r="DT45" s="17">
        <f>IF(Distances[[#This Row],[Colonne105]]=$G45,DS45,Distances[[#This Row],[Colonne105]]+1)</f>
        <v>102</v>
      </c>
      <c r="DU45" s="17">
        <f>IF(Distances[[#This Row],[Colonne106]]=$G45,DT45,Distances[[#This Row],[Colonne106]]+1)</f>
        <v>103</v>
      </c>
      <c r="DV45" s="17">
        <f>IF(Distances[[#This Row],[Colonne107]]=$G45,DU45,Distances[[#This Row],[Colonne107]]+1)</f>
        <v>104</v>
      </c>
      <c r="DW45" s="17">
        <f>IF(Distances[[#This Row],[Colonne108]]=$G45,DV45,Distances[[#This Row],[Colonne108]]+1)</f>
        <v>105</v>
      </c>
      <c r="DX45" s="17">
        <f>IF(Distances[[#This Row],[Colonne109]]=$G45,DW45,Distances[[#This Row],[Colonne109]]+1)</f>
        <v>106</v>
      </c>
      <c r="DY45" s="17">
        <f>IF(Distances[[#This Row],[Colonne110]]=$G45,DX45,Distances[[#This Row],[Colonne110]]+1)</f>
        <v>107</v>
      </c>
      <c r="DZ45" s="17">
        <f>IF(Distances[[#This Row],[Colonne111]]=$G45,DY45,Distances[[#This Row],[Colonne111]]+1)</f>
        <v>108</v>
      </c>
      <c r="EA45" s="17">
        <f>IF(Distances[[#This Row],[Colonne112]]=$G45,DZ45,Distances[[#This Row],[Colonne112]]+1)</f>
        <v>109</v>
      </c>
      <c r="EB45" s="17">
        <f>IF(Distances[[#This Row],[Colonne113]]=$G45,EA45,Distances[[#This Row],[Colonne113]]+1)</f>
        <v>110</v>
      </c>
      <c r="EC45" s="17">
        <f>IF(Distances[[#This Row],[Colonne114]]=$G45,EB45,Distances[[#This Row],[Colonne114]]+1)</f>
        <v>111</v>
      </c>
      <c r="ED45" s="17">
        <f>IF(Distances[[#This Row],[Colonne115]]=$G45,EC45,Distances[[#This Row],[Colonne115]]+1)</f>
        <v>112</v>
      </c>
      <c r="EE45" s="17">
        <f>IF(Distances[[#This Row],[Colonne116]]=$G45,ED45,Distances[[#This Row],[Colonne116]]+1)</f>
        <v>113</v>
      </c>
      <c r="EF45" s="17">
        <f>IF(Distances[[#This Row],[Colonne117]]=$G45,EE45,Distances[[#This Row],[Colonne117]]+1)</f>
        <v>114</v>
      </c>
      <c r="EG45" s="17">
        <f>IF(Distances[[#This Row],[Colonne118]]=$G45,EF45,Distances[[#This Row],[Colonne118]]+1)</f>
        <v>115</v>
      </c>
      <c r="EH45" s="17">
        <f>IF(Distances[[#This Row],[Colonne119]]=$G45,EG45,Distances[[#This Row],[Colonne119]]+1)</f>
        <v>116</v>
      </c>
      <c r="EI45" s="17">
        <f>IF(Distances[[#This Row],[Colonne120]]=$G45,EH45,Distances[[#This Row],[Colonne120]]+1)</f>
        <v>117</v>
      </c>
      <c r="EJ45" s="17">
        <f>IF(Distances[[#This Row],[Colonne121]]=$G45,EI45,Distances[[#This Row],[Colonne121]]+1)</f>
        <v>118</v>
      </c>
      <c r="EK45" s="17">
        <f>IF(Distances[[#This Row],[Colonne122]]=$G45,EJ45,Distances[[#This Row],[Colonne122]]+1)</f>
        <v>119</v>
      </c>
      <c r="EL45" s="17">
        <f>IF(Distances[[#This Row],[Colonne123]]=$G45,EK45,Distances[[#This Row],[Colonne123]]+1)</f>
        <v>120</v>
      </c>
      <c r="EM45" s="17">
        <f>IF(Distances[[#This Row],[Colonne124]]=$G45,EL45,Distances[[#This Row],[Colonne124]]+1)</f>
        <v>121</v>
      </c>
      <c r="EN45" s="17">
        <f>IF(Distances[[#This Row],[Colonne125]]=$G45,EM45,Distances[[#This Row],[Colonne125]]+1)</f>
        <v>122</v>
      </c>
      <c r="EO45" s="17">
        <f>IF(Distances[[#This Row],[Colonne126]]=$G45,EN45,Distances[[#This Row],[Colonne126]]+1)</f>
        <v>123</v>
      </c>
      <c r="EP45" s="17">
        <f>IF(Distances[[#This Row],[Colonne127]]=$G45,EO45,Distances[[#This Row],[Colonne127]]+1)</f>
        <v>124</v>
      </c>
      <c r="EQ45" s="17">
        <f>IF(Distances[[#This Row],[Colonne128]]=$G45,EP45,Distances[[#This Row],[Colonne128]]+1)</f>
        <v>125</v>
      </c>
      <c r="ER45" s="17">
        <f>IF(Distances[[#This Row],[Colonne129]]=$G45,EQ45,Distances[[#This Row],[Colonne129]]+1)</f>
        <v>126</v>
      </c>
      <c r="ES45" s="17">
        <f>IF(Distances[[#This Row],[Colonne130]]=$G45,ER45,Distances[[#This Row],[Colonne130]]+1)</f>
        <v>127</v>
      </c>
      <c r="ET45" s="17">
        <f>IF(Distances[[#This Row],[Colonne131]]=$G45,ES45,Distances[[#This Row],[Colonne131]]+1)</f>
        <v>128</v>
      </c>
      <c r="EU45" s="17">
        <f>IF(Distances[[#This Row],[Colonne132]]=$G45,ET45,Distances[[#This Row],[Colonne132]]+1)</f>
        <v>129</v>
      </c>
      <c r="EV45" s="17">
        <f>IF(Distances[[#This Row],[Colonne133]]=$G45,EU45,Distances[[#This Row],[Colonne133]]+1)</f>
        <v>130</v>
      </c>
      <c r="EW45" s="17">
        <f>IF(Distances[[#This Row],[Colonne134]]=$G45,EV45,Distances[[#This Row],[Colonne134]]+1)</f>
        <v>131</v>
      </c>
      <c r="EX45" s="17">
        <f>IF(Distances[[#This Row],[Colonne135]]=$G45,EW45,Distances[[#This Row],[Colonne135]]+1)</f>
        <v>132</v>
      </c>
      <c r="EY45" s="17">
        <f>IF(Distances[[#This Row],[Colonne136]]=$G45,EX45,Distances[[#This Row],[Colonne136]]+1)</f>
        <v>133</v>
      </c>
      <c r="EZ45" s="17">
        <f>IF(Distances[[#This Row],[Colonne137]]=$G45,EY45,Distances[[#This Row],[Colonne137]]+1)</f>
        <v>134</v>
      </c>
      <c r="FA45" s="17">
        <f>IF(Distances[[#This Row],[Colonne138]]=$G45,EZ45,Distances[[#This Row],[Colonne138]]+1)</f>
        <v>135</v>
      </c>
      <c r="FB45" s="17">
        <f>IF(Distances[[#This Row],[Colonne139]]=$G45,FA45,Distances[[#This Row],[Colonne139]]+1)</f>
        <v>136</v>
      </c>
      <c r="FC45" s="17">
        <f>IF(Distances[[#This Row],[Colonne140]]=$G45,FB45,Distances[[#This Row],[Colonne140]]+1)</f>
        <v>137</v>
      </c>
      <c r="FD45" s="17">
        <f>IF(Distances[[#This Row],[Colonne141]]=$G45,FC45,Distances[[#This Row],[Colonne141]]+1)</f>
        <v>138</v>
      </c>
      <c r="FE45" s="17">
        <f>IF(Distances[[#This Row],[Colonne142]]=$G45,FD45,Distances[[#This Row],[Colonne142]]+1)</f>
        <v>139</v>
      </c>
      <c r="FF45" s="17">
        <f>IF(Distances[[#This Row],[Colonne143]]=$G45,FE45,Distances[[#This Row],[Colonne143]]+1)</f>
        <v>140</v>
      </c>
      <c r="FG45" s="17">
        <f>IF(Distances[[#This Row],[Colonne144]]=$G45,FF45,Distances[[#This Row],[Colonne144]]+1)</f>
        <v>141</v>
      </c>
      <c r="FH45" s="17">
        <f>IF(Distances[[#This Row],[Colonne145]]=$G45,FG45,Distances[[#This Row],[Colonne145]]+1)</f>
        <v>142</v>
      </c>
      <c r="FI45" s="17">
        <f>IF(Distances[[#This Row],[Colonne146]]=$G45,FH45,Distances[[#This Row],[Colonne146]]+1)</f>
        <v>143</v>
      </c>
      <c r="FJ45" s="17">
        <f>IF(Distances[[#This Row],[Colonne147]]=$G45,FI45,Distances[[#This Row],[Colonne147]]+1)</f>
        <v>144</v>
      </c>
      <c r="FK45" s="17">
        <f>IF(Distances[[#This Row],[Colonne148]]=$G45,FJ45,Distances[[#This Row],[Colonne148]]+1)</f>
        <v>145</v>
      </c>
      <c r="FL45" s="17">
        <f>IF(Distances[[#This Row],[Colonne149]]=$G45,FK45,Distances[[#This Row],[Colonne149]]+1)</f>
        <v>146</v>
      </c>
      <c r="FM45" s="17">
        <f>IF(Distances[[#This Row],[Colonne150]]=$G45,FL45,Distances[[#This Row],[Colonne150]]+1)</f>
        <v>147</v>
      </c>
      <c r="FN45" s="17">
        <f>IF(Distances[[#This Row],[Colonne151]]=$G45,FM45,Distances[[#This Row],[Colonne151]]+1)</f>
        <v>148</v>
      </c>
      <c r="FO45" s="17">
        <f>IF(Distances[[#This Row],[Colonne152]]=$G45,FN45,Distances[[#This Row],[Colonne152]]+1)</f>
        <v>149</v>
      </c>
      <c r="FP45" s="17">
        <f>IF(Distances[[#This Row],[Colonne153]]=$G45,FO45,Distances[[#This Row],[Colonne153]]+1)</f>
        <v>150</v>
      </c>
      <c r="FQ45" s="17">
        <f>IF(Distances[[#This Row],[Colonne154]]=$G45,FP45,Distances[[#This Row],[Colonne154]]+1)</f>
        <v>150</v>
      </c>
      <c r="FR45" s="17">
        <f>IF(Distances[[#This Row],[Colonne155]]=$G45,FQ45,Distances[[#This Row],[Colonne155]]+1)</f>
        <v>150</v>
      </c>
      <c r="FS45" s="17">
        <f>IF(Distances[[#This Row],[Colonne156]]=$G45,FR45,Distances[[#This Row],[Colonne156]]+1)</f>
        <v>150</v>
      </c>
      <c r="FT45" s="17">
        <f>IF(Distances[[#This Row],[Colonne157]]=$G45,FS45,Distances[[#This Row],[Colonne157]]+1)</f>
        <v>150</v>
      </c>
      <c r="FU45" s="17">
        <f>IF(Distances[[#This Row],[Colonne158]]=$G45,FT45,Distances[[#This Row],[Colonne158]]+1)</f>
        <v>150</v>
      </c>
      <c r="FV45" s="17">
        <f>IF(Distances[[#This Row],[Colonne159]]=$G45,FU45,Distances[[#This Row],[Colonne159]]+1)</f>
        <v>150</v>
      </c>
      <c r="FW45" s="17">
        <f>IF(Distances[[#This Row],[Colonne160]]=$G45,FV45,Distances[[#This Row],[Colonne160]]+1)</f>
        <v>150</v>
      </c>
      <c r="FX45" s="17">
        <f>IF(Distances[[#This Row],[Colonne161]]=$G45,FW45,Distances[[#This Row],[Colonne161]]+1)</f>
        <v>150</v>
      </c>
      <c r="FY45" s="17">
        <f>IF(Distances[[#This Row],[Colonne162]]=$G45,FX45,Distances[[#This Row],[Colonne162]]+1)</f>
        <v>150</v>
      </c>
      <c r="FZ45" s="17">
        <f>IF(Distances[[#This Row],[Colonne163]]=$G45,FY45,Distances[[#This Row],[Colonne163]]+1)</f>
        <v>150</v>
      </c>
      <c r="GA45" s="17">
        <f>IF(Distances[[#This Row],[Colonne164]]=$G45,FZ45,Distances[[#This Row],[Colonne164]]+1)</f>
        <v>150</v>
      </c>
      <c r="GB45" s="17">
        <f>IF(Distances[[#This Row],[Colonne165]]=$G45,GA45,Distances[[#This Row],[Colonne165]]+1)</f>
        <v>150</v>
      </c>
      <c r="GC45" s="17">
        <f>IF(Distances[[#This Row],[Colonne166]]=$G45,GB45,Distances[[#This Row],[Colonne166]]+1)</f>
        <v>150</v>
      </c>
      <c r="GD45" s="17">
        <f>IF(Distances[[#This Row],[Colonne167]]=$G45,GC45,Distances[[#This Row],[Colonne167]]+1)</f>
        <v>150</v>
      </c>
      <c r="GE45" s="17">
        <f>IF(Distances[[#This Row],[Colonne168]]=$G45,GD45,Distances[[#This Row],[Colonne168]]+1)</f>
        <v>150</v>
      </c>
      <c r="GF45" s="17">
        <f>IF(Distances[[#This Row],[Colonne169]]=$G45,GE45,Distances[[#This Row],[Colonne169]]+1)</f>
        <v>150</v>
      </c>
      <c r="GG45" s="17">
        <f>IF(Distances[[#This Row],[Colonne170]]=$G45,GF45,Distances[[#This Row],[Colonne170]]+1)</f>
        <v>150</v>
      </c>
      <c r="GH45" s="17">
        <f>IF(Distances[[#This Row],[Colonne171]]=$G45,GG45,Distances[[#This Row],[Colonne171]]+1)</f>
        <v>150</v>
      </c>
      <c r="GI45" s="17">
        <f>IF(Distances[[#This Row],[Colonne172]]=$G45,GH45,Distances[[#This Row],[Colonne172]]+1)</f>
        <v>150</v>
      </c>
      <c r="GJ45" s="17">
        <f>IF(Distances[[#This Row],[Colonne173]]=$G45,GI45,Distances[[#This Row],[Colonne173]]+1)</f>
        <v>150</v>
      </c>
      <c r="GK45" s="17">
        <f>IF(Distances[[#This Row],[Colonne174]]=$G45,GJ45,Distances[[#This Row],[Colonne174]]+1)</f>
        <v>150</v>
      </c>
      <c r="GL45" s="17">
        <f>IF(Distances[[#This Row],[Colonne175]]=$G45,GK45,Distances[[#This Row],[Colonne175]]+1)</f>
        <v>150</v>
      </c>
      <c r="GM45" s="17">
        <f>IF(Distances[[#This Row],[Colonne176]]=$G45,GL45,Distances[[#This Row],[Colonne176]]+1)</f>
        <v>150</v>
      </c>
      <c r="GN45" s="17">
        <f>IF(Distances[[#This Row],[Colonne177]]=$G45,GM45,Distances[[#This Row],[Colonne177]]+1)</f>
        <v>150</v>
      </c>
      <c r="GO45" s="17">
        <f>IF(Distances[[#This Row],[Colonne178]]=$G45,GN45,Distances[[#This Row],[Colonne178]]+1)</f>
        <v>150</v>
      </c>
      <c r="GP45" s="17">
        <f>IF(Distances[[#This Row],[Colonne179]]=$G45,GO45,Distances[[#This Row],[Colonne179]]+1)</f>
        <v>150</v>
      </c>
      <c r="GQ45" s="17">
        <f>IF(Distances[[#This Row],[Colonne180]]=$G45,GP45,Distances[[#This Row],[Colonne180]]+1)</f>
        <v>150</v>
      </c>
      <c r="GR45" s="17">
        <f>IF(Distances[[#This Row],[Colonne181]]=$G45,GQ45,Distances[[#This Row],[Colonne181]]+1)</f>
        <v>150</v>
      </c>
      <c r="GS45" s="17">
        <f>IF(Distances[[#This Row],[Colonne182]]=$G45,GR45,Distances[[#This Row],[Colonne182]]+1)</f>
        <v>150</v>
      </c>
      <c r="GT45" s="17">
        <f>IF(Distances[[#This Row],[Colonne183]]=$G45,GS45,Distances[[#This Row],[Colonne183]]+1)</f>
        <v>150</v>
      </c>
      <c r="GU45" s="17">
        <f>IF(Distances[[#This Row],[Colonne184]]=$G45,GT45,Distances[[#This Row],[Colonne184]]+1)</f>
        <v>150</v>
      </c>
      <c r="GV45" s="17">
        <f>IF(Distances[[#This Row],[Colonne185]]=$G45,GU45,Distances[[#This Row],[Colonne185]]+1)</f>
        <v>150</v>
      </c>
      <c r="GW45" s="17">
        <f>IF(Distances[[#This Row],[Colonne186]]=$G45,GV45,Distances[[#This Row],[Colonne186]]+1)</f>
        <v>150</v>
      </c>
      <c r="GX45" s="17">
        <f>IF(Distances[[#This Row],[Colonne187]]=$G45,GW45,Distances[[#This Row],[Colonne187]]+1)</f>
        <v>150</v>
      </c>
      <c r="GY45" s="17">
        <f>IF(Distances[[#This Row],[Colonne188]]=$G45,GX45,Distances[[#This Row],[Colonne188]]+1)</f>
        <v>150</v>
      </c>
      <c r="GZ45" s="17">
        <f>IF(Distances[[#This Row],[Colonne189]]=$G45,GY45,Distances[[#This Row],[Colonne189]]+1)</f>
        <v>150</v>
      </c>
      <c r="HA45" s="17">
        <f>IF(Distances[[#This Row],[Colonne190]]=$G45,GZ45,Distances[[#This Row],[Colonne190]]+1)</f>
        <v>150</v>
      </c>
      <c r="HB45" s="17">
        <f>IF(Distances[[#This Row],[Colonne191]]=$G45,HA45,Distances[[#This Row],[Colonne191]]+1)</f>
        <v>150</v>
      </c>
      <c r="HC45" s="17">
        <f>IF(Distances[[#This Row],[Colonne192]]=$G45,HB45,Distances[[#This Row],[Colonne192]]+1)</f>
        <v>150</v>
      </c>
      <c r="HD45" s="17">
        <f>IF(Distances[[#This Row],[Colonne193]]=$G45,HC45,Distances[[#This Row],[Colonne193]]+1)</f>
        <v>150</v>
      </c>
      <c r="HE45" s="17">
        <f>IF(Distances[[#This Row],[Colonne194]]=$G45,HD45,Distances[[#This Row],[Colonne194]]+1)</f>
        <v>150</v>
      </c>
      <c r="HF45" s="17">
        <f>IF(Distances[[#This Row],[Colonne195]]=$G45,HE45,Distances[[#This Row],[Colonne195]]+1)</f>
        <v>150</v>
      </c>
      <c r="HG45" s="17">
        <f>IF(Distances[[#This Row],[Colonne196]]=$G45,HF45,Distances[[#This Row],[Colonne196]]+1)</f>
        <v>150</v>
      </c>
      <c r="HH45" s="17">
        <f>IF(Distances[[#This Row],[Colonne197]]=$G45,HG45,Distances[[#This Row],[Colonne197]]+1)</f>
        <v>150</v>
      </c>
      <c r="HI45" s="17">
        <f>IF(Distances[[#This Row],[Colonne198]]=$G45,HH45,Distances[[#This Row],[Colonne198]]+1)</f>
        <v>150</v>
      </c>
      <c r="HJ45" s="17">
        <f>IF(Distances[[#This Row],[Colonne199]]=$G45,HI45,Distances[[#This Row],[Colonne199]]+1)</f>
        <v>150</v>
      </c>
      <c r="HK45" s="17">
        <f>IF(Distances[[#This Row],[Colonne200]]=$G45,HJ45,Distances[[#This Row],[Colonne200]]+1)</f>
        <v>150</v>
      </c>
      <c r="HL45" s="17">
        <f>IF(Distances[[#This Row],[Colonne201]]=$G45,HK45,Distances[[#This Row],[Colonne201]]+1)</f>
        <v>150</v>
      </c>
      <c r="HM45" s="17">
        <f>IF(Distances[[#This Row],[Colonne202]]=$G45,HL45,Distances[[#This Row],[Colonne202]]+1)</f>
        <v>150</v>
      </c>
      <c r="HN45" s="17">
        <f>IF(Distances[[#This Row],[Colonne203]]=$G45,HM45,Distances[[#This Row],[Colonne203]]+1)</f>
        <v>150</v>
      </c>
      <c r="HO45" s="17">
        <f>IF(Distances[[#This Row],[Colonne204]]=$G45,HN45,Distances[[#This Row],[Colonne204]]+1)</f>
        <v>150</v>
      </c>
      <c r="HP45" s="17">
        <f>IF(Distances[[#This Row],[Colonne205]]=$G45,HO45,Distances[[#This Row],[Colonne205]]+1)</f>
        <v>150</v>
      </c>
      <c r="HQ45" s="17">
        <f>IF(Distances[[#This Row],[Colonne206]]=$G45,HP45,Distances[[#This Row],[Colonne206]]+1)</f>
        <v>150</v>
      </c>
      <c r="HR45" s="17">
        <f>IF(Distances[[#This Row],[Colonne207]]=$G45,HQ45,Distances[[#This Row],[Colonne207]]+1)</f>
        <v>150</v>
      </c>
      <c r="HS45" s="17">
        <f>IF(Distances[[#This Row],[Colonne208]]=$G45,HR45,Distances[[#This Row],[Colonne208]]+1)</f>
        <v>150</v>
      </c>
      <c r="HT45" s="17">
        <f>IF(Distances[[#This Row],[Colonne209]]=$G45,HS45,Distances[[#This Row],[Colonne209]]+1)</f>
        <v>150</v>
      </c>
      <c r="HU45" s="17">
        <f>IF(Distances[[#This Row],[Colonne210]]=$G45,HT45,Distances[[#This Row],[Colonne210]]+1)</f>
        <v>150</v>
      </c>
      <c r="HV45" s="17">
        <f>IF(Distances[[#This Row],[Colonne211]]=$G45,HU45,Distances[[#This Row],[Colonne211]]+1)</f>
        <v>150</v>
      </c>
      <c r="HW45" s="17">
        <f>IF(Distances[[#This Row],[Colonne212]]=$G45,HV45,Distances[[#This Row],[Colonne212]]+1)</f>
        <v>150</v>
      </c>
      <c r="HX45" s="17">
        <f>IF(Distances[[#This Row],[Colonne213]]=$G45,HW45,Distances[[#This Row],[Colonne213]]+1)</f>
        <v>150</v>
      </c>
      <c r="HY45" s="17">
        <f>IF(Distances[[#This Row],[Colonne214]]=$G45,HX45,Distances[[#This Row],[Colonne214]]+1)</f>
        <v>150</v>
      </c>
      <c r="HZ45" s="17">
        <f>IF(Distances[[#This Row],[Colonne215]]=$G45,HY45,Distances[[#This Row],[Colonne215]]+1)</f>
        <v>150</v>
      </c>
      <c r="IA45" s="17">
        <f>IF(Distances[[#This Row],[Colonne216]]=$G45,HZ45,Distances[[#This Row],[Colonne216]]+1)</f>
        <v>150</v>
      </c>
      <c r="IB45" s="17">
        <f>IF(Distances[[#This Row],[Colonne217]]=$G45,IA45,Distances[[#This Row],[Colonne217]]+1)</f>
        <v>150</v>
      </c>
      <c r="IC45" s="17">
        <f>IF(Distances[[#This Row],[Colonne218]]=$G45,IB45,Distances[[#This Row],[Colonne218]]+1)</f>
        <v>150</v>
      </c>
      <c r="ID45" s="17">
        <f>IF(Distances[[#This Row],[Colonne219]]=$G45,IC45,Distances[[#This Row],[Colonne219]]+1)</f>
        <v>150</v>
      </c>
      <c r="IE45" s="17">
        <f>IF(Distances[[#This Row],[Colonne220]]=$G45,ID45,Distances[[#This Row],[Colonne220]]+1)</f>
        <v>150</v>
      </c>
      <c r="IF45" s="17">
        <f>IF(Distances[[#This Row],[Colonne221]]=$G45,IE45,Distances[[#This Row],[Colonne221]]+1)</f>
        <v>150</v>
      </c>
      <c r="IG45" s="17">
        <f>IF(Distances[[#This Row],[Colonne222]]=$G45,IF45,Distances[[#This Row],[Colonne222]]+1)</f>
        <v>150</v>
      </c>
      <c r="IH45" s="17">
        <f>IF(Distances[[#This Row],[Colonne223]]=$G45,IG45,Distances[[#This Row],[Colonne223]]+1)</f>
        <v>150</v>
      </c>
      <c r="II45" s="17">
        <f>IF(Distances[[#This Row],[Colonne224]]=$G45,IH45,Distances[[#This Row],[Colonne224]]+1)</f>
        <v>150</v>
      </c>
      <c r="IJ45" s="17">
        <f>IF(Distances[[#This Row],[Colonne225]]=$G45,II45,Distances[[#This Row],[Colonne225]]+1)</f>
        <v>150</v>
      </c>
      <c r="IK45" s="17">
        <f>IF(Distances[[#This Row],[Colonne226]]=$G45,IJ45,Distances[[#This Row],[Colonne226]]+1)</f>
        <v>150</v>
      </c>
      <c r="IL45" s="17">
        <f>IF(Distances[[#This Row],[Colonne227]]=$G45,IK45,Distances[[#This Row],[Colonne227]]+1)</f>
        <v>150</v>
      </c>
      <c r="IM45" s="17">
        <f>IF(Distances[[#This Row],[Colonne228]]=$G45,IL45,Distances[[#This Row],[Colonne228]]+1)</f>
        <v>150</v>
      </c>
      <c r="IN45" s="17">
        <f>IF(Distances[[#This Row],[Colonne229]]=$G45,IM45,Distances[[#This Row],[Colonne229]]+1)</f>
        <v>150</v>
      </c>
      <c r="IO45" s="17">
        <f>IF(Distances[[#This Row],[Colonne230]]=$G45,IN45,Distances[[#This Row],[Colonne230]]+1)</f>
        <v>150</v>
      </c>
      <c r="IP45" s="17">
        <f>IF(Distances[[#This Row],[Colonne231]]=$G45,IO45,Distances[[#This Row],[Colonne231]]+1)</f>
        <v>150</v>
      </c>
      <c r="IQ45" s="17">
        <f>IF(Distances[[#This Row],[Colonne232]]=$G45,IP45,Distances[[#This Row],[Colonne232]]+1)</f>
        <v>150</v>
      </c>
      <c r="IR45" s="17">
        <f>IF(Distances[[#This Row],[Colonne233]]=$G45,IQ45,Distances[[#This Row],[Colonne233]]+1)</f>
        <v>150</v>
      </c>
      <c r="IS45" s="17">
        <f>IF(Distances[[#This Row],[Colonne234]]=$G45,IR45,Distances[[#This Row],[Colonne234]]+1)</f>
        <v>150</v>
      </c>
      <c r="IT45" s="17">
        <f>IF(Distances[[#This Row],[Colonne235]]=$G45,IS45,Distances[[#This Row],[Colonne235]]+1)</f>
        <v>150</v>
      </c>
      <c r="IU45" s="17">
        <f>IF(Distances[[#This Row],[Colonne236]]=$G45,IT45,Distances[[#This Row],[Colonne236]]+1)</f>
        <v>150</v>
      </c>
      <c r="IV45" s="17">
        <f>IF(Distances[[#This Row],[Colonne237]]=$G45,IU45,Distances[[#This Row],[Colonne237]]+1)</f>
        <v>150</v>
      </c>
      <c r="IW45" s="17">
        <f>IF(Distances[[#This Row],[Colonne238]]=$G45,IV45,Distances[[#This Row],[Colonne238]]+1)</f>
        <v>150</v>
      </c>
      <c r="IX45" s="17">
        <f>IF(Distances[[#This Row],[Colonne239]]=$G45,IW45,Distances[[#This Row],[Colonne239]]+1)</f>
        <v>150</v>
      </c>
      <c r="IY45" s="17">
        <f>IF(Distances[[#This Row],[Colonne240]]=$G45,IX45,Distances[[#This Row],[Colonne240]]+1)</f>
        <v>150</v>
      </c>
      <c r="IZ45" s="17">
        <f>IF(Distances[[#This Row],[Colonne241]]=$G45,IY45,Distances[[#This Row],[Colonne241]]+1)</f>
        <v>150</v>
      </c>
      <c r="JA45" s="17">
        <f>IF(Distances[[#This Row],[Colonne242]]=$G45,IZ45,Distances[[#This Row],[Colonne242]]+1)</f>
        <v>150</v>
      </c>
      <c r="JB45" s="17">
        <f>IF(Distances[[#This Row],[Colonne243]]=$G45,JA45,Distances[[#This Row],[Colonne243]]+1)</f>
        <v>150</v>
      </c>
      <c r="JC45" s="17">
        <f>IF(Distances[[#This Row],[Colonne244]]=$G45,JB45,Distances[[#This Row],[Colonne244]]+1)</f>
        <v>150</v>
      </c>
      <c r="JD45" s="17">
        <f>IF(Distances[[#This Row],[Colonne245]]=$G45,JC45,Distances[[#This Row],[Colonne245]]+1)</f>
        <v>150</v>
      </c>
      <c r="JE45" s="17">
        <f>IF(Distances[[#This Row],[Colonne246]]=$G45,JD45,Distances[[#This Row],[Colonne246]]+1)</f>
        <v>150</v>
      </c>
      <c r="JF45" s="17">
        <f>IF(Distances[[#This Row],[Colonne247]]=$G45,JE45,Distances[[#This Row],[Colonne247]]+1)</f>
        <v>150</v>
      </c>
      <c r="JG45" s="17">
        <f>IF(Distances[[#This Row],[Colonne248]]=$G45,JF45,Distances[[#This Row],[Colonne248]]+1)</f>
        <v>150</v>
      </c>
      <c r="JH45" s="17">
        <f>IF(Distances[[#This Row],[Colonne249]]=$G45,JG45,Distances[[#This Row],[Colonne249]]+1)</f>
        <v>150</v>
      </c>
      <c r="JI45" s="17">
        <f>IF(Distances[[#This Row],[Colonne250]]=$G45,JH45,Distances[[#This Row],[Colonne250]]+1)</f>
        <v>150</v>
      </c>
      <c r="JJ45" s="17">
        <f>IF(Distances[[#This Row],[Colonne251]]=$G45,JI45,Distances[[#This Row],[Colonne251]]+1)</f>
        <v>150</v>
      </c>
      <c r="JK45" s="17">
        <f>IF(Distances[[#This Row],[Colonne252]]=$G45,JJ45,Distances[[#This Row],[Colonne252]]+1)</f>
        <v>150</v>
      </c>
      <c r="JL45" s="17">
        <f>IF(Distances[[#This Row],[Colonne253]]=$G45,JK45,Distances[[#This Row],[Colonne253]]+1)</f>
        <v>150</v>
      </c>
      <c r="JM45" s="17">
        <f>IF(Distances[[#This Row],[Colonne254]]=$G45,JL45,Distances[[#This Row],[Colonne254]]+1)</f>
        <v>150</v>
      </c>
      <c r="JN45" s="17">
        <f>IF(Distances[[#This Row],[Colonne255]]=$G45,JM45,Distances[[#This Row],[Colonne255]]+1)</f>
        <v>150</v>
      </c>
      <c r="JO45" s="17">
        <f>IF(Distances[[#This Row],[Colonne256]]=$G45,JN45,Distances[[#This Row],[Colonne256]]+1)</f>
        <v>150</v>
      </c>
      <c r="JP45" s="17">
        <f>IF(Distances[[#This Row],[Colonne257]]=$G45,JO45,Distances[[#This Row],[Colonne257]]+1)</f>
        <v>150</v>
      </c>
      <c r="JQ45" s="17">
        <f>IF(Distances[[#This Row],[Colonne258]]=$G45,JP45,Distances[[#This Row],[Colonne258]]+1)</f>
        <v>150</v>
      </c>
      <c r="JR45" s="17">
        <f>IF(Distances[[#This Row],[Colonne259]]=$G45,JQ45,Distances[[#This Row],[Colonne259]]+1)</f>
        <v>150</v>
      </c>
      <c r="JS45" s="17">
        <f>IF(Distances[[#This Row],[Colonne260]]=$G45,JR45,Distances[[#This Row],[Colonne260]]+1)</f>
        <v>150</v>
      </c>
      <c r="JT45" s="17">
        <f>IF(Distances[[#This Row],[Colonne261]]=$G45,JS45,Distances[[#This Row],[Colonne261]]+1)</f>
        <v>150</v>
      </c>
      <c r="JU45" s="17">
        <f>IF(Distances[[#This Row],[Colonne262]]=$G45,JT45,Distances[[#This Row],[Colonne262]]+1)</f>
        <v>150</v>
      </c>
      <c r="JV45" s="17">
        <f>IF(Distances[[#This Row],[Colonne263]]=$G45,JU45,Distances[[#This Row],[Colonne263]]+1)</f>
        <v>150</v>
      </c>
      <c r="JW45" s="17">
        <f>IF(Distances[[#This Row],[Colonne264]]=$G45,JV45,Distances[[#This Row],[Colonne264]]+1)</f>
        <v>150</v>
      </c>
      <c r="JX45" s="17">
        <f>IF(Distances[[#This Row],[Colonne265]]=$G45,JW45,Distances[[#This Row],[Colonne265]]+1)</f>
        <v>150</v>
      </c>
      <c r="JY45" s="17">
        <f>IF(Distances[[#This Row],[Colonne266]]=$G45,JX45,Distances[[#This Row],[Colonne266]]+1)</f>
        <v>150</v>
      </c>
      <c r="JZ45" s="17">
        <f>IF(Distances[[#This Row],[Colonne267]]=$G45,JY45,Distances[[#This Row],[Colonne267]]+1)</f>
        <v>150</v>
      </c>
      <c r="KA45" s="17">
        <f>IF(Distances[[#This Row],[Colonne268]]=$G45,JZ45,Distances[[#This Row],[Colonne268]]+1)</f>
        <v>150</v>
      </c>
      <c r="KB45" s="17">
        <f>IF(Distances[[#This Row],[Colonne269]]=$G45,KA45,Distances[[#This Row],[Colonne269]]+1)</f>
        <v>150</v>
      </c>
      <c r="KC45" s="17">
        <f>IF(Distances[[#This Row],[Colonne270]]=$G45,KB45,Distances[[#This Row],[Colonne270]]+1)</f>
        <v>150</v>
      </c>
      <c r="KD45" s="17">
        <f>IF(Distances[[#This Row],[Colonne271]]=$G45,KC45,Distances[[#This Row],[Colonne271]]+1)</f>
        <v>150</v>
      </c>
      <c r="KE45" s="17">
        <f>IF(Distances[[#This Row],[Colonne272]]=$G45,KD45,Distances[[#This Row],[Colonne272]]+1)</f>
        <v>150</v>
      </c>
      <c r="KF45" s="17">
        <f>IF(Distances[[#This Row],[Colonne273]]=$G45,KE45,Distances[[#This Row],[Colonne273]]+1)</f>
        <v>150</v>
      </c>
      <c r="KG45" s="17">
        <f>IF(Distances[[#This Row],[Colonne274]]=$G45,KF45,Distances[[#This Row],[Colonne274]]+1)</f>
        <v>150</v>
      </c>
      <c r="KH45" s="17">
        <f>IF(Distances[[#This Row],[Colonne275]]=$G45,KG45,Distances[[#This Row],[Colonne275]]+1)</f>
        <v>150</v>
      </c>
      <c r="KI45" s="17">
        <f>IF(Distances[[#This Row],[Colonne276]]=$G45,KH45,Distances[[#This Row],[Colonne276]]+1)</f>
        <v>150</v>
      </c>
      <c r="KJ45" s="17">
        <f>IF(Distances[[#This Row],[Colonne277]]=$G45,KI45,Distances[[#This Row],[Colonne277]]+1)</f>
        <v>150</v>
      </c>
      <c r="KK45" s="17">
        <f>IF(Distances[[#This Row],[Colonne278]]=$G45,KJ45,Distances[[#This Row],[Colonne278]]+1)</f>
        <v>150</v>
      </c>
      <c r="KL45" s="17">
        <f>IF(Distances[[#This Row],[Colonne279]]=$G45,KK45,Distances[[#This Row],[Colonne279]]+1)</f>
        <v>150</v>
      </c>
      <c r="KM45" s="17">
        <f>IF(Distances[[#This Row],[Colonne280]]=$G45,KL45,Distances[[#This Row],[Colonne280]]+1)</f>
        <v>150</v>
      </c>
      <c r="KN45" s="17">
        <f>IF(Distances[[#This Row],[Colonne281]]=$G45,KM45,Distances[[#This Row],[Colonne281]]+1)</f>
        <v>150</v>
      </c>
      <c r="KO45" s="17">
        <f>IF(Distances[[#This Row],[Colonne282]]=$G45,KN45,Distances[[#This Row],[Colonne282]]+1)</f>
        <v>150</v>
      </c>
      <c r="KP45" s="17">
        <f>IF(Distances[[#This Row],[Colonne283]]=$G45,KO45,Distances[[#This Row],[Colonne283]]+1)</f>
        <v>150</v>
      </c>
      <c r="KQ45" s="17">
        <f>IF(Distances[[#This Row],[Colonne284]]=$G45,KP45,Distances[[#This Row],[Colonne284]]+1)</f>
        <v>150</v>
      </c>
      <c r="KR45" s="17">
        <f>IF(Distances[[#This Row],[Colonne285]]=$G45,KQ45,Distances[[#This Row],[Colonne285]]+1)</f>
        <v>150</v>
      </c>
      <c r="KS45" s="17">
        <f>IF(Distances[[#This Row],[Colonne286]]=$G45,KR45,Distances[[#This Row],[Colonne286]]+1)</f>
        <v>150</v>
      </c>
      <c r="KT45" s="17">
        <f>IF(Distances[[#This Row],[Colonne287]]=$G45,KS45,Distances[[#This Row],[Colonne287]]+1)</f>
        <v>150</v>
      </c>
      <c r="KU45" s="17">
        <f>IF(Distances[[#This Row],[Colonne288]]=$G45,KT45,Distances[[#This Row],[Colonne288]]+1)</f>
        <v>150</v>
      </c>
      <c r="KV45" s="17">
        <f>IF(Distances[[#This Row],[Colonne289]]=$G45,KU45,Distances[[#This Row],[Colonne289]]+1)</f>
        <v>150</v>
      </c>
      <c r="KW45" s="17">
        <f>IF(Distances[[#This Row],[Colonne290]]=$G45,KV45,Distances[[#This Row],[Colonne290]]+1)</f>
        <v>150</v>
      </c>
      <c r="KX45" s="17">
        <f>IF(Distances[[#This Row],[Colonne291]]=$G45,KW45,Distances[[#This Row],[Colonne291]]+1)</f>
        <v>150</v>
      </c>
      <c r="KY45" s="17">
        <f>IF(Distances[[#This Row],[Colonne292]]=$G45,KX45,Distances[[#This Row],[Colonne292]]+1)</f>
        <v>150</v>
      </c>
      <c r="KZ45" s="17">
        <f>IF(Distances[[#This Row],[Colonne293]]=$G45,KY45,Distances[[#This Row],[Colonne293]]+1)</f>
        <v>150</v>
      </c>
      <c r="LA45" s="17">
        <f>IF(Distances[[#This Row],[Colonne294]]=$G45,KZ45,Distances[[#This Row],[Colonne294]]+1)</f>
        <v>150</v>
      </c>
      <c r="LB45" s="17">
        <f>IF(Distances[[#This Row],[Colonne295]]=$G45,LA45,Distances[[#This Row],[Colonne295]]+1)</f>
        <v>150</v>
      </c>
      <c r="LC45" s="17">
        <f>IF(Distances[[#This Row],[Colonne296]]=$G45,LB45,Distances[[#This Row],[Colonne296]]+1)</f>
        <v>150</v>
      </c>
      <c r="LD45" s="17">
        <f>IF(Distances[[#This Row],[Colonne297]]=$G45,LC45,Distances[[#This Row],[Colonne297]]+1)</f>
        <v>150</v>
      </c>
      <c r="LE45" s="17">
        <f>IF(Distances[[#This Row],[Colonne298]]=$G45,LD45,Distances[[#This Row],[Colonne298]]+1)</f>
        <v>150</v>
      </c>
      <c r="LF45" s="17">
        <f>IF(Distances[[#This Row],[Colonne299]]=$G45,LE45,Distances[[#This Row],[Colonne299]]+1)</f>
        <v>150</v>
      </c>
      <c r="LG45" s="17">
        <f>IF(Distances[[#This Row],[Colonne300]]=$G45,LF45,Distances[[#This Row],[Colonne300]]+1)</f>
        <v>150</v>
      </c>
      <c r="LH45" s="17">
        <f>IF(Distances[[#This Row],[Colonne301]]=$G45,LG45,Distances[[#This Row],[Colonne301]]+1)</f>
        <v>150</v>
      </c>
      <c r="LI45" s="17">
        <f>IF(Distances[[#This Row],[Colonne302]]=$G45,LH45,Distances[[#This Row],[Colonne302]]+1)</f>
        <v>150</v>
      </c>
      <c r="LJ45" s="17">
        <f>IF(Distances[[#This Row],[Colonne303]]=$G45,LI45,Distances[[#This Row],[Colonne303]]+1)</f>
        <v>150</v>
      </c>
      <c r="LK45" s="51"/>
      <c r="LL45" s="17">
        <f t="shared" ref="LL45:NW45" si="90">IF(LK45=$H45,LK45,LK45+1)</f>
        <v>1</v>
      </c>
      <c r="LM45" s="17">
        <f t="shared" si="90"/>
        <v>2</v>
      </c>
      <c r="LN45" s="17">
        <f t="shared" si="90"/>
        <v>3</v>
      </c>
      <c r="LO45" s="17">
        <f t="shared" si="90"/>
        <v>4</v>
      </c>
      <c r="LP45" s="17">
        <f t="shared" si="90"/>
        <v>5</v>
      </c>
      <c r="LQ45" s="17">
        <f t="shared" si="90"/>
        <v>6</v>
      </c>
      <c r="LR45" s="17">
        <f t="shared" si="90"/>
        <v>7</v>
      </c>
      <c r="LS45" s="17">
        <f t="shared" si="90"/>
        <v>8</v>
      </c>
      <c r="LT45" s="17">
        <f t="shared" si="90"/>
        <v>9</v>
      </c>
      <c r="LU45" s="17">
        <f t="shared" si="90"/>
        <v>10</v>
      </c>
      <c r="LV45" s="17">
        <f t="shared" si="90"/>
        <v>11</v>
      </c>
      <c r="LW45" s="17">
        <f t="shared" si="90"/>
        <v>12</v>
      </c>
      <c r="LX45" s="17">
        <f t="shared" si="90"/>
        <v>13</v>
      </c>
      <c r="LY45" s="17">
        <f t="shared" si="90"/>
        <v>14</v>
      </c>
      <c r="LZ45" s="17">
        <f t="shared" si="90"/>
        <v>15</v>
      </c>
      <c r="MA45" s="17">
        <f t="shared" si="90"/>
        <v>15</v>
      </c>
      <c r="MB45" s="17">
        <f t="shared" si="90"/>
        <v>15</v>
      </c>
      <c r="MC45" s="17">
        <f t="shared" si="90"/>
        <v>15</v>
      </c>
      <c r="MD45" s="17">
        <f t="shared" si="90"/>
        <v>15</v>
      </c>
      <c r="ME45" s="17">
        <f t="shared" si="90"/>
        <v>15</v>
      </c>
      <c r="MF45" s="17">
        <f t="shared" si="90"/>
        <v>15</v>
      </c>
      <c r="MG45" s="17">
        <f t="shared" si="90"/>
        <v>15</v>
      </c>
      <c r="MH45" s="17">
        <f t="shared" si="90"/>
        <v>15</v>
      </c>
      <c r="MI45" s="17">
        <f t="shared" si="90"/>
        <v>15</v>
      </c>
      <c r="MJ45" s="17">
        <f t="shared" si="90"/>
        <v>15</v>
      </c>
      <c r="MK45" s="17">
        <f t="shared" si="90"/>
        <v>15</v>
      </c>
      <c r="ML45" s="17">
        <f t="shared" si="90"/>
        <v>15</v>
      </c>
      <c r="MM45" s="17">
        <f t="shared" si="90"/>
        <v>15</v>
      </c>
      <c r="MN45" s="17">
        <f t="shared" si="90"/>
        <v>15</v>
      </c>
      <c r="MO45" s="17">
        <f t="shared" si="90"/>
        <v>15</v>
      </c>
      <c r="MP45" s="17">
        <f t="shared" si="90"/>
        <v>15</v>
      </c>
      <c r="MQ45" s="17">
        <f t="shared" si="90"/>
        <v>15</v>
      </c>
      <c r="MR45" s="17">
        <f t="shared" si="90"/>
        <v>15</v>
      </c>
      <c r="MS45" s="17">
        <f t="shared" si="90"/>
        <v>15</v>
      </c>
      <c r="MT45" s="17">
        <f t="shared" si="90"/>
        <v>15</v>
      </c>
      <c r="MU45" s="17">
        <f t="shared" si="90"/>
        <v>15</v>
      </c>
      <c r="MV45" s="17">
        <f t="shared" si="90"/>
        <v>15</v>
      </c>
      <c r="MW45" s="17">
        <f t="shared" si="90"/>
        <v>15</v>
      </c>
      <c r="MX45" s="17">
        <f t="shared" si="90"/>
        <v>15</v>
      </c>
      <c r="MY45" s="17">
        <f t="shared" si="90"/>
        <v>15</v>
      </c>
      <c r="MZ45" s="17">
        <f t="shared" si="90"/>
        <v>15</v>
      </c>
      <c r="NA45" s="17">
        <f t="shared" si="90"/>
        <v>15</v>
      </c>
      <c r="NB45" s="17">
        <f t="shared" si="90"/>
        <v>15</v>
      </c>
      <c r="NC45" s="17">
        <f t="shared" si="90"/>
        <v>15</v>
      </c>
      <c r="ND45" s="17">
        <f t="shared" si="90"/>
        <v>15</v>
      </c>
      <c r="NE45" s="17">
        <f t="shared" si="90"/>
        <v>15</v>
      </c>
      <c r="NF45" s="17">
        <f t="shared" si="90"/>
        <v>15</v>
      </c>
      <c r="NG45" s="17">
        <f t="shared" si="90"/>
        <v>15</v>
      </c>
      <c r="NH45" s="17">
        <f t="shared" si="90"/>
        <v>15</v>
      </c>
      <c r="NI45" s="17">
        <f t="shared" si="90"/>
        <v>15</v>
      </c>
      <c r="NJ45" s="17">
        <f t="shared" si="90"/>
        <v>15</v>
      </c>
      <c r="NK45" s="17">
        <f t="shared" si="90"/>
        <v>15</v>
      </c>
      <c r="NL45" s="17">
        <f t="shared" si="90"/>
        <v>15</v>
      </c>
      <c r="NM45" s="17">
        <f t="shared" si="90"/>
        <v>15</v>
      </c>
      <c r="NN45" s="17">
        <f t="shared" si="90"/>
        <v>15</v>
      </c>
      <c r="NO45" s="17">
        <f t="shared" si="90"/>
        <v>15</v>
      </c>
      <c r="NP45" s="17">
        <f t="shared" si="90"/>
        <v>15</v>
      </c>
      <c r="NQ45" s="17">
        <f t="shared" si="90"/>
        <v>15</v>
      </c>
      <c r="NR45" s="17">
        <f t="shared" si="90"/>
        <v>15</v>
      </c>
      <c r="NS45" s="17">
        <f t="shared" si="90"/>
        <v>15</v>
      </c>
      <c r="NT45" s="17">
        <f t="shared" si="90"/>
        <v>15</v>
      </c>
      <c r="NU45" s="17">
        <f t="shared" si="90"/>
        <v>15</v>
      </c>
      <c r="NV45" s="17">
        <f t="shared" si="90"/>
        <v>15</v>
      </c>
      <c r="NW45" s="17">
        <f t="shared" si="90"/>
        <v>15</v>
      </c>
      <c r="NX45" s="17">
        <f t="shared" ref="NX45:PG45" si="91">IF(NW45=$H45,NW45,NW45+1)</f>
        <v>15</v>
      </c>
      <c r="NY45" s="17">
        <f t="shared" si="91"/>
        <v>15</v>
      </c>
      <c r="NZ45" s="17">
        <f t="shared" si="91"/>
        <v>15</v>
      </c>
      <c r="OA45" s="17">
        <f t="shared" si="91"/>
        <v>15</v>
      </c>
      <c r="OB45" s="17">
        <f t="shared" si="91"/>
        <v>15</v>
      </c>
      <c r="OC45" s="17">
        <f t="shared" si="91"/>
        <v>15</v>
      </c>
      <c r="OD45" s="17">
        <f t="shared" si="91"/>
        <v>15</v>
      </c>
      <c r="OE45" s="17">
        <f t="shared" si="91"/>
        <v>15</v>
      </c>
      <c r="OF45" s="17">
        <f t="shared" si="91"/>
        <v>15</v>
      </c>
      <c r="OG45" s="17">
        <f t="shared" si="91"/>
        <v>15</v>
      </c>
      <c r="OH45" s="17">
        <f t="shared" si="91"/>
        <v>15</v>
      </c>
      <c r="OI45" s="17">
        <f t="shared" si="91"/>
        <v>15</v>
      </c>
      <c r="OJ45" s="17">
        <f t="shared" si="91"/>
        <v>15</v>
      </c>
      <c r="OK45" s="17">
        <f t="shared" si="91"/>
        <v>15</v>
      </c>
      <c r="OL45" s="17">
        <f t="shared" si="91"/>
        <v>15</v>
      </c>
      <c r="OM45" s="17">
        <f t="shared" si="91"/>
        <v>15</v>
      </c>
      <c r="ON45" s="17">
        <f t="shared" si="91"/>
        <v>15</v>
      </c>
      <c r="OO45" s="17">
        <f t="shared" si="91"/>
        <v>15</v>
      </c>
      <c r="OP45" s="17">
        <f t="shared" si="91"/>
        <v>15</v>
      </c>
      <c r="OQ45" s="17">
        <f t="shared" si="91"/>
        <v>15</v>
      </c>
      <c r="OR45" s="17">
        <f t="shared" si="91"/>
        <v>15</v>
      </c>
      <c r="OS45" s="17">
        <f t="shared" si="91"/>
        <v>15</v>
      </c>
      <c r="OT45" s="17">
        <f t="shared" si="91"/>
        <v>15</v>
      </c>
      <c r="OU45" s="17">
        <f t="shared" si="91"/>
        <v>15</v>
      </c>
      <c r="OV45" s="17">
        <f t="shared" si="91"/>
        <v>15</v>
      </c>
      <c r="OW45" s="17">
        <f t="shared" si="91"/>
        <v>15</v>
      </c>
      <c r="OX45" s="17">
        <f t="shared" si="91"/>
        <v>15</v>
      </c>
      <c r="OY45" s="17">
        <f t="shared" si="91"/>
        <v>15</v>
      </c>
      <c r="OZ45" s="17">
        <f t="shared" si="91"/>
        <v>15</v>
      </c>
      <c r="PA45" s="17">
        <f t="shared" si="91"/>
        <v>15</v>
      </c>
      <c r="PB45" s="17">
        <f t="shared" si="91"/>
        <v>15</v>
      </c>
      <c r="PC45" s="17">
        <f t="shared" si="91"/>
        <v>15</v>
      </c>
      <c r="PD45" s="17">
        <f t="shared" si="91"/>
        <v>15</v>
      </c>
      <c r="PE45" s="17">
        <f t="shared" si="91"/>
        <v>15</v>
      </c>
      <c r="PF45" s="17">
        <f t="shared" si="91"/>
        <v>15</v>
      </c>
      <c r="PG45" s="17">
        <f t="shared" si="91"/>
        <v>15</v>
      </c>
    </row>
    <row r="46" spans="1:423" x14ac:dyDescent="0.25">
      <c r="A46" s="8" t="s">
        <v>5506</v>
      </c>
      <c r="B46" s="9" t="s">
        <v>25</v>
      </c>
      <c r="C46" s="9" t="str">
        <f t="shared" si="72"/>
        <v>CN2</v>
      </c>
      <c r="D46" s="1" t="str">
        <f t="shared" si="73"/>
        <v>Cadre N2</v>
      </c>
      <c r="E46" s="1" t="s">
        <v>9865</v>
      </c>
      <c r="F46" s="9" t="s">
        <v>5508</v>
      </c>
      <c r="G46" s="9">
        <v>120</v>
      </c>
      <c r="H46" s="9">
        <v>20</v>
      </c>
      <c r="I46" s="127">
        <v>3.1</v>
      </c>
      <c r="J46" s="30"/>
      <c r="K46" s="281" t="s">
        <v>5539</v>
      </c>
      <c r="L46" s="8">
        <v>5</v>
      </c>
      <c r="M46" s="9">
        <v>5</v>
      </c>
      <c r="N46" s="10">
        <v>9.9990000000000006</v>
      </c>
      <c r="O46" s="269">
        <v>1</v>
      </c>
      <c r="P46" s="331">
        <v>1</v>
      </c>
      <c r="Q46" s="335">
        <v>2</v>
      </c>
      <c r="R46" s="128"/>
      <c r="S46" s="9"/>
      <c r="T46" s="10"/>
      <c r="U46" t="s">
        <v>5523</v>
      </c>
      <c r="V46" s="17">
        <v>0</v>
      </c>
      <c r="W46" s="17">
        <f>IF(Distances[[#This Row],[Colonne4]]=$G46,V46,Distances[[#This Row],[Colonne4]]+1)</f>
        <v>1</v>
      </c>
      <c r="X46" s="17">
        <f>IF(Distances[[#This Row],[Colonne5]]=$G46,W46,Distances[[#This Row],[Colonne5]]+1)</f>
        <v>2</v>
      </c>
      <c r="Y46" s="17">
        <f>IF(Distances[[#This Row],[Colonne6]]=$G46,X46,Distances[[#This Row],[Colonne6]]+1)</f>
        <v>3</v>
      </c>
      <c r="Z46" s="17">
        <f>IF(Distances[[#This Row],[Colonne7]]=$G46,Y46,Distances[[#This Row],[Colonne7]]+1)</f>
        <v>4</v>
      </c>
      <c r="AA46" s="17">
        <f>IF(Distances[[#This Row],[Colonne8]]=$G46,Z46,Distances[[#This Row],[Colonne8]]+1)</f>
        <v>5</v>
      </c>
      <c r="AB46" s="17">
        <f>IF(Distances[[#This Row],[Colonne9]]=$G46,AA46,Distances[[#This Row],[Colonne9]]+1)</f>
        <v>6</v>
      </c>
      <c r="AC46" s="17">
        <f>IF(Distances[[#This Row],[Colonne10]]=$G46,AB46,Distances[[#This Row],[Colonne10]]+1)</f>
        <v>7</v>
      </c>
      <c r="AD46" s="17">
        <f>IF(Distances[[#This Row],[Colonne11]]=$G46,AC46,Distances[[#This Row],[Colonne11]]+1)</f>
        <v>8</v>
      </c>
      <c r="AE46" s="17">
        <f>IF(Distances[[#This Row],[Colonne12]]=$G46,AD46,Distances[[#This Row],[Colonne12]]+1)</f>
        <v>9</v>
      </c>
      <c r="AF46" s="17">
        <f>IF(Distances[[#This Row],[Colonne13]]=$G46,AE46,Distances[[#This Row],[Colonne13]]+1)</f>
        <v>10</v>
      </c>
      <c r="AG46" s="17">
        <f>IF(Distances[[#This Row],[Colonne14]]=$G46,AF46,Distances[[#This Row],[Colonne14]]+1)</f>
        <v>11</v>
      </c>
      <c r="AH46" s="17">
        <f>IF(Distances[[#This Row],[Colonne15]]=$G46,AG46,Distances[[#This Row],[Colonne15]]+1)</f>
        <v>12</v>
      </c>
      <c r="AI46" s="17">
        <f>IF(Distances[[#This Row],[Colonne16]]=$G46,AH46,Distances[[#This Row],[Colonne16]]+1)</f>
        <v>13</v>
      </c>
      <c r="AJ46" s="17">
        <f>IF(Distances[[#This Row],[Colonne17]]=$G46,AI46,Distances[[#This Row],[Colonne17]]+1)</f>
        <v>14</v>
      </c>
      <c r="AK46" s="17">
        <f>IF(Distances[[#This Row],[Colonne18]]=$G46,AJ46,Distances[[#This Row],[Colonne18]]+1)</f>
        <v>15</v>
      </c>
      <c r="AL46" s="17">
        <f>IF(Distances[[#This Row],[Colonne19]]=$G46,AK46,Distances[[#This Row],[Colonne19]]+1)</f>
        <v>16</v>
      </c>
      <c r="AM46" s="17">
        <f>IF(Distances[[#This Row],[Colonne20]]=$G46,AL46,Distances[[#This Row],[Colonne20]]+1)</f>
        <v>17</v>
      </c>
      <c r="AN46" s="17">
        <f>IF(Distances[[#This Row],[Colonne21]]=$G46,AM46,Distances[[#This Row],[Colonne21]]+1)</f>
        <v>18</v>
      </c>
      <c r="AO46" s="17">
        <f>IF(Distances[[#This Row],[Colonne22]]=$G46,AN46,Distances[[#This Row],[Colonne22]]+1)</f>
        <v>19</v>
      </c>
      <c r="AP46" s="17">
        <f>IF(Distances[[#This Row],[Colonne23]]=$G46,AO46,Distances[[#This Row],[Colonne23]]+1)</f>
        <v>20</v>
      </c>
      <c r="AQ46" s="17">
        <f>IF(Distances[[#This Row],[Colonne24]]=$G46,AP46,Distances[[#This Row],[Colonne24]]+1)</f>
        <v>21</v>
      </c>
      <c r="AR46" s="17">
        <f>IF(Distances[[#This Row],[Colonne25]]=$G46,AQ46,Distances[[#This Row],[Colonne25]]+1)</f>
        <v>22</v>
      </c>
      <c r="AS46" s="17">
        <f>IF(Distances[[#This Row],[Colonne26]]=$G46,AR46,Distances[[#This Row],[Colonne26]]+1)</f>
        <v>23</v>
      </c>
      <c r="AT46" s="17">
        <f>IF(Distances[[#This Row],[Colonne27]]=$G46,AS46,Distances[[#This Row],[Colonne27]]+1)</f>
        <v>24</v>
      </c>
      <c r="AU46" s="17">
        <f>IF(Distances[[#This Row],[Colonne28]]=$G46,AT46,Distances[[#This Row],[Colonne28]]+1)</f>
        <v>25</v>
      </c>
      <c r="AV46" s="17">
        <f>IF(Distances[[#This Row],[Colonne29]]=$G46,AU46,Distances[[#This Row],[Colonne29]]+1)</f>
        <v>26</v>
      </c>
      <c r="AW46" s="17">
        <f>IF(Distances[[#This Row],[Colonne30]]=$G46,AV46,Distances[[#This Row],[Colonne30]]+1)</f>
        <v>27</v>
      </c>
      <c r="AX46" s="17">
        <f>IF(Distances[[#This Row],[Colonne31]]=$G46,AW46,Distances[[#This Row],[Colonne31]]+1)</f>
        <v>28</v>
      </c>
      <c r="AY46" s="17">
        <f>IF(Distances[[#This Row],[Colonne32]]=$G46,AX46,Distances[[#This Row],[Colonne32]]+1)</f>
        <v>29</v>
      </c>
      <c r="AZ46" s="17">
        <f>IF(Distances[[#This Row],[Colonne33]]=$G46,AY46,Distances[[#This Row],[Colonne33]]+1)</f>
        <v>30</v>
      </c>
      <c r="BA46" s="17">
        <f>IF(Distances[[#This Row],[Colonne34]]=$G46,AZ46,Distances[[#This Row],[Colonne34]]+1)</f>
        <v>31</v>
      </c>
      <c r="BB46" s="17">
        <f>IF(Distances[[#This Row],[Colonne35]]=$G46,BA46,Distances[[#This Row],[Colonne35]]+1)</f>
        <v>32</v>
      </c>
      <c r="BC46" s="17">
        <f>IF(Distances[[#This Row],[Colonne36]]=$G46,BB46,Distances[[#This Row],[Colonne36]]+1)</f>
        <v>33</v>
      </c>
      <c r="BD46" s="17">
        <f>IF(Distances[[#This Row],[Colonne37]]=$G46,BC46,Distances[[#This Row],[Colonne37]]+1)</f>
        <v>34</v>
      </c>
      <c r="BE46" s="17">
        <f>IF(Distances[[#This Row],[Colonne38]]=$G46,BD46,Distances[[#This Row],[Colonne38]]+1)</f>
        <v>35</v>
      </c>
      <c r="BF46" s="17">
        <f>IF(Distances[[#This Row],[Colonne39]]=$G46,BE46,Distances[[#This Row],[Colonne39]]+1)</f>
        <v>36</v>
      </c>
      <c r="BG46" s="17">
        <f>IF(Distances[[#This Row],[Colonne40]]=$G46,BF46,Distances[[#This Row],[Colonne40]]+1)</f>
        <v>37</v>
      </c>
      <c r="BH46" s="17">
        <f>IF(Distances[[#This Row],[Colonne41]]=$G46,BG46,Distances[[#This Row],[Colonne41]]+1)</f>
        <v>38</v>
      </c>
      <c r="BI46" s="17">
        <f>IF(Distances[[#This Row],[Colonne42]]=$G46,BH46,Distances[[#This Row],[Colonne42]]+1)</f>
        <v>39</v>
      </c>
      <c r="BJ46" s="17">
        <f>IF(Distances[[#This Row],[Colonne43]]=$G46,BI46,Distances[[#This Row],[Colonne43]]+1)</f>
        <v>40</v>
      </c>
      <c r="BK46" s="17">
        <f>IF(Distances[[#This Row],[Colonne44]]=$G46,BJ46,Distances[[#This Row],[Colonne44]]+1)</f>
        <v>41</v>
      </c>
      <c r="BL46" s="17">
        <f>IF(Distances[[#This Row],[Colonne45]]=$G46,BK46,Distances[[#This Row],[Colonne45]]+1)</f>
        <v>42</v>
      </c>
      <c r="BM46" s="17">
        <f>IF(Distances[[#This Row],[Colonne46]]=$G46,BL46,Distances[[#This Row],[Colonne46]]+1)</f>
        <v>43</v>
      </c>
      <c r="BN46" s="17">
        <f>IF(Distances[[#This Row],[Colonne47]]=$G46,BM46,Distances[[#This Row],[Colonne47]]+1)</f>
        <v>44</v>
      </c>
      <c r="BO46" s="17">
        <f>IF(Distances[[#This Row],[Colonne48]]=$G46,BN46,Distances[[#This Row],[Colonne48]]+1)</f>
        <v>45</v>
      </c>
      <c r="BP46" s="17">
        <f>IF(Distances[[#This Row],[Colonne49]]=$G46,BO46,Distances[[#This Row],[Colonne49]]+1)</f>
        <v>46</v>
      </c>
      <c r="BQ46" s="17">
        <f>IF(Distances[[#This Row],[Colonne50]]=$G46,BP46,Distances[[#This Row],[Colonne50]]+1)</f>
        <v>47</v>
      </c>
      <c r="BR46" s="17">
        <f>IF(Distances[[#This Row],[Colonne51]]=$G46,BQ46,Distances[[#This Row],[Colonne51]]+1)</f>
        <v>48</v>
      </c>
      <c r="BS46" s="17">
        <f>IF(Distances[[#This Row],[Colonne52]]=$G46,BR46,Distances[[#This Row],[Colonne52]]+1)</f>
        <v>49</v>
      </c>
      <c r="BT46" s="17">
        <f>IF(Distances[[#This Row],[Colonne53]]=$G46,BS46,Distances[[#This Row],[Colonne53]]+1)</f>
        <v>50</v>
      </c>
      <c r="BU46" s="17">
        <f>IF(Distances[[#This Row],[Colonne54]]=$G46,BT46,Distances[[#This Row],[Colonne54]]+1)</f>
        <v>51</v>
      </c>
      <c r="BV46" s="17">
        <f>IF(Distances[[#This Row],[Colonne55]]=$G46,BU46,Distances[[#This Row],[Colonne55]]+1)</f>
        <v>52</v>
      </c>
      <c r="BW46" s="17">
        <f>IF(Distances[[#This Row],[Colonne56]]=$G46,BV46,Distances[[#This Row],[Colonne56]]+1)</f>
        <v>53</v>
      </c>
      <c r="BX46" s="17">
        <f>IF(Distances[[#This Row],[Colonne57]]=$G46,BW46,Distances[[#This Row],[Colonne57]]+1)</f>
        <v>54</v>
      </c>
      <c r="BY46" s="17">
        <f>IF(Distances[[#This Row],[Colonne58]]=$G46,BX46,Distances[[#This Row],[Colonne58]]+1)</f>
        <v>55</v>
      </c>
      <c r="BZ46" s="17">
        <f>IF(Distances[[#This Row],[Colonne59]]=$G46,BY46,Distances[[#This Row],[Colonne59]]+1)</f>
        <v>56</v>
      </c>
      <c r="CA46" s="17">
        <f>IF(Distances[[#This Row],[Colonne60]]=$G46,BZ46,Distances[[#This Row],[Colonne60]]+1)</f>
        <v>57</v>
      </c>
      <c r="CB46" s="17">
        <f>IF(Distances[[#This Row],[Colonne61]]=$G46,CA46,Distances[[#This Row],[Colonne61]]+1)</f>
        <v>58</v>
      </c>
      <c r="CC46" s="17">
        <f>IF(Distances[[#This Row],[Colonne62]]=$G46,CB46,Distances[[#This Row],[Colonne62]]+1)</f>
        <v>59</v>
      </c>
      <c r="CD46" s="17">
        <f>IF(Distances[[#This Row],[Colonne63]]=$G46,CC46,Distances[[#This Row],[Colonne63]]+1)</f>
        <v>60</v>
      </c>
      <c r="CE46" s="17">
        <f>IF(Distances[[#This Row],[Colonne64]]=$G46,CD46,Distances[[#This Row],[Colonne64]]+1)</f>
        <v>61</v>
      </c>
      <c r="CF46" s="17">
        <f>IF(Distances[[#This Row],[Colonne65]]=$G46,CE46,Distances[[#This Row],[Colonne65]]+1)</f>
        <v>62</v>
      </c>
      <c r="CG46" s="17">
        <f>IF(Distances[[#This Row],[Colonne66]]=$G46,CF46,Distances[[#This Row],[Colonne66]]+1)</f>
        <v>63</v>
      </c>
      <c r="CH46" s="17">
        <f>IF(Distances[[#This Row],[Colonne67]]=$G46,CG46,Distances[[#This Row],[Colonne67]]+1)</f>
        <v>64</v>
      </c>
      <c r="CI46" s="17">
        <f>IF(Distances[[#This Row],[Colonne68]]=$G46,CH46,Distances[[#This Row],[Colonne68]]+1)</f>
        <v>65</v>
      </c>
      <c r="CJ46" s="17">
        <f>IF(Distances[[#This Row],[Colonne69]]=$G46,CI46,Distances[[#This Row],[Colonne69]]+1)</f>
        <v>66</v>
      </c>
      <c r="CK46" s="17">
        <f>IF(Distances[[#This Row],[Colonne70]]=$G46,CJ46,Distances[[#This Row],[Colonne70]]+1)</f>
        <v>67</v>
      </c>
      <c r="CL46" s="17">
        <f>IF(Distances[[#This Row],[Colonne71]]=$G46,CK46,Distances[[#This Row],[Colonne71]]+1)</f>
        <v>68</v>
      </c>
      <c r="CM46" s="17">
        <f>IF(Distances[[#This Row],[Colonne72]]=$G46,CL46,Distances[[#This Row],[Colonne72]]+1)</f>
        <v>69</v>
      </c>
      <c r="CN46" s="17">
        <f>IF(Distances[[#This Row],[Colonne73]]=$G46,CM46,Distances[[#This Row],[Colonne73]]+1)</f>
        <v>70</v>
      </c>
      <c r="CO46" s="17">
        <f>IF(Distances[[#This Row],[Colonne74]]=$G46,CN46,Distances[[#This Row],[Colonne74]]+1)</f>
        <v>71</v>
      </c>
      <c r="CP46" s="17">
        <f>IF(Distances[[#This Row],[Colonne75]]=$G46,CO46,Distances[[#This Row],[Colonne75]]+1)</f>
        <v>72</v>
      </c>
      <c r="CQ46" s="17">
        <f>IF(Distances[[#This Row],[Colonne76]]=$G46,CP46,Distances[[#This Row],[Colonne76]]+1)</f>
        <v>73</v>
      </c>
      <c r="CR46" s="17">
        <f>IF(Distances[[#This Row],[Colonne77]]=$G46,CQ46,Distances[[#This Row],[Colonne77]]+1)</f>
        <v>74</v>
      </c>
      <c r="CS46" s="17">
        <f>IF(Distances[[#This Row],[Colonne78]]=$G46,CR46,Distances[[#This Row],[Colonne78]]+1)</f>
        <v>75</v>
      </c>
      <c r="CT46" s="17">
        <f>IF(Distances[[#This Row],[Colonne79]]=$G46,CS46,Distances[[#This Row],[Colonne79]]+1)</f>
        <v>76</v>
      </c>
      <c r="CU46" s="17">
        <f>IF(Distances[[#This Row],[Colonne80]]=$G46,CT46,Distances[[#This Row],[Colonne80]]+1)</f>
        <v>77</v>
      </c>
      <c r="CV46" s="17">
        <f>IF(Distances[[#This Row],[Colonne81]]=$G46,CU46,Distances[[#This Row],[Colonne81]]+1)</f>
        <v>78</v>
      </c>
      <c r="CW46" s="17">
        <f>IF(Distances[[#This Row],[Colonne82]]=$G46,CV46,Distances[[#This Row],[Colonne82]]+1)</f>
        <v>79</v>
      </c>
      <c r="CX46" s="17">
        <f>IF(Distances[[#This Row],[Colonne83]]=$G46,CW46,Distances[[#This Row],[Colonne83]]+1)</f>
        <v>80</v>
      </c>
      <c r="CY46" s="17">
        <f>IF(Distances[[#This Row],[Colonne84]]=$G46,CX46,Distances[[#This Row],[Colonne84]]+1)</f>
        <v>81</v>
      </c>
      <c r="CZ46" s="17">
        <f>IF(Distances[[#This Row],[Colonne85]]=$G46,CY46,Distances[[#This Row],[Colonne85]]+1)</f>
        <v>82</v>
      </c>
      <c r="DA46" s="17">
        <f>IF(Distances[[#This Row],[Colonne86]]=$G46,CZ46,Distances[[#This Row],[Colonne86]]+1)</f>
        <v>83</v>
      </c>
      <c r="DB46" s="17">
        <f>IF(Distances[[#This Row],[Colonne87]]=$G46,DA46,Distances[[#This Row],[Colonne87]]+1)</f>
        <v>84</v>
      </c>
      <c r="DC46" s="17">
        <f>IF(Distances[[#This Row],[Colonne88]]=$G46,DB46,Distances[[#This Row],[Colonne88]]+1)</f>
        <v>85</v>
      </c>
      <c r="DD46" s="17">
        <f>IF(Distances[[#This Row],[Colonne89]]=$G46,DC46,Distances[[#This Row],[Colonne89]]+1)</f>
        <v>86</v>
      </c>
      <c r="DE46" s="17">
        <f>IF(Distances[[#This Row],[Colonne90]]=$G46,DD46,Distances[[#This Row],[Colonne90]]+1)</f>
        <v>87</v>
      </c>
      <c r="DF46" s="17">
        <f>IF(Distances[[#This Row],[Colonne91]]=$G46,DE46,Distances[[#This Row],[Colonne91]]+1)</f>
        <v>88</v>
      </c>
      <c r="DG46" s="17">
        <f>IF(Distances[[#This Row],[Colonne92]]=$G46,DF46,Distances[[#This Row],[Colonne92]]+1)</f>
        <v>89</v>
      </c>
      <c r="DH46" s="17">
        <f>IF(Distances[[#This Row],[Colonne93]]=$G46,DG46,Distances[[#This Row],[Colonne93]]+1)</f>
        <v>90</v>
      </c>
      <c r="DI46" s="17">
        <f>IF(Distances[[#This Row],[Colonne94]]=$G46,DH46,Distances[[#This Row],[Colonne94]]+1)</f>
        <v>91</v>
      </c>
      <c r="DJ46" s="17">
        <f>IF(Distances[[#This Row],[Colonne95]]=$G46,DI46,Distances[[#This Row],[Colonne95]]+1)</f>
        <v>92</v>
      </c>
      <c r="DK46" s="17">
        <f>IF(Distances[[#This Row],[Colonne96]]=$G46,DJ46,Distances[[#This Row],[Colonne96]]+1)</f>
        <v>93</v>
      </c>
      <c r="DL46" s="17">
        <f>IF(Distances[[#This Row],[Colonne97]]=$G46,DK46,Distances[[#This Row],[Colonne97]]+1)</f>
        <v>94</v>
      </c>
      <c r="DM46" s="17">
        <f>IF(Distances[[#This Row],[Colonne98]]=$G46,DL46,Distances[[#This Row],[Colonne98]]+1)</f>
        <v>95</v>
      </c>
      <c r="DN46" s="17">
        <f>IF(Distances[[#This Row],[Colonne99]]=$G46,DM46,Distances[[#This Row],[Colonne99]]+1)</f>
        <v>96</v>
      </c>
      <c r="DO46" s="17">
        <f>IF(Distances[[#This Row],[Colonne100]]=$G46,DN46,Distances[[#This Row],[Colonne100]]+1)</f>
        <v>97</v>
      </c>
      <c r="DP46" s="17">
        <f>IF(Distances[[#This Row],[Colonne101]]=$G46,DO46,Distances[[#This Row],[Colonne101]]+1)</f>
        <v>98</v>
      </c>
      <c r="DQ46" s="17">
        <f>IF(Distances[[#This Row],[Colonne102]]=$G46,DP46,Distances[[#This Row],[Colonne102]]+1)</f>
        <v>99</v>
      </c>
      <c r="DR46" s="17">
        <f>IF(Distances[[#This Row],[Colonne103]]=$G46,DQ46,Distances[[#This Row],[Colonne103]]+1)</f>
        <v>100</v>
      </c>
      <c r="DS46" s="17">
        <f>IF(Distances[[#This Row],[Colonne104]]=$G46,DR46,Distances[[#This Row],[Colonne104]]+1)</f>
        <v>101</v>
      </c>
      <c r="DT46" s="17">
        <f>IF(Distances[[#This Row],[Colonne105]]=$G46,DS46,Distances[[#This Row],[Colonne105]]+1)</f>
        <v>102</v>
      </c>
      <c r="DU46" s="17">
        <f>IF(Distances[[#This Row],[Colonne106]]=$G46,DT46,Distances[[#This Row],[Colonne106]]+1)</f>
        <v>103</v>
      </c>
      <c r="DV46" s="17">
        <f>IF(Distances[[#This Row],[Colonne107]]=$G46,DU46,Distances[[#This Row],[Colonne107]]+1)</f>
        <v>104</v>
      </c>
      <c r="DW46" s="17">
        <f>IF(Distances[[#This Row],[Colonne108]]=$G46,DV46,Distances[[#This Row],[Colonne108]]+1)</f>
        <v>105</v>
      </c>
      <c r="DX46" s="17">
        <f>IF(Distances[[#This Row],[Colonne109]]=$G46,DW46,Distances[[#This Row],[Colonne109]]+1)</f>
        <v>106</v>
      </c>
      <c r="DY46" s="17">
        <f>IF(Distances[[#This Row],[Colonne110]]=$G46,DX46,Distances[[#This Row],[Colonne110]]+1)</f>
        <v>107</v>
      </c>
      <c r="DZ46" s="17">
        <f>IF(Distances[[#This Row],[Colonne111]]=$G46,DY46,Distances[[#This Row],[Colonne111]]+1)</f>
        <v>108</v>
      </c>
      <c r="EA46" s="17">
        <f>IF(Distances[[#This Row],[Colonne112]]=$G46,DZ46,Distances[[#This Row],[Colonne112]]+1)</f>
        <v>109</v>
      </c>
      <c r="EB46" s="17">
        <f>IF(Distances[[#This Row],[Colonne113]]=$G46,EA46,Distances[[#This Row],[Colonne113]]+1)</f>
        <v>110</v>
      </c>
      <c r="EC46" s="17">
        <f>IF(Distances[[#This Row],[Colonne114]]=$G46,EB46,Distances[[#This Row],[Colonne114]]+1)</f>
        <v>111</v>
      </c>
      <c r="ED46" s="17">
        <f>IF(Distances[[#This Row],[Colonne115]]=$G46,EC46,Distances[[#This Row],[Colonne115]]+1)</f>
        <v>112</v>
      </c>
      <c r="EE46" s="17">
        <f>IF(Distances[[#This Row],[Colonne116]]=$G46,ED46,Distances[[#This Row],[Colonne116]]+1)</f>
        <v>113</v>
      </c>
      <c r="EF46" s="17">
        <f>IF(Distances[[#This Row],[Colonne117]]=$G46,EE46,Distances[[#This Row],[Colonne117]]+1)</f>
        <v>114</v>
      </c>
      <c r="EG46" s="17">
        <f>IF(Distances[[#This Row],[Colonne118]]=$G46,EF46,Distances[[#This Row],[Colonne118]]+1)</f>
        <v>115</v>
      </c>
      <c r="EH46" s="17">
        <f>IF(Distances[[#This Row],[Colonne119]]=$G46,EG46,Distances[[#This Row],[Colonne119]]+1)</f>
        <v>116</v>
      </c>
      <c r="EI46" s="17">
        <f>IF(Distances[[#This Row],[Colonne120]]=$G46,EH46,Distances[[#This Row],[Colonne120]]+1)</f>
        <v>117</v>
      </c>
      <c r="EJ46" s="17">
        <f>IF(Distances[[#This Row],[Colonne121]]=$G46,EI46,Distances[[#This Row],[Colonne121]]+1)</f>
        <v>118</v>
      </c>
      <c r="EK46" s="17">
        <f>IF(Distances[[#This Row],[Colonne122]]=$G46,EJ46,Distances[[#This Row],[Colonne122]]+1)</f>
        <v>119</v>
      </c>
      <c r="EL46" s="17">
        <f>IF(Distances[[#This Row],[Colonne123]]=$G46,EK46,Distances[[#This Row],[Colonne123]]+1)</f>
        <v>120</v>
      </c>
      <c r="EM46" s="17">
        <f>IF(Distances[[#This Row],[Colonne124]]=$G46,EL46,Distances[[#This Row],[Colonne124]]+1)</f>
        <v>120</v>
      </c>
      <c r="EN46" s="17">
        <f>IF(Distances[[#This Row],[Colonne125]]=$G46,EM46,Distances[[#This Row],[Colonne125]]+1)</f>
        <v>120</v>
      </c>
      <c r="EO46" s="17">
        <f>IF(Distances[[#This Row],[Colonne126]]=$G46,EN46,Distances[[#This Row],[Colonne126]]+1)</f>
        <v>120</v>
      </c>
      <c r="EP46" s="17">
        <f>IF(Distances[[#This Row],[Colonne127]]=$G46,EO46,Distances[[#This Row],[Colonne127]]+1)</f>
        <v>120</v>
      </c>
      <c r="EQ46" s="17">
        <f>IF(Distances[[#This Row],[Colonne128]]=$G46,EP46,Distances[[#This Row],[Colonne128]]+1)</f>
        <v>120</v>
      </c>
      <c r="ER46" s="17">
        <f>IF(Distances[[#This Row],[Colonne129]]=$G46,EQ46,Distances[[#This Row],[Colonne129]]+1)</f>
        <v>120</v>
      </c>
      <c r="ES46" s="17">
        <f>IF(Distances[[#This Row],[Colonne130]]=$G46,ER46,Distances[[#This Row],[Colonne130]]+1)</f>
        <v>120</v>
      </c>
      <c r="ET46" s="17">
        <f>IF(Distances[[#This Row],[Colonne131]]=$G46,ES46,Distances[[#This Row],[Colonne131]]+1)</f>
        <v>120</v>
      </c>
      <c r="EU46" s="17">
        <f>IF(Distances[[#This Row],[Colonne132]]=$G46,ET46,Distances[[#This Row],[Colonne132]]+1)</f>
        <v>120</v>
      </c>
      <c r="EV46" s="17">
        <f>IF(Distances[[#This Row],[Colonne133]]=$G46,EU46,Distances[[#This Row],[Colonne133]]+1)</f>
        <v>120</v>
      </c>
      <c r="EW46" s="17">
        <f>IF(Distances[[#This Row],[Colonne134]]=$G46,EV46,Distances[[#This Row],[Colonne134]]+1)</f>
        <v>120</v>
      </c>
      <c r="EX46" s="17">
        <f>IF(Distances[[#This Row],[Colonne135]]=$G46,EW46,Distances[[#This Row],[Colonne135]]+1)</f>
        <v>120</v>
      </c>
      <c r="EY46" s="17">
        <f>IF(Distances[[#This Row],[Colonne136]]=$G46,EX46,Distances[[#This Row],[Colonne136]]+1)</f>
        <v>120</v>
      </c>
      <c r="EZ46" s="17">
        <f>IF(Distances[[#This Row],[Colonne137]]=$G46,EY46,Distances[[#This Row],[Colonne137]]+1)</f>
        <v>120</v>
      </c>
      <c r="FA46" s="17">
        <f>IF(Distances[[#This Row],[Colonne138]]=$G46,EZ46,Distances[[#This Row],[Colonne138]]+1)</f>
        <v>120</v>
      </c>
      <c r="FB46" s="17">
        <f>IF(Distances[[#This Row],[Colonne139]]=$G46,FA46,Distances[[#This Row],[Colonne139]]+1)</f>
        <v>120</v>
      </c>
      <c r="FC46" s="17">
        <f>IF(Distances[[#This Row],[Colonne140]]=$G46,FB46,Distances[[#This Row],[Colonne140]]+1)</f>
        <v>120</v>
      </c>
      <c r="FD46" s="17">
        <f>IF(Distances[[#This Row],[Colonne141]]=$G46,FC46,Distances[[#This Row],[Colonne141]]+1)</f>
        <v>120</v>
      </c>
      <c r="FE46" s="17">
        <f>IF(Distances[[#This Row],[Colonne142]]=$G46,FD46,Distances[[#This Row],[Colonne142]]+1)</f>
        <v>120</v>
      </c>
      <c r="FF46" s="17">
        <f>IF(Distances[[#This Row],[Colonne143]]=$G46,FE46,Distances[[#This Row],[Colonne143]]+1)</f>
        <v>120</v>
      </c>
      <c r="FG46" s="17">
        <f>IF(Distances[[#This Row],[Colonne144]]=$G46,FF46,Distances[[#This Row],[Colonne144]]+1)</f>
        <v>120</v>
      </c>
      <c r="FH46" s="17">
        <f>IF(Distances[[#This Row],[Colonne145]]=$G46,FG46,Distances[[#This Row],[Colonne145]]+1)</f>
        <v>120</v>
      </c>
      <c r="FI46" s="17">
        <f>IF(Distances[[#This Row],[Colonne146]]=$G46,FH46,Distances[[#This Row],[Colonne146]]+1)</f>
        <v>120</v>
      </c>
      <c r="FJ46" s="17">
        <f>IF(Distances[[#This Row],[Colonne147]]=$G46,FI46,Distances[[#This Row],[Colonne147]]+1)</f>
        <v>120</v>
      </c>
      <c r="FK46" s="17">
        <f>IF(Distances[[#This Row],[Colonne148]]=$G46,FJ46,Distances[[#This Row],[Colonne148]]+1)</f>
        <v>120</v>
      </c>
      <c r="FL46" s="17">
        <f>IF(Distances[[#This Row],[Colonne149]]=$G46,FK46,Distances[[#This Row],[Colonne149]]+1)</f>
        <v>120</v>
      </c>
      <c r="FM46" s="17">
        <f>IF(Distances[[#This Row],[Colonne150]]=$G46,FL46,Distances[[#This Row],[Colonne150]]+1)</f>
        <v>120</v>
      </c>
      <c r="FN46" s="17">
        <f>IF(Distances[[#This Row],[Colonne151]]=$G46,FM46,Distances[[#This Row],[Colonne151]]+1)</f>
        <v>120</v>
      </c>
      <c r="FO46" s="17">
        <f>IF(Distances[[#This Row],[Colonne152]]=$G46,FN46,Distances[[#This Row],[Colonne152]]+1)</f>
        <v>120</v>
      </c>
      <c r="FP46" s="17">
        <f>IF(Distances[[#This Row],[Colonne153]]=$G46,FO46,Distances[[#This Row],[Colonne153]]+1)</f>
        <v>120</v>
      </c>
      <c r="FQ46" s="17">
        <f>IF(Distances[[#This Row],[Colonne154]]=$G46,FP46,Distances[[#This Row],[Colonne154]]+1)</f>
        <v>120</v>
      </c>
      <c r="FR46" s="17">
        <f>IF(Distances[[#This Row],[Colonne155]]=$G46,FQ46,Distances[[#This Row],[Colonne155]]+1)</f>
        <v>120</v>
      </c>
      <c r="FS46" s="17">
        <f>IF(Distances[[#This Row],[Colonne156]]=$G46,FR46,Distances[[#This Row],[Colonne156]]+1)</f>
        <v>120</v>
      </c>
      <c r="FT46" s="17">
        <f>IF(Distances[[#This Row],[Colonne157]]=$G46,FS46,Distances[[#This Row],[Colonne157]]+1)</f>
        <v>120</v>
      </c>
      <c r="FU46" s="17">
        <f>IF(Distances[[#This Row],[Colonne158]]=$G46,FT46,Distances[[#This Row],[Colonne158]]+1)</f>
        <v>120</v>
      </c>
      <c r="FV46" s="17">
        <f>IF(Distances[[#This Row],[Colonne159]]=$G46,FU46,Distances[[#This Row],[Colonne159]]+1)</f>
        <v>120</v>
      </c>
      <c r="FW46" s="17">
        <f>IF(Distances[[#This Row],[Colonne160]]=$G46,FV46,Distances[[#This Row],[Colonne160]]+1)</f>
        <v>120</v>
      </c>
      <c r="FX46" s="17">
        <f>IF(Distances[[#This Row],[Colonne161]]=$G46,FW46,Distances[[#This Row],[Colonne161]]+1)</f>
        <v>120</v>
      </c>
      <c r="FY46" s="17">
        <f>IF(Distances[[#This Row],[Colonne162]]=$G46,FX46,Distances[[#This Row],[Colonne162]]+1)</f>
        <v>120</v>
      </c>
      <c r="FZ46" s="17">
        <f>IF(Distances[[#This Row],[Colonne163]]=$G46,FY46,Distances[[#This Row],[Colonne163]]+1)</f>
        <v>120</v>
      </c>
      <c r="GA46" s="17">
        <f>IF(Distances[[#This Row],[Colonne164]]=$G46,FZ46,Distances[[#This Row],[Colonne164]]+1)</f>
        <v>120</v>
      </c>
      <c r="GB46" s="17">
        <f>IF(Distances[[#This Row],[Colonne165]]=$G46,GA46,Distances[[#This Row],[Colonne165]]+1)</f>
        <v>120</v>
      </c>
      <c r="GC46" s="17">
        <f>IF(Distances[[#This Row],[Colonne166]]=$G46,GB46,Distances[[#This Row],[Colonne166]]+1)</f>
        <v>120</v>
      </c>
      <c r="GD46" s="17">
        <f>IF(Distances[[#This Row],[Colonne167]]=$G46,GC46,Distances[[#This Row],[Colonne167]]+1)</f>
        <v>120</v>
      </c>
      <c r="GE46" s="17">
        <f>IF(Distances[[#This Row],[Colonne168]]=$G46,GD46,Distances[[#This Row],[Colonne168]]+1)</f>
        <v>120</v>
      </c>
      <c r="GF46" s="17">
        <f>IF(Distances[[#This Row],[Colonne169]]=$G46,GE46,Distances[[#This Row],[Colonne169]]+1)</f>
        <v>120</v>
      </c>
      <c r="GG46" s="17">
        <f>IF(Distances[[#This Row],[Colonne170]]=$G46,GF46,Distances[[#This Row],[Colonne170]]+1)</f>
        <v>120</v>
      </c>
      <c r="GH46" s="17">
        <f>IF(Distances[[#This Row],[Colonne171]]=$G46,GG46,Distances[[#This Row],[Colonne171]]+1)</f>
        <v>120</v>
      </c>
      <c r="GI46" s="17">
        <f>IF(Distances[[#This Row],[Colonne172]]=$G46,GH46,Distances[[#This Row],[Colonne172]]+1)</f>
        <v>120</v>
      </c>
      <c r="GJ46" s="17">
        <f>IF(Distances[[#This Row],[Colonne173]]=$G46,GI46,Distances[[#This Row],[Colonne173]]+1)</f>
        <v>120</v>
      </c>
      <c r="GK46" s="17">
        <f>IF(Distances[[#This Row],[Colonne174]]=$G46,GJ46,Distances[[#This Row],[Colonne174]]+1)</f>
        <v>120</v>
      </c>
      <c r="GL46" s="17">
        <f>IF(Distances[[#This Row],[Colonne175]]=$G46,GK46,Distances[[#This Row],[Colonne175]]+1)</f>
        <v>120</v>
      </c>
      <c r="GM46" s="17">
        <f>IF(Distances[[#This Row],[Colonne176]]=$G46,GL46,Distances[[#This Row],[Colonne176]]+1)</f>
        <v>120</v>
      </c>
      <c r="GN46" s="17">
        <f>IF(Distances[[#This Row],[Colonne177]]=$G46,GM46,Distances[[#This Row],[Colonne177]]+1)</f>
        <v>120</v>
      </c>
      <c r="GO46" s="17">
        <f>IF(Distances[[#This Row],[Colonne178]]=$G46,GN46,Distances[[#This Row],[Colonne178]]+1)</f>
        <v>120</v>
      </c>
      <c r="GP46" s="17">
        <f>IF(Distances[[#This Row],[Colonne179]]=$G46,GO46,Distances[[#This Row],[Colonne179]]+1)</f>
        <v>120</v>
      </c>
      <c r="GQ46" s="17">
        <f>IF(Distances[[#This Row],[Colonne180]]=$G46,GP46,Distances[[#This Row],[Colonne180]]+1)</f>
        <v>120</v>
      </c>
      <c r="GR46" s="17">
        <f>IF(Distances[[#This Row],[Colonne181]]=$G46,GQ46,Distances[[#This Row],[Colonne181]]+1)</f>
        <v>120</v>
      </c>
      <c r="GS46" s="17">
        <f>IF(Distances[[#This Row],[Colonne182]]=$G46,GR46,Distances[[#This Row],[Colonne182]]+1)</f>
        <v>120</v>
      </c>
      <c r="GT46" s="17">
        <f>IF(Distances[[#This Row],[Colonne183]]=$G46,GS46,Distances[[#This Row],[Colonne183]]+1)</f>
        <v>120</v>
      </c>
      <c r="GU46" s="17">
        <f>IF(Distances[[#This Row],[Colonne184]]=$G46,GT46,Distances[[#This Row],[Colonne184]]+1)</f>
        <v>120</v>
      </c>
      <c r="GV46" s="17">
        <f>IF(Distances[[#This Row],[Colonne185]]=$G46,GU46,Distances[[#This Row],[Colonne185]]+1)</f>
        <v>120</v>
      </c>
      <c r="GW46" s="17">
        <f>IF(Distances[[#This Row],[Colonne186]]=$G46,GV46,Distances[[#This Row],[Colonne186]]+1)</f>
        <v>120</v>
      </c>
      <c r="GX46" s="17">
        <f>IF(Distances[[#This Row],[Colonne187]]=$G46,GW46,Distances[[#This Row],[Colonne187]]+1)</f>
        <v>120</v>
      </c>
      <c r="GY46" s="17">
        <f>IF(Distances[[#This Row],[Colonne188]]=$G46,GX46,Distances[[#This Row],[Colonne188]]+1)</f>
        <v>120</v>
      </c>
      <c r="GZ46" s="17">
        <f>IF(Distances[[#This Row],[Colonne189]]=$G46,GY46,Distances[[#This Row],[Colonne189]]+1)</f>
        <v>120</v>
      </c>
      <c r="HA46" s="17">
        <f>IF(Distances[[#This Row],[Colonne190]]=$G46,GZ46,Distances[[#This Row],[Colonne190]]+1)</f>
        <v>120</v>
      </c>
      <c r="HB46" s="17">
        <f>IF(Distances[[#This Row],[Colonne191]]=$G46,HA46,Distances[[#This Row],[Colonne191]]+1)</f>
        <v>120</v>
      </c>
      <c r="HC46" s="17">
        <f>IF(Distances[[#This Row],[Colonne192]]=$G46,HB46,Distances[[#This Row],[Colonne192]]+1)</f>
        <v>120</v>
      </c>
      <c r="HD46" s="17">
        <f>IF(Distances[[#This Row],[Colonne193]]=$G46,HC46,Distances[[#This Row],[Colonne193]]+1)</f>
        <v>120</v>
      </c>
      <c r="HE46" s="17">
        <f>IF(Distances[[#This Row],[Colonne194]]=$G46,HD46,Distances[[#This Row],[Colonne194]]+1)</f>
        <v>120</v>
      </c>
      <c r="HF46" s="17">
        <f>IF(Distances[[#This Row],[Colonne195]]=$G46,HE46,Distances[[#This Row],[Colonne195]]+1)</f>
        <v>120</v>
      </c>
      <c r="HG46" s="17">
        <f>IF(Distances[[#This Row],[Colonne196]]=$G46,HF46,Distances[[#This Row],[Colonne196]]+1)</f>
        <v>120</v>
      </c>
      <c r="HH46" s="17">
        <f>IF(Distances[[#This Row],[Colonne197]]=$G46,HG46,Distances[[#This Row],[Colonne197]]+1)</f>
        <v>120</v>
      </c>
      <c r="HI46" s="17">
        <f>IF(Distances[[#This Row],[Colonne198]]=$G46,HH46,Distances[[#This Row],[Colonne198]]+1)</f>
        <v>120</v>
      </c>
      <c r="HJ46" s="17">
        <f>IF(Distances[[#This Row],[Colonne199]]=$G46,HI46,Distances[[#This Row],[Colonne199]]+1)</f>
        <v>120</v>
      </c>
      <c r="HK46" s="17">
        <f>IF(Distances[[#This Row],[Colonne200]]=$G46,HJ46,Distances[[#This Row],[Colonne200]]+1)</f>
        <v>120</v>
      </c>
      <c r="HL46" s="17">
        <f>IF(Distances[[#This Row],[Colonne201]]=$G46,HK46,Distances[[#This Row],[Colonne201]]+1)</f>
        <v>120</v>
      </c>
      <c r="HM46" s="17">
        <f>IF(Distances[[#This Row],[Colonne202]]=$G46,HL46,Distances[[#This Row],[Colonne202]]+1)</f>
        <v>120</v>
      </c>
      <c r="HN46" s="17">
        <f>IF(Distances[[#This Row],[Colonne203]]=$G46,HM46,Distances[[#This Row],[Colonne203]]+1)</f>
        <v>120</v>
      </c>
      <c r="HO46" s="17">
        <f>IF(Distances[[#This Row],[Colonne204]]=$G46,HN46,Distances[[#This Row],[Colonne204]]+1)</f>
        <v>120</v>
      </c>
      <c r="HP46" s="17">
        <f>IF(Distances[[#This Row],[Colonne205]]=$G46,HO46,Distances[[#This Row],[Colonne205]]+1)</f>
        <v>120</v>
      </c>
      <c r="HQ46" s="17">
        <f>IF(Distances[[#This Row],[Colonne206]]=$G46,HP46,Distances[[#This Row],[Colonne206]]+1)</f>
        <v>120</v>
      </c>
      <c r="HR46" s="17">
        <f>IF(Distances[[#This Row],[Colonne207]]=$G46,HQ46,Distances[[#This Row],[Colonne207]]+1)</f>
        <v>120</v>
      </c>
      <c r="HS46" s="17">
        <f>IF(Distances[[#This Row],[Colonne208]]=$G46,HR46,Distances[[#This Row],[Colonne208]]+1)</f>
        <v>120</v>
      </c>
      <c r="HT46" s="17">
        <f>IF(Distances[[#This Row],[Colonne209]]=$G46,HS46,Distances[[#This Row],[Colonne209]]+1)</f>
        <v>120</v>
      </c>
      <c r="HU46" s="17">
        <f>IF(Distances[[#This Row],[Colonne210]]=$G46,HT46,Distances[[#This Row],[Colonne210]]+1)</f>
        <v>120</v>
      </c>
      <c r="HV46" s="17">
        <f>IF(Distances[[#This Row],[Colonne211]]=$G46,HU46,Distances[[#This Row],[Colonne211]]+1)</f>
        <v>120</v>
      </c>
      <c r="HW46" s="17">
        <f>IF(Distances[[#This Row],[Colonne212]]=$G46,HV46,Distances[[#This Row],[Colonne212]]+1)</f>
        <v>120</v>
      </c>
      <c r="HX46" s="17">
        <f>IF(Distances[[#This Row],[Colonne213]]=$G46,HW46,Distances[[#This Row],[Colonne213]]+1)</f>
        <v>120</v>
      </c>
      <c r="HY46" s="17">
        <f>IF(Distances[[#This Row],[Colonne214]]=$G46,HX46,Distances[[#This Row],[Colonne214]]+1)</f>
        <v>120</v>
      </c>
      <c r="HZ46" s="17">
        <f>IF(Distances[[#This Row],[Colonne215]]=$G46,HY46,Distances[[#This Row],[Colonne215]]+1)</f>
        <v>120</v>
      </c>
      <c r="IA46" s="17">
        <f>IF(Distances[[#This Row],[Colonne216]]=$G46,HZ46,Distances[[#This Row],[Colonne216]]+1)</f>
        <v>120</v>
      </c>
      <c r="IB46" s="17">
        <f>IF(Distances[[#This Row],[Colonne217]]=$G46,IA46,Distances[[#This Row],[Colonne217]]+1)</f>
        <v>120</v>
      </c>
      <c r="IC46" s="17">
        <f>IF(Distances[[#This Row],[Colonne218]]=$G46,IB46,Distances[[#This Row],[Colonne218]]+1)</f>
        <v>120</v>
      </c>
      <c r="ID46" s="17">
        <f>IF(Distances[[#This Row],[Colonne219]]=$G46,IC46,Distances[[#This Row],[Colonne219]]+1)</f>
        <v>120</v>
      </c>
      <c r="IE46" s="17">
        <f>IF(Distances[[#This Row],[Colonne220]]=$G46,ID46,Distances[[#This Row],[Colonne220]]+1)</f>
        <v>120</v>
      </c>
      <c r="IF46" s="17">
        <f>IF(Distances[[#This Row],[Colonne221]]=$G46,IE46,Distances[[#This Row],[Colonne221]]+1)</f>
        <v>120</v>
      </c>
      <c r="IG46" s="17">
        <f>IF(Distances[[#This Row],[Colonne222]]=$G46,IF46,Distances[[#This Row],[Colonne222]]+1)</f>
        <v>120</v>
      </c>
      <c r="IH46" s="17">
        <f>IF(Distances[[#This Row],[Colonne223]]=$G46,IG46,Distances[[#This Row],[Colonne223]]+1)</f>
        <v>120</v>
      </c>
      <c r="II46" s="17">
        <f>IF(Distances[[#This Row],[Colonne224]]=$G46,IH46,Distances[[#This Row],[Colonne224]]+1)</f>
        <v>120</v>
      </c>
      <c r="IJ46" s="17">
        <f>IF(Distances[[#This Row],[Colonne225]]=$G46,II46,Distances[[#This Row],[Colonne225]]+1)</f>
        <v>120</v>
      </c>
      <c r="IK46" s="17">
        <f>IF(Distances[[#This Row],[Colonne226]]=$G46,IJ46,Distances[[#This Row],[Colonne226]]+1)</f>
        <v>120</v>
      </c>
      <c r="IL46" s="17">
        <f>IF(Distances[[#This Row],[Colonne227]]=$G46,IK46,Distances[[#This Row],[Colonne227]]+1)</f>
        <v>120</v>
      </c>
      <c r="IM46" s="17">
        <f>IF(Distances[[#This Row],[Colonne228]]=$G46,IL46,Distances[[#This Row],[Colonne228]]+1)</f>
        <v>120</v>
      </c>
      <c r="IN46" s="17">
        <f>IF(Distances[[#This Row],[Colonne229]]=$G46,IM46,Distances[[#This Row],[Colonne229]]+1)</f>
        <v>120</v>
      </c>
      <c r="IO46" s="17">
        <f>IF(Distances[[#This Row],[Colonne230]]=$G46,IN46,Distances[[#This Row],[Colonne230]]+1)</f>
        <v>120</v>
      </c>
      <c r="IP46" s="17">
        <f>IF(Distances[[#This Row],[Colonne231]]=$G46,IO46,Distances[[#This Row],[Colonne231]]+1)</f>
        <v>120</v>
      </c>
      <c r="IQ46" s="17">
        <f>IF(Distances[[#This Row],[Colonne232]]=$G46,IP46,Distances[[#This Row],[Colonne232]]+1)</f>
        <v>120</v>
      </c>
      <c r="IR46" s="17">
        <f>IF(Distances[[#This Row],[Colonne233]]=$G46,IQ46,Distances[[#This Row],[Colonne233]]+1)</f>
        <v>120</v>
      </c>
      <c r="IS46" s="17">
        <f>IF(Distances[[#This Row],[Colonne234]]=$G46,IR46,Distances[[#This Row],[Colonne234]]+1)</f>
        <v>120</v>
      </c>
      <c r="IT46" s="17">
        <f>IF(Distances[[#This Row],[Colonne235]]=$G46,IS46,Distances[[#This Row],[Colonne235]]+1)</f>
        <v>120</v>
      </c>
      <c r="IU46" s="17">
        <f>IF(Distances[[#This Row],[Colonne236]]=$G46,IT46,Distances[[#This Row],[Colonne236]]+1)</f>
        <v>120</v>
      </c>
      <c r="IV46" s="17">
        <f>IF(Distances[[#This Row],[Colonne237]]=$G46,IU46,Distances[[#This Row],[Colonne237]]+1)</f>
        <v>120</v>
      </c>
      <c r="IW46" s="17">
        <f>IF(Distances[[#This Row],[Colonne238]]=$G46,IV46,Distances[[#This Row],[Colonne238]]+1)</f>
        <v>120</v>
      </c>
      <c r="IX46" s="17">
        <f>IF(Distances[[#This Row],[Colonne239]]=$G46,IW46,Distances[[#This Row],[Colonne239]]+1)</f>
        <v>120</v>
      </c>
      <c r="IY46" s="17">
        <f>IF(Distances[[#This Row],[Colonne240]]=$G46,IX46,Distances[[#This Row],[Colonne240]]+1)</f>
        <v>120</v>
      </c>
      <c r="IZ46" s="17">
        <f>IF(Distances[[#This Row],[Colonne241]]=$G46,IY46,Distances[[#This Row],[Colonne241]]+1)</f>
        <v>120</v>
      </c>
      <c r="JA46" s="17">
        <f>IF(Distances[[#This Row],[Colonne242]]=$G46,IZ46,Distances[[#This Row],[Colonne242]]+1)</f>
        <v>120</v>
      </c>
      <c r="JB46" s="17">
        <f>IF(Distances[[#This Row],[Colonne243]]=$G46,JA46,Distances[[#This Row],[Colonne243]]+1)</f>
        <v>120</v>
      </c>
      <c r="JC46" s="17">
        <f>IF(Distances[[#This Row],[Colonne244]]=$G46,JB46,Distances[[#This Row],[Colonne244]]+1)</f>
        <v>120</v>
      </c>
      <c r="JD46" s="17">
        <f>IF(Distances[[#This Row],[Colonne245]]=$G46,JC46,Distances[[#This Row],[Colonne245]]+1)</f>
        <v>120</v>
      </c>
      <c r="JE46" s="17">
        <f>IF(Distances[[#This Row],[Colonne246]]=$G46,JD46,Distances[[#This Row],[Colonne246]]+1)</f>
        <v>120</v>
      </c>
      <c r="JF46" s="17">
        <f>IF(Distances[[#This Row],[Colonne247]]=$G46,JE46,Distances[[#This Row],[Colonne247]]+1)</f>
        <v>120</v>
      </c>
      <c r="JG46" s="17">
        <f>IF(Distances[[#This Row],[Colonne248]]=$G46,JF46,Distances[[#This Row],[Colonne248]]+1)</f>
        <v>120</v>
      </c>
      <c r="JH46" s="17">
        <f>IF(Distances[[#This Row],[Colonne249]]=$G46,JG46,Distances[[#This Row],[Colonne249]]+1)</f>
        <v>120</v>
      </c>
      <c r="JI46" s="17">
        <f>IF(Distances[[#This Row],[Colonne250]]=$G46,JH46,Distances[[#This Row],[Colonne250]]+1)</f>
        <v>120</v>
      </c>
      <c r="JJ46" s="17">
        <f>IF(Distances[[#This Row],[Colonne251]]=$G46,JI46,Distances[[#This Row],[Colonne251]]+1)</f>
        <v>120</v>
      </c>
      <c r="JK46" s="17">
        <f>IF(Distances[[#This Row],[Colonne252]]=$G46,JJ46,Distances[[#This Row],[Colonne252]]+1)</f>
        <v>120</v>
      </c>
      <c r="JL46" s="17">
        <f>IF(Distances[[#This Row],[Colonne253]]=$G46,JK46,Distances[[#This Row],[Colonne253]]+1)</f>
        <v>120</v>
      </c>
      <c r="JM46" s="17">
        <f>IF(Distances[[#This Row],[Colonne254]]=$G46,JL46,Distances[[#This Row],[Colonne254]]+1)</f>
        <v>120</v>
      </c>
      <c r="JN46" s="17">
        <f>IF(Distances[[#This Row],[Colonne255]]=$G46,JM46,Distances[[#This Row],[Colonne255]]+1)</f>
        <v>120</v>
      </c>
      <c r="JO46" s="17">
        <f>IF(Distances[[#This Row],[Colonne256]]=$G46,JN46,Distances[[#This Row],[Colonne256]]+1)</f>
        <v>120</v>
      </c>
      <c r="JP46" s="17">
        <f>IF(Distances[[#This Row],[Colonne257]]=$G46,JO46,Distances[[#This Row],[Colonne257]]+1)</f>
        <v>120</v>
      </c>
      <c r="JQ46" s="17">
        <f>IF(Distances[[#This Row],[Colonne258]]=$G46,JP46,Distances[[#This Row],[Colonne258]]+1)</f>
        <v>120</v>
      </c>
      <c r="JR46" s="17">
        <f>IF(Distances[[#This Row],[Colonne259]]=$G46,JQ46,Distances[[#This Row],[Colonne259]]+1)</f>
        <v>120</v>
      </c>
      <c r="JS46" s="17">
        <f>IF(Distances[[#This Row],[Colonne260]]=$G46,JR46,Distances[[#This Row],[Colonne260]]+1)</f>
        <v>120</v>
      </c>
      <c r="JT46" s="17">
        <f>IF(Distances[[#This Row],[Colonne261]]=$G46,JS46,Distances[[#This Row],[Colonne261]]+1)</f>
        <v>120</v>
      </c>
      <c r="JU46" s="17">
        <f>IF(Distances[[#This Row],[Colonne262]]=$G46,JT46,Distances[[#This Row],[Colonne262]]+1)</f>
        <v>120</v>
      </c>
      <c r="JV46" s="17">
        <f>IF(Distances[[#This Row],[Colonne263]]=$G46,JU46,Distances[[#This Row],[Colonne263]]+1)</f>
        <v>120</v>
      </c>
      <c r="JW46" s="17">
        <f>IF(Distances[[#This Row],[Colonne264]]=$G46,JV46,Distances[[#This Row],[Colonne264]]+1)</f>
        <v>120</v>
      </c>
      <c r="JX46" s="17">
        <f>IF(Distances[[#This Row],[Colonne265]]=$G46,JW46,Distances[[#This Row],[Colonne265]]+1)</f>
        <v>120</v>
      </c>
      <c r="JY46" s="17">
        <f>IF(Distances[[#This Row],[Colonne266]]=$G46,JX46,Distances[[#This Row],[Colonne266]]+1)</f>
        <v>120</v>
      </c>
      <c r="JZ46" s="17">
        <f>IF(Distances[[#This Row],[Colonne267]]=$G46,JY46,Distances[[#This Row],[Colonne267]]+1)</f>
        <v>120</v>
      </c>
      <c r="KA46" s="17">
        <f>IF(Distances[[#This Row],[Colonne268]]=$G46,JZ46,Distances[[#This Row],[Colonne268]]+1)</f>
        <v>120</v>
      </c>
      <c r="KB46" s="17">
        <f>IF(Distances[[#This Row],[Colonne269]]=$G46,KA46,Distances[[#This Row],[Colonne269]]+1)</f>
        <v>120</v>
      </c>
      <c r="KC46" s="17">
        <f>IF(Distances[[#This Row],[Colonne270]]=$G46,KB46,Distances[[#This Row],[Colonne270]]+1)</f>
        <v>120</v>
      </c>
      <c r="KD46" s="17">
        <f>IF(Distances[[#This Row],[Colonne271]]=$G46,KC46,Distances[[#This Row],[Colonne271]]+1)</f>
        <v>120</v>
      </c>
      <c r="KE46" s="17">
        <f>IF(Distances[[#This Row],[Colonne272]]=$G46,KD46,Distances[[#This Row],[Colonne272]]+1)</f>
        <v>120</v>
      </c>
      <c r="KF46" s="17">
        <f>IF(Distances[[#This Row],[Colonne273]]=$G46,KE46,Distances[[#This Row],[Colonne273]]+1)</f>
        <v>120</v>
      </c>
      <c r="KG46" s="17">
        <f>IF(Distances[[#This Row],[Colonne274]]=$G46,KF46,Distances[[#This Row],[Colonne274]]+1)</f>
        <v>120</v>
      </c>
      <c r="KH46" s="17">
        <f>IF(Distances[[#This Row],[Colonne275]]=$G46,KG46,Distances[[#This Row],[Colonne275]]+1)</f>
        <v>120</v>
      </c>
      <c r="KI46" s="17">
        <f>IF(Distances[[#This Row],[Colonne276]]=$G46,KH46,Distances[[#This Row],[Colonne276]]+1)</f>
        <v>120</v>
      </c>
      <c r="KJ46" s="17">
        <f>IF(Distances[[#This Row],[Colonne277]]=$G46,KI46,Distances[[#This Row],[Colonne277]]+1)</f>
        <v>120</v>
      </c>
      <c r="KK46" s="17">
        <f>IF(Distances[[#This Row],[Colonne278]]=$G46,KJ46,Distances[[#This Row],[Colonne278]]+1)</f>
        <v>120</v>
      </c>
      <c r="KL46" s="17">
        <f>IF(Distances[[#This Row],[Colonne279]]=$G46,KK46,Distances[[#This Row],[Colonne279]]+1)</f>
        <v>120</v>
      </c>
      <c r="KM46" s="17">
        <f>IF(Distances[[#This Row],[Colonne280]]=$G46,KL46,Distances[[#This Row],[Colonne280]]+1)</f>
        <v>120</v>
      </c>
      <c r="KN46" s="17">
        <f>IF(Distances[[#This Row],[Colonne281]]=$G46,KM46,Distances[[#This Row],[Colonne281]]+1)</f>
        <v>120</v>
      </c>
      <c r="KO46" s="17">
        <f>IF(Distances[[#This Row],[Colonne282]]=$G46,KN46,Distances[[#This Row],[Colonne282]]+1)</f>
        <v>120</v>
      </c>
      <c r="KP46" s="17">
        <f>IF(Distances[[#This Row],[Colonne283]]=$G46,KO46,Distances[[#This Row],[Colonne283]]+1)</f>
        <v>120</v>
      </c>
      <c r="KQ46" s="17">
        <f>IF(Distances[[#This Row],[Colonne284]]=$G46,KP46,Distances[[#This Row],[Colonne284]]+1)</f>
        <v>120</v>
      </c>
      <c r="KR46" s="17">
        <f>IF(Distances[[#This Row],[Colonne285]]=$G46,KQ46,Distances[[#This Row],[Colonne285]]+1)</f>
        <v>120</v>
      </c>
      <c r="KS46" s="17">
        <f>IF(Distances[[#This Row],[Colonne286]]=$G46,KR46,Distances[[#This Row],[Colonne286]]+1)</f>
        <v>120</v>
      </c>
      <c r="KT46" s="17">
        <f>IF(Distances[[#This Row],[Colonne287]]=$G46,KS46,Distances[[#This Row],[Colonne287]]+1)</f>
        <v>120</v>
      </c>
      <c r="KU46" s="17">
        <f>IF(Distances[[#This Row],[Colonne288]]=$G46,KT46,Distances[[#This Row],[Colonne288]]+1)</f>
        <v>120</v>
      </c>
      <c r="KV46" s="17">
        <f>IF(Distances[[#This Row],[Colonne289]]=$G46,KU46,Distances[[#This Row],[Colonne289]]+1)</f>
        <v>120</v>
      </c>
      <c r="KW46" s="17">
        <f>IF(Distances[[#This Row],[Colonne290]]=$G46,KV46,Distances[[#This Row],[Colonne290]]+1)</f>
        <v>120</v>
      </c>
      <c r="KX46" s="17">
        <f>IF(Distances[[#This Row],[Colonne291]]=$G46,KW46,Distances[[#This Row],[Colonne291]]+1)</f>
        <v>120</v>
      </c>
      <c r="KY46" s="17">
        <f>IF(Distances[[#This Row],[Colonne292]]=$G46,KX46,Distances[[#This Row],[Colonne292]]+1)</f>
        <v>120</v>
      </c>
      <c r="KZ46" s="17">
        <f>IF(Distances[[#This Row],[Colonne293]]=$G46,KY46,Distances[[#This Row],[Colonne293]]+1)</f>
        <v>120</v>
      </c>
      <c r="LA46" s="17">
        <f>IF(Distances[[#This Row],[Colonne294]]=$G46,KZ46,Distances[[#This Row],[Colonne294]]+1)</f>
        <v>120</v>
      </c>
      <c r="LB46" s="17">
        <f>IF(Distances[[#This Row],[Colonne295]]=$G46,LA46,Distances[[#This Row],[Colonne295]]+1)</f>
        <v>120</v>
      </c>
      <c r="LC46" s="17">
        <f>IF(Distances[[#This Row],[Colonne296]]=$G46,LB46,Distances[[#This Row],[Colonne296]]+1)</f>
        <v>120</v>
      </c>
      <c r="LD46" s="17">
        <f>IF(Distances[[#This Row],[Colonne297]]=$G46,LC46,Distances[[#This Row],[Colonne297]]+1)</f>
        <v>120</v>
      </c>
      <c r="LE46" s="17">
        <f>IF(Distances[[#This Row],[Colonne298]]=$G46,LD46,Distances[[#This Row],[Colonne298]]+1)</f>
        <v>120</v>
      </c>
      <c r="LF46" s="17">
        <f>IF(Distances[[#This Row],[Colonne299]]=$G46,LE46,Distances[[#This Row],[Colonne299]]+1)</f>
        <v>120</v>
      </c>
      <c r="LG46" s="17">
        <f>IF(Distances[[#This Row],[Colonne300]]=$G46,LF46,Distances[[#This Row],[Colonne300]]+1)</f>
        <v>120</v>
      </c>
      <c r="LH46" s="17">
        <f>IF(Distances[[#This Row],[Colonne301]]=$G46,LG46,Distances[[#This Row],[Colonne301]]+1)</f>
        <v>120</v>
      </c>
      <c r="LI46" s="17">
        <f>IF(Distances[[#This Row],[Colonne302]]=$G46,LH46,Distances[[#This Row],[Colonne302]]+1)</f>
        <v>120</v>
      </c>
      <c r="LJ46" s="17">
        <f>IF(Distances[[#This Row],[Colonne303]]=$G46,LI46,Distances[[#This Row],[Colonne303]]+1)</f>
        <v>120</v>
      </c>
      <c r="LK46" s="51"/>
      <c r="LL46" s="17">
        <f t="shared" ref="LL46:NW46" si="92">IF(LK46=$H46,LK46,LK46+1)</f>
        <v>1</v>
      </c>
      <c r="LM46" s="17">
        <f t="shared" si="92"/>
        <v>2</v>
      </c>
      <c r="LN46" s="17">
        <f t="shared" si="92"/>
        <v>3</v>
      </c>
      <c r="LO46" s="17">
        <f t="shared" si="92"/>
        <v>4</v>
      </c>
      <c r="LP46" s="17">
        <f t="shared" si="92"/>
        <v>5</v>
      </c>
      <c r="LQ46" s="17">
        <f t="shared" si="92"/>
        <v>6</v>
      </c>
      <c r="LR46" s="17">
        <f t="shared" si="92"/>
        <v>7</v>
      </c>
      <c r="LS46" s="17">
        <f t="shared" si="92"/>
        <v>8</v>
      </c>
      <c r="LT46" s="17">
        <f t="shared" si="92"/>
        <v>9</v>
      </c>
      <c r="LU46" s="17">
        <f t="shared" si="92"/>
        <v>10</v>
      </c>
      <c r="LV46" s="17">
        <f t="shared" si="92"/>
        <v>11</v>
      </c>
      <c r="LW46" s="17">
        <f t="shared" si="92"/>
        <v>12</v>
      </c>
      <c r="LX46" s="17">
        <f t="shared" si="92"/>
        <v>13</v>
      </c>
      <c r="LY46" s="17">
        <f t="shared" si="92"/>
        <v>14</v>
      </c>
      <c r="LZ46" s="17">
        <f t="shared" si="92"/>
        <v>15</v>
      </c>
      <c r="MA46" s="17">
        <f t="shared" si="92"/>
        <v>16</v>
      </c>
      <c r="MB46" s="17">
        <f t="shared" si="92"/>
        <v>17</v>
      </c>
      <c r="MC46" s="17">
        <f t="shared" si="92"/>
        <v>18</v>
      </c>
      <c r="MD46" s="17">
        <f t="shared" si="92"/>
        <v>19</v>
      </c>
      <c r="ME46" s="17">
        <f t="shared" si="92"/>
        <v>20</v>
      </c>
      <c r="MF46" s="17">
        <f t="shared" si="92"/>
        <v>20</v>
      </c>
      <c r="MG46" s="17">
        <f t="shared" si="92"/>
        <v>20</v>
      </c>
      <c r="MH46" s="17">
        <f t="shared" si="92"/>
        <v>20</v>
      </c>
      <c r="MI46" s="17">
        <f t="shared" si="92"/>
        <v>20</v>
      </c>
      <c r="MJ46" s="17">
        <f t="shared" si="92"/>
        <v>20</v>
      </c>
      <c r="MK46" s="17">
        <f t="shared" si="92"/>
        <v>20</v>
      </c>
      <c r="ML46" s="17">
        <f t="shared" si="92"/>
        <v>20</v>
      </c>
      <c r="MM46" s="17">
        <f t="shared" si="92"/>
        <v>20</v>
      </c>
      <c r="MN46" s="17">
        <f t="shared" si="92"/>
        <v>20</v>
      </c>
      <c r="MO46" s="17">
        <f t="shared" si="92"/>
        <v>20</v>
      </c>
      <c r="MP46" s="17">
        <f t="shared" si="92"/>
        <v>20</v>
      </c>
      <c r="MQ46" s="17">
        <f t="shared" si="92"/>
        <v>20</v>
      </c>
      <c r="MR46" s="17">
        <f t="shared" si="92"/>
        <v>20</v>
      </c>
      <c r="MS46" s="17">
        <f t="shared" si="92"/>
        <v>20</v>
      </c>
      <c r="MT46" s="17">
        <f t="shared" si="92"/>
        <v>20</v>
      </c>
      <c r="MU46" s="17">
        <f t="shared" si="92"/>
        <v>20</v>
      </c>
      <c r="MV46" s="17">
        <f t="shared" si="92"/>
        <v>20</v>
      </c>
      <c r="MW46" s="17">
        <f t="shared" si="92"/>
        <v>20</v>
      </c>
      <c r="MX46" s="17">
        <f t="shared" si="92"/>
        <v>20</v>
      </c>
      <c r="MY46" s="17">
        <f t="shared" si="92"/>
        <v>20</v>
      </c>
      <c r="MZ46" s="17">
        <f t="shared" si="92"/>
        <v>20</v>
      </c>
      <c r="NA46" s="17">
        <f t="shared" si="92"/>
        <v>20</v>
      </c>
      <c r="NB46" s="17">
        <f t="shared" si="92"/>
        <v>20</v>
      </c>
      <c r="NC46" s="17">
        <f t="shared" si="92"/>
        <v>20</v>
      </c>
      <c r="ND46" s="17">
        <f t="shared" si="92"/>
        <v>20</v>
      </c>
      <c r="NE46" s="17">
        <f t="shared" si="92"/>
        <v>20</v>
      </c>
      <c r="NF46" s="17">
        <f t="shared" si="92"/>
        <v>20</v>
      </c>
      <c r="NG46" s="17">
        <f t="shared" si="92"/>
        <v>20</v>
      </c>
      <c r="NH46" s="17">
        <f t="shared" si="92"/>
        <v>20</v>
      </c>
      <c r="NI46" s="17">
        <f t="shared" si="92"/>
        <v>20</v>
      </c>
      <c r="NJ46" s="17">
        <f t="shared" si="92"/>
        <v>20</v>
      </c>
      <c r="NK46" s="17">
        <f t="shared" si="92"/>
        <v>20</v>
      </c>
      <c r="NL46" s="17">
        <f t="shared" si="92"/>
        <v>20</v>
      </c>
      <c r="NM46" s="17">
        <f t="shared" si="92"/>
        <v>20</v>
      </c>
      <c r="NN46" s="17">
        <f t="shared" si="92"/>
        <v>20</v>
      </c>
      <c r="NO46" s="17">
        <f t="shared" si="92"/>
        <v>20</v>
      </c>
      <c r="NP46" s="17">
        <f t="shared" si="92"/>
        <v>20</v>
      </c>
      <c r="NQ46" s="17">
        <f t="shared" si="92"/>
        <v>20</v>
      </c>
      <c r="NR46" s="17">
        <f t="shared" si="92"/>
        <v>20</v>
      </c>
      <c r="NS46" s="17">
        <f t="shared" si="92"/>
        <v>20</v>
      </c>
      <c r="NT46" s="17">
        <f t="shared" si="92"/>
        <v>20</v>
      </c>
      <c r="NU46" s="17">
        <f t="shared" si="92"/>
        <v>20</v>
      </c>
      <c r="NV46" s="17">
        <f t="shared" si="92"/>
        <v>20</v>
      </c>
      <c r="NW46" s="17">
        <f t="shared" si="92"/>
        <v>20</v>
      </c>
      <c r="NX46" s="17">
        <f t="shared" ref="NX46:PG46" si="93">IF(NW46=$H46,NW46,NW46+1)</f>
        <v>20</v>
      </c>
      <c r="NY46" s="17">
        <f t="shared" si="93"/>
        <v>20</v>
      </c>
      <c r="NZ46" s="17">
        <f t="shared" si="93"/>
        <v>20</v>
      </c>
      <c r="OA46" s="17">
        <f t="shared" si="93"/>
        <v>20</v>
      </c>
      <c r="OB46" s="17">
        <f t="shared" si="93"/>
        <v>20</v>
      </c>
      <c r="OC46" s="17">
        <f t="shared" si="93"/>
        <v>20</v>
      </c>
      <c r="OD46" s="17">
        <f t="shared" si="93"/>
        <v>20</v>
      </c>
      <c r="OE46" s="17">
        <f t="shared" si="93"/>
        <v>20</v>
      </c>
      <c r="OF46" s="17">
        <f t="shared" si="93"/>
        <v>20</v>
      </c>
      <c r="OG46" s="17">
        <f t="shared" si="93"/>
        <v>20</v>
      </c>
      <c r="OH46" s="17">
        <f t="shared" si="93"/>
        <v>20</v>
      </c>
      <c r="OI46" s="17">
        <f t="shared" si="93"/>
        <v>20</v>
      </c>
      <c r="OJ46" s="17">
        <f t="shared" si="93"/>
        <v>20</v>
      </c>
      <c r="OK46" s="17">
        <f t="shared" si="93"/>
        <v>20</v>
      </c>
      <c r="OL46" s="17">
        <f t="shared" si="93"/>
        <v>20</v>
      </c>
      <c r="OM46" s="17">
        <f t="shared" si="93"/>
        <v>20</v>
      </c>
      <c r="ON46" s="17">
        <f t="shared" si="93"/>
        <v>20</v>
      </c>
      <c r="OO46" s="17">
        <f t="shared" si="93"/>
        <v>20</v>
      </c>
      <c r="OP46" s="17">
        <f t="shared" si="93"/>
        <v>20</v>
      </c>
      <c r="OQ46" s="17">
        <f t="shared" si="93"/>
        <v>20</v>
      </c>
      <c r="OR46" s="17">
        <f t="shared" si="93"/>
        <v>20</v>
      </c>
      <c r="OS46" s="17">
        <f t="shared" si="93"/>
        <v>20</v>
      </c>
      <c r="OT46" s="17">
        <f t="shared" si="93"/>
        <v>20</v>
      </c>
      <c r="OU46" s="17">
        <f t="shared" si="93"/>
        <v>20</v>
      </c>
      <c r="OV46" s="17">
        <f t="shared" si="93"/>
        <v>20</v>
      </c>
      <c r="OW46" s="17">
        <f t="shared" si="93"/>
        <v>20</v>
      </c>
      <c r="OX46" s="17">
        <f t="shared" si="93"/>
        <v>20</v>
      </c>
      <c r="OY46" s="17">
        <f t="shared" si="93"/>
        <v>20</v>
      </c>
      <c r="OZ46" s="17">
        <f t="shared" si="93"/>
        <v>20</v>
      </c>
      <c r="PA46" s="17">
        <f t="shared" si="93"/>
        <v>20</v>
      </c>
      <c r="PB46" s="17">
        <f t="shared" si="93"/>
        <v>20</v>
      </c>
      <c r="PC46" s="17">
        <f t="shared" si="93"/>
        <v>20</v>
      </c>
      <c r="PD46" s="17">
        <f t="shared" si="93"/>
        <v>20</v>
      </c>
      <c r="PE46" s="17">
        <f t="shared" si="93"/>
        <v>20</v>
      </c>
      <c r="PF46" s="17">
        <f t="shared" si="93"/>
        <v>20</v>
      </c>
      <c r="PG46" s="17">
        <f t="shared" si="93"/>
        <v>20</v>
      </c>
    </row>
    <row r="47" spans="1:423" x14ac:dyDescent="0.25">
      <c r="A47" s="8" t="s">
        <v>5506</v>
      </c>
      <c r="B47" s="9" t="s">
        <v>5541</v>
      </c>
      <c r="C47" s="9" t="str">
        <f t="shared" si="72"/>
        <v>CN1/N2</v>
      </c>
      <c r="D47" s="1" t="str">
        <f t="shared" si="73"/>
        <v>Cadre N1/N2</v>
      </c>
      <c r="E47" s="1" t="s">
        <v>9865</v>
      </c>
      <c r="F47" s="9" t="s">
        <v>5508</v>
      </c>
      <c r="G47" s="9">
        <v>150</v>
      </c>
      <c r="H47" s="9">
        <v>15</v>
      </c>
      <c r="I47" s="127">
        <v>3.1</v>
      </c>
      <c r="J47" s="30"/>
      <c r="K47" s="281" t="s">
        <v>5539</v>
      </c>
      <c r="L47" s="8">
        <v>10</v>
      </c>
      <c r="M47" s="1">
        <v>10</v>
      </c>
      <c r="N47" s="10">
        <v>19.998999999999999</v>
      </c>
      <c r="O47" s="269">
        <v>1</v>
      </c>
      <c r="P47" s="331">
        <v>1</v>
      </c>
      <c r="Q47" s="335">
        <v>2</v>
      </c>
      <c r="R47" s="128"/>
      <c r="S47" s="9"/>
      <c r="T47" s="10"/>
      <c r="U47" t="s">
        <v>5523</v>
      </c>
      <c r="V47" s="17">
        <v>0</v>
      </c>
      <c r="W47" s="17">
        <f>IF(Distances[[#This Row],[Colonne4]]=$G47,V47,Distances[[#This Row],[Colonne4]]+1)</f>
        <v>1</v>
      </c>
      <c r="X47" s="17">
        <f>IF(Distances[[#This Row],[Colonne5]]=$G47,W47,Distances[[#This Row],[Colonne5]]+1)</f>
        <v>2</v>
      </c>
      <c r="Y47" s="17">
        <f>IF(Distances[[#This Row],[Colonne6]]=$G47,X47,Distances[[#This Row],[Colonne6]]+1)</f>
        <v>3</v>
      </c>
      <c r="Z47" s="17">
        <f>IF(Distances[[#This Row],[Colonne7]]=$G47,Y47,Distances[[#This Row],[Colonne7]]+1)</f>
        <v>4</v>
      </c>
      <c r="AA47" s="17">
        <f>IF(Distances[[#This Row],[Colonne8]]=$G47,Z47,Distances[[#This Row],[Colonne8]]+1)</f>
        <v>5</v>
      </c>
      <c r="AB47" s="17">
        <f>IF(Distances[[#This Row],[Colonne9]]=$G47,AA47,Distances[[#This Row],[Colonne9]]+1)</f>
        <v>6</v>
      </c>
      <c r="AC47" s="17">
        <f>IF(Distances[[#This Row],[Colonne10]]=$G47,AB47,Distances[[#This Row],[Colonne10]]+1)</f>
        <v>7</v>
      </c>
      <c r="AD47" s="17">
        <f>IF(Distances[[#This Row],[Colonne11]]=$G47,AC47,Distances[[#This Row],[Colonne11]]+1)</f>
        <v>8</v>
      </c>
      <c r="AE47" s="17">
        <f>IF(Distances[[#This Row],[Colonne12]]=$G47,AD47,Distances[[#This Row],[Colonne12]]+1)</f>
        <v>9</v>
      </c>
      <c r="AF47" s="17">
        <f>IF(Distances[[#This Row],[Colonne13]]=$G47,AE47,Distances[[#This Row],[Colonne13]]+1)</f>
        <v>10</v>
      </c>
      <c r="AG47" s="17">
        <f>IF(Distances[[#This Row],[Colonne14]]=$G47,AF47,Distances[[#This Row],[Colonne14]]+1)</f>
        <v>11</v>
      </c>
      <c r="AH47" s="17">
        <f>IF(Distances[[#This Row],[Colonne15]]=$G47,AG47,Distances[[#This Row],[Colonne15]]+1)</f>
        <v>12</v>
      </c>
      <c r="AI47" s="17">
        <f>IF(Distances[[#This Row],[Colonne16]]=$G47,AH47,Distances[[#This Row],[Colonne16]]+1)</f>
        <v>13</v>
      </c>
      <c r="AJ47" s="17">
        <f>IF(Distances[[#This Row],[Colonne17]]=$G47,AI47,Distances[[#This Row],[Colonne17]]+1)</f>
        <v>14</v>
      </c>
      <c r="AK47" s="17">
        <f>IF(Distances[[#This Row],[Colonne18]]=$G47,AJ47,Distances[[#This Row],[Colonne18]]+1)</f>
        <v>15</v>
      </c>
      <c r="AL47" s="17">
        <f>IF(Distances[[#This Row],[Colonne19]]=$G47,AK47,Distances[[#This Row],[Colonne19]]+1)</f>
        <v>16</v>
      </c>
      <c r="AM47" s="17">
        <f>IF(Distances[[#This Row],[Colonne20]]=$G47,AL47,Distances[[#This Row],[Colonne20]]+1)</f>
        <v>17</v>
      </c>
      <c r="AN47" s="17">
        <f>IF(Distances[[#This Row],[Colonne21]]=$G47,AM47,Distances[[#This Row],[Colonne21]]+1)</f>
        <v>18</v>
      </c>
      <c r="AO47" s="17">
        <f>IF(Distances[[#This Row],[Colonne22]]=$G47,AN47,Distances[[#This Row],[Colonne22]]+1)</f>
        <v>19</v>
      </c>
      <c r="AP47" s="17">
        <f>IF(Distances[[#This Row],[Colonne23]]=$G47,AO47,Distances[[#This Row],[Colonne23]]+1)</f>
        <v>20</v>
      </c>
      <c r="AQ47" s="17">
        <f>IF(Distances[[#This Row],[Colonne24]]=$G47,AP47,Distances[[#This Row],[Colonne24]]+1)</f>
        <v>21</v>
      </c>
      <c r="AR47" s="17">
        <f>IF(Distances[[#This Row],[Colonne25]]=$G47,AQ47,Distances[[#This Row],[Colonne25]]+1)</f>
        <v>22</v>
      </c>
      <c r="AS47" s="17">
        <f>IF(Distances[[#This Row],[Colonne26]]=$G47,AR47,Distances[[#This Row],[Colonne26]]+1)</f>
        <v>23</v>
      </c>
      <c r="AT47" s="17">
        <f>IF(Distances[[#This Row],[Colonne27]]=$G47,AS47,Distances[[#This Row],[Colonne27]]+1)</f>
        <v>24</v>
      </c>
      <c r="AU47" s="17">
        <f>IF(Distances[[#This Row],[Colonne28]]=$G47,AT47,Distances[[#This Row],[Colonne28]]+1)</f>
        <v>25</v>
      </c>
      <c r="AV47" s="17">
        <f>IF(Distances[[#This Row],[Colonne29]]=$G47,AU47,Distances[[#This Row],[Colonne29]]+1)</f>
        <v>26</v>
      </c>
      <c r="AW47" s="17">
        <f>IF(Distances[[#This Row],[Colonne30]]=$G47,AV47,Distances[[#This Row],[Colonne30]]+1)</f>
        <v>27</v>
      </c>
      <c r="AX47" s="17">
        <f>IF(Distances[[#This Row],[Colonne31]]=$G47,AW47,Distances[[#This Row],[Colonne31]]+1)</f>
        <v>28</v>
      </c>
      <c r="AY47" s="17">
        <f>IF(Distances[[#This Row],[Colonne32]]=$G47,AX47,Distances[[#This Row],[Colonne32]]+1)</f>
        <v>29</v>
      </c>
      <c r="AZ47" s="17">
        <f>IF(Distances[[#This Row],[Colonne33]]=$G47,AY47,Distances[[#This Row],[Colonne33]]+1)</f>
        <v>30</v>
      </c>
      <c r="BA47" s="17">
        <f>IF(Distances[[#This Row],[Colonne34]]=$G47,AZ47,Distances[[#This Row],[Colonne34]]+1)</f>
        <v>31</v>
      </c>
      <c r="BB47" s="17">
        <f>IF(Distances[[#This Row],[Colonne35]]=$G47,BA47,Distances[[#This Row],[Colonne35]]+1)</f>
        <v>32</v>
      </c>
      <c r="BC47" s="17">
        <f>IF(Distances[[#This Row],[Colonne36]]=$G47,BB47,Distances[[#This Row],[Colonne36]]+1)</f>
        <v>33</v>
      </c>
      <c r="BD47" s="17">
        <f>IF(Distances[[#This Row],[Colonne37]]=$G47,BC47,Distances[[#This Row],[Colonne37]]+1)</f>
        <v>34</v>
      </c>
      <c r="BE47" s="17">
        <f>IF(Distances[[#This Row],[Colonne38]]=$G47,BD47,Distances[[#This Row],[Colonne38]]+1)</f>
        <v>35</v>
      </c>
      <c r="BF47" s="17">
        <f>IF(Distances[[#This Row],[Colonne39]]=$G47,BE47,Distances[[#This Row],[Colonne39]]+1)</f>
        <v>36</v>
      </c>
      <c r="BG47" s="17">
        <f>IF(Distances[[#This Row],[Colonne40]]=$G47,BF47,Distances[[#This Row],[Colonne40]]+1)</f>
        <v>37</v>
      </c>
      <c r="BH47" s="17">
        <f>IF(Distances[[#This Row],[Colonne41]]=$G47,BG47,Distances[[#This Row],[Colonne41]]+1)</f>
        <v>38</v>
      </c>
      <c r="BI47" s="17">
        <f>IF(Distances[[#This Row],[Colonne42]]=$G47,BH47,Distances[[#This Row],[Colonne42]]+1)</f>
        <v>39</v>
      </c>
      <c r="BJ47" s="17">
        <f>IF(Distances[[#This Row],[Colonne43]]=$G47,BI47,Distances[[#This Row],[Colonne43]]+1)</f>
        <v>40</v>
      </c>
      <c r="BK47" s="17">
        <f>IF(Distances[[#This Row],[Colonne44]]=$G47,BJ47,Distances[[#This Row],[Colonne44]]+1)</f>
        <v>41</v>
      </c>
      <c r="BL47" s="17">
        <f>IF(Distances[[#This Row],[Colonne45]]=$G47,BK47,Distances[[#This Row],[Colonne45]]+1)</f>
        <v>42</v>
      </c>
      <c r="BM47" s="17">
        <f>IF(Distances[[#This Row],[Colonne46]]=$G47,BL47,Distances[[#This Row],[Colonne46]]+1)</f>
        <v>43</v>
      </c>
      <c r="BN47" s="17">
        <f>IF(Distances[[#This Row],[Colonne47]]=$G47,BM47,Distances[[#This Row],[Colonne47]]+1)</f>
        <v>44</v>
      </c>
      <c r="BO47" s="17">
        <f>IF(Distances[[#This Row],[Colonne48]]=$G47,BN47,Distances[[#This Row],[Colonne48]]+1)</f>
        <v>45</v>
      </c>
      <c r="BP47" s="17">
        <f>IF(Distances[[#This Row],[Colonne49]]=$G47,BO47,Distances[[#This Row],[Colonne49]]+1)</f>
        <v>46</v>
      </c>
      <c r="BQ47" s="17">
        <f>IF(Distances[[#This Row],[Colonne50]]=$G47,BP47,Distances[[#This Row],[Colonne50]]+1)</f>
        <v>47</v>
      </c>
      <c r="BR47" s="17">
        <f>IF(Distances[[#This Row],[Colonne51]]=$G47,BQ47,Distances[[#This Row],[Colonne51]]+1)</f>
        <v>48</v>
      </c>
      <c r="BS47" s="17">
        <f>IF(Distances[[#This Row],[Colonne52]]=$G47,BR47,Distances[[#This Row],[Colonne52]]+1)</f>
        <v>49</v>
      </c>
      <c r="BT47" s="17">
        <f>IF(Distances[[#This Row],[Colonne53]]=$G47,BS47,Distances[[#This Row],[Colonne53]]+1)</f>
        <v>50</v>
      </c>
      <c r="BU47" s="17">
        <f>IF(Distances[[#This Row],[Colonne54]]=$G47,BT47,Distances[[#This Row],[Colonne54]]+1)</f>
        <v>51</v>
      </c>
      <c r="BV47" s="17">
        <f>IF(Distances[[#This Row],[Colonne55]]=$G47,BU47,Distances[[#This Row],[Colonne55]]+1)</f>
        <v>52</v>
      </c>
      <c r="BW47" s="17">
        <f>IF(Distances[[#This Row],[Colonne56]]=$G47,BV47,Distances[[#This Row],[Colonne56]]+1)</f>
        <v>53</v>
      </c>
      <c r="BX47" s="17">
        <f>IF(Distances[[#This Row],[Colonne57]]=$G47,BW47,Distances[[#This Row],[Colonne57]]+1)</f>
        <v>54</v>
      </c>
      <c r="BY47" s="17">
        <f>IF(Distances[[#This Row],[Colonne58]]=$G47,BX47,Distances[[#This Row],[Colonne58]]+1)</f>
        <v>55</v>
      </c>
      <c r="BZ47" s="17">
        <f>IF(Distances[[#This Row],[Colonne59]]=$G47,BY47,Distances[[#This Row],[Colonne59]]+1)</f>
        <v>56</v>
      </c>
      <c r="CA47" s="17">
        <f>IF(Distances[[#This Row],[Colonne60]]=$G47,BZ47,Distances[[#This Row],[Colonne60]]+1)</f>
        <v>57</v>
      </c>
      <c r="CB47" s="17">
        <f>IF(Distances[[#This Row],[Colonne61]]=$G47,CA47,Distances[[#This Row],[Colonne61]]+1)</f>
        <v>58</v>
      </c>
      <c r="CC47" s="17">
        <f>IF(Distances[[#This Row],[Colonne62]]=$G47,CB47,Distances[[#This Row],[Colonne62]]+1)</f>
        <v>59</v>
      </c>
      <c r="CD47" s="17">
        <f>IF(Distances[[#This Row],[Colonne63]]=$G47,CC47,Distances[[#This Row],[Colonne63]]+1)</f>
        <v>60</v>
      </c>
      <c r="CE47" s="17">
        <f>IF(Distances[[#This Row],[Colonne64]]=$G47,CD47,Distances[[#This Row],[Colonne64]]+1)</f>
        <v>61</v>
      </c>
      <c r="CF47" s="17">
        <f>IF(Distances[[#This Row],[Colonne65]]=$G47,CE47,Distances[[#This Row],[Colonne65]]+1)</f>
        <v>62</v>
      </c>
      <c r="CG47" s="17">
        <f>IF(Distances[[#This Row],[Colonne66]]=$G47,CF47,Distances[[#This Row],[Colonne66]]+1)</f>
        <v>63</v>
      </c>
      <c r="CH47" s="17">
        <f>IF(Distances[[#This Row],[Colonne67]]=$G47,CG47,Distances[[#This Row],[Colonne67]]+1)</f>
        <v>64</v>
      </c>
      <c r="CI47" s="17">
        <f>IF(Distances[[#This Row],[Colonne68]]=$G47,CH47,Distances[[#This Row],[Colonne68]]+1)</f>
        <v>65</v>
      </c>
      <c r="CJ47" s="17">
        <f>IF(Distances[[#This Row],[Colonne69]]=$G47,CI47,Distances[[#This Row],[Colonne69]]+1)</f>
        <v>66</v>
      </c>
      <c r="CK47" s="17">
        <f>IF(Distances[[#This Row],[Colonne70]]=$G47,CJ47,Distances[[#This Row],[Colonne70]]+1)</f>
        <v>67</v>
      </c>
      <c r="CL47" s="17">
        <f>IF(Distances[[#This Row],[Colonne71]]=$G47,CK47,Distances[[#This Row],[Colonne71]]+1)</f>
        <v>68</v>
      </c>
      <c r="CM47" s="17">
        <f>IF(Distances[[#This Row],[Colonne72]]=$G47,CL47,Distances[[#This Row],[Colonne72]]+1)</f>
        <v>69</v>
      </c>
      <c r="CN47" s="17">
        <f>IF(Distances[[#This Row],[Colonne73]]=$G47,CM47,Distances[[#This Row],[Colonne73]]+1)</f>
        <v>70</v>
      </c>
      <c r="CO47" s="17">
        <f>IF(Distances[[#This Row],[Colonne74]]=$G47,CN47,Distances[[#This Row],[Colonne74]]+1)</f>
        <v>71</v>
      </c>
      <c r="CP47" s="17">
        <f>IF(Distances[[#This Row],[Colonne75]]=$G47,CO47,Distances[[#This Row],[Colonne75]]+1)</f>
        <v>72</v>
      </c>
      <c r="CQ47" s="17">
        <f>IF(Distances[[#This Row],[Colonne76]]=$G47,CP47,Distances[[#This Row],[Colonne76]]+1)</f>
        <v>73</v>
      </c>
      <c r="CR47" s="17">
        <f>IF(Distances[[#This Row],[Colonne77]]=$G47,CQ47,Distances[[#This Row],[Colonne77]]+1)</f>
        <v>74</v>
      </c>
      <c r="CS47" s="17">
        <f>IF(Distances[[#This Row],[Colonne78]]=$G47,CR47,Distances[[#This Row],[Colonne78]]+1)</f>
        <v>75</v>
      </c>
      <c r="CT47" s="17">
        <f>IF(Distances[[#This Row],[Colonne79]]=$G47,CS47,Distances[[#This Row],[Colonne79]]+1)</f>
        <v>76</v>
      </c>
      <c r="CU47" s="17">
        <f>IF(Distances[[#This Row],[Colonne80]]=$G47,CT47,Distances[[#This Row],[Colonne80]]+1)</f>
        <v>77</v>
      </c>
      <c r="CV47" s="17">
        <f>IF(Distances[[#This Row],[Colonne81]]=$G47,CU47,Distances[[#This Row],[Colonne81]]+1)</f>
        <v>78</v>
      </c>
      <c r="CW47" s="17">
        <f>IF(Distances[[#This Row],[Colonne82]]=$G47,CV47,Distances[[#This Row],[Colonne82]]+1)</f>
        <v>79</v>
      </c>
      <c r="CX47" s="17">
        <f>IF(Distances[[#This Row],[Colonne83]]=$G47,CW47,Distances[[#This Row],[Colonne83]]+1)</f>
        <v>80</v>
      </c>
      <c r="CY47" s="17">
        <f>IF(Distances[[#This Row],[Colonne84]]=$G47,CX47,Distances[[#This Row],[Colonne84]]+1)</f>
        <v>81</v>
      </c>
      <c r="CZ47" s="17">
        <f>IF(Distances[[#This Row],[Colonne85]]=$G47,CY47,Distances[[#This Row],[Colonne85]]+1)</f>
        <v>82</v>
      </c>
      <c r="DA47" s="17">
        <f>IF(Distances[[#This Row],[Colonne86]]=$G47,CZ47,Distances[[#This Row],[Colonne86]]+1)</f>
        <v>83</v>
      </c>
      <c r="DB47" s="17">
        <f>IF(Distances[[#This Row],[Colonne87]]=$G47,DA47,Distances[[#This Row],[Colonne87]]+1)</f>
        <v>84</v>
      </c>
      <c r="DC47" s="17">
        <f>IF(Distances[[#This Row],[Colonne88]]=$G47,DB47,Distances[[#This Row],[Colonne88]]+1)</f>
        <v>85</v>
      </c>
      <c r="DD47" s="17">
        <f>IF(Distances[[#This Row],[Colonne89]]=$G47,DC47,Distances[[#This Row],[Colonne89]]+1)</f>
        <v>86</v>
      </c>
      <c r="DE47" s="17">
        <f>IF(Distances[[#This Row],[Colonne90]]=$G47,DD47,Distances[[#This Row],[Colonne90]]+1)</f>
        <v>87</v>
      </c>
      <c r="DF47" s="17">
        <f>IF(Distances[[#This Row],[Colonne91]]=$G47,DE47,Distances[[#This Row],[Colonne91]]+1)</f>
        <v>88</v>
      </c>
      <c r="DG47" s="17">
        <f>IF(Distances[[#This Row],[Colonne92]]=$G47,DF47,Distances[[#This Row],[Colonne92]]+1)</f>
        <v>89</v>
      </c>
      <c r="DH47" s="17">
        <f>IF(Distances[[#This Row],[Colonne93]]=$G47,DG47,Distances[[#This Row],[Colonne93]]+1)</f>
        <v>90</v>
      </c>
      <c r="DI47" s="17">
        <f>IF(Distances[[#This Row],[Colonne94]]=$G47,DH47,Distances[[#This Row],[Colonne94]]+1)</f>
        <v>91</v>
      </c>
      <c r="DJ47" s="17">
        <f>IF(Distances[[#This Row],[Colonne95]]=$G47,DI47,Distances[[#This Row],[Colonne95]]+1)</f>
        <v>92</v>
      </c>
      <c r="DK47" s="17">
        <f>IF(Distances[[#This Row],[Colonne96]]=$G47,DJ47,Distances[[#This Row],[Colonne96]]+1)</f>
        <v>93</v>
      </c>
      <c r="DL47" s="17">
        <f>IF(Distances[[#This Row],[Colonne97]]=$G47,DK47,Distances[[#This Row],[Colonne97]]+1)</f>
        <v>94</v>
      </c>
      <c r="DM47" s="17">
        <f>IF(Distances[[#This Row],[Colonne98]]=$G47,DL47,Distances[[#This Row],[Colonne98]]+1)</f>
        <v>95</v>
      </c>
      <c r="DN47" s="17">
        <f>IF(Distances[[#This Row],[Colonne99]]=$G47,DM47,Distances[[#This Row],[Colonne99]]+1)</f>
        <v>96</v>
      </c>
      <c r="DO47" s="17">
        <f>IF(Distances[[#This Row],[Colonne100]]=$G47,DN47,Distances[[#This Row],[Colonne100]]+1)</f>
        <v>97</v>
      </c>
      <c r="DP47" s="17">
        <f>IF(Distances[[#This Row],[Colonne101]]=$G47,DO47,Distances[[#This Row],[Colonne101]]+1)</f>
        <v>98</v>
      </c>
      <c r="DQ47" s="17">
        <f>IF(Distances[[#This Row],[Colonne102]]=$G47,DP47,Distances[[#This Row],[Colonne102]]+1)</f>
        <v>99</v>
      </c>
      <c r="DR47" s="17">
        <f>IF(Distances[[#This Row],[Colonne103]]=$G47,DQ47,Distances[[#This Row],[Colonne103]]+1)</f>
        <v>100</v>
      </c>
      <c r="DS47" s="17">
        <f>IF(Distances[[#This Row],[Colonne104]]=$G47,DR47,Distances[[#This Row],[Colonne104]]+1)</f>
        <v>101</v>
      </c>
      <c r="DT47" s="17">
        <f>IF(Distances[[#This Row],[Colonne105]]=$G47,DS47,Distances[[#This Row],[Colonne105]]+1)</f>
        <v>102</v>
      </c>
      <c r="DU47" s="17">
        <f>IF(Distances[[#This Row],[Colonne106]]=$G47,DT47,Distances[[#This Row],[Colonne106]]+1)</f>
        <v>103</v>
      </c>
      <c r="DV47" s="17">
        <f>IF(Distances[[#This Row],[Colonne107]]=$G47,DU47,Distances[[#This Row],[Colonne107]]+1)</f>
        <v>104</v>
      </c>
      <c r="DW47" s="17">
        <f>IF(Distances[[#This Row],[Colonne108]]=$G47,DV47,Distances[[#This Row],[Colonne108]]+1)</f>
        <v>105</v>
      </c>
      <c r="DX47" s="17">
        <f>IF(Distances[[#This Row],[Colonne109]]=$G47,DW47,Distances[[#This Row],[Colonne109]]+1)</f>
        <v>106</v>
      </c>
      <c r="DY47" s="17">
        <f>IF(Distances[[#This Row],[Colonne110]]=$G47,DX47,Distances[[#This Row],[Colonne110]]+1)</f>
        <v>107</v>
      </c>
      <c r="DZ47" s="17">
        <f>IF(Distances[[#This Row],[Colonne111]]=$G47,DY47,Distances[[#This Row],[Colonne111]]+1)</f>
        <v>108</v>
      </c>
      <c r="EA47" s="17">
        <f>IF(Distances[[#This Row],[Colonne112]]=$G47,DZ47,Distances[[#This Row],[Colonne112]]+1)</f>
        <v>109</v>
      </c>
      <c r="EB47" s="17">
        <f>IF(Distances[[#This Row],[Colonne113]]=$G47,EA47,Distances[[#This Row],[Colonne113]]+1)</f>
        <v>110</v>
      </c>
      <c r="EC47" s="17">
        <f>IF(Distances[[#This Row],[Colonne114]]=$G47,EB47,Distances[[#This Row],[Colonne114]]+1)</f>
        <v>111</v>
      </c>
      <c r="ED47" s="17">
        <f>IF(Distances[[#This Row],[Colonne115]]=$G47,EC47,Distances[[#This Row],[Colonne115]]+1)</f>
        <v>112</v>
      </c>
      <c r="EE47" s="17">
        <f>IF(Distances[[#This Row],[Colonne116]]=$G47,ED47,Distances[[#This Row],[Colonne116]]+1)</f>
        <v>113</v>
      </c>
      <c r="EF47" s="17">
        <f>IF(Distances[[#This Row],[Colonne117]]=$G47,EE47,Distances[[#This Row],[Colonne117]]+1)</f>
        <v>114</v>
      </c>
      <c r="EG47" s="17">
        <f>IF(Distances[[#This Row],[Colonne118]]=$G47,EF47,Distances[[#This Row],[Colonne118]]+1)</f>
        <v>115</v>
      </c>
      <c r="EH47" s="17">
        <f>IF(Distances[[#This Row],[Colonne119]]=$G47,EG47,Distances[[#This Row],[Colonne119]]+1)</f>
        <v>116</v>
      </c>
      <c r="EI47" s="17">
        <f>IF(Distances[[#This Row],[Colonne120]]=$G47,EH47,Distances[[#This Row],[Colonne120]]+1)</f>
        <v>117</v>
      </c>
      <c r="EJ47" s="17">
        <f>IF(Distances[[#This Row],[Colonne121]]=$G47,EI47,Distances[[#This Row],[Colonne121]]+1)</f>
        <v>118</v>
      </c>
      <c r="EK47" s="17">
        <f>IF(Distances[[#This Row],[Colonne122]]=$G47,EJ47,Distances[[#This Row],[Colonne122]]+1)</f>
        <v>119</v>
      </c>
      <c r="EL47" s="17">
        <f>IF(Distances[[#This Row],[Colonne123]]=$G47,EK47,Distances[[#This Row],[Colonne123]]+1)</f>
        <v>120</v>
      </c>
      <c r="EM47" s="17">
        <f>IF(Distances[[#This Row],[Colonne124]]=$G47,EL47,Distances[[#This Row],[Colonne124]]+1)</f>
        <v>121</v>
      </c>
      <c r="EN47" s="17">
        <f>IF(Distances[[#This Row],[Colonne125]]=$G47,EM47,Distances[[#This Row],[Colonne125]]+1)</f>
        <v>122</v>
      </c>
      <c r="EO47" s="17">
        <f>IF(Distances[[#This Row],[Colonne126]]=$G47,EN47,Distances[[#This Row],[Colonne126]]+1)</f>
        <v>123</v>
      </c>
      <c r="EP47" s="17">
        <f>IF(Distances[[#This Row],[Colonne127]]=$G47,EO47,Distances[[#This Row],[Colonne127]]+1)</f>
        <v>124</v>
      </c>
      <c r="EQ47" s="17">
        <f>IF(Distances[[#This Row],[Colonne128]]=$G47,EP47,Distances[[#This Row],[Colonne128]]+1)</f>
        <v>125</v>
      </c>
      <c r="ER47" s="17">
        <f>IF(Distances[[#This Row],[Colonne129]]=$G47,EQ47,Distances[[#This Row],[Colonne129]]+1)</f>
        <v>126</v>
      </c>
      <c r="ES47" s="17">
        <f>IF(Distances[[#This Row],[Colonne130]]=$G47,ER47,Distances[[#This Row],[Colonne130]]+1)</f>
        <v>127</v>
      </c>
      <c r="ET47" s="17">
        <f>IF(Distances[[#This Row],[Colonne131]]=$G47,ES47,Distances[[#This Row],[Colonne131]]+1)</f>
        <v>128</v>
      </c>
      <c r="EU47" s="17">
        <f>IF(Distances[[#This Row],[Colonne132]]=$G47,ET47,Distances[[#This Row],[Colonne132]]+1)</f>
        <v>129</v>
      </c>
      <c r="EV47" s="17">
        <f>IF(Distances[[#This Row],[Colonne133]]=$G47,EU47,Distances[[#This Row],[Colonne133]]+1)</f>
        <v>130</v>
      </c>
      <c r="EW47" s="17">
        <f>IF(Distances[[#This Row],[Colonne134]]=$G47,EV47,Distances[[#This Row],[Colonne134]]+1)</f>
        <v>131</v>
      </c>
      <c r="EX47" s="17">
        <f>IF(Distances[[#This Row],[Colonne135]]=$G47,EW47,Distances[[#This Row],[Colonne135]]+1)</f>
        <v>132</v>
      </c>
      <c r="EY47" s="17">
        <f>IF(Distances[[#This Row],[Colonne136]]=$G47,EX47,Distances[[#This Row],[Colonne136]]+1)</f>
        <v>133</v>
      </c>
      <c r="EZ47" s="17">
        <f>IF(Distances[[#This Row],[Colonne137]]=$G47,EY47,Distances[[#This Row],[Colonne137]]+1)</f>
        <v>134</v>
      </c>
      <c r="FA47" s="17">
        <f>IF(Distances[[#This Row],[Colonne138]]=$G47,EZ47,Distances[[#This Row],[Colonne138]]+1)</f>
        <v>135</v>
      </c>
      <c r="FB47" s="17">
        <f>IF(Distances[[#This Row],[Colonne139]]=$G47,FA47,Distances[[#This Row],[Colonne139]]+1)</f>
        <v>136</v>
      </c>
      <c r="FC47" s="17">
        <f>IF(Distances[[#This Row],[Colonne140]]=$G47,FB47,Distances[[#This Row],[Colonne140]]+1)</f>
        <v>137</v>
      </c>
      <c r="FD47" s="17">
        <f>IF(Distances[[#This Row],[Colonne141]]=$G47,FC47,Distances[[#This Row],[Colonne141]]+1)</f>
        <v>138</v>
      </c>
      <c r="FE47" s="17">
        <f>IF(Distances[[#This Row],[Colonne142]]=$G47,FD47,Distances[[#This Row],[Colonne142]]+1)</f>
        <v>139</v>
      </c>
      <c r="FF47" s="17">
        <f>IF(Distances[[#This Row],[Colonne143]]=$G47,FE47,Distances[[#This Row],[Colonne143]]+1)</f>
        <v>140</v>
      </c>
      <c r="FG47" s="17">
        <f>IF(Distances[[#This Row],[Colonne144]]=$G47,FF47,Distances[[#This Row],[Colonne144]]+1)</f>
        <v>141</v>
      </c>
      <c r="FH47" s="17">
        <f>IF(Distances[[#This Row],[Colonne145]]=$G47,FG47,Distances[[#This Row],[Colonne145]]+1)</f>
        <v>142</v>
      </c>
      <c r="FI47" s="17">
        <f>IF(Distances[[#This Row],[Colonne146]]=$G47,FH47,Distances[[#This Row],[Colonne146]]+1)</f>
        <v>143</v>
      </c>
      <c r="FJ47" s="17">
        <f>IF(Distances[[#This Row],[Colonne147]]=$G47,FI47,Distances[[#This Row],[Colonne147]]+1)</f>
        <v>144</v>
      </c>
      <c r="FK47" s="17">
        <f>IF(Distances[[#This Row],[Colonne148]]=$G47,FJ47,Distances[[#This Row],[Colonne148]]+1)</f>
        <v>145</v>
      </c>
      <c r="FL47" s="17">
        <f>IF(Distances[[#This Row],[Colonne149]]=$G47,FK47,Distances[[#This Row],[Colonne149]]+1)</f>
        <v>146</v>
      </c>
      <c r="FM47" s="17">
        <f>IF(Distances[[#This Row],[Colonne150]]=$G47,FL47,Distances[[#This Row],[Colonne150]]+1)</f>
        <v>147</v>
      </c>
      <c r="FN47" s="17">
        <f>IF(Distances[[#This Row],[Colonne151]]=$G47,FM47,Distances[[#This Row],[Colonne151]]+1)</f>
        <v>148</v>
      </c>
      <c r="FO47" s="17">
        <f>IF(Distances[[#This Row],[Colonne152]]=$G47,FN47,Distances[[#This Row],[Colonne152]]+1)</f>
        <v>149</v>
      </c>
      <c r="FP47" s="17">
        <f>IF(Distances[[#This Row],[Colonne153]]=$G47,FO47,Distances[[#This Row],[Colonne153]]+1)</f>
        <v>150</v>
      </c>
      <c r="FQ47" s="17">
        <f>IF(Distances[[#This Row],[Colonne154]]=$G47,FP47,Distances[[#This Row],[Colonne154]]+1)</f>
        <v>150</v>
      </c>
      <c r="FR47" s="17">
        <f>IF(Distances[[#This Row],[Colonne155]]=$G47,FQ47,Distances[[#This Row],[Colonne155]]+1)</f>
        <v>150</v>
      </c>
      <c r="FS47" s="17">
        <f>IF(Distances[[#This Row],[Colonne156]]=$G47,FR47,Distances[[#This Row],[Colonne156]]+1)</f>
        <v>150</v>
      </c>
      <c r="FT47" s="17">
        <f>IF(Distances[[#This Row],[Colonne157]]=$G47,FS47,Distances[[#This Row],[Colonne157]]+1)</f>
        <v>150</v>
      </c>
      <c r="FU47" s="17">
        <f>IF(Distances[[#This Row],[Colonne158]]=$G47,FT47,Distances[[#This Row],[Colonne158]]+1)</f>
        <v>150</v>
      </c>
      <c r="FV47" s="17">
        <f>IF(Distances[[#This Row],[Colonne159]]=$G47,FU47,Distances[[#This Row],[Colonne159]]+1)</f>
        <v>150</v>
      </c>
      <c r="FW47" s="17">
        <f>IF(Distances[[#This Row],[Colonne160]]=$G47,FV47,Distances[[#This Row],[Colonne160]]+1)</f>
        <v>150</v>
      </c>
      <c r="FX47" s="17">
        <f>IF(Distances[[#This Row],[Colonne161]]=$G47,FW47,Distances[[#This Row],[Colonne161]]+1)</f>
        <v>150</v>
      </c>
      <c r="FY47" s="17">
        <f>IF(Distances[[#This Row],[Colonne162]]=$G47,FX47,Distances[[#This Row],[Colonne162]]+1)</f>
        <v>150</v>
      </c>
      <c r="FZ47" s="17">
        <f>IF(Distances[[#This Row],[Colonne163]]=$G47,FY47,Distances[[#This Row],[Colonne163]]+1)</f>
        <v>150</v>
      </c>
      <c r="GA47" s="17">
        <f>IF(Distances[[#This Row],[Colonne164]]=$G47,FZ47,Distances[[#This Row],[Colonne164]]+1)</f>
        <v>150</v>
      </c>
      <c r="GB47" s="17">
        <f>IF(Distances[[#This Row],[Colonne165]]=$G47,GA47,Distances[[#This Row],[Colonne165]]+1)</f>
        <v>150</v>
      </c>
      <c r="GC47" s="17">
        <f>IF(Distances[[#This Row],[Colonne166]]=$G47,GB47,Distances[[#This Row],[Colonne166]]+1)</f>
        <v>150</v>
      </c>
      <c r="GD47" s="17">
        <f>IF(Distances[[#This Row],[Colonne167]]=$G47,GC47,Distances[[#This Row],[Colonne167]]+1)</f>
        <v>150</v>
      </c>
      <c r="GE47" s="17">
        <f>IF(Distances[[#This Row],[Colonne168]]=$G47,GD47,Distances[[#This Row],[Colonne168]]+1)</f>
        <v>150</v>
      </c>
      <c r="GF47" s="17">
        <f>IF(Distances[[#This Row],[Colonne169]]=$G47,GE47,Distances[[#This Row],[Colonne169]]+1)</f>
        <v>150</v>
      </c>
      <c r="GG47" s="17">
        <f>IF(Distances[[#This Row],[Colonne170]]=$G47,GF47,Distances[[#This Row],[Colonne170]]+1)</f>
        <v>150</v>
      </c>
      <c r="GH47" s="17">
        <f>IF(Distances[[#This Row],[Colonne171]]=$G47,GG47,Distances[[#This Row],[Colonne171]]+1)</f>
        <v>150</v>
      </c>
      <c r="GI47" s="17">
        <f>IF(Distances[[#This Row],[Colonne172]]=$G47,GH47,Distances[[#This Row],[Colonne172]]+1)</f>
        <v>150</v>
      </c>
      <c r="GJ47" s="17">
        <f>IF(Distances[[#This Row],[Colonne173]]=$G47,GI47,Distances[[#This Row],[Colonne173]]+1)</f>
        <v>150</v>
      </c>
      <c r="GK47" s="17">
        <f>IF(Distances[[#This Row],[Colonne174]]=$G47,GJ47,Distances[[#This Row],[Colonne174]]+1)</f>
        <v>150</v>
      </c>
      <c r="GL47" s="17">
        <f>IF(Distances[[#This Row],[Colonne175]]=$G47,GK47,Distances[[#This Row],[Colonne175]]+1)</f>
        <v>150</v>
      </c>
      <c r="GM47" s="17">
        <f>IF(Distances[[#This Row],[Colonne176]]=$G47,GL47,Distances[[#This Row],[Colonne176]]+1)</f>
        <v>150</v>
      </c>
      <c r="GN47" s="17">
        <f>IF(Distances[[#This Row],[Colonne177]]=$G47,GM47,Distances[[#This Row],[Colonne177]]+1)</f>
        <v>150</v>
      </c>
      <c r="GO47" s="17">
        <f>IF(Distances[[#This Row],[Colonne178]]=$G47,GN47,Distances[[#This Row],[Colonne178]]+1)</f>
        <v>150</v>
      </c>
      <c r="GP47" s="17">
        <f>IF(Distances[[#This Row],[Colonne179]]=$G47,GO47,Distances[[#This Row],[Colonne179]]+1)</f>
        <v>150</v>
      </c>
      <c r="GQ47" s="17">
        <f>IF(Distances[[#This Row],[Colonne180]]=$G47,GP47,Distances[[#This Row],[Colonne180]]+1)</f>
        <v>150</v>
      </c>
      <c r="GR47" s="17">
        <f>IF(Distances[[#This Row],[Colonne181]]=$G47,GQ47,Distances[[#This Row],[Colonne181]]+1)</f>
        <v>150</v>
      </c>
      <c r="GS47" s="17">
        <f>IF(Distances[[#This Row],[Colonne182]]=$G47,GR47,Distances[[#This Row],[Colonne182]]+1)</f>
        <v>150</v>
      </c>
      <c r="GT47" s="17">
        <f>IF(Distances[[#This Row],[Colonne183]]=$G47,GS47,Distances[[#This Row],[Colonne183]]+1)</f>
        <v>150</v>
      </c>
      <c r="GU47" s="17">
        <f>IF(Distances[[#This Row],[Colonne184]]=$G47,GT47,Distances[[#This Row],[Colonne184]]+1)</f>
        <v>150</v>
      </c>
      <c r="GV47" s="17">
        <f>IF(Distances[[#This Row],[Colonne185]]=$G47,GU47,Distances[[#This Row],[Colonne185]]+1)</f>
        <v>150</v>
      </c>
      <c r="GW47" s="17">
        <f>IF(Distances[[#This Row],[Colonne186]]=$G47,GV47,Distances[[#This Row],[Colonne186]]+1)</f>
        <v>150</v>
      </c>
      <c r="GX47" s="17">
        <f>IF(Distances[[#This Row],[Colonne187]]=$G47,GW47,Distances[[#This Row],[Colonne187]]+1)</f>
        <v>150</v>
      </c>
      <c r="GY47" s="17">
        <f>IF(Distances[[#This Row],[Colonne188]]=$G47,GX47,Distances[[#This Row],[Colonne188]]+1)</f>
        <v>150</v>
      </c>
      <c r="GZ47" s="17">
        <f>IF(Distances[[#This Row],[Colonne189]]=$G47,GY47,Distances[[#This Row],[Colonne189]]+1)</f>
        <v>150</v>
      </c>
      <c r="HA47" s="17">
        <f>IF(Distances[[#This Row],[Colonne190]]=$G47,GZ47,Distances[[#This Row],[Colonne190]]+1)</f>
        <v>150</v>
      </c>
      <c r="HB47" s="17">
        <f>IF(Distances[[#This Row],[Colonne191]]=$G47,HA47,Distances[[#This Row],[Colonne191]]+1)</f>
        <v>150</v>
      </c>
      <c r="HC47" s="17">
        <f>IF(Distances[[#This Row],[Colonne192]]=$G47,HB47,Distances[[#This Row],[Colonne192]]+1)</f>
        <v>150</v>
      </c>
      <c r="HD47" s="17">
        <f>IF(Distances[[#This Row],[Colonne193]]=$G47,HC47,Distances[[#This Row],[Colonne193]]+1)</f>
        <v>150</v>
      </c>
      <c r="HE47" s="17">
        <f>IF(Distances[[#This Row],[Colonne194]]=$G47,HD47,Distances[[#This Row],[Colonne194]]+1)</f>
        <v>150</v>
      </c>
      <c r="HF47" s="17">
        <f>IF(Distances[[#This Row],[Colonne195]]=$G47,HE47,Distances[[#This Row],[Colonne195]]+1)</f>
        <v>150</v>
      </c>
      <c r="HG47" s="17">
        <f>IF(Distances[[#This Row],[Colonne196]]=$G47,HF47,Distances[[#This Row],[Colonne196]]+1)</f>
        <v>150</v>
      </c>
      <c r="HH47" s="17">
        <f>IF(Distances[[#This Row],[Colonne197]]=$G47,HG47,Distances[[#This Row],[Colonne197]]+1)</f>
        <v>150</v>
      </c>
      <c r="HI47" s="17">
        <f>IF(Distances[[#This Row],[Colonne198]]=$G47,HH47,Distances[[#This Row],[Colonne198]]+1)</f>
        <v>150</v>
      </c>
      <c r="HJ47" s="17">
        <f>IF(Distances[[#This Row],[Colonne199]]=$G47,HI47,Distances[[#This Row],[Colonne199]]+1)</f>
        <v>150</v>
      </c>
      <c r="HK47" s="17">
        <f>IF(Distances[[#This Row],[Colonne200]]=$G47,HJ47,Distances[[#This Row],[Colonne200]]+1)</f>
        <v>150</v>
      </c>
      <c r="HL47" s="17">
        <f>IF(Distances[[#This Row],[Colonne201]]=$G47,HK47,Distances[[#This Row],[Colonne201]]+1)</f>
        <v>150</v>
      </c>
      <c r="HM47" s="17">
        <f>IF(Distances[[#This Row],[Colonne202]]=$G47,HL47,Distances[[#This Row],[Colonne202]]+1)</f>
        <v>150</v>
      </c>
      <c r="HN47" s="17">
        <f>IF(Distances[[#This Row],[Colonne203]]=$G47,HM47,Distances[[#This Row],[Colonne203]]+1)</f>
        <v>150</v>
      </c>
      <c r="HO47" s="17">
        <f>IF(Distances[[#This Row],[Colonne204]]=$G47,HN47,Distances[[#This Row],[Colonne204]]+1)</f>
        <v>150</v>
      </c>
      <c r="HP47" s="17">
        <f>IF(Distances[[#This Row],[Colonne205]]=$G47,HO47,Distances[[#This Row],[Colonne205]]+1)</f>
        <v>150</v>
      </c>
      <c r="HQ47" s="17">
        <f>IF(Distances[[#This Row],[Colonne206]]=$G47,HP47,Distances[[#This Row],[Colonne206]]+1)</f>
        <v>150</v>
      </c>
      <c r="HR47" s="17">
        <f>IF(Distances[[#This Row],[Colonne207]]=$G47,HQ47,Distances[[#This Row],[Colonne207]]+1)</f>
        <v>150</v>
      </c>
      <c r="HS47" s="17">
        <f>IF(Distances[[#This Row],[Colonne208]]=$G47,HR47,Distances[[#This Row],[Colonne208]]+1)</f>
        <v>150</v>
      </c>
      <c r="HT47" s="17">
        <f>IF(Distances[[#This Row],[Colonne209]]=$G47,HS47,Distances[[#This Row],[Colonne209]]+1)</f>
        <v>150</v>
      </c>
      <c r="HU47" s="17">
        <f>IF(Distances[[#This Row],[Colonne210]]=$G47,HT47,Distances[[#This Row],[Colonne210]]+1)</f>
        <v>150</v>
      </c>
      <c r="HV47" s="17">
        <f>IF(Distances[[#This Row],[Colonne211]]=$G47,HU47,Distances[[#This Row],[Colonne211]]+1)</f>
        <v>150</v>
      </c>
      <c r="HW47" s="17">
        <f>IF(Distances[[#This Row],[Colonne212]]=$G47,HV47,Distances[[#This Row],[Colonne212]]+1)</f>
        <v>150</v>
      </c>
      <c r="HX47" s="17">
        <f>IF(Distances[[#This Row],[Colonne213]]=$G47,HW47,Distances[[#This Row],[Colonne213]]+1)</f>
        <v>150</v>
      </c>
      <c r="HY47" s="17">
        <f>IF(Distances[[#This Row],[Colonne214]]=$G47,HX47,Distances[[#This Row],[Colonne214]]+1)</f>
        <v>150</v>
      </c>
      <c r="HZ47" s="17">
        <f>IF(Distances[[#This Row],[Colonne215]]=$G47,HY47,Distances[[#This Row],[Colonne215]]+1)</f>
        <v>150</v>
      </c>
      <c r="IA47" s="17">
        <f>IF(Distances[[#This Row],[Colonne216]]=$G47,HZ47,Distances[[#This Row],[Colonne216]]+1)</f>
        <v>150</v>
      </c>
      <c r="IB47" s="17">
        <f>IF(Distances[[#This Row],[Colonne217]]=$G47,IA47,Distances[[#This Row],[Colonne217]]+1)</f>
        <v>150</v>
      </c>
      <c r="IC47" s="17">
        <f>IF(Distances[[#This Row],[Colonne218]]=$G47,IB47,Distances[[#This Row],[Colonne218]]+1)</f>
        <v>150</v>
      </c>
      <c r="ID47" s="17">
        <f>IF(Distances[[#This Row],[Colonne219]]=$G47,IC47,Distances[[#This Row],[Colonne219]]+1)</f>
        <v>150</v>
      </c>
      <c r="IE47" s="17">
        <f>IF(Distances[[#This Row],[Colonne220]]=$G47,ID47,Distances[[#This Row],[Colonne220]]+1)</f>
        <v>150</v>
      </c>
      <c r="IF47" s="17">
        <f>IF(Distances[[#This Row],[Colonne221]]=$G47,IE47,Distances[[#This Row],[Colonne221]]+1)</f>
        <v>150</v>
      </c>
      <c r="IG47" s="17">
        <f>IF(Distances[[#This Row],[Colonne222]]=$G47,IF47,Distances[[#This Row],[Colonne222]]+1)</f>
        <v>150</v>
      </c>
      <c r="IH47" s="17">
        <f>IF(Distances[[#This Row],[Colonne223]]=$G47,IG47,Distances[[#This Row],[Colonne223]]+1)</f>
        <v>150</v>
      </c>
      <c r="II47" s="17">
        <f>IF(Distances[[#This Row],[Colonne224]]=$G47,IH47,Distances[[#This Row],[Colonne224]]+1)</f>
        <v>150</v>
      </c>
      <c r="IJ47" s="17">
        <f>IF(Distances[[#This Row],[Colonne225]]=$G47,II47,Distances[[#This Row],[Colonne225]]+1)</f>
        <v>150</v>
      </c>
      <c r="IK47" s="17">
        <f>IF(Distances[[#This Row],[Colonne226]]=$G47,IJ47,Distances[[#This Row],[Colonne226]]+1)</f>
        <v>150</v>
      </c>
      <c r="IL47" s="17">
        <f>IF(Distances[[#This Row],[Colonne227]]=$G47,IK47,Distances[[#This Row],[Colonne227]]+1)</f>
        <v>150</v>
      </c>
      <c r="IM47" s="17">
        <f>IF(Distances[[#This Row],[Colonne228]]=$G47,IL47,Distances[[#This Row],[Colonne228]]+1)</f>
        <v>150</v>
      </c>
      <c r="IN47" s="17">
        <f>IF(Distances[[#This Row],[Colonne229]]=$G47,IM47,Distances[[#This Row],[Colonne229]]+1)</f>
        <v>150</v>
      </c>
      <c r="IO47" s="17">
        <f>IF(Distances[[#This Row],[Colonne230]]=$G47,IN47,Distances[[#This Row],[Colonne230]]+1)</f>
        <v>150</v>
      </c>
      <c r="IP47" s="17">
        <f>IF(Distances[[#This Row],[Colonne231]]=$G47,IO47,Distances[[#This Row],[Colonne231]]+1)</f>
        <v>150</v>
      </c>
      <c r="IQ47" s="17">
        <f>IF(Distances[[#This Row],[Colonne232]]=$G47,IP47,Distances[[#This Row],[Colonne232]]+1)</f>
        <v>150</v>
      </c>
      <c r="IR47" s="17">
        <f>IF(Distances[[#This Row],[Colonne233]]=$G47,IQ47,Distances[[#This Row],[Colonne233]]+1)</f>
        <v>150</v>
      </c>
      <c r="IS47" s="17">
        <f>IF(Distances[[#This Row],[Colonne234]]=$G47,IR47,Distances[[#This Row],[Colonne234]]+1)</f>
        <v>150</v>
      </c>
      <c r="IT47" s="17">
        <f>IF(Distances[[#This Row],[Colonne235]]=$G47,IS47,Distances[[#This Row],[Colonne235]]+1)</f>
        <v>150</v>
      </c>
      <c r="IU47" s="17">
        <f>IF(Distances[[#This Row],[Colonne236]]=$G47,IT47,Distances[[#This Row],[Colonne236]]+1)</f>
        <v>150</v>
      </c>
      <c r="IV47" s="17">
        <f>IF(Distances[[#This Row],[Colonne237]]=$G47,IU47,Distances[[#This Row],[Colonne237]]+1)</f>
        <v>150</v>
      </c>
      <c r="IW47" s="17">
        <f>IF(Distances[[#This Row],[Colonne238]]=$G47,IV47,Distances[[#This Row],[Colonne238]]+1)</f>
        <v>150</v>
      </c>
      <c r="IX47" s="17">
        <f>IF(Distances[[#This Row],[Colonne239]]=$G47,IW47,Distances[[#This Row],[Colonne239]]+1)</f>
        <v>150</v>
      </c>
      <c r="IY47" s="17">
        <f>IF(Distances[[#This Row],[Colonne240]]=$G47,IX47,Distances[[#This Row],[Colonne240]]+1)</f>
        <v>150</v>
      </c>
      <c r="IZ47" s="17">
        <f>IF(Distances[[#This Row],[Colonne241]]=$G47,IY47,Distances[[#This Row],[Colonne241]]+1)</f>
        <v>150</v>
      </c>
      <c r="JA47" s="17">
        <f>IF(Distances[[#This Row],[Colonne242]]=$G47,IZ47,Distances[[#This Row],[Colonne242]]+1)</f>
        <v>150</v>
      </c>
      <c r="JB47" s="17">
        <f>IF(Distances[[#This Row],[Colonne243]]=$G47,JA47,Distances[[#This Row],[Colonne243]]+1)</f>
        <v>150</v>
      </c>
      <c r="JC47" s="17">
        <f>IF(Distances[[#This Row],[Colonne244]]=$G47,JB47,Distances[[#This Row],[Colonne244]]+1)</f>
        <v>150</v>
      </c>
      <c r="JD47" s="17">
        <f>IF(Distances[[#This Row],[Colonne245]]=$G47,JC47,Distances[[#This Row],[Colonne245]]+1)</f>
        <v>150</v>
      </c>
      <c r="JE47" s="17">
        <f>IF(Distances[[#This Row],[Colonne246]]=$G47,JD47,Distances[[#This Row],[Colonne246]]+1)</f>
        <v>150</v>
      </c>
      <c r="JF47" s="17">
        <f>IF(Distances[[#This Row],[Colonne247]]=$G47,JE47,Distances[[#This Row],[Colonne247]]+1)</f>
        <v>150</v>
      </c>
      <c r="JG47" s="17">
        <f>IF(Distances[[#This Row],[Colonne248]]=$G47,JF47,Distances[[#This Row],[Colonne248]]+1)</f>
        <v>150</v>
      </c>
      <c r="JH47" s="17">
        <f>IF(Distances[[#This Row],[Colonne249]]=$G47,JG47,Distances[[#This Row],[Colonne249]]+1)</f>
        <v>150</v>
      </c>
      <c r="JI47" s="17">
        <f>IF(Distances[[#This Row],[Colonne250]]=$G47,JH47,Distances[[#This Row],[Colonne250]]+1)</f>
        <v>150</v>
      </c>
      <c r="JJ47" s="17">
        <f>IF(Distances[[#This Row],[Colonne251]]=$G47,JI47,Distances[[#This Row],[Colonne251]]+1)</f>
        <v>150</v>
      </c>
      <c r="JK47" s="17">
        <f>IF(Distances[[#This Row],[Colonne252]]=$G47,JJ47,Distances[[#This Row],[Colonne252]]+1)</f>
        <v>150</v>
      </c>
      <c r="JL47" s="17">
        <f>IF(Distances[[#This Row],[Colonne253]]=$G47,JK47,Distances[[#This Row],[Colonne253]]+1)</f>
        <v>150</v>
      </c>
      <c r="JM47" s="17">
        <f>IF(Distances[[#This Row],[Colonne254]]=$G47,JL47,Distances[[#This Row],[Colonne254]]+1)</f>
        <v>150</v>
      </c>
      <c r="JN47" s="17">
        <f>IF(Distances[[#This Row],[Colonne255]]=$G47,JM47,Distances[[#This Row],[Colonne255]]+1)</f>
        <v>150</v>
      </c>
      <c r="JO47" s="17">
        <f>IF(Distances[[#This Row],[Colonne256]]=$G47,JN47,Distances[[#This Row],[Colonne256]]+1)</f>
        <v>150</v>
      </c>
      <c r="JP47" s="17">
        <f>IF(Distances[[#This Row],[Colonne257]]=$G47,JO47,Distances[[#This Row],[Colonne257]]+1)</f>
        <v>150</v>
      </c>
      <c r="JQ47" s="17">
        <f>IF(Distances[[#This Row],[Colonne258]]=$G47,JP47,Distances[[#This Row],[Colonne258]]+1)</f>
        <v>150</v>
      </c>
      <c r="JR47" s="17">
        <f>IF(Distances[[#This Row],[Colonne259]]=$G47,JQ47,Distances[[#This Row],[Colonne259]]+1)</f>
        <v>150</v>
      </c>
      <c r="JS47" s="17">
        <f>IF(Distances[[#This Row],[Colonne260]]=$G47,JR47,Distances[[#This Row],[Colonne260]]+1)</f>
        <v>150</v>
      </c>
      <c r="JT47" s="17">
        <f>IF(Distances[[#This Row],[Colonne261]]=$G47,JS47,Distances[[#This Row],[Colonne261]]+1)</f>
        <v>150</v>
      </c>
      <c r="JU47" s="17">
        <f>IF(Distances[[#This Row],[Colonne262]]=$G47,JT47,Distances[[#This Row],[Colonne262]]+1)</f>
        <v>150</v>
      </c>
      <c r="JV47" s="17">
        <f>IF(Distances[[#This Row],[Colonne263]]=$G47,JU47,Distances[[#This Row],[Colonne263]]+1)</f>
        <v>150</v>
      </c>
      <c r="JW47" s="17">
        <f>IF(Distances[[#This Row],[Colonne264]]=$G47,JV47,Distances[[#This Row],[Colonne264]]+1)</f>
        <v>150</v>
      </c>
      <c r="JX47" s="17">
        <f>IF(Distances[[#This Row],[Colonne265]]=$G47,JW47,Distances[[#This Row],[Colonne265]]+1)</f>
        <v>150</v>
      </c>
      <c r="JY47" s="17">
        <f>IF(Distances[[#This Row],[Colonne266]]=$G47,JX47,Distances[[#This Row],[Colonne266]]+1)</f>
        <v>150</v>
      </c>
      <c r="JZ47" s="17">
        <f>IF(Distances[[#This Row],[Colonne267]]=$G47,JY47,Distances[[#This Row],[Colonne267]]+1)</f>
        <v>150</v>
      </c>
      <c r="KA47" s="17">
        <f>IF(Distances[[#This Row],[Colonne268]]=$G47,JZ47,Distances[[#This Row],[Colonne268]]+1)</f>
        <v>150</v>
      </c>
      <c r="KB47" s="17">
        <f>IF(Distances[[#This Row],[Colonne269]]=$G47,KA47,Distances[[#This Row],[Colonne269]]+1)</f>
        <v>150</v>
      </c>
      <c r="KC47" s="17">
        <f>IF(Distances[[#This Row],[Colonne270]]=$G47,KB47,Distances[[#This Row],[Colonne270]]+1)</f>
        <v>150</v>
      </c>
      <c r="KD47" s="17">
        <f>IF(Distances[[#This Row],[Colonne271]]=$G47,KC47,Distances[[#This Row],[Colonne271]]+1)</f>
        <v>150</v>
      </c>
      <c r="KE47" s="17">
        <f>IF(Distances[[#This Row],[Colonne272]]=$G47,KD47,Distances[[#This Row],[Colonne272]]+1)</f>
        <v>150</v>
      </c>
      <c r="KF47" s="17">
        <f>IF(Distances[[#This Row],[Colonne273]]=$G47,KE47,Distances[[#This Row],[Colonne273]]+1)</f>
        <v>150</v>
      </c>
      <c r="KG47" s="17">
        <f>IF(Distances[[#This Row],[Colonne274]]=$G47,KF47,Distances[[#This Row],[Colonne274]]+1)</f>
        <v>150</v>
      </c>
      <c r="KH47" s="17">
        <f>IF(Distances[[#This Row],[Colonne275]]=$G47,KG47,Distances[[#This Row],[Colonne275]]+1)</f>
        <v>150</v>
      </c>
      <c r="KI47" s="17">
        <f>IF(Distances[[#This Row],[Colonne276]]=$G47,KH47,Distances[[#This Row],[Colonne276]]+1)</f>
        <v>150</v>
      </c>
      <c r="KJ47" s="17">
        <f>IF(Distances[[#This Row],[Colonne277]]=$G47,KI47,Distances[[#This Row],[Colonne277]]+1)</f>
        <v>150</v>
      </c>
      <c r="KK47" s="17">
        <f>IF(Distances[[#This Row],[Colonne278]]=$G47,KJ47,Distances[[#This Row],[Colonne278]]+1)</f>
        <v>150</v>
      </c>
      <c r="KL47" s="17">
        <f>IF(Distances[[#This Row],[Colonne279]]=$G47,KK47,Distances[[#This Row],[Colonne279]]+1)</f>
        <v>150</v>
      </c>
      <c r="KM47" s="17">
        <f>IF(Distances[[#This Row],[Colonne280]]=$G47,KL47,Distances[[#This Row],[Colonne280]]+1)</f>
        <v>150</v>
      </c>
      <c r="KN47" s="17">
        <f>IF(Distances[[#This Row],[Colonne281]]=$G47,KM47,Distances[[#This Row],[Colonne281]]+1)</f>
        <v>150</v>
      </c>
      <c r="KO47" s="17">
        <f>IF(Distances[[#This Row],[Colonne282]]=$G47,KN47,Distances[[#This Row],[Colonne282]]+1)</f>
        <v>150</v>
      </c>
      <c r="KP47" s="17">
        <f>IF(Distances[[#This Row],[Colonne283]]=$G47,KO47,Distances[[#This Row],[Colonne283]]+1)</f>
        <v>150</v>
      </c>
      <c r="KQ47" s="17">
        <f>IF(Distances[[#This Row],[Colonne284]]=$G47,KP47,Distances[[#This Row],[Colonne284]]+1)</f>
        <v>150</v>
      </c>
      <c r="KR47" s="17">
        <f>IF(Distances[[#This Row],[Colonne285]]=$G47,KQ47,Distances[[#This Row],[Colonne285]]+1)</f>
        <v>150</v>
      </c>
      <c r="KS47" s="17">
        <f>IF(Distances[[#This Row],[Colonne286]]=$G47,KR47,Distances[[#This Row],[Colonne286]]+1)</f>
        <v>150</v>
      </c>
      <c r="KT47" s="17">
        <f>IF(Distances[[#This Row],[Colonne287]]=$G47,KS47,Distances[[#This Row],[Colonne287]]+1)</f>
        <v>150</v>
      </c>
      <c r="KU47" s="17">
        <f>IF(Distances[[#This Row],[Colonne288]]=$G47,KT47,Distances[[#This Row],[Colonne288]]+1)</f>
        <v>150</v>
      </c>
      <c r="KV47" s="17">
        <f>IF(Distances[[#This Row],[Colonne289]]=$G47,KU47,Distances[[#This Row],[Colonne289]]+1)</f>
        <v>150</v>
      </c>
      <c r="KW47" s="17">
        <f>IF(Distances[[#This Row],[Colonne290]]=$G47,KV47,Distances[[#This Row],[Colonne290]]+1)</f>
        <v>150</v>
      </c>
      <c r="KX47" s="17">
        <f>IF(Distances[[#This Row],[Colonne291]]=$G47,KW47,Distances[[#This Row],[Colonne291]]+1)</f>
        <v>150</v>
      </c>
      <c r="KY47" s="17">
        <f>IF(Distances[[#This Row],[Colonne292]]=$G47,KX47,Distances[[#This Row],[Colonne292]]+1)</f>
        <v>150</v>
      </c>
      <c r="KZ47" s="17">
        <f>IF(Distances[[#This Row],[Colonne293]]=$G47,KY47,Distances[[#This Row],[Colonne293]]+1)</f>
        <v>150</v>
      </c>
      <c r="LA47" s="17">
        <f>IF(Distances[[#This Row],[Colonne294]]=$G47,KZ47,Distances[[#This Row],[Colonne294]]+1)</f>
        <v>150</v>
      </c>
      <c r="LB47" s="17">
        <f>IF(Distances[[#This Row],[Colonne295]]=$G47,LA47,Distances[[#This Row],[Colonne295]]+1)</f>
        <v>150</v>
      </c>
      <c r="LC47" s="17">
        <f>IF(Distances[[#This Row],[Colonne296]]=$G47,LB47,Distances[[#This Row],[Colonne296]]+1)</f>
        <v>150</v>
      </c>
      <c r="LD47" s="17">
        <f>IF(Distances[[#This Row],[Colonne297]]=$G47,LC47,Distances[[#This Row],[Colonne297]]+1)</f>
        <v>150</v>
      </c>
      <c r="LE47" s="17">
        <f>IF(Distances[[#This Row],[Colonne298]]=$G47,LD47,Distances[[#This Row],[Colonne298]]+1)</f>
        <v>150</v>
      </c>
      <c r="LF47" s="17">
        <f>IF(Distances[[#This Row],[Colonne299]]=$G47,LE47,Distances[[#This Row],[Colonne299]]+1)</f>
        <v>150</v>
      </c>
      <c r="LG47" s="17">
        <f>IF(Distances[[#This Row],[Colonne300]]=$G47,LF47,Distances[[#This Row],[Colonne300]]+1)</f>
        <v>150</v>
      </c>
      <c r="LH47" s="17">
        <f>IF(Distances[[#This Row],[Colonne301]]=$G47,LG47,Distances[[#This Row],[Colonne301]]+1)</f>
        <v>150</v>
      </c>
      <c r="LI47" s="17">
        <f>IF(Distances[[#This Row],[Colonne302]]=$G47,LH47,Distances[[#This Row],[Colonne302]]+1)</f>
        <v>150</v>
      </c>
      <c r="LJ47" s="17">
        <f>IF(Distances[[#This Row],[Colonne303]]=$G47,LI47,Distances[[#This Row],[Colonne303]]+1)</f>
        <v>150</v>
      </c>
      <c r="LK47" s="51"/>
      <c r="LL47" s="17">
        <f t="shared" ref="LL47:NW47" si="94">IF(LK47=$H47,LK47,LK47+1)</f>
        <v>1</v>
      </c>
      <c r="LM47" s="17">
        <f t="shared" si="94"/>
        <v>2</v>
      </c>
      <c r="LN47" s="17">
        <f t="shared" si="94"/>
        <v>3</v>
      </c>
      <c r="LO47" s="17">
        <f t="shared" si="94"/>
        <v>4</v>
      </c>
      <c r="LP47" s="17">
        <f t="shared" si="94"/>
        <v>5</v>
      </c>
      <c r="LQ47" s="17">
        <f t="shared" si="94"/>
        <v>6</v>
      </c>
      <c r="LR47" s="17">
        <f t="shared" si="94"/>
        <v>7</v>
      </c>
      <c r="LS47" s="17">
        <f t="shared" si="94"/>
        <v>8</v>
      </c>
      <c r="LT47" s="17">
        <f t="shared" si="94"/>
        <v>9</v>
      </c>
      <c r="LU47" s="17">
        <f t="shared" si="94"/>
        <v>10</v>
      </c>
      <c r="LV47" s="17">
        <f t="shared" si="94"/>
        <v>11</v>
      </c>
      <c r="LW47" s="17">
        <f t="shared" si="94"/>
        <v>12</v>
      </c>
      <c r="LX47" s="17">
        <f t="shared" si="94"/>
        <v>13</v>
      </c>
      <c r="LY47" s="17">
        <f t="shared" si="94"/>
        <v>14</v>
      </c>
      <c r="LZ47" s="17">
        <f t="shared" si="94"/>
        <v>15</v>
      </c>
      <c r="MA47" s="17">
        <f t="shared" si="94"/>
        <v>15</v>
      </c>
      <c r="MB47" s="17">
        <f t="shared" si="94"/>
        <v>15</v>
      </c>
      <c r="MC47" s="17">
        <f t="shared" si="94"/>
        <v>15</v>
      </c>
      <c r="MD47" s="17">
        <f t="shared" si="94"/>
        <v>15</v>
      </c>
      <c r="ME47" s="17">
        <f t="shared" si="94"/>
        <v>15</v>
      </c>
      <c r="MF47" s="17">
        <f t="shared" si="94"/>
        <v>15</v>
      </c>
      <c r="MG47" s="17">
        <f t="shared" si="94"/>
        <v>15</v>
      </c>
      <c r="MH47" s="17">
        <f t="shared" si="94"/>
        <v>15</v>
      </c>
      <c r="MI47" s="17">
        <f t="shared" si="94"/>
        <v>15</v>
      </c>
      <c r="MJ47" s="17">
        <f t="shared" si="94"/>
        <v>15</v>
      </c>
      <c r="MK47" s="17">
        <f t="shared" si="94"/>
        <v>15</v>
      </c>
      <c r="ML47" s="17">
        <f t="shared" si="94"/>
        <v>15</v>
      </c>
      <c r="MM47" s="17">
        <f t="shared" si="94"/>
        <v>15</v>
      </c>
      <c r="MN47" s="17">
        <f t="shared" si="94"/>
        <v>15</v>
      </c>
      <c r="MO47" s="17">
        <f t="shared" si="94"/>
        <v>15</v>
      </c>
      <c r="MP47" s="17">
        <f t="shared" si="94"/>
        <v>15</v>
      </c>
      <c r="MQ47" s="17">
        <f t="shared" si="94"/>
        <v>15</v>
      </c>
      <c r="MR47" s="17">
        <f t="shared" si="94"/>
        <v>15</v>
      </c>
      <c r="MS47" s="17">
        <f t="shared" si="94"/>
        <v>15</v>
      </c>
      <c r="MT47" s="17">
        <f t="shared" si="94"/>
        <v>15</v>
      </c>
      <c r="MU47" s="17">
        <f t="shared" si="94"/>
        <v>15</v>
      </c>
      <c r="MV47" s="17">
        <f t="shared" si="94"/>
        <v>15</v>
      </c>
      <c r="MW47" s="17">
        <f t="shared" si="94"/>
        <v>15</v>
      </c>
      <c r="MX47" s="17">
        <f t="shared" si="94"/>
        <v>15</v>
      </c>
      <c r="MY47" s="17">
        <f t="shared" si="94"/>
        <v>15</v>
      </c>
      <c r="MZ47" s="17">
        <f t="shared" si="94"/>
        <v>15</v>
      </c>
      <c r="NA47" s="17">
        <f t="shared" si="94"/>
        <v>15</v>
      </c>
      <c r="NB47" s="17">
        <f t="shared" si="94"/>
        <v>15</v>
      </c>
      <c r="NC47" s="17">
        <f t="shared" si="94"/>
        <v>15</v>
      </c>
      <c r="ND47" s="17">
        <f t="shared" si="94"/>
        <v>15</v>
      </c>
      <c r="NE47" s="17">
        <f t="shared" si="94"/>
        <v>15</v>
      </c>
      <c r="NF47" s="17">
        <f t="shared" si="94"/>
        <v>15</v>
      </c>
      <c r="NG47" s="17">
        <f t="shared" si="94"/>
        <v>15</v>
      </c>
      <c r="NH47" s="17">
        <f t="shared" si="94"/>
        <v>15</v>
      </c>
      <c r="NI47" s="17">
        <f t="shared" si="94"/>
        <v>15</v>
      </c>
      <c r="NJ47" s="17">
        <f t="shared" si="94"/>
        <v>15</v>
      </c>
      <c r="NK47" s="17">
        <f t="shared" si="94"/>
        <v>15</v>
      </c>
      <c r="NL47" s="17">
        <f t="shared" si="94"/>
        <v>15</v>
      </c>
      <c r="NM47" s="17">
        <f t="shared" si="94"/>
        <v>15</v>
      </c>
      <c r="NN47" s="17">
        <f t="shared" si="94"/>
        <v>15</v>
      </c>
      <c r="NO47" s="17">
        <f t="shared" si="94"/>
        <v>15</v>
      </c>
      <c r="NP47" s="17">
        <f t="shared" si="94"/>
        <v>15</v>
      </c>
      <c r="NQ47" s="17">
        <f t="shared" si="94"/>
        <v>15</v>
      </c>
      <c r="NR47" s="17">
        <f t="shared" si="94"/>
        <v>15</v>
      </c>
      <c r="NS47" s="17">
        <f t="shared" si="94"/>
        <v>15</v>
      </c>
      <c r="NT47" s="17">
        <f t="shared" si="94"/>
        <v>15</v>
      </c>
      <c r="NU47" s="17">
        <f t="shared" si="94"/>
        <v>15</v>
      </c>
      <c r="NV47" s="17">
        <f t="shared" si="94"/>
        <v>15</v>
      </c>
      <c r="NW47" s="17">
        <f t="shared" si="94"/>
        <v>15</v>
      </c>
      <c r="NX47" s="17">
        <f t="shared" ref="NX47:PG47" si="95">IF(NW47=$H47,NW47,NW47+1)</f>
        <v>15</v>
      </c>
      <c r="NY47" s="17">
        <f t="shared" si="95"/>
        <v>15</v>
      </c>
      <c r="NZ47" s="17">
        <f t="shared" si="95"/>
        <v>15</v>
      </c>
      <c r="OA47" s="17">
        <f t="shared" si="95"/>
        <v>15</v>
      </c>
      <c r="OB47" s="17">
        <f t="shared" si="95"/>
        <v>15</v>
      </c>
      <c r="OC47" s="17">
        <f t="shared" si="95"/>
        <v>15</v>
      </c>
      <c r="OD47" s="17">
        <f t="shared" si="95"/>
        <v>15</v>
      </c>
      <c r="OE47" s="17">
        <f t="shared" si="95"/>
        <v>15</v>
      </c>
      <c r="OF47" s="17">
        <f t="shared" si="95"/>
        <v>15</v>
      </c>
      <c r="OG47" s="17">
        <f t="shared" si="95"/>
        <v>15</v>
      </c>
      <c r="OH47" s="17">
        <f t="shared" si="95"/>
        <v>15</v>
      </c>
      <c r="OI47" s="17">
        <f t="shared" si="95"/>
        <v>15</v>
      </c>
      <c r="OJ47" s="17">
        <f t="shared" si="95"/>
        <v>15</v>
      </c>
      <c r="OK47" s="17">
        <f t="shared" si="95"/>
        <v>15</v>
      </c>
      <c r="OL47" s="17">
        <f t="shared" si="95"/>
        <v>15</v>
      </c>
      <c r="OM47" s="17">
        <f t="shared" si="95"/>
        <v>15</v>
      </c>
      <c r="ON47" s="17">
        <f t="shared" si="95"/>
        <v>15</v>
      </c>
      <c r="OO47" s="17">
        <f t="shared" si="95"/>
        <v>15</v>
      </c>
      <c r="OP47" s="17">
        <f t="shared" si="95"/>
        <v>15</v>
      </c>
      <c r="OQ47" s="17">
        <f t="shared" si="95"/>
        <v>15</v>
      </c>
      <c r="OR47" s="17">
        <f t="shared" si="95"/>
        <v>15</v>
      </c>
      <c r="OS47" s="17">
        <f t="shared" si="95"/>
        <v>15</v>
      </c>
      <c r="OT47" s="17">
        <f t="shared" si="95"/>
        <v>15</v>
      </c>
      <c r="OU47" s="17">
        <f t="shared" si="95"/>
        <v>15</v>
      </c>
      <c r="OV47" s="17">
        <f t="shared" si="95"/>
        <v>15</v>
      </c>
      <c r="OW47" s="17">
        <f t="shared" si="95"/>
        <v>15</v>
      </c>
      <c r="OX47" s="17">
        <f t="shared" si="95"/>
        <v>15</v>
      </c>
      <c r="OY47" s="17">
        <f t="shared" si="95"/>
        <v>15</v>
      </c>
      <c r="OZ47" s="17">
        <f t="shared" si="95"/>
        <v>15</v>
      </c>
      <c r="PA47" s="17">
        <f t="shared" si="95"/>
        <v>15</v>
      </c>
      <c r="PB47" s="17">
        <f t="shared" si="95"/>
        <v>15</v>
      </c>
      <c r="PC47" s="17">
        <f t="shared" si="95"/>
        <v>15</v>
      </c>
      <c r="PD47" s="17">
        <f t="shared" si="95"/>
        <v>15</v>
      </c>
      <c r="PE47" s="17">
        <f t="shared" si="95"/>
        <v>15</v>
      </c>
      <c r="PF47" s="17">
        <f t="shared" si="95"/>
        <v>15</v>
      </c>
      <c r="PG47" s="17">
        <f t="shared" si="95"/>
        <v>15</v>
      </c>
    </row>
    <row r="48" spans="1:423" x14ac:dyDescent="0.25">
      <c r="A48" s="8" t="s">
        <v>5506</v>
      </c>
      <c r="B48" s="9" t="s">
        <v>26</v>
      </c>
      <c r="C48" s="9" t="str">
        <f t="shared" si="72"/>
        <v>CN3</v>
      </c>
      <c r="D48" s="1" t="str">
        <f t="shared" si="73"/>
        <v>Cadre N3</v>
      </c>
      <c r="E48" s="1" t="s">
        <v>15</v>
      </c>
      <c r="F48" s="9" t="s">
        <v>5508</v>
      </c>
      <c r="G48" s="9">
        <v>100</v>
      </c>
      <c r="H48" s="9">
        <v>25</v>
      </c>
      <c r="I48" s="127">
        <v>2.8</v>
      </c>
      <c r="J48" s="30"/>
      <c r="K48" s="281" t="s">
        <v>5540</v>
      </c>
      <c r="L48" s="8">
        <v>3.5</v>
      </c>
      <c r="M48" s="9">
        <v>3.5</v>
      </c>
      <c r="N48" s="10">
        <v>6.2489999999999997</v>
      </c>
      <c r="O48" s="269"/>
      <c r="P48" s="331"/>
      <c r="Q48" s="335"/>
      <c r="R48" s="128">
        <v>1</v>
      </c>
      <c r="S48" s="9">
        <v>1</v>
      </c>
      <c r="T48" s="10">
        <v>2</v>
      </c>
      <c r="U48" t="s">
        <v>5523</v>
      </c>
      <c r="V48" s="17">
        <v>0</v>
      </c>
      <c r="W48" s="17">
        <f>IF(Distances[[#This Row],[Colonne4]]=$G48,V48,Distances[[#This Row],[Colonne4]]+1)</f>
        <v>1</v>
      </c>
      <c r="X48" s="17">
        <f>IF(Distances[[#This Row],[Colonne5]]=$G48,W48,Distances[[#This Row],[Colonne5]]+1)</f>
        <v>2</v>
      </c>
      <c r="Y48" s="17">
        <f>IF(Distances[[#This Row],[Colonne6]]=$G48,X48,Distances[[#This Row],[Colonne6]]+1)</f>
        <v>3</v>
      </c>
      <c r="Z48" s="17">
        <f>IF(Distances[[#This Row],[Colonne7]]=$G48,Y48,Distances[[#This Row],[Colonne7]]+1)</f>
        <v>4</v>
      </c>
      <c r="AA48" s="17">
        <f>IF(Distances[[#This Row],[Colonne8]]=$G48,Z48,Distances[[#This Row],[Colonne8]]+1)</f>
        <v>5</v>
      </c>
      <c r="AB48" s="17">
        <f>IF(Distances[[#This Row],[Colonne9]]=$G48,AA48,Distances[[#This Row],[Colonne9]]+1)</f>
        <v>6</v>
      </c>
      <c r="AC48" s="17">
        <f>IF(Distances[[#This Row],[Colonne10]]=$G48,AB48,Distances[[#This Row],[Colonne10]]+1)</f>
        <v>7</v>
      </c>
      <c r="AD48" s="17">
        <f>IF(Distances[[#This Row],[Colonne11]]=$G48,AC48,Distances[[#This Row],[Colonne11]]+1)</f>
        <v>8</v>
      </c>
      <c r="AE48" s="17">
        <f>IF(Distances[[#This Row],[Colonne12]]=$G48,AD48,Distances[[#This Row],[Colonne12]]+1)</f>
        <v>9</v>
      </c>
      <c r="AF48" s="17">
        <f>IF(Distances[[#This Row],[Colonne13]]=$G48,AE48,Distances[[#This Row],[Colonne13]]+1)</f>
        <v>10</v>
      </c>
      <c r="AG48" s="17">
        <f>IF(Distances[[#This Row],[Colonne14]]=$G48,AF48,Distances[[#This Row],[Colonne14]]+1)</f>
        <v>11</v>
      </c>
      <c r="AH48" s="17">
        <f>IF(Distances[[#This Row],[Colonne15]]=$G48,AG48,Distances[[#This Row],[Colonne15]]+1)</f>
        <v>12</v>
      </c>
      <c r="AI48" s="17">
        <f>IF(Distances[[#This Row],[Colonne16]]=$G48,AH48,Distances[[#This Row],[Colonne16]]+1)</f>
        <v>13</v>
      </c>
      <c r="AJ48" s="17">
        <f>IF(Distances[[#This Row],[Colonne17]]=$G48,AI48,Distances[[#This Row],[Colonne17]]+1)</f>
        <v>14</v>
      </c>
      <c r="AK48" s="17">
        <f>IF(Distances[[#This Row],[Colonne18]]=$G48,AJ48,Distances[[#This Row],[Colonne18]]+1)</f>
        <v>15</v>
      </c>
      <c r="AL48" s="17">
        <f>IF(Distances[[#This Row],[Colonne19]]=$G48,AK48,Distances[[#This Row],[Colonne19]]+1)</f>
        <v>16</v>
      </c>
      <c r="AM48" s="17">
        <f>IF(Distances[[#This Row],[Colonne20]]=$G48,AL48,Distances[[#This Row],[Colonne20]]+1)</f>
        <v>17</v>
      </c>
      <c r="AN48" s="17">
        <f>IF(Distances[[#This Row],[Colonne21]]=$G48,AM48,Distances[[#This Row],[Colonne21]]+1)</f>
        <v>18</v>
      </c>
      <c r="AO48" s="17">
        <f>IF(Distances[[#This Row],[Colonne22]]=$G48,AN48,Distances[[#This Row],[Colonne22]]+1)</f>
        <v>19</v>
      </c>
      <c r="AP48" s="17">
        <f>IF(Distances[[#This Row],[Colonne23]]=$G48,AO48,Distances[[#This Row],[Colonne23]]+1)</f>
        <v>20</v>
      </c>
      <c r="AQ48" s="17">
        <f>IF(Distances[[#This Row],[Colonne24]]=$G48,AP48,Distances[[#This Row],[Colonne24]]+1)</f>
        <v>21</v>
      </c>
      <c r="AR48" s="17">
        <f>IF(Distances[[#This Row],[Colonne25]]=$G48,AQ48,Distances[[#This Row],[Colonne25]]+1)</f>
        <v>22</v>
      </c>
      <c r="AS48" s="17">
        <f>IF(Distances[[#This Row],[Colonne26]]=$G48,AR48,Distances[[#This Row],[Colonne26]]+1)</f>
        <v>23</v>
      </c>
      <c r="AT48" s="17">
        <f>IF(Distances[[#This Row],[Colonne27]]=$G48,AS48,Distances[[#This Row],[Colonne27]]+1)</f>
        <v>24</v>
      </c>
      <c r="AU48" s="17">
        <f>IF(Distances[[#This Row],[Colonne28]]=$G48,AT48,Distances[[#This Row],[Colonne28]]+1)</f>
        <v>25</v>
      </c>
      <c r="AV48" s="17">
        <f>IF(Distances[[#This Row],[Colonne29]]=$G48,AU48,Distances[[#This Row],[Colonne29]]+1)</f>
        <v>26</v>
      </c>
      <c r="AW48" s="17">
        <f>IF(Distances[[#This Row],[Colonne30]]=$G48,AV48,Distances[[#This Row],[Colonne30]]+1)</f>
        <v>27</v>
      </c>
      <c r="AX48" s="17">
        <f>IF(Distances[[#This Row],[Colonne31]]=$G48,AW48,Distances[[#This Row],[Colonne31]]+1)</f>
        <v>28</v>
      </c>
      <c r="AY48" s="17">
        <f>IF(Distances[[#This Row],[Colonne32]]=$G48,AX48,Distances[[#This Row],[Colonne32]]+1)</f>
        <v>29</v>
      </c>
      <c r="AZ48" s="17">
        <f>IF(Distances[[#This Row],[Colonne33]]=$G48,AY48,Distances[[#This Row],[Colonne33]]+1)</f>
        <v>30</v>
      </c>
      <c r="BA48" s="17">
        <f>IF(Distances[[#This Row],[Colonne34]]=$G48,AZ48,Distances[[#This Row],[Colonne34]]+1)</f>
        <v>31</v>
      </c>
      <c r="BB48" s="17">
        <f>IF(Distances[[#This Row],[Colonne35]]=$G48,BA48,Distances[[#This Row],[Colonne35]]+1)</f>
        <v>32</v>
      </c>
      <c r="BC48" s="17">
        <f>IF(Distances[[#This Row],[Colonne36]]=$G48,BB48,Distances[[#This Row],[Colonne36]]+1)</f>
        <v>33</v>
      </c>
      <c r="BD48" s="17">
        <f>IF(Distances[[#This Row],[Colonne37]]=$G48,BC48,Distances[[#This Row],[Colonne37]]+1)</f>
        <v>34</v>
      </c>
      <c r="BE48" s="17">
        <f>IF(Distances[[#This Row],[Colonne38]]=$G48,BD48,Distances[[#This Row],[Colonne38]]+1)</f>
        <v>35</v>
      </c>
      <c r="BF48" s="17">
        <f>IF(Distances[[#This Row],[Colonne39]]=$G48,BE48,Distances[[#This Row],[Colonne39]]+1)</f>
        <v>36</v>
      </c>
      <c r="BG48" s="17">
        <f>IF(Distances[[#This Row],[Colonne40]]=$G48,BF48,Distances[[#This Row],[Colonne40]]+1)</f>
        <v>37</v>
      </c>
      <c r="BH48" s="17">
        <f>IF(Distances[[#This Row],[Colonne41]]=$G48,BG48,Distances[[#This Row],[Colonne41]]+1)</f>
        <v>38</v>
      </c>
      <c r="BI48" s="17">
        <f>IF(Distances[[#This Row],[Colonne42]]=$G48,BH48,Distances[[#This Row],[Colonne42]]+1)</f>
        <v>39</v>
      </c>
      <c r="BJ48" s="17">
        <f>IF(Distances[[#This Row],[Colonne43]]=$G48,BI48,Distances[[#This Row],[Colonne43]]+1)</f>
        <v>40</v>
      </c>
      <c r="BK48" s="17">
        <f>IF(Distances[[#This Row],[Colonne44]]=$G48,BJ48,Distances[[#This Row],[Colonne44]]+1)</f>
        <v>41</v>
      </c>
      <c r="BL48" s="17">
        <f>IF(Distances[[#This Row],[Colonne45]]=$G48,BK48,Distances[[#This Row],[Colonne45]]+1)</f>
        <v>42</v>
      </c>
      <c r="BM48" s="17">
        <f>IF(Distances[[#This Row],[Colonne46]]=$G48,BL48,Distances[[#This Row],[Colonne46]]+1)</f>
        <v>43</v>
      </c>
      <c r="BN48" s="17">
        <f>IF(Distances[[#This Row],[Colonne47]]=$G48,BM48,Distances[[#This Row],[Colonne47]]+1)</f>
        <v>44</v>
      </c>
      <c r="BO48" s="17">
        <f>IF(Distances[[#This Row],[Colonne48]]=$G48,BN48,Distances[[#This Row],[Colonne48]]+1)</f>
        <v>45</v>
      </c>
      <c r="BP48" s="17">
        <f>IF(Distances[[#This Row],[Colonne49]]=$G48,BO48,Distances[[#This Row],[Colonne49]]+1)</f>
        <v>46</v>
      </c>
      <c r="BQ48" s="17">
        <f>IF(Distances[[#This Row],[Colonne50]]=$G48,BP48,Distances[[#This Row],[Colonne50]]+1)</f>
        <v>47</v>
      </c>
      <c r="BR48" s="17">
        <f>IF(Distances[[#This Row],[Colonne51]]=$G48,BQ48,Distances[[#This Row],[Colonne51]]+1)</f>
        <v>48</v>
      </c>
      <c r="BS48" s="17">
        <f>IF(Distances[[#This Row],[Colonne52]]=$G48,BR48,Distances[[#This Row],[Colonne52]]+1)</f>
        <v>49</v>
      </c>
      <c r="BT48" s="17">
        <f>IF(Distances[[#This Row],[Colonne53]]=$G48,BS48,Distances[[#This Row],[Colonne53]]+1)</f>
        <v>50</v>
      </c>
      <c r="BU48" s="17">
        <f>IF(Distances[[#This Row],[Colonne54]]=$G48,BT48,Distances[[#This Row],[Colonne54]]+1)</f>
        <v>51</v>
      </c>
      <c r="BV48" s="17">
        <f>IF(Distances[[#This Row],[Colonne55]]=$G48,BU48,Distances[[#This Row],[Colonne55]]+1)</f>
        <v>52</v>
      </c>
      <c r="BW48" s="17">
        <f>IF(Distances[[#This Row],[Colonne56]]=$G48,BV48,Distances[[#This Row],[Colonne56]]+1)</f>
        <v>53</v>
      </c>
      <c r="BX48" s="17">
        <f>IF(Distances[[#This Row],[Colonne57]]=$G48,BW48,Distances[[#This Row],[Colonne57]]+1)</f>
        <v>54</v>
      </c>
      <c r="BY48" s="17">
        <f>IF(Distances[[#This Row],[Colonne58]]=$G48,BX48,Distances[[#This Row],[Colonne58]]+1)</f>
        <v>55</v>
      </c>
      <c r="BZ48" s="17">
        <f>IF(Distances[[#This Row],[Colonne59]]=$G48,BY48,Distances[[#This Row],[Colonne59]]+1)</f>
        <v>56</v>
      </c>
      <c r="CA48" s="17">
        <f>IF(Distances[[#This Row],[Colonne60]]=$G48,BZ48,Distances[[#This Row],[Colonne60]]+1)</f>
        <v>57</v>
      </c>
      <c r="CB48" s="17">
        <f>IF(Distances[[#This Row],[Colonne61]]=$G48,CA48,Distances[[#This Row],[Colonne61]]+1)</f>
        <v>58</v>
      </c>
      <c r="CC48" s="17">
        <f>IF(Distances[[#This Row],[Colonne62]]=$G48,CB48,Distances[[#This Row],[Colonne62]]+1)</f>
        <v>59</v>
      </c>
      <c r="CD48" s="17">
        <f>IF(Distances[[#This Row],[Colonne63]]=$G48,CC48,Distances[[#This Row],[Colonne63]]+1)</f>
        <v>60</v>
      </c>
      <c r="CE48" s="17">
        <f>IF(Distances[[#This Row],[Colonne64]]=$G48,CD48,Distances[[#This Row],[Colonne64]]+1)</f>
        <v>61</v>
      </c>
      <c r="CF48" s="17">
        <f>IF(Distances[[#This Row],[Colonne65]]=$G48,CE48,Distances[[#This Row],[Colonne65]]+1)</f>
        <v>62</v>
      </c>
      <c r="CG48" s="17">
        <f>IF(Distances[[#This Row],[Colonne66]]=$G48,CF48,Distances[[#This Row],[Colonne66]]+1)</f>
        <v>63</v>
      </c>
      <c r="CH48" s="17">
        <f>IF(Distances[[#This Row],[Colonne67]]=$G48,CG48,Distances[[#This Row],[Colonne67]]+1)</f>
        <v>64</v>
      </c>
      <c r="CI48" s="17">
        <f>IF(Distances[[#This Row],[Colonne68]]=$G48,CH48,Distances[[#This Row],[Colonne68]]+1)</f>
        <v>65</v>
      </c>
      <c r="CJ48" s="17">
        <f>IF(Distances[[#This Row],[Colonne69]]=$G48,CI48,Distances[[#This Row],[Colonne69]]+1)</f>
        <v>66</v>
      </c>
      <c r="CK48" s="17">
        <f>IF(Distances[[#This Row],[Colonne70]]=$G48,CJ48,Distances[[#This Row],[Colonne70]]+1)</f>
        <v>67</v>
      </c>
      <c r="CL48" s="17">
        <f>IF(Distances[[#This Row],[Colonne71]]=$G48,CK48,Distances[[#This Row],[Colonne71]]+1)</f>
        <v>68</v>
      </c>
      <c r="CM48" s="17">
        <f>IF(Distances[[#This Row],[Colonne72]]=$G48,CL48,Distances[[#This Row],[Colonne72]]+1)</f>
        <v>69</v>
      </c>
      <c r="CN48" s="17">
        <f>IF(Distances[[#This Row],[Colonne73]]=$G48,CM48,Distances[[#This Row],[Colonne73]]+1)</f>
        <v>70</v>
      </c>
      <c r="CO48" s="17">
        <f>IF(Distances[[#This Row],[Colonne74]]=$G48,CN48,Distances[[#This Row],[Colonne74]]+1)</f>
        <v>71</v>
      </c>
      <c r="CP48" s="17">
        <f>IF(Distances[[#This Row],[Colonne75]]=$G48,CO48,Distances[[#This Row],[Colonne75]]+1)</f>
        <v>72</v>
      </c>
      <c r="CQ48" s="17">
        <f>IF(Distances[[#This Row],[Colonne76]]=$G48,CP48,Distances[[#This Row],[Colonne76]]+1)</f>
        <v>73</v>
      </c>
      <c r="CR48" s="17">
        <f>IF(Distances[[#This Row],[Colonne77]]=$G48,CQ48,Distances[[#This Row],[Colonne77]]+1)</f>
        <v>74</v>
      </c>
      <c r="CS48" s="17">
        <f>IF(Distances[[#This Row],[Colonne78]]=$G48,CR48,Distances[[#This Row],[Colonne78]]+1)</f>
        <v>75</v>
      </c>
      <c r="CT48" s="17">
        <f>IF(Distances[[#This Row],[Colonne79]]=$G48,CS48,Distances[[#This Row],[Colonne79]]+1)</f>
        <v>76</v>
      </c>
      <c r="CU48" s="17">
        <f>IF(Distances[[#This Row],[Colonne80]]=$G48,CT48,Distances[[#This Row],[Colonne80]]+1)</f>
        <v>77</v>
      </c>
      <c r="CV48" s="17">
        <f>IF(Distances[[#This Row],[Colonne81]]=$G48,CU48,Distances[[#This Row],[Colonne81]]+1)</f>
        <v>78</v>
      </c>
      <c r="CW48" s="17">
        <f>IF(Distances[[#This Row],[Colonne82]]=$G48,CV48,Distances[[#This Row],[Colonne82]]+1)</f>
        <v>79</v>
      </c>
      <c r="CX48" s="17">
        <f>IF(Distances[[#This Row],[Colonne83]]=$G48,CW48,Distances[[#This Row],[Colonne83]]+1)</f>
        <v>80</v>
      </c>
      <c r="CY48" s="17">
        <f>IF(Distances[[#This Row],[Colonne84]]=$G48,CX48,Distances[[#This Row],[Colonne84]]+1)</f>
        <v>81</v>
      </c>
      <c r="CZ48" s="17">
        <f>IF(Distances[[#This Row],[Colonne85]]=$G48,CY48,Distances[[#This Row],[Colonne85]]+1)</f>
        <v>82</v>
      </c>
      <c r="DA48" s="17">
        <f>IF(Distances[[#This Row],[Colonne86]]=$G48,CZ48,Distances[[#This Row],[Colonne86]]+1)</f>
        <v>83</v>
      </c>
      <c r="DB48" s="17">
        <f>IF(Distances[[#This Row],[Colonne87]]=$G48,DA48,Distances[[#This Row],[Colonne87]]+1)</f>
        <v>84</v>
      </c>
      <c r="DC48" s="17">
        <f>IF(Distances[[#This Row],[Colonne88]]=$G48,DB48,Distances[[#This Row],[Colonne88]]+1)</f>
        <v>85</v>
      </c>
      <c r="DD48" s="17">
        <f>IF(Distances[[#This Row],[Colonne89]]=$G48,DC48,Distances[[#This Row],[Colonne89]]+1)</f>
        <v>86</v>
      </c>
      <c r="DE48" s="17">
        <f>IF(Distances[[#This Row],[Colonne90]]=$G48,DD48,Distances[[#This Row],[Colonne90]]+1)</f>
        <v>87</v>
      </c>
      <c r="DF48" s="17">
        <f>IF(Distances[[#This Row],[Colonne91]]=$G48,DE48,Distances[[#This Row],[Colonne91]]+1)</f>
        <v>88</v>
      </c>
      <c r="DG48" s="17">
        <f>IF(Distances[[#This Row],[Colonne92]]=$G48,DF48,Distances[[#This Row],[Colonne92]]+1)</f>
        <v>89</v>
      </c>
      <c r="DH48" s="17">
        <f>IF(Distances[[#This Row],[Colonne93]]=$G48,DG48,Distances[[#This Row],[Colonne93]]+1)</f>
        <v>90</v>
      </c>
      <c r="DI48" s="17">
        <f>IF(Distances[[#This Row],[Colonne94]]=$G48,DH48,Distances[[#This Row],[Colonne94]]+1)</f>
        <v>91</v>
      </c>
      <c r="DJ48" s="17">
        <f>IF(Distances[[#This Row],[Colonne95]]=$G48,DI48,Distances[[#This Row],[Colonne95]]+1)</f>
        <v>92</v>
      </c>
      <c r="DK48" s="17">
        <f>IF(Distances[[#This Row],[Colonne96]]=$G48,DJ48,Distances[[#This Row],[Colonne96]]+1)</f>
        <v>93</v>
      </c>
      <c r="DL48" s="17">
        <f>IF(Distances[[#This Row],[Colonne97]]=$G48,DK48,Distances[[#This Row],[Colonne97]]+1)</f>
        <v>94</v>
      </c>
      <c r="DM48" s="17">
        <f>IF(Distances[[#This Row],[Colonne98]]=$G48,DL48,Distances[[#This Row],[Colonne98]]+1)</f>
        <v>95</v>
      </c>
      <c r="DN48" s="17">
        <f>IF(Distances[[#This Row],[Colonne99]]=$G48,DM48,Distances[[#This Row],[Colonne99]]+1)</f>
        <v>96</v>
      </c>
      <c r="DO48" s="17">
        <f>IF(Distances[[#This Row],[Colonne100]]=$G48,DN48,Distances[[#This Row],[Colonne100]]+1)</f>
        <v>97</v>
      </c>
      <c r="DP48" s="17">
        <f>IF(Distances[[#This Row],[Colonne101]]=$G48,DO48,Distances[[#This Row],[Colonne101]]+1)</f>
        <v>98</v>
      </c>
      <c r="DQ48" s="17">
        <f>IF(Distances[[#This Row],[Colonne102]]=$G48,DP48,Distances[[#This Row],[Colonne102]]+1)</f>
        <v>99</v>
      </c>
      <c r="DR48" s="17">
        <f>IF(Distances[[#This Row],[Colonne103]]=$G48,DQ48,Distances[[#This Row],[Colonne103]]+1)</f>
        <v>100</v>
      </c>
      <c r="DS48" s="17">
        <f>IF(Distances[[#This Row],[Colonne104]]=$G48,DR48,Distances[[#This Row],[Colonne104]]+1)</f>
        <v>100</v>
      </c>
      <c r="DT48" s="17">
        <f>IF(Distances[[#This Row],[Colonne105]]=$G48,DS48,Distances[[#This Row],[Colonne105]]+1)</f>
        <v>100</v>
      </c>
      <c r="DU48" s="17">
        <f>IF(Distances[[#This Row],[Colonne106]]=$G48,DT48,Distances[[#This Row],[Colonne106]]+1)</f>
        <v>100</v>
      </c>
      <c r="DV48" s="17">
        <f>IF(Distances[[#This Row],[Colonne107]]=$G48,DU48,Distances[[#This Row],[Colonne107]]+1)</f>
        <v>100</v>
      </c>
      <c r="DW48" s="17">
        <f>IF(Distances[[#This Row],[Colonne108]]=$G48,DV48,Distances[[#This Row],[Colonne108]]+1)</f>
        <v>100</v>
      </c>
      <c r="DX48" s="17">
        <f>IF(Distances[[#This Row],[Colonne109]]=$G48,DW48,Distances[[#This Row],[Colonne109]]+1)</f>
        <v>100</v>
      </c>
      <c r="DY48" s="17">
        <f>IF(Distances[[#This Row],[Colonne110]]=$G48,DX48,Distances[[#This Row],[Colonne110]]+1)</f>
        <v>100</v>
      </c>
      <c r="DZ48" s="17">
        <f>IF(Distances[[#This Row],[Colonne111]]=$G48,DY48,Distances[[#This Row],[Colonne111]]+1)</f>
        <v>100</v>
      </c>
      <c r="EA48" s="17">
        <f>IF(Distances[[#This Row],[Colonne112]]=$G48,DZ48,Distances[[#This Row],[Colonne112]]+1)</f>
        <v>100</v>
      </c>
      <c r="EB48" s="17">
        <f>IF(Distances[[#This Row],[Colonne113]]=$G48,EA48,Distances[[#This Row],[Colonne113]]+1)</f>
        <v>100</v>
      </c>
      <c r="EC48" s="17">
        <f>IF(Distances[[#This Row],[Colonne114]]=$G48,EB48,Distances[[#This Row],[Colonne114]]+1)</f>
        <v>100</v>
      </c>
      <c r="ED48" s="17">
        <f>IF(Distances[[#This Row],[Colonne115]]=$G48,EC48,Distances[[#This Row],[Colonne115]]+1)</f>
        <v>100</v>
      </c>
      <c r="EE48" s="17">
        <f>IF(Distances[[#This Row],[Colonne116]]=$G48,ED48,Distances[[#This Row],[Colonne116]]+1)</f>
        <v>100</v>
      </c>
      <c r="EF48" s="17">
        <f>IF(Distances[[#This Row],[Colonne117]]=$G48,EE48,Distances[[#This Row],[Colonne117]]+1)</f>
        <v>100</v>
      </c>
      <c r="EG48" s="17">
        <f>IF(Distances[[#This Row],[Colonne118]]=$G48,EF48,Distances[[#This Row],[Colonne118]]+1)</f>
        <v>100</v>
      </c>
      <c r="EH48" s="17">
        <f>IF(Distances[[#This Row],[Colonne119]]=$G48,EG48,Distances[[#This Row],[Colonne119]]+1)</f>
        <v>100</v>
      </c>
      <c r="EI48" s="17">
        <f>IF(Distances[[#This Row],[Colonne120]]=$G48,EH48,Distances[[#This Row],[Colonne120]]+1)</f>
        <v>100</v>
      </c>
      <c r="EJ48" s="17">
        <f>IF(Distances[[#This Row],[Colonne121]]=$G48,EI48,Distances[[#This Row],[Colonne121]]+1)</f>
        <v>100</v>
      </c>
      <c r="EK48" s="17">
        <f>IF(Distances[[#This Row],[Colonne122]]=$G48,EJ48,Distances[[#This Row],[Colonne122]]+1)</f>
        <v>100</v>
      </c>
      <c r="EL48" s="17">
        <f>IF(Distances[[#This Row],[Colonne123]]=$G48,EK48,Distances[[#This Row],[Colonne123]]+1)</f>
        <v>100</v>
      </c>
      <c r="EM48" s="17">
        <f>IF(Distances[[#This Row],[Colonne124]]=$G48,EL48,Distances[[#This Row],[Colonne124]]+1)</f>
        <v>100</v>
      </c>
      <c r="EN48" s="17">
        <f>IF(Distances[[#This Row],[Colonne125]]=$G48,EM48,Distances[[#This Row],[Colonne125]]+1)</f>
        <v>100</v>
      </c>
      <c r="EO48" s="17">
        <f>IF(Distances[[#This Row],[Colonne126]]=$G48,EN48,Distances[[#This Row],[Colonne126]]+1)</f>
        <v>100</v>
      </c>
      <c r="EP48" s="17">
        <f>IF(Distances[[#This Row],[Colonne127]]=$G48,EO48,Distances[[#This Row],[Colonne127]]+1)</f>
        <v>100</v>
      </c>
      <c r="EQ48" s="17">
        <f>IF(Distances[[#This Row],[Colonne128]]=$G48,EP48,Distances[[#This Row],[Colonne128]]+1)</f>
        <v>100</v>
      </c>
      <c r="ER48" s="17">
        <f>IF(Distances[[#This Row],[Colonne129]]=$G48,EQ48,Distances[[#This Row],[Colonne129]]+1)</f>
        <v>100</v>
      </c>
      <c r="ES48" s="17">
        <f>IF(Distances[[#This Row],[Colonne130]]=$G48,ER48,Distances[[#This Row],[Colonne130]]+1)</f>
        <v>100</v>
      </c>
      <c r="ET48" s="17">
        <f>IF(Distances[[#This Row],[Colonne131]]=$G48,ES48,Distances[[#This Row],[Colonne131]]+1)</f>
        <v>100</v>
      </c>
      <c r="EU48" s="17">
        <f>IF(Distances[[#This Row],[Colonne132]]=$G48,ET48,Distances[[#This Row],[Colonne132]]+1)</f>
        <v>100</v>
      </c>
      <c r="EV48" s="17">
        <f>IF(Distances[[#This Row],[Colonne133]]=$G48,EU48,Distances[[#This Row],[Colonne133]]+1)</f>
        <v>100</v>
      </c>
      <c r="EW48" s="17">
        <f>IF(Distances[[#This Row],[Colonne134]]=$G48,EV48,Distances[[#This Row],[Colonne134]]+1)</f>
        <v>100</v>
      </c>
      <c r="EX48" s="17">
        <f>IF(Distances[[#This Row],[Colonne135]]=$G48,EW48,Distances[[#This Row],[Colonne135]]+1)</f>
        <v>100</v>
      </c>
      <c r="EY48" s="17">
        <f>IF(Distances[[#This Row],[Colonne136]]=$G48,EX48,Distances[[#This Row],[Colonne136]]+1)</f>
        <v>100</v>
      </c>
      <c r="EZ48" s="17">
        <f>IF(Distances[[#This Row],[Colonne137]]=$G48,EY48,Distances[[#This Row],[Colonne137]]+1)</f>
        <v>100</v>
      </c>
      <c r="FA48" s="17">
        <f>IF(Distances[[#This Row],[Colonne138]]=$G48,EZ48,Distances[[#This Row],[Colonne138]]+1)</f>
        <v>100</v>
      </c>
      <c r="FB48" s="17">
        <f>IF(Distances[[#This Row],[Colonne139]]=$G48,FA48,Distances[[#This Row],[Colonne139]]+1)</f>
        <v>100</v>
      </c>
      <c r="FC48" s="17">
        <f>IF(Distances[[#This Row],[Colonne140]]=$G48,FB48,Distances[[#This Row],[Colonne140]]+1)</f>
        <v>100</v>
      </c>
      <c r="FD48" s="17">
        <f>IF(Distances[[#This Row],[Colonne141]]=$G48,FC48,Distances[[#This Row],[Colonne141]]+1)</f>
        <v>100</v>
      </c>
      <c r="FE48" s="17">
        <f>IF(Distances[[#This Row],[Colonne142]]=$G48,FD48,Distances[[#This Row],[Colonne142]]+1)</f>
        <v>100</v>
      </c>
      <c r="FF48" s="17">
        <f>IF(Distances[[#This Row],[Colonne143]]=$G48,FE48,Distances[[#This Row],[Colonne143]]+1)</f>
        <v>100</v>
      </c>
      <c r="FG48" s="17">
        <f>IF(Distances[[#This Row],[Colonne144]]=$G48,FF48,Distances[[#This Row],[Colonne144]]+1)</f>
        <v>100</v>
      </c>
      <c r="FH48" s="17">
        <f>IF(Distances[[#This Row],[Colonne145]]=$G48,FG48,Distances[[#This Row],[Colonne145]]+1)</f>
        <v>100</v>
      </c>
      <c r="FI48" s="17">
        <f>IF(Distances[[#This Row],[Colonne146]]=$G48,FH48,Distances[[#This Row],[Colonne146]]+1)</f>
        <v>100</v>
      </c>
      <c r="FJ48" s="17">
        <f>IF(Distances[[#This Row],[Colonne147]]=$G48,FI48,Distances[[#This Row],[Colonne147]]+1)</f>
        <v>100</v>
      </c>
      <c r="FK48" s="17">
        <f>IF(Distances[[#This Row],[Colonne148]]=$G48,FJ48,Distances[[#This Row],[Colonne148]]+1)</f>
        <v>100</v>
      </c>
      <c r="FL48" s="17">
        <f>IF(Distances[[#This Row],[Colonne149]]=$G48,FK48,Distances[[#This Row],[Colonne149]]+1)</f>
        <v>100</v>
      </c>
      <c r="FM48" s="17">
        <f>IF(Distances[[#This Row],[Colonne150]]=$G48,FL48,Distances[[#This Row],[Colonne150]]+1)</f>
        <v>100</v>
      </c>
      <c r="FN48" s="17">
        <f>IF(Distances[[#This Row],[Colonne151]]=$G48,FM48,Distances[[#This Row],[Colonne151]]+1)</f>
        <v>100</v>
      </c>
      <c r="FO48" s="17">
        <f>IF(Distances[[#This Row],[Colonne152]]=$G48,FN48,Distances[[#This Row],[Colonne152]]+1)</f>
        <v>100</v>
      </c>
      <c r="FP48" s="17">
        <f>IF(Distances[[#This Row],[Colonne153]]=$G48,FO48,Distances[[#This Row],[Colonne153]]+1)</f>
        <v>100</v>
      </c>
      <c r="FQ48" s="17">
        <f>IF(Distances[[#This Row],[Colonne154]]=$G48,FP48,Distances[[#This Row],[Colonne154]]+1)</f>
        <v>100</v>
      </c>
      <c r="FR48" s="17">
        <f>IF(Distances[[#This Row],[Colonne155]]=$G48,FQ48,Distances[[#This Row],[Colonne155]]+1)</f>
        <v>100</v>
      </c>
      <c r="FS48" s="17">
        <f>IF(Distances[[#This Row],[Colonne156]]=$G48,FR48,Distances[[#This Row],[Colonne156]]+1)</f>
        <v>100</v>
      </c>
      <c r="FT48" s="17">
        <f>IF(Distances[[#This Row],[Colonne157]]=$G48,FS48,Distances[[#This Row],[Colonne157]]+1)</f>
        <v>100</v>
      </c>
      <c r="FU48" s="17">
        <f>IF(Distances[[#This Row],[Colonne158]]=$G48,FT48,Distances[[#This Row],[Colonne158]]+1)</f>
        <v>100</v>
      </c>
      <c r="FV48" s="17">
        <f>IF(Distances[[#This Row],[Colonne159]]=$G48,FU48,Distances[[#This Row],[Colonne159]]+1)</f>
        <v>100</v>
      </c>
      <c r="FW48" s="17">
        <f>IF(Distances[[#This Row],[Colonne160]]=$G48,FV48,Distances[[#This Row],[Colonne160]]+1)</f>
        <v>100</v>
      </c>
      <c r="FX48" s="17">
        <f>IF(Distances[[#This Row],[Colonne161]]=$G48,FW48,Distances[[#This Row],[Colonne161]]+1)</f>
        <v>100</v>
      </c>
      <c r="FY48" s="17">
        <f>IF(Distances[[#This Row],[Colonne162]]=$G48,FX48,Distances[[#This Row],[Colonne162]]+1)</f>
        <v>100</v>
      </c>
      <c r="FZ48" s="17">
        <f>IF(Distances[[#This Row],[Colonne163]]=$G48,FY48,Distances[[#This Row],[Colonne163]]+1)</f>
        <v>100</v>
      </c>
      <c r="GA48" s="17">
        <f>IF(Distances[[#This Row],[Colonne164]]=$G48,FZ48,Distances[[#This Row],[Colonne164]]+1)</f>
        <v>100</v>
      </c>
      <c r="GB48" s="17">
        <f>IF(Distances[[#This Row],[Colonne165]]=$G48,GA48,Distances[[#This Row],[Colonne165]]+1)</f>
        <v>100</v>
      </c>
      <c r="GC48" s="17">
        <f>IF(Distances[[#This Row],[Colonne166]]=$G48,GB48,Distances[[#This Row],[Colonne166]]+1)</f>
        <v>100</v>
      </c>
      <c r="GD48" s="17">
        <f>IF(Distances[[#This Row],[Colonne167]]=$G48,GC48,Distances[[#This Row],[Colonne167]]+1)</f>
        <v>100</v>
      </c>
      <c r="GE48" s="17">
        <f>IF(Distances[[#This Row],[Colonne168]]=$G48,GD48,Distances[[#This Row],[Colonne168]]+1)</f>
        <v>100</v>
      </c>
      <c r="GF48" s="17">
        <f>IF(Distances[[#This Row],[Colonne169]]=$G48,GE48,Distances[[#This Row],[Colonne169]]+1)</f>
        <v>100</v>
      </c>
      <c r="GG48" s="17">
        <f>IF(Distances[[#This Row],[Colonne170]]=$G48,GF48,Distances[[#This Row],[Colonne170]]+1)</f>
        <v>100</v>
      </c>
      <c r="GH48" s="17">
        <f>IF(Distances[[#This Row],[Colonne171]]=$G48,GG48,Distances[[#This Row],[Colonne171]]+1)</f>
        <v>100</v>
      </c>
      <c r="GI48" s="17">
        <f>IF(Distances[[#This Row],[Colonne172]]=$G48,GH48,Distances[[#This Row],[Colonne172]]+1)</f>
        <v>100</v>
      </c>
      <c r="GJ48" s="17">
        <f>IF(Distances[[#This Row],[Colonne173]]=$G48,GI48,Distances[[#This Row],[Colonne173]]+1)</f>
        <v>100</v>
      </c>
      <c r="GK48" s="17">
        <f>IF(Distances[[#This Row],[Colonne174]]=$G48,GJ48,Distances[[#This Row],[Colonne174]]+1)</f>
        <v>100</v>
      </c>
      <c r="GL48" s="17">
        <f>IF(Distances[[#This Row],[Colonne175]]=$G48,GK48,Distances[[#This Row],[Colonne175]]+1)</f>
        <v>100</v>
      </c>
      <c r="GM48" s="17">
        <f>IF(Distances[[#This Row],[Colonne176]]=$G48,GL48,Distances[[#This Row],[Colonne176]]+1)</f>
        <v>100</v>
      </c>
      <c r="GN48" s="17">
        <f>IF(Distances[[#This Row],[Colonne177]]=$G48,GM48,Distances[[#This Row],[Colonne177]]+1)</f>
        <v>100</v>
      </c>
      <c r="GO48" s="17">
        <f>IF(Distances[[#This Row],[Colonne178]]=$G48,GN48,Distances[[#This Row],[Colonne178]]+1)</f>
        <v>100</v>
      </c>
      <c r="GP48" s="17">
        <f>IF(Distances[[#This Row],[Colonne179]]=$G48,GO48,Distances[[#This Row],[Colonne179]]+1)</f>
        <v>100</v>
      </c>
      <c r="GQ48" s="17">
        <f>IF(Distances[[#This Row],[Colonne180]]=$G48,GP48,Distances[[#This Row],[Colonne180]]+1)</f>
        <v>100</v>
      </c>
      <c r="GR48" s="17">
        <f>IF(Distances[[#This Row],[Colonne181]]=$G48,GQ48,Distances[[#This Row],[Colonne181]]+1)</f>
        <v>100</v>
      </c>
      <c r="GS48" s="17">
        <f>IF(Distances[[#This Row],[Colonne182]]=$G48,GR48,Distances[[#This Row],[Colonne182]]+1)</f>
        <v>100</v>
      </c>
      <c r="GT48" s="17">
        <f>IF(Distances[[#This Row],[Colonne183]]=$G48,GS48,Distances[[#This Row],[Colonne183]]+1)</f>
        <v>100</v>
      </c>
      <c r="GU48" s="17">
        <f>IF(Distances[[#This Row],[Colonne184]]=$G48,GT48,Distances[[#This Row],[Colonne184]]+1)</f>
        <v>100</v>
      </c>
      <c r="GV48" s="17">
        <f>IF(Distances[[#This Row],[Colonne185]]=$G48,GU48,Distances[[#This Row],[Colonne185]]+1)</f>
        <v>100</v>
      </c>
      <c r="GW48" s="17">
        <f>IF(Distances[[#This Row],[Colonne186]]=$G48,GV48,Distances[[#This Row],[Colonne186]]+1)</f>
        <v>100</v>
      </c>
      <c r="GX48" s="17">
        <f>IF(Distances[[#This Row],[Colonne187]]=$G48,GW48,Distances[[#This Row],[Colonne187]]+1)</f>
        <v>100</v>
      </c>
      <c r="GY48" s="17">
        <f>IF(Distances[[#This Row],[Colonne188]]=$G48,GX48,Distances[[#This Row],[Colonne188]]+1)</f>
        <v>100</v>
      </c>
      <c r="GZ48" s="17">
        <f>IF(Distances[[#This Row],[Colonne189]]=$G48,GY48,Distances[[#This Row],[Colonne189]]+1)</f>
        <v>100</v>
      </c>
      <c r="HA48" s="17">
        <f>IF(Distances[[#This Row],[Colonne190]]=$G48,GZ48,Distances[[#This Row],[Colonne190]]+1)</f>
        <v>100</v>
      </c>
      <c r="HB48" s="17">
        <f>IF(Distances[[#This Row],[Colonne191]]=$G48,HA48,Distances[[#This Row],[Colonne191]]+1)</f>
        <v>100</v>
      </c>
      <c r="HC48" s="17">
        <f>IF(Distances[[#This Row],[Colonne192]]=$G48,HB48,Distances[[#This Row],[Colonne192]]+1)</f>
        <v>100</v>
      </c>
      <c r="HD48" s="17">
        <f>IF(Distances[[#This Row],[Colonne193]]=$G48,HC48,Distances[[#This Row],[Colonne193]]+1)</f>
        <v>100</v>
      </c>
      <c r="HE48" s="17">
        <f>IF(Distances[[#This Row],[Colonne194]]=$G48,HD48,Distances[[#This Row],[Colonne194]]+1)</f>
        <v>100</v>
      </c>
      <c r="HF48" s="17">
        <f>IF(Distances[[#This Row],[Colonne195]]=$G48,HE48,Distances[[#This Row],[Colonne195]]+1)</f>
        <v>100</v>
      </c>
      <c r="HG48" s="17">
        <f>IF(Distances[[#This Row],[Colonne196]]=$G48,HF48,Distances[[#This Row],[Colonne196]]+1)</f>
        <v>100</v>
      </c>
      <c r="HH48" s="17">
        <f>IF(Distances[[#This Row],[Colonne197]]=$G48,HG48,Distances[[#This Row],[Colonne197]]+1)</f>
        <v>100</v>
      </c>
      <c r="HI48" s="17">
        <f>IF(Distances[[#This Row],[Colonne198]]=$G48,HH48,Distances[[#This Row],[Colonne198]]+1)</f>
        <v>100</v>
      </c>
      <c r="HJ48" s="17">
        <f>IF(Distances[[#This Row],[Colonne199]]=$G48,HI48,Distances[[#This Row],[Colonne199]]+1)</f>
        <v>100</v>
      </c>
      <c r="HK48" s="17">
        <f>IF(Distances[[#This Row],[Colonne200]]=$G48,HJ48,Distances[[#This Row],[Colonne200]]+1)</f>
        <v>100</v>
      </c>
      <c r="HL48" s="17">
        <f>IF(Distances[[#This Row],[Colonne201]]=$G48,HK48,Distances[[#This Row],[Colonne201]]+1)</f>
        <v>100</v>
      </c>
      <c r="HM48" s="17">
        <f>IF(Distances[[#This Row],[Colonne202]]=$G48,HL48,Distances[[#This Row],[Colonne202]]+1)</f>
        <v>100</v>
      </c>
      <c r="HN48" s="17">
        <f>IF(Distances[[#This Row],[Colonne203]]=$G48,HM48,Distances[[#This Row],[Colonne203]]+1)</f>
        <v>100</v>
      </c>
      <c r="HO48" s="17">
        <f>IF(Distances[[#This Row],[Colonne204]]=$G48,HN48,Distances[[#This Row],[Colonne204]]+1)</f>
        <v>100</v>
      </c>
      <c r="HP48" s="17">
        <f>IF(Distances[[#This Row],[Colonne205]]=$G48,HO48,Distances[[#This Row],[Colonne205]]+1)</f>
        <v>100</v>
      </c>
      <c r="HQ48" s="17">
        <f>IF(Distances[[#This Row],[Colonne206]]=$G48,HP48,Distances[[#This Row],[Colonne206]]+1)</f>
        <v>100</v>
      </c>
      <c r="HR48" s="17">
        <f>IF(Distances[[#This Row],[Colonne207]]=$G48,HQ48,Distances[[#This Row],[Colonne207]]+1)</f>
        <v>100</v>
      </c>
      <c r="HS48" s="17">
        <f>IF(Distances[[#This Row],[Colonne208]]=$G48,HR48,Distances[[#This Row],[Colonne208]]+1)</f>
        <v>100</v>
      </c>
      <c r="HT48" s="17">
        <f>IF(Distances[[#This Row],[Colonne209]]=$G48,HS48,Distances[[#This Row],[Colonne209]]+1)</f>
        <v>100</v>
      </c>
      <c r="HU48" s="17">
        <f>IF(Distances[[#This Row],[Colonne210]]=$G48,HT48,Distances[[#This Row],[Colonne210]]+1)</f>
        <v>100</v>
      </c>
      <c r="HV48" s="17">
        <f>IF(Distances[[#This Row],[Colonne211]]=$G48,HU48,Distances[[#This Row],[Colonne211]]+1)</f>
        <v>100</v>
      </c>
      <c r="HW48" s="17">
        <f>IF(Distances[[#This Row],[Colonne212]]=$G48,HV48,Distances[[#This Row],[Colonne212]]+1)</f>
        <v>100</v>
      </c>
      <c r="HX48" s="17">
        <f>IF(Distances[[#This Row],[Colonne213]]=$G48,HW48,Distances[[#This Row],[Colonne213]]+1)</f>
        <v>100</v>
      </c>
      <c r="HY48" s="17">
        <f>IF(Distances[[#This Row],[Colonne214]]=$G48,HX48,Distances[[#This Row],[Colonne214]]+1)</f>
        <v>100</v>
      </c>
      <c r="HZ48" s="17">
        <f>IF(Distances[[#This Row],[Colonne215]]=$G48,HY48,Distances[[#This Row],[Colonne215]]+1)</f>
        <v>100</v>
      </c>
      <c r="IA48" s="17">
        <f>IF(Distances[[#This Row],[Colonne216]]=$G48,HZ48,Distances[[#This Row],[Colonne216]]+1)</f>
        <v>100</v>
      </c>
      <c r="IB48" s="17">
        <f>IF(Distances[[#This Row],[Colonne217]]=$G48,IA48,Distances[[#This Row],[Colonne217]]+1)</f>
        <v>100</v>
      </c>
      <c r="IC48" s="17">
        <f>IF(Distances[[#This Row],[Colonne218]]=$G48,IB48,Distances[[#This Row],[Colonne218]]+1)</f>
        <v>100</v>
      </c>
      <c r="ID48" s="17">
        <f>IF(Distances[[#This Row],[Colonne219]]=$G48,IC48,Distances[[#This Row],[Colonne219]]+1)</f>
        <v>100</v>
      </c>
      <c r="IE48" s="17">
        <f>IF(Distances[[#This Row],[Colonne220]]=$G48,ID48,Distances[[#This Row],[Colonne220]]+1)</f>
        <v>100</v>
      </c>
      <c r="IF48" s="17">
        <f>IF(Distances[[#This Row],[Colonne221]]=$G48,IE48,Distances[[#This Row],[Colonne221]]+1)</f>
        <v>100</v>
      </c>
      <c r="IG48" s="17">
        <f>IF(Distances[[#This Row],[Colonne222]]=$G48,IF48,Distances[[#This Row],[Colonne222]]+1)</f>
        <v>100</v>
      </c>
      <c r="IH48" s="17">
        <f>IF(Distances[[#This Row],[Colonne223]]=$G48,IG48,Distances[[#This Row],[Colonne223]]+1)</f>
        <v>100</v>
      </c>
      <c r="II48" s="17">
        <f>IF(Distances[[#This Row],[Colonne224]]=$G48,IH48,Distances[[#This Row],[Colonne224]]+1)</f>
        <v>100</v>
      </c>
      <c r="IJ48" s="17">
        <f>IF(Distances[[#This Row],[Colonne225]]=$G48,II48,Distances[[#This Row],[Colonne225]]+1)</f>
        <v>100</v>
      </c>
      <c r="IK48" s="17">
        <f>IF(Distances[[#This Row],[Colonne226]]=$G48,IJ48,Distances[[#This Row],[Colonne226]]+1)</f>
        <v>100</v>
      </c>
      <c r="IL48" s="17">
        <f>IF(Distances[[#This Row],[Colonne227]]=$G48,IK48,Distances[[#This Row],[Colonne227]]+1)</f>
        <v>100</v>
      </c>
      <c r="IM48" s="17">
        <f>IF(Distances[[#This Row],[Colonne228]]=$G48,IL48,Distances[[#This Row],[Colonne228]]+1)</f>
        <v>100</v>
      </c>
      <c r="IN48" s="17">
        <f>IF(Distances[[#This Row],[Colonne229]]=$G48,IM48,Distances[[#This Row],[Colonne229]]+1)</f>
        <v>100</v>
      </c>
      <c r="IO48" s="17">
        <f>IF(Distances[[#This Row],[Colonne230]]=$G48,IN48,Distances[[#This Row],[Colonne230]]+1)</f>
        <v>100</v>
      </c>
      <c r="IP48" s="17">
        <f>IF(Distances[[#This Row],[Colonne231]]=$G48,IO48,Distances[[#This Row],[Colonne231]]+1)</f>
        <v>100</v>
      </c>
      <c r="IQ48" s="17">
        <f>IF(Distances[[#This Row],[Colonne232]]=$G48,IP48,Distances[[#This Row],[Colonne232]]+1)</f>
        <v>100</v>
      </c>
      <c r="IR48" s="17">
        <f>IF(Distances[[#This Row],[Colonne233]]=$G48,IQ48,Distances[[#This Row],[Colonne233]]+1)</f>
        <v>100</v>
      </c>
      <c r="IS48" s="17">
        <f>IF(Distances[[#This Row],[Colonne234]]=$G48,IR48,Distances[[#This Row],[Colonne234]]+1)</f>
        <v>100</v>
      </c>
      <c r="IT48" s="17">
        <f>IF(Distances[[#This Row],[Colonne235]]=$G48,IS48,Distances[[#This Row],[Colonne235]]+1)</f>
        <v>100</v>
      </c>
      <c r="IU48" s="17">
        <f>IF(Distances[[#This Row],[Colonne236]]=$G48,IT48,Distances[[#This Row],[Colonne236]]+1)</f>
        <v>100</v>
      </c>
      <c r="IV48" s="17">
        <f>IF(Distances[[#This Row],[Colonne237]]=$G48,IU48,Distances[[#This Row],[Colonne237]]+1)</f>
        <v>100</v>
      </c>
      <c r="IW48" s="17">
        <f>IF(Distances[[#This Row],[Colonne238]]=$G48,IV48,Distances[[#This Row],[Colonne238]]+1)</f>
        <v>100</v>
      </c>
      <c r="IX48" s="17">
        <f>IF(Distances[[#This Row],[Colonne239]]=$G48,IW48,Distances[[#This Row],[Colonne239]]+1)</f>
        <v>100</v>
      </c>
      <c r="IY48" s="17">
        <f>IF(Distances[[#This Row],[Colonne240]]=$G48,IX48,Distances[[#This Row],[Colonne240]]+1)</f>
        <v>100</v>
      </c>
      <c r="IZ48" s="17">
        <f>IF(Distances[[#This Row],[Colonne241]]=$G48,IY48,Distances[[#This Row],[Colonne241]]+1)</f>
        <v>100</v>
      </c>
      <c r="JA48" s="17">
        <f>IF(Distances[[#This Row],[Colonne242]]=$G48,IZ48,Distances[[#This Row],[Colonne242]]+1)</f>
        <v>100</v>
      </c>
      <c r="JB48" s="17">
        <f>IF(Distances[[#This Row],[Colonne243]]=$G48,JA48,Distances[[#This Row],[Colonne243]]+1)</f>
        <v>100</v>
      </c>
      <c r="JC48" s="17">
        <f>IF(Distances[[#This Row],[Colonne244]]=$G48,JB48,Distances[[#This Row],[Colonne244]]+1)</f>
        <v>100</v>
      </c>
      <c r="JD48" s="17">
        <f>IF(Distances[[#This Row],[Colonne245]]=$G48,JC48,Distances[[#This Row],[Colonne245]]+1)</f>
        <v>100</v>
      </c>
      <c r="JE48" s="17">
        <f>IF(Distances[[#This Row],[Colonne246]]=$G48,JD48,Distances[[#This Row],[Colonne246]]+1)</f>
        <v>100</v>
      </c>
      <c r="JF48" s="17">
        <f>IF(Distances[[#This Row],[Colonne247]]=$G48,JE48,Distances[[#This Row],[Colonne247]]+1)</f>
        <v>100</v>
      </c>
      <c r="JG48" s="17">
        <f>IF(Distances[[#This Row],[Colonne248]]=$G48,JF48,Distances[[#This Row],[Colonne248]]+1)</f>
        <v>100</v>
      </c>
      <c r="JH48" s="17">
        <f>IF(Distances[[#This Row],[Colonne249]]=$G48,JG48,Distances[[#This Row],[Colonne249]]+1)</f>
        <v>100</v>
      </c>
      <c r="JI48" s="17">
        <f>IF(Distances[[#This Row],[Colonne250]]=$G48,JH48,Distances[[#This Row],[Colonne250]]+1)</f>
        <v>100</v>
      </c>
      <c r="JJ48" s="17">
        <f>IF(Distances[[#This Row],[Colonne251]]=$G48,JI48,Distances[[#This Row],[Colonne251]]+1)</f>
        <v>100</v>
      </c>
      <c r="JK48" s="17">
        <f>IF(Distances[[#This Row],[Colonne252]]=$G48,JJ48,Distances[[#This Row],[Colonne252]]+1)</f>
        <v>100</v>
      </c>
      <c r="JL48" s="17">
        <f>IF(Distances[[#This Row],[Colonne253]]=$G48,JK48,Distances[[#This Row],[Colonne253]]+1)</f>
        <v>100</v>
      </c>
      <c r="JM48" s="17">
        <f>IF(Distances[[#This Row],[Colonne254]]=$G48,JL48,Distances[[#This Row],[Colonne254]]+1)</f>
        <v>100</v>
      </c>
      <c r="JN48" s="17">
        <f>IF(Distances[[#This Row],[Colonne255]]=$G48,JM48,Distances[[#This Row],[Colonne255]]+1)</f>
        <v>100</v>
      </c>
      <c r="JO48" s="17">
        <f>IF(Distances[[#This Row],[Colonne256]]=$G48,JN48,Distances[[#This Row],[Colonne256]]+1)</f>
        <v>100</v>
      </c>
      <c r="JP48" s="17">
        <f>IF(Distances[[#This Row],[Colonne257]]=$G48,JO48,Distances[[#This Row],[Colonne257]]+1)</f>
        <v>100</v>
      </c>
      <c r="JQ48" s="17">
        <f>IF(Distances[[#This Row],[Colonne258]]=$G48,JP48,Distances[[#This Row],[Colonne258]]+1)</f>
        <v>100</v>
      </c>
      <c r="JR48" s="17">
        <f>IF(Distances[[#This Row],[Colonne259]]=$G48,JQ48,Distances[[#This Row],[Colonne259]]+1)</f>
        <v>100</v>
      </c>
      <c r="JS48" s="17">
        <f>IF(Distances[[#This Row],[Colonne260]]=$G48,JR48,Distances[[#This Row],[Colonne260]]+1)</f>
        <v>100</v>
      </c>
      <c r="JT48" s="17">
        <f>IF(Distances[[#This Row],[Colonne261]]=$G48,JS48,Distances[[#This Row],[Colonne261]]+1)</f>
        <v>100</v>
      </c>
      <c r="JU48" s="17">
        <f>IF(Distances[[#This Row],[Colonne262]]=$G48,JT48,Distances[[#This Row],[Colonne262]]+1)</f>
        <v>100</v>
      </c>
      <c r="JV48" s="17">
        <f>IF(Distances[[#This Row],[Colonne263]]=$G48,JU48,Distances[[#This Row],[Colonne263]]+1)</f>
        <v>100</v>
      </c>
      <c r="JW48" s="17">
        <f>IF(Distances[[#This Row],[Colonne264]]=$G48,JV48,Distances[[#This Row],[Colonne264]]+1)</f>
        <v>100</v>
      </c>
      <c r="JX48" s="17">
        <f>IF(Distances[[#This Row],[Colonne265]]=$G48,JW48,Distances[[#This Row],[Colonne265]]+1)</f>
        <v>100</v>
      </c>
      <c r="JY48" s="17">
        <f>IF(Distances[[#This Row],[Colonne266]]=$G48,JX48,Distances[[#This Row],[Colonne266]]+1)</f>
        <v>100</v>
      </c>
      <c r="JZ48" s="17">
        <f>IF(Distances[[#This Row],[Colonne267]]=$G48,JY48,Distances[[#This Row],[Colonne267]]+1)</f>
        <v>100</v>
      </c>
      <c r="KA48" s="17">
        <f>IF(Distances[[#This Row],[Colonne268]]=$G48,JZ48,Distances[[#This Row],[Colonne268]]+1)</f>
        <v>100</v>
      </c>
      <c r="KB48" s="17">
        <f>IF(Distances[[#This Row],[Colonne269]]=$G48,KA48,Distances[[#This Row],[Colonne269]]+1)</f>
        <v>100</v>
      </c>
      <c r="KC48" s="17">
        <f>IF(Distances[[#This Row],[Colonne270]]=$G48,KB48,Distances[[#This Row],[Colonne270]]+1)</f>
        <v>100</v>
      </c>
      <c r="KD48" s="17">
        <f>IF(Distances[[#This Row],[Colonne271]]=$G48,KC48,Distances[[#This Row],[Colonne271]]+1)</f>
        <v>100</v>
      </c>
      <c r="KE48" s="17">
        <f>IF(Distances[[#This Row],[Colonne272]]=$G48,KD48,Distances[[#This Row],[Colonne272]]+1)</f>
        <v>100</v>
      </c>
      <c r="KF48" s="17">
        <f>IF(Distances[[#This Row],[Colonne273]]=$G48,KE48,Distances[[#This Row],[Colonne273]]+1)</f>
        <v>100</v>
      </c>
      <c r="KG48" s="17">
        <f>IF(Distances[[#This Row],[Colonne274]]=$G48,KF48,Distances[[#This Row],[Colonne274]]+1)</f>
        <v>100</v>
      </c>
      <c r="KH48" s="17">
        <f>IF(Distances[[#This Row],[Colonne275]]=$G48,KG48,Distances[[#This Row],[Colonne275]]+1)</f>
        <v>100</v>
      </c>
      <c r="KI48" s="17">
        <f>IF(Distances[[#This Row],[Colonne276]]=$G48,KH48,Distances[[#This Row],[Colonne276]]+1)</f>
        <v>100</v>
      </c>
      <c r="KJ48" s="17">
        <f>IF(Distances[[#This Row],[Colonne277]]=$G48,KI48,Distances[[#This Row],[Colonne277]]+1)</f>
        <v>100</v>
      </c>
      <c r="KK48" s="17">
        <f>IF(Distances[[#This Row],[Colonne278]]=$G48,KJ48,Distances[[#This Row],[Colonne278]]+1)</f>
        <v>100</v>
      </c>
      <c r="KL48" s="17">
        <f>IF(Distances[[#This Row],[Colonne279]]=$G48,KK48,Distances[[#This Row],[Colonne279]]+1)</f>
        <v>100</v>
      </c>
      <c r="KM48" s="17">
        <f>IF(Distances[[#This Row],[Colonne280]]=$G48,KL48,Distances[[#This Row],[Colonne280]]+1)</f>
        <v>100</v>
      </c>
      <c r="KN48" s="17">
        <f>IF(Distances[[#This Row],[Colonne281]]=$G48,KM48,Distances[[#This Row],[Colonne281]]+1)</f>
        <v>100</v>
      </c>
      <c r="KO48" s="17">
        <f>IF(Distances[[#This Row],[Colonne282]]=$G48,KN48,Distances[[#This Row],[Colonne282]]+1)</f>
        <v>100</v>
      </c>
      <c r="KP48" s="17">
        <f>IF(Distances[[#This Row],[Colonne283]]=$G48,KO48,Distances[[#This Row],[Colonne283]]+1)</f>
        <v>100</v>
      </c>
      <c r="KQ48" s="17">
        <f>IF(Distances[[#This Row],[Colonne284]]=$G48,KP48,Distances[[#This Row],[Colonne284]]+1)</f>
        <v>100</v>
      </c>
      <c r="KR48" s="17">
        <f>IF(Distances[[#This Row],[Colonne285]]=$G48,KQ48,Distances[[#This Row],[Colonne285]]+1)</f>
        <v>100</v>
      </c>
      <c r="KS48" s="17">
        <f>IF(Distances[[#This Row],[Colonne286]]=$G48,KR48,Distances[[#This Row],[Colonne286]]+1)</f>
        <v>100</v>
      </c>
      <c r="KT48" s="17">
        <f>IF(Distances[[#This Row],[Colonne287]]=$G48,KS48,Distances[[#This Row],[Colonne287]]+1)</f>
        <v>100</v>
      </c>
      <c r="KU48" s="17">
        <f>IF(Distances[[#This Row],[Colonne288]]=$G48,KT48,Distances[[#This Row],[Colonne288]]+1)</f>
        <v>100</v>
      </c>
      <c r="KV48" s="17">
        <f>IF(Distances[[#This Row],[Colonne289]]=$G48,KU48,Distances[[#This Row],[Colonne289]]+1)</f>
        <v>100</v>
      </c>
      <c r="KW48" s="17">
        <f>IF(Distances[[#This Row],[Colonne290]]=$G48,KV48,Distances[[#This Row],[Colonne290]]+1)</f>
        <v>100</v>
      </c>
      <c r="KX48" s="17">
        <f>IF(Distances[[#This Row],[Colonne291]]=$G48,KW48,Distances[[#This Row],[Colonne291]]+1)</f>
        <v>100</v>
      </c>
      <c r="KY48" s="17">
        <f>IF(Distances[[#This Row],[Colonne292]]=$G48,KX48,Distances[[#This Row],[Colonne292]]+1)</f>
        <v>100</v>
      </c>
      <c r="KZ48" s="17">
        <f>IF(Distances[[#This Row],[Colonne293]]=$G48,KY48,Distances[[#This Row],[Colonne293]]+1)</f>
        <v>100</v>
      </c>
      <c r="LA48" s="17">
        <f>IF(Distances[[#This Row],[Colonne294]]=$G48,KZ48,Distances[[#This Row],[Colonne294]]+1)</f>
        <v>100</v>
      </c>
      <c r="LB48" s="17">
        <f>IF(Distances[[#This Row],[Colonne295]]=$G48,LA48,Distances[[#This Row],[Colonne295]]+1)</f>
        <v>100</v>
      </c>
      <c r="LC48" s="17">
        <f>IF(Distances[[#This Row],[Colonne296]]=$G48,LB48,Distances[[#This Row],[Colonne296]]+1)</f>
        <v>100</v>
      </c>
      <c r="LD48" s="17">
        <f>IF(Distances[[#This Row],[Colonne297]]=$G48,LC48,Distances[[#This Row],[Colonne297]]+1)</f>
        <v>100</v>
      </c>
      <c r="LE48" s="17">
        <f>IF(Distances[[#This Row],[Colonne298]]=$G48,LD48,Distances[[#This Row],[Colonne298]]+1)</f>
        <v>100</v>
      </c>
      <c r="LF48" s="17">
        <f>IF(Distances[[#This Row],[Colonne299]]=$G48,LE48,Distances[[#This Row],[Colonne299]]+1)</f>
        <v>100</v>
      </c>
      <c r="LG48" s="17">
        <f>IF(Distances[[#This Row],[Colonne300]]=$G48,LF48,Distances[[#This Row],[Colonne300]]+1)</f>
        <v>100</v>
      </c>
      <c r="LH48" s="17">
        <f>IF(Distances[[#This Row],[Colonne301]]=$G48,LG48,Distances[[#This Row],[Colonne301]]+1)</f>
        <v>100</v>
      </c>
      <c r="LI48" s="17">
        <f>IF(Distances[[#This Row],[Colonne302]]=$G48,LH48,Distances[[#This Row],[Colonne302]]+1)</f>
        <v>100</v>
      </c>
      <c r="LJ48" s="17">
        <f>IF(Distances[[#This Row],[Colonne303]]=$G48,LI48,Distances[[#This Row],[Colonne303]]+1)</f>
        <v>100</v>
      </c>
      <c r="LK48" s="51"/>
      <c r="LL48" s="17">
        <f t="shared" ref="LL48:NW48" si="96">IF(LK48=$H48,LK48,LK48+1)</f>
        <v>1</v>
      </c>
      <c r="LM48" s="17">
        <f t="shared" si="96"/>
        <v>2</v>
      </c>
      <c r="LN48" s="17">
        <f t="shared" si="96"/>
        <v>3</v>
      </c>
      <c r="LO48" s="17">
        <f t="shared" si="96"/>
        <v>4</v>
      </c>
      <c r="LP48" s="17">
        <f t="shared" si="96"/>
        <v>5</v>
      </c>
      <c r="LQ48" s="17">
        <f t="shared" si="96"/>
        <v>6</v>
      </c>
      <c r="LR48" s="17">
        <f t="shared" si="96"/>
        <v>7</v>
      </c>
      <c r="LS48" s="17">
        <f t="shared" si="96"/>
        <v>8</v>
      </c>
      <c r="LT48" s="17">
        <f t="shared" si="96"/>
        <v>9</v>
      </c>
      <c r="LU48" s="17">
        <f t="shared" si="96"/>
        <v>10</v>
      </c>
      <c r="LV48" s="17">
        <f t="shared" si="96"/>
        <v>11</v>
      </c>
      <c r="LW48" s="17">
        <f t="shared" si="96"/>
        <v>12</v>
      </c>
      <c r="LX48" s="17">
        <f t="shared" si="96"/>
        <v>13</v>
      </c>
      <c r="LY48" s="17">
        <f t="shared" si="96"/>
        <v>14</v>
      </c>
      <c r="LZ48" s="17">
        <f t="shared" si="96"/>
        <v>15</v>
      </c>
      <c r="MA48" s="17">
        <f t="shared" si="96"/>
        <v>16</v>
      </c>
      <c r="MB48" s="17">
        <f t="shared" si="96"/>
        <v>17</v>
      </c>
      <c r="MC48" s="17">
        <f t="shared" si="96"/>
        <v>18</v>
      </c>
      <c r="MD48" s="17">
        <f t="shared" si="96"/>
        <v>19</v>
      </c>
      <c r="ME48" s="17">
        <f t="shared" si="96"/>
        <v>20</v>
      </c>
      <c r="MF48" s="17">
        <f t="shared" si="96"/>
        <v>21</v>
      </c>
      <c r="MG48" s="17">
        <f t="shared" si="96"/>
        <v>22</v>
      </c>
      <c r="MH48" s="17">
        <f t="shared" si="96"/>
        <v>23</v>
      </c>
      <c r="MI48" s="17">
        <f t="shared" si="96"/>
        <v>24</v>
      </c>
      <c r="MJ48" s="17">
        <f t="shared" si="96"/>
        <v>25</v>
      </c>
      <c r="MK48" s="17">
        <f t="shared" si="96"/>
        <v>25</v>
      </c>
      <c r="ML48" s="17">
        <f t="shared" si="96"/>
        <v>25</v>
      </c>
      <c r="MM48" s="17">
        <f t="shared" si="96"/>
        <v>25</v>
      </c>
      <c r="MN48" s="17">
        <f t="shared" si="96"/>
        <v>25</v>
      </c>
      <c r="MO48" s="17">
        <f t="shared" si="96"/>
        <v>25</v>
      </c>
      <c r="MP48" s="17">
        <f t="shared" si="96"/>
        <v>25</v>
      </c>
      <c r="MQ48" s="17">
        <f t="shared" si="96"/>
        <v>25</v>
      </c>
      <c r="MR48" s="17">
        <f t="shared" si="96"/>
        <v>25</v>
      </c>
      <c r="MS48" s="17">
        <f t="shared" si="96"/>
        <v>25</v>
      </c>
      <c r="MT48" s="17">
        <f t="shared" si="96"/>
        <v>25</v>
      </c>
      <c r="MU48" s="17">
        <f t="shared" si="96"/>
        <v>25</v>
      </c>
      <c r="MV48" s="17">
        <f t="shared" si="96"/>
        <v>25</v>
      </c>
      <c r="MW48" s="17">
        <f t="shared" si="96"/>
        <v>25</v>
      </c>
      <c r="MX48" s="17">
        <f t="shared" si="96"/>
        <v>25</v>
      </c>
      <c r="MY48" s="17">
        <f t="shared" si="96"/>
        <v>25</v>
      </c>
      <c r="MZ48" s="17">
        <f t="shared" si="96"/>
        <v>25</v>
      </c>
      <c r="NA48" s="17">
        <f t="shared" si="96"/>
        <v>25</v>
      </c>
      <c r="NB48" s="17">
        <f t="shared" si="96"/>
        <v>25</v>
      </c>
      <c r="NC48" s="17">
        <f t="shared" si="96"/>
        <v>25</v>
      </c>
      <c r="ND48" s="17">
        <f t="shared" si="96"/>
        <v>25</v>
      </c>
      <c r="NE48" s="17">
        <f t="shared" si="96"/>
        <v>25</v>
      </c>
      <c r="NF48" s="17">
        <f t="shared" si="96"/>
        <v>25</v>
      </c>
      <c r="NG48" s="17">
        <f t="shared" si="96"/>
        <v>25</v>
      </c>
      <c r="NH48" s="17">
        <f t="shared" si="96"/>
        <v>25</v>
      </c>
      <c r="NI48" s="17">
        <f t="shared" si="96"/>
        <v>25</v>
      </c>
      <c r="NJ48" s="17">
        <f t="shared" si="96"/>
        <v>25</v>
      </c>
      <c r="NK48" s="17">
        <f t="shared" si="96"/>
        <v>25</v>
      </c>
      <c r="NL48" s="17">
        <f t="shared" si="96"/>
        <v>25</v>
      </c>
      <c r="NM48" s="17">
        <f t="shared" si="96"/>
        <v>25</v>
      </c>
      <c r="NN48" s="17">
        <f t="shared" si="96"/>
        <v>25</v>
      </c>
      <c r="NO48" s="17">
        <f t="shared" si="96"/>
        <v>25</v>
      </c>
      <c r="NP48" s="17">
        <f t="shared" si="96"/>
        <v>25</v>
      </c>
      <c r="NQ48" s="17">
        <f t="shared" si="96"/>
        <v>25</v>
      </c>
      <c r="NR48" s="17">
        <f t="shared" si="96"/>
        <v>25</v>
      </c>
      <c r="NS48" s="17">
        <f t="shared" si="96"/>
        <v>25</v>
      </c>
      <c r="NT48" s="17">
        <f t="shared" si="96"/>
        <v>25</v>
      </c>
      <c r="NU48" s="17">
        <f t="shared" si="96"/>
        <v>25</v>
      </c>
      <c r="NV48" s="17">
        <f t="shared" si="96"/>
        <v>25</v>
      </c>
      <c r="NW48" s="17">
        <f t="shared" si="96"/>
        <v>25</v>
      </c>
      <c r="NX48" s="17">
        <f t="shared" ref="NX48:PG48" si="97">IF(NW48=$H48,NW48,NW48+1)</f>
        <v>25</v>
      </c>
      <c r="NY48" s="17">
        <f t="shared" si="97"/>
        <v>25</v>
      </c>
      <c r="NZ48" s="17">
        <f t="shared" si="97"/>
        <v>25</v>
      </c>
      <c r="OA48" s="17">
        <f t="shared" si="97"/>
        <v>25</v>
      </c>
      <c r="OB48" s="17">
        <f t="shared" si="97"/>
        <v>25</v>
      </c>
      <c r="OC48" s="17">
        <f t="shared" si="97"/>
        <v>25</v>
      </c>
      <c r="OD48" s="17">
        <f t="shared" si="97"/>
        <v>25</v>
      </c>
      <c r="OE48" s="17">
        <f t="shared" si="97"/>
        <v>25</v>
      </c>
      <c r="OF48" s="17">
        <f t="shared" si="97"/>
        <v>25</v>
      </c>
      <c r="OG48" s="17">
        <f t="shared" si="97"/>
        <v>25</v>
      </c>
      <c r="OH48" s="17">
        <f t="shared" si="97"/>
        <v>25</v>
      </c>
      <c r="OI48" s="17">
        <f t="shared" si="97"/>
        <v>25</v>
      </c>
      <c r="OJ48" s="17">
        <f t="shared" si="97"/>
        <v>25</v>
      </c>
      <c r="OK48" s="17">
        <f t="shared" si="97"/>
        <v>25</v>
      </c>
      <c r="OL48" s="17">
        <f t="shared" si="97"/>
        <v>25</v>
      </c>
      <c r="OM48" s="17">
        <f t="shared" si="97"/>
        <v>25</v>
      </c>
      <c r="ON48" s="17">
        <f t="shared" si="97"/>
        <v>25</v>
      </c>
      <c r="OO48" s="17">
        <f t="shared" si="97"/>
        <v>25</v>
      </c>
      <c r="OP48" s="17">
        <f t="shared" si="97"/>
        <v>25</v>
      </c>
      <c r="OQ48" s="17">
        <f t="shared" si="97"/>
        <v>25</v>
      </c>
      <c r="OR48" s="17">
        <f t="shared" si="97"/>
        <v>25</v>
      </c>
      <c r="OS48" s="17">
        <f t="shared" si="97"/>
        <v>25</v>
      </c>
      <c r="OT48" s="17">
        <f t="shared" si="97"/>
        <v>25</v>
      </c>
      <c r="OU48" s="17">
        <f t="shared" si="97"/>
        <v>25</v>
      </c>
      <c r="OV48" s="17">
        <f t="shared" si="97"/>
        <v>25</v>
      </c>
      <c r="OW48" s="17">
        <f t="shared" si="97"/>
        <v>25</v>
      </c>
      <c r="OX48" s="17">
        <f t="shared" si="97"/>
        <v>25</v>
      </c>
      <c r="OY48" s="17">
        <f t="shared" si="97"/>
        <v>25</v>
      </c>
      <c r="OZ48" s="17">
        <f t="shared" si="97"/>
        <v>25</v>
      </c>
      <c r="PA48" s="17">
        <f t="shared" si="97"/>
        <v>25</v>
      </c>
      <c r="PB48" s="17">
        <f t="shared" si="97"/>
        <v>25</v>
      </c>
      <c r="PC48" s="17">
        <f t="shared" si="97"/>
        <v>25</v>
      </c>
      <c r="PD48" s="17">
        <f t="shared" si="97"/>
        <v>25</v>
      </c>
      <c r="PE48" s="17">
        <f t="shared" si="97"/>
        <v>25</v>
      </c>
      <c r="PF48" s="17">
        <f t="shared" si="97"/>
        <v>25</v>
      </c>
      <c r="PG48" s="17">
        <f t="shared" si="97"/>
        <v>25</v>
      </c>
    </row>
    <row r="49" spans="1:423" x14ac:dyDescent="0.25">
      <c r="A49" s="8" t="s">
        <v>5506</v>
      </c>
      <c r="B49" s="9" t="s">
        <v>5503</v>
      </c>
      <c r="C49" s="9" t="str">
        <f t="shared" si="72"/>
        <v>CR1</v>
      </c>
      <c r="D49" s="1" t="str">
        <f t="shared" si="73"/>
        <v>Cadre R1</v>
      </c>
      <c r="E49" s="1" t="s">
        <v>15</v>
      </c>
      <c r="F49" s="9" t="s">
        <v>5508</v>
      </c>
      <c r="G49" s="9">
        <v>60</v>
      </c>
      <c r="H49" s="9">
        <v>30</v>
      </c>
      <c r="I49" s="127">
        <v>2.8</v>
      </c>
      <c r="J49" s="30"/>
      <c r="K49" s="281" t="s">
        <v>5540</v>
      </c>
      <c r="L49" s="8">
        <v>0</v>
      </c>
      <c r="M49" s="9">
        <v>0</v>
      </c>
      <c r="N49" s="10">
        <v>3.4990000000000001</v>
      </c>
      <c r="O49" s="269"/>
      <c r="P49" s="331"/>
      <c r="Q49" s="335"/>
      <c r="R49" s="128">
        <v>1</v>
      </c>
      <c r="S49" s="9">
        <v>1</v>
      </c>
      <c r="T49" s="10">
        <v>2</v>
      </c>
      <c r="U49" t="s">
        <v>5523</v>
      </c>
      <c r="V49" s="17">
        <v>0</v>
      </c>
      <c r="W49" s="17">
        <f>IF(Distances[[#This Row],[Colonne4]]=$G49,V49,Distances[[#This Row],[Colonne4]]+1)</f>
        <v>1</v>
      </c>
      <c r="X49" s="17">
        <f>IF(Distances[[#This Row],[Colonne5]]=$G49,W49,Distances[[#This Row],[Colonne5]]+1)</f>
        <v>2</v>
      </c>
      <c r="Y49" s="17">
        <f>IF(Distances[[#This Row],[Colonne6]]=$G49,X49,Distances[[#This Row],[Colonne6]]+1)</f>
        <v>3</v>
      </c>
      <c r="Z49" s="17">
        <f>IF(Distances[[#This Row],[Colonne7]]=$G49,Y49,Distances[[#This Row],[Colonne7]]+1)</f>
        <v>4</v>
      </c>
      <c r="AA49" s="17">
        <f>IF(Distances[[#This Row],[Colonne8]]=$G49,Z49,Distances[[#This Row],[Colonne8]]+1)</f>
        <v>5</v>
      </c>
      <c r="AB49" s="17">
        <f>IF(Distances[[#This Row],[Colonne9]]=$G49,AA49,Distances[[#This Row],[Colonne9]]+1)</f>
        <v>6</v>
      </c>
      <c r="AC49" s="17">
        <f>IF(Distances[[#This Row],[Colonne10]]=$G49,AB49,Distances[[#This Row],[Colonne10]]+1)</f>
        <v>7</v>
      </c>
      <c r="AD49" s="17">
        <f>IF(Distances[[#This Row],[Colonne11]]=$G49,AC49,Distances[[#This Row],[Colonne11]]+1)</f>
        <v>8</v>
      </c>
      <c r="AE49" s="17">
        <f>IF(Distances[[#This Row],[Colonne12]]=$G49,AD49,Distances[[#This Row],[Colonne12]]+1)</f>
        <v>9</v>
      </c>
      <c r="AF49" s="17">
        <f>IF(Distances[[#This Row],[Colonne13]]=$G49,AE49,Distances[[#This Row],[Colonne13]]+1)</f>
        <v>10</v>
      </c>
      <c r="AG49" s="17">
        <f>IF(Distances[[#This Row],[Colonne14]]=$G49,AF49,Distances[[#This Row],[Colonne14]]+1)</f>
        <v>11</v>
      </c>
      <c r="AH49" s="17">
        <f>IF(Distances[[#This Row],[Colonne15]]=$G49,AG49,Distances[[#This Row],[Colonne15]]+1)</f>
        <v>12</v>
      </c>
      <c r="AI49" s="17">
        <f>IF(Distances[[#This Row],[Colonne16]]=$G49,AH49,Distances[[#This Row],[Colonne16]]+1)</f>
        <v>13</v>
      </c>
      <c r="AJ49" s="17">
        <f>IF(Distances[[#This Row],[Colonne17]]=$G49,AI49,Distances[[#This Row],[Colonne17]]+1)</f>
        <v>14</v>
      </c>
      <c r="AK49" s="17">
        <f>IF(Distances[[#This Row],[Colonne18]]=$G49,AJ49,Distances[[#This Row],[Colonne18]]+1)</f>
        <v>15</v>
      </c>
      <c r="AL49" s="17">
        <f>IF(Distances[[#This Row],[Colonne19]]=$G49,AK49,Distances[[#This Row],[Colonne19]]+1)</f>
        <v>16</v>
      </c>
      <c r="AM49" s="17">
        <f>IF(Distances[[#This Row],[Colonne20]]=$G49,AL49,Distances[[#This Row],[Colonne20]]+1)</f>
        <v>17</v>
      </c>
      <c r="AN49" s="17">
        <f>IF(Distances[[#This Row],[Colonne21]]=$G49,AM49,Distances[[#This Row],[Colonne21]]+1)</f>
        <v>18</v>
      </c>
      <c r="AO49" s="17">
        <f>IF(Distances[[#This Row],[Colonne22]]=$G49,AN49,Distances[[#This Row],[Colonne22]]+1)</f>
        <v>19</v>
      </c>
      <c r="AP49" s="17">
        <f>IF(Distances[[#This Row],[Colonne23]]=$G49,AO49,Distances[[#This Row],[Colonne23]]+1)</f>
        <v>20</v>
      </c>
      <c r="AQ49" s="17">
        <f>IF(Distances[[#This Row],[Colonne24]]=$G49,AP49,Distances[[#This Row],[Colonne24]]+1)</f>
        <v>21</v>
      </c>
      <c r="AR49" s="17">
        <f>IF(Distances[[#This Row],[Colonne25]]=$G49,AQ49,Distances[[#This Row],[Colonne25]]+1)</f>
        <v>22</v>
      </c>
      <c r="AS49" s="17">
        <f>IF(Distances[[#This Row],[Colonne26]]=$G49,AR49,Distances[[#This Row],[Colonne26]]+1)</f>
        <v>23</v>
      </c>
      <c r="AT49" s="17">
        <f>IF(Distances[[#This Row],[Colonne27]]=$G49,AS49,Distances[[#This Row],[Colonne27]]+1)</f>
        <v>24</v>
      </c>
      <c r="AU49" s="17">
        <f>IF(Distances[[#This Row],[Colonne28]]=$G49,AT49,Distances[[#This Row],[Colonne28]]+1)</f>
        <v>25</v>
      </c>
      <c r="AV49" s="17">
        <f>IF(Distances[[#This Row],[Colonne29]]=$G49,AU49,Distances[[#This Row],[Colonne29]]+1)</f>
        <v>26</v>
      </c>
      <c r="AW49" s="17">
        <f>IF(Distances[[#This Row],[Colonne30]]=$G49,AV49,Distances[[#This Row],[Colonne30]]+1)</f>
        <v>27</v>
      </c>
      <c r="AX49" s="17">
        <f>IF(Distances[[#This Row],[Colonne31]]=$G49,AW49,Distances[[#This Row],[Colonne31]]+1)</f>
        <v>28</v>
      </c>
      <c r="AY49" s="17">
        <f>IF(Distances[[#This Row],[Colonne32]]=$G49,AX49,Distances[[#This Row],[Colonne32]]+1)</f>
        <v>29</v>
      </c>
      <c r="AZ49" s="17">
        <f>IF(Distances[[#This Row],[Colonne33]]=$G49,AY49,Distances[[#This Row],[Colonne33]]+1)</f>
        <v>30</v>
      </c>
      <c r="BA49" s="17">
        <f>IF(Distances[[#This Row],[Colonne34]]=$G49,AZ49,Distances[[#This Row],[Colonne34]]+1)</f>
        <v>31</v>
      </c>
      <c r="BB49" s="17">
        <f>IF(Distances[[#This Row],[Colonne35]]=$G49,BA49,Distances[[#This Row],[Colonne35]]+1)</f>
        <v>32</v>
      </c>
      <c r="BC49" s="17">
        <f>IF(Distances[[#This Row],[Colonne36]]=$G49,BB49,Distances[[#This Row],[Colonne36]]+1)</f>
        <v>33</v>
      </c>
      <c r="BD49" s="17">
        <f>IF(Distances[[#This Row],[Colonne37]]=$G49,BC49,Distances[[#This Row],[Colonne37]]+1)</f>
        <v>34</v>
      </c>
      <c r="BE49" s="17">
        <f>IF(Distances[[#This Row],[Colonne38]]=$G49,BD49,Distances[[#This Row],[Colonne38]]+1)</f>
        <v>35</v>
      </c>
      <c r="BF49" s="17">
        <f>IF(Distances[[#This Row],[Colonne39]]=$G49,BE49,Distances[[#This Row],[Colonne39]]+1)</f>
        <v>36</v>
      </c>
      <c r="BG49" s="17">
        <f>IF(Distances[[#This Row],[Colonne40]]=$G49,BF49,Distances[[#This Row],[Colonne40]]+1)</f>
        <v>37</v>
      </c>
      <c r="BH49" s="17">
        <f>IF(Distances[[#This Row],[Colonne41]]=$G49,BG49,Distances[[#This Row],[Colonne41]]+1)</f>
        <v>38</v>
      </c>
      <c r="BI49" s="17">
        <f>IF(Distances[[#This Row],[Colonne42]]=$G49,BH49,Distances[[#This Row],[Colonne42]]+1)</f>
        <v>39</v>
      </c>
      <c r="BJ49" s="17">
        <f>IF(Distances[[#This Row],[Colonne43]]=$G49,BI49,Distances[[#This Row],[Colonne43]]+1)</f>
        <v>40</v>
      </c>
      <c r="BK49" s="17">
        <f>IF(Distances[[#This Row],[Colonne44]]=$G49,BJ49,Distances[[#This Row],[Colonne44]]+1)</f>
        <v>41</v>
      </c>
      <c r="BL49" s="17">
        <f>IF(Distances[[#This Row],[Colonne45]]=$G49,BK49,Distances[[#This Row],[Colonne45]]+1)</f>
        <v>42</v>
      </c>
      <c r="BM49" s="17">
        <f>IF(Distances[[#This Row],[Colonne46]]=$G49,BL49,Distances[[#This Row],[Colonne46]]+1)</f>
        <v>43</v>
      </c>
      <c r="BN49" s="17">
        <f>IF(Distances[[#This Row],[Colonne47]]=$G49,BM49,Distances[[#This Row],[Colonne47]]+1)</f>
        <v>44</v>
      </c>
      <c r="BO49" s="17">
        <f>IF(Distances[[#This Row],[Colonne48]]=$G49,BN49,Distances[[#This Row],[Colonne48]]+1)</f>
        <v>45</v>
      </c>
      <c r="BP49" s="17">
        <f>IF(Distances[[#This Row],[Colonne49]]=$G49,BO49,Distances[[#This Row],[Colonne49]]+1)</f>
        <v>46</v>
      </c>
      <c r="BQ49" s="17">
        <f>IF(Distances[[#This Row],[Colonne50]]=$G49,BP49,Distances[[#This Row],[Colonne50]]+1)</f>
        <v>47</v>
      </c>
      <c r="BR49" s="17">
        <f>IF(Distances[[#This Row],[Colonne51]]=$G49,BQ49,Distances[[#This Row],[Colonne51]]+1)</f>
        <v>48</v>
      </c>
      <c r="BS49" s="17">
        <f>IF(Distances[[#This Row],[Colonne52]]=$G49,BR49,Distances[[#This Row],[Colonne52]]+1)</f>
        <v>49</v>
      </c>
      <c r="BT49" s="17">
        <f>IF(Distances[[#This Row],[Colonne53]]=$G49,BS49,Distances[[#This Row],[Colonne53]]+1)</f>
        <v>50</v>
      </c>
      <c r="BU49" s="17">
        <f>IF(Distances[[#This Row],[Colonne54]]=$G49,BT49,Distances[[#This Row],[Colonne54]]+1)</f>
        <v>51</v>
      </c>
      <c r="BV49" s="17">
        <f>IF(Distances[[#This Row],[Colonne55]]=$G49,BU49,Distances[[#This Row],[Colonne55]]+1)</f>
        <v>52</v>
      </c>
      <c r="BW49" s="17">
        <f>IF(Distances[[#This Row],[Colonne56]]=$G49,BV49,Distances[[#This Row],[Colonne56]]+1)</f>
        <v>53</v>
      </c>
      <c r="BX49" s="17">
        <f>IF(Distances[[#This Row],[Colonne57]]=$G49,BW49,Distances[[#This Row],[Colonne57]]+1)</f>
        <v>54</v>
      </c>
      <c r="BY49" s="17">
        <f>IF(Distances[[#This Row],[Colonne58]]=$G49,BX49,Distances[[#This Row],[Colonne58]]+1)</f>
        <v>55</v>
      </c>
      <c r="BZ49" s="17">
        <f>IF(Distances[[#This Row],[Colonne59]]=$G49,BY49,Distances[[#This Row],[Colonne59]]+1)</f>
        <v>56</v>
      </c>
      <c r="CA49" s="17">
        <f>IF(Distances[[#This Row],[Colonne60]]=$G49,BZ49,Distances[[#This Row],[Colonne60]]+1)</f>
        <v>57</v>
      </c>
      <c r="CB49" s="17">
        <f>IF(Distances[[#This Row],[Colonne61]]=$G49,CA49,Distances[[#This Row],[Colonne61]]+1)</f>
        <v>58</v>
      </c>
      <c r="CC49" s="17">
        <f>IF(Distances[[#This Row],[Colonne62]]=$G49,CB49,Distances[[#This Row],[Colonne62]]+1)</f>
        <v>59</v>
      </c>
      <c r="CD49" s="17">
        <f>IF(Distances[[#This Row],[Colonne63]]=$G49,CC49,Distances[[#This Row],[Colonne63]]+1)</f>
        <v>60</v>
      </c>
      <c r="CE49" s="17">
        <f>IF(Distances[[#This Row],[Colonne64]]=$G49,CD49,Distances[[#This Row],[Colonne64]]+1)</f>
        <v>60</v>
      </c>
      <c r="CF49" s="17">
        <f>IF(Distances[[#This Row],[Colonne65]]=$G49,CE49,Distances[[#This Row],[Colonne65]]+1)</f>
        <v>60</v>
      </c>
      <c r="CG49" s="17">
        <f>IF(Distances[[#This Row],[Colonne66]]=$G49,CF49,Distances[[#This Row],[Colonne66]]+1)</f>
        <v>60</v>
      </c>
      <c r="CH49" s="17">
        <f>IF(Distances[[#This Row],[Colonne67]]=$G49,CG49,Distances[[#This Row],[Colonne67]]+1)</f>
        <v>60</v>
      </c>
      <c r="CI49" s="17">
        <f>IF(Distances[[#This Row],[Colonne68]]=$G49,CH49,Distances[[#This Row],[Colonne68]]+1)</f>
        <v>60</v>
      </c>
      <c r="CJ49" s="17">
        <f>IF(Distances[[#This Row],[Colonne69]]=$G49,CI49,Distances[[#This Row],[Colonne69]]+1)</f>
        <v>60</v>
      </c>
      <c r="CK49" s="17">
        <f>IF(Distances[[#This Row],[Colonne70]]=$G49,CJ49,Distances[[#This Row],[Colonne70]]+1)</f>
        <v>60</v>
      </c>
      <c r="CL49" s="17">
        <f>IF(Distances[[#This Row],[Colonne71]]=$G49,CK49,Distances[[#This Row],[Colonne71]]+1)</f>
        <v>60</v>
      </c>
      <c r="CM49" s="17">
        <f>IF(Distances[[#This Row],[Colonne72]]=$G49,CL49,Distances[[#This Row],[Colonne72]]+1)</f>
        <v>60</v>
      </c>
      <c r="CN49" s="17">
        <f>IF(Distances[[#This Row],[Colonne73]]=$G49,CM49,Distances[[#This Row],[Colonne73]]+1)</f>
        <v>60</v>
      </c>
      <c r="CO49" s="17">
        <f>IF(Distances[[#This Row],[Colonne74]]=$G49,CN49,Distances[[#This Row],[Colonne74]]+1)</f>
        <v>60</v>
      </c>
      <c r="CP49" s="17">
        <f>IF(Distances[[#This Row],[Colonne75]]=$G49,CO49,Distances[[#This Row],[Colonne75]]+1)</f>
        <v>60</v>
      </c>
      <c r="CQ49" s="17">
        <f>IF(Distances[[#This Row],[Colonne76]]=$G49,CP49,Distances[[#This Row],[Colonne76]]+1)</f>
        <v>60</v>
      </c>
      <c r="CR49" s="17">
        <f>IF(Distances[[#This Row],[Colonne77]]=$G49,CQ49,Distances[[#This Row],[Colonne77]]+1)</f>
        <v>60</v>
      </c>
      <c r="CS49" s="17">
        <f>IF(Distances[[#This Row],[Colonne78]]=$G49,CR49,Distances[[#This Row],[Colonne78]]+1)</f>
        <v>60</v>
      </c>
      <c r="CT49" s="17">
        <f>IF(Distances[[#This Row],[Colonne79]]=$G49,CS49,Distances[[#This Row],[Colonne79]]+1)</f>
        <v>60</v>
      </c>
      <c r="CU49" s="17">
        <f>IF(Distances[[#This Row],[Colonne80]]=$G49,CT49,Distances[[#This Row],[Colonne80]]+1)</f>
        <v>60</v>
      </c>
      <c r="CV49" s="17">
        <f>IF(Distances[[#This Row],[Colonne81]]=$G49,CU49,Distances[[#This Row],[Colonne81]]+1)</f>
        <v>60</v>
      </c>
      <c r="CW49" s="17">
        <f>IF(Distances[[#This Row],[Colonne82]]=$G49,CV49,Distances[[#This Row],[Colonne82]]+1)</f>
        <v>60</v>
      </c>
      <c r="CX49" s="17">
        <f>IF(Distances[[#This Row],[Colonne83]]=$G49,CW49,Distances[[#This Row],[Colonne83]]+1)</f>
        <v>60</v>
      </c>
      <c r="CY49" s="17">
        <f>IF(Distances[[#This Row],[Colonne84]]=$G49,CX49,Distances[[#This Row],[Colonne84]]+1)</f>
        <v>60</v>
      </c>
      <c r="CZ49" s="17">
        <f>IF(Distances[[#This Row],[Colonne85]]=$G49,CY49,Distances[[#This Row],[Colonne85]]+1)</f>
        <v>60</v>
      </c>
      <c r="DA49" s="17">
        <f>IF(Distances[[#This Row],[Colonne86]]=$G49,CZ49,Distances[[#This Row],[Colonne86]]+1)</f>
        <v>60</v>
      </c>
      <c r="DB49" s="17">
        <f>IF(Distances[[#This Row],[Colonne87]]=$G49,DA49,Distances[[#This Row],[Colonne87]]+1)</f>
        <v>60</v>
      </c>
      <c r="DC49" s="17">
        <f>IF(Distances[[#This Row],[Colonne88]]=$G49,DB49,Distances[[#This Row],[Colonne88]]+1)</f>
        <v>60</v>
      </c>
      <c r="DD49" s="17">
        <f>IF(Distances[[#This Row],[Colonne89]]=$G49,DC49,Distances[[#This Row],[Colonne89]]+1)</f>
        <v>60</v>
      </c>
      <c r="DE49" s="17">
        <f>IF(Distances[[#This Row],[Colonne90]]=$G49,DD49,Distances[[#This Row],[Colonne90]]+1)</f>
        <v>60</v>
      </c>
      <c r="DF49" s="17">
        <f>IF(Distances[[#This Row],[Colonne91]]=$G49,DE49,Distances[[#This Row],[Colonne91]]+1)</f>
        <v>60</v>
      </c>
      <c r="DG49" s="17">
        <f>IF(Distances[[#This Row],[Colonne92]]=$G49,DF49,Distances[[#This Row],[Colonne92]]+1)</f>
        <v>60</v>
      </c>
      <c r="DH49" s="17">
        <f>IF(Distances[[#This Row],[Colonne93]]=$G49,DG49,Distances[[#This Row],[Colonne93]]+1)</f>
        <v>60</v>
      </c>
      <c r="DI49" s="17">
        <f>IF(Distances[[#This Row],[Colonne94]]=$G49,DH49,Distances[[#This Row],[Colonne94]]+1)</f>
        <v>60</v>
      </c>
      <c r="DJ49" s="17">
        <f>IF(Distances[[#This Row],[Colonne95]]=$G49,DI49,Distances[[#This Row],[Colonne95]]+1)</f>
        <v>60</v>
      </c>
      <c r="DK49" s="17">
        <f>IF(Distances[[#This Row],[Colonne96]]=$G49,DJ49,Distances[[#This Row],[Colonne96]]+1)</f>
        <v>60</v>
      </c>
      <c r="DL49" s="17">
        <f>IF(Distances[[#This Row],[Colonne97]]=$G49,DK49,Distances[[#This Row],[Colonne97]]+1)</f>
        <v>60</v>
      </c>
      <c r="DM49" s="17">
        <f>IF(Distances[[#This Row],[Colonne98]]=$G49,DL49,Distances[[#This Row],[Colonne98]]+1)</f>
        <v>60</v>
      </c>
      <c r="DN49" s="17">
        <f>IF(Distances[[#This Row],[Colonne99]]=$G49,DM49,Distances[[#This Row],[Colonne99]]+1)</f>
        <v>60</v>
      </c>
      <c r="DO49" s="17">
        <f>IF(Distances[[#This Row],[Colonne100]]=$G49,DN49,Distances[[#This Row],[Colonne100]]+1)</f>
        <v>60</v>
      </c>
      <c r="DP49" s="17">
        <f>IF(Distances[[#This Row],[Colonne101]]=$G49,DO49,Distances[[#This Row],[Colonne101]]+1)</f>
        <v>60</v>
      </c>
      <c r="DQ49" s="17">
        <f>IF(Distances[[#This Row],[Colonne102]]=$G49,DP49,Distances[[#This Row],[Colonne102]]+1)</f>
        <v>60</v>
      </c>
      <c r="DR49" s="17">
        <f>IF(Distances[[#This Row],[Colonne103]]=$G49,DQ49,Distances[[#This Row],[Colonne103]]+1)</f>
        <v>60</v>
      </c>
      <c r="DS49" s="17">
        <f>IF(Distances[[#This Row],[Colonne104]]=$G49,DR49,Distances[[#This Row],[Colonne104]]+1)</f>
        <v>60</v>
      </c>
      <c r="DT49" s="17">
        <f>IF(Distances[[#This Row],[Colonne105]]=$G49,DS49,Distances[[#This Row],[Colonne105]]+1)</f>
        <v>60</v>
      </c>
      <c r="DU49" s="17">
        <f>IF(Distances[[#This Row],[Colonne106]]=$G49,DT49,Distances[[#This Row],[Colonne106]]+1)</f>
        <v>60</v>
      </c>
      <c r="DV49" s="17">
        <f>IF(Distances[[#This Row],[Colonne107]]=$G49,DU49,Distances[[#This Row],[Colonne107]]+1)</f>
        <v>60</v>
      </c>
      <c r="DW49" s="17">
        <f>IF(Distances[[#This Row],[Colonne108]]=$G49,DV49,Distances[[#This Row],[Colonne108]]+1)</f>
        <v>60</v>
      </c>
      <c r="DX49" s="17">
        <f>IF(Distances[[#This Row],[Colonne109]]=$G49,DW49,Distances[[#This Row],[Colonne109]]+1)</f>
        <v>60</v>
      </c>
      <c r="DY49" s="17">
        <f>IF(Distances[[#This Row],[Colonne110]]=$G49,DX49,Distances[[#This Row],[Colonne110]]+1)</f>
        <v>60</v>
      </c>
      <c r="DZ49" s="17">
        <f>IF(Distances[[#This Row],[Colonne111]]=$G49,DY49,Distances[[#This Row],[Colonne111]]+1)</f>
        <v>60</v>
      </c>
      <c r="EA49" s="17">
        <f>IF(Distances[[#This Row],[Colonne112]]=$G49,DZ49,Distances[[#This Row],[Colonne112]]+1)</f>
        <v>60</v>
      </c>
      <c r="EB49" s="17">
        <f>IF(Distances[[#This Row],[Colonne113]]=$G49,EA49,Distances[[#This Row],[Colonne113]]+1)</f>
        <v>60</v>
      </c>
      <c r="EC49" s="17">
        <f>IF(Distances[[#This Row],[Colonne114]]=$G49,EB49,Distances[[#This Row],[Colonne114]]+1)</f>
        <v>60</v>
      </c>
      <c r="ED49" s="17">
        <f>IF(Distances[[#This Row],[Colonne115]]=$G49,EC49,Distances[[#This Row],[Colonne115]]+1)</f>
        <v>60</v>
      </c>
      <c r="EE49" s="17">
        <f>IF(Distances[[#This Row],[Colonne116]]=$G49,ED49,Distances[[#This Row],[Colonne116]]+1)</f>
        <v>60</v>
      </c>
      <c r="EF49" s="17">
        <f>IF(Distances[[#This Row],[Colonne117]]=$G49,EE49,Distances[[#This Row],[Colonne117]]+1)</f>
        <v>60</v>
      </c>
      <c r="EG49" s="17">
        <f>IF(Distances[[#This Row],[Colonne118]]=$G49,EF49,Distances[[#This Row],[Colonne118]]+1)</f>
        <v>60</v>
      </c>
      <c r="EH49" s="17">
        <f>IF(Distances[[#This Row],[Colonne119]]=$G49,EG49,Distances[[#This Row],[Colonne119]]+1)</f>
        <v>60</v>
      </c>
      <c r="EI49" s="17">
        <f>IF(Distances[[#This Row],[Colonne120]]=$G49,EH49,Distances[[#This Row],[Colonne120]]+1)</f>
        <v>60</v>
      </c>
      <c r="EJ49" s="17">
        <f>IF(Distances[[#This Row],[Colonne121]]=$G49,EI49,Distances[[#This Row],[Colonne121]]+1)</f>
        <v>60</v>
      </c>
      <c r="EK49" s="17">
        <f>IF(Distances[[#This Row],[Colonne122]]=$G49,EJ49,Distances[[#This Row],[Colonne122]]+1)</f>
        <v>60</v>
      </c>
      <c r="EL49" s="17">
        <f>IF(Distances[[#This Row],[Colonne123]]=$G49,EK49,Distances[[#This Row],[Colonne123]]+1)</f>
        <v>60</v>
      </c>
      <c r="EM49" s="17">
        <f>IF(Distances[[#This Row],[Colonne124]]=$G49,EL49,Distances[[#This Row],[Colonne124]]+1)</f>
        <v>60</v>
      </c>
      <c r="EN49" s="17">
        <f>IF(Distances[[#This Row],[Colonne125]]=$G49,EM49,Distances[[#This Row],[Colonne125]]+1)</f>
        <v>60</v>
      </c>
      <c r="EO49" s="17">
        <f>IF(Distances[[#This Row],[Colonne126]]=$G49,EN49,Distances[[#This Row],[Colonne126]]+1)</f>
        <v>60</v>
      </c>
      <c r="EP49" s="17">
        <f>IF(Distances[[#This Row],[Colonne127]]=$G49,EO49,Distances[[#This Row],[Colonne127]]+1)</f>
        <v>60</v>
      </c>
      <c r="EQ49" s="17">
        <f>IF(Distances[[#This Row],[Colonne128]]=$G49,EP49,Distances[[#This Row],[Colonne128]]+1)</f>
        <v>60</v>
      </c>
      <c r="ER49" s="17">
        <f>IF(Distances[[#This Row],[Colonne129]]=$G49,EQ49,Distances[[#This Row],[Colonne129]]+1)</f>
        <v>60</v>
      </c>
      <c r="ES49" s="17">
        <f>IF(Distances[[#This Row],[Colonne130]]=$G49,ER49,Distances[[#This Row],[Colonne130]]+1)</f>
        <v>60</v>
      </c>
      <c r="ET49" s="17">
        <f>IF(Distances[[#This Row],[Colonne131]]=$G49,ES49,Distances[[#This Row],[Colonne131]]+1)</f>
        <v>60</v>
      </c>
      <c r="EU49" s="17">
        <f>IF(Distances[[#This Row],[Colonne132]]=$G49,ET49,Distances[[#This Row],[Colonne132]]+1)</f>
        <v>60</v>
      </c>
      <c r="EV49" s="17">
        <f>IF(Distances[[#This Row],[Colonne133]]=$G49,EU49,Distances[[#This Row],[Colonne133]]+1)</f>
        <v>60</v>
      </c>
      <c r="EW49" s="17">
        <f>IF(Distances[[#This Row],[Colonne134]]=$G49,EV49,Distances[[#This Row],[Colonne134]]+1)</f>
        <v>60</v>
      </c>
      <c r="EX49" s="17">
        <f>IF(Distances[[#This Row],[Colonne135]]=$G49,EW49,Distances[[#This Row],[Colonne135]]+1)</f>
        <v>60</v>
      </c>
      <c r="EY49" s="17">
        <f>IF(Distances[[#This Row],[Colonne136]]=$G49,EX49,Distances[[#This Row],[Colonne136]]+1)</f>
        <v>60</v>
      </c>
      <c r="EZ49" s="17">
        <f>IF(Distances[[#This Row],[Colonne137]]=$G49,EY49,Distances[[#This Row],[Colonne137]]+1)</f>
        <v>60</v>
      </c>
      <c r="FA49" s="17">
        <f>IF(Distances[[#This Row],[Colonne138]]=$G49,EZ49,Distances[[#This Row],[Colonne138]]+1)</f>
        <v>60</v>
      </c>
      <c r="FB49" s="17">
        <f>IF(Distances[[#This Row],[Colonne139]]=$G49,FA49,Distances[[#This Row],[Colonne139]]+1)</f>
        <v>60</v>
      </c>
      <c r="FC49" s="17">
        <f>IF(Distances[[#This Row],[Colonne140]]=$G49,FB49,Distances[[#This Row],[Colonne140]]+1)</f>
        <v>60</v>
      </c>
      <c r="FD49" s="17">
        <f>IF(Distances[[#This Row],[Colonne141]]=$G49,FC49,Distances[[#This Row],[Colonne141]]+1)</f>
        <v>60</v>
      </c>
      <c r="FE49" s="17">
        <f>IF(Distances[[#This Row],[Colonne142]]=$G49,FD49,Distances[[#This Row],[Colonne142]]+1)</f>
        <v>60</v>
      </c>
      <c r="FF49" s="17">
        <f>IF(Distances[[#This Row],[Colonne143]]=$G49,FE49,Distances[[#This Row],[Colonne143]]+1)</f>
        <v>60</v>
      </c>
      <c r="FG49" s="17">
        <f>IF(Distances[[#This Row],[Colonne144]]=$G49,FF49,Distances[[#This Row],[Colonne144]]+1)</f>
        <v>60</v>
      </c>
      <c r="FH49" s="17">
        <f>IF(Distances[[#This Row],[Colonne145]]=$G49,FG49,Distances[[#This Row],[Colonne145]]+1)</f>
        <v>60</v>
      </c>
      <c r="FI49" s="17">
        <f>IF(Distances[[#This Row],[Colonne146]]=$G49,FH49,Distances[[#This Row],[Colonne146]]+1)</f>
        <v>60</v>
      </c>
      <c r="FJ49" s="17">
        <f>IF(Distances[[#This Row],[Colonne147]]=$G49,FI49,Distances[[#This Row],[Colonne147]]+1)</f>
        <v>60</v>
      </c>
      <c r="FK49" s="17">
        <f>IF(Distances[[#This Row],[Colonne148]]=$G49,FJ49,Distances[[#This Row],[Colonne148]]+1)</f>
        <v>60</v>
      </c>
      <c r="FL49" s="17">
        <f>IF(Distances[[#This Row],[Colonne149]]=$G49,FK49,Distances[[#This Row],[Colonne149]]+1)</f>
        <v>60</v>
      </c>
      <c r="FM49" s="17">
        <f>IF(Distances[[#This Row],[Colonne150]]=$G49,FL49,Distances[[#This Row],[Colonne150]]+1)</f>
        <v>60</v>
      </c>
      <c r="FN49" s="17">
        <f>IF(Distances[[#This Row],[Colonne151]]=$G49,FM49,Distances[[#This Row],[Colonne151]]+1)</f>
        <v>60</v>
      </c>
      <c r="FO49" s="17">
        <f>IF(Distances[[#This Row],[Colonne152]]=$G49,FN49,Distances[[#This Row],[Colonne152]]+1)</f>
        <v>60</v>
      </c>
      <c r="FP49" s="17">
        <f>IF(Distances[[#This Row],[Colonne153]]=$G49,FO49,Distances[[#This Row],[Colonne153]]+1)</f>
        <v>60</v>
      </c>
      <c r="FQ49" s="17">
        <f>IF(Distances[[#This Row],[Colonne154]]=$G49,FP49,Distances[[#This Row],[Colonne154]]+1)</f>
        <v>60</v>
      </c>
      <c r="FR49" s="17">
        <f>IF(Distances[[#This Row],[Colonne155]]=$G49,FQ49,Distances[[#This Row],[Colonne155]]+1)</f>
        <v>60</v>
      </c>
      <c r="FS49" s="17">
        <f>IF(Distances[[#This Row],[Colonne156]]=$G49,FR49,Distances[[#This Row],[Colonne156]]+1)</f>
        <v>60</v>
      </c>
      <c r="FT49" s="17">
        <f>IF(Distances[[#This Row],[Colonne157]]=$G49,FS49,Distances[[#This Row],[Colonne157]]+1)</f>
        <v>60</v>
      </c>
      <c r="FU49" s="17">
        <f>IF(Distances[[#This Row],[Colonne158]]=$G49,FT49,Distances[[#This Row],[Colonne158]]+1)</f>
        <v>60</v>
      </c>
      <c r="FV49" s="17">
        <f>IF(Distances[[#This Row],[Colonne159]]=$G49,FU49,Distances[[#This Row],[Colonne159]]+1)</f>
        <v>60</v>
      </c>
      <c r="FW49" s="17">
        <f>IF(Distances[[#This Row],[Colonne160]]=$G49,FV49,Distances[[#This Row],[Colonne160]]+1)</f>
        <v>60</v>
      </c>
      <c r="FX49" s="17">
        <f>IF(Distances[[#This Row],[Colonne161]]=$G49,FW49,Distances[[#This Row],[Colonne161]]+1)</f>
        <v>60</v>
      </c>
      <c r="FY49" s="17">
        <f>IF(Distances[[#This Row],[Colonne162]]=$G49,FX49,Distances[[#This Row],[Colonne162]]+1)</f>
        <v>60</v>
      </c>
      <c r="FZ49" s="17">
        <f>IF(Distances[[#This Row],[Colonne163]]=$G49,FY49,Distances[[#This Row],[Colonne163]]+1)</f>
        <v>60</v>
      </c>
      <c r="GA49" s="17">
        <f>IF(Distances[[#This Row],[Colonne164]]=$G49,FZ49,Distances[[#This Row],[Colonne164]]+1)</f>
        <v>60</v>
      </c>
      <c r="GB49" s="17">
        <f>IF(Distances[[#This Row],[Colonne165]]=$G49,GA49,Distances[[#This Row],[Colonne165]]+1)</f>
        <v>60</v>
      </c>
      <c r="GC49" s="17">
        <f>IF(Distances[[#This Row],[Colonne166]]=$G49,GB49,Distances[[#This Row],[Colonne166]]+1)</f>
        <v>60</v>
      </c>
      <c r="GD49" s="17">
        <f>IF(Distances[[#This Row],[Colonne167]]=$G49,GC49,Distances[[#This Row],[Colonne167]]+1)</f>
        <v>60</v>
      </c>
      <c r="GE49" s="17">
        <f>IF(Distances[[#This Row],[Colonne168]]=$G49,GD49,Distances[[#This Row],[Colonne168]]+1)</f>
        <v>60</v>
      </c>
      <c r="GF49" s="17">
        <f>IF(Distances[[#This Row],[Colonne169]]=$G49,GE49,Distances[[#This Row],[Colonne169]]+1)</f>
        <v>60</v>
      </c>
      <c r="GG49" s="17">
        <f>IF(Distances[[#This Row],[Colonne170]]=$G49,GF49,Distances[[#This Row],[Colonne170]]+1)</f>
        <v>60</v>
      </c>
      <c r="GH49" s="17">
        <f>IF(Distances[[#This Row],[Colonne171]]=$G49,GG49,Distances[[#This Row],[Colonne171]]+1)</f>
        <v>60</v>
      </c>
      <c r="GI49" s="17">
        <f>IF(Distances[[#This Row],[Colonne172]]=$G49,GH49,Distances[[#This Row],[Colonne172]]+1)</f>
        <v>60</v>
      </c>
      <c r="GJ49" s="17">
        <f>IF(Distances[[#This Row],[Colonne173]]=$G49,GI49,Distances[[#This Row],[Colonne173]]+1)</f>
        <v>60</v>
      </c>
      <c r="GK49" s="17">
        <f>IF(Distances[[#This Row],[Colonne174]]=$G49,GJ49,Distances[[#This Row],[Colonne174]]+1)</f>
        <v>60</v>
      </c>
      <c r="GL49" s="17">
        <f>IF(Distances[[#This Row],[Colonne175]]=$G49,GK49,Distances[[#This Row],[Colonne175]]+1)</f>
        <v>60</v>
      </c>
      <c r="GM49" s="17">
        <f>IF(Distances[[#This Row],[Colonne176]]=$G49,GL49,Distances[[#This Row],[Colonne176]]+1)</f>
        <v>60</v>
      </c>
      <c r="GN49" s="17">
        <f>IF(Distances[[#This Row],[Colonne177]]=$G49,GM49,Distances[[#This Row],[Colonne177]]+1)</f>
        <v>60</v>
      </c>
      <c r="GO49" s="17">
        <f>IF(Distances[[#This Row],[Colonne178]]=$G49,GN49,Distances[[#This Row],[Colonne178]]+1)</f>
        <v>60</v>
      </c>
      <c r="GP49" s="17">
        <f>IF(Distances[[#This Row],[Colonne179]]=$G49,GO49,Distances[[#This Row],[Colonne179]]+1)</f>
        <v>60</v>
      </c>
      <c r="GQ49" s="17">
        <f>IF(Distances[[#This Row],[Colonne180]]=$G49,GP49,Distances[[#This Row],[Colonne180]]+1)</f>
        <v>60</v>
      </c>
      <c r="GR49" s="17">
        <f>IF(Distances[[#This Row],[Colonne181]]=$G49,GQ49,Distances[[#This Row],[Colonne181]]+1)</f>
        <v>60</v>
      </c>
      <c r="GS49" s="17">
        <f>IF(Distances[[#This Row],[Colonne182]]=$G49,GR49,Distances[[#This Row],[Colonne182]]+1)</f>
        <v>60</v>
      </c>
      <c r="GT49" s="17">
        <f>IF(Distances[[#This Row],[Colonne183]]=$G49,GS49,Distances[[#This Row],[Colonne183]]+1)</f>
        <v>60</v>
      </c>
      <c r="GU49" s="17">
        <f>IF(Distances[[#This Row],[Colonne184]]=$G49,GT49,Distances[[#This Row],[Colonne184]]+1)</f>
        <v>60</v>
      </c>
      <c r="GV49" s="17">
        <f>IF(Distances[[#This Row],[Colonne185]]=$G49,GU49,Distances[[#This Row],[Colonne185]]+1)</f>
        <v>60</v>
      </c>
      <c r="GW49" s="17">
        <f>IF(Distances[[#This Row],[Colonne186]]=$G49,GV49,Distances[[#This Row],[Colonne186]]+1)</f>
        <v>60</v>
      </c>
      <c r="GX49" s="17">
        <f>IF(Distances[[#This Row],[Colonne187]]=$G49,GW49,Distances[[#This Row],[Colonne187]]+1)</f>
        <v>60</v>
      </c>
      <c r="GY49" s="17">
        <f>IF(Distances[[#This Row],[Colonne188]]=$G49,GX49,Distances[[#This Row],[Colonne188]]+1)</f>
        <v>60</v>
      </c>
      <c r="GZ49" s="17">
        <f>IF(Distances[[#This Row],[Colonne189]]=$G49,GY49,Distances[[#This Row],[Colonne189]]+1)</f>
        <v>60</v>
      </c>
      <c r="HA49" s="17">
        <f>IF(Distances[[#This Row],[Colonne190]]=$G49,GZ49,Distances[[#This Row],[Colonne190]]+1)</f>
        <v>60</v>
      </c>
      <c r="HB49" s="17">
        <f>IF(Distances[[#This Row],[Colonne191]]=$G49,HA49,Distances[[#This Row],[Colonne191]]+1)</f>
        <v>60</v>
      </c>
      <c r="HC49" s="17">
        <f>IF(Distances[[#This Row],[Colonne192]]=$G49,HB49,Distances[[#This Row],[Colonne192]]+1)</f>
        <v>60</v>
      </c>
      <c r="HD49" s="17">
        <f>IF(Distances[[#This Row],[Colonne193]]=$G49,HC49,Distances[[#This Row],[Colonne193]]+1)</f>
        <v>60</v>
      </c>
      <c r="HE49" s="17">
        <f>IF(Distances[[#This Row],[Colonne194]]=$G49,HD49,Distances[[#This Row],[Colonne194]]+1)</f>
        <v>60</v>
      </c>
      <c r="HF49" s="17">
        <f>IF(Distances[[#This Row],[Colonne195]]=$G49,HE49,Distances[[#This Row],[Colonne195]]+1)</f>
        <v>60</v>
      </c>
      <c r="HG49" s="17">
        <f>IF(Distances[[#This Row],[Colonne196]]=$G49,HF49,Distances[[#This Row],[Colonne196]]+1)</f>
        <v>60</v>
      </c>
      <c r="HH49" s="17">
        <f>IF(Distances[[#This Row],[Colonne197]]=$G49,HG49,Distances[[#This Row],[Colonne197]]+1)</f>
        <v>60</v>
      </c>
      <c r="HI49" s="17">
        <f>IF(Distances[[#This Row],[Colonne198]]=$G49,HH49,Distances[[#This Row],[Colonne198]]+1)</f>
        <v>60</v>
      </c>
      <c r="HJ49" s="17">
        <f>IF(Distances[[#This Row],[Colonne199]]=$G49,HI49,Distances[[#This Row],[Colonne199]]+1)</f>
        <v>60</v>
      </c>
      <c r="HK49" s="17">
        <f>IF(Distances[[#This Row],[Colonne200]]=$G49,HJ49,Distances[[#This Row],[Colonne200]]+1)</f>
        <v>60</v>
      </c>
      <c r="HL49" s="17">
        <f>IF(Distances[[#This Row],[Colonne201]]=$G49,HK49,Distances[[#This Row],[Colonne201]]+1)</f>
        <v>60</v>
      </c>
      <c r="HM49" s="17">
        <f>IF(Distances[[#This Row],[Colonne202]]=$G49,HL49,Distances[[#This Row],[Colonne202]]+1)</f>
        <v>60</v>
      </c>
      <c r="HN49" s="17">
        <f>IF(Distances[[#This Row],[Colonne203]]=$G49,HM49,Distances[[#This Row],[Colonne203]]+1)</f>
        <v>60</v>
      </c>
      <c r="HO49" s="17">
        <f>IF(Distances[[#This Row],[Colonne204]]=$G49,HN49,Distances[[#This Row],[Colonne204]]+1)</f>
        <v>60</v>
      </c>
      <c r="HP49" s="17">
        <f>IF(Distances[[#This Row],[Colonne205]]=$G49,HO49,Distances[[#This Row],[Colonne205]]+1)</f>
        <v>60</v>
      </c>
      <c r="HQ49" s="17">
        <f>IF(Distances[[#This Row],[Colonne206]]=$G49,HP49,Distances[[#This Row],[Colonne206]]+1)</f>
        <v>60</v>
      </c>
      <c r="HR49" s="17">
        <f>IF(Distances[[#This Row],[Colonne207]]=$G49,HQ49,Distances[[#This Row],[Colonne207]]+1)</f>
        <v>60</v>
      </c>
      <c r="HS49" s="17">
        <f>IF(Distances[[#This Row],[Colonne208]]=$G49,HR49,Distances[[#This Row],[Colonne208]]+1)</f>
        <v>60</v>
      </c>
      <c r="HT49" s="17">
        <f>IF(Distances[[#This Row],[Colonne209]]=$G49,HS49,Distances[[#This Row],[Colonne209]]+1)</f>
        <v>60</v>
      </c>
      <c r="HU49" s="17">
        <f>IF(Distances[[#This Row],[Colonne210]]=$G49,HT49,Distances[[#This Row],[Colonne210]]+1)</f>
        <v>60</v>
      </c>
      <c r="HV49" s="17">
        <f>IF(Distances[[#This Row],[Colonne211]]=$G49,HU49,Distances[[#This Row],[Colonne211]]+1)</f>
        <v>60</v>
      </c>
      <c r="HW49" s="17">
        <f>IF(Distances[[#This Row],[Colonne212]]=$G49,HV49,Distances[[#This Row],[Colonne212]]+1)</f>
        <v>60</v>
      </c>
      <c r="HX49" s="17">
        <f>IF(Distances[[#This Row],[Colonne213]]=$G49,HW49,Distances[[#This Row],[Colonne213]]+1)</f>
        <v>60</v>
      </c>
      <c r="HY49" s="17">
        <f>IF(Distances[[#This Row],[Colonne214]]=$G49,HX49,Distances[[#This Row],[Colonne214]]+1)</f>
        <v>60</v>
      </c>
      <c r="HZ49" s="17">
        <f>IF(Distances[[#This Row],[Colonne215]]=$G49,HY49,Distances[[#This Row],[Colonne215]]+1)</f>
        <v>60</v>
      </c>
      <c r="IA49" s="17">
        <f>IF(Distances[[#This Row],[Colonne216]]=$G49,HZ49,Distances[[#This Row],[Colonne216]]+1)</f>
        <v>60</v>
      </c>
      <c r="IB49" s="17">
        <f>IF(Distances[[#This Row],[Colonne217]]=$G49,IA49,Distances[[#This Row],[Colonne217]]+1)</f>
        <v>60</v>
      </c>
      <c r="IC49" s="17">
        <f>IF(Distances[[#This Row],[Colonne218]]=$G49,IB49,Distances[[#This Row],[Colonne218]]+1)</f>
        <v>60</v>
      </c>
      <c r="ID49" s="17">
        <f>IF(Distances[[#This Row],[Colonne219]]=$G49,IC49,Distances[[#This Row],[Colonne219]]+1)</f>
        <v>60</v>
      </c>
      <c r="IE49" s="17">
        <f>IF(Distances[[#This Row],[Colonne220]]=$G49,ID49,Distances[[#This Row],[Colonne220]]+1)</f>
        <v>60</v>
      </c>
      <c r="IF49" s="17">
        <f>IF(Distances[[#This Row],[Colonne221]]=$G49,IE49,Distances[[#This Row],[Colonne221]]+1)</f>
        <v>60</v>
      </c>
      <c r="IG49" s="17">
        <f>IF(Distances[[#This Row],[Colonne222]]=$G49,IF49,Distances[[#This Row],[Colonne222]]+1)</f>
        <v>60</v>
      </c>
      <c r="IH49" s="17">
        <f>IF(Distances[[#This Row],[Colonne223]]=$G49,IG49,Distances[[#This Row],[Colonne223]]+1)</f>
        <v>60</v>
      </c>
      <c r="II49" s="17">
        <f>IF(Distances[[#This Row],[Colonne224]]=$G49,IH49,Distances[[#This Row],[Colonne224]]+1)</f>
        <v>60</v>
      </c>
      <c r="IJ49" s="17">
        <f>IF(Distances[[#This Row],[Colonne225]]=$G49,II49,Distances[[#This Row],[Colonne225]]+1)</f>
        <v>60</v>
      </c>
      <c r="IK49" s="17">
        <f>IF(Distances[[#This Row],[Colonne226]]=$G49,IJ49,Distances[[#This Row],[Colonne226]]+1)</f>
        <v>60</v>
      </c>
      <c r="IL49" s="17">
        <f>IF(Distances[[#This Row],[Colonne227]]=$G49,IK49,Distances[[#This Row],[Colonne227]]+1)</f>
        <v>60</v>
      </c>
      <c r="IM49" s="17">
        <f>IF(Distances[[#This Row],[Colonne228]]=$G49,IL49,Distances[[#This Row],[Colonne228]]+1)</f>
        <v>60</v>
      </c>
      <c r="IN49" s="17">
        <f>IF(Distances[[#This Row],[Colonne229]]=$G49,IM49,Distances[[#This Row],[Colonne229]]+1)</f>
        <v>60</v>
      </c>
      <c r="IO49" s="17">
        <f>IF(Distances[[#This Row],[Colonne230]]=$G49,IN49,Distances[[#This Row],[Colonne230]]+1)</f>
        <v>60</v>
      </c>
      <c r="IP49" s="17">
        <f>IF(Distances[[#This Row],[Colonne231]]=$G49,IO49,Distances[[#This Row],[Colonne231]]+1)</f>
        <v>60</v>
      </c>
      <c r="IQ49" s="17">
        <f>IF(Distances[[#This Row],[Colonne232]]=$G49,IP49,Distances[[#This Row],[Colonne232]]+1)</f>
        <v>60</v>
      </c>
      <c r="IR49" s="17">
        <f>IF(Distances[[#This Row],[Colonne233]]=$G49,IQ49,Distances[[#This Row],[Colonne233]]+1)</f>
        <v>60</v>
      </c>
      <c r="IS49" s="17">
        <f>IF(Distances[[#This Row],[Colonne234]]=$G49,IR49,Distances[[#This Row],[Colonne234]]+1)</f>
        <v>60</v>
      </c>
      <c r="IT49" s="17">
        <f>IF(Distances[[#This Row],[Colonne235]]=$G49,IS49,Distances[[#This Row],[Colonne235]]+1)</f>
        <v>60</v>
      </c>
      <c r="IU49" s="17">
        <f>IF(Distances[[#This Row],[Colonne236]]=$G49,IT49,Distances[[#This Row],[Colonne236]]+1)</f>
        <v>60</v>
      </c>
      <c r="IV49" s="17">
        <f>IF(Distances[[#This Row],[Colonne237]]=$G49,IU49,Distances[[#This Row],[Colonne237]]+1)</f>
        <v>60</v>
      </c>
      <c r="IW49" s="17">
        <f>IF(Distances[[#This Row],[Colonne238]]=$G49,IV49,Distances[[#This Row],[Colonne238]]+1)</f>
        <v>60</v>
      </c>
      <c r="IX49" s="17">
        <f>IF(Distances[[#This Row],[Colonne239]]=$G49,IW49,Distances[[#This Row],[Colonne239]]+1)</f>
        <v>60</v>
      </c>
      <c r="IY49" s="17">
        <f>IF(Distances[[#This Row],[Colonne240]]=$G49,IX49,Distances[[#This Row],[Colonne240]]+1)</f>
        <v>60</v>
      </c>
      <c r="IZ49" s="17">
        <f>IF(Distances[[#This Row],[Colonne241]]=$G49,IY49,Distances[[#This Row],[Colonne241]]+1)</f>
        <v>60</v>
      </c>
      <c r="JA49" s="17">
        <f>IF(Distances[[#This Row],[Colonne242]]=$G49,IZ49,Distances[[#This Row],[Colonne242]]+1)</f>
        <v>60</v>
      </c>
      <c r="JB49" s="17">
        <f>IF(Distances[[#This Row],[Colonne243]]=$G49,JA49,Distances[[#This Row],[Colonne243]]+1)</f>
        <v>60</v>
      </c>
      <c r="JC49" s="17">
        <f>IF(Distances[[#This Row],[Colonne244]]=$G49,JB49,Distances[[#This Row],[Colonne244]]+1)</f>
        <v>60</v>
      </c>
      <c r="JD49" s="17">
        <f>IF(Distances[[#This Row],[Colonne245]]=$G49,JC49,Distances[[#This Row],[Colonne245]]+1)</f>
        <v>60</v>
      </c>
      <c r="JE49" s="17">
        <f>IF(Distances[[#This Row],[Colonne246]]=$G49,JD49,Distances[[#This Row],[Colonne246]]+1)</f>
        <v>60</v>
      </c>
      <c r="JF49" s="17">
        <f>IF(Distances[[#This Row],[Colonne247]]=$G49,JE49,Distances[[#This Row],[Colonne247]]+1)</f>
        <v>60</v>
      </c>
      <c r="JG49" s="17">
        <f>IF(Distances[[#This Row],[Colonne248]]=$G49,JF49,Distances[[#This Row],[Colonne248]]+1)</f>
        <v>60</v>
      </c>
      <c r="JH49" s="17">
        <f>IF(Distances[[#This Row],[Colonne249]]=$G49,JG49,Distances[[#This Row],[Colonne249]]+1)</f>
        <v>60</v>
      </c>
      <c r="JI49" s="17">
        <f>IF(Distances[[#This Row],[Colonne250]]=$G49,JH49,Distances[[#This Row],[Colonne250]]+1)</f>
        <v>60</v>
      </c>
      <c r="JJ49" s="17">
        <f>IF(Distances[[#This Row],[Colonne251]]=$G49,JI49,Distances[[#This Row],[Colonne251]]+1)</f>
        <v>60</v>
      </c>
      <c r="JK49" s="17">
        <f>IF(Distances[[#This Row],[Colonne252]]=$G49,JJ49,Distances[[#This Row],[Colonne252]]+1)</f>
        <v>60</v>
      </c>
      <c r="JL49" s="17">
        <f>IF(Distances[[#This Row],[Colonne253]]=$G49,JK49,Distances[[#This Row],[Colonne253]]+1)</f>
        <v>60</v>
      </c>
      <c r="JM49" s="17">
        <f>IF(Distances[[#This Row],[Colonne254]]=$G49,JL49,Distances[[#This Row],[Colonne254]]+1)</f>
        <v>60</v>
      </c>
      <c r="JN49" s="17">
        <f>IF(Distances[[#This Row],[Colonne255]]=$G49,JM49,Distances[[#This Row],[Colonne255]]+1)</f>
        <v>60</v>
      </c>
      <c r="JO49" s="17">
        <f>IF(Distances[[#This Row],[Colonne256]]=$G49,JN49,Distances[[#This Row],[Colonne256]]+1)</f>
        <v>60</v>
      </c>
      <c r="JP49" s="17">
        <f>IF(Distances[[#This Row],[Colonne257]]=$G49,JO49,Distances[[#This Row],[Colonne257]]+1)</f>
        <v>60</v>
      </c>
      <c r="JQ49" s="17">
        <f>IF(Distances[[#This Row],[Colonne258]]=$G49,JP49,Distances[[#This Row],[Colonne258]]+1)</f>
        <v>60</v>
      </c>
      <c r="JR49" s="17">
        <f>IF(Distances[[#This Row],[Colonne259]]=$G49,JQ49,Distances[[#This Row],[Colonne259]]+1)</f>
        <v>60</v>
      </c>
      <c r="JS49" s="17">
        <f>IF(Distances[[#This Row],[Colonne260]]=$G49,JR49,Distances[[#This Row],[Colonne260]]+1)</f>
        <v>60</v>
      </c>
      <c r="JT49" s="17">
        <f>IF(Distances[[#This Row],[Colonne261]]=$G49,JS49,Distances[[#This Row],[Colonne261]]+1)</f>
        <v>60</v>
      </c>
      <c r="JU49" s="17">
        <f>IF(Distances[[#This Row],[Colonne262]]=$G49,JT49,Distances[[#This Row],[Colonne262]]+1)</f>
        <v>60</v>
      </c>
      <c r="JV49" s="17">
        <f>IF(Distances[[#This Row],[Colonne263]]=$G49,JU49,Distances[[#This Row],[Colonne263]]+1)</f>
        <v>60</v>
      </c>
      <c r="JW49" s="17">
        <f>IF(Distances[[#This Row],[Colonne264]]=$G49,JV49,Distances[[#This Row],[Colonne264]]+1)</f>
        <v>60</v>
      </c>
      <c r="JX49" s="17">
        <f>IF(Distances[[#This Row],[Colonne265]]=$G49,JW49,Distances[[#This Row],[Colonne265]]+1)</f>
        <v>60</v>
      </c>
      <c r="JY49" s="17">
        <f>IF(Distances[[#This Row],[Colonne266]]=$G49,JX49,Distances[[#This Row],[Colonne266]]+1)</f>
        <v>60</v>
      </c>
      <c r="JZ49" s="17">
        <f>IF(Distances[[#This Row],[Colonne267]]=$G49,JY49,Distances[[#This Row],[Colonne267]]+1)</f>
        <v>60</v>
      </c>
      <c r="KA49" s="17">
        <f>IF(Distances[[#This Row],[Colonne268]]=$G49,JZ49,Distances[[#This Row],[Colonne268]]+1)</f>
        <v>60</v>
      </c>
      <c r="KB49" s="17">
        <f>IF(Distances[[#This Row],[Colonne269]]=$G49,KA49,Distances[[#This Row],[Colonne269]]+1)</f>
        <v>60</v>
      </c>
      <c r="KC49" s="17">
        <f>IF(Distances[[#This Row],[Colonne270]]=$G49,KB49,Distances[[#This Row],[Colonne270]]+1)</f>
        <v>60</v>
      </c>
      <c r="KD49" s="17">
        <f>IF(Distances[[#This Row],[Colonne271]]=$G49,KC49,Distances[[#This Row],[Colonne271]]+1)</f>
        <v>60</v>
      </c>
      <c r="KE49" s="17">
        <f>IF(Distances[[#This Row],[Colonne272]]=$G49,KD49,Distances[[#This Row],[Colonne272]]+1)</f>
        <v>60</v>
      </c>
      <c r="KF49" s="17">
        <f>IF(Distances[[#This Row],[Colonne273]]=$G49,KE49,Distances[[#This Row],[Colonne273]]+1)</f>
        <v>60</v>
      </c>
      <c r="KG49" s="17">
        <f>IF(Distances[[#This Row],[Colonne274]]=$G49,KF49,Distances[[#This Row],[Colonne274]]+1)</f>
        <v>60</v>
      </c>
      <c r="KH49" s="17">
        <f>IF(Distances[[#This Row],[Colonne275]]=$G49,KG49,Distances[[#This Row],[Colonne275]]+1)</f>
        <v>60</v>
      </c>
      <c r="KI49" s="17">
        <f>IF(Distances[[#This Row],[Colonne276]]=$G49,KH49,Distances[[#This Row],[Colonne276]]+1)</f>
        <v>60</v>
      </c>
      <c r="KJ49" s="17">
        <f>IF(Distances[[#This Row],[Colonne277]]=$G49,KI49,Distances[[#This Row],[Colonne277]]+1)</f>
        <v>60</v>
      </c>
      <c r="KK49" s="17">
        <f>IF(Distances[[#This Row],[Colonne278]]=$G49,KJ49,Distances[[#This Row],[Colonne278]]+1)</f>
        <v>60</v>
      </c>
      <c r="KL49" s="17">
        <f>IF(Distances[[#This Row],[Colonne279]]=$G49,KK49,Distances[[#This Row],[Colonne279]]+1)</f>
        <v>60</v>
      </c>
      <c r="KM49" s="17">
        <f>IF(Distances[[#This Row],[Colonne280]]=$G49,KL49,Distances[[#This Row],[Colonne280]]+1)</f>
        <v>60</v>
      </c>
      <c r="KN49" s="17">
        <f>IF(Distances[[#This Row],[Colonne281]]=$G49,KM49,Distances[[#This Row],[Colonne281]]+1)</f>
        <v>60</v>
      </c>
      <c r="KO49" s="17">
        <f>IF(Distances[[#This Row],[Colonne282]]=$G49,KN49,Distances[[#This Row],[Colonne282]]+1)</f>
        <v>60</v>
      </c>
      <c r="KP49" s="17">
        <f>IF(Distances[[#This Row],[Colonne283]]=$G49,KO49,Distances[[#This Row],[Colonne283]]+1)</f>
        <v>60</v>
      </c>
      <c r="KQ49" s="17">
        <f>IF(Distances[[#This Row],[Colonne284]]=$G49,KP49,Distances[[#This Row],[Colonne284]]+1)</f>
        <v>60</v>
      </c>
      <c r="KR49" s="17">
        <f>IF(Distances[[#This Row],[Colonne285]]=$G49,KQ49,Distances[[#This Row],[Colonne285]]+1)</f>
        <v>60</v>
      </c>
      <c r="KS49" s="17">
        <f>IF(Distances[[#This Row],[Colonne286]]=$G49,KR49,Distances[[#This Row],[Colonne286]]+1)</f>
        <v>60</v>
      </c>
      <c r="KT49" s="17">
        <f>IF(Distances[[#This Row],[Colonne287]]=$G49,KS49,Distances[[#This Row],[Colonne287]]+1)</f>
        <v>60</v>
      </c>
      <c r="KU49" s="17">
        <f>IF(Distances[[#This Row],[Colonne288]]=$G49,KT49,Distances[[#This Row],[Colonne288]]+1)</f>
        <v>60</v>
      </c>
      <c r="KV49" s="17">
        <f>IF(Distances[[#This Row],[Colonne289]]=$G49,KU49,Distances[[#This Row],[Colonne289]]+1)</f>
        <v>60</v>
      </c>
      <c r="KW49" s="17">
        <f>IF(Distances[[#This Row],[Colonne290]]=$G49,KV49,Distances[[#This Row],[Colonne290]]+1)</f>
        <v>60</v>
      </c>
      <c r="KX49" s="17">
        <f>IF(Distances[[#This Row],[Colonne291]]=$G49,KW49,Distances[[#This Row],[Colonne291]]+1)</f>
        <v>60</v>
      </c>
      <c r="KY49" s="17">
        <f>IF(Distances[[#This Row],[Colonne292]]=$G49,KX49,Distances[[#This Row],[Colonne292]]+1)</f>
        <v>60</v>
      </c>
      <c r="KZ49" s="17">
        <f>IF(Distances[[#This Row],[Colonne293]]=$G49,KY49,Distances[[#This Row],[Colonne293]]+1)</f>
        <v>60</v>
      </c>
      <c r="LA49" s="17">
        <f>IF(Distances[[#This Row],[Colonne294]]=$G49,KZ49,Distances[[#This Row],[Colonne294]]+1)</f>
        <v>60</v>
      </c>
      <c r="LB49" s="17">
        <f>IF(Distances[[#This Row],[Colonne295]]=$G49,LA49,Distances[[#This Row],[Colonne295]]+1)</f>
        <v>60</v>
      </c>
      <c r="LC49" s="17">
        <f>IF(Distances[[#This Row],[Colonne296]]=$G49,LB49,Distances[[#This Row],[Colonne296]]+1)</f>
        <v>60</v>
      </c>
      <c r="LD49" s="17">
        <f>IF(Distances[[#This Row],[Colonne297]]=$G49,LC49,Distances[[#This Row],[Colonne297]]+1)</f>
        <v>60</v>
      </c>
      <c r="LE49" s="17">
        <f>IF(Distances[[#This Row],[Colonne298]]=$G49,LD49,Distances[[#This Row],[Colonne298]]+1)</f>
        <v>60</v>
      </c>
      <c r="LF49" s="17">
        <f>IF(Distances[[#This Row],[Colonne299]]=$G49,LE49,Distances[[#This Row],[Colonne299]]+1)</f>
        <v>60</v>
      </c>
      <c r="LG49" s="17">
        <f>IF(Distances[[#This Row],[Colonne300]]=$G49,LF49,Distances[[#This Row],[Colonne300]]+1)</f>
        <v>60</v>
      </c>
      <c r="LH49" s="17">
        <f>IF(Distances[[#This Row],[Colonne301]]=$G49,LG49,Distances[[#This Row],[Colonne301]]+1)</f>
        <v>60</v>
      </c>
      <c r="LI49" s="17">
        <f>IF(Distances[[#This Row],[Colonne302]]=$G49,LH49,Distances[[#This Row],[Colonne302]]+1)</f>
        <v>60</v>
      </c>
      <c r="LJ49" s="17">
        <f>IF(Distances[[#This Row],[Colonne303]]=$G49,LI49,Distances[[#This Row],[Colonne303]]+1)</f>
        <v>60</v>
      </c>
      <c r="LK49" s="51"/>
      <c r="LL49" s="17">
        <f t="shared" ref="LL49:NW49" si="98">IF(LK49=$H49,LK49,LK49+1)</f>
        <v>1</v>
      </c>
      <c r="LM49" s="17">
        <f t="shared" si="98"/>
        <v>2</v>
      </c>
      <c r="LN49" s="17">
        <f t="shared" si="98"/>
        <v>3</v>
      </c>
      <c r="LO49" s="17">
        <f t="shared" si="98"/>
        <v>4</v>
      </c>
      <c r="LP49" s="17">
        <f t="shared" si="98"/>
        <v>5</v>
      </c>
      <c r="LQ49" s="17">
        <f t="shared" si="98"/>
        <v>6</v>
      </c>
      <c r="LR49" s="17">
        <f t="shared" si="98"/>
        <v>7</v>
      </c>
      <c r="LS49" s="17">
        <f t="shared" si="98"/>
        <v>8</v>
      </c>
      <c r="LT49" s="17">
        <f t="shared" si="98"/>
        <v>9</v>
      </c>
      <c r="LU49" s="17">
        <f t="shared" si="98"/>
        <v>10</v>
      </c>
      <c r="LV49" s="17">
        <f t="shared" si="98"/>
        <v>11</v>
      </c>
      <c r="LW49" s="17">
        <f t="shared" si="98"/>
        <v>12</v>
      </c>
      <c r="LX49" s="17">
        <f t="shared" si="98"/>
        <v>13</v>
      </c>
      <c r="LY49" s="17">
        <f t="shared" si="98"/>
        <v>14</v>
      </c>
      <c r="LZ49" s="17">
        <f t="shared" si="98"/>
        <v>15</v>
      </c>
      <c r="MA49" s="17">
        <f t="shared" si="98"/>
        <v>16</v>
      </c>
      <c r="MB49" s="17">
        <f t="shared" si="98"/>
        <v>17</v>
      </c>
      <c r="MC49" s="17">
        <f t="shared" si="98"/>
        <v>18</v>
      </c>
      <c r="MD49" s="17">
        <f t="shared" si="98"/>
        <v>19</v>
      </c>
      <c r="ME49" s="17">
        <f t="shared" si="98"/>
        <v>20</v>
      </c>
      <c r="MF49" s="17">
        <f t="shared" si="98"/>
        <v>21</v>
      </c>
      <c r="MG49" s="17">
        <f t="shared" si="98"/>
        <v>22</v>
      </c>
      <c r="MH49" s="17">
        <f t="shared" si="98"/>
        <v>23</v>
      </c>
      <c r="MI49" s="17">
        <f t="shared" si="98"/>
        <v>24</v>
      </c>
      <c r="MJ49" s="17">
        <f t="shared" si="98"/>
        <v>25</v>
      </c>
      <c r="MK49" s="17">
        <f t="shared" si="98"/>
        <v>26</v>
      </c>
      <c r="ML49" s="17">
        <f t="shared" si="98"/>
        <v>27</v>
      </c>
      <c r="MM49" s="17">
        <f t="shared" si="98"/>
        <v>28</v>
      </c>
      <c r="MN49" s="17">
        <f t="shared" si="98"/>
        <v>29</v>
      </c>
      <c r="MO49" s="17">
        <f t="shared" si="98"/>
        <v>30</v>
      </c>
      <c r="MP49" s="17">
        <f t="shared" si="98"/>
        <v>30</v>
      </c>
      <c r="MQ49" s="17">
        <f t="shared" si="98"/>
        <v>30</v>
      </c>
      <c r="MR49" s="17">
        <f t="shared" si="98"/>
        <v>30</v>
      </c>
      <c r="MS49" s="17">
        <f t="shared" si="98"/>
        <v>30</v>
      </c>
      <c r="MT49" s="17">
        <f t="shared" si="98"/>
        <v>30</v>
      </c>
      <c r="MU49" s="17">
        <f t="shared" si="98"/>
        <v>30</v>
      </c>
      <c r="MV49" s="17">
        <f t="shared" si="98"/>
        <v>30</v>
      </c>
      <c r="MW49" s="17">
        <f t="shared" si="98"/>
        <v>30</v>
      </c>
      <c r="MX49" s="17">
        <f t="shared" si="98"/>
        <v>30</v>
      </c>
      <c r="MY49" s="17">
        <f t="shared" si="98"/>
        <v>30</v>
      </c>
      <c r="MZ49" s="17">
        <f t="shared" si="98"/>
        <v>30</v>
      </c>
      <c r="NA49" s="17">
        <f t="shared" si="98"/>
        <v>30</v>
      </c>
      <c r="NB49" s="17">
        <f t="shared" si="98"/>
        <v>30</v>
      </c>
      <c r="NC49" s="17">
        <f t="shared" si="98"/>
        <v>30</v>
      </c>
      <c r="ND49" s="17">
        <f t="shared" si="98"/>
        <v>30</v>
      </c>
      <c r="NE49" s="17">
        <f t="shared" si="98"/>
        <v>30</v>
      </c>
      <c r="NF49" s="17">
        <f t="shared" si="98"/>
        <v>30</v>
      </c>
      <c r="NG49" s="17">
        <f t="shared" si="98"/>
        <v>30</v>
      </c>
      <c r="NH49" s="17">
        <f t="shared" si="98"/>
        <v>30</v>
      </c>
      <c r="NI49" s="17">
        <f t="shared" si="98"/>
        <v>30</v>
      </c>
      <c r="NJ49" s="17">
        <f t="shared" si="98"/>
        <v>30</v>
      </c>
      <c r="NK49" s="17">
        <f t="shared" si="98"/>
        <v>30</v>
      </c>
      <c r="NL49" s="17">
        <f t="shared" si="98"/>
        <v>30</v>
      </c>
      <c r="NM49" s="17">
        <f t="shared" si="98"/>
        <v>30</v>
      </c>
      <c r="NN49" s="17">
        <f t="shared" si="98"/>
        <v>30</v>
      </c>
      <c r="NO49" s="17">
        <f t="shared" si="98"/>
        <v>30</v>
      </c>
      <c r="NP49" s="17">
        <f t="shared" si="98"/>
        <v>30</v>
      </c>
      <c r="NQ49" s="17">
        <f t="shared" si="98"/>
        <v>30</v>
      </c>
      <c r="NR49" s="17">
        <f t="shared" si="98"/>
        <v>30</v>
      </c>
      <c r="NS49" s="17">
        <f t="shared" si="98"/>
        <v>30</v>
      </c>
      <c r="NT49" s="17">
        <f t="shared" si="98"/>
        <v>30</v>
      </c>
      <c r="NU49" s="17">
        <f t="shared" si="98"/>
        <v>30</v>
      </c>
      <c r="NV49" s="17">
        <f t="shared" si="98"/>
        <v>30</v>
      </c>
      <c r="NW49" s="17">
        <f t="shared" si="98"/>
        <v>30</v>
      </c>
      <c r="NX49" s="17">
        <f t="shared" ref="NX49:PG49" si="99">IF(NW49=$H49,NW49,NW49+1)</f>
        <v>30</v>
      </c>
      <c r="NY49" s="17">
        <f t="shared" si="99"/>
        <v>30</v>
      </c>
      <c r="NZ49" s="17">
        <f t="shared" si="99"/>
        <v>30</v>
      </c>
      <c r="OA49" s="17">
        <f t="shared" si="99"/>
        <v>30</v>
      </c>
      <c r="OB49" s="17">
        <f t="shared" si="99"/>
        <v>30</v>
      </c>
      <c r="OC49" s="17">
        <f t="shared" si="99"/>
        <v>30</v>
      </c>
      <c r="OD49" s="17">
        <f t="shared" si="99"/>
        <v>30</v>
      </c>
      <c r="OE49" s="17">
        <f t="shared" si="99"/>
        <v>30</v>
      </c>
      <c r="OF49" s="17">
        <f t="shared" si="99"/>
        <v>30</v>
      </c>
      <c r="OG49" s="17">
        <f t="shared" si="99"/>
        <v>30</v>
      </c>
      <c r="OH49" s="17">
        <f t="shared" si="99"/>
        <v>30</v>
      </c>
      <c r="OI49" s="17">
        <f t="shared" si="99"/>
        <v>30</v>
      </c>
      <c r="OJ49" s="17">
        <f t="shared" si="99"/>
        <v>30</v>
      </c>
      <c r="OK49" s="17">
        <f t="shared" si="99"/>
        <v>30</v>
      </c>
      <c r="OL49" s="17">
        <f t="shared" si="99"/>
        <v>30</v>
      </c>
      <c r="OM49" s="17">
        <f t="shared" si="99"/>
        <v>30</v>
      </c>
      <c r="ON49" s="17">
        <f t="shared" si="99"/>
        <v>30</v>
      </c>
      <c r="OO49" s="17">
        <f t="shared" si="99"/>
        <v>30</v>
      </c>
      <c r="OP49" s="17">
        <f t="shared" si="99"/>
        <v>30</v>
      </c>
      <c r="OQ49" s="17">
        <f t="shared" si="99"/>
        <v>30</v>
      </c>
      <c r="OR49" s="17">
        <f t="shared" si="99"/>
        <v>30</v>
      </c>
      <c r="OS49" s="17">
        <f t="shared" si="99"/>
        <v>30</v>
      </c>
      <c r="OT49" s="17">
        <f t="shared" si="99"/>
        <v>30</v>
      </c>
      <c r="OU49" s="17">
        <f t="shared" si="99"/>
        <v>30</v>
      </c>
      <c r="OV49" s="17">
        <f t="shared" si="99"/>
        <v>30</v>
      </c>
      <c r="OW49" s="17">
        <f t="shared" si="99"/>
        <v>30</v>
      </c>
      <c r="OX49" s="17">
        <f t="shared" si="99"/>
        <v>30</v>
      </c>
      <c r="OY49" s="17">
        <f t="shared" si="99"/>
        <v>30</v>
      </c>
      <c r="OZ49" s="17">
        <f t="shared" si="99"/>
        <v>30</v>
      </c>
      <c r="PA49" s="17">
        <f t="shared" si="99"/>
        <v>30</v>
      </c>
      <c r="PB49" s="17">
        <f t="shared" si="99"/>
        <v>30</v>
      </c>
      <c r="PC49" s="17">
        <f t="shared" si="99"/>
        <v>30</v>
      </c>
      <c r="PD49" s="17">
        <f t="shared" si="99"/>
        <v>30</v>
      </c>
      <c r="PE49" s="17">
        <f t="shared" si="99"/>
        <v>30</v>
      </c>
      <c r="PF49" s="17">
        <f t="shared" si="99"/>
        <v>30</v>
      </c>
      <c r="PG49" s="17">
        <f t="shared" si="99"/>
        <v>30</v>
      </c>
    </row>
    <row r="50" spans="1:423" x14ac:dyDescent="0.25">
      <c r="A50" s="8" t="s">
        <v>5507</v>
      </c>
      <c r="B50" s="9" t="s">
        <v>24</v>
      </c>
      <c r="C50" s="9" t="str">
        <f t="shared" si="72"/>
        <v>BN1</v>
      </c>
      <c r="D50" s="1" t="str">
        <f t="shared" si="73"/>
        <v>Bande N1</v>
      </c>
      <c r="E50" s="1" t="s">
        <v>9865</v>
      </c>
      <c r="F50" s="9" t="s">
        <v>5508</v>
      </c>
      <c r="G50" s="9">
        <v>80</v>
      </c>
      <c r="H50" s="9">
        <v>30</v>
      </c>
      <c r="I50" s="127">
        <v>3.1</v>
      </c>
      <c r="J50" s="30"/>
      <c r="K50" s="281"/>
      <c r="L50" s="8">
        <v>2.2999999999999998</v>
      </c>
      <c r="M50" s="9">
        <v>2.2999999999999998</v>
      </c>
      <c r="N50" s="10">
        <v>4.9989999999999997</v>
      </c>
      <c r="O50" s="269">
        <v>1</v>
      </c>
      <c r="P50" s="331">
        <v>1</v>
      </c>
      <c r="Q50" s="335">
        <v>2</v>
      </c>
      <c r="R50" s="128"/>
      <c r="S50" s="9"/>
      <c r="T50" s="10"/>
      <c r="U50" t="s">
        <v>5523</v>
      </c>
      <c r="V50" s="17">
        <v>0</v>
      </c>
      <c r="W50" s="17">
        <f>IF(Distances[[#This Row],[Colonne4]]=$G50,V50,Distances[[#This Row],[Colonne4]]+1)</f>
        <v>1</v>
      </c>
      <c r="X50" s="17">
        <f>IF(Distances[[#This Row],[Colonne5]]=$G50,W50,Distances[[#This Row],[Colonne5]]+1)</f>
        <v>2</v>
      </c>
      <c r="Y50" s="17">
        <f>IF(Distances[[#This Row],[Colonne6]]=$G50,X50,Distances[[#This Row],[Colonne6]]+1)</f>
        <v>3</v>
      </c>
      <c r="Z50" s="17">
        <f>IF(Distances[[#This Row],[Colonne7]]=$G50,Y50,Distances[[#This Row],[Colonne7]]+1)</f>
        <v>4</v>
      </c>
      <c r="AA50" s="17">
        <f>IF(Distances[[#This Row],[Colonne8]]=$G50,Z50,Distances[[#This Row],[Colonne8]]+1)</f>
        <v>5</v>
      </c>
      <c r="AB50" s="17">
        <f>IF(Distances[[#This Row],[Colonne9]]=$G50,AA50,Distances[[#This Row],[Colonne9]]+1)</f>
        <v>6</v>
      </c>
      <c r="AC50" s="17">
        <f>IF(Distances[[#This Row],[Colonne10]]=$G50,AB50,Distances[[#This Row],[Colonne10]]+1)</f>
        <v>7</v>
      </c>
      <c r="AD50" s="17">
        <f>IF(Distances[[#This Row],[Colonne11]]=$G50,AC50,Distances[[#This Row],[Colonne11]]+1)</f>
        <v>8</v>
      </c>
      <c r="AE50" s="17">
        <f>IF(Distances[[#This Row],[Colonne12]]=$G50,AD50,Distances[[#This Row],[Colonne12]]+1)</f>
        <v>9</v>
      </c>
      <c r="AF50" s="17">
        <f>IF(Distances[[#This Row],[Colonne13]]=$G50,AE50,Distances[[#This Row],[Colonne13]]+1)</f>
        <v>10</v>
      </c>
      <c r="AG50" s="17">
        <f>IF(Distances[[#This Row],[Colonne14]]=$G50,AF50,Distances[[#This Row],[Colonne14]]+1)</f>
        <v>11</v>
      </c>
      <c r="AH50" s="17">
        <f>IF(Distances[[#This Row],[Colonne15]]=$G50,AG50,Distances[[#This Row],[Colonne15]]+1)</f>
        <v>12</v>
      </c>
      <c r="AI50" s="17">
        <f>IF(Distances[[#This Row],[Colonne16]]=$G50,AH50,Distances[[#This Row],[Colonne16]]+1)</f>
        <v>13</v>
      </c>
      <c r="AJ50" s="17">
        <f>IF(Distances[[#This Row],[Colonne17]]=$G50,AI50,Distances[[#This Row],[Colonne17]]+1)</f>
        <v>14</v>
      </c>
      <c r="AK50" s="17">
        <f>IF(Distances[[#This Row],[Colonne18]]=$G50,AJ50,Distances[[#This Row],[Colonne18]]+1)</f>
        <v>15</v>
      </c>
      <c r="AL50" s="17">
        <f>IF(Distances[[#This Row],[Colonne19]]=$G50,AK50,Distances[[#This Row],[Colonne19]]+1)</f>
        <v>16</v>
      </c>
      <c r="AM50" s="17">
        <f>IF(Distances[[#This Row],[Colonne20]]=$G50,AL50,Distances[[#This Row],[Colonne20]]+1)</f>
        <v>17</v>
      </c>
      <c r="AN50" s="17">
        <f>IF(Distances[[#This Row],[Colonne21]]=$G50,AM50,Distances[[#This Row],[Colonne21]]+1)</f>
        <v>18</v>
      </c>
      <c r="AO50" s="17">
        <f>IF(Distances[[#This Row],[Colonne22]]=$G50,AN50,Distances[[#This Row],[Colonne22]]+1)</f>
        <v>19</v>
      </c>
      <c r="AP50" s="17">
        <f>IF(Distances[[#This Row],[Colonne23]]=$G50,AO50,Distances[[#This Row],[Colonne23]]+1)</f>
        <v>20</v>
      </c>
      <c r="AQ50" s="17">
        <f>IF(Distances[[#This Row],[Colonne24]]=$G50,AP50,Distances[[#This Row],[Colonne24]]+1)</f>
        <v>21</v>
      </c>
      <c r="AR50" s="17">
        <f>IF(Distances[[#This Row],[Colonne25]]=$G50,AQ50,Distances[[#This Row],[Colonne25]]+1)</f>
        <v>22</v>
      </c>
      <c r="AS50" s="17">
        <f>IF(Distances[[#This Row],[Colonne26]]=$G50,AR50,Distances[[#This Row],[Colonne26]]+1)</f>
        <v>23</v>
      </c>
      <c r="AT50" s="17">
        <f>IF(Distances[[#This Row],[Colonne27]]=$G50,AS50,Distances[[#This Row],[Colonne27]]+1)</f>
        <v>24</v>
      </c>
      <c r="AU50" s="17">
        <f>IF(Distances[[#This Row],[Colonne28]]=$G50,AT50,Distances[[#This Row],[Colonne28]]+1)</f>
        <v>25</v>
      </c>
      <c r="AV50" s="17">
        <f>IF(Distances[[#This Row],[Colonne29]]=$G50,AU50,Distances[[#This Row],[Colonne29]]+1)</f>
        <v>26</v>
      </c>
      <c r="AW50" s="17">
        <f>IF(Distances[[#This Row],[Colonne30]]=$G50,AV50,Distances[[#This Row],[Colonne30]]+1)</f>
        <v>27</v>
      </c>
      <c r="AX50" s="17">
        <f>IF(Distances[[#This Row],[Colonne31]]=$G50,AW50,Distances[[#This Row],[Colonne31]]+1)</f>
        <v>28</v>
      </c>
      <c r="AY50" s="17">
        <f>IF(Distances[[#This Row],[Colonne32]]=$G50,AX50,Distances[[#This Row],[Colonne32]]+1)</f>
        <v>29</v>
      </c>
      <c r="AZ50" s="17">
        <f>IF(Distances[[#This Row],[Colonne33]]=$G50,AY50,Distances[[#This Row],[Colonne33]]+1)</f>
        <v>30</v>
      </c>
      <c r="BA50" s="17">
        <f>IF(Distances[[#This Row],[Colonne34]]=$G50,AZ50,Distances[[#This Row],[Colonne34]]+1)</f>
        <v>31</v>
      </c>
      <c r="BB50" s="17">
        <f>IF(Distances[[#This Row],[Colonne35]]=$G50,BA50,Distances[[#This Row],[Colonne35]]+1)</f>
        <v>32</v>
      </c>
      <c r="BC50" s="17">
        <f>IF(Distances[[#This Row],[Colonne36]]=$G50,BB50,Distances[[#This Row],[Colonne36]]+1)</f>
        <v>33</v>
      </c>
      <c r="BD50" s="17">
        <f>IF(Distances[[#This Row],[Colonne37]]=$G50,BC50,Distances[[#This Row],[Colonne37]]+1)</f>
        <v>34</v>
      </c>
      <c r="BE50" s="17">
        <f>IF(Distances[[#This Row],[Colonne38]]=$G50,BD50,Distances[[#This Row],[Colonne38]]+1)</f>
        <v>35</v>
      </c>
      <c r="BF50" s="17">
        <f>IF(Distances[[#This Row],[Colonne39]]=$G50,BE50,Distances[[#This Row],[Colonne39]]+1)</f>
        <v>36</v>
      </c>
      <c r="BG50" s="17">
        <f>IF(Distances[[#This Row],[Colonne40]]=$G50,BF50,Distances[[#This Row],[Colonne40]]+1)</f>
        <v>37</v>
      </c>
      <c r="BH50" s="17">
        <f>IF(Distances[[#This Row],[Colonne41]]=$G50,BG50,Distances[[#This Row],[Colonne41]]+1)</f>
        <v>38</v>
      </c>
      <c r="BI50" s="17">
        <f>IF(Distances[[#This Row],[Colonne42]]=$G50,BH50,Distances[[#This Row],[Colonne42]]+1)</f>
        <v>39</v>
      </c>
      <c r="BJ50" s="17">
        <f>IF(Distances[[#This Row],[Colonne43]]=$G50,BI50,Distances[[#This Row],[Colonne43]]+1)</f>
        <v>40</v>
      </c>
      <c r="BK50" s="17">
        <f>IF(Distances[[#This Row],[Colonne44]]=$G50,BJ50,Distances[[#This Row],[Colonne44]]+1)</f>
        <v>41</v>
      </c>
      <c r="BL50" s="17">
        <f>IF(Distances[[#This Row],[Colonne45]]=$G50,BK50,Distances[[#This Row],[Colonne45]]+1)</f>
        <v>42</v>
      </c>
      <c r="BM50" s="17">
        <f>IF(Distances[[#This Row],[Colonne46]]=$G50,BL50,Distances[[#This Row],[Colonne46]]+1)</f>
        <v>43</v>
      </c>
      <c r="BN50" s="17">
        <f>IF(Distances[[#This Row],[Colonne47]]=$G50,BM50,Distances[[#This Row],[Colonne47]]+1)</f>
        <v>44</v>
      </c>
      <c r="BO50" s="17">
        <f>IF(Distances[[#This Row],[Colonne48]]=$G50,BN50,Distances[[#This Row],[Colonne48]]+1)</f>
        <v>45</v>
      </c>
      <c r="BP50" s="17">
        <f>IF(Distances[[#This Row],[Colonne49]]=$G50,BO50,Distances[[#This Row],[Colonne49]]+1)</f>
        <v>46</v>
      </c>
      <c r="BQ50" s="17">
        <f>IF(Distances[[#This Row],[Colonne50]]=$G50,BP50,Distances[[#This Row],[Colonne50]]+1)</f>
        <v>47</v>
      </c>
      <c r="BR50" s="17">
        <f>IF(Distances[[#This Row],[Colonne51]]=$G50,BQ50,Distances[[#This Row],[Colonne51]]+1)</f>
        <v>48</v>
      </c>
      <c r="BS50" s="17">
        <f>IF(Distances[[#This Row],[Colonne52]]=$G50,BR50,Distances[[#This Row],[Colonne52]]+1)</f>
        <v>49</v>
      </c>
      <c r="BT50" s="17">
        <f>IF(Distances[[#This Row],[Colonne53]]=$G50,BS50,Distances[[#This Row],[Colonne53]]+1)</f>
        <v>50</v>
      </c>
      <c r="BU50" s="17">
        <f>IF(Distances[[#This Row],[Colonne54]]=$G50,BT50,Distances[[#This Row],[Colonne54]]+1)</f>
        <v>51</v>
      </c>
      <c r="BV50" s="17">
        <f>IF(Distances[[#This Row],[Colonne55]]=$G50,BU50,Distances[[#This Row],[Colonne55]]+1)</f>
        <v>52</v>
      </c>
      <c r="BW50" s="17">
        <f>IF(Distances[[#This Row],[Colonne56]]=$G50,BV50,Distances[[#This Row],[Colonne56]]+1)</f>
        <v>53</v>
      </c>
      <c r="BX50" s="17">
        <f>IF(Distances[[#This Row],[Colonne57]]=$G50,BW50,Distances[[#This Row],[Colonne57]]+1)</f>
        <v>54</v>
      </c>
      <c r="BY50" s="17">
        <f>IF(Distances[[#This Row],[Colonne58]]=$G50,BX50,Distances[[#This Row],[Colonne58]]+1)</f>
        <v>55</v>
      </c>
      <c r="BZ50" s="17">
        <f>IF(Distances[[#This Row],[Colonne59]]=$G50,BY50,Distances[[#This Row],[Colonne59]]+1)</f>
        <v>56</v>
      </c>
      <c r="CA50" s="17">
        <f>IF(Distances[[#This Row],[Colonne60]]=$G50,BZ50,Distances[[#This Row],[Colonne60]]+1)</f>
        <v>57</v>
      </c>
      <c r="CB50" s="17">
        <f>IF(Distances[[#This Row],[Colonne61]]=$G50,CA50,Distances[[#This Row],[Colonne61]]+1)</f>
        <v>58</v>
      </c>
      <c r="CC50" s="17">
        <f>IF(Distances[[#This Row],[Colonne62]]=$G50,CB50,Distances[[#This Row],[Colonne62]]+1)</f>
        <v>59</v>
      </c>
      <c r="CD50" s="17">
        <f>IF(Distances[[#This Row],[Colonne63]]=$G50,CC50,Distances[[#This Row],[Colonne63]]+1)</f>
        <v>60</v>
      </c>
      <c r="CE50" s="17">
        <f>IF(Distances[[#This Row],[Colonne64]]=$G50,CD50,Distances[[#This Row],[Colonne64]]+1)</f>
        <v>61</v>
      </c>
      <c r="CF50" s="17">
        <f>IF(Distances[[#This Row],[Colonne65]]=$G50,CE50,Distances[[#This Row],[Colonne65]]+1)</f>
        <v>62</v>
      </c>
      <c r="CG50" s="17">
        <f>IF(Distances[[#This Row],[Colonne66]]=$G50,CF50,Distances[[#This Row],[Colonne66]]+1)</f>
        <v>63</v>
      </c>
      <c r="CH50" s="17">
        <f>IF(Distances[[#This Row],[Colonne67]]=$G50,CG50,Distances[[#This Row],[Colonne67]]+1)</f>
        <v>64</v>
      </c>
      <c r="CI50" s="17">
        <f>IF(Distances[[#This Row],[Colonne68]]=$G50,CH50,Distances[[#This Row],[Colonne68]]+1)</f>
        <v>65</v>
      </c>
      <c r="CJ50" s="17">
        <f>IF(Distances[[#This Row],[Colonne69]]=$G50,CI50,Distances[[#This Row],[Colonne69]]+1)</f>
        <v>66</v>
      </c>
      <c r="CK50" s="17">
        <f>IF(Distances[[#This Row],[Colonne70]]=$G50,CJ50,Distances[[#This Row],[Colonne70]]+1)</f>
        <v>67</v>
      </c>
      <c r="CL50" s="17">
        <f>IF(Distances[[#This Row],[Colonne71]]=$G50,CK50,Distances[[#This Row],[Colonne71]]+1)</f>
        <v>68</v>
      </c>
      <c r="CM50" s="17">
        <f>IF(Distances[[#This Row],[Colonne72]]=$G50,CL50,Distances[[#This Row],[Colonne72]]+1)</f>
        <v>69</v>
      </c>
      <c r="CN50" s="17">
        <f>IF(Distances[[#This Row],[Colonne73]]=$G50,CM50,Distances[[#This Row],[Colonne73]]+1)</f>
        <v>70</v>
      </c>
      <c r="CO50" s="17">
        <f>IF(Distances[[#This Row],[Colonne74]]=$G50,CN50,Distances[[#This Row],[Colonne74]]+1)</f>
        <v>71</v>
      </c>
      <c r="CP50" s="17">
        <f>IF(Distances[[#This Row],[Colonne75]]=$G50,CO50,Distances[[#This Row],[Colonne75]]+1)</f>
        <v>72</v>
      </c>
      <c r="CQ50" s="17">
        <f>IF(Distances[[#This Row],[Colonne76]]=$G50,CP50,Distances[[#This Row],[Colonne76]]+1)</f>
        <v>73</v>
      </c>
      <c r="CR50" s="17">
        <f>IF(Distances[[#This Row],[Colonne77]]=$G50,CQ50,Distances[[#This Row],[Colonne77]]+1)</f>
        <v>74</v>
      </c>
      <c r="CS50" s="17">
        <f>IF(Distances[[#This Row],[Colonne78]]=$G50,CR50,Distances[[#This Row],[Colonne78]]+1)</f>
        <v>75</v>
      </c>
      <c r="CT50" s="17">
        <f>IF(Distances[[#This Row],[Colonne79]]=$G50,CS50,Distances[[#This Row],[Colonne79]]+1)</f>
        <v>76</v>
      </c>
      <c r="CU50" s="17">
        <f>IF(Distances[[#This Row],[Colonne80]]=$G50,CT50,Distances[[#This Row],[Colonne80]]+1)</f>
        <v>77</v>
      </c>
      <c r="CV50" s="17">
        <f>IF(Distances[[#This Row],[Colonne81]]=$G50,CU50,Distances[[#This Row],[Colonne81]]+1)</f>
        <v>78</v>
      </c>
      <c r="CW50" s="17">
        <f>IF(Distances[[#This Row],[Colonne82]]=$G50,CV50,Distances[[#This Row],[Colonne82]]+1)</f>
        <v>79</v>
      </c>
      <c r="CX50" s="17">
        <f>IF(Distances[[#This Row],[Colonne83]]=$G50,CW50,Distances[[#This Row],[Colonne83]]+1)</f>
        <v>80</v>
      </c>
      <c r="CY50" s="17">
        <f>IF(Distances[[#This Row],[Colonne84]]=$G50,CX50,Distances[[#This Row],[Colonne84]]+1)</f>
        <v>80</v>
      </c>
      <c r="CZ50" s="17">
        <f>IF(Distances[[#This Row],[Colonne85]]=$G50,CY50,Distances[[#This Row],[Colonne85]]+1)</f>
        <v>80</v>
      </c>
      <c r="DA50" s="17">
        <f>IF(Distances[[#This Row],[Colonne86]]=$G50,CZ50,Distances[[#This Row],[Colonne86]]+1)</f>
        <v>80</v>
      </c>
      <c r="DB50" s="17">
        <f>IF(Distances[[#This Row],[Colonne87]]=$G50,DA50,Distances[[#This Row],[Colonne87]]+1)</f>
        <v>80</v>
      </c>
      <c r="DC50" s="17">
        <f>IF(Distances[[#This Row],[Colonne88]]=$G50,DB50,Distances[[#This Row],[Colonne88]]+1)</f>
        <v>80</v>
      </c>
      <c r="DD50" s="17">
        <f>IF(Distances[[#This Row],[Colonne89]]=$G50,DC50,Distances[[#This Row],[Colonne89]]+1)</f>
        <v>80</v>
      </c>
      <c r="DE50" s="17">
        <f>IF(Distances[[#This Row],[Colonne90]]=$G50,DD50,Distances[[#This Row],[Colonne90]]+1)</f>
        <v>80</v>
      </c>
      <c r="DF50" s="17">
        <f>IF(Distances[[#This Row],[Colonne91]]=$G50,DE50,Distances[[#This Row],[Colonne91]]+1)</f>
        <v>80</v>
      </c>
      <c r="DG50" s="17">
        <f>IF(Distances[[#This Row],[Colonne92]]=$G50,DF50,Distances[[#This Row],[Colonne92]]+1)</f>
        <v>80</v>
      </c>
      <c r="DH50" s="17">
        <f>IF(Distances[[#This Row],[Colonne93]]=$G50,DG50,Distances[[#This Row],[Colonne93]]+1)</f>
        <v>80</v>
      </c>
      <c r="DI50" s="17">
        <f>IF(Distances[[#This Row],[Colonne94]]=$G50,DH50,Distances[[#This Row],[Colonne94]]+1)</f>
        <v>80</v>
      </c>
      <c r="DJ50" s="17">
        <f>IF(Distances[[#This Row],[Colonne95]]=$G50,DI50,Distances[[#This Row],[Colonne95]]+1)</f>
        <v>80</v>
      </c>
      <c r="DK50" s="17">
        <f>IF(Distances[[#This Row],[Colonne96]]=$G50,DJ50,Distances[[#This Row],[Colonne96]]+1)</f>
        <v>80</v>
      </c>
      <c r="DL50" s="17">
        <f>IF(Distances[[#This Row],[Colonne97]]=$G50,DK50,Distances[[#This Row],[Colonne97]]+1)</f>
        <v>80</v>
      </c>
      <c r="DM50" s="17">
        <f>IF(Distances[[#This Row],[Colonne98]]=$G50,DL50,Distances[[#This Row],[Colonne98]]+1)</f>
        <v>80</v>
      </c>
      <c r="DN50" s="17">
        <f>IF(Distances[[#This Row],[Colonne99]]=$G50,DM50,Distances[[#This Row],[Colonne99]]+1)</f>
        <v>80</v>
      </c>
      <c r="DO50" s="17">
        <f>IF(Distances[[#This Row],[Colonne100]]=$G50,DN50,Distances[[#This Row],[Colonne100]]+1)</f>
        <v>80</v>
      </c>
      <c r="DP50" s="17">
        <f>IF(Distances[[#This Row],[Colonne101]]=$G50,DO50,Distances[[#This Row],[Colonne101]]+1)</f>
        <v>80</v>
      </c>
      <c r="DQ50" s="17">
        <f>IF(Distances[[#This Row],[Colonne102]]=$G50,DP50,Distances[[#This Row],[Colonne102]]+1)</f>
        <v>80</v>
      </c>
      <c r="DR50" s="17">
        <f>IF(Distances[[#This Row],[Colonne103]]=$G50,DQ50,Distances[[#This Row],[Colonne103]]+1)</f>
        <v>80</v>
      </c>
      <c r="DS50" s="17">
        <f>IF(Distances[[#This Row],[Colonne104]]=$G50,DR50,Distances[[#This Row],[Colonne104]]+1)</f>
        <v>80</v>
      </c>
      <c r="DT50" s="17">
        <f>IF(Distances[[#This Row],[Colonne105]]=$G50,DS50,Distances[[#This Row],[Colonne105]]+1)</f>
        <v>80</v>
      </c>
      <c r="DU50" s="17">
        <f>IF(Distances[[#This Row],[Colonne106]]=$G50,DT50,Distances[[#This Row],[Colonne106]]+1)</f>
        <v>80</v>
      </c>
      <c r="DV50" s="17">
        <f>IF(Distances[[#This Row],[Colonne107]]=$G50,DU50,Distances[[#This Row],[Colonne107]]+1)</f>
        <v>80</v>
      </c>
      <c r="DW50" s="17">
        <f>IF(Distances[[#This Row],[Colonne108]]=$G50,DV50,Distances[[#This Row],[Colonne108]]+1)</f>
        <v>80</v>
      </c>
      <c r="DX50" s="17">
        <f>IF(Distances[[#This Row],[Colonne109]]=$G50,DW50,Distances[[#This Row],[Colonne109]]+1)</f>
        <v>80</v>
      </c>
      <c r="DY50" s="17">
        <f>IF(Distances[[#This Row],[Colonne110]]=$G50,DX50,Distances[[#This Row],[Colonne110]]+1)</f>
        <v>80</v>
      </c>
      <c r="DZ50" s="17">
        <f>IF(Distances[[#This Row],[Colonne111]]=$G50,DY50,Distances[[#This Row],[Colonne111]]+1)</f>
        <v>80</v>
      </c>
      <c r="EA50" s="17">
        <f>IF(Distances[[#This Row],[Colonne112]]=$G50,DZ50,Distances[[#This Row],[Colonne112]]+1)</f>
        <v>80</v>
      </c>
      <c r="EB50" s="17">
        <f>IF(Distances[[#This Row],[Colonne113]]=$G50,EA50,Distances[[#This Row],[Colonne113]]+1)</f>
        <v>80</v>
      </c>
      <c r="EC50" s="17">
        <f>IF(Distances[[#This Row],[Colonne114]]=$G50,EB50,Distances[[#This Row],[Colonne114]]+1)</f>
        <v>80</v>
      </c>
      <c r="ED50" s="17">
        <f>IF(Distances[[#This Row],[Colonne115]]=$G50,EC50,Distances[[#This Row],[Colonne115]]+1)</f>
        <v>80</v>
      </c>
      <c r="EE50" s="17">
        <f>IF(Distances[[#This Row],[Colonne116]]=$G50,ED50,Distances[[#This Row],[Colonne116]]+1)</f>
        <v>80</v>
      </c>
      <c r="EF50" s="17">
        <f>IF(Distances[[#This Row],[Colonne117]]=$G50,EE50,Distances[[#This Row],[Colonne117]]+1)</f>
        <v>80</v>
      </c>
      <c r="EG50" s="17">
        <f>IF(Distances[[#This Row],[Colonne118]]=$G50,EF50,Distances[[#This Row],[Colonne118]]+1)</f>
        <v>80</v>
      </c>
      <c r="EH50" s="17">
        <f>IF(Distances[[#This Row],[Colonne119]]=$G50,EG50,Distances[[#This Row],[Colonne119]]+1)</f>
        <v>80</v>
      </c>
      <c r="EI50" s="17">
        <f>IF(Distances[[#This Row],[Colonne120]]=$G50,EH50,Distances[[#This Row],[Colonne120]]+1)</f>
        <v>80</v>
      </c>
      <c r="EJ50" s="17">
        <f>IF(Distances[[#This Row],[Colonne121]]=$G50,EI50,Distances[[#This Row],[Colonne121]]+1)</f>
        <v>80</v>
      </c>
      <c r="EK50" s="17">
        <f>IF(Distances[[#This Row],[Colonne122]]=$G50,EJ50,Distances[[#This Row],[Colonne122]]+1)</f>
        <v>80</v>
      </c>
      <c r="EL50" s="17">
        <f>IF(Distances[[#This Row],[Colonne123]]=$G50,EK50,Distances[[#This Row],[Colonne123]]+1)</f>
        <v>80</v>
      </c>
      <c r="EM50" s="17">
        <f>IF(Distances[[#This Row],[Colonne124]]=$G50,EL50,Distances[[#This Row],[Colonne124]]+1)</f>
        <v>80</v>
      </c>
      <c r="EN50" s="17">
        <f>IF(Distances[[#This Row],[Colonne125]]=$G50,EM50,Distances[[#This Row],[Colonne125]]+1)</f>
        <v>80</v>
      </c>
      <c r="EO50" s="17">
        <f>IF(Distances[[#This Row],[Colonne126]]=$G50,EN50,Distances[[#This Row],[Colonne126]]+1)</f>
        <v>80</v>
      </c>
      <c r="EP50" s="17">
        <f>IF(Distances[[#This Row],[Colonne127]]=$G50,EO50,Distances[[#This Row],[Colonne127]]+1)</f>
        <v>80</v>
      </c>
      <c r="EQ50" s="17">
        <f>IF(Distances[[#This Row],[Colonne128]]=$G50,EP50,Distances[[#This Row],[Colonne128]]+1)</f>
        <v>80</v>
      </c>
      <c r="ER50" s="17">
        <f>IF(Distances[[#This Row],[Colonne129]]=$G50,EQ50,Distances[[#This Row],[Colonne129]]+1)</f>
        <v>80</v>
      </c>
      <c r="ES50" s="17">
        <f>IF(Distances[[#This Row],[Colonne130]]=$G50,ER50,Distances[[#This Row],[Colonne130]]+1)</f>
        <v>80</v>
      </c>
      <c r="ET50" s="17">
        <f>IF(Distances[[#This Row],[Colonne131]]=$G50,ES50,Distances[[#This Row],[Colonne131]]+1)</f>
        <v>80</v>
      </c>
      <c r="EU50" s="17">
        <f>IF(Distances[[#This Row],[Colonne132]]=$G50,ET50,Distances[[#This Row],[Colonne132]]+1)</f>
        <v>80</v>
      </c>
      <c r="EV50" s="17">
        <f>IF(Distances[[#This Row],[Colonne133]]=$G50,EU50,Distances[[#This Row],[Colonne133]]+1)</f>
        <v>80</v>
      </c>
      <c r="EW50" s="17">
        <f>IF(Distances[[#This Row],[Colonne134]]=$G50,EV50,Distances[[#This Row],[Colonne134]]+1)</f>
        <v>80</v>
      </c>
      <c r="EX50" s="17">
        <f>IF(Distances[[#This Row],[Colonne135]]=$G50,EW50,Distances[[#This Row],[Colonne135]]+1)</f>
        <v>80</v>
      </c>
      <c r="EY50" s="17">
        <f>IF(Distances[[#This Row],[Colonne136]]=$G50,EX50,Distances[[#This Row],[Colonne136]]+1)</f>
        <v>80</v>
      </c>
      <c r="EZ50" s="17">
        <f>IF(Distances[[#This Row],[Colonne137]]=$G50,EY50,Distances[[#This Row],[Colonne137]]+1)</f>
        <v>80</v>
      </c>
      <c r="FA50" s="17">
        <f>IF(Distances[[#This Row],[Colonne138]]=$G50,EZ50,Distances[[#This Row],[Colonne138]]+1)</f>
        <v>80</v>
      </c>
      <c r="FB50" s="17">
        <f>IF(Distances[[#This Row],[Colonne139]]=$G50,FA50,Distances[[#This Row],[Colonne139]]+1)</f>
        <v>80</v>
      </c>
      <c r="FC50" s="17">
        <f>IF(Distances[[#This Row],[Colonne140]]=$G50,FB50,Distances[[#This Row],[Colonne140]]+1)</f>
        <v>80</v>
      </c>
      <c r="FD50" s="17">
        <f>IF(Distances[[#This Row],[Colonne141]]=$G50,FC50,Distances[[#This Row],[Colonne141]]+1)</f>
        <v>80</v>
      </c>
      <c r="FE50" s="17">
        <f>IF(Distances[[#This Row],[Colonne142]]=$G50,FD50,Distances[[#This Row],[Colonne142]]+1)</f>
        <v>80</v>
      </c>
      <c r="FF50" s="17">
        <f>IF(Distances[[#This Row],[Colonne143]]=$G50,FE50,Distances[[#This Row],[Colonne143]]+1)</f>
        <v>80</v>
      </c>
      <c r="FG50" s="17">
        <f>IF(Distances[[#This Row],[Colonne144]]=$G50,FF50,Distances[[#This Row],[Colonne144]]+1)</f>
        <v>80</v>
      </c>
      <c r="FH50" s="17">
        <f>IF(Distances[[#This Row],[Colonne145]]=$G50,FG50,Distances[[#This Row],[Colonne145]]+1)</f>
        <v>80</v>
      </c>
      <c r="FI50" s="17">
        <f>IF(Distances[[#This Row],[Colonne146]]=$G50,FH50,Distances[[#This Row],[Colonne146]]+1)</f>
        <v>80</v>
      </c>
      <c r="FJ50" s="17">
        <f>IF(Distances[[#This Row],[Colonne147]]=$G50,FI50,Distances[[#This Row],[Colonne147]]+1)</f>
        <v>80</v>
      </c>
      <c r="FK50" s="17">
        <f>IF(Distances[[#This Row],[Colonne148]]=$G50,FJ50,Distances[[#This Row],[Colonne148]]+1)</f>
        <v>80</v>
      </c>
      <c r="FL50" s="17">
        <f>IF(Distances[[#This Row],[Colonne149]]=$G50,FK50,Distances[[#This Row],[Colonne149]]+1)</f>
        <v>80</v>
      </c>
      <c r="FM50" s="17">
        <f>IF(Distances[[#This Row],[Colonne150]]=$G50,FL50,Distances[[#This Row],[Colonne150]]+1)</f>
        <v>80</v>
      </c>
      <c r="FN50" s="17">
        <f>IF(Distances[[#This Row],[Colonne151]]=$G50,FM50,Distances[[#This Row],[Colonne151]]+1)</f>
        <v>80</v>
      </c>
      <c r="FO50" s="17">
        <f>IF(Distances[[#This Row],[Colonne152]]=$G50,FN50,Distances[[#This Row],[Colonne152]]+1)</f>
        <v>80</v>
      </c>
      <c r="FP50" s="17">
        <f>IF(Distances[[#This Row],[Colonne153]]=$G50,FO50,Distances[[#This Row],[Colonne153]]+1)</f>
        <v>80</v>
      </c>
      <c r="FQ50" s="17">
        <f>IF(Distances[[#This Row],[Colonne154]]=$G50,FP50,Distances[[#This Row],[Colonne154]]+1)</f>
        <v>80</v>
      </c>
      <c r="FR50" s="17">
        <f>IF(Distances[[#This Row],[Colonne155]]=$G50,FQ50,Distances[[#This Row],[Colonne155]]+1)</f>
        <v>80</v>
      </c>
      <c r="FS50" s="17">
        <f>IF(Distances[[#This Row],[Colonne156]]=$G50,FR50,Distances[[#This Row],[Colonne156]]+1)</f>
        <v>80</v>
      </c>
      <c r="FT50" s="17">
        <f>IF(Distances[[#This Row],[Colonne157]]=$G50,FS50,Distances[[#This Row],[Colonne157]]+1)</f>
        <v>80</v>
      </c>
      <c r="FU50" s="17">
        <f>IF(Distances[[#This Row],[Colonne158]]=$G50,FT50,Distances[[#This Row],[Colonne158]]+1)</f>
        <v>80</v>
      </c>
      <c r="FV50" s="17">
        <f>IF(Distances[[#This Row],[Colonne159]]=$G50,FU50,Distances[[#This Row],[Colonne159]]+1)</f>
        <v>80</v>
      </c>
      <c r="FW50" s="17">
        <f>IF(Distances[[#This Row],[Colonne160]]=$G50,FV50,Distances[[#This Row],[Colonne160]]+1)</f>
        <v>80</v>
      </c>
      <c r="FX50" s="17">
        <f>IF(Distances[[#This Row],[Colonne161]]=$G50,FW50,Distances[[#This Row],[Colonne161]]+1)</f>
        <v>80</v>
      </c>
      <c r="FY50" s="17">
        <f>IF(Distances[[#This Row],[Colonne162]]=$G50,FX50,Distances[[#This Row],[Colonne162]]+1)</f>
        <v>80</v>
      </c>
      <c r="FZ50" s="17">
        <f>IF(Distances[[#This Row],[Colonne163]]=$G50,FY50,Distances[[#This Row],[Colonne163]]+1)</f>
        <v>80</v>
      </c>
      <c r="GA50" s="17">
        <f>IF(Distances[[#This Row],[Colonne164]]=$G50,FZ50,Distances[[#This Row],[Colonne164]]+1)</f>
        <v>80</v>
      </c>
      <c r="GB50" s="17">
        <f>IF(Distances[[#This Row],[Colonne165]]=$G50,GA50,Distances[[#This Row],[Colonne165]]+1)</f>
        <v>80</v>
      </c>
      <c r="GC50" s="17">
        <f>IF(Distances[[#This Row],[Colonne166]]=$G50,GB50,Distances[[#This Row],[Colonne166]]+1)</f>
        <v>80</v>
      </c>
      <c r="GD50" s="17">
        <f>IF(Distances[[#This Row],[Colonne167]]=$G50,GC50,Distances[[#This Row],[Colonne167]]+1)</f>
        <v>80</v>
      </c>
      <c r="GE50" s="17">
        <f>IF(Distances[[#This Row],[Colonne168]]=$G50,GD50,Distances[[#This Row],[Colonne168]]+1)</f>
        <v>80</v>
      </c>
      <c r="GF50" s="17">
        <f>IF(Distances[[#This Row],[Colonne169]]=$G50,GE50,Distances[[#This Row],[Colonne169]]+1)</f>
        <v>80</v>
      </c>
      <c r="GG50" s="17">
        <f>IF(Distances[[#This Row],[Colonne170]]=$G50,GF50,Distances[[#This Row],[Colonne170]]+1)</f>
        <v>80</v>
      </c>
      <c r="GH50" s="17">
        <f>IF(Distances[[#This Row],[Colonne171]]=$G50,GG50,Distances[[#This Row],[Colonne171]]+1)</f>
        <v>80</v>
      </c>
      <c r="GI50" s="17">
        <f>IF(Distances[[#This Row],[Colonne172]]=$G50,GH50,Distances[[#This Row],[Colonne172]]+1)</f>
        <v>80</v>
      </c>
      <c r="GJ50" s="17">
        <f>IF(Distances[[#This Row],[Colonne173]]=$G50,GI50,Distances[[#This Row],[Colonne173]]+1)</f>
        <v>80</v>
      </c>
      <c r="GK50" s="17">
        <f>IF(Distances[[#This Row],[Colonne174]]=$G50,GJ50,Distances[[#This Row],[Colonne174]]+1)</f>
        <v>80</v>
      </c>
      <c r="GL50" s="17">
        <f>IF(Distances[[#This Row],[Colonne175]]=$G50,GK50,Distances[[#This Row],[Colonne175]]+1)</f>
        <v>80</v>
      </c>
      <c r="GM50" s="17">
        <f>IF(Distances[[#This Row],[Colonne176]]=$G50,GL50,Distances[[#This Row],[Colonne176]]+1)</f>
        <v>80</v>
      </c>
      <c r="GN50" s="17">
        <f>IF(Distances[[#This Row],[Colonne177]]=$G50,GM50,Distances[[#This Row],[Colonne177]]+1)</f>
        <v>80</v>
      </c>
      <c r="GO50" s="17">
        <f>IF(Distances[[#This Row],[Colonne178]]=$G50,GN50,Distances[[#This Row],[Colonne178]]+1)</f>
        <v>80</v>
      </c>
      <c r="GP50" s="17">
        <f>IF(Distances[[#This Row],[Colonne179]]=$G50,GO50,Distances[[#This Row],[Colonne179]]+1)</f>
        <v>80</v>
      </c>
      <c r="GQ50" s="17">
        <f>IF(Distances[[#This Row],[Colonne180]]=$G50,GP50,Distances[[#This Row],[Colonne180]]+1)</f>
        <v>80</v>
      </c>
      <c r="GR50" s="17">
        <f>IF(Distances[[#This Row],[Colonne181]]=$G50,GQ50,Distances[[#This Row],[Colonne181]]+1)</f>
        <v>80</v>
      </c>
      <c r="GS50" s="17">
        <f>IF(Distances[[#This Row],[Colonne182]]=$G50,GR50,Distances[[#This Row],[Colonne182]]+1)</f>
        <v>80</v>
      </c>
      <c r="GT50" s="17">
        <f>IF(Distances[[#This Row],[Colonne183]]=$G50,GS50,Distances[[#This Row],[Colonne183]]+1)</f>
        <v>80</v>
      </c>
      <c r="GU50" s="17">
        <f>IF(Distances[[#This Row],[Colonne184]]=$G50,GT50,Distances[[#This Row],[Colonne184]]+1)</f>
        <v>80</v>
      </c>
      <c r="GV50" s="17">
        <f>IF(Distances[[#This Row],[Colonne185]]=$G50,GU50,Distances[[#This Row],[Colonne185]]+1)</f>
        <v>80</v>
      </c>
      <c r="GW50" s="17">
        <f>IF(Distances[[#This Row],[Colonne186]]=$G50,GV50,Distances[[#This Row],[Colonne186]]+1)</f>
        <v>80</v>
      </c>
      <c r="GX50" s="17">
        <f>IF(Distances[[#This Row],[Colonne187]]=$G50,GW50,Distances[[#This Row],[Colonne187]]+1)</f>
        <v>80</v>
      </c>
      <c r="GY50" s="17">
        <f>IF(Distances[[#This Row],[Colonne188]]=$G50,GX50,Distances[[#This Row],[Colonne188]]+1)</f>
        <v>80</v>
      </c>
      <c r="GZ50" s="17">
        <f>IF(Distances[[#This Row],[Colonne189]]=$G50,GY50,Distances[[#This Row],[Colonne189]]+1)</f>
        <v>80</v>
      </c>
      <c r="HA50" s="17">
        <f>IF(Distances[[#This Row],[Colonne190]]=$G50,GZ50,Distances[[#This Row],[Colonne190]]+1)</f>
        <v>80</v>
      </c>
      <c r="HB50" s="17">
        <f>IF(Distances[[#This Row],[Colonne191]]=$G50,HA50,Distances[[#This Row],[Colonne191]]+1)</f>
        <v>80</v>
      </c>
      <c r="HC50" s="17">
        <f>IF(Distances[[#This Row],[Colonne192]]=$G50,HB50,Distances[[#This Row],[Colonne192]]+1)</f>
        <v>80</v>
      </c>
      <c r="HD50" s="17">
        <f>IF(Distances[[#This Row],[Colonne193]]=$G50,HC50,Distances[[#This Row],[Colonne193]]+1)</f>
        <v>80</v>
      </c>
      <c r="HE50" s="17">
        <f>IF(Distances[[#This Row],[Colonne194]]=$G50,HD50,Distances[[#This Row],[Colonne194]]+1)</f>
        <v>80</v>
      </c>
      <c r="HF50" s="17">
        <f>IF(Distances[[#This Row],[Colonne195]]=$G50,HE50,Distances[[#This Row],[Colonne195]]+1)</f>
        <v>80</v>
      </c>
      <c r="HG50" s="17">
        <f>IF(Distances[[#This Row],[Colonne196]]=$G50,HF50,Distances[[#This Row],[Colonne196]]+1)</f>
        <v>80</v>
      </c>
      <c r="HH50" s="17">
        <f>IF(Distances[[#This Row],[Colonne197]]=$G50,HG50,Distances[[#This Row],[Colonne197]]+1)</f>
        <v>80</v>
      </c>
      <c r="HI50" s="17">
        <f>IF(Distances[[#This Row],[Colonne198]]=$G50,HH50,Distances[[#This Row],[Colonne198]]+1)</f>
        <v>80</v>
      </c>
      <c r="HJ50" s="17">
        <f>IF(Distances[[#This Row],[Colonne199]]=$G50,HI50,Distances[[#This Row],[Colonne199]]+1)</f>
        <v>80</v>
      </c>
      <c r="HK50" s="17">
        <f>IF(Distances[[#This Row],[Colonne200]]=$G50,HJ50,Distances[[#This Row],[Colonne200]]+1)</f>
        <v>80</v>
      </c>
      <c r="HL50" s="17">
        <f>IF(Distances[[#This Row],[Colonne201]]=$G50,HK50,Distances[[#This Row],[Colonne201]]+1)</f>
        <v>80</v>
      </c>
      <c r="HM50" s="17">
        <f>IF(Distances[[#This Row],[Colonne202]]=$G50,HL50,Distances[[#This Row],[Colonne202]]+1)</f>
        <v>80</v>
      </c>
      <c r="HN50" s="17">
        <f>IF(Distances[[#This Row],[Colonne203]]=$G50,HM50,Distances[[#This Row],[Colonne203]]+1)</f>
        <v>80</v>
      </c>
      <c r="HO50" s="17">
        <f>IF(Distances[[#This Row],[Colonne204]]=$G50,HN50,Distances[[#This Row],[Colonne204]]+1)</f>
        <v>80</v>
      </c>
      <c r="HP50" s="17">
        <f>IF(Distances[[#This Row],[Colonne205]]=$G50,HO50,Distances[[#This Row],[Colonne205]]+1)</f>
        <v>80</v>
      </c>
      <c r="HQ50" s="17">
        <f>IF(Distances[[#This Row],[Colonne206]]=$G50,HP50,Distances[[#This Row],[Colonne206]]+1)</f>
        <v>80</v>
      </c>
      <c r="HR50" s="17">
        <f>IF(Distances[[#This Row],[Colonne207]]=$G50,HQ50,Distances[[#This Row],[Colonne207]]+1)</f>
        <v>80</v>
      </c>
      <c r="HS50" s="17">
        <f>IF(Distances[[#This Row],[Colonne208]]=$G50,HR50,Distances[[#This Row],[Colonne208]]+1)</f>
        <v>80</v>
      </c>
      <c r="HT50" s="17">
        <f>IF(Distances[[#This Row],[Colonne209]]=$G50,HS50,Distances[[#This Row],[Colonne209]]+1)</f>
        <v>80</v>
      </c>
      <c r="HU50" s="17">
        <f>IF(Distances[[#This Row],[Colonne210]]=$G50,HT50,Distances[[#This Row],[Colonne210]]+1)</f>
        <v>80</v>
      </c>
      <c r="HV50" s="17">
        <f>IF(Distances[[#This Row],[Colonne211]]=$G50,HU50,Distances[[#This Row],[Colonne211]]+1)</f>
        <v>80</v>
      </c>
      <c r="HW50" s="17">
        <f>IF(Distances[[#This Row],[Colonne212]]=$G50,HV50,Distances[[#This Row],[Colonne212]]+1)</f>
        <v>80</v>
      </c>
      <c r="HX50" s="17">
        <f>IF(Distances[[#This Row],[Colonne213]]=$G50,HW50,Distances[[#This Row],[Colonne213]]+1)</f>
        <v>80</v>
      </c>
      <c r="HY50" s="17">
        <f>IF(Distances[[#This Row],[Colonne214]]=$G50,HX50,Distances[[#This Row],[Colonne214]]+1)</f>
        <v>80</v>
      </c>
      <c r="HZ50" s="17">
        <f>IF(Distances[[#This Row],[Colonne215]]=$G50,HY50,Distances[[#This Row],[Colonne215]]+1)</f>
        <v>80</v>
      </c>
      <c r="IA50" s="17">
        <f>IF(Distances[[#This Row],[Colonne216]]=$G50,HZ50,Distances[[#This Row],[Colonne216]]+1)</f>
        <v>80</v>
      </c>
      <c r="IB50" s="17">
        <f>IF(Distances[[#This Row],[Colonne217]]=$G50,IA50,Distances[[#This Row],[Colonne217]]+1)</f>
        <v>80</v>
      </c>
      <c r="IC50" s="17">
        <f>IF(Distances[[#This Row],[Colonne218]]=$G50,IB50,Distances[[#This Row],[Colonne218]]+1)</f>
        <v>80</v>
      </c>
      <c r="ID50" s="17">
        <f>IF(Distances[[#This Row],[Colonne219]]=$G50,IC50,Distances[[#This Row],[Colonne219]]+1)</f>
        <v>80</v>
      </c>
      <c r="IE50" s="17">
        <f>IF(Distances[[#This Row],[Colonne220]]=$G50,ID50,Distances[[#This Row],[Colonne220]]+1)</f>
        <v>80</v>
      </c>
      <c r="IF50" s="17">
        <f>IF(Distances[[#This Row],[Colonne221]]=$G50,IE50,Distances[[#This Row],[Colonne221]]+1)</f>
        <v>80</v>
      </c>
      <c r="IG50" s="17">
        <f>IF(Distances[[#This Row],[Colonne222]]=$G50,IF50,Distances[[#This Row],[Colonne222]]+1)</f>
        <v>80</v>
      </c>
      <c r="IH50" s="17">
        <f>IF(Distances[[#This Row],[Colonne223]]=$G50,IG50,Distances[[#This Row],[Colonne223]]+1)</f>
        <v>80</v>
      </c>
      <c r="II50" s="17">
        <f>IF(Distances[[#This Row],[Colonne224]]=$G50,IH50,Distances[[#This Row],[Colonne224]]+1)</f>
        <v>80</v>
      </c>
      <c r="IJ50" s="17">
        <f>IF(Distances[[#This Row],[Colonne225]]=$G50,II50,Distances[[#This Row],[Colonne225]]+1)</f>
        <v>80</v>
      </c>
      <c r="IK50" s="17">
        <f>IF(Distances[[#This Row],[Colonne226]]=$G50,IJ50,Distances[[#This Row],[Colonne226]]+1)</f>
        <v>80</v>
      </c>
      <c r="IL50" s="17">
        <f>IF(Distances[[#This Row],[Colonne227]]=$G50,IK50,Distances[[#This Row],[Colonne227]]+1)</f>
        <v>80</v>
      </c>
      <c r="IM50" s="17">
        <f>IF(Distances[[#This Row],[Colonne228]]=$G50,IL50,Distances[[#This Row],[Colonne228]]+1)</f>
        <v>80</v>
      </c>
      <c r="IN50" s="17">
        <f>IF(Distances[[#This Row],[Colonne229]]=$G50,IM50,Distances[[#This Row],[Colonne229]]+1)</f>
        <v>80</v>
      </c>
      <c r="IO50" s="17">
        <f>IF(Distances[[#This Row],[Colonne230]]=$G50,IN50,Distances[[#This Row],[Colonne230]]+1)</f>
        <v>80</v>
      </c>
      <c r="IP50" s="17">
        <f>IF(Distances[[#This Row],[Colonne231]]=$G50,IO50,Distances[[#This Row],[Colonne231]]+1)</f>
        <v>80</v>
      </c>
      <c r="IQ50" s="17">
        <f>IF(Distances[[#This Row],[Colonne232]]=$G50,IP50,Distances[[#This Row],[Colonne232]]+1)</f>
        <v>80</v>
      </c>
      <c r="IR50" s="17">
        <f>IF(Distances[[#This Row],[Colonne233]]=$G50,IQ50,Distances[[#This Row],[Colonne233]]+1)</f>
        <v>80</v>
      </c>
      <c r="IS50" s="17">
        <f>IF(Distances[[#This Row],[Colonne234]]=$G50,IR50,Distances[[#This Row],[Colonne234]]+1)</f>
        <v>80</v>
      </c>
      <c r="IT50" s="17">
        <f>IF(Distances[[#This Row],[Colonne235]]=$G50,IS50,Distances[[#This Row],[Colonne235]]+1)</f>
        <v>80</v>
      </c>
      <c r="IU50" s="17">
        <f>IF(Distances[[#This Row],[Colonne236]]=$G50,IT50,Distances[[#This Row],[Colonne236]]+1)</f>
        <v>80</v>
      </c>
      <c r="IV50" s="17">
        <f>IF(Distances[[#This Row],[Colonne237]]=$G50,IU50,Distances[[#This Row],[Colonne237]]+1)</f>
        <v>80</v>
      </c>
      <c r="IW50" s="17">
        <f>IF(Distances[[#This Row],[Colonne238]]=$G50,IV50,Distances[[#This Row],[Colonne238]]+1)</f>
        <v>80</v>
      </c>
      <c r="IX50" s="17">
        <f>IF(Distances[[#This Row],[Colonne239]]=$G50,IW50,Distances[[#This Row],[Colonne239]]+1)</f>
        <v>80</v>
      </c>
      <c r="IY50" s="17">
        <f>IF(Distances[[#This Row],[Colonne240]]=$G50,IX50,Distances[[#This Row],[Colonne240]]+1)</f>
        <v>80</v>
      </c>
      <c r="IZ50" s="17">
        <f>IF(Distances[[#This Row],[Colonne241]]=$G50,IY50,Distances[[#This Row],[Colonne241]]+1)</f>
        <v>80</v>
      </c>
      <c r="JA50" s="17">
        <f>IF(Distances[[#This Row],[Colonne242]]=$G50,IZ50,Distances[[#This Row],[Colonne242]]+1)</f>
        <v>80</v>
      </c>
      <c r="JB50" s="17">
        <f>IF(Distances[[#This Row],[Colonne243]]=$G50,JA50,Distances[[#This Row],[Colonne243]]+1)</f>
        <v>80</v>
      </c>
      <c r="JC50" s="17">
        <f>IF(Distances[[#This Row],[Colonne244]]=$G50,JB50,Distances[[#This Row],[Colonne244]]+1)</f>
        <v>80</v>
      </c>
      <c r="JD50" s="17">
        <f>IF(Distances[[#This Row],[Colonne245]]=$G50,JC50,Distances[[#This Row],[Colonne245]]+1)</f>
        <v>80</v>
      </c>
      <c r="JE50" s="17">
        <f>IF(Distances[[#This Row],[Colonne246]]=$G50,JD50,Distances[[#This Row],[Colonne246]]+1)</f>
        <v>80</v>
      </c>
      <c r="JF50" s="17">
        <f>IF(Distances[[#This Row],[Colonne247]]=$G50,JE50,Distances[[#This Row],[Colonne247]]+1)</f>
        <v>80</v>
      </c>
      <c r="JG50" s="17">
        <f>IF(Distances[[#This Row],[Colonne248]]=$G50,JF50,Distances[[#This Row],[Colonne248]]+1)</f>
        <v>80</v>
      </c>
      <c r="JH50" s="17">
        <f>IF(Distances[[#This Row],[Colonne249]]=$G50,JG50,Distances[[#This Row],[Colonne249]]+1)</f>
        <v>80</v>
      </c>
      <c r="JI50" s="17">
        <f>IF(Distances[[#This Row],[Colonne250]]=$G50,JH50,Distances[[#This Row],[Colonne250]]+1)</f>
        <v>80</v>
      </c>
      <c r="JJ50" s="17">
        <f>IF(Distances[[#This Row],[Colonne251]]=$G50,JI50,Distances[[#This Row],[Colonne251]]+1)</f>
        <v>80</v>
      </c>
      <c r="JK50" s="17">
        <f>IF(Distances[[#This Row],[Colonne252]]=$G50,JJ50,Distances[[#This Row],[Colonne252]]+1)</f>
        <v>80</v>
      </c>
      <c r="JL50" s="17">
        <f>IF(Distances[[#This Row],[Colonne253]]=$G50,JK50,Distances[[#This Row],[Colonne253]]+1)</f>
        <v>80</v>
      </c>
      <c r="JM50" s="17">
        <f>IF(Distances[[#This Row],[Colonne254]]=$G50,JL50,Distances[[#This Row],[Colonne254]]+1)</f>
        <v>80</v>
      </c>
      <c r="JN50" s="17">
        <f>IF(Distances[[#This Row],[Colonne255]]=$G50,JM50,Distances[[#This Row],[Colonne255]]+1)</f>
        <v>80</v>
      </c>
      <c r="JO50" s="17">
        <f>IF(Distances[[#This Row],[Colonne256]]=$G50,JN50,Distances[[#This Row],[Colonne256]]+1)</f>
        <v>80</v>
      </c>
      <c r="JP50" s="17">
        <f>IF(Distances[[#This Row],[Colonne257]]=$G50,JO50,Distances[[#This Row],[Colonne257]]+1)</f>
        <v>80</v>
      </c>
      <c r="JQ50" s="17">
        <f>IF(Distances[[#This Row],[Colonne258]]=$G50,JP50,Distances[[#This Row],[Colonne258]]+1)</f>
        <v>80</v>
      </c>
      <c r="JR50" s="17">
        <f>IF(Distances[[#This Row],[Colonne259]]=$G50,JQ50,Distances[[#This Row],[Colonne259]]+1)</f>
        <v>80</v>
      </c>
      <c r="JS50" s="17">
        <f>IF(Distances[[#This Row],[Colonne260]]=$G50,JR50,Distances[[#This Row],[Colonne260]]+1)</f>
        <v>80</v>
      </c>
      <c r="JT50" s="17">
        <f>IF(Distances[[#This Row],[Colonne261]]=$G50,JS50,Distances[[#This Row],[Colonne261]]+1)</f>
        <v>80</v>
      </c>
      <c r="JU50" s="17">
        <f>IF(Distances[[#This Row],[Colonne262]]=$G50,JT50,Distances[[#This Row],[Colonne262]]+1)</f>
        <v>80</v>
      </c>
      <c r="JV50" s="17">
        <f>IF(Distances[[#This Row],[Colonne263]]=$G50,JU50,Distances[[#This Row],[Colonne263]]+1)</f>
        <v>80</v>
      </c>
      <c r="JW50" s="17">
        <f>IF(Distances[[#This Row],[Colonne264]]=$G50,JV50,Distances[[#This Row],[Colonne264]]+1)</f>
        <v>80</v>
      </c>
      <c r="JX50" s="17">
        <f>IF(Distances[[#This Row],[Colonne265]]=$G50,JW50,Distances[[#This Row],[Colonne265]]+1)</f>
        <v>80</v>
      </c>
      <c r="JY50" s="17">
        <f>IF(Distances[[#This Row],[Colonne266]]=$G50,JX50,Distances[[#This Row],[Colonne266]]+1)</f>
        <v>80</v>
      </c>
      <c r="JZ50" s="17">
        <f>IF(Distances[[#This Row],[Colonne267]]=$G50,JY50,Distances[[#This Row],[Colonne267]]+1)</f>
        <v>80</v>
      </c>
      <c r="KA50" s="17">
        <f>IF(Distances[[#This Row],[Colonne268]]=$G50,JZ50,Distances[[#This Row],[Colonne268]]+1)</f>
        <v>80</v>
      </c>
      <c r="KB50" s="17">
        <f>IF(Distances[[#This Row],[Colonne269]]=$G50,KA50,Distances[[#This Row],[Colonne269]]+1)</f>
        <v>80</v>
      </c>
      <c r="KC50" s="17">
        <f>IF(Distances[[#This Row],[Colonne270]]=$G50,KB50,Distances[[#This Row],[Colonne270]]+1)</f>
        <v>80</v>
      </c>
      <c r="KD50" s="17">
        <f>IF(Distances[[#This Row],[Colonne271]]=$G50,KC50,Distances[[#This Row],[Colonne271]]+1)</f>
        <v>80</v>
      </c>
      <c r="KE50" s="17">
        <f>IF(Distances[[#This Row],[Colonne272]]=$G50,KD50,Distances[[#This Row],[Colonne272]]+1)</f>
        <v>80</v>
      </c>
      <c r="KF50" s="17">
        <f>IF(Distances[[#This Row],[Colonne273]]=$G50,KE50,Distances[[#This Row],[Colonne273]]+1)</f>
        <v>80</v>
      </c>
      <c r="KG50" s="17">
        <f>IF(Distances[[#This Row],[Colonne274]]=$G50,KF50,Distances[[#This Row],[Colonne274]]+1)</f>
        <v>80</v>
      </c>
      <c r="KH50" s="17">
        <f>IF(Distances[[#This Row],[Colonne275]]=$G50,KG50,Distances[[#This Row],[Colonne275]]+1)</f>
        <v>80</v>
      </c>
      <c r="KI50" s="17">
        <f>IF(Distances[[#This Row],[Colonne276]]=$G50,KH50,Distances[[#This Row],[Colonne276]]+1)</f>
        <v>80</v>
      </c>
      <c r="KJ50" s="17">
        <f>IF(Distances[[#This Row],[Colonne277]]=$G50,KI50,Distances[[#This Row],[Colonne277]]+1)</f>
        <v>80</v>
      </c>
      <c r="KK50" s="17">
        <f>IF(Distances[[#This Row],[Colonne278]]=$G50,KJ50,Distances[[#This Row],[Colonne278]]+1)</f>
        <v>80</v>
      </c>
      <c r="KL50" s="17">
        <f>IF(Distances[[#This Row],[Colonne279]]=$G50,KK50,Distances[[#This Row],[Colonne279]]+1)</f>
        <v>80</v>
      </c>
      <c r="KM50" s="17">
        <f>IF(Distances[[#This Row],[Colonne280]]=$G50,KL50,Distances[[#This Row],[Colonne280]]+1)</f>
        <v>80</v>
      </c>
      <c r="KN50" s="17">
        <f>IF(Distances[[#This Row],[Colonne281]]=$G50,KM50,Distances[[#This Row],[Colonne281]]+1)</f>
        <v>80</v>
      </c>
      <c r="KO50" s="17">
        <f>IF(Distances[[#This Row],[Colonne282]]=$G50,KN50,Distances[[#This Row],[Colonne282]]+1)</f>
        <v>80</v>
      </c>
      <c r="KP50" s="17">
        <f>IF(Distances[[#This Row],[Colonne283]]=$G50,KO50,Distances[[#This Row],[Colonne283]]+1)</f>
        <v>80</v>
      </c>
      <c r="KQ50" s="17">
        <f>IF(Distances[[#This Row],[Colonne284]]=$G50,KP50,Distances[[#This Row],[Colonne284]]+1)</f>
        <v>80</v>
      </c>
      <c r="KR50" s="17">
        <f>IF(Distances[[#This Row],[Colonne285]]=$G50,KQ50,Distances[[#This Row],[Colonne285]]+1)</f>
        <v>80</v>
      </c>
      <c r="KS50" s="17">
        <f>IF(Distances[[#This Row],[Colonne286]]=$G50,KR50,Distances[[#This Row],[Colonne286]]+1)</f>
        <v>80</v>
      </c>
      <c r="KT50" s="17">
        <f>IF(Distances[[#This Row],[Colonne287]]=$G50,KS50,Distances[[#This Row],[Colonne287]]+1)</f>
        <v>80</v>
      </c>
      <c r="KU50" s="17">
        <f>IF(Distances[[#This Row],[Colonne288]]=$G50,KT50,Distances[[#This Row],[Colonne288]]+1)</f>
        <v>80</v>
      </c>
      <c r="KV50" s="17">
        <f>IF(Distances[[#This Row],[Colonne289]]=$G50,KU50,Distances[[#This Row],[Colonne289]]+1)</f>
        <v>80</v>
      </c>
      <c r="KW50" s="17">
        <f>IF(Distances[[#This Row],[Colonne290]]=$G50,KV50,Distances[[#This Row],[Colonne290]]+1)</f>
        <v>80</v>
      </c>
      <c r="KX50" s="17">
        <f>IF(Distances[[#This Row],[Colonne291]]=$G50,KW50,Distances[[#This Row],[Colonne291]]+1)</f>
        <v>80</v>
      </c>
      <c r="KY50" s="17">
        <f>IF(Distances[[#This Row],[Colonne292]]=$G50,KX50,Distances[[#This Row],[Colonne292]]+1)</f>
        <v>80</v>
      </c>
      <c r="KZ50" s="17">
        <f>IF(Distances[[#This Row],[Colonne293]]=$G50,KY50,Distances[[#This Row],[Colonne293]]+1)</f>
        <v>80</v>
      </c>
      <c r="LA50" s="17">
        <f>IF(Distances[[#This Row],[Colonne294]]=$G50,KZ50,Distances[[#This Row],[Colonne294]]+1)</f>
        <v>80</v>
      </c>
      <c r="LB50" s="17">
        <f>IF(Distances[[#This Row],[Colonne295]]=$G50,LA50,Distances[[#This Row],[Colonne295]]+1)</f>
        <v>80</v>
      </c>
      <c r="LC50" s="17">
        <f>IF(Distances[[#This Row],[Colonne296]]=$G50,LB50,Distances[[#This Row],[Colonne296]]+1)</f>
        <v>80</v>
      </c>
      <c r="LD50" s="17">
        <f>IF(Distances[[#This Row],[Colonne297]]=$G50,LC50,Distances[[#This Row],[Colonne297]]+1)</f>
        <v>80</v>
      </c>
      <c r="LE50" s="17">
        <f>IF(Distances[[#This Row],[Colonne298]]=$G50,LD50,Distances[[#This Row],[Colonne298]]+1)</f>
        <v>80</v>
      </c>
      <c r="LF50" s="17">
        <f>IF(Distances[[#This Row],[Colonne299]]=$G50,LE50,Distances[[#This Row],[Colonne299]]+1)</f>
        <v>80</v>
      </c>
      <c r="LG50" s="17">
        <f>IF(Distances[[#This Row],[Colonne300]]=$G50,LF50,Distances[[#This Row],[Colonne300]]+1)</f>
        <v>80</v>
      </c>
      <c r="LH50" s="17">
        <f>IF(Distances[[#This Row],[Colonne301]]=$G50,LG50,Distances[[#This Row],[Colonne301]]+1)</f>
        <v>80</v>
      </c>
      <c r="LI50" s="17">
        <f>IF(Distances[[#This Row],[Colonne302]]=$G50,LH50,Distances[[#This Row],[Colonne302]]+1)</f>
        <v>80</v>
      </c>
      <c r="LJ50" s="17">
        <f>IF(Distances[[#This Row],[Colonne303]]=$G50,LI50,Distances[[#This Row],[Colonne303]]+1)</f>
        <v>80</v>
      </c>
      <c r="LK50" s="51"/>
      <c r="LL50" s="17">
        <f t="shared" ref="LL50:NW50" si="100">IF(LK50=$H50,LK50,LK50+1)</f>
        <v>1</v>
      </c>
      <c r="LM50" s="17">
        <f t="shared" si="100"/>
        <v>2</v>
      </c>
      <c r="LN50" s="17">
        <f t="shared" si="100"/>
        <v>3</v>
      </c>
      <c r="LO50" s="17">
        <f t="shared" si="100"/>
        <v>4</v>
      </c>
      <c r="LP50" s="17">
        <f t="shared" si="100"/>
        <v>5</v>
      </c>
      <c r="LQ50" s="17">
        <f t="shared" si="100"/>
        <v>6</v>
      </c>
      <c r="LR50" s="17">
        <f t="shared" si="100"/>
        <v>7</v>
      </c>
      <c r="LS50" s="17">
        <f t="shared" si="100"/>
        <v>8</v>
      </c>
      <c r="LT50" s="17">
        <f t="shared" si="100"/>
        <v>9</v>
      </c>
      <c r="LU50" s="17">
        <f t="shared" si="100"/>
        <v>10</v>
      </c>
      <c r="LV50" s="17">
        <f t="shared" si="100"/>
        <v>11</v>
      </c>
      <c r="LW50" s="17">
        <f t="shared" si="100"/>
        <v>12</v>
      </c>
      <c r="LX50" s="17">
        <f t="shared" si="100"/>
        <v>13</v>
      </c>
      <c r="LY50" s="17">
        <f t="shared" si="100"/>
        <v>14</v>
      </c>
      <c r="LZ50" s="17">
        <f t="shared" si="100"/>
        <v>15</v>
      </c>
      <c r="MA50" s="17">
        <f t="shared" si="100"/>
        <v>16</v>
      </c>
      <c r="MB50" s="17">
        <f t="shared" si="100"/>
        <v>17</v>
      </c>
      <c r="MC50" s="17">
        <f t="shared" si="100"/>
        <v>18</v>
      </c>
      <c r="MD50" s="17">
        <f t="shared" si="100"/>
        <v>19</v>
      </c>
      <c r="ME50" s="17">
        <f t="shared" si="100"/>
        <v>20</v>
      </c>
      <c r="MF50" s="17">
        <f t="shared" si="100"/>
        <v>21</v>
      </c>
      <c r="MG50" s="17">
        <f t="shared" si="100"/>
        <v>22</v>
      </c>
      <c r="MH50" s="17">
        <f t="shared" si="100"/>
        <v>23</v>
      </c>
      <c r="MI50" s="17">
        <f t="shared" si="100"/>
        <v>24</v>
      </c>
      <c r="MJ50" s="17">
        <f t="shared" si="100"/>
        <v>25</v>
      </c>
      <c r="MK50" s="17">
        <f t="shared" si="100"/>
        <v>26</v>
      </c>
      <c r="ML50" s="17">
        <f t="shared" si="100"/>
        <v>27</v>
      </c>
      <c r="MM50" s="17">
        <f t="shared" si="100"/>
        <v>28</v>
      </c>
      <c r="MN50" s="17">
        <f t="shared" si="100"/>
        <v>29</v>
      </c>
      <c r="MO50" s="17">
        <f t="shared" si="100"/>
        <v>30</v>
      </c>
      <c r="MP50" s="17">
        <f t="shared" si="100"/>
        <v>30</v>
      </c>
      <c r="MQ50" s="17">
        <f t="shared" si="100"/>
        <v>30</v>
      </c>
      <c r="MR50" s="17">
        <f t="shared" si="100"/>
        <v>30</v>
      </c>
      <c r="MS50" s="17">
        <f t="shared" si="100"/>
        <v>30</v>
      </c>
      <c r="MT50" s="17">
        <f t="shared" si="100"/>
        <v>30</v>
      </c>
      <c r="MU50" s="17">
        <f t="shared" si="100"/>
        <v>30</v>
      </c>
      <c r="MV50" s="17">
        <f t="shared" si="100"/>
        <v>30</v>
      </c>
      <c r="MW50" s="17">
        <f t="shared" si="100"/>
        <v>30</v>
      </c>
      <c r="MX50" s="17">
        <f t="shared" si="100"/>
        <v>30</v>
      </c>
      <c r="MY50" s="17">
        <f t="shared" si="100"/>
        <v>30</v>
      </c>
      <c r="MZ50" s="17">
        <f t="shared" si="100"/>
        <v>30</v>
      </c>
      <c r="NA50" s="17">
        <f t="shared" si="100"/>
        <v>30</v>
      </c>
      <c r="NB50" s="17">
        <f t="shared" si="100"/>
        <v>30</v>
      </c>
      <c r="NC50" s="17">
        <f t="shared" si="100"/>
        <v>30</v>
      </c>
      <c r="ND50" s="17">
        <f t="shared" si="100"/>
        <v>30</v>
      </c>
      <c r="NE50" s="17">
        <f t="shared" si="100"/>
        <v>30</v>
      </c>
      <c r="NF50" s="17">
        <f t="shared" si="100"/>
        <v>30</v>
      </c>
      <c r="NG50" s="17">
        <f t="shared" si="100"/>
        <v>30</v>
      </c>
      <c r="NH50" s="17">
        <f t="shared" si="100"/>
        <v>30</v>
      </c>
      <c r="NI50" s="17">
        <f t="shared" si="100"/>
        <v>30</v>
      </c>
      <c r="NJ50" s="17">
        <f t="shared" si="100"/>
        <v>30</v>
      </c>
      <c r="NK50" s="17">
        <f t="shared" si="100"/>
        <v>30</v>
      </c>
      <c r="NL50" s="17">
        <f t="shared" si="100"/>
        <v>30</v>
      </c>
      <c r="NM50" s="17">
        <f t="shared" si="100"/>
        <v>30</v>
      </c>
      <c r="NN50" s="17">
        <f t="shared" si="100"/>
        <v>30</v>
      </c>
      <c r="NO50" s="17">
        <f t="shared" si="100"/>
        <v>30</v>
      </c>
      <c r="NP50" s="17">
        <f t="shared" si="100"/>
        <v>30</v>
      </c>
      <c r="NQ50" s="17">
        <f t="shared" si="100"/>
        <v>30</v>
      </c>
      <c r="NR50" s="17">
        <f t="shared" si="100"/>
        <v>30</v>
      </c>
      <c r="NS50" s="17">
        <f t="shared" si="100"/>
        <v>30</v>
      </c>
      <c r="NT50" s="17">
        <f t="shared" si="100"/>
        <v>30</v>
      </c>
      <c r="NU50" s="17">
        <f t="shared" si="100"/>
        <v>30</v>
      </c>
      <c r="NV50" s="17">
        <f t="shared" si="100"/>
        <v>30</v>
      </c>
      <c r="NW50" s="17">
        <f t="shared" si="100"/>
        <v>30</v>
      </c>
      <c r="NX50" s="17">
        <f t="shared" ref="NX50:PG50" si="101">IF(NW50=$H50,NW50,NW50+1)</f>
        <v>30</v>
      </c>
      <c r="NY50" s="17">
        <f t="shared" si="101"/>
        <v>30</v>
      </c>
      <c r="NZ50" s="17">
        <f t="shared" si="101"/>
        <v>30</v>
      </c>
      <c r="OA50" s="17">
        <f t="shared" si="101"/>
        <v>30</v>
      </c>
      <c r="OB50" s="17">
        <f t="shared" si="101"/>
        <v>30</v>
      </c>
      <c r="OC50" s="17">
        <f t="shared" si="101"/>
        <v>30</v>
      </c>
      <c r="OD50" s="17">
        <f t="shared" si="101"/>
        <v>30</v>
      </c>
      <c r="OE50" s="17">
        <f t="shared" si="101"/>
        <v>30</v>
      </c>
      <c r="OF50" s="17">
        <f t="shared" si="101"/>
        <v>30</v>
      </c>
      <c r="OG50" s="17">
        <f t="shared" si="101"/>
        <v>30</v>
      </c>
      <c r="OH50" s="17">
        <f t="shared" si="101"/>
        <v>30</v>
      </c>
      <c r="OI50" s="17">
        <f t="shared" si="101"/>
        <v>30</v>
      </c>
      <c r="OJ50" s="17">
        <f t="shared" si="101"/>
        <v>30</v>
      </c>
      <c r="OK50" s="17">
        <f t="shared" si="101"/>
        <v>30</v>
      </c>
      <c r="OL50" s="17">
        <f t="shared" si="101"/>
        <v>30</v>
      </c>
      <c r="OM50" s="17">
        <f t="shared" si="101"/>
        <v>30</v>
      </c>
      <c r="ON50" s="17">
        <f t="shared" si="101"/>
        <v>30</v>
      </c>
      <c r="OO50" s="17">
        <f t="shared" si="101"/>
        <v>30</v>
      </c>
      <c r="OP50" s="17">
        <f t="shared" si="101"/>
        <v>30</v>
      </c>
      <c r="OQ50" s="17">
        <f t="shared" si="101"/>
        <v>30</v>
      </c>
      <c r="OR50" s="17">
        <f t="shared" si="101"/>
        <v>30</v>
      </c>
      <c r="OS50" s="17">
        <f t="shared" si="101"/>
        <v>30</v>
      </c>
      <c r="OT50" s="17">
        <f t="shared" si="101"/>
        <v>30</v>
      </c>
      <c r="OU50" s="17">
        <f t="shared" si="101"/>
        <v>30</v>
      </c>
      <c r="OV50" s="17">
        <f t="shared" si="101"/>
        <v>30</v>
      </c>
      <c r="OW50" s="17">
        <f t="shared" si="101"/>
        <v>30</v>
      </c>
      <c r="OX50" s="17">
        <f t="shared" si="101"/>
        <v>30</v>
      </c>
      <c r="OY50" s="17">
        <f t="shared" si="101"/>
        <v>30</v>
      </c>
      <c r="OZ50" s="17">
        <f t="shared" si="101"/>
        <v>30</v>
      </c>
      <c r="PA50" s="17">
        <f t="shared" si="101"/>
        <v>30</v>
      </c>
      <c r="PB50" s="17">
        <f t="shared" si="101"/>
        <v>30</v>
      </c>
      <c r="PC50" s="17">
        <f t="shared" si="101"/>
        <v>30</v>
      </c>
      <c r="PD50" s="17">
        <f t="shared" si="101"/>
        <v>30</v>
      </c>
      <c r="PE50" s="17">
        <f t="shared" si="101"/>
        <v>30</v>
      </c>
      <c r="PF50" s="17">
        <f t="shared" si="101"/>
        <v>30</v>
      </c>
      <c r="PG50" s="17">
        <f t="shared" si="101"/>
        <v>30</v>
      </c>
    </row>
    <row r="51" spans="1:423" x14ac:dyDescent="0.25">
      <c r="A51" s="8" t="s">
        <v>5507</v>
      </c>
      <c r="B51" s="9" t="s">
        <v>26</v>
      </c>
      <c r="C51" s="9" t="str">
        <f t="shared" si="72"/>
        <v>BN3</v>
      </c>
      <c r="D51" s="1" t="str">
        <f t="shared" si="73"/>
        <v>Bande N3</v>
      </c>
      <c r="E51" s="1" t="s">
        <v>15</v>
      </c>
      <c r="F51" s="9" t="s">
        <v>5508</v>
      </c>
      <c r="G51" s="9">
        <v>60</v>
      </c>
      <c r="H51" s="9">
        <v>35</v>
      </c>
      <c r="I51" s="127">
        <v>2.8</v>
      </c>
      <c r="J51" s="30"/>
      <c r="K51" s="281"/>
      <c r="L51" s="8">
        <v>1.75</v>
      </c>
      <c r="M51" s="9">
        <v>1.75</v>
      </c>
      <c r="N51" s="10">
        <v>2.5790000000000002</v>
      </c>
      <c r="O51" s="269"/>
      <c r="P51" s="331"/>
      <c r="Q51" s="335"/>
      <c r="R51" s="128">
        <v>1</v>
      </c>
      <c r="S51" s="9">
        <v>1</v>
      </c>
      <c r="T51" s="10">
        <v>2</v>
      </c>
      <c r="U51" t="s">
        <v>5523</v>
      </c>
      <c r="V51" s="17">
        <v>0</v>
      </c>
      <c r="W51" s="17">
        <f>IF(Distances[[#This Row],[Colonne4]]=$G51,V51,Distances[[#This Row],[Colonne4]]+1)</f>
        <v>1</v>
      </c>
      <c r="X51" s="17">
        <f>IF(Distances[[#This Row],[Colonne5]]=$G51,W51,Distances[[#This Row],[Colonne5]]+1)</f>
        <v>2</v>
      </c>
      <c r="Y51" s="17">
        <f>IF(Distances[[#This Row],[Colonne6]]=$G51,X51,Distances[[#This Row],[Colonne6]]+1)</f>
        <v>3</v>
      </c>
      <c r="Z51" s="17">
        <f>IF(Distances[[#This Row],[Colonne7]]=$G51,Y51,Distances[[#This Row],[Colonne7]]+1)</f>
        <v>4</v>
      </c>
      <c r="AA51" s="17">
        <f>IF(Distances[[#This Row],[Colonne8]]=$G51,Z51,Distances[[#This Row],[Colonne8]]+1)</f>
        <v>5</v>
      </c>
      <c r="AB51" s="17">
        <f>IF(Distances[[#This Row],[Colonne9]]=$G51,AA51,Distances[[#This Row],[Colonne9]]+1)</f>
        <v>6</v>
      </c>
      <c r="AC51" s="17">
        <f>IF(Distances[[#This Row],[Colonne10]]=$G51,AB51,Distances[[#This Row],[Colonne10]]+1)</f>
        <v>7</v>
      </c>
      <c r="AD51" s="17">
        <f>IF(Distances[[#This Row],[Colonne11]]=$G51,AC51,Distances[[#This Row],[Colonne11]]+1)</f>
        <v>8</v>
      </c>
      <c r="AE51" s="17">
        <f>IF(Distances[[#This Row],[Colonne12]]=$G51,AD51,Distances[[#This Row],[Colonne12]]+1)</f>
        <v>9</v>
      </c>
      <c r="AF51" s="17">
        <f>IF(Distances[[#This Row],[Colonne13]]=$G51,AE51,Distances[[#This Row],[Colonne13]]+1)</f>
        <v>10</v>
      </c>
      <c r="AG51" s="17">
        <f>IF(Distances[[#This Row],[Colonne14]]=$G51,AF51,Distances[[#This Row],[Colonne14]]+1)</f>
        <v>11</v>
      </c>
      <c r="AH51" s="17">
        <f>IF(Distances[[#This Row],[Colonne15]]=$G51,AG51,Distances[[#This Row],[Colonne15]]+1)</f>
        <v>12</v>
      </c>
      <c r="AI51" s="17">
        <f>IF(Distances[[#This Row],[Colonne16]]=$G51,AH51,Distances[[#This Row],[Colonne16]]+1)</f>
        <v>13</v>
      </c>
      <c r="AJ51" s="17">
        <f>IF(Distances[[#This Row],[Colonne17]]=$G51,AI51,Distances[[#This Row],[Colonne17]]+1)</f>
        <v>14</v>
      </c>
      <c r="AK51" s="17">
        <f>IF(Distances[[#This Row],[Colonne18]]=$G51,AJ51,Distances[[#This Row],[Colonne18]]+1)</f>
        <v>15</v>
      </c>
      <c r="AL51" s="17">
        <f>IF(Distances[[#This Row],[Colonne19]]=$G51,AK51,Distances[[#This Row],[Colonne19]]+1)</f>
        <v>16</v>
      </c>
      <c r="AM51" s="17">
        <f>IF(Distances[[#This Row],[Colonne20]]=$G51,AL51,Distances[[#This Row],[Colonne20]]+1)</f>
        <v>17</v>
      </c>
      <c r="AN51" s="17">
        <f>IF(Distances[[#This Row],[Colonne21]]=$G51,AM51,Distances[[#This Row],[Colonne21]]+1)</f>
        <v>18</v>
      </c>
      <c r="AO51" s="17">
        <f>IF(Distances[[#This Row],[Colonne22]]=$G51,AN51,Distances[[#This Row],[Colonne22]]+1)</f>
        <v>19</v>
      </c>
      <c r="AP51" s="17">
        <f>IF(Distances[[#This Row],[Colonne23]]=$G51,AO51,Distances[[#This Row],[Colonne23]]+1)</f>
        <v>20</v>
      </c>
      <c r="AQ51" s="17">
        <f>IF(Distances[[#This Row],[Colonne24]]=$G51,AP51,Distances[[#This Row],[Colonne24]]+1)</f>
        <v>21</v>
      </c>
      <c r="AR51" s="17">
        <f>IF(Distances[[#This Row],[Colonne25]]=$G51,AQ51,Distances[[#This Row],[Colonne25]]+1)</f>
        <v>22</v>
      </c>
      <c r="AS51" s="17">
        <f>IF(Distances[[#This Row],[Colonne26]]=$G51,AR51,Distances[[#This Row],[Colonne26]]+1)</f>
        <v>23</v>
      </c>
      <c r="AT51" s="17">
        <f>IF(Distances[[#This Row],[Colonne27]]=$G51,AS51,Distances[[#This Row],[Colonne27]]+1)</f>
        <v>24</v>
      </c>
      <c r="AU51" s="17">
        <f>IF(Distances[[#This Row],[Colonne28]]=$G51,AT51,Distances[[#This Row],[Colonne28]]+1)</f>
        <v>25</v>
      </c>
      <c r="AV51" s="17">
        <f>IF(Distances[[#This Row],[Colonne29]]=$G51,AU51,Distances[[#This Row],[Colonne29]]+1)</f>
        <v>26</v>
      </c>
      <c r="AW51" s="17">
        <f>IF(Distances[[#This Row],[Colonne30]]=$G51,AV51,Distances[[#This Row],[Colonne30]]+1)</f>
        <v>27</v>
      </c>
      <c r="AX51" s="17">
        <f>IF(Distances[[#This Row],[Colonne31]]=$G51,AW51,Distances[[#This Row],[Colonne31]]+1)</f>
        <v>28</v>
      </c>
      <c r="AY51" s="17">
        <f>IF(Distances[[#This Row],[Colonne32]]=$G51,AX51,Distances[[#This Row],[Colonne32]]+1)</f>
        <v>29</v>
      </c>
      <c r="AZ51" s="17">
        <f>IF(Distances[[#This Row],[Colonne33]]=$G51,AY51,Distances[[#This Row],[Colonne33]]+1)</f>
        <v>30</v>
      </c>
      <c r="BA51" s="17">
        <f>IF(Distances[[#This Row],[Colonne34]]=$G51,AZ51,Distances[[#This Row],[Colonne34]]+1)</f>
        <v>31</v>
      </c>
      <c r="BB51" s="17">
        <f>IF(Distances[[#This Row],[Colonne35]]=$G51,BA51,Distances[[#This Row],[Colonne35]]+1)</f>
        <v>32</v>
      </c>
      <c r="BC51" s="17">
        <f>IF(Distances[[#This Row],[Colonne36]]=$G51,BB51,Distances[[#This Row],[Colonne36]]+1)</f>
        <v>33</v>
      </c>
      <c r="BD51" s="17">
        <f>IF(Distances[[#This Row],[Colonne37]]=$G51,BC51,Distances[[#This Row],[Colonne37]]+1)</f>
        <v>34</v>
      </c>
      <c r="BE51" s="17">
        <f>IF(Distances[[#This Row],[Colonne38]]=$G51,BD51,Distances[[#This Row],[Colonne38]]+1)</f>
        <v>35</v>
      </c>
      <c r="BF51" s="17">
        <f>IF(Distances[[#This Row],[Colonne39]]=$G51,BE51,Distances[[#This Row],[Colonne39]]+1)</f>
        <v>36</v>
      </c>
      <c r="BG51" s="17">
        <f>IF(Distances[[#This Row],[Colonne40]]=$G51,BF51,Distances[[#This Row],[Colonne40]]+1)</f>
        <v>37</v>
      </c>
      <c r="BH51" s="17">
        <f>IF(Distances[[#This Row],[Colonne41]]=$G51,BG51,Distances[[#This Row],[Colonne41]]+1)</f>
        <v>38</v>
      </c>
      <c r="BI51" s="17">
        <f>IF(Distances[[#This Row],[Colonne42]]=$G51,BH51,Distances[[#This Row],[Colonne42]]+1)</f>
        <v>39</v>
      </c>
      <c r="BJ51" s="17">
        <f>IF(Distances[[#This Row],[Colonne43]]=$G51,BI51,Distances[[#This Row],[Colonne43]]+1)</f>
        <v>40</v>
      </c>
      <c r="BK51" s="17">
        <f>IF(Distances[[#This Row],[Colonne44]]=$G51,BJ51,Distances[[#This Row],[Colonne44]]+1)</f>
        <v>41</v>
      </c>
      <c r="BL51" s="17">
        <f>IF(Distances[[#This Row],[Colonne45]]=$G51,BK51,Distances[[#This Row],[Colonne45]]+1)</f>
        <v>42</v>
      </c>
      <c r="BM51" s="17">
        <f>IF(Distances[[#This Row],[Colonne46]]=$G51,BL51,Distances[[#This Row],[Colonne46]]+1)</f>
        <v>43</v>
      </c>
      <c r="BN51" s="17">
        <f>IF(Distances[[#This Row],[Colonne47]]=$G51,BM51,Distances[[#This Row],[Colonne47]]+1)</f>
        <v>44</v>
      </c>
      <c r="BO51" s="17">
        <f>IF(Distances[[#This Row],[Colonne48]]=$G51,BN51,Distances[[#This Row],[Colonne48]]+1)</f>
        <v>45</v>
      </c>
      <c r="BP51" s="17">
        <f>IF(Distances[[#This Row],[Colonne49]]=$G51,BO51,Distances[[#This Row],[Colonne49]]+1)</f>
        <v>46</v>
      </c>
      <c r="BQ51" s="17">
        <f>IF(Distances[[#This Row],[Colonne50]]=$G51,BP51,Distances[[#This Row],[Colonne50]]+1)</f>
        <v>47</v>
      </c>
      <c r="BR51" s="17">
        <f>IF(Distances[[#This Row],[Colonne51]]=$G51,BQ51,Distances[[#This Row],[Colonne51]]+1)</f>
        <v>48</v>
      </c>
      <c r="BS51" s="17">
        <f>IF(Distances[[#This Row],[Colonne52]]=$G51,BR51,Distances[[#This Row],[Colonne52]]+1)</f>
        <v>49</v>
      </c>
      <c r="BT51" s="17">
        <f>IF(Distances[[#This Row],[Colonne53]]=$G51,BS51,Distances[[#This Row],[Colonne53]]+1)</f>
        <v>50</v>
      </c>
      <c r="BU51" s="17">
        <f>IF(Distances[[#This Row],[Colonne54]]=$G51,BT51,Distances[[#This Row],[Colonne54]]+1)</f>
        <v>51</v>
      </c>
      <c r="BV51" s="17">
        <f>IF(Distances[[#This Row],[Colonne55]]=$G51,BU51,Distances[[#This Row],[Colonne55]]+1)</f>
        <v>52</v>
      </c>
      <c r="BW51" s="17">
        <f>IF(Distances[[#This Row],[Colonne56]]=$G51,BV51,Distances[[#This Row],[Colonne56]]+1)</f>
        <v>53</v>
      </c>
      <c r="BX51" s="17">
        <f>IF(Distances[[#This Row],[Colonne57]]=$G51,BW51,Distances[[#This Row],[Colonne57]]+1)</f>
        <v>54</v>
      </c>
      <c r="BY51" s="17">
        <f>IF(Distances[[#This Row],[Colonne58]]=$G51,BX51,Distances[[#This Row],[Colonne58]]+1)</f>
        <v>55</v>
      </c>
      <c r="BZ51" s="17">
        <f>IF(Distances[[#This Row],[Colonne59]]=$G51,BY51,Distances[[#This Row],[Colonne59]]+1)</f>
        <v>56</v>
      </c>
      <c r="CA51" s="17">
        <f>IF(Distances[[#This Row],[Colonne60]]=$G51,BZ51,Distances[[#This Row],[Colonne60]]+1)</f>
        <v>57</v>
      </c>
      <c r="CB51" s="17">
        <f>IF(Distances[[#This Row],[Colonne61]]=$G51,CA51,Distances[[#This Row],[Colonne61]]+1)</f>
        <v>58</v>
      </c>
      <c r="CC51" s="17">
        <f>IF(Distances[[#This Row],[Colonne62]]=$G51,CB51,Distances[[#This Row],[Colonne62]]+1)</f>
        <v>59</v>
      </c>
      <c r="CD51" s="17">
        <f>IF(Distances[[#This Row],[Colonne63]]=$G51,CC51,Distances[[#This Row],[Colonne63]]+1)</f>
        <v>60</v>
      </c>
      <c r="CE51" s="17">
        <f>IF(Distances[[#This Row],[Colonne64]]=$G51,CD51,Distances[[#This Row],[Colonne64]]+1)</f>
        <v>60</v>
      </c>
      <c r="CF51" s="17">
        <f>IF(Distances[[#This Row],[Colonne65]]=$G51,CE51,Distances[[#This Row],[Colonne65]]+1)</f>
        <v>60</v>
      </c>
      <c r="CG51" s="17">
        <f>IF(Distances[[#This Row],[Colonne66]]=$G51,CF51,Distances[[#This Row],[Colonne66]]+1)</f>
        <v>60</v>
      </c>
      <c r="CH51" s="17">
        <f>IF(Distances[[#This Row],[Colonne67]]=$G51,CG51,Distances[[#This Row],[Colonne67]]+1)</f>
        <v>60</v>
      </c>
      <c r="CI51" s="17">
        <f>IF(Distances[[#This Row],[Colonne68]]=$G51,CH51,Distances[[#This Row],[Colonne68]]+1)</f>
        <v>60</v>
      </c>
      <c r="CJ51" s="17">
        <f>IF(Distances[[#This Row],[Colonne69]]=$G51,CI51,Distances[[#This Row],[Colonne69]]+1)</f>
        <v>60</v>
      </c>
      <c r="CK51" s="17">
        <f>IF(Distances[[#This Row],[Colonne70]]=$G51,CJ51,Distances[[#This Row],[Colonne70]]+1)</f>
        <v>60</v>
      </c>
      <c r="CL51" s="17">
        <f>IF(Distances[[#This Row],[Colonne71]]=$G51,CK51,Distances[[#This Row],[Colonne71]]+1)</f>
        <v>60</v>
      </c>
      <c r="CM51" s="17">
        <f>IF(Distances[[#This Row],[Colonne72]]=$G51,CL51,Distances[[#This Row],[Colonne72]]+1)</f>
        <v>60</v>
      </c>
      <c r="CN51" s="17">
        <f>IF(Distances[[#This Row],[Colonne73]]=$G51,CM51,Distances[[#This Row],[Colonne73]]+1)</f>
        <v>60</v>
      </c>
      <c r="CO51" s="17">
        <f>IF(Distances[[#This Row],[Colonne74]]=$G51,CN51,Distances[[#This Row],[Colonne74]]+1)</f>
        <v>60</v>
      </c>
      <c r="CP51" s="17">
        <f>IF(Distances[[#This Row],[Colonne75]]=$G51,CO51,Distances[[#This Row],[Colonne75]]+1)</f>
        <v>60</v>
      </c>
      <c r="CQ51" s="17">
        <f>IF(Distances[[#This Row],[Colonne76]]=$G51,CP51,Distances[[#This Row],[Colonne76]]+1)</f>
        <v>60</v>
      </c>
      <c r="CR51" s="17">
        <f>IF(Distances[[#This Row],[Colonne77]]=$G51,CQ51,Distances[[#This Row],[Colonne77]]+1)</f>
        <v>60</v>
      </c>
      <c r="CS51" s="17">
        <f>IF(Distances[[#This Row],[Colonne78]]=$G51,CR51,Distances[[#This Row],[Colonne78]]+1)</f>
        <v>60</v>
      </c>
      <c r="CT51" s="17">
        <f>IF(Distances[[#This Row],[Colonne79]]=$G51,CS51,Distances[[#This Row],[Colonne79]]+1)</f>
        <v>60</v>
      </c>
      <c r="CU51" s="17">
        <f>IF(Distances[[#This Row],[Colonne80]]=$G51,CT51,Distances[[#This Row],[Colonne80]]+1)</f>
        <v>60</v>
      </c>
      <c r="CV51" s="17">
        <f>IF(Distances[[#This Row],[Colonne81]]=$G51,CU51,Distances[[#This Row],[Colonne81]]+1)</f>
        <v>60</v>
      </c>
      <c r="CW51" s="17">
        <f>IF(Distances[[#This Row],[Colonne82]]=$G51,CV51,Distances[[#This Row],[Colonne82]]+1)</f>
        <v>60</v>
      </c>
      <c r="CX51" s="17">
        <f>IF(Distances[[#This Row],[Colonne83]]=$G51,CW51,Distances[[#This Row],[Colonne83]]+1)</f>
        <v>60</v>
      </c>
      <c r="CY51" s="17">
        <f>IF(Distances[[#This Row],[Colonne84]]=$G51,CX51,Distances[[#This Row],[Colonne84]]+1)</f>
        <v>60</v>
      </c>
      <c r="CZ51" s="17">
        <f>IF(Distances[[#This Row],[Colonne85]]=$G51,CY51,Distances[[#This Row],[Colonne85]]+1)</f>
        <v>60</v>
      </c>
      <c r="DA51" s="17">
        <f>IF(Distances[[#This Row],[Colonne86]]=$G51,CZ51,Distances[[#This Row],[Colonne86]]+1)</f>
        <v>60</v>
      </c>
      <c r="DB51" s="17">
        <f>IF(Distances[[#This Row],[Colonne87]]=$G51,DA51,Distances[[#This Row],[Colonne87]]+1)</f>
        <v>60</v>
      </c>
      <c r="DC51" s="17">
        <f>IF(Distances[[#This Row],[Colonne88]]=$G51,DB51,Distances[[#This Row],[Colonne88]]+1)</f>
        <v>60</v>
      </c>
      <c r="DD51" s="17">
        <f>IF(Distances[[#This Row],[Colonne89]]=$G51,DC51,Distances[[#This Row],[Colonne89]]+1)</f>
        <v>60</v>
      </c>
      <c r="DE51" s="17">
        <f>IF(Distances[[#This Row],[Colonne90]]=$G51,DD51,Distances[[#This Row],[Colonne90]]+1)</f>
        <v>60</v>
      </c>
      <c r="DF51" s="17">
        <f>IF(Distances[[#This Row],[Colonne91]]=$G51,DE51,Distances[[#This Row],[Colonne91]]+1)</f>
        <v>60</v>
      </c>
      <c r="DG51" s="17">
        <f>IF(Distances[[#This Row],[Colonne92]]=$G51,DF51,Distances[[#This Row],[Colonne92]]+1)</f>
        <v>60</v>
      </c>
      <c r="DH51" s="17">
        <f>IF(Distances[[#This Row],[Colonne93]]=$G51,DG51,Distances[[#This Row],[Colonne93]]+1)</f>
        <v>60</v>
      </c>
      <c r="DI51" s="17">
        <f>IF(Distances[[#This Row],[Colonne94]]=$G51,DH51,Distances[[#This Row],[Colonne94]]+1)</f>
        <v>60</v>
      </c>
      <c r="DJ51" s="17">
        <f>IF(Distances[[#This Row],[Colonne95]]=$G51,DI51,Distances[[#This Row],[Colonne95]]+1)</f>
        <v>60</v>
      </c>
      <c r="DK51" s="17">
        <f>IF(Distances[[#This Row],[Colonne96]]=$G51,DJ51,Distances[[#This Row],[Colonne96]]+1)</f>
        <v>60</v>
      </c>
      <c r="DL51" s="17">
        <f>IF(Distances[[#This Row],[Colonne97]]=$G51,DK51,Distances[[#This Row],[Colonne97]]+1)</f>
        <v>60</v>
      </c>
      <c r="DM51" s="17">
        <f>IF(Distances[[#This Row],[Colonne98]]=$G51,DL51,Distances[[#This Row],[Colonne98]]+1)</f>
        <v>60</v>
      </c>
      <c r="DN51" s="17">
        <f>IF(Distances[[#This Row],[Colonne99]]=$G51,DM51,Distances[[#This Row],[Colonne99]]+1)</f>
        <v>60</v>
      </c>
      <c r="DO51" s="17">
        <f>IF(Distances[[#This Row],[Colonne100]]=$G51,DN51,Distances[[#This Row],[Colonne100]]+1)</f>
        <v>60</v>
      </c>
      <c r="DP51" s="17">
        <f>IF(Distances[[#This Row],[Colonne101]]=$G51,DO51,Distances[[#This Row],[Colonne101]]+1)</f>
        <v>60</v>
      </c>
      <c r="DQ51" s="17">
        <f>IF(Distances[[#This Row],[Colonne102]]=$G51,DP51,Distances[[#This Row],[Colonne102]]+1)</f>
        <v>60</v>
      </c>
      <c r="DR51" s="17">
        <f>IF(Distances[[#This Row],[Colonne103]]=$G51,DQ51,Distances[[#This Row],[Colonne103]]+1)</f>
        <v>60</v>
      </c>
      <c r="DS51" s="17">
        <f>IF(Distances[[#This Row],[Colonne104]]=$G51,DR51,Distances[[#This Row],[Colonne104]]+1)</f>
        <v>60</v>
      </c>
      <c r="DT51" s="17">
        <f>IF(Distances[[#This Row],[Colonne105]]=$G51,DS51,Distances[[#This Row],[Colonne105]]+1)</f>
        <v>60</v>
      </c>
      <c r="DU51" s="17">
        <f>IF(Distances[[#This Row],[Colonne106]]=$G51,DT51,Distances[[#This Row],[Colonne106]]+1)</f>
        <v>60</v>
      </c>
      <c r="DV51" s="17">
        <f>IF(Distances[[#This Row],[Colonne107]]=$G51,DU51,Distances[[#This Row],[Colonne107]]+1)</f>
        <v>60</v>
      </c>
      <c r="DW51" s="17">
        <f>IF(Distances[[#This Row],[Colonne108]]=$G51,DV51,Distances[[#This Row],[Colonne108]]+1)</f>
        <v>60</v>
      </c>
      <c r="DX51" s="17">
        <f>IF(Distances[[#This Row],[Colonne109]]=$G51,DW51,Distances[[#This Row],[Colonne109]]+1)</f>
        <v>60</v>
      </c>
      <c r="DY51" s="17">
        <f>IF(Distances[[#This Row],[Colonne110]]=$G51,DX51,Distances[[#This Row],[Colonne110]]+1)</f>
        <v>60</v>
      </c>
      <c r="DZ51" s="17">
        <f>IF(Distances[[#This Row],[Colonne111]]=$G51,DY51,Distances[[#This Row],[Colonne111]]+1)</f>
        <v>60</v>
      </c>
      <c r="EA51" s="17">
        <f>IF(Distances[[#This Row],[Colonne112]]=$G51,DZ51,Distances[[#This Row],[Colonne112]]+1)</f>
        <v>60</v>
      </c>
      <c r="EB51" s="17">
        <f>IF(Distances[[#This Row],[Colonne113]]=$G51,EA51,Distances[[#This Row],[Colonne113]]+1)</f>
        <v>60</v>
      </c>
      <c r="EC51" s="17">
        <f>IF(Distances[[#This Row],[Colonne114]]=$G51,EB51,Distances[[#This Row],[Colonne114]]+1)</f>
        <v>60</v>
      </c>
      <c r="ED51" s="17">
        <f>IF(Distances[[#This Row],[Colonne115]]=$G51,EC51,Distances[[#This Row],[Colonne115]]+1)</f>
        <v>60</v>
      </c>
      <c r="EE51" s="17">
        <f>IF(Distances[[#This Row],[Colonne116]]=$G51,ED51,Distances[[#This Row],[Colonne116]]+1)</f>
        <v>60</v>
      </c>
      <c r="EF51" s="17">
        <f>IF(Distances[[#This Row],[Colonne117]]=$G51,EE51,Distances[[#This Row],[Colonne117]]+1)</f>
        <v>60</v>
      </c>
      <c r="EG51" s="17">
        <f>IF(Distances[[#This Row],[Colonne118]]=$G51,EF51,Distances[[#This Row],[Colonne118]]+1)</f>
        <v>60</v>
      </c>
      <c r="EH51" s="17">
        <f>IF(Distances[[#This Row],[Colonne119]]=$G51,EG51,Distances[[#This Row],[Colonne119]]+1)</f>
        <v>60</v>
      </c>
      <c r="EI51" s="17">
        <f>IF(Distances[[#This Row],[Colonne120]]=$G51,EH51,Distances[[#This Row],[Colonne120]]+1)</f>
        <v>60</v>
      </c>
      <c r="EJ51" s="17">
        <f>IF(Distances[[#This Row],[Colonne121]]=$G51,EI51,Distances[[#This Row],[Colonne121]]+1)</f>
        <v>60</v>
      </c>
      <c r="EK51" s="17">
        <f>IF(Distances[[#This Row],[Colonne122]]=$G51,EJ51,Distances[[#This Row],[Colonne122]]+1)</f>
        <v>60</v>
      </c>
      <c r="EL51" s="17">
        <f>IF(Distances[[#This Row],[Colonne123]]=$G51,EK51,Distances[[#This Row],[Colonne123]]+1)</f>
        <v>60</v>
      </c>
      <c r="EM51" s="17">
        <f>IF(Distances[[#This Row],[Colonne124]]=$G51,EL51,Distances[[#This Row],[Colonne124]]+1)</f>
        <v>60</v>
      </c>
      <c r="EN51" s="17">
        <f>IF(Distances[[#This Row],[Colonne125]]=$G51,EM51,Distances[[#This Row],[Colonne125]]+1)</f>
        <v>60</v>
      </c>
      <c r="EO51" s="17">
        <f>IF(Distances[[#This Row],[Colonne126]]=$G51,EN51,Distances[[#This Row],[Colonne126]]+1)</f>
        <v>60</v>
      </c>
      <c r="EP51" s="17">
        <f>IF(Distances[[#This Row],[Colonne127]]=$G51,EO51,Distances[[#This Row],[Colonne127]]+1)</f>
        <v>60</v>
      </c>
      <c r="EQ51" s="17">
        <f>IF(Distances[[#This Row],[Colonne128]]=$G51,EP51,Distances[[#This Row],[Colonne128]]+1)</f>
        <v>60</v>
      </c>
      <c r="ER51" s="17">
        <f>IF(Distances[[#This Row],[Colonne129]]=$G51,EQ51,Distances[[#This Row],[Colonne129]]+1)</f>
        <v>60</v>
      </c>
      <c r="ES51" s="17">
        <f>IF(Distances[[#This Row],[Colonne130]]=$G51,ER51,Distances[[#This Row],[Colonne130]]+1)</f>
        <v>60</v>
      </c>
      <c r="ET51" s="17">
        <f>IF(Distances[[#This Row],[Colonne131]]=$G51,ES51,Distances[[#This Row],[Colonne131]]+1)</f>
        <v>60</v>
      </c>
      <c r="EU51" s="17">
        <f>IF(Distances[[#This Row],[Colonne132]]=$G51,ET51,Distances[[#This Row],[Colonne132]]+1)</f>
        <v>60</v>
      </c>
      <c r="EV51" s="17">
        <f>IF(Distances[[#This Row],[Colonne133]]=$G51,EU51,Distances[[#This Row],[Colonne133]]+1)</f>
        <v>60</v>
      </c>
      <c r="EW51" s="17">
        <f>IF(Distances[[#This Row],[Colonne134]]=$G51,EV51,Distances[[#This Row],[Colonne134]]+1)</f>
        <v>60</v>
      </c>
      <c r="EX51" s="17">
        <f>IF(Distances[[#This Row],[Colonne135]]=$G51,EW51,Distances[[#This Row],[Colonne135]]+1)</f>
        <v>60</v>
      </c>
      <c r="EY51" s="17">
        <f>IF(Distances[[#This Row],[Colonne136]]=$G51,EX51,Distances[[#This Row],[Colonne136]]+1)</f>
        <v>60</v>
      </c>
      <c r="EZ51" s="17">
        <f>IF(Distances[[#This Row],[Colonne137]]=$G51,EY51,Distances[[#This Row],[Colonne137]]+1)</f>
        <v>60</v>
      </c>
      <c r="FA51" s="17">
        <f>IF(Distances[[#This Row],[Colonne138]]=$G51,EZ51,Distances[[#This Row],[Colonne138]]+1)</f>
        <v>60</v>
      </c>
      <c r="FB51" s="17">
        <f>IF(Distances[[#This Row],[Colonne139]]=$G51,FA51,Distances[[#This Row],[Colonne139]]+1)</f>
        <v>60</v>
      </c>
      <c r="FC51" s="17">
        <f>IF(Distances[[#This Row],[Colonne140]]=$G51,FB51,Distances[[#This Row],[Colonne140]]+1)</f>
        <v>60</v>
      </c>
      <c r="FD51" s="17">
        <f>IF(Distances[[#This Row],[Colonne141]]=$G51,FC51,Distances[[#This Row],[Colonne141]]+1)</f>
        <v>60</v>
      </c>
      <c r="FE51" s="17">
        <f>IF(Distances[[#This Row],[Colonne142]]=$G51,FD51,Distances[[#This Row],[Colonne142]]+1)</f>
        <v>60</v>
      </c>
      <c r="FF51" s="17">
        <f>IF(Distances[[#This Row],[Colonne143]]=$G51,FE51,Distances[[#This Row],[Colonne143]]+1)</f>
        <v>60</v>
      </c>
      <c r="FG51" s="17">
        <f>IF(Distances[[#This Row],[Colonne144]]=$G51,FF51,Distances[[#This Row],[Colonne144]]+1)</f>
        <v>60</v>
      </c>
      <c r="FH51" s="17">
        <f>IF(Distances[[#This Row],[Colonne145]]=$G51,FG51,Distances[[#This Row],[Colonne145]]+1)</f>
        <v>60</v>
      </c>
      <c r="FI51" s="17">
        <f>IF(Distances[[#This Row],[Colonne146]]=$G51,FH51,Distances[[#This Row],[Colonne146]]+1)</f>
        <v>60</v>
      </c>
      <c r="FJ51" s="17">
        <f>IF(Distances[[#This Row],[Colonne147]]=$G51,FI51,Distances[[#This Row],[Colonne147]]+1)</f>
        <v>60</v>
      </c>
      <c r="FK51" s="17">
        <f>IF(Distances[[#This Row],[Colonne148]]=$G51,FJ51,Distances[[#This Row],[Colonne148]]+1)</f>
        <v>60</v>
      </c>
      <c r="FL51" s="17">
        <f>IF(Distances[[#This Row],[Colonne149]]=$G51,FK51,Distances[[#This Row],[Colonne149]]+1)</f>
        <v>60</v>
      </c>
      <c r="FM51" s="17">
        <f>IF(Distances[[#This Row],[Colonne150]]=$G51,FL51,Distances[[#This Row],[Colonne150]]+1)</f>
        <v>60</v>
      </c>
      <c r="FN51" s="17">
        <f>IF(Distances[[#This Row],[Colonne151]]=$G51,FM51,Distances[[#This Row],[Colonne151]]+1)</f>
        <v>60</v>
      </c>
      <c r="FO51" s="17">
        <f>IF(Distances[[#This Row],[Colonne152]]=$G51,FN51,Distances[[#This Row],[Colonne152]]+1)</f>
        <v>60</v>
      </c>
      <c r="FP51" s="17">
        <f>IF(Distances[[#This Row],[Colonne153]]=$G51,FO51,Distances[[#This Row],[Colonne153]]+1)</f>
        <v>60</v>
      </c>
      <c r="FQ51" s="17">
        <f>IF(Distances[[#This Row],[Colonne154]]=$G51,FP51,Distances[[#This Row],[Colonne154]]+1)</f>
        <v>60</v>
      </c>
      <c r="FR51" s="17">
        <f>IF(Distances[[#This Row],[Colonne155]]=$G51,FQ51,Distances[[#This Row],[Colonne155]]+1)</f>
        <v>60</v>
      </c>
      <c r="FS51" s="17">
        <f>IF(Distances[[#This Row],[Colonne156]]=$G51,FR51,Distances[[#This Row],[Colonne156]]+1)</f>
        <v>60</v>
      </c>
      <c r="FT51" s="17">
        <f>IF(Distances[[#This Row],[Colonne157]]=$G51,FS51,Distances[[#This Row],[Colonne157]]+1)</f>
        <v>60</v>
      </c>
      <c r="FU51" s="17">
        <f>IF(Distances[[#This Row],[Colonne158]]=$G51,FT51,Distances[[#This Row],[Colonne158]]+1)</f>
        <v>60</v>
      </c>
      <c r="FV51" s="17">
        <f>IF(Distances[[#This Row],[Colonne159]]=$G51,FU51,Distances[[#This Row],[Colonne159]]+1)</f>
        <v>60</v>
      </c>
      <c r="FW51" s="17">
        <f>IF(Distances[[#This Row],[Colonne160]]=$G51,FV51,Distances[[#This Row],[Colonne160]]+1)</f>
        <v>60</v>
      </c>
      <c r="FX51" s="17">
        <f>IF(Distances[[#This Row],[Colonne161]]=$G51,FW51,Distances[[#This Row],[Colonne161]]+1)</f>
        <v>60</v>
      </c>
      <c r="FY51" s="17">
        <f>IF(Distances[[#This Row],[Colonne162]]=$G51,FX51,Distances[[#This Row],[Colonne162]]+1)</f>
        <v>60</v>
      </c>
      <c r="FZ51" s="17">
        <f>IF(Distances[[#This Row],[Colonne163]]=$G51,FY51,Distances[[#This Row],[Colonne163]]+1)</f>
        <v>60</v>
      </c>
      <c r="GA51" s="17">
        <f>IF(Distances[[#This Row],[Colonne164]]=$G51,FZ51,Distances[[#This Row],[Colonne164]]+1)</f>
        <v>60</v>
      </c>
      <c r="GB51" s="17">
        <f>IF(Distances[[#This Row],[Colonne165]]=$G51,GA51,Distances[[#This Row],[Colonne165]]+1)</f>
        <v>60</v>
      </c>
      <c r="GC51" s="17">
        <f>IF(Distances[[#This Row],[Colonne166]]=$G51,GB51,Distances[[#This Row],[Colonne166]]+1)</f>
        <v>60</v>
      </c>
      <c r="GD51" s="17">
        <f>IF(Distances[[#This Row],[Colonne167]]=$G51,GC51,Distances[[#This Row],[Colonne167]]+1)</f>
        <v>60</v>
      </c>
      <c r="GE51" s="17">
        <f>IF(Distances[[#This Row],[Colonne168]]=$G51,GD51,Distances[[#This Row],[Colonne168]]+1)</f>
        <v>60</v>
      </c>
      <c r="GF51" s="17">
        <f>IF(Distances[[#This Row],[Colonne169]]=$G51,GE51,Distances[[#This Row],[Colonne169]]+1)</f>
        <v>60</v>
      </c>
      <c r="GG51" s="17">
        <f>IF(Distances[[#This Row],[Colonne170]]=$G51,GF51,Distances[[#This Row],[Colonne170]]+1)</f>
        <v>60</v>
      </c>
      <c r="GH51" s="17">
        <f>IF(Distances[[#This Row],[Colonne171]]=$G51,GG51,Distances[[#This Row],[Colonne171]]+1)</f>
        <v>60</v>
      </c>
      <c r="GI51" s="17">
        <f>IF(Distances[[#This Row],[Colonne172]]=$G51,GH51,Distances[[#This Row],[Colonne172]]+1)</f>
        <v>60</v>
      </c>
      <c r="GJ51" s="17">
        <f>IF(Distances[[#This Row],[Colonne173]]=$G51,GI51,Distances[[#This Row],[Colonne173]]+1)</f>
        <v>60</v>
      </c>
      <c r="GK51" s="17">
        <f>IF(Distances[[#This Row],[Colonne174]]=$G51,GJ51,Distances[[#This Row],[Colonne174]]+1)</f>
        <v>60</v>
      </c>
      <c r="GL51" s="17">
        <f>IF(Distances[[#This Row],[Colonne175]]=$G51,GK51,Distances[[#This Row],[Colonne175]]+1)</f>
        <v>60</v>
      </c>
      <c r="GM51" s="17">
        <f>IF(Distances[[#This Row],[Colonne176]]=$G51,GL51,Distances[[#This Row],[Colonne176]]+1)</f>
        <v>60</v>
      </c>
      <c r="GN51" s="17">
        <f>IF(Distances[[#This Row],[Colonne177]]=$G51,GM51,Distances[[#This Row],[Colonne177]]+1)</f>
        <v>60</v>
      </c>
      <c r="GO51" s="17">
        <f>IF(Distances[[#This Row],[Colonne178]]=$G51,GN51,Distances[[#This Row],[Colonne178]]+1)</f>
        <v>60</v>
      </c>
      <c r="GP51" s="17">
        <f>IF(Distances[[#This Row],[Colonne179]]=$G51,GO51,Distances[[#This Row],[Colonne179]]+1)</f>
        <v>60</v>
      </c>
      <c r="GQ51" s="17">
        <f>IF(Distances[[#This Row],[Colonne180]]=$G51,GP51,Distances[[#This Row],[Colonne180]]+1)</f>
        <v>60</v>
      </c>
      <c r="GR51" s="17">
        <f>IF(Distances[[#This Row],[Colonne181]]=$G51,GQ51,Distances[[#This Row],[Colonne181]]+1)</f>
        <v>60</v>
      </c>
      <c r="GS51" s="17">
        <f>IF(Distances[[#This Row],[Colonne182]]=$G51,GR51,Distances[[#This Row],[Colonne182]]+1)</f>
        <v>60</v>
      </c>
      <c r="GT51" s="17">
        <f>IF(Distances[[#This Row],[Colonne183]]=$G51,GS51,Distances[[#This Row],[Colonne183]]+1)</f>
        <v>60</v>
      </c>
      <c r="GU51" s="17">
        <f>IF(Distances[[#This Row],[Colonne184]]=$G51,GT51,Distances[[#This Row],[Colonne184]]+1)</f>
        <v>60</v>
      </c>
      <c r="GV51" s="17">
        <f>IF(Distances[[#This Row],[Colonne185]]=$G51,GU51,Distances[[#This Row],[Colonne185]]+1)</f>
        <v>60</v>
      </c>
      <c r="GW51" s="17">
        <f>IF(Distances[[#This Row],[Colonne186]]=$G51,GV51,Distances[[#This Row],[Colonne186]]+1)</f>
        <v>60</v>
      </c>
      <c r="GX51" s="17">
        <f>IF(Distances[[#This Row],[Colonne187]]=$G51,GW51,Distances[[#This Row],[Colonne187]]+1)</f>
        <v>60</v>
      </c>
      <c r="GY51" s="17">
        <f>IF(Distances[[#This Row],[Colonne188]]=$G51,GX51,Distances[[#This Row],[Colonne188]]+1)</f>
        <v>60</v>
      </c>
      <c r="GZ51" s="17">
        <f>IF(Distances[[#This Row],[Colonne189]]=$G51,GY51,Distances[[#This Row],[Colonne189]]+1)</f>
        <v>60</v>
      </c>
      <c r="HA51" s="17">
        <f>IF(Distances[[#This Row],[Colonne190]]=$G51,GZ51,Distances[[#This Row],[Colonne190]]+1)</f>
        <v>60</v>
      </c>
      <c r="HB51" s="17">
        <f>IF(Distances[[#This Row],[Colonne191]]=$G51,HA51,Distances[[#This Row],[Colonne191]]+1)</f>
        <v>60</v>
      </c>
      <c r="HC51" s="17">
        <f>IF(Distances[[#This Row],[Colonne192]]=$G51,HB51,Distances[[#This Row],[Colonne192]]+1)</f>
        <v>60</v>
      </c>
      <c r="HD51" s="17">
        <f>IF(Distances[[#This Row],[Colonne193]]=$G51,HC51,Distances[[#This Row],[Colonne193]]+1)</f>
        <v>60</v>
      </c>
      <c r="HE51" s="17">
        <f>IF(Distances[[#This Row],[Colonne194]]=$G51,HD51,Distances[[#This Row],[Colonne194]]+1)</f>
        <v>60</v>
      </c>
      <c r="HF51" s="17">
        <f>IF(Distances[[#This Row],[Colonne195]]=$G51,HE51,Distances[[#This Row],[Colonne195]]+1)</f>
        <v>60</v>
      </c>
      <c r="HG51" s="17">
        <f>IF(Distances[[#This Row],[Colonne196]]=$G51,HF51,Distances[[#This Row],[Colonne196]]+1)</f>
        <v>60</v>
      </c>
      <c r="HH51" s="17">
        <f>IF(Distances[[#This Row],[Colonne197]]=$G51,HG51,Distances[[#This Row],[Colonne197]]+1)</f>
        <v>60</v>
      </c>
      <c r="HI51" s="17">
        <f>IF(Distances[[#This Row],[Colonne198]]=$G51,HH51,Distances[[#This Row],[Colonne198]]+1)</f>
        <v>60</v>
      </c>
      <c r="HJ51" s="17">
        <f>IF(Distances[[#This Row],[Colonne199]]=$G51,HI51,Distances[[#This Row],[Colonne199]]+1)</f>
        <v>60</v>
      </c>
      <c r="HK51" s="17">
        <f>IF(Distances[[#This Row],[Colonne200]]=$G51,HJ51,Distances[[#This Row],[Colonne200]]+1)</f>
        <v>60</v>
      </c>
      <c r="HL51" s="17">
        <f>IF(Distances[[#This Row],[Colonne201]]=$G51,HK51,Distances[[#This Row],[Colonne201]]+1)</f>
        <v>60</v>
      </c>
      <c r="HM51" s="17">
        <f>IF(Distances[[#This Row],[Colonne202]]=$G51,HL51,Distances[[#This Row],[Colonne202]]+1)</f>
        <v>60</v>
      </c>
      <c r="HN51" s="17">
        <f>IF(Distances[[#This Row],[Colonne203]]=$G51,HM51,Distances[[#This Row],[Colonne203]]+1)</f>
        <v>60</v>
      </c>
      <c r="HO51" s="17">
        <f>IF(Distances[[#This Row],[Colonne204]]=$G51,HN51,Distances[[#This Row],[Colonne204]]+1)</f>
        <v>60</v>
      </c>
      <c r="HP51" s="17">
        <f>IF(Distances[[#This Row],[Colonne205]]=$G51,HO51,Distances[[#This Row],[Colonne205]]+1)</f>
        <v>60</v>
      </c>
      <c r="HQ51" s="17">
        <f>IF(Distances[[#This Row],[Colonne206]]=$G51,HP51,Distances[[#This Row],[Colonne206]]+1)</f>
        <v>60</v>
      </c>
      <c r="HR51" s="17">
        <f>IF(Distances[[#This Row],[Colonne207]]=$G51,HQ51,Distances[[#This Row],[Colonne207]]+1)</f>
        <v>60</v>
      </c>
      <c r="HS51" s="17">
        <f>IF(Distances[[#This Row],[Colonne208]]=$G51,HR51,Distances[[#This Row],[Colonne208]]+1)</f>
        <v>60</v>
      </c>
      <c r="HT51" s="17">
        <f>IF(Distances[[#This Row],[Colonne209]]=$G51,HS51,Distances[[#This Row],[Colonne209]]+1)</f>
        <v>60</v>
      </c>
      <c r="HU51" s="17">
        <f>IF(Distances[[#This Row],[Colonne210]]=$G51,HT51,Distances[[#This Row],[Colonne210]]+1)</f>
        <v>60</v>
      </c>
      <c r="HV51" s="17">
        <f>IF(Distances[[#This Row],[Colonne211]]=$G51,HU51,Distances[[#This Row],[Colonne211]]+1)</f>
        <v>60</v>
      </c>
      <c r="HW51" s="17">
        <f>IF(Distances[[#This Row],[Colonne212]]=$G51,HV51,Distances[[#This Row],[Colonne212]]+1)</f>
        <v>60</v>
      </c>
      <c r="HX51" s="17">
        <f>IF(Distances[[#This Row],[Colonne213]]=$G51,HW51,Distances[[#This Row],[Colonne213]]+1)</f>
        <v>60</v>
      </c>
      <c r="HY51" s="17">
        <f>IF(Distances[[#This Row],[Colonne214]]=$G51,HX51,Distances[[#This Row],[Colonne214]]+1)</f>
        <v>60</v>
      </c>
      <c r="HZ51" s="17">
        <f>IF(Distances[[#This Row],[Colonne215]]=$G51,HY51,Distances[[#This Row],[Colonne215]]+1)</f>
        <v>60</v>
      </c>
      <c r="IA51" s="17">
        <f>IF(Distances[[#This Row],[Colonne216]]=$G51,HZ51,Distances[[#This Row],[Colonne216]]+1)</f>
        <v>60</v>
      </c>
      <c r="IB51" s="17">
        <f>IF(Distances[[#This Row],[Colonne217]]=$G51,IA51,Distances[[#This Row],[Colonne217]]+1)</f>
        <v>60</v>
      </c>
      <c r="IC51" s="17">
        <f>IF(Distances[[#This Row],[Colonne218]]=$G51,IB51,Distances[[#This Row],[Colonne218]]+1)</f>
        <v>60</v>
      </c>
      <c r="ID51" s="17">
        <f>IF(Distances[[#This Row],[Colonne219]]=$G51,IC51,Distances[[#This Row],[Colonne219]]+1)</f>
        <v>60</v>
      </c>
      <c r="IE51" s="17">
        <f>IF(Distances[[#This Row],[Colonne220]]=$G51,ID51,Distances[[#This Row],[Colonne220]]+1)</f>
        <v>60</v>
      </c>
      <c r="IF51" s="17">
        <f>IF(Distances[[#This Row],[Colonne221]]=$G51,IE51,Distances[[#This Row],[Colonne221]]+1)</f>
        <v>60</v>
      </c>
      <c r="IG51" s="17">
        <f>IF(Distances[[#This Row],[Colonne222]]=$G51,IF51,Distances[[#This Row],[Colonne222]]+1)</f>
        <v>60</v>
      </c>
      <c r="IH51" s="17">
        <f>IF(Distances[[#This Row],[Colonne223]]=$G51,IG51,Distances[[#This Row],[Colonne223]]+1)</f>
        <v>60</v>
      </c>
      <c r="II51" s="17">
        <f>IF(Distances[[#This Row],[Colonne224]]=$G51,IH51,Distances[[#This Row],[Colonne224]]+1)</f>
        <v>60</v>
      </c>
      <c r="IJ51" s="17">
        <f>IF(Distances[[#This Row],[Colonne225]]=$G51,II51,Distances[[#This Row],[Colonne225]]+1)</f>
        <v>60</v>
      </c>
      <c r="IK51" s="17">
        <f>IF(Distances[[#This Row],[Colonne226]]=$G51,IJ51,Distances[[#This Row],[Colonne226]]+1)</f>
        <v>60</v>
      </c>
      <c r="IL51" s="17">
        <f>IF(Distances[[#This Row],[Colonne227]]=$G51,IK51,Distances[[#This Row],[Colonne227]]+1)</f>
        <v>60</v>
      </c>
      <c r="IM51" s="17">
        <f>IF(Distances[[#This Row],[Colonne228]]=$G51,IL51,Distances[[#This Row],[Colonne228]]+1)</f>
        <v>60</v>
      </c>
      <c r="IN51" s="17">
        <f>IF(Distances[[#This Row],[Colonne229]]=$G51,IM51,Distances[[#This Row],[Colonne229]]+1)</f>
        <v>60</v>
      </c>
      <c r="IO51" s="17">
        <f>IF(Distances[[#This Row],[Colonne230]]=$G51,IN51,Distances[[#This Row],[Colonne230]]+1)</f>
        <v>60</v>
      </c>
      <c r="IP51" s="17">
        <f>IF(Distances[[#This Row],[Colonne231]]=$G51,IO51,Distances[[#This Row],[Colonne231]]+1)</f>
        <v>60</v>
      </c>
      <c r="IQ51" s="17">
        <f>IF(Distances[[#This Row],[Colonne232]]=$G51,IP51,Distances[[#This Row],[Colonne232]]+1)</f>
        <v>60</v>
      </c>
      <c r="IR51" s="17">
        <f>IF(Distances[[#This Row],[Colonne233]]=$G51,IQ51,Distances[[#This Row],[Colonne233]]+1)</f>
        <v>60</v>
      </c>
      <c r="IS51" s="17">
        <f>IF(Distances[[#This Row],[Colonne234]]=$G51,IR51,Distances[[#This Row],[Colonne234]]+1)</f>
        <v>60</v>
      </c>
      <c r="IT51" s="17">
        <f>IF(Distances[[#This Row],[Colonne235]]=$G51,IS51,Distances[[#This Row],[Colonne235]]+1)</f>
        <v>60</v>
      </c>
      <c r="IU51" s="17">
        <f>IF(Distances[[#This Row],[Colonne236]]=$G51,IT51,Distances[[#This Row],[Colonne236]]+1)</f>
        <v>60</v>
      </c>
      <c r="IV51" s="17">
        <f>IF(Distances[[#This Row],[Colonne237]]=$G51,IU51,Distances[[#This Row],[Colonne237]]+1)</f>
        <v>60</v>
      </c>
      <c r="IW51" s="17">
        <f>IF(Distances[[#This Row],[Colonne238]]=$G51,IV51,Distances[[#This Row],[Colonne238]]+1)</f>
        <v>60</v>
      </c>
      <c r="IX51" s="17">
        <f>IF(Distances[[#This Row],[Colonne239]]=$G51,IW51,Distances[[#This Row],[Colonne239]]+1)</f>
        <v>60</v>
      </c>
      <c r="IY51" s="17">
        <f>IF(Distances[[#This Row],[Colonne240]]=$G51,IX51,Distances[[#This Row],[Colonne240]]+1)</f>
        <v>60</v>
      </c>
      <c r="IZ51" s="17">
        <f>IF(Distances[[#This Row],[Colonne241]]=$G51,IY51,Distances[[#This Row],[Colonne241]]+1)</f>
        <v>60</v>
      </c>
      <c r="JA51" s="17">
        <f>IF(Distances[[#This Row],[Colonne242]]=$G51,IZ51,Distances[[#This Row],[Colonne242]]+1)</f>
        <v>60</v>
      </c>
      <c r="JB51" s="17">
        <f>IF(Distances[[#This Row],[Colonne243]]=$G51,JA51,Distances[[#This Row],[Colonne243]]+1)</f>
        <v>60</v>
      </c>
      <c r="JC51" s="17">
        <f>IF(Distances[[#This Row],[Colonne244]]=$G51,JB51,Distances[[#This Row],[Colonne244]]+1)</f>
        <v>60</v>
      </c>
      <c r="JD51" s="17">
        <f>IF(Distances[[#This Row],[Colonne245]]=$G51,JC51,Distances[[#This Row],[Colonne245]]+1)</f>
        <v>60</v>
      </c>
      <c r="JE51" s="17">
        <f>IF(Distances[[#This Row],[Colonne246]]=$G51,JD51,Distances[[#This Row],[Colonne246]]+1)</f>
        <v>60</v>
      </c>
      <c r="JF51" s="17">
        <f>IF(Distances[[#This Row],[Colonne247]]=$G51,JE51,Distances[[#This Row],[Colonne247]]+1)</f>
        <v>60</v>
      </c>
      <c r="JG51" s="17">
        <f>IF(Distances[[#This Row],[Colonne248]]=$G51,JF51,Distances[[#This Row],[Colonne248]]+1)</f>
        <v>60</v>
      </c>
      <c r="JH51" s="17">
        <f>IF(Distances[[#This Row],[Colonne249]]=$G51,JG51,Distances[[#This Row],[Colonne249]]+1)</f>
        <v>60</v>
      </c>
      <c r="JI51" s="17">
        <f>IF(Distances[[#This Row],[Colonne250]]=$G51,JH51,Distances[[#This Row],[Colonne250]]+1)</f>
        <v>60</v>
      </c>
      <c r="JJ51" s="17">
        <f>IF(Distances[[#This Row],[Colonne251]]=$G51,JI51,Distances[[#This Row],[Colonne251]]+1)</f>
        <v>60</v>
      </c>
      <c r="JK51" s="17">
        <f>IF(Distances[[#This Row],[Colonne252]]=$G51,JJ51,Distances[[#This Row],[Colonne252]]+1)</f>
        <v>60</v>
      </c>
      <c r="JL51" s="17">
        <f>IF(Distances[[#This Row],[Colonne253]]=$G51,JK51,Distances[[#This Row],[Colonne253]]+1)</f>
        <v>60</v>
      </c>
      <c r="JM51" s="17">
        <f>IF(Distances[[#This Row],[Colonne254]]=$G51,JL51,Distances[[#This Row],[Colonne254]]+1)</f>
        <v>60</v>
      </c>
      <c r="JN51" s="17">
        <f>IF(Distances[[#This Row],[Colonne255]]=$G51,JM51,Distances[[#This Row],[Colonne255]]+1)</f>
        <v>60</v>
      </c>
      <c r="JO51" s="17">
        <f>IF(Distances[[#This Row],[Colonne256]]=$G51,JN51,Distances[[#This Row],[Colonne256]]+1)</f>
        <v>60</v>
      </c>
      <c r="JP51" s="17">
        <f>IF(Distances[[#This Row],[Colonne257]]=$G51,JO51,Distances[[#This Row],[Colonne257]]+1)</f>
        <v>60</v>
      </c>
      <c r="JQ51" s="17">
        <f>IF(Distances[[#This Row],[Colonne258]]=$G51,JP51,Distances[[#This Row],[Colonne258]]+1)</f>
        <v>60</v>
      </c>
      <c r="JR51" s="17">
        <f>IF(Distances[[#This Row],[Colonne259]]=$G51,JQ51,Distances[[#This Row],[Colonne259]]+1)</f>
        <v>60</v>
      </c>
      <c r="JS51" s="17">
        <f>IF(Distances[[#This Row],[Colonne260]]=$G51,JR51,Distances[[#This Row],[Colonne260]]+1)</f>
        <v>60</v>
      </c>
      <c r="JT51" s="17">
        <f>IF(Distances[[#This Row],[Colonne261]]=$G51,JS51,Distances[[#This Row],[Colonne261]]+1)</f>
        <v>60</v>
      </c>
      <c r="JU51" s="17">
        <f>IF(Distances[[#This Row],[Colonne262]]=$G51,JT51,Distances[[#This Row],[Colonne262]]+1)</f>
        <v>60</v>
      </c>
      <c r="JV51" s="17">
        <f>IF(Distances[[#This Row],[Colonne263]]=$G51,JU51,Distances[[#This Row],[Colonne263]]+1)</f>
        <v>60</v>
      </c>
      <c r="JW51" s="17">
        <f>IF(Distances[[#This Row],[Colonne264]]=$G51,JV51,Distances[[#This Row],[Colonne264]]+1)</f>
        <v>60</v>
      </c>
      <c r="JX51" s="17">
        <f>IF(Distances[[#This Row],[Colonne265]]=$G51,JW51,Distances[[#This Row],[Colonne265]]+1)</f>
        <v>60</v>
      </c>
      <c r="JY51" s="17">
        <f>IF(Distances[[#This Row],[Colonne266]]=$G51,JX51,Distances[[#This Row],[Colonne266]]+1)</f>
        <v>60</v>
      </c>
      <c r="JZ51" s="17">
        <f>IF(Distances[[#This Row],[Colonne267]]=$G51,JY51,Distances[[#This Row],[Colonne267]]+1)</f>
        <v>60</v>
      </c>
      <c r="KA51" s="17">
        <f>IF(Distances[[#This Row],[Colonne268]]=$G51,JZ51,Distances[[#This Row],[Colonne268]]+1)</f>
        <v>60</v>
      </c>
      <c r="KB51" s="17">
        <f>IF(Distances[[#This Row],[Colonne269]]=$G51,KA51,Distances[[#This Row],[Colonne269]]+1)</f>
        <v>60</v>
      </c>
      <c r="KC51" s="17">
        <f>IF(Distances[[#This Row],[Colonne270]]=$G51,KB51,Distances[[#This Row],[Colonne270]]+1)</f>
        <v>60</v>
      </c>
      <c r="KD51" s="17">
        <f>IF(Distances[[#This Row],[Colonne271]]=$G51,KC51,Distances[[#This Row],[Colonne271]]+1)</f>
        <v>60</v>
      </c>
      <c r="KE51" s="17">
        <f>IF(Distances[[#This Row],[Colonne272]]=$G51,KD51,Distances[[#This Row],[Colonne272]]+1)</f>
        <v>60</v>
      </c>
      <c r="KF51" s="17">
        <f>IF(Distances[[#This Row],[Colonne273]]=$G51,KE51,Distances[[#This Row],[Colonne273]]+1)</f>
        <v>60</v>
      </c>
      <c r="KG51" s="17">
        <f>IF(Distances[[#This Row],[Colonne274]]=$G51,KF51,Distances[[#This Row],[Colonne274]]+1)</f>
        <v>60</v>
      </c>
      <c r="KH51" s="17">
        <f>IF(Distances[[#This Row],[Colonne275]]=$G51,KG51,Distances[[#This Row],[Colonne275]]+1)</f>
        <v>60</v>
      </c>
      <c r="KI51" s="17">
        <f>IF(Distances[[#This Row],[Colonne276]]=$G51,KH51,Distances[[#This Row],[Colonne276]]+1)</f>
        <v>60</v>
      </c>
      <c r="KJ51" s="17">
        <f>IF(Distances[[#This Row],[Colonne277]]=$G51,KI51,Distances[[#This Row],[Colonne277]]+1)</f>
        <v>60</v>
      </c>
      <c r="KK51" s="17">
        <f>IF(Distances[[#This Row],[Colonne278]]=$G51,KJ51,Distances[[#This Row],[Colonne278]]+1)</f>
        <v>60</v>
      </c>
      <c r="KL51" s="17">
        <f>IF(Distances[[#This Row],[Colonne279]]=$G51,KK51,Distances[[#This Row],[Colonne279]]+1)</f>
        <v>60</v>
      </c>
      <c r="KM51" s="17">
        <f>IF(Distances[[#This Row],[Colonne280]]=$G51,KL51,Distances[[#This Row],[Colonne280]]+1)</f>
        <v>60</v>
      </c>
      <c r="KN51" s="17">
        <f>IF(Distances[[#This Row],[Colonne281]]=$G51,KM51,Distances[[#This Row],[Colonne281]]+1)</f>
        <v>60</v>
      </c>
      <c r="KO51" s="17">
        <f>IF(Distances[[#This Row],[Colonne282]]=$G51,KN51,Distances[[#This Row],[Colonne282]]+1)</f>
        <v>60</v>
      </c>
      <c r="KP51" s="17">
        <f>IF(Distances[[#This Row],[Colonne283]]=$G51,KO51,Distances[[#This Row],[Colonne283]]+1)</f>
        <v>60</v>
      </c>
      <c r="KQ51" s="17">
        <f>IF(Distances[[#This Row],[Colonne284]]=$G51,KP51,Distances[[#This Row],[Colonne284]]+1)</f>
        <v>60</v>
      </c>
      <c r="KR51" s="17">
        <f>IF(Distances[[#This Row],[Colonne285]]=$G51,KQ51,Distances[[#This Row],[Colonne285]]+1)</f>
        <v>60</v>
      </c>
      <c r="KS51" s="17">
        <f>IF(Distances[[#This Row],[Colonne286]]=$G51,KR51,Distances[[#This Row],[Colonne286]]+1)</f>
        <v>60</v>
      </c>
      <c r="KT51" s="17">
        <f>IF(Distances[[#This Row],[Colonne287]]=$G51,KS51,Distances[[#This Row],[Colonne287]]+1)</f>
        <v>60</v>
      </c>
      <c r="KU51" s="17">
        <f>IF(Distances[[#This Row],[Colonne288]]=$G51,KT51,Distances[[#This Row],[Colonne288]]+1)</f>
        <v>60</v>
      </c>
      <c r="KV51" s="17">
        <f>IF(Distances[[#This Row],[Colonne289]]=$G51,KU51,Distances[[#This Row],[Colonne289]]+1)</f>
        <v>60</v>
      </c>
      <c r="KW51" s="17">
        <f>IF(Distances[[#This Row],[Colonne290]]=$G51,KV51,Distances[[#This Row],[Colonne290]]+1)</f>
        <v>60</v>
      </c>
      <c r="KX51" s="17">
        <f>IF(Distances[[#This Row],[Colonne291]]=$G51,KW51,Distances[[#This Row],[Colonne291]]+1)</f>
        <v>60</v>
      </c>
      <c r="KY51" s="17">
        <f>IF(Distances[[#This Row],[Colonne292]]=$G51,KX51,Distances[[#This Row],[Colonne292]]+1)</f>
        <v>60</v>
      </c>
      <c r="KZ51" s="17">
        <f>IF(Distances[[#This Row],[Colonne293]]=$G51,KY51,Distances[[#This Row],[Colonne293]]+1)</f>
        <v>60</v>
      </c>
      <c r="LA51" s="17">
        <f>IF(Distances[[#This Row],[Colonne294]]=$G51,KZ51,Distances[[#This Row],[Colonne294]]+1)</f>
        <v>60</v>
      </c>
      <c r="LB51" s="17">
        <f>IF(Distances[[#This Row],[Colonne295]]=$G51,LA51,Distances[[#This Row],[Colonne295]]+1)</f>
        <v>60</v>
      </c>
      <c r="LC51" s="17">
        <f>IF(Distances[[#This Row],[Colonne296]]=$G51,LB51,Distances[[#This Row],[Colonne296]]+1)</f>
        <v>60</v>
      </c>
      <c r="LD51" s="17">
        <f>IF(Distances[[#This Row],[Colonne297]]=$G51,LC51,Distances[[#This Row],[Colonne297]]+1)</f>
        <v>60</v>
      </c>
      <c r="LE51" s="17">
        <f>IF(Distances[[#This Row],[Colonne298]]=$G51,LD51,Distances[[#This Row],[Colonne298]]+1)</f>
        <v>60</v>
      </c>
      <c r="LF51" s="17">
        <f>IF(Distances[[#This Row],[Colonne299]]=$G51,LE51,Distances[[#This Row],[Colonne299]]+1)</f>
        <v>60</v>
      </c>
      <c r="LG51" s="17">
        <f>IF(Distances[[#This Row],[Colonne300]]=$G51,LF51,Distances[[#This Row],[Colonne300]]+1)</f>
        <v>60</v>
      </c>
      <c r="LH51" s="17">
        <f>IF(Distances[[#This Row],[Colonne301]]=$G51,LG51,Distances[[#This Row],[Colonne301]]+1)</f>
        <v>60</v>
      </c>
      <c r="LI51" s="17">
        <f>IF(Distances[[#This Row],[Colonne302]]=$G51,LH51,Distances[[#This Row],[Colonne302]]+1)</f>
        <v>60</v>
      </c>
      <c r="LJ51" s="17">
        <f>IF(Distances[[#This Row],[Colonne303]]=$G51,LI51,Distances[[#This Row],[Colonne303]]+1)</f>
        <v>60</v>
      </c>
      <c r="LK51" s="51"/>
      <c r="LL51" s="17">
        <f t="shared" ref="LL51:NW51" si="102">IF(LK51=$H51,LK51,LK51+1)</f>
        <v>1</v>
      </c>
      <c r="LM51" s="17">
        <f t="shared" si="102"/>
        <v>2</v>
      </c>
      <c r="LN51" s="17">
        <f t="shared" si="102"/>
        <v>3</v>
      </c>
      <c r="LO51" s="17">
        <f t="shared" si="102"/>
        <v>4</v>
      </c>
      <c r="LP51" s="17">
        <f t="shared" si="102"/>
        <v>5</v>
      </c>
      <c r="LQ51" s="17">
        <f t="shared" si="102"/>
        <v>6</v>
      </c>
      <c r="LR51" s="17">
        <f t="shared" si="102"/>
        <v>7</v>
      </c>
      <c r="LS51" s="17">
        <f t="shared" si="102"/>
        <v>8</v>
      </c>
      <c r="LT51" s="17">
        <f t="shared" si="102"/>
        <v>9</v>
      </c>
      <c r="LU51" s="17">
        <f t="shared" si="102"/>
        <v>10</v>
      </c>
      <c r="LV51" s="17">
        <f t="shared" si="102"/>
        <v>11</v>
      </c>
      <c r="LW51" s="17">
        <f t="shared" si="102"/>
        <v>12</v>
      </c>
      <c r="LX51" s="17">
        <f t="shared" si="102"/>
        <v>13</v>
      </c>
      <c r="LY51" s="17">
        <f t="shared" si="102"/>
        <v>14</v>
      </c>
      <c r="LZ51" s="17">
        <f t="shared" si="102"/>
        <v>15</v>
      </c>
      <c r="MA51" s="17">
        <f t="shared" si="102"/>
        <v>16</v>
      </c>
      <c r="MB51" s="17">
        <f t="shared" si="102"/>
        <v>17</v>
      </c>
      <c r="MC51" s="17">
        <f t="shared" si="102"/>
        <v>18</v>
      </c>
      <c r="MD51" s="17">
        <f t="shared" si="102"/>
        <v>19</v>
      </c>
      <c r="ME51" s="17">
        <f t="shared" si="102"/>
        <v>20</v>
      </c>
      <c r="MF51" s="17">
        <f t="shared" si="102"/>
        <v>21</v>
      </c>
      <c r="MG51" s="17">
        <f t="shared" si="102"/>
        <v>22</v>
      </c>
      <c r="MH51" s="17">
        <f t="shared" si="102"/>
        <v>23</v>
      </c>
      <c r="MI51" s="17">
        <f t="shared" si="102"/>
        <v>24</v>
      </c>
      <c r="MJ51" s="17">
        <f t="shared" si="102"/>
        <v>25</v>
      </c>
      <c r="MK51" s="17">
        <f t="shared" si="102"/>
        <v>26</v>
      </c>
      <c r="ML51" s="17">
        <f t="shared" si="102"/>
        <v>27</v>
      </c>
      <c r="MM51" s="17">
        <f t="shared" si="102"/>
        <v>28</v>
      </c>
      <c r="MN51" s="17">
        <f t="shared" si="102"/>
        <v>29</v>
      </c>
      <c r="MO51" s="17">
        <f t="shared" si="102"/>
        <v>30</v>
      </c>
      <c r="MP51" s="17">
        <f t="shared" si="102"/>
        <v>31</v>
      </c>
      <c r="MQ51" s="17">
        <f t="shared" si="102"/>
        <v>32</v>
      </c>
      <c r="MR51" s="17">
        <f t="shared" si="102"/>
        <v>33</v>
      </c>
      <c r="MS51" s="17">
        <f t="shared" si="102"/>
        <v>34</v>
      </c>
      <c r="MT51" s="17">
        <f t="shared" si="102"/>
        <v>35</v>
      </c>
      <c r="MU51" s="17">
        <f t="shared" si="102"/>
        <v>35</v>
      </c>
      <c r="MV51" s="17">
        <f t="shared" si="102"/>
        <v>35</v>
      </c>
      <c r="MW51" s="17">
        <f t="shared" si="102"/>
        <v>35</v>
      </c>
      <c r="MX51" s="17">
        <f t="shared" si="102"/>
        <v>35</v>
      </c>
      <c r="MY51" s="17">
        <f t="shared" si="102"/>
        <v>35</v>
      </c>
      <c r="MZ51" s="17">
        <f t="shared" si="102"/>
        <v>35</v>
      </c>
      <c r="NA51" s="17">
        <f t="shared" si="102"/>
        <v>35</v>
      </c>
      <c r="NB51" s="17">
        <f t="shared" si="102"/>
        <v>35</v>
      </c>
      <c r="NC51" s="17">
        <f t="shared" si="102"/>
        <v>35</v>
      </c>
      <c r="ND51" s="17">
        <f t="shared" si="102"/>
        <v>35</v>
      </c>
      <c r="NE51" s="17">
        <f t="shared" si="102"/>
        <v>35</v>
      </c>
      <c r="NF51" s="17">
        <f t="shared" si="102"/>
        <v>35</v>
      </c>
      <c r="NG51" s="17">
        <f t="shared" si="102"/>
        <v>35</v>
      </c>
      <c r="NH51" s="17">
        <f t="shared" si="102"/>
        <v>35</v>
      </c>
      <c r="NI51" s="17">
        <f t="shared" si="102"/>
        <v>35</v>
      </c>
      <c r="NJ51" s="17">
        <f t="shared" si="102"/>
        <v>35</v>
      </c>
      <c r="NK51" s="17">
        <f t="shared" si="102"/>
        <v>35</v>
      </c>
      <c r="NL51" s="17">
        <f t="shared" si="102"/>
        <v>35</v>
      </c>
      <c r="NM51" s="17">
        <f t="shared" si="102"/>
        <v>35</v>
      </c>
      <c r="NN51" s="17">
        <f t="shared" si="102"/>
        <v>35</v>
      </c>
      <c r="NO51" s="17">
        <f t="shared" si="102"/>
        <v>35</v>
      </c>
      <c r="NP51" s="17">
        <f t="shared" si="102"/>
        <v>35</v>
      </c>
      <c r="NQ51" s="17">
        <f t="shared" si="102"/>
        <v>35</v>
      </c>
      <c r="NR51" s="17">
        <f t="shared" si="102"/>
        <v>35</v>
      </c>
      <c r="NS51" s="17">
        <f t="shared" si="102"/>
        <v>35</v>
      </c>
      <c r="NT51" s="17">
        <f t="shared" si="102"/>
        <v>35</v>
      </c>
      <c r="NU51" s="17">
        <f t="shared" si="102"/>
        <v>35</v>
      </c>
      <c r="NV51" s="17">
        <f t="shared" si="102"/>
        <v>35</v>
      </c>
      <c r="NW51" s="17">
        <f t="shared" si="102"/>
        <v>35</v>
      </c>
      <c r="NX51" s="17">
        <f t="shared" ref="NX51:PG51" si="103">IF(NW51=$H51,NW51,NW51+1)</f>
        <v>35</v>
      </c>
      <c r="NY51" s="17">
        <f t="shared" si="103"/>
        <v>35</v>
      </c>
      <c r="NZ51" s="17">
        <f t="shared" si="103"/>
        <v>35</v>
      </c>
      <c r="OA51" s="17">
        <f t="shared" si="103"/>
        <v>35</v>
      </c>
      <c r="OB51" s="17">
        <f t="shared" si="103"/>
        <v>35</v>
      </c>
      <c r="OC51" s="17">
        <f t="shared" si="103"/>
        <v>35</v>
      </c>
      <c r="OD51" s="17">
        <f t="shared" si="103"/>
        <v>35</v>
      </c>
      <c r="OE51" s="17">
        <f t="shared" si="103"/>
        <v>35</v>
      </c>
      <c r="OF51" s="17">
        <f t="shared" si="103"/>
        <v>35</v>
      </c>
      <c r="OG51" s="17">
        <f t="shared" si="103"/>
        <v>35</v>
      </c>
      <c r="OH51" s="17">
        <f t="shared" si="103"/>
        <v>35</v>
      </c>
      <c r="OI51" s="17">
        <f t="shared" si="103"/>
        <v>35</v>
      </c>
      <c r="OJ51" s="17">
        <f t="shared" si="103"/>
        <v>35</v>
      </c>
      <c r="OK51" s="17">
        <f t="shared" si="103"/>
        <v>35</v>
      </c>
      <c r="OL51" s="17">
        <f t="shared" si="103"/>
        <v>35</v>
      </c>
      <c r="OM51" s="17">
        <f t="shared" si="103"/>
        <v>35</v>
      </c>
      <c r="ON51" s="17">
        <f t="shared" si="103"/>
        <v>35</v>
      </c>
      <c r="OO51" s="17">
        <f t="shared" si="103"/>
        <v>35</v>
      </c>
      <c r="OP51" s="17">
        <f t="shared" si="103"/>
        <v>35</v>
      </c>
      <c r="OQ51" s="17">
        <f t="shared" si="103"/>
        <v>35</v>
      </c>
      <c r="OR51" s="17">
        <f t="shared" si="103"/>
        <v>35</v>
      </c>
      <c r="OS51" s="17">
        <f t="shared" si="103"/>
        <v>35</v>
      </c>
      <c r="OT51" s="17">
        <f t="shared" si="103"/>
        <v>35</v>
      </c>
      <c r="OU51" s="17">
        <f t="shared" si="103"/>
        <v>35</v>
      </c>
      <c r="OV51" s="17">
        <f t="shared" si="103"/>
        <v>35</v>
      </c>
      <c r="OW51" s="17">
        <f t="shared" si="103"/>
        <v>35</v>
      </c>
      <c r="OX51" s="17">
        <f t="shared" si="103"/>
        <v>35</v>
      </c>
      <c r="OY51" s="17">
        <f t="shared" si="103"/>
        <v>35</v>
      </c>
      <c r="OZ51" s="17">
        <f t="shared" si="103"/>
        <v>35</v>
      </c>
      <c r="PA51" s="17">
        <f t="shared" si="103"/>
        <v>35</v>
      </c>
      <c r="PB51" s="17">
        <f t="shared" si="103"/>
        <v>35</v>
      </c>
      <c r="PC51" s="17">
        <f t="shared" si="103"/>
        <v>35</v>
      </c>
      <c r="PD51" s="17">
        <f t="shared" si="103"/>
        <v>35</v>
      </c>
      <c r="PE51" s="17">
        <f t="shared" si="103"/>
        <v>35</v>
      </c>
      <c r="PF51" s="17">
        <f t="shared" si="103"/>
        <v>35</v>
      </c>
      <c r="PG51" s="17">
        <f t="shared" si="103"/>
        <v>35</v>
      </c>
    </row>
    <row r="52" spans="1:423" x14ac:dyDescent="0.25">
      <c r="A52" s="8" t="s">
        <v>5507</v>
      </c>
      <c r="B52" s="9" t="s">
        <v>8504</v>
      </c>
      <c r="C52" s="9" t="str">
        <f t="shared" si="72"/>
        <v>BDames N3</v>
      </c>
      <c r="D52" s="1" t="str">
        <f t="shared" si="73"/>
        <v>Bande Dames N3</v>
      </c>
      <c r="E52" s="1" t="s">
        <v>8498</v>
      </c>
      <c r="F52" s="9" t="s">
        <v>5508</v>
      </c>
      <c r="G52" s="9">
        <v>30</v>
      </c>
      <c r="H52" s="9">
        <v>60</v>
      </c>
      <c r="I52" s="127">
        <v>2.8</v>
      </c>
      <c r="J52" s="30"/>
      <c r="K52" s="10"/>
      <c r="L52" s="8">
        <v>1.75</v>
      </c>
      <c r="M52" s="9"/>
      <c r="N52" s="10">
        <v>2.5790000000000002</v>
      </c>
      <c r="O52" s="269"/>
      <c r="P52" s="331"/>
      <c r="Q52" s="335"/>
      <c r="R52" s="128"/>
      <c r="S52" s="9"/>
      <c r="T52" s="10"/>
      <c r="U52" t="s">
        <v>5523</v>
      </c>
      <c r="V52" s="17">
        <v>0</v>
      </c>
      <c r="W52" s="17">
        <f>IF(Distances[[#This Row],[Colonne4]]=$G52,V52,Distances[[#This Row],[Colonne4]]+1)</f>
        <v>1</v>
      </c>
      <c r="X52" s="17">
        <f>IF(Distances[[#This Row],[Colonne5]]=$G52,W52,Distances[[#This Row],[Colonne5]]+1)</f>
        <v>2</v>
      </c>
      <c r="Y52" s="17">
        <f>IF(Distances[[#This Row],[Colonne6]]=$G52,X52,Distances[[#This Row],[Colonne6]]+1)</f>
        <v>3</v>
      </c>
      <c r="Z52" s="17">
        <f>IF(Distances[[#This Row],[Colonne7]]=$G52,Y52,Distances[[#This Row],[Colonne7]]+1)</f>
        <v>4</v>
      </c>
      <c r="AA52" s="17">
        <f>IF(Distances[[#This Row],[Colonne8]]=$G52,Z52,Distances[[#This Row],[Colonne8]]+1)</f>
        <v>5</v>
      </c>
      <c r="AB52" s="17">
        <f>IF(Distances[[#This Row],[Colonne9]]=$G52,AA52,Distances[[#This Row],[Colonne9]]+1)</f>
        <v>6</v>
      </c>
      <c r="AC52" s="17">
        <f>IF(Distances[[#This Row],[Colonne10]]=$G52,AB52,Distances[[#This Row],[Colonne10]]+1)</f>
        <v>7</v>
      </c>
      <c r="AD52" s="17">
        <f>IF(Distances[[#This Row],[Colonne11]]=$G52,AC52,Distances[[#This Row],[Colonne11]]+1)</f>
        <v>8</v>
      </c>
      <c r="AE52" s="17">
        <f>IF(Distances[[#This Row],[Colonne12]]=$G52,AD52,Distances[[#This Row],[Colonne12]]+1)</f>
        <v>9</v>
      </c>
      <c r="AF52" s="17">
        <f>IF(Distances[[#This Row],[Colonne13]]=$G52,AE52,Distances[[#This Row],[Colonne13]]+1)</f>
        <v>10</v>
      </c>
      <c r="AG52" s="17">
        <f>IF(Distances[[#This Row],[Colonne14]]=$G52,AF52,Distances[[#This Row],[Colonne14]]+1)</f>
        <v>11</v>
      </c>
      <c r="AH52" s="17">
        <f>IF(Distances[[#This Row],[Colonne15]]=$G52,AG52,Distances[[#This Row],[Colonne15]]+1)</f>
        <v>12</v>
      </c>
      <c r="AI52" s="17">
        <f>IF(Distances[[#This Row],[Colonne16]]=$G52,AH52,Distances[[#This Row],[Colonne16]]+1)</f>
        <v>13</v>
      </c>
      <c r="AJ52" s="17">
        <f>IF(Distances[[#This Row],[Colonne17]]=$G52,AI52,Distances[[#This Row],[Colonne17]]+1)</f>
        <v>14</v>
      </c>
      <c r="AK52" s="17">
        <f>IF(Distances[[#This Row],[Colonne18]]=$G52,AJ52,Distances[[#This Row],[Colonne18]]+1)</f>
        <v>15</v>
      </c>
      <c r="AL52" s="17">
        <f>IF(Distances[[#This Row],[Colonne19]]=$G52,AK52,Distances[[#This Row],[Colonne19]]+1)</f>
        <v>16</v>
      </c>
      <c r="AM52" s="17">
        <f>IF(Distances[[#This Row],[Colonne20]]=$G52,AL52,Distances[[#This Row],[Colonne20]]+1)</f>
        <v>17</v>
      </c>
      <c r="AN52" s="17">
        <f>IF(Distances[[#This Row],[Colonne21]]=$G52,AM52,Distances[[#This Row],[Colonne21]]+1)</f>
        <v>18</v>
      </c>
      <c r="AO52" s="17">
        <f>IF(Distances[[#This Row],[Colonne22]]=$G52,AN52,Distances[[#This Row],[Colonne22]]+1)</f>
        <v>19</v>
      </c>
      <c r="AP52" s="17">
        <f>IF(Distances[[#This Row],[Colonne23]]=$G52,AO52,Distances[[#This Row],[Colonne23]]+1)</f>
        <v>20</v>
      </c>
      <c r="AQ52" s="17">
        <f>IF(Distances[[#This Row],[Colonne24]]=$G52,AP52,Distances[[#This Row],[Colonne24]]+1)</f>
        <v>21</v>
      </c>
      <c r="AR52" s="17">
        <f>IF(Distances[[#This Row],[Colonne25]]=$G52,AQ52,Distances[[#This Row],[Colonne25]]+1)</f>
        <v>22</v>
      </c>
      <c r="AS52" s="17">
        <f>IF(Distances[[#This Row],[Colonne26]]=$G52,AR52,Distances[[#This Row],[Colonne26]]+1)</f>
        <v>23</v>
      </c>
      <c r="AT52" s="17">
        <f>IF(Distances[[#This Row],[Colonne27]]=$G52,AS52,Distances[[#This Row],[Colonne27]]+1)</f>
        <v>24</v>
      </c>
      <c r="AU52" s="17">
        <f>IF(Distances[[#This Row],[Colonne28]]=$G52,AT52,Distances[[#This Row],[Colonne28]]+1)</f>
        <v>25</v>
      </c>
      <c r="AV52" s="17">
        <f>IF(Distances[[#This Row],[Colonne29]]=$G52,AU52,Distances[[#This Row],[Colonne29]]+1)</f>
        <v>26</v>
      </c>
      <c r="AW52" s="17">
        <f>IF(Distances[[#This Row],[Colonne30]]=$G52,AV52,Distances[[#This Row],[Colonne30]]+1)</f>
        <v>27</v>
      </c>
      <c r="AX52" s="17">
        <f>IF(Distances[[#This Row],[Colonne31]]=$G52,AW52,Distances[[#This Row],[Colonne31]]+1)</f>
        <v>28</v>
      </c>
      <c r="AY52" s="17">
        <f>IF(Distances[[#This Row],[Colonne32]]=$G52,AX52,Distances[[#This Row],[Colonne32]]+1)</f>
        <v>29</v>
      </c>
      <c r="AZ52" s="17">
        <f>IF(Distances[[#This Row],[Colonne33]]=$G52,AY52,Distances[[#This Row],[Colonne33]]+1)</f>
        <v>30</v>
      </c>
      <c r="BA52" s="17">
        <f>IF(Distances[[#This Row],[Colonne34]]=$G52,AZ52,Distances[[#This Row],[Colonne34]]+1)</f>
        <v>30</v>
      </c>
      <c r="BB52" s="17">
        <f>IF(Distances[[#This Row],[Colonne35]]=$G52,BA52,Distances[[#This Row],[Colonne35]]+1)</f>
        <v>30</v>
      </c>
      <c r="BC52" s="17">
        <f>IF(Distances[[#This Row],[Colonne36]]=$G52,BB52,Distances[[#This Row],[Colonne36]]+1)</f>
        <v>30</v>
      </c>
      <c r="BD52" s="17">
        <f>IF(Distances[[#This Row],[Colonne37]]=$G52,BC52,Distances[[#This Row],[Colonne37]]+1)</f>
        <v>30</v>
      </c>
      <c r="BE52" s="17">
        <f>IF(Distances[[#This Row],[Colonne38]]=$G52,BD52,Distances[[#This Row],[Colonne38]]+1)</f>
        <v>30</v>
      </c>
      <c r="BF52" s="17">
        <f>IF(Distances[[#This Row],[Colonne39]]=$G52,BE52,Distances[[#This Row],[Colonne39]]+1)</f>
        <v>30</v>
      </c>
      <c r="BG52" s="17">
        <f>IF(Distances[[#This Row],[Colonne40]]=$G52,BF52,Distances[[#This Row],[Colonne40]]+1)</f>
        <v>30</v>
      </c>
      <c r="BH52" s="17">
        <f>IF(Distances[[#This Row],[Colonne41]]=$G52,BG52,Distances[[#This Row],[Colonne41]]+1)</f>
        <v>30</v>
      </c>
      <c r="BI52" s="17">
        <f>IF(Distances[[#This Row],[Colonne42]]=$G52,BH52,Distances[[#This Row],[Colonne42]]+1)</f>
        <v>30</v>
      </c>
      <c r="BJ52" s="17">
        <f>IF(Distances[[#This Row],[Colonne43]]=$G52,BI52,Distances[[#This Row],[Colonne43]]+1)</f>
        <v>30</v>
      </c>
      <c r="BK52" s="17">
        <f>IF(Distances[[#This Row],[Colonne44]]=$G52,BJ52,Distances[[#This Row],[Colonne44]]+1)</f>
        <v>30</v>
      </c>
      <c r="BL52" s="17">
        <f>IF(Distances[[#This Row],[Colonne45]]=$G52,BK52,Distances[[#This Row],[Colonne45]]+1)</f>
        <v>30</v>
      </c>
      <c r="BM52" s="17">
        <f>IF(Distances[[#This Row],[Colonne46]]=$G52,BL52,Distances[[#This Row],[Colonne46]]+1)</f>
        <v>30</v>
      </c>
      <c r="BN52" s="17">
        <f>IF(Distances[[#This Row],[Colonne47]]=$G52,BM52,Distances[[#This Row],[Colonne47]]+1)</f>
        <v>30</v>
      </c>
      <c r="BO52" s="17">
        <f>IF(Distances[[#This Row],[Colonne48]]=$G52,BN52,Distances[[#This Row],[Colonne48]]+1)</f>
        <v>30</v>
      </c>
      <c r="BP52" s="17">
        <f>IF(Distances[[#This Row],[Colonne49]]=$G52,BO52,Distances[[#This Row],[Colonne49]]+1)</f>
        <v>30</v>
      </c>
      <c r="BQ52" s="17">
        <f>IF(Distances[[#This Row],[Colonne50]]=$G52,BP52,Distances[[#This Row],[Colonne50]]+1)</f>
        <v>30</v>
      </c>
      <c r="BR52" s="17">
        <f>IF(Distances[[#This Row],[Colonne51]]=$G52,BQ52,Distances[[#This Row],[Colonne51]]+1)</f>
        <v>30</v>
      </c>
      <c r="BS52" s="17">
        <f>IF(Distances[[#This Row],[Colonne52]]=$G52,BR52,Distances[[#This Row],[Colonne52]]+1)</f>
        <v>30</v>
      </c>
      <c r="BT52" s="17">
        <f>IF(Distances[[#This Row],[Colonne53]]=$G52,BS52,Distances[[#This Row],[Colonne53]]+1)</f>
        <v>30</v>
      </c>
      <c r="BU52" s="17">
        <f>IF(Distances[[#This Row],[Colonne54]]=$G52,BT52,Distances[[#This Row],[Colonne54]]+1)</f>
        <v>30</v>
      </c>
      <c r="BV52" s="17">
        <f>IF(Distances[[#This Row],[Colonne55]]=$G52,BU52,Distances[[#This Row],[Colonne55]]+1)</f>
        <v>30</v>
      </c>
      <c r="BW52" s="17">
        <f>IF(Distances[[#This Row],[Colonne56]]=$G52,BV52,Distances[[#This Row],[Colonne56]]+1)</f>
        <v>30</v>
      </c>
      <c r="BX52" s="17">
        <f>IF(Distances[[#This Row],[Colonne57]]=$G52,BW52,Distances[[#This Row],[Colonne57]]+1)</f>
        <v>30</v>
      </c>
      <c r="BY52" s="17">
        <f>IF(Distances[[#This Row],[Colonne58]]=$G52,BX52,Distances[[#This Row],[Colonne58]]+1)</f>
        <v>30</v>
      </c>
      <c r="BZ52" s="17">
        <f>IF(Distances[[#This Row],[Colonne59]]=$G52,BY52,Distances[[#This Row],[Colonne59]]+1)</f>
        <v>30</v>
      </c>
      <c r="CA52" s="17">
        <f>IF(Distances[[#This Row],[Colonne60]]=$G52,BZ52,Distances[[#This Row],[Colonne60]]+1)</f>
        <v>30</v>
      </c>
      <c r="CB52" s="17">
        <f>IF(Distances[[#This Row],[Colonne61]]=$G52,CA52,Distances[[#This Row],[Colonne61]]+1)</f>
        <v>30</v>
      </c>
      <c r="CC52" s="17">
        <f>IF(Distances[[#This Row],[Colonne62]]=$G52,CB52,Distances[[#This Row],[Colonne62]]+1)</f>
        <v>30</v>
      </c>
      <c r="CD52" s="17">
        <f>IF(Distances[[#This Row],[Colonne63]]=$G52,CC52,Distances[[#This Row],[Colonne63]]+1)</f>
        <v>30</v>
      </c>
      <c r="CE52" s="17">
        <f>IF(Distances[[#This Row],[Colonne64]]=$G52,CD52,Distances[[#This Row],[Colonne64]]+1)</f>
        <v>30</v>
      </c>
      <c r="CF52" s="17">
        <f>IF(Distances[[#This Row],[Colonne65]]=$G52,CE52,Distances[[#This Row],[Colonne65]]+1)</f>
        <v>30</v>
      </c>
      <c r="CG52" s="17">
        <f>IF(Distances[[#This Row],[Colonne66]]=$G52,CF52,Distances[[#This Row],[Colonne66]]+1)</f>
        <v>30</v>
      </c>
      <c r="CH52" s="17">
        <f>IF(Distances[[#This Row],[Colonne67]]=$G52,CG52,Distances[[#This Row],[Colonne67]]+1)</f>
        <v>30</v>
      </c>
      <c r="CI52" s="17">
        <f>IF(Distances[[#This Row],[Colonne68]]=$G52,CH52,Distances[[#This Row],[Colonne68]]+1)</f>
        <v>30</v>
      </c>
      <c r="CJ52" s="17">
        <f>IF(Distances[[#This Row],[Colonne69]]=$G52,CI52,Distances[[#This Row],[Colonne69]]+1)</f>
        <v>30</v>
      </c>
      <c r="CK52" s="17">
        <f>IF(Distances[[#This Row],[Colonne70]]=$G52,CJ52,Distances[[#This Row],[Colonne70]]+1)</f>
        <v>30</v>
      </c>
      <c r="CL52" s="17">
        <f>IF(Distances[[#This Row],[Colonne71]]=$G52,CK52,Distances[[#This Row],[Colonne71]]+1)</f>
        <v>30</v>
      </c>
      <c r="CM52" s="17">
        <f>IF(Distances[[#This Row],[Colonne72]]=$G52,CL52,Distances[[#This Row],[Colonne72]]+1)</f>
        <v>30</v>
      </c>
      <c r="CN52" s="17">
        <f>IF(Distances[[#This Row],[Colonne73]]=$G52,CM52,Distances[[#This Row],[Colonne73]]+1)</f>
        <v>30</v>
      </c>
      <c r="CO52" s="17">
        <f>IF(Distances[[#This Row],[Colonne74]]=$G52,CN52,Distances[[#This Row],[Colonne74]]+1)</f>
        <v>30</v>
      </c>
      <c r="CP52" s="17">
        <f>IF(Distances[[#This Row],[Colonne75]]=$G52,CO52,Distances[[#This Row],[Colonne75]]+1)</f>
        <v>30</v>
      </c>
      <c r="CQ52" s="17">
        <f>IF(Distances[[#This Row],[Colonne76]]=$G52,CP52,Distances[[#This Row],[Colonne76]]+1)</f>
        <v>30</v>
      </c>
      <c r="CR52" s="17">
        <f>IF(Distances[[#This Row],[Colonne77]]=$G52,CQ52,Distances[[#This Row],[Colonne77]]+1)</f>
        <v>30</v>
      </c>
      <c r="CS52" s="17">
        <f>IF(Distances[[#This Row],[Colonne78]]=$G52,CR52,Distances[[#This Row],[Colonne78]]+1)</f>
        <v>30</v>
      </c>
      <c r="CT52" s="17">
        <f>IF(Distances[[#This Row],[Colonne79]]=$G52,CS52,Distances[[#This Row],[Colonne79]]+1)</f>
        <v>30</v>
      </c>
      <c r="CU52" s="17">
        <f>IF(Distances[[#This Row],[Colonne80]]=$G52,CT52,Distances[[#This Row],[Colonne80]]+1)</f>
        <v>30</v>
      </c>
      <c r="CV52" s="17">
        <f>IF(Distances[[#This Row],[Colonne81]]=$G52,CU52,Distances[[#This Row],[Colonne81]]+1)</f>
        <v>30</v>
      </c>
      <c r="CW52" s="17">
        <f>IF(Distances[[#This Row],[Colonne82]]=$G52,CV52,Distances[[#This Row],[Colonne82]]+1)</f>
        <v>30</v>
      </c>
      <c r="CX52" s="17">
        <f>IF(Distances[[#This Row],[Colonne83]]=$G52,CW52,Distances[[#This Row],[Colonne83]]+1)</f>
        <v>30</v>
      </c>
      <c r="CY52" s="17">
        <f>IF(Distances[[#This Row],[Colonne84]]=$G52,CX52,Distances[[#This Row],[Colonne84]]+1)</f>
        <v>30</v>
      </c>
      <c r="CZ52" s="17">
        <f>IF(Distances[[#This Row],[Colonne85]]=$G52,CY52,Distances[[#This Row],[Colonne85]]+1)</f>
        <v>30</v>
      </c>
      <c r="DA52" s="17">
        <f>IF(Distances[[#This Row],[Colonne86]]=$G52,CZ52,Distances[[#This Row],[Colonne86]]+1)</f>
        <v>30</v>
      </c>
      <c r="DB52" s="17">
        <f>IF(Distances[[#This Row],[Colonne87]]=$G52,DA52,Distances[[#This Row],[Colonne87]]+1)</f>
        <v>30</v>
      </c>
      <c r="DC52" s="17">
        <f>IF(Distances[[#This Row],[Colonne88]]=$G52,DB52,Distances[[#This Row],[Colonne88]]+1)</f>
        <v>30</v>
      </c>
      <c r="DD52" s="17">
        <f>IF(Distances[[#This Row],[Colonne89]]=$G52,DC52,Distances[[#This Row],[Colonne89]]+1)</f>
        <v>30</v>
      </c>
      <c r="DE52" s="17">
        <f>IF(Distances[[#This Row],[Colonne90]]=$G52,DD52,Distances[[#This Row],[Colonne90]]+1)</f>
        <v>30</v>
      </c>
      <c r="DF52" s="17">
        <f>IF(Distances[[#This Row],[Colonne91]]=$G52,DE52,Distances[[#This Row],[Colonne91]]+1)</f>
        <v>30</v>
      </c>
      <c r="DG52" s="17">
        <f>IF(Distances[[#This Row],[Colonne92]]=$G52,DF52,Distances[[#This Row],[Colonne92]]+1)</f>
        <v>30</v>
      </c>
      <c r="DH52" s="17">
        <f>IF(Distances[[#This Row],[Colonne93]]=$G52,DG52,Distances[[#This Row],[Colonne93]]+1)</f>
        <v>30</v>
      </c>
      <c r="DI52" s="17">
        <f>IF(Distances[[#This Row],[Colonne94]]=$G52,DH52,Distances[[#This Row],[Colonne94]]+1)</f>
        <v>30</v>
      </c>
      <c r="DJ52" s="17">
        <f>IF(Distances[[#This Row],[Colonne95]]=$G52,DI52,Distances[[#This Row],[Colonne95]]+1)</f>
        <v>30</v>
      </c>
      <c r="DK52" s="17">
        <f>IF(Distances[[#This Row],[Colonne96]]=$G52,DJ52,Distances[[#This Row],[Colonne96]]+1)</f>
        <v>30</v>
      </c>
      <c r="DL52" s="17">
        <f>IF(Distances[[#This Row],[Colonne97]]=$G52,DK52,Distances[[#This Row],[Colonne97]]+1)</f>
        <v>30</v>
      </c>
      <c r="DM52" s="17">
        <f>IF(Distances[[#This Row],[Colonne98]]=$G52,DL52,Distances[[#This Row],[Colonne98]]+1)</f>
        <v>30</v>
      </c>
      <c r="DN52" s="17">
        <f>IF(Distances[[#This Row],[Colonne99]]=$G52,DM52,Distances[[#This Row],[Colonne99]]+1)</f>
        <v>30</v>
      </c>
      <c r="DO52" s="17">
        <f>IF(Distances[[#This Row],[Colonne100]]=$G52,DN52,Distances[[#This Row],[Colonne100]]+1)</f>
        <v>30</v>
      </c>
      <c r="DP52" s="17">
        <f>IF(Distances[[#This Row],[Colonne101]]=$G52,DO52,Distances[[#This Row],[Colonne101]]+1)</f>
        <v>30</v>
      </c>
      <c r="DQ52" s="17">
        <f>IF(Distances[[#This Row],[Colonne102]]=$G52,DP52,Distances[[#This Row],[Colonne102]]+1)</f>
        <v>30</v>
      </c>
      <c r="DR52" s="17">
        <f>IF(Distances[[#This Row],[Colonne103]]=$G52,DQ52,Distances[[#This Row],[Colonne103]]+1)</f>
        <v>30</v>
      </c>
      <c r="DS52" s="17">
        <f>IF(Distances[[#This Row],[Colonne104]]=$G52,DR52,Distances[[#This Row],[Colonne104]]+1)</f>
        <v>30</v>
      </c>
      <c r="DT52" s="17">
        <f>IF(Distances[[#This Row],[Colonne105]]=$G52,DS52,Distances[[#This Row],[Colonne105]]+1)</f>
        <v>30</v>
      </c>
      <c r="DU52" s="17">
        <f>IF(Distances[[#This Row],[Colonne106]]=$G52,DT52,Distances[[#This Row],[Colonne106]]+1)</f>
        <v>30</v>
      </c>
      <c r="DV52" s="17">
        <f>IF(Distances[[#This Row],[Colonne107]]=$G52,DU52,Distances[[#This Row],[Colonne107]]+1)</f>
        <v>30</v>
      </c>
      <c r="DW52" s="17">
        <f>IF(Distances[[#This Row],[Colonne108]]=$G52,DV52,Distances[[#This Row],[Colonne108]]+1)</f>
        <v>30</v>
      </c>
      <c r="DX52" s="17">
        <f>IF(Distances[[#This Row],[Colonne109]]=$G52,DW52,Distances[[#This Row],[Colonne109]]+1)</f>
        <v>30</v>
      </c>
      <c r="DY52" s="17">
        <f>IF(Distances[[#This Row],[Colonne110]]=$G52,DX52,Distances[[#This Row],[Colonne110]]+1)</f>
        <v>30</v>
      </c>
      <c r="DZ52" s="17">
        <f>IF(Distances[[#This Row],[Colonne111]]=$G52,DY52,Distances[[#This Row],[Colonne111]]+1)</f>
        <v>30</v>
      </c>
      <c r="EA52" s="17">
        <f>IF(Distances[[#This Row],[Colonne112]]=$G52,DZ52,Distances[[#This Row],[Colonne112]]+1)</f>
        <v>30</v>
      </c>
      <c r="EB52" s="17">
        <f>IF(Distances[[#This Row],[Colonne113]]=$G52,EA52,Distances[[#This Row],[Colonne113]]+1)</f>
        <v>30</v>
      </c>
      <c r="EC52" s="17">
        <f>IF(Distances[[#This Row],[Colonne114]]=$G52,EB52,Distances[[#This Row],[Colonne114]]+1)</f>
        <v>30</v>
      </c>
      <c r="ED52" s="17">
        <f>IF(Distances[[#This Row],[Colonne115]]=$G52,EC52,Distances[[#This Row],[Colonne115]]+1)</f>
        <v>30</v>
      </c>
      <c r="EE52" s="17">
        <f>IF(Distances[[#This Row],[Colonne116]]=$G52,ED52,Distances[[#This Row],[Colonne116]]+1)</f>
        <v>30</v>
      </c>
      <c r="EF52" s="17">
        <f>IF(Distances[[#This Row],[Colonne117]]=$G52,EE52,Distances[[#This Row],[Colonne117]]+1)</f>
        <v>30</v>
      </c>
      <c r="EG52" s="17">
        <f>IF(Distances[[#This Row],[Colonne118]]=$G52,EF52,Distances[[#This Row],[Colonne118]]+1)</f>
        <v>30</v>
      </c>
      <c r="EH52" s="17">
        <f>IF(Distances[[#This Row],[Colonne119]]=$G52,EG52,Distances[[#This Row],[Colonne119]]+1)</f>
        <v>30</v>
      </c>
      <c r="EI52" s="17">
        <f>IF(Distances[[#This Row],[Colonne120]]=$G52,EH52,Distances[[#This Row],[Colonne120]]+1)</f>
        <v>30</v>
      </c>
      <c r="EJ52" s="17">
        <f>IF(Distances[[#This Row],[Colonne121]]=$G52,EI52,Distances[[#This Row],[Colonne121]]+1)</f>
        <v>30</v>
      </c>
      <c r="EK52" s="17">
        <f>IF(Distances[[#This Row],[Colonne122]]=$G52,EJ52,Distances[[#This Row],[Colonne122]]+1)</f>
        <v>30</v>
      </c>
      <c r="EL52" s="17">
        <f>IF(Distances[[#This Row],[Colonne123]]=$G52,EK52,Distances[[#This Row],[Colonne123]]+1)</f>
        <v>30</v>
      </c>
      <c r="EM52" s="17">
        <f>IF(Distances[[#This Row],[Colonne124]]=$G52,EL52,Distances[[#This Row],[Colonne124]]+1)</f>
        <v>30</v>
      </c>
      <c r="EN52" s="17">
        <f>IF(Distances[[#This Row],[Colonne125]]=$G52,EM52,Distances[[#This Row],[Colonne125]]+1)</f>
        <v>30</v>
      </c>
      <c r="EO52" s="17">
        <f>IF(Distances[[#This Row],[Colonne126]]=$G52,EN52,Distances[[#This Row],[Colonne126]]+1)</f>
        <v>30</v>
      </c>
      <c r="EP52" s="17">
        <f>IF(Distances[[#This Row],[Colonne127]]=$G52,EO52,Distances[[#This Row],[Colonne127]]+1)</f>
        <v>30</v>
      </c>
      <c r="EQ52" s="17">
        <f>IF(Distances[[#This Row],[Colonne128]]=$G52,EP52,Distances[[#This Row],[Colonne128]]+1)</f>
        <v>30</v>
      </c>
      <c r="ER52" s="17">
        <f>IF(Distances[[#This Row],[Colonne129]]=$G52,EQ52,Distances[[#This Row],[Colonne129]]+1)</f>
        <v>30</v>
      </c>
      <c r="ES52" s="17">
        <f>IF(Distances[[#This Row],[Colonne130]]=$G52,ER52,Distances[[#This Row],[Colonne130]]+1)</f>
        <v>30</v>
      </c>
      <c r="ET52" s="17">
        <f>IF(Distances[[#This Row],[Colonne131]]=$G52,ES52,Distances[[#This Row],[Colonne131]]+1)</f>
        <v>30</v>
      </c>
      <c r="EU52" s="17">
        <f>IF(Distances[[#This Row],[Colonne132]]=$G52,ET52,Distances[[#This Row],[Colonne132]]+1)</f>
        <v>30</v>
      </c>
      <c r="EV52" s="17">
        <f>IF(Distances[[#This Row],[Colonne133]]=$G52,EU52,Distances[[#This Row],[Colonne133]]+1)</f>
        <v>30</v>
      </c>
      <c r="EW52" s="17">
        <f>IF(Distances[[#This Row],[Colonne134]]=$G52,EV52,Distances[[#This Row],[Colonne134]]+1)</f>
        <v>30</v>
      </c>
      <c r="EX52" s="17">
        <f>IF(Distances[[#This Row],[Colonne135]]=$G52,EW52,Distances[[#This Row],[Colonne135]]+1)</f>
        <v>30</v>
      </c>
      <c r="EY52" s="17">
        <f>IF(Distances[[#This Row],[Colonne136]]=$G52,EX52,Distances[[#This Row],[Colonne136]]+1)</f>
        <v>30</v>
      </c>
      <c r="EZ52" s="17">
        <f>IF(Distances[[#This Row],[Colonne137]]=$G52,EY52,Distances[[#This Row],[Colonne137]]+1)</f>
        <v>30</v>
      </c>
      <c r="FA52" s="17">
        <f>IF(Distances[[#This Row],[Colonne138]]=$G52,EZ52,Distances[[#This Row],[Colonne138]]+1)</f>
        <v>30</v>
      </c>
      <c r="FB52" s="17">
        <f>IF(Distances[[#This Row],[Colonne139]]=$G52,FA52,Distances[[#This Row],[Colonne139]]+1)</f>
        <v>30</v>
      </c>
      <c r="FC52" s="17">
        <f>IF(Distances[[#This Row],[Colonne140]]=$G52,FB52,Distances[[#This Row],[Colonne140]]+1)</f>
        <v>30</v>
      </c>
      <c r="FD52" s="17">
        <f>IF(Distances[[#This Row],[Colonne141]]=$G52,FC52,Distances[[#This Row],[Colonne141]]+1)</f>
        <v>30</v>
      </c>
      <c r="FE52" s="17">
        <f>IF(Distances[[#This Row],[Colonne142]]=$G52,FD52,Distances[[#This Row],[Colonne142]]+1)</f>
        <v>30</v>
      </c>
      <c r="FF52" s="17">
        <f>IF(Distances[[#This Row],[Colonne143]]=$G52,FE52,Distances[[#This Row],[Colonne143]]+1)</f>
        <v>30</v>
      </c>
      <c r="FG52" s="17">
        <f>IF(Distances[[#This Row],[Colonne144]]=$G52,FF52,Distances[[#This Row],[Colonne144]]+1)</f>
        <v>30</v>
      </c>
      <c r="FH52" s="17">
        <f>IF(Distances[[#This Row],[Colonne145]]=$G52,FG52,Distances[[#This Row],[Colonne145]]+1)</f>
        <v>30</v>
      </c>
      <c r="FI52" s="17">
        <f>IF(Distances[[#This Row],[Colonne146]]=$G52,FH52,Distances[[#This Row],[Colonne146]]+1)</f>
        <v>30</v>
      </c>
      <c r="FJ52" s="17">
        <f>IF(Distances[[#This Row],[Colonne147]]=$G52,FI52,Distances[[#This Row],[Colonne147]]+1)</f>
        <v>30</v>
      </c>
      <c r="FK52" s="17">
        <f>IF(Distances[[#This Row],[Colonne148]]=$G52,FJ52,Distances[[#This Row],[Colonne148]]+1)</f>
        <v>30</v>
      </c>
      <c r="FL52" s="17">
        <f>IF(Distances[[#This Row],[Colonne149]]=$G52,FK52,Distances[[#This Row],[Colonne149]]+1)</f>
        <v>30</v>
      </c>
      <c r="FM52" s="17">
        <f>IF(Distances[[#This Row],[Colonne150]]=$G52,FL52,Distances[[#This Row],[Colonne150]]+1)</f>
        <v>30</v>
      </c>
      <c r="FN52" s="17">
        <f>IF(Distances[[#This Row],[Colonne151]]=$G52,FM52,Distances[[#This Row],[Colonne151]]+1)</f>
        <v>30</v>
      </c>
      <c r="FO52" s="17">
        <f>IF(Distances[[#This Row],[Colonne152]]=$G52,FN52,Distances[[#This Row],[Colonne152]]+1)</f>
        <v>30</v>
      </c>
      <c r="FP52" s="17">
        <f>IF(Distances[[#This Row],[Colonne153]]=$G52,FO52,Distances[[#This Row],[Colonne153]]+1)</f>
        <v>30</v>
      </c>
      <c r="FQ52" s="17">
        <f>IF(Distances[[#This Row],[Colonne154]]=$G52,FP52,Distances[[#This Row],[Colonne154]]+1)</f>
        <v>30</v>
      </c>
      <c r="FR52" s="17">
        <f>IF(Distances[[#This Row],[Colonne155]]=$G52,FQ52,Distances[[#This Row],[Colonne155]]+1)</f>
        <v>30</v>
      </c>
      <c r="FS52" s="17">
        <f>IF(Distances[[#This Row],[Colonne156]]=$G52,FR52,Distances[[#This Row],[Colonne156]]+1)</f>
        <v>30</v>
      </c>
      <c r="FT52" s="17">
        <f>IF(Distances[[#This Row],[Colonne157]]=$G52,FS52,Distances[[#This Row],[Colonne157]]+1)</f>
        <v>30</v>
      </c>
      <c r="FU52" s="17">
        <f>IF(Distances[[#This Row],[Colonne158]]=$G52,FT52,Distances[[#This Row],[Colonne158]]+1)</f>
        <v>30</v>
      </c>
      <c r="FV52" s="17">
        <f>IF(Distances[[#This Row],[Colonne159]]=$G52,FU52,Distances[[#This Row],[Colonne159]]+1)</f>
        <v>30</v>
      </c>
      <c r="FW52" s="17">
        <f>IF(Distances[[#This Row],[Colonne160]]=$G52,FV52,Distances[[#This Row],[Colonne160]]+1)</f>
        <v>30</v>
      </c>
      <c r="FX52" s="17">
        <f>IF(Distances[[#This Row],[Colonne161]]=$G52,FW52,Distances[[#This Row],[Colonne161]]+1)</f>
        <v>30</v>
      </c>
      <c r="FY52" s="17">
        <f>IF(Distances[[#This Row],[Colonne162]]=$G52,FX52,Distances[[#This Row],[Colonne162]]+1)</f>
        <v>30</v>
      </c>
      <c r="FZ52" s="17">
        <f>IF(Distances[[#This Row],[Colonne163]]=$G52,FY52,Distances[[#This Row],[Colonne163]]+1)</f>
        <v>30</v>
      </c>
      <c r="GA52" s="17">
        <f>IF(Distances[[#This Row],[Colonne164]]=$G52,FZ52,Distances[[#This Row],[Colonne164]]+1)</f>
        <v>30</v>
      </c>
      <c r="GB52" s="17">
        <f>IF(Distances[[#This Row],[Colonne165]]=$G52,GA52,Distances[[#This Row],[Colonne165]]+1)</f>
        <v>30</v>
      </c>
      <c r="GC52" s="17">
        <f>IF(Distances[[#This Row],[Colonne166]]=$G52,GB52,Distances[[#This Row],[Colonne166]]+1)</f>
        <v>30</v>
      </c>
      <c r="GD52" s="17">
        <f>IF(Distances[[#This Row],[Colonne167]]=$G52,GC52,Distances[[#This Row],[Colonne167]]+1)</f>
        <v>30</v>
      </c>
      <c r="GE52" s="17">
        <f>IF(Distances[[#This Row],[Colonne168]]=$G52,GD52,Distances[[#This Row],[Colonne168]]+1)</f>
        <v>30</v>
      </c>
      <c r="GF52" s="17">
        <f>IF(Distances[[#This Row],[Colonne169]]=$G52,GE52,Distances[[#This Row],[Colonne169]]+1)</f>
        <v>30</v>
      </c>
      <c r="GG52" s="17">
        <f>IF(Distances[[#This Row],[Colonne170]]=$G52,GF52,Distances[[#This Row],[Colonne170]]+1)</f>
        <v>30</v>
      </c>
      <c r="GH52" s="17">
        <f>IF(Distances[[#This Row],[Colonne171]]=$G52,GG52,Distances[[#This Row],[Colonne171]]+1)</f>
        <v>30</v>
      </c>
      <c r="GI52" s="17">
        <f>IF(Distances[[#This Row],[Colonne172]]=$G52,GH52,Distances[[#This Row],[Colonne172]]+1)</f>
        <v>30</v>
      </c>
      <c r="GJ52" s="17">
        <f>IF(Distances[[#This Row],[Colonne173]]=$G52,GI52,Distances[[#This Row],[Colonne173]]+1)</f>
        <v>30</v>
      </c>
      <c r="GK52" s="17">
        <f>IF(Distances[[#This Row],[Colonne174]]=$G52,GJ52,Distances[[#This Row],[Colonne174]]+1)</f>
        <v>30</v>
      </c>
      <c r="GL52" s="17">
        <f>IF(Distances[[#This Row],[Colonne175]]=$G52,GK52,Distances[[#This Row],[Colonne175]]+1)</f>
        <v>30</v>
      </c>
      <c r="GM52" s="17">
        <f>IF(Distances[[#This Row],[Colonne176]]=$G52,GL52,Distances[[#This Row],[Colonne176]]+1)</f>
        <v>30</v>
      </c>
      <c r="GN52" s="17">
        <f>IF(Distances[[#This Row],[Colonne177]]=$G52,GM52,Distances[[#This Row],[Colonne177]]+1)</f>
        <v>30</v>
      </c>
      <c r="GO52" s="17">
        <f>IF(Distances[[#This Row],[Colonne178]]=$G52,GN52,Distances[[#This Row],[Colonne178]]+1)</f>
        <v>30</v>
      </c>
      <c r="GP52" s="17">
        <f>IF(Distances[[#This Row],[Colonne179]]=$G52,GO52,Distances[[#This Row],[Colonne179]]+1)</f>
        <v>30</v>
      </c>
      <c r="GQ52" s="17">
        <f>IF(Distances[[#This Row],[Colonne180]]=$G52,GP52,Distances[[#This Row],[Colonne180]]+1)</f>
        <v>30</v>
      </c>
      <c r="GR52" s="17">
        <f>IF(Distances[[#This Row],[Colonne181]]=$G52,GQ52,Distances[[#This Row],[Colonne181]]+1)</f>
        <v>30</v>
      </c>
      <c r="GS52" s="17">
        <f>IF(Distances[[#This Row],[Colonne182]]=$G52,GR52,Distances[[#This Row],[Colonne182]]+1)</f>
        <v>30</v>
      </c>
      <c r="GT52" s="17">
        <f>IF(Distances[[#This Row],[Colonne183]]=$G52,GS52,Distances[[#This Row],[Colonne183]]+1)</f>
        <v>30</v>
      </c>
      <c r="GU52" s="17">
        <f>IF(Distances[[#This Row],[Colonne184]]=$G52,GT52,Distances[[#This Row],[Colonne184]]+1)</f>
        <v>30</v>
      </c>
      <c r="GV52" s="17">
        <f>IF(Distances[[#This Row],[Colonne185]]=$G52,GU52,Distances[[#This Row],[Colonne185]]+1)</f>
        <v>30</v>
      </c>
      <c r="GW52" s="17">
        <f>IF(Distances[[#This Row],[Colonne186]]=$G52,GV52,Distances[[#This Row],[Colonne186]]+1)</f>
        <v>30</v>
      </c>
      <c r="GX52" s="17">
        <f>IF(Distances[[#This Row],[Colonne187]]=$G52,GW52,Distances[[#This Row],[Colonne187]]+1)</f>
        <v>30</v>
      </c>
      <c r="GY52" s="17">
        <f>IF(Distances[[#This Row],[Colonne188]]=$G52,GX52,Distances[[#This Row],[Colonne188]]+1)</f>
        <v>30</v>
      </c>
      <c r="GZ52" s="17">
        <f>IF(Distances[[#This Row],[Colonne189]]=$G52,GY52,Distances[[#This Row],[Colonne189]]+1)</f>
        <v>30</v>
      </c>
      <c r="HA52" s="17">
        <f>IF(Distances[[#This Row],[Colonne190]]=$G52,GZ52,Distances[[#This Row],[Colonne190]]+1)</f>
        <v>30</v>
      </c>
      <c r="HB52" s="17">
        <f>IF(Distances[[#This Row],[Colonne191]]=$G52,HA52,Distances[[#This Row],[Colonne191]]+1)</f>
        <v>30</v>
      </c>
      <c r="HC52" s="17">
        <f>IF(Distances[[#This Row],[Colonne192]]=$G52,HB52,Distances[[#This Row],[Colonne192]]+1)</f>
        <v>30</v>
      </c>
      <c r="HD52" s="17">
        <f>IF(Distances[[#This Row],[Colonne193]]=$G52,HC52,Distances[[#This Row],[Colonne193]]+1)</f>
        <v>30</v>
      </c>
      <c r="HE52" s="17">
        <f>IF(Distances[[#This Row],[Colonne194]]=$G52,HD52,Distances[[#This Row],[Colonne194]]+1)</f>
        <v>30</v>
      </c>
      <c r="HF52" s="17">
        <f>IF(Distances[[#This Row],[Colonne195]]=$G52,HE52,Distances[[#This Row],[Colonne195]]+1)</f>
        <v>30</v>
      </c>
      <c r="HG52" s="17">
        <f>IF(Distances[[#This Row],[Colonne196]]=$G52,HF52,Distances[[#This Row],[Colonne196]]+1)</f>
        <v>30</v>
      </c>
      <c r="HH52" s="17">
        <f>IF(Distances[[#This Row],[Colonne197]]=$G52,HG52,Distances[[#This Row],[Colonne197]]+1)</f>
        <v>30</v>
      </c>
      <c r="HI52" s="17">
        <f>IF(Distances[[#This Row],[Colonne198]]=$G52,HH52,Distances[[#This Row],[Colonne198]]+1)</f>
        <v>30</v>
      </c>
      <c r="HJ52" s="17">
        <f>IF(Distances[[#This Row],[Colonne199]]=$G52,HI52,Distances[[#This Row],[Colonne199]]+1)</f>
        <v>30</v>
      </c>
      <c r="HK52" s="17">
        <f>IF(Distances[[#This Row],[Colonne200]]=$G52,HJ52,Distances[[#This Row],[Colonne200]]+1)</f>
        <v>30</v>
      </c>
      <c r="HL52" s="17">
        <f>IF(Distances[[#This Row],[Colonne201]]=$G52,HK52,Distances[[#This Row],[Colonne201]]+1)</f>
        <v>30</v>
      </c>
      <c r="HM52" s="17">
        <f>IF(Distances[[#This Row],[Colonne202]]=$G52,HL52,Distances[[#This Row],[Colonne202]]+1)</f>
        <v>30</v>
      </c>
      <c r="HN52" s="17">
        <f>IF(Distances[[#This Row],[Colonne203]]=$G52,HM52,Distances[[#This Row],[Colonne203]]+1)</f>
        <v>30</v>
      </c>
      <c r="HO52" s="17">
        <f>IF(Distances[[#This Row],[Colonne204]]=$G52,HN52,Distances[[#This Row],[Colonne204]]+1)</f>
        <v>30</v>
      </c>
      <c r="HP52" s="17">
        <f>IF(Distances[[#This Row],[Colonne205]]=$G52,HO52,Distances[[#This Row],[Colonne205]]+1)</f>
        <v>30</v>
      </c>
      <c r="HQ52" s="17">
        <f>IF(Distances[[#This Row],[Colonne206]]=$G52,HP52,Distances[[#This Row],[Colonne206]]+1)</f>
        <v>30</v>
      </c>
      <c r="HR52" s="17">
        <f>IF(Distances[[#This Row],[Colonne207]]=$G52,HQ52,Distances[[#This Row],[Colonne207]]+1)</f>
        <v>30</v>
      </c>
      <c r="HS52" s="17">
        <f>IF(Distances[[#This Row],[Colonne208]]=$G52,HR52,Distances[[#This Row],[Colonne208]]+1)</f>
        <v>30</v>
      </c>
      <c r="HT52" s="17">
        <f>IF(Distances[[#This Row],[Colonne209]]=$G52,HS52,Distances[[#This Row],[Colonne209]]+1)</f>
        <v>30</v>
      </c>
      <c r="HU52" s="17">
        <f>IF(Distances[[#This Row],[Colonne210]]=$G52,HT52,Distances[[#This Row],[Colonne210]]+1)</f>
        <v>30</v>
      </c>
      <c r="HV52" s="17">
        <f>IF(Distances[[#This Row],[Colonne211]]=$G52,HU52,Distances[[#This Row],[Colonne211]]+1)</f>
        <v>30</v>
      </c>
      <c r="HW52" s="17">
        <f>IF(Distances[[#This Row],[Colonne212]]=$G52,HV52,Distances[[#This Row],[Colonne212]]+1)</f>
        <v>30</v>
      </c>
      <c r="HX52" s="17">
        <f>IF(Distances[[#This Row],[Colonne213]]=$G52,HW52,Distances[[#This Row],[Colonne213]]+1)</f>
        <v>30</v>
      </c>
      <c r="HY52" s="17">
        <f>IF(Distances[[#This Row],[Colonne214]]=$G52,HX52,Distances[[#This Row],[Colonne214]]+1)</f>
        <v>30</v>
      </c>
      <c r="HZ52" s="17">
        <f>IF(Distances[[#This Row],[Colonne215]]=$G52,HY52,Distances[[#This Row],[Colonne215]]+1)</f>
        <v>30</v>
      </c>
      <c r="IA52" s="17">
        <f>IF(Distances[[#This Row],[Colonne216]]=$G52,HZ52,Distances[[#This Row],[Colonne216]]+1)</f>
        <v>30</v>
      </c>
      <c r="IB52" s="17">
        <f>IF(Distances[[#This Row],[Colonne217]]=$G52,IA52,Distances[[#This Row],[Colonne217]]+1)</f>
        <v>30</v>
      </c>
      <c r="IC52" s="17">
        <f>IF(Distances[[#This Row],[Colonne218]]=$G52,IB52,Distances[[#This Row],[Colonne218]]+1)</f>
        <v>30</v>
      </c>
      <c r="ID52" s="17">
        <f>IF(Distances[[#This Row],[Colonne219]]=$G52,IC52,Distances[[#This Row],[Colonne219]]+1)</f>
        <v>30</v>
      </c>
      <c r="IE52" s="17">
        <f>IF(Distances[[#This Row],[Colonne220]]=$G52,ID52,Distances[[#This Row],[Colonne220]]+1)</f>
        <v>30</v>
      </c>
      <c r="IF52" s="17">
        <f>IF(Distances[[#This Row],[Colonne221]]=$G52,IE52,Distances[[#This Row],[Colonne221]]+1)</f>
        <v>30</v>
      </c>
      <c r="IG52" s="17">
        <f>IF(Distances[[#This Row],[Colonne222]]=$G52,IF52,Distances[[#This Row],[Colonne222]]+1)</f>
        <v>30</v>
      </c>
      <c r="IH52" s="17">
        <f>IF(Distances[[#This Row],[Colonne223]]=$G52,IG52,Distances[[#This Row],[Colonne223]]+1)</f>
        <v>30</v>
      </c>
      <c r="II52" s="17">
        <f>IF(Distances[[#This Row],[Colonne224]]=$G52,IH52,Distances[[#This Row],[Colonne224]]+1)</f>
        <v>30</v>
      </c>
      <c r="IJ52" s="17">
        <f>IF(Distances[[#This Row],[Colonne225]]=$G52,II52,Distances[[#This Row],[Colonne225]]+1)</f>
        <v>30</v>
      </c>
      <c r="IK52" s="17">
        <f>IF(Distances[[#This Row],[Colonne226]]=$G52,IJ52,Distances[[#This Row],[Colonne226]]+1)</f>
        <v>30</v>
      </c>
      <c r="IL52" s="17">
        <f>IF(Distances[[#This Row],[Colonne227]]=$G52,IK52,Distances[[#This Row],[Colonne227]]+1)</f>
        <v>30</v>
      </c>
      <c r="IM52" s="17">
        <f>IF(Distances[[#This Row],[Colonne228]]=$G52,IL52,Distances[[#This Row],[Colonne228]]+1)</f>
        <v>30</v>
      </c>
      <c r="IN52" s="17">
        <f>IF(Distances[[#This Row],[Colonne229]]=$G52,IM52,Distances[[#This Row],[Colonne229]]+1)</f>
        <v>30</v>
      </c>
      <c r="IO52" s="17">
        <f>IF(Distances[[#This Row],[Colonne230]]=$G52,IN52,Distances[[#This Row],[Colonne230]]+1)</f>
        <v>30</v>
      </c>
      <c r="IP52" s="17">
        <f>IF(Distances[[#This Row],[Colonne231]]=$G52,IO52,Distances[[#This Row],[Colonne231]]+1)</f>
        <v>30</v>
      </c>
      <c r="IQ52" s="17">
        <f>IF(Distances[[#This Row],[Colonne232]]=$G52,IP52,Distances[[#This Row],[Colonne232]]+1)</f>
        <v>30</v>
      </c>
      <c r="IR52" s="17">
        <f>IF(Distances[[#This Row],[Colonne233]]=$G52,IQ52,Distances[[#This Row],[Colonne233]]+1)</f>
        <v>30</v>
      </c>
      <c r="IS52" s="17">
        <f>IF(Distances[[#This Row],[Colonne234]]=$G52,IR52,Distances[[#This Row],[Colonne234]]+1)</f>
        <v>30</v>
      </c>
      <c r="IT52" s="17">
        <f>IF(Distances[[#This Row],[Colonne235]]=$G52,IS52,Distances[[#This Row],[Colonne235]]+1)</f>
        <v>30</v>
      </c>
      <c r="IU52" s="17">
        <f>IF(Distances[[#This Row],[Colonne236]]=$G52,IT52,Distances[[#This Row],[Colonne236]]+1)</f>
        <v>30</v>
      </c>
      <c r="IV52" s="17">
        <f>IF(Distances[[#This Row],[Colonne237]]=$G52,IU52,Distances[[#This Row],[Colonne237]]+1)</f>
        <v>30</v>
      </c>
      <c r="IW52" s="17">
        <f>IF(Distances[[#This Row],[Colonne238]]=$G52,IV52,Distances[[#This Row],[Colonne238]]+1)</f>
        <v>30</v>
      </c>
      <c r="IX52" s="17">
        <f>IF(Distances[[#This Row],[Colonne239]]=$G52,IW52,Distances[[#This Row],[Colonne239]]+1)</f>
        <v>30</v>
      </c>
      <c r="IY52" s="17">
        <f>IF(Distances[[#This Row],[Colonne240]]=$G52,IX52,Distances[[#This Row],[Colonne240]]+1)</f>
        <v>30</v>
      </c>
      <c r="IZ52" s="17">
        <f>IF(Distances[[#This Row],[Colonne241]]=$G52,IY52,Distances[[#This Row],[Colonne241]]+1)</f>
        <v>30</v>
      </c>
      <c r="JA52" s="17">
        <f>IF(Distances[[#This Row],[Colonne242]]=$G52,IZ52,Distances[[#This Row],[Colonne242]]+1)</f>
        <v>30</v>
      </c>
      <c r="JB52" s="17">
        <f>IF(Distances[[#This Row],[Colonne243]]=$G52,JA52,Distances[[#This Row],[Colonne243]]+1)</f>
        <v>30</v>
      </c>
      <c r="JC52" s="17">
        <f>IF(Distances[[#This Row],[Colonne244]]=$G52,JB52,Distances[[#This Row],[Colonne244]]+1)</f>
        <v>30</v>
      </c>
      <c r="JD52" s="17">
        <f>IF(Distances[[#This Row],[Colonne245]]=$G52,JC52,Distances[[#This Row],[Colonne245]]+1)</f>
        <v>30</v>
      </c>
      <c r="JE52" s="17">
        <f>IF(Distances[[#This Row],[Colonne246]]=$G52,JD52,Distances[[#This Row],[Colonne246]]+1)</f>
        <v>30</v>
      </c>
      <c r="JF52" s="17">
        <f>IF(Distances[[#This Row],[Colonne247]]=$G52,JE52,Distances[[#This Row],[Colonne247]]+1)</f>
        <v>30</v>
      </c>
      <c r="JG52" s="17">
        <f>IF(Distances[[#This Row],[Colonne248]]=$G52,JF52,Distances[[#This Row],[Colonne248]]+1)</f>
        <v>30</v>
      </c>
      <c r="JH52" s="17">
        <f>IF(Distances[[#This Row],[Colonne249]]=$G52,JG52,Distances[[#This Row],[Colonne249]]+1)</f>
        <v>30</v>
      </c>
      <c r="JI52" s="17">
        <f>IF(Distances[[#This Row],[Colonne250]]=$G52,JH52,Distances[[#This Row],[Colonne250]]+1)</f>
        <v>30</v>
      </c>
      <c r="JJ52" s="17">
        <f>IF(Distances[[#This Row],[Colonne251]]=$G52,JI52,Distances[[#This Row],[Colonne251]]+1)</f>
        <v>30</v>
      </c>
      <c r="JK52" s="17">
        <f>IF(Distances[[#This Row],[Colonne252]]=$G52,JJ52,Distances[[#This Row],[Colonne252]]+1)</f>
        <v>30</v>
      </c>
      <c r="JL52" s="17">
        <f>IF(Distances[[#This Row],[Colonne253]]=$G52,JK52,Distances[[#This Row],[Colonne253]]+1)</f>
        <v>30</v>
      </c>
      <c r="JM52" s="17">
        <f>IF(Distances[[#This Row],[Colonne254]]=$G52,JL52,Distances[[#This Row],[Colonne254]]+1)</f>
        <v>30</v>
      </c>
      <c r="JN52" s="17">
        <f>IF(Distances[[#This Row],[Colonne255]]=$G52,JM52,Distances[[#This Row],[Colonne255]]+1)</f>
        <v>30</v>
      </c>
      <c r="JO52" s="17">
        <f>IF(Distances[[#This Row],[Colonne256]]=$G52,JN52,Distances[[#This Row],[Colonne256]]+1)</f>
        <v>30</v>
      </c>
      <c r="JP52" s="17">
        <f>IF(Distances[[#This Row],[Colonne257]]=$G52,JO52,Distances[[#This Row],[Colonne257]]+1)</f>
        <v>30</v>
      </c>
      <c r="JQ52" s="17">
        <f>IF(Distances[[#This Row],[Colonne258]]=$G52,JP52,Distances[[#This Row],[Colonne258]]+1)</f>
        <v>30</v>
      </c>
      <c r="JR52" s="17">
        <f>IF(Distances[[#This Row],[Colonne259]]=$G52,JQ52,Distances[[#This Row],[Colonne259]]+1)</f>
        <v>30</v>
      </c>
      <c r="JS52" s="17">
        <f>IF(Distances[[#This Row],[Colonne260]]=$G52,JR52,Distances[[#This Row],[Colonne260]]+1)</f>
        <v>30</v>
      </c>
      <c r="JT52" s="17">
        <f>IF(Distances[[#This Row],[Colonne261]]=$G52,JS52,Distances[[#This Row],[Colonne261]]+1)</f>
        <v>30</v>
      </c>
      <c r="JU52" s="17">
        <f>IF(Distances[[#This Row],[Colonne262]]=$G52,JT52,Distances[[#This Row],[Colonne262]]+1)</f>
        <v>30</v>
      </c>
      <c r="JV52" s="17">
        <f>IF(Distances[[#This Row],[Colonne263]]=$G52,JU52,Distances[[#This Row],[Colonne263]]+1)</f>
        <v>30</v>
      </c>
      <c r="JW52" s="17">
        <f>IF(Distances[[#This Row],[Colonne264]]=$G52,JV52,Distances[[#This Row],[Colonne264]]+1)</f>
        <v>30</v>
      </c>
      <c r="JX52" s="17">
        <f>IF(Distances[[#This Row],[Colonne265]]=$G52,JW52,Distances[[#This Row],[Colonne265]]+1)</f>
        <v>30</v>
      </c>
      <c r="JY52" s="17">
        <f>IF(Distances[[#This Row],[Colonne266]]=$G52,JX52,Distances[[#This Row],[Colonne266]]+1)</f>
        <v>30</v>
      </c>
      <c r="JZ52" s="17">
        <f>IF(Distances[[#This Row],[Colonne267]]=$G52,JY52,Distances[[#This Row],[Colonne267]]+1)</f>
        <v>30</v>
      </c>
      <c r="KA52" s="17">
        <f>IF(Distances[[#This Row],[Colonne268]]=$G52,JZ52,Distances[[#This Row],[Colonne268]]+1)</f>
        <v>30</v>
      </c>
      <c r="KB52" s="17">
        <f>IF(Distances[[#This Row],[Colonne269]]=$G52,KA52,Distances[[#This Row],[Colonne269]]+1)</f>
        <v>30</v>
      </c>
      <c r="KC52" s="17">
        <f>IF(Distances[[#This Row],[Colonne270]]=$G52,KB52,Distances[[#This Row],[Colonne270]]+1)</f>
        <v>30</v>
      </c>
      <c r="KD52" s="17">
        <f>IF(Distances[[#This Row],[Colonne271]]=$G52,KC52,Distances[[#This Row],[Colonne271]]+1)</f>
        <v>30</v>
      </c>
      <c r="KE52" s="17">
        <f>IF(Distances[[#This Row],[Colonne272]]=$G52,KD52,Distances[[#This Row],[Colonne272]]+1)</f>
        <v>30</v>
      </c>
      <c r="KF52" s="17">
        <f>IF(Distances[[#This Row],[Colonne273]]=$G52,KE52,Distances[[#This Row],[Colonne273]]+1)</f>
        <v>30</v>
      </c>
      <c r="KG52" s="17">
        <f>IF(Distances[[#This Row],[Colonne274]]=$G52,KF52,Distances[[#This Row],[Colonne274]]+1)</f>
        <v>30</v>
      </c>
      <c r="KH52" s="17">
        <f>IF(Distances[[#This Row],[Colonne275]]=$G52,KG52,Distances[[#This Row],[Colonne275]]+1)</f>
        <v>30</v>
      </c>
      <c r="KI52" s="17">
        <f>IF(Distances[[#This Row],[Colonne276]]=$G52,KH52,Distances[[#This Row],[Colonne276]]+1)</f>
        <v>30</v>
      </c>
      <c r="KJ52" s="17">
        <f>IF(Distances[[#This Row],[Colonne277]]=$G52,KI52,Distances[[#This Row],[Colonne277]]+1)</f>
        <v>30</v>
      </c>
      <c r="KK52" s="17">
        <f>IF(Distances[[#This Row],[Colonne278]]=$G52,KJ52,Distances[[#This Row],[Colonne278]]+1)</f>
        <v>30</v>
      </c>
      <c r="KL52" s="17">
        <f>IF(Distances[[#This Row],[Colonne279]]=$G52,KK52,Distances[[#This Row],[Colonne279]]+1)</f>
        <v>30</v>
      </c>
      <c r="KM52" s="17">
        <f>IF(Distances[[#This Row],[Colonne280]]=$G52,KL52,Distances[[#This Row],[Colonne280]]+1)</f>
        <v>30</v>
      </c>
      <c r="KN52" s="17">
        <f>IF(Distances[[#This Row],[Colonne281]]=$G52,KM52,Distances[[#This Row],[Colonne281]]+1)</f>
        <v>30</v>
      </c>
      <c r="KO52" s="17">
        <f>IF(Distances[[#This Row],[Colonne282]]=$G52,KN52,Distances[[#This Row],[Colonne282]]+1)</f>
        <v>30</v>
      </c>
      <c r="KP52" s="17">
        <f>IF(Distances[[#This Row],[Colonne283]]=$G52,KO52,Distances[[#This Row],[Colonne283]]+1)</f>
        <v>30</v>
      </c>
      <c r="KQ52" s="17">
        <f>IF(Distances[[#This Row],[Colonne284]]=$G52,KP52,Distances[[#This Row],[Colonne284]]+1)</f>
        <v>30</v>
      </c>
      <c r="KR52" s="17">
        <f>IF(Distances[[#This Row],[Colonne285]]=$G52,KQ52,Distances[[#This Row],[Colonne285]]+1)</f>
        <v>30</v>
      </c>
      <c r="KS52" s="17">
        <f>IF(Distances[[#This Row],[Colonne286]]=$G52,KR52,Distances[[#This Row],[Colonne286]]+1)</f>
        <v>30</v>
      </c>
      <c r="KT52" s="17">
        <f>IF(Distances[[#This Row],[Colonne287]]=$G52,KS52,Distances[[#This Row],[Colonne287]]+1)</f>
        <v>30</v>
      </c>
      <c r="KU52" s="17">
        <f>IF(Distances[[#This Row],[Colonne288]]=$G52,KT52,Distances[[#This Row],[Colonne288]]+1)</f>
        <v>30</v>
      </c>
      <c r="KV52" s="17">
        <f>IF(Distances[[#This Row],[Colonne289]]=$G52,KU52,Distances[[#This Row],[Colonne289]]+1)</f>
        <v>30</v>
      </c>
      <c r="KW52" s="17">
        <f>IF(Distances[[#This Row],[Colonne290]]=$G52,KV52,Distances[[#This Row],[Colonne290]]+1)</f>
        <v>30</v>
      </c>
      <c r="KX52" s="17">
        <f>IF(Distances[[#This Row],[Colonne291]]=$G52,KW52,Distances[[#This Row],[Colonne291]]+1)</f>
        <v>30</v>
      </c>
      <c r="KY52" s="17">
        <f>IF(Distances[[#This Row],[Colonne292]]=$G52,KX52,Distances[[#This Row],[Colonne292]]+1)</f>
        <v>30</v>
      </c>
      <c r="KZ52" s="17">
        <f>IF(Distances[[#This Row],[Colonne293]]=$G52,KY52,Distances[[#This Row],[Colonne293]]+1)</f>
        <v>30</v>
      </c>
      <c r="LA52" s="17">
        <f>IF(Distances[[#This Row],[Colonne294]]=$G52,KZ52,Distances[[#This Row],[Colonne294]]+1)</f>
        <v>30</v>
      </c>
      <c r="LB52" s="17">
        <f>IF(Distances[[#This Row],[Colonne295]]=$G52,LA52,Distances[[#This Row],[Colonne295]]+1)</f>
        <v>30</v>
      </c>
      <c r="LC52" s="17">
        <f>IF(Distances[[#This Row],[Colonne296]]=$G52,LB52,Distances[[#This Row],[Colonne296]]+1)</f>
        <v>30</v>
      </c>
      <c r="LD52" s="17">
        <f>IF(Distances[[#This Row],[Colonne297]]=$G52,LC52,Distances[[#This Row],[Colonne297]]+1)</f>
        <v>30</v>
      </c>
      <c r="LE52" s="17">
        <f>IF(Distances[[#This Row],[Colonne298]]=$G52,LD52,Distances[[#This Row],[Colonne298]]+1)</f>
        <v>30</v>
      </c>
      <c r="LF52" s="17">
        <f>IF(Distances[[#This Row],[Colonne299]]=$G52,LE52,Distances[[#This Row],[Colonne299]]+1)</f>
        <v>30</v>
      </c>
      <c r="LG52" s="17">
        <f>IF(Distances[[#This Row],[Colonne300]]=$G52,LF52,Distances[[#This Row],[Colonne300]]+1)</f>
        <v>30</v>
      </c>
      <c r="LH52" s="17">
        <f>IF(Distances[[#This Row],[Colonne301]]=$G52,LG52,Distances[[#This Row],[Colonne301]]+1)</f>
        <v>30</v>
      </c>
      <c r="LI52" s="17">
        <f>IF(Distances[[#This Row],[Colonne302]]=$G52,LH52,Distances[[#This Row],[Colonne302]]+1)</f>
        <v>30</v>
      </c>
      <c r="LJ52" s="17">
        <f>IF(Distances[[#This Row],[Colonne303]]=$G52,LI52,Distances[[#This Row],[Colonne303]]+1)</f>
        <v>30</v>
      </c>
      <c r="LK52" s="51"/>
      <c r="LL52" s="17">
        <f t="shared" ref="LL52:NW52" si="104">IF(LK52=$H52,LK52,LK52+1)</f>
        <v>1</v>
      </c>
      <c r="LM52" s="17">
        <f t="shared" si="104"/>
        <v>2</v>
      </c>
      <c r="LN52" s="17">
        <f t="shared" si="104"/>
        <v>3</v>
      </c>
      <c r="LO52" s="17">
        <f t="shared" si="104"/>
        <v>4</v>
      </c>
      <c r="LP52" s="17">
        <f t="shared" si="104"/>
        <v>5</v>
      </c>
      <c r="LQ52" s="17">
        <f t="shared" si="104"/>
        <v>6</v>
      </c>
      <c r="LR52" s="17">
        <f t="shared" si="104"/>
        <v>7</v>
      </c>
      <c r="LS52" s="17">
        <f t="shared" si="104"/>
        <v>8</v>
      </c>
      <c r="LT52" s="17">
        <f t="shared" si="104"/>
        <v>9</v>
      </c>
      <c r="LU52" s="17">
        <f t="shared" si="104"/>
        <v>10</v>
      </c>
      <c r="LV52" s="17">
        <f t="shared" si="104"/>
        <v>11</v>
      </c>
      <c r="LW52" s="17">
        <f t="shared" si="104"/>
        <v>12</v>
      </c>
      <c r="LX52" s="17">
        <f t="shared" si="104"/>
        <v>13</v>
      </c>
      <c r="LY52" s="17">
        <f t="shared" si="104"/>
        <v>14</v>
      </c>
      <c r="LZ52" s="17">
        <f t="shared" si="104"/>
        <v>15</v>
      </c>
      <c r="MA52" s="17">
        <f t="shared" si="104"/>
        <v>16</v>
      </c>
      <c r="MB52" s="17">
        <f t="shared" si="104"/>
        <v>17</v>
      </c>
      <c r="MC52" s="17">
        <f t="shared" si="104"/>
        <v>18</v>
      </c>
      <c r="MD52" s="17">
        <f t="shared" si="104"/>
        <v>19</v>
      </c>
      <c r="ME52" s="17">
        <f t="shared" si="104"/>
        <v>20</v>
      </c>
      <c r="MF52" s="17">
        <f t="shared" si="104"/>
        <v>21</v>
      </c>
      <c r="MG52" s="17">
        <f t="shared" si="104"/>
        <v>22</v>
      </c>
      <c r="MH52" s="17">
        <f t="shared" si="104"/>
        <v>23</v>
      </c>
      <c r="MI52" s="17">
        <f t="shared" si="104"/>
        <v>24</v>
      </c>
      <c r="MJ52" s="17">
        <f t="shared" si="104"/>
        <v>25</v>
      </c>
      <c r="MK52" s="17">
        <f t="shared" si="104"/>
        <v>26</v>
      </c>
      <c r="ML52" s="17">
        <f t="shared" si="104"/>
        <v>27</v>
      </c>
      <c r="MM52" s="17">
        <f t="shared" si="104"/>
        <v>28</v>
      </c>
      <c r="MN52" s="17">
        <f t="shared" si="104"/>
        <v>29</v>
      </c>
      <c r="MO52" s="17">
        <f t="shared" si="104"/>
        <v>30</v>
      </c>
      <c r="MP52" s="17">
        <f t="shared" si="104"/>
        <v>31</v>
      </c>
      <c r="MQ52" s="17">
        <f t="shared" si="104"/>
        <v>32</v>
      </c>
      <c r="MR52" s="17">
        <f t="shared" si="104"/>
        <v>33</v>
      </c>
      <c r="MS52" s="17">
        <f t="shared" si="104"/>
        <v>34</v>
      </c>
      <c r="MT52" s="17">
        <f t="shared" si="104"/>
        <v>35</v>
      </c>
      <c r="MU52" s="17">
        <f t="shared" si="104"/>
        <v>36</v>
      </c>
      <c r="MV52" s="17">
        <f t="shared" si="104"/>
        <v>37</v>
      </c>
      <c r="MW52" s="17">
        <f t="shared" si="104"/>
        <v>38</v>
      </c>
      <c r="MX52" s="17">
        <f t="shared" si="104"/>
        <v>39</v>
      </c>
      <c r="MY52" s="17">
        <f t="shared" si="104"/>
        <v>40</v>
      </c>
      <c r="MZ52" s="17">
        <f t="shared" si="104"/>
        <v>41</v>
      </c>
      <c r="NA52" s="17">
        <f t="shared" si="104"/>
        <v>42</v>
      </c>
      <c r="NB52" s="17">
        <f t="shared" si="104"/>
        <v>43</v>
      </c>
      <c r="NC52" s="17">
        <f t="shared" si="104"/>
        <v>44</v>
      </c>
      <c r="ND52" s="17">
        <f t="shared" si="104"/>
        <v>45</v>
      </c>
      <c r="NE52" s="17">
        <f t="shared" si="104"/>
        <v>46</v>
      </c>
      <c r="NF52" s="17">
        <f t="shared" si="104"/>
        <v>47</v>
      </c>
      <c r="NG52" s="17">
        <f t="shared" si="104"/>
        <v>48</v>
      </c>
      <c r="NH52" s="17">
        <f t="shared" si="104"/>
        <v>49</v>
      </c>
      <c r="NI52" s="17">
        <f t="shared" si="104"/>
        <v>50</v>
      </c>
      <c r="NJ52" s="17">
        <f t="shared" si="104"/>
        <v>51</v>
      </c>
      <c r="NK52" s="17">
        <f t="shared" si="104"/>
        <v>52</v>
      </c>
      <c r="NL52" s="17">
        <f t="shared" si="104"/>
        <v>53</v>
      </c>
      <c r="NM52" s="17">
        <f t="shared" si="104"/>
        <v>54</v>
      </c>
      <c r="NN52" s="17">
        <f t="shared" si="104"/>
        <v>55</v>
      </c>
      <c r="NO52" s="17">
        <f t="shared" si="104"/>
        <v>56</v>
      </c>
      <c r="NP52" s="17">
        <f t="shared" si="104"/>
        <v>57</v>
      </c>
      <c r="NQ52" s="17">
        <f t="shared" si="104"/>
        <v>58</v>
      </c>
      <c r="NR52" s="17">
        <f t="shared" si="104"/>
        <v>59</v>
      </c>
      <c r="NS52" s="17">
        <f t="shared" si="104"/>
        <v>60</v>
      </c>
      <c r="NT52" s="17">
        <f t="shared" si="104"/>
        <v>60</v>
      </c>
      <c r="NU52" s="17">
        <f t="shared" si="104"/>
        <v>60</v>
      </c>
      <c r="NV52" s="17">
        <f t="shared" si="104"/>
        <v>60</v>
      </c>
      <c r="NW52" s="17">
        <f t="shared" si="104"/>
        <v>60</v>
      </c>
      <c r="NX52" s="17">
        <f t="shared" ref="NX52:PG52" si="105">IF(NW52=$H52,NW52,NW52+1)</f>
        <v>60</v>
      </c>
      <c r="NY52" s="17">
        <f t="shared" si="105"/>
        <v>60</v>
      </c>
      <c r="NZ52" s="17">
        <f t="shared" si="105"/>
        <v>60</v>
      </c>
      <c r="OA52" s="17">
        <f t="shared" si="105"/>
        <v>60</v>
      </c>
      <c r="OB52" s="17">
        <f t="shared" si="105"/>
        <v>60</v>
      </c>
      <c r="OC52" s="17">
        <f t="shared" si="105"/>
        <v>60</v>
      </c>
      <c r="OD52" s="17">
        <f t="shared" si="105"/>
        <v>60</v>
      </c>
      <c r="OE52" s="17">
        <f t="shared" si="105"/>
        <v>60</v>
      </c>
      <c r="OF52" s="17">
        <f t="shared" si="105"/>
        <v>60</v>
      </c>
      <c r="OG52" s="17">
        <f t="shared" si="105"/>
        <v>60</v>
      </c>
      <c r="OH52" s="17">
        <f t="shared" si="105"/>
        <v>60</v>
      </c>
      <c r="OI52" s="17">
        <f t="shared" si="105"/>
        <v>60</v>
      </c>
      <c r="OJ52" s="17">
        <f t="shared" si="105"/>
        <v>60</v>
      </c>
      <c r="OK52" s="17">
        <f t="shared" si="105"/>
        <v>60</v>
      </c>
      <c r="OL52" s="17">
        <f t="shared" si="105"/>
        <v>60</v>
      </c>
      <c r="OM52" s="17">
        <f t="shared" si="105"/>
        <v>60</v>
      </c>
      <c r="ON52" s="17">
        <f t="shared" si="105"/>
        <v>60</v>
      </c>
      <c r="OO52" s="17">
        <f t="shared" si="105"/>
        <v>60</v>
      </c>
      <c r="OP52" s="17">
        <f t="shared" si="105"/>
        <v>60</v>
      </c>
      <c r="OQ52" s="17">
        <f t="shared" si="105"/>
        <v>60</v>
      </c>
      <c r="OR52" s="17">
        <f t="shared" si="105"/>
        <v>60</v>
      </c>
      <c r="OS52" s="17">
        <f t="shared" si="105"/>
        <v>60</v>
      </c>
      <c r="OT52" s="17">
        <f t="shared" si="105"/>
        <v>60</v>
      </c>
      <c r="OU52" s="17">
        <f t="shared" si="105"/>
        <v>60</v>
      </c>
      <c r="OV52" s="17">
        <f t="shared" si="105"/>
        <v>60</v>
      </c>
      <c r="OW52" s="17">
        <f t="shared" si="105"/>
        <v>60</v>
      </c>
      <c r="OX52" s="17">
        <f t="shared" si="105"/>
        <v>60</v>
      </c>
      <c r="OY52" s="17">
        <f t="shared" si="105"/>
        <v>60</v>
      </c>
      <c r="OZ52" s="17">
        <f t="shared" si="105"/>
        <v>60</v>
      </c>
      <c r="PA52" s="17">
        <f t="shared" si="105"/>
        <v>60</v>
      </c>
      <c r="PB52" s="17">
        <f t="shared" si="105"/>
        <v>60</v>
      </c>
      <c r="PC52" s="17">
        <f t="shared" si="105"/>
        <v>60</v>
      </c>
      <c r="PD52" s="17">
        <f t="shared" si="105"/>
        <v>60</v>
      </c>
      <c r="PE52" s="17">
        <f t="shared" si="105"/>
        <v>60</v>
      </c>
      <c r="PF52" s="17">
        <f t="shared" si="105"/>
        <v>60</v>
      </c>
      <c r="PG52" s="17">
        <f t="shared" si="105"/>
        <v>60</v>
      </c>
    </row>
    <row r="53" spans="1:423" x14ac:dyDescent="0.25">
      <c r="A53" s="8" t="s">
        <v>5507</v>
      </c>
      <c r="B53" s="9" t="s">
        <v>5503</v>
      </c>
      <c r="C53" s="9" t="str">
        <f t="shared" si="72"/>
        <v>BR1</v>
      </c>
      <c r="D53" s="1" t="str">
        <f t="shared" si="73"/>
        <v>Bande R1</v>
      </c>
      <c r="E53" s="1" t="s">
        <v>15</v>
      </c>
      <c r="F53" s="9" t="s">
        <v>5508</v>
      </c>
      <c r="G53" s="9">
        <v>50</v>
      </c>
      <c r="H53" s="9">
        <v>40</v>
      </c>
      <c r="I53" s="127">
        <v>2.8</v>
      </c>
      <c r="J53" s="30"/>
      <c r="K53" s="281"/>
      <c r="L53" s="8">
        <v>1</v>
      </c>
      <c r="M53" s="9">
        <v>1</v>
      </c>
      <c r="N53" s="10">
        <v>1.7490000000000001</v>
      </c>
      <c r="O53" s="269"/>
      <c r="P53" s="331"/>
      <c r="Q53" s="335"/>
      <c r="R53" s="128">
        <v>1</v>
      </c>
      <c r="S53" s="9">
        <v>1</v>
      </c>
      <c r="T53" s="10">
        <v>2</v>
      </c>
      <c r="U53" t="s">
        <v>5523</v>
      </c>
      <c r="V53" s="17">
        <v>0</v>
      </c>
      <c r="W53" s="17">
        <f>IF(Distances[[#This Row],[Colonne4]]=$G53,V53,Distances[[#This Row],[Colonne4]]+1)</f>
        <v>1</v>
      </c>
      <c r="X53" s="17">
        <f>IF(Distances[[#This Row],[Colonne5]]=$G53,W53,Distances[[#This Row],[Colonne5]]+1)</f>
        <v>2</v>
      </c>
      <c r="Y53" s="17">
        <f>IF(Distances[[#This Row],[Colonne6]]=$G53,X53,Distances[[#This Row],[Colonne6]]+1)</f>
        <v>3</v>
      </c>
      <c r="Z53" s="17">
        <f>IF(Distances[[#This Row],[Colonne7]]=$G53,Y53,Distances[[#This Row],[Colonne7]]+1)</f>
        <v>4</v>
      </c>
      <c r="AA53" s="17">
        <f>IF(Distances[[#This Row],[Colonne8]]=$G53,Z53,Distances[[#This Row],[Colonne8]]+1)</f>
        <v>5</v>
      </c>
      <c r="AB53" s="17">
        <f>IF(Distances[[#This Row],[Colonne9]]=$G53,AA53,Distances[[#This Row],[Colonne9]]+1)</f>
        <v>6</v>
      </c>
      <c r="AC53" s="17">
        <f>IF(Distances[[#This Row],[Colonne10]]=$G53,AB53,Distances[[#This Row],[Colonne10]]+1)</f>
        <v>7</v>
      </c>
      <c r="AD53" s="17">
        <f>IF(Distances[[#This Row],[Colonne11]]=$G53,AC53,Distances[[#This Row],[Colonne11]]+1)</f>
        <v>8</v>
      </c>
      <c r="AE53" s="17">
        <f>IF(Distances[[#This Row],[Colonne12]]=$G53,AD53,Distances[[#This Row],[Colonne12]]+1)</f>
        <v>9</v>
      </c>
      <c r="AF53" s="17">
        <f>IF(Distances[[#This Row],[Colonne13]]=$G53,AE53,Distances[[#This Row],[Colonne13]]+1)</f>
        <v>10</v>
      </c>
      <c r="AG53" s="17">
        <f>IF(Distances[[#This Row],[Colonne14]]=$G53,AF53,Distances[[#This Row],[Colonne14]]+1)</f>
        <v>11</v>
      </c>
      <c r="AH53" s="17">
        <f>IF(Distances[[#This Row],[Colonne15]]=$G53,AG53,Distances[[#This Row],[Colonne15]]+1)</f>
        <v>12</v>
      </c>
      <c r="AI53" s="17">
        <f>IF(Distances[[#This Row],[Colonne16]]=$G53,AH53,Distances[[#This Row],[Colonne16]]+1)</f>
        <v>13</v>
      </c>
      <c r="AJ53" s="17">
        <f>IF(Distances[[#This Row],[Colonne17]]=$G53,AI53,Distances[[#This Row],[Colonne17]]+1)</f>
        <v>14</v>
      </c>
      <c r="AK53" s="17">
        <f>IF(Distances[[#This Row],[Colonne18]]=$G53,AJ53,Distances[[#This Row],[Colonne18]]+1)</f>
        <v>15</v>
      </c>
      <c r="AL53" s="17">
        <f>IF(Distances[[#This Row],[Colonne19]]=$G53,AK53,Distances[[#This Row],[Colonne19]]+1)</f>
        <v>16</v>
      </c>
      <c r="AM53" s="17">
        <f>IF(Distances[[#This Row],[Colonne20]]=$G53,AL53,Distances[[#This Row],[Colonne20]]+1)</f>
        <v>17</v>
      </c>
      <c r="AN53" s="17">
        <f>IF(Distances[[#This Row],[Colonne21]]=$G53,AM53,Distances[[#This Row],[Colonne21]]+1)</f>
        <v>18</v>
      </c>
      <c r="AO53" s="17">
        <f>IF(Distances[[#This Row],[Colonne22]]=$G53,AN53,Distances[[#This Row],[Colonne22]]+1)</f>
        <v>19</v>
      </c>
      <c r="AP53" s="17">
        <f>IF(Distances[[#This Row],[Colonne23]]=$G53,AO53,Distances[[#This Row],[Colonne23]]+1)</f>
        <v>20</v>
      </c>
      <c r="AQ53" s="17">
        <f>IF(Distances[[#This Row],[Colonne24]]=$G53,AP53,Distances[[#This Row],[Colonne24]]+1)</f>
        <v>21</v>
      </c>
      <c r="AR53" s="17">
        <f>IF(Distances[[#This Row],[Colonne25]]=$G53,AQ53,Distances[[#This Row],[Colonne25]]+1)</f>
        <v>22</v>
      </c>
      <c r="AS53" s="17">
        <f>IF(Distances[[#This Row],[Colonne26]]=$G53,AR53,Distances[[#This Row],[Colonne26]]+1)</f>
        <v>23</v>
      </c>
      <c r="AT53" s="17">
        <f>IF(Distances[[#This Row],[Colonne27]]=$G53,AS53,Distances[[#This Row],[Colonne27]]+1)</f>
        <v>24</v>
      </c>
      <c r="AU53" s="17">
        <f>IF(Distances[[#This Row],[Colonne28]]=$G53,AT53,Distances[[#This Row],[Colonne28]]+1)</f>
        <v>25</v>
      </c>
      <c r="AV53" s="17">
        <f>IF(Distances[[#This Row],[Colonne29]]=$G53,AU53,Distances[[#This Row],[Colonne29]]+1)</f>
        <v>26</v>
      </c>
      <c r="AW53" s="17">
        <f>IF(Distances[[#This Row],[Colonne30]]=$G53,AV53,Distances[[#This Row],[Colonne30]]+1)</f>
        <v>27</v>
      </c>
      <c r="AX53" s="17">
        <f>IF(Distances[[#This Row],[Colonne31]]=$G53,AW53,Distances[[#This Row],[Colonne31]]+1)</f>
        <v>28</v>
      </c>
      <c r="AY53" s="17">
        <f>IF(Distances[[#This Row],[Colonne32]]=$G53,AX53,Distances[[#This Row],[Colonne32]]+1)</f>
        <v>29</v>
      </c>
      <c r="AZ53" s="17">
        <f>IF(Distances[[#This Row],[Colonne33]]=$G53,AY53,Distances[[#This Row],[Colonne33]]+1)</f>
        <v>30</v>
      </c>
      <c r="BA53" s="17">
        <f>IF(Distances[[#This Row],[Colonne34]]=$G53,AZ53,Distances[[#This Row],[Colonne34]]+1)</f>
        <v>31</v>
      </c>
      <c r="BB53" s="17">
        <f>IF(Distances[[#This Row],[Colonne35]]=$G53,BA53,Distances[[#This Row],[Colonne35]]+1)</f>
        <v>32</v>
      </c>
      <c r="BC53" s="17">
        <f>IF(Distances[[#This Row],[Colonne36]]=$G53,BB53,Distances[[#This Row],[Colonne36]]+1)</f>
        <v>33</v>
      </c>
      <c r="BD53" s="17">
        <f>IF(Distances[[#This Row],[Colonne37]]=$G53,BC53,Distances[[#This Row],[Colonne37]]+1)</f>
        <v>34</v>
      </c>
      <c r="BE53" s="17">
        <f>IF(Distances[[#This Row],[Colonne38]]=$G53,BD53,Distances[[#This Row],[Colonne38]]+1)</f>
        <v>35</v>
      </c>
      <c r="BF53" s="17">
        <f>IF(Distances[[#This Row],[Colonne39]]=$G53,BE53,Distances[[#This Row],[Colonne39]]+1)</f>
        <v>36</v>
      </c>
      <c r="BG53" s="17">
        <f>IF(Distances[[#This Row],[Colonne40]]=$G53,BF53,Distances[[#This Row],[Colonne40]]+1)</f>
        <v>37</v>
      </c>
      <c r="BH53" s="17">
        <f>IF(Distances[[#This Row],[Colonne41]]=$G53,BG53,Distances[[#This Row],[Colonne41]]+1)</f>
        <v>38</v>
      </c>
      <c r="BI53" s="17">
        <f>IF(Distances[[#This Row],[Colonne42]]=$G53,BH53,Distances[[#This Row],[Colonne42]]+1)</f>
        <v>39</v>
      </c>
      <c r="BJ53" s="17">
        <f>IF(Distances[[#This Row],[Colonne43]]=$G53,BI53,Distances[[#This Row],[Colonne43]]+1)</f>
        <v>40</v>
      </c>
      <c r="BK53" s="17">
        <f>IF(Distances[[#This Row],[Colonne44]]=$G53,BJ53,Distances[[#This Row],[Colonne44]]+1)</f>
        <v>41</v>
      </c>
      <c r="BL53" s="17">
        <f>IF(Distances[[#This Row],[Colonne45]]=$G53,BK53,Distances[[#This Row],[Colonne45]]+1)</f>
        <v>42</v>
      </c>
      <c r="BM53" s="17">
        <f>IF(Distances[[#This Row],[Colonne46]]=$G53,BL53,Distances[[#This Row],[Colonne46]]+1)</f>
        <v>43</v>
      </c>
      <c r="BN53" s="17">
        <f>IF(Distances[[#This Row],[Colonne47]]=$G53,BM53,Distances[[#This Row],[Colonne47]]+1)</f>
        <v>44</v>
      </c>
      <c r="BO53" s="17">
        <f>IF(Distances[[#This Row],[Colonne48]]=$G53,BN53,Distances[[#This Row],[Colonne48]]+1)</f>
        <v>45</v>
      </c>
      <c r="BP53" s="17">
        <f>IF(Distances[[#This Row],[Colonne49]]=$G53,BO53,Distances[[#This Row],[Colonne49]]+1)</f>
        <v>46</v>
      </c>
      <c r="BQ53" s="17">
        <f>IF(Distances[[#This Row],[Colonne50]]=$G53,BP53,Distances[[#This Row],[Colonne50]]+1)</f>
        <v>47</v>
      </c>
      <c r="BR53" s="17">
        <f>IF(Distances[[#This Row],[Colonne51]]=$G53,BQ53,Distances[[#This Row],[Colonne51]]+1)</f>
        <v>48</v>
      </c>
      <c r="BS53" s="17">
        <f>IF(Distances[[#This Row],[Colonne52]]=$G53,BR53,Distances[[#This Row],[Colonne52]]+1)</f>
        <v>49</v>
      </c>
      <c r="BT53" s="17">
        <f>IF(Distances[[#This Row],[Colonne53]]=$G53,BS53,Distances[[#This Row],[Colonne53]]+1)</f>
        <v>50</v>
      </c>
      <c r="BU53" s="17">
        <f>IF(Distances[[#This Row],[Colonne54]]=$G53,BT53,Distances[[#This Row],[Colonne54]]+1)</f>
        <v>50</v>
      </c>
      <c r="BV53" s="17">
        <f>IF(Distances[[#This Row],[Colonne55]]=$G53,BU53,Distances[[#This Row],[Colonne55]]+1)</f>
        <v>50</v>
      </c>
      <c r="BW53" s="17">
        <f>IF(Distances[[#This Row],[Colonne56]]=$G53,BV53,Distances[[#This Row],[Colonne56]]+1)</f>
        <v>50</v>
      </c>
      <c r="BX53" s="17">
        <f>IF(Distances[[#This Row],[Colonne57]]=$G53,BW53,Distances[[#This Row],[Colonne57]]+1)</f>
        <v>50</v>
      </c>
      <c r="BY53" s="17">
        <f>IF(Distances[[#This Row],[Colonne58]]=$G53,BX53,Distances[[#This Row],[Colonne58]]+1)</f>
        <v>50</v>
      </c>
      <c r="BZ53" s="17">
        <f>IF(Distances[[#This Row],[Colonne59]]=$G53,BY53,Distances[[#This Row],[Colonne59]]+1)</f>
        <v>50</v>
      </c>
      <c r="CA53" s="17">
        <f>IF(Distances[[#This Row],[Colonne60]]=$G53,BZ53,Distances[[#This Row],[Colonne60]]+1)</f>
        <v>50</v>
      </c>
      <c r="CB53" s="17">
        <f>IF(Distances[[#This Row],[Colonne61]]=$G53,CA53,Distances[[#This Row],[Colonne61]]+1)</f>
        <v>50</v>
      </c>
      <c r="CC53" s="17">
        <f>IF(Distances[[#This Row],[Colonne62]]=$G53,CB53,Distances[[#This Row],[Colonne62]]+1)</f>
        <v>50</v>
      </c>
      <c r="CD53" s="17">
        <f>IF(Distances[[#This Row],[Colonne63]]=$G53,CC53,Distances[[#This Row],[Colonne63]]+1)</f>
        <v>50</v>
      </c>
      <c r="CE53" s="17">
        <f>IF(Distances[[#This Row],[Colonne64]]=$G53,CD53,Distances[[#This Row],[Colonne64]]+1)</f>
        <v>50</v>
      </c>
      <c r="CF53" s="17">
        <f>IF(Distances[[#This Row],[Colonne65]]=$G53,CE53,Distances[[#This Row],[Colonne65]]+1)</f>
        <v>50</v>
      </c>
      <c r="CG53" s="17">
        <f>IF(Distances[[#This Row],[Colonne66]]=$G53,CF53,Distances[[#This Row],[Colonne66]]+1)</f>
        <v>50</v>
      </c>
      <c r="CH53" s="17">
        <f>IF(Distances[[#This Row],[Colonne67]]=$G53,CG53,Distances[[#This Row],[Colonne67]]+1)</f>
        <v>50</v>
      </c>
      <c r="CI53" s="17">
        <f>IF(Distances[[#This Row],[Colonne68]]=$G53,CH53,Distances[[#This Row],[Colonne68]]+1)</f>
        <v>50</v>
      </c>
      <c r="CJ53" s="17">
        <f>IF(Distances[[#This Row],[Colonne69]]=$G53,CI53,Distances[[#This Row],[Colonne69]]+1)</f>
        <v>50</v>
      </c>
      <c r="CK53" s="17">
        <f>IF(Distances[[#This Row],[Colonne70]]=$G53,CJ53,Distances[[#This Row],[Colonne70]]+1)</f>
        <v>50</v>
      </c>
      <c r="CL53" s="17">
        <f>IF(Distances[[#This Row],[Colonne71]]=$G53,CK53,Distances[[#This Row],[Colonne71]]+1)</f>
        <v>50</v>
      </c>
      <c r="CM53" s="17">
        <f>IF(Distances[[#This Row],[Colonne72]]=$G53,CL53,Distances[[#This Row],[Colonne72]]+1)</f>
        <v>50</v>
      </c>
      <c r="CN53" s="17">
        <f>IF(Distances[[#This Row],[Colonne73]]=$G53,CM53,Distances[[#This Row],[Colonne73]]+1)</f>
        <v>50</v>
      </c>
      <c r="CO53" s="17">
        <f>IF(Distances[[#This Row],[Colonne74]]=$G53,CN53,Distances[[#This Row],[Colonne74]]+1)</f>
        <v>50</v>
      </c>
      <c r="CP53" s="17">
        <f>IF(Distances[[#This Row],[Colonne75]]=$G53,CO53,Distances[[#This Row],[Colonne75]]+1)</f>
        <v>50</v>
      </c>
      <c r="CQ53" s="17">
        <f>IF(Distances[[#This Row],[Colonne76]]=$G53,CP53,Distances[[#This Row],[Colonne76]]+1)</f>
        <v>50</v>
      </c>
      <c r="CR53" s="17">
        <f>IF(Distances[[#This Row],[Colonne77]]=$G53,CQ53,Distances[[#This Row],[Colonne77]]+1)</f>
        <v>50</v>
      </c>
      <c r="CS53" s="17">
        <f>IF(Distances[[#This Row],[Colonne78]]=$G53,CR53,Distances[[#This Row],[Colonne78]]+1)</f>
        <v>50</v>
      </c>
      <c r="CT53" s="17">
        <f>IF(Distances[[#This Row],[Colonne79]]=$G53,CS53,Distances[[#This Row],[Colonne79]]+1)</f>
        <v>50</v>
      </c>
      <c r="CU53" s="17">
        <f>IF(Distances[[#This Row],[Colonne80]]=$G53,CT53,Distances[[#This Row],[Colonne80]]+1)</f>
        <v>50</v>
      </c>
      <c r="CV53" s="17">
        <f>IF(Distances[[#This Row],[Colonne81]]=$G53,CU53,Distances[[#This Row],[Colonne81]]+1)</f>
        <v>50</v>
      </c>
      <c r="CW53" s="17">
        <f>IF(Distances[[#This Row],[Colonne82]]=$G53,CV53,Distances[[#This Row],[Colonne82]]+1)</f>
        <v>50</v>
      </c>
      <c r="CX53" s="17">
        <f>IF(Distances[[#This Row],[Colonne83]]=$G53,CW53,Distances[[#This Row],[Colonne83]]+1)</f>
        <v>50</v>
      </c>
      <c r="CY53" s="17">
        <f>IF(Distances[[#This Row],[Colonne84]]=$G53,CX53,Distances[[#This Row],[Colonne84]]+1)</f>
        <v>50</v>
      </c>
      <c r="CZ53" s="17">
        <f>IF(Distances[[#This Row],[Colonne85]]=$G53,CY53,Distances[[#This Row],[Colonne85]]+1)</f>
        <v>50</v>
      </c>
      <c r="DA53" s="17">
        <f>IF(Distances[[#This Row],[Colonne86]]=$G53,CZ53,Distances[[#This Row],[Colonne86]]+1)</f>
        <v>50</v>
      </c>
      <c r="DB53" s="17">
        <f>IF(Distances[[#This Row],[Colonne87]]=$G53,DA53,Distances[[#This Row],[Colonne87]]+1)</f>
        <v>50</v>
      </c>
      <c r="DC53" s="17">
        <f>IF(Distances[[#This Row],[Colonne88]]=$G53,DB53,Distances[[#This Row],[Colonne88]]+1)</f>
        <v>50</v>
      </c>
      <c r="DD53" s="17">
        <f>IF(Distances[[#This Row],[Colonne89]]=$G53,DC53,Distances[[#This Row],[Colonne89]]+1)</f>
        <v>50</v>
      </c>
      <c r="DE53" s="17">
        <f>IF(Distances[[#This Row],[Colonne90]]=$G53,DD53,Distances[[#This Row],[Colonne90]]+1)</f>
        <v>50</v>
      </c>
      <c r="DF53" s="17">
        <f>IF(Distances[[#This Row],[Colonne91]]=$G53,DE53,Distances[[#This Row],[Colonne91]]+1)</f>
        <v>50</v>
      </c>
      <c r="DG53" s="17">
        <f>IF(Distances[[#This Row],[Colonne92]]=$G53,DF53,Distances[[#This Row],[Colonne92]]+1)</f>
        <v>50</v>
      </c>
      <c r="DH53" s="17">
        <f>IF(Distances[[#This Row],[Colonne93]]=$G53,DG53,Distances[[#This Row],[Colonne93]]+1)</f>
        <v>50</v>
      </c>
      <c r="DI53" s="17">
        <f>IF(Distances[[#This Row],[Colonne94]]=$G53,DH53,Distances[[#This Row],[Colonne94]]+1)</f>
        <v>50</v>
      </c>
      <c r="DJ53" s="17">
        <f>IF(Distances[[#This Row],[Colonne95]]=$G53,DI53,Distances[[#This Row],[Colonne95]]+1)</f>
        <v>50</v>
      </c>
      <c r="DK53" s="17">
        <f>IF(Distances[[#This Row],[Colonne96]]=$G53,DJ53,Distances[[#This Row],[Colonne96]]+1)</f>
        <v>50</v>
      </c>
      <c r="DL53" s="17">
        <f>IF(Distances[[#This Row],[Colonne97]]=$G53,DK53,Distances[[#This Row],[Colonne97]]+1)</f>
        <v>50</v>
      </c>
      <c r="DM53" s="17">
        <f>IF(Distances[[#This Row],[Colonne98]]=$G53,DL53,Distances[[#This Row],[Colonne98]]+1)</f>
        <v>50</v>
      </c>
      <c r="DN53" s="17">
        <f>IF(Distances[[#This Row],[Colonne99]]=$G53,DM53,Distances[[#This Row],[Colonne99]]+1)</f>
        <v>50</v>
      </c>
      <c r="DO53" s="17">
        <f>IF(Distances[[#This Row],[Colonne100]]=$G53,DN53,Distances[[#This Row],[Colonne100]]+1)</f>
        <v>50</v>
      </c>
      <c r="DP53" s="17">
        <f>IF(Distances[[#This Row],[Colonne101]]=$G53,DO53,Distances[[#This Row],[Colonne101]]+1)</f>
        <v>50</v>
      </c>
      <c r="DQ53" s="17">
        <f>IF(Distances[[#This Row],[Colonne102]]=$G53,DP53,Distances[[#This Row],[Colonne102]]+1)</f>
        <v>50</v>
      </c>
      <c r="DR53" s="17">
        <f>IF(Distances[[#This Row],[Colonne103]]=$G53,DQ53,Distances[[#This Row],[Colonne103]]+1)</f>
        <v>50</v>
      </c>
      <c r="DS53" s="17">
        <f>IF(Distances[[#This Row],[Colonne104]]=$G53,DR53,Distances[[#This Row],[Colonne104]]+1)</f>
        <v>50</v>
      </c>
      <c r="DT53" s="17">
        <f>IF(Distances[[#This Row],[Colonne105]]=$G53,DS53,Distances[[#This Row],[Colonne105]]+1)</f>
        <v>50</v>
      </c>
      <c r="DU53" s="17">
        <f>IF(Distances[[#This Row],[Colonne106]]=$G53,DT53,Distances[[#This Row],[Colonne106]]+1)</f>
        <v>50</v>
      </c>
      <c r="DV53" s="17">
        <f>IF(Distances[[#This Row],[Colonne107]]=$G53,DU53,Distances[[#This Row],[Colonne107]]+1)</f>
        <v>50</v>
      </c>
      <c r="DW53" s="17">
        <f>IF(Distances[[#This Row],[Colonne108]]=$G53,DV53,Distances[[#This Row],[Colonne108]]+1)</f>
        <v>50</v>
      </c>
      <c r="DX53" s="17">
        <f>IF(Distances[[#This Row],[Colonne109]]=$G53,DW53,Distances[[#This Row],[Colonne109]]+1)</f>
        <v>50</v>
      </c>
      <c r="DY53" s="17">
        <f>IF(Distances[[#This Row],[Colonne110]]=$G53,DX53,Distances[[#This Row],[Colonne110]]+1)</f>
        <v>50</v>
      </c>
      <c r="DZ53" s="17">
        <f>IF(Distances[[#This Row],[Colonne111]]=$G53,DY53,Distances[[#This Row],[Colonne111]]+1)</f>
        <v>50</v>
      </c>
      <c r="EA53" s="17">
        <f>IF(Distances[[#This Row],[Colonne112]]=$G53,DZ53,Distances[[#This Row],[Colonne112]]+1)</f>
        <v>50</v>
      </c>
      <c r="EB53" s="17">
        <f>IF(Distances[[#This Row],[Colonne113]]=$G53,EA53,Distances[[#This Row],[Colonne113]]+1)</f>
        <v>50</v>
      </c>
      <c r="EC53" s="17">
        <f>IF(Distances[[#This Row],[Colonne114]]=$G53,EB53,Distances[[#This Row],[Colonne114]]+1)</f>
        <v>50</v>
      </c>
      <c r="ED53" s="17">
        <f>IF(Distances[[#This Row],[Colonne115]]=$G53,EC53,Distances[[#This Row],[Colonne115]]+1)</f>
        <v>50</v>
      </c>
      <c r="EE53" s="17">
        <f>IF(Distances[[#This Row],[Colonne116]]=$G53,ED53,Distances[[#This Row],[Colonne116]]+1)</f>
        <v>50</v>
      </c>
      <c r="EF53" s="17">
        <f>IF(Distances[[#This Row],[Colonne117]]=$G53,EE53,Distances[[#This Row],[Colonne117]]+1)</f>
        <v>50</v>
      </c>
      <c r="EG53" s="17">
        <f>IF(Distances[[#This Row],[Colonne118]]=$G53,EF53,Distances[[#This Row],[Colonne118]]+1)</f>
        <v>50</v>
      </c>
      <c r="EH53" s="17">
        <f>IF(Distances[[#This Row],[Colonne119]]=$G53,EG53,Distances[[#This Row],[Colonne119]]+1)</f>
        <v>50</v>
      </c>
      <c r="EI53" s="17">
        <f>IF(Distances[[#This Row],[Colonne120]]=$G53,EH53,Distances[[#This Row],[Colonne120]]+1)</f>
        <v>50</v>
      </c>
      <c r="EJ53" s="17">
        <f>IF(Distances[[#This Row],[Colonne121]]=$G53,EI53,Distances[[#This Row],[Colonne121]]+1)</f>
        <v>50</v>
      </c>
      <c r="EK53" s="17">
        <f>IF(Distances[[#This Row],[Colonne122]]=$G53,EJ53,Distances[[#This Row],[Colonne122]]+1)</f>
        <v>50</v>
      </c>
      <c r="EL53" s="17">
        <f>IF(Distances[[#This Row],[Colonne123]]=$G53,EK53,Distances[[#This Row],[Colonne123]]+1)</f>
        <v>50</v>
      </c>
      <c r="EM53" s="17">
        <f>IF(Distances[[#This Row],[Colonne124]]=$G53,EL53,Distances[[#This Row],[Colonne124]]+1)</f>
        <v>50</v>
      </c>
      <c r="EN53" s="17">
        <f>IF(Distances[[#This Row],[Colonne125]]=$G53,EM53,Distances[[#This Row],[Colonne125]]+1)</f>
        <v>50</v>
      </c>
      <c r="EO53" s="17">
        <f>IF(Distances[[#This Row],[Colonne126]]=$G53,EN53,Distances[[#This Row],[Colonne126]]+1)</f>
        <v>50</v>
      </c>
      <c r="EP53" s="17">
        <f>IF(Distances[[#This Row],[Colonne127]]=$G53,EO53,Distances[[#This Row],[Colonne127]]+1)</f>
        <v>50</v>
      </c>
      <c r="EQ53" s="17">
        <f>IF(Distances[[#This Row],[Colonne128]]=$G53,EP53,Distances[[#This Row],[Colonne128]]+1)</f>
        <v>50</v>
      </c>
      <c r="ER53" s="17">
        <f>IF(Distances[[#This Row],[Colonne129]]=$G53,EQ53,Distances[[#This Row],[Colonne129]]+1)</f>
        <v>50</v>
      </c>
      <c r="ES53" s="17">
        <f>IF(Distances[[#This Row],[Colonne130]]=$G53,ER53,Distances[[#This Row],[Colonne130]]+1)</f>
        <v>50</v>
      </c>
      <c r="ET53" s="17">
        <f>IF(Distances[[#This Row],[Colonne131]]=$G53,ES53,Distances[[#This Row],[Colonne131]]+1)</f>
        <v>50</v>
      </c>
      <c r="EU53" s="17">
        <f>IF(Distances[[#This Row],[Colonne132]]=$G53,ET53,Distances[[#This Row],[Colonne132]]+1)</f>
        <v>50</v>
      </c>
      <c r="EV53" s="17">
        <f>IF(Distances[[#This Row],[Colonne133]]=$G53,EU53,Distances[[#This Row],[Colonne133]]+1)</f>
        <v>50</v>
      </c>
      <c r="EW53" s="17">
        <f>IF(Distances[[#This Row],[Colonne134]]=$G53,EV53,Distances[[#This Row],[Colonne134]]+1)</f>
        <v>50</v>
      </c>
      <c r="EX53" s="17">
        <f>IF(Distances[[#This Row],[Colonne135]]=$G53,EW53,Distances[[#This Row],[Colonne135]]+1)</f>
        <v>50</v>
      </c>
      <c r="EY53" s="17">
        <f>IF(Distances[[#This Row],[Colonne136]]=$G53,EX53,Distances[[#This Row],[Colonne136]]+1)</f>
        <v>50</v>
      </c>
      <c r="EZ53" s="17">
        <f>IF(Distances[[#This Row],[Colonne137]]=$G53,EY53,Distances[[#This Row],[Colonne137]]+1)</f>
        <v>50</v>
      </c>
      <c r="FA53" s="17">
        <f>IF(Distances[[#This Row],[Colonne138]]=$G53,EZ53,Distances[[#This Row],[Colonne138]]+1)</f>
        <v>50</v>
      </c>
      <c r="FB53" s="17">
        <f>IF(Distances[[#This Row],[Colonne139]]=$G53,FA53,Distances[[#This Row],[Colonne139]]+1)</f>
        <v>50</v>
      </c>
      <c r="FC53" s="17">
        <f>IF(Distances[[#This Row],[Colonne140]]=$G53,FB53,Distances[[#This Row],[Colonne140]]+1)</f>
        <v>50</v>
      </c>
      <c r="FD53" s="17">
        <f>IF(Distances[[#This Row],[Colonne141]]=$G53,FC53,Distances[[#This Row],[Colonne141]]+1)</f>
        <v>50</v>
      </c>
      <c r="FE53" s="17">
        <f>IF(Distances[[#This Row],[Colonne142]]=$G53,FD53,Distances[[#This Row],[Colonne142]]+1)</f>
        <v>50</v>
      </c>
      <c r="FF53" s="17">
        <f>IF(Distances[[#This Row],[Colonne143]]=$G53,FE53,Distances[[#This Row],[Colonne143]]+1)</f>
        <v>50</v>
      </c>
      <c r="FG53" s="17">
        <f>IF(Distances[[#This Row],[Colonne144]]=$G53,FF53,Distances[[#This Row],[Colonne144]]+1)</f>
        <v>50</v>
      </c>
      <c r="FH53" s="17">
        <f>IF(Distances[[#This Row],[Colonne145]]=$G53,FG53,Distances[[#This Row],[Colonne145]]+1)</f>
        <v>50</v>
      </c>
      <c r="FI53" s="17">
        <f>IF(Distances[[#This Row],[Colonne146]]=$G53,FH53,Distances[[#This Row],[Colonne146]]+1)</f>
        <v>50</v>
      </c>
      <c r="FJ53" s="17">
        <f>IF(Distances[[#This Row],[Colonne147]]=$G53,FI53,Distances[[#This Row],[Colonne147]]+1)</f>
        <v>50</v>
      </c>
      <c r="FK53" s="17">
        <f>IF(Distances[[#This Row],[Colonne148]]=$G53,FJ53,Distances[[#This Row],[Colonne148]]+1)</f>
        <v>50</v>
      </c>
      <c r="FL53" s="17">
        <f>IF(Distances[[#This Row],[Colonne149]]=$G53,FK53,Distances[[#This Row],[Colonne149]]+1)</f>
        <v>50</v>
      </c>
      <c r="FM53" s="17">
        <f>IF(Distances[[#This Row],[Colonne150]]=$G53,FL53,Distances[[#This Row],[Colonne150]]+1)</f>
        <v>50</v>
      </c>
      <c r="FN53" s="17">
        <f>IF(Distances[[#This Row],[Colonne151]]=$G53,FM53,Distances[[#This Row],[Colonne151]]+1)</f>
        <v>50</v>
      </c>
      <c r="FO53" s="17">
        <f>IF(Distances[[#This Row],[Colonne152]]=$G53,FN53,Distances[[#This Row],[Colonne152]]+1)</f>
        <v>50</v>
      </c>
      <c r="FP53" s="17">
        <f>IF(Distances[[#This Row],[Colonne153]]=$G53,FO53,Distances[[#This Row],[Colonne153]]+1)</f>
        <v>50</v>
      </c>
      <c r="FQ53" s="17">
        <f>IF(Distances[[#This Row],[Colonne154]]=$G53,FP53,Distances[[#This Row],[Colonne154]]+1)</f>
        <v>50</v>
      </c>
      <c r="FR53" s="17">
        <f>IF(Distances[[#This Row],[Colonne155]]=$G53,FQ53,Distances[[#This Row],[Colonne155]]+1)</f>
        <v>50</v>
      </c>
      <c r="FS53" s="17">
        <f>IF(Distances[[#This Row],[Colonne156]]=$G53,FR53,Distances[[#This Row],[Colonne156]]+1)</f>
        <v>50</v>
      </c>
      <c r="FT53" s="17">
        <f>IF(Distances[[#This Row],[Colonne157]]=$G53,FS53,Distances[[#This Row],[Colonne157]]+1)</f>
        <v>50</v>
      </c>
      <c r="FU53" s="17">
        <f>IF(Distances[[#This Row],[Colonne158]]=$G53,FT53,Distances[[#This Row],[Colonne158]]+1)</f>
        <v>50</v>
      </c>
      <c r="FV53" s="17">
        <f>IF(Distances[[#This Row],[Colonne159]]=$G53,FU53,Distances[[#This Row],[Colonne159]]+1)</f>
        <v>50</v>
      </c>
      <c r="FW53" s="17">
        <f>IF(Distances[[#This Row],[Colonne160]]=$G53,FV53,Distances[[#This Row],[Colonne160]]+1)</f>
        <v>50</v>
      </c>
      <c r="FX53" s="17">
        <f>IF(Distances[[#This Row],[Colonne161]]=$G53,FW53,Distances[[#This Row],[Colonne161]]+1)</f>
        <v>50</v>
      </c>
      <c r="FY53" s="17">
        <f>IF(Distances[[#This Row],[Colonne162]]=$G53,FX53,Distances[[#This Row],[Colonne162]]+1)</f>
        <v>50</v>
      </c>
      <c r="FZ53" s="17">
        <f>IF(Distances[[#This Row],[Colonne163]]=$G53,FY53,Distances[[#This Row],[Colonne163]]+1)</f>
        <v>50</v>
      </c>
      <c r="GA53" s="17">
        <f>IF(Distances[[#This Row],[Colonne164]]=$G53,FZ53,Distances[[#This Row],[Colonne164]]+1)</f>
        <v>50</v>
      </c>
      <c r="GB53" s="17">
        <f>IF(Distances[[#This Row],[Colonne165]]=$G53,GA53,Distances[[#This Row],[Colonne165]]+1)</f>
        <v>50</v>
      </c>
      <c r="GC53" s="17">
        <f>IF(Distances[[#This Row],[Colonne166]]=$G53,GB53,Distances[[#This Row],[Colonne166]]+1)</f>
        <v>50</v>
      </c>
      <c r="GD53" s="17">
        <f>IF(Distances[[#This Row],[Colonne167]]=$G53,GC53,Distances[[#This Row],[Colonne167]]+1)</f>
        <v>50</v>
      </c>
      <c r="GE53" s="17">
        <f>IF(Distances[[#This Row],[Colonne168]]=$G53,GD53,Distances[[#This Row],[Colonne168]]+1)</f>
        <v>50</v>
      </c>
      <c r="GF53" s="17">
        <f>IF(Distances[[#This Row],[Colonne169]]=$G53,GE53,Distances[[#This Row],[Colonne169]]+1)</f>
        <v>50</v>
      </c>
      <c r="GG53" s="17">
        <f>IF(Distances[[#This Row],[Colonne170]]=$G53,GF53,Distances[[#This Row],[Colonne170]]+1)</f>
        <v>50</v>
      </c>
      <c r="GH53" s="17">
        <f>IF(Distances[[#This Row],[Colonne171]]=$G53,GG53,Distances[[#This Row],[Colonne171]]+1)</f>
        <v>50</v>
      </c>
      <c r="GI53" s="17">
        <f>IF(Distances[[#This Row],[Colonne172]]=$G53,GH53,Distances[[#This Row],[Colonne172]]+1)</f>
        <v>50</v>
      </c>
      <c r="GJ53" s="17">
        <f>IF(Distances[[#This Row],[Colonne173]]=$G53,GI53,Distances[[#This Row],[Colonne173]]+1)</f>
        <v>50</v>
      </c>
      <c r="GK53" s="17">
        <f>IF(Distances[[#This Row],[Colonne174]]=$G53,GJ53,Distances[[#This Row],[Colonne174]]+1)</f>
        <v>50</v>
      </c>
      <c r="GL53" s="17">
        <f>IF(Distances[[#This Row],[Colonne175]]=$G53,GK53,Distances[[#This Row],[Colonne175]]+1)</f>
        <v>50</v>
      </c>
      <c r="GM53" s="17">
        <f>IF(Distances[[#This Row],[Colonne176]]=$G53,GL53,Distances[[#This Row],[Colonne176]]+1)</f>
        <v>50</v>
      </c>
      <c r="GN53" s="17">
        <f>IF(Distances[[#This Row],[Colonne177]]=$G53,GM53,Distances[[#This Row],[Colonne177]]+1)</f>
        <v>50</v>
      </c>
      <c r="GO53" s="17">
        <f>IF(Distances[[#This Row],[Colonne178]]=$G53,GN53,Distances[[#This Row],[Colonne178]]+1)</f>
        <v>50</v>
      </c>
      <c r="GP53" s="17">
        <f>IF(Distances[[#This Row],[Colonne179]]=$G53,GO53,Distances[[#This Row],[Colonne179]]+1)</f>
        <v>50</v>
      </c>
      <c r="GQ53" s="17">
        <f>IF(Distances[[#This Row],[Colonne180]]=$G53,GP53,Distances[[#This Row],[Colonne180]]+1)</f>
        <v>50</v>
      </c>
      <c r="GR53" s="17">
        <f>IF(Distances[[#This Row],[Colonne181]]=$G53,GQ53,Distances[[#This Row],[Colonne181]]+1)</f>
        <v>50</v>
      </c>
      <c r="GS53" s="17">
        <f>IF(Distances[[#This Row],[Colonne182]]=$G53,GR53,Distances[[#This Row],[Colonne182]]+1)</f>
        <v>50</v>
      </c>
      <c r="GT53" s="17">
        <f>IF(Distances[[#This Row],[Colonne183]]=$G53,GS53,Distances[[#This Row],[Colonne183]]+1)</f>
        <v>50</v>
      </c>
      <c r="GU53" s="17">
        <f>IF(Distances[[#This Row],[Colonne184]]=$G53,GT53,Distances[[#This Row],[Colonne184]]+1)</f>
        <v>50</v>
      </c>
      <c r="GV53" s="17">
        <f>IF(Distances[[#This Row],[Colonne185]]=$G53,GU53,Distances[[#This Row],[Colonne185]]+1)</f>
        <v>50</v>
      </c>
      <c r="GW53" s="17">
        <f>IF(Distances[[#This Row],[Colonne186]]=$G53,GV53,Distances[[#This Row],[Colonne186]]+1)</f>
        <v>50</v>
      </c>
      <c r="GX53" s="17">
        <f>IF(Distances[[#This Row],[Colonne187]]=$G53,GW53,Distances[[#This Row],[Colonne187]]+1)</f>
        <v>50</v>
      </c>
      <c r="GY53" s="17">
        <f>IF(Distances[[#This Row],[Colonne188]]=$G53,GX53,Distances[[#This Row],[Colonne188]]+1)</f>
        <v>50</v>
      </c>
      <c r="GZ53" s="17">
        <f>IF(Distances[[#This Row],[Colonne189]]=$G53,GY53,Distances[[#This Row],[Colonne189]]+1)</f>
        <v>50</v>
      </c>
      <c r="HA53" s="17">
        <f>IF(Distances[[#This Row],[Colonne190]]=$G53,GZ53,Distances[[#This Row],[Colonne190]]+1)</f>
        <v>50</v>
      </c>
      <c r="HB53" s="17">
        <f>IF(Distances[[#This Row],[Colonne191]]=$G53,HA53,Distances[[#This Row],[Colonne191]]+1)</f>
        <v>50</v>
      </c>
      <c r="HC53" s="17">
        <f>IF(Distances[[#This Row],[Colonne192]]=$G53,HB53,Distances[[#This Row],[Colonne192]]+1)</f>
        <v>50</v>
      </c>
      <c r="HD53" s="17">
        <f>IF(Distances[[#This Row],[Colonne193]]=$G53,HC53,Distances[[#This Row],[Colonne193]]+1)</f>
        <v>50</v>
      </c>
      <c r="HE53" s="17">
        <f>IF(Distances[[#This Row],[Colonne194]]=$G53,HD53,Distances[[#This Row],[Colonne194]]+1)</f>
        <v>50</v>
      </c>
      <c r="HF53" s="17">
        <f>IF(Distances[[#This Row],[Colonne195]]=$G53,HE53,Distances[[#This Row],[Colonne195]]+1)</f>
        <v>50</v>
      </c>
      <c r="HG53" s="17">
        <f>IF(Distances[[#This Row],[Colonne196]]=$G53,HF53,Distances[[#This Row],[Colonne196]]+1)</f>
        <v>50</v>
      </c>
      <c r="HH53" s="17">
        <f>IF(Distances[[#This Row],[Colonne197]]=$G53,HG53,Distances[[#This Row],[Colonne197]]+1)</f>
        <v>50</v>
      </c>
      <c r="HI53" s="17">
        <f>IF(Distances[[#This Row],[Colonne198]]=$G53,HH53,Distances[[#This Row],[Colonne198]]+1)</f>
        <v>50</v>
      </c>
      <c r="HJ53" s="17">
        <f>IF(Distances[[#This Row],[Colonne199]]=$G53,HI53,Distances[[#This Row],[Colonne199]]+1)</f>
        <v>50</v>
      </c>
      <c r="HK53" s="17">
        <f>IF(Distances[[#This Row],[Colonne200]]=$G53,HJ53,Distances[[#This Row],[Colonne200]]+1)</f>
        <v>50</v>
      </c>
      <c r="HL53" s="17">
        <f>IF(Distances[[#This Row],[Colonne201]]=$G53,HK53,Distances[[#This Row],[Colonne201]]+1)</f>
        <v>50</v>
      </c>
      <c r="HM53" s="17">
        <f>IF(Distances[[#This Row],[Colonne202]]=$G53,HL53,Distances[[#This Row],[Colonne202]]+1)</f>
        <v>50</v>
      </c>
      <c r="HN53" s="17">
        <f>IF(Distances[[#This Row],[Colonne203]]=$G53,HM53,Distances[[#This Row],[Colonne203]]+1)</f>
        <v>50</v>
      </c>
      <c r="HO53" s="17">
        <f>IF(Distances[[#This Row],[Colonne204]]=$G53,HN53,Distances[[#This Row],[Colonne204]]+1)</f>
        <v>50</v>
      </c>
      <c r="HP53" s="17">
        <f>IF(Distances[[#This Row],[Colonne205]]=$G53,HO53,Distances[[#This Row],[Colonne205]]+1)</f>
        <v>50</v>
      </c>
      <c r="HQ53" s="17">
        <f>IF(Distances[[#This Row],[Colonne206]]=$G53,HP53,Distances[[#This Row],[Colonne206]]+1)</f>
        <v>50</v>
      </c>
      <c r="HR53" s="17">
        <f>IF(Distances[[#This Row],[Colonne207]]=$G53,HQ53,Distances[[#This Row],[Colonne207]]+1)</f>
        <v>50</v>
      </c>
      <c r="HS53" s="17">
        <f>IF(Distances[[#This Row],[Colonne208]]=$G53,HR53,Distances[[#This Row],[Colonne208]]+1)</f>
        <v>50</v>
      </c>
      <c r="HT53" s="17">
        <f>IF(Distances[[#This Row],[Colonne209]]=$G53,HS53,Distances[[#This Row],[Colonne209]]+1)</f>
        <v>50</v>
      </c>
      <c r="HU53" s="17">
        <f>IF(Distances[[#This Row],[Colonne210]]=$G53,HT53,Distances[[#This Row],[Colonne210]]+1)</f>
        <v>50</v>
      </c>
      <c r="HV53" s="17">
        <f>IF(Distances[[#This Row],[Colonne211]]=$G53,HU53,Distances[[#This Row],[Colonne211]]+1)</f>
        <v>50</v>
      </c>
      <c r="HW53" s="17">
        <f>IF(Distances[[#This Row],[Colonne212]]=$G53,HV53,Distances[[#This Row],[Colonne212]]+1)</f>
        <v>50</v>
      </c>
      <c r="HX53" s="17">
        <f>IF(Distances[[#This Row],[Colonne213]]=$G53,HW53,Distances[[#This Row],[Colonne213]]+1)</f>
        <v>50</v>
      </c>
      <c r="HY53" s="17">
        <f>IF(Distances[[#This Row],[Colonne214]]=$G53,HX53,Distances[[#This Row],[Colonne214]]+1)</f>
        <v>50</v>
      </c>
      <c r="HZ53" s="17">
        <f>IF(Distances[[#This Row],[Colonne215]]=$G53,HY53,Distances[[#This Row],[Colonne215]]+1)</f>
        <v>50</v>
      </c>
      <c r="IA53" s="17">
        <f>IF(Distances[[#This Row],[Colonne216]]=$G53,HZ53,Distances[[#This Row],[Colonne216]]+1)</f>
        <v>50</v>
      </c>
      <c r="IB53" s="17">
        <f>IF(Distances[[#This Row],[Colonne217]]=$G53,IA53,Distances[[#This Row],[Colonne217]]+1)</f>
        <v>50</v>
      </c>
      <c r="IC53" s="17">
        <f>IF(Distances[[#This Row],[Colonne218]]=$G53,IB53,Distances[[#This Row],[Colonne218]]+1)</f>
        <v>50</v>
      </c>
      <c r="ID53" s="17">
        <f>IF(Distances[[#This Row],[Colonne219]]=$G53,IC53,Distances[[#This Row],[Colonne219]]+1)</f>
        <v>50</v>
      </c>
      <c r="IE53" s="17">
        <f>IF(Distances[[#This Row],[Colonne220]]=$G53,ID53,Distances[[#This Row],[Colonne220]]+1)</f>
        <v>50</v>
      </c>
      <c r="IF53" s="17">
        <f>IF(Distances[[#This Row],[Colonne221]]=$G53,IE53,Distances[[#This Row],[Colonne221]]+1)</f>
        <v>50</v>
      </c>
      <c r="IG53" s="17">
        <f>IF(Distances[[#This Row],[Colonne222]]=$G53,IF53,Distances[[#This Row],[Colonne222]]+1)</f>
        <v>50</v>
      </c>
      <c r="IH53" s="17">
        <f>IF(Distances[[#This Row],[Colonne223]]=$G53,IG53,Distances[[#This Row],[Colonne223]]+1)</f>
        <v>50</v>
      </c>
      <c r="II53" s="17">
        <f>IF(Distances[[#This Row],[Colonne224]]=$G53,IH53,Distances[[#This Row],[Colonne224]]+1)</f>
        <v>50</v>
      </c>
      <c r="IJ53" s="17">
        <f>IF(Distances[[#This Row],[Colonne225]]=$G53,II53,Distances[[#This Row],[Colonne225]]+1)</f>
        <v>50</v>
      </c>
      <c r="IK53" s="17">
        <f>IF(Distances[[#This Row],[Colonne226]]=$G53,IJ53,Distances[[#This Row],[Colonne226]]+1)</f>
        <v>50</v>
      </c>
      <c r="IL53" s="17">
        <f>IF(Distances[[#This Row],[Colonne227]]=$G53,IK53,Distances[[#This Row],[Colonne227]]+1)</f>
        <v>50</v>
      </c>
      <c r="IM53" s="17">
        <f>IF(Distances[[#This Row],[Colonne228]]=$G53,IL53,Distances[[#This Row],[Colonne228]]+1)</f>
        <v>50</v>
      </c>
      <c r="IN53" s="17">
        <f>IF(Distances[[#This Row],[Colonne229]]=$G53,IM53,Distances[[#This Row],[Colonne229]]+1)</f>
        <v>50</v>
      </c>
      <c r="IO53" s="17">
        <f>IF(Distances[[#This Row],[Colonne230]]=$G53,IN53,Distances[[#This Row],[Colonne230]]+1)</f>
        <v>50</v>
      </c>
      <c r="IP53" s="17">
        <f>IF(Distances[[#This Row],[Colonne231]]=$G53,IO53,Distances[[#This Row],[Colonne231]]+1)</f>
        <v>50</v>
      </c>
      <c r="IQ53" s="17">
        <f>IF(Distances[[#This Row],[Colonne232]]=$G53,IP53,Distances[[#This Row],[Colonne232]]+1)</f>
        <v>50</v>
      </c>
      <c r="IR53" s="17">
        <f>IF(Distances[[#This Row],[Colonne233]]=$G53,IQ53,Distances[[#This Row],[Colonne233]]+1)</f>
        <v>50</v>
      </c>
      <c r="IS53" s="17">
        <f>IF(Distances[[#This Row],[Colonne234]]=$G53,IR53,Distances[[#This Row],[Colonne234]]+1)</f>
        <v>50</v>
      </c>
      <c r="IT53" s="17">
        <f>IF(Distances[[#This Row],[Colonne235]]=$G53,IS53,Distances[[#This Row],[Colonne235]]+1)</f>
        <v>50</v>
      </c>
      <c r="IU53" s="17">
        <f>IF(Distances[[#This Row],[Colonne236]]=$G53,IT53,Distances[[#This Row],[Colonne236]]+1)</f>
        <v>50</v>
      </c>
      <c r="IV53" s="17">
        <f>IF(Distances[[#This Row],[Colonne237]]=$G53,IU53,Distances[[#This Row],[Colonne237]]+1)</f>
        <v>50</v>
      </c>
      <c r="IW53" s="17">
        <f>IF(Distances[[#This Row],[Colonne238]]=$G53,IV53,Distances[[#This Row],[Colonne238]]+1)</f>
        <v>50</v>
      </c>
      <c r="IX53" s="17">
        <f>IF(Distances[[#This Row],[Colonne239]]=$G53,IW53,Distances[[#This Row],[Colonne239]]+1)</f>
        <v>50</v>
      </c>
      <c r="IY53" s="17">
        <f>IF(Distances[[#This Row],[Colonne240]]=$G53,IX53,Distances[[#This Row],[Colonne240]]+1)</f>
        <v>50</v>
      </c>
      <c r="IZ53" s="17">
        <f>IF(Distances[[#This Row],[Colonne241]]=$G53,IY53,Distances[[#This Row],[Colonne241]]+1)</f>
        <v>50</v>
      </c>
      <c r="JA53" s="17">
        <f>IF(Distances[[#This Row],[Colonne242]]=$G53,IZ53,Distances[[#This Row],[Colonne242]]+1)</f>
        <v>50</v>
      </c>
      <c r="JB53" s="17">
        <f>IF(Distances[[#This Row],[Colonne243]]=$G53,JA53,Distances[[#This Row],[Colonne243]]+1)</f>
        <v>50</v>
      </c>
      <c r="JC53" s="17">
        <f>IF(Distances[[#This Row],[Colonne244]]=$G53,JB53,Distances[[#This Row],[Colonne244]]+1)</f>
        <v>50</v>
      </c>
      <c r="JD53" s="17">
        <f>IF(Distances[[#This Row],[Colonne245]]=$G53,JC53,Distances[[#This Row],[Colonne245]]+1)</f>
        <v>50</v>
      </c>
      <c r="JE53" s="17">
        <f>IF(Distances[[#This Row],[Colonne246]]=$G53,JD53,Distances[[#This Row],[Colonne246]]+1)</f>
        <v>50</v>
      </c>
      <c r="JF53" s="17">
        <f>IF(Distances[[#This Row],[Colonne247]]=$G53,JE53,Distances[[#This Row],[Colonne247]]+1)</f>
        <v>50</v>
      </c>
      <c r="JG53" s="17">
        <f>IF(Distances[[#This Row],[Colonne248]]=$G53,JF53,Distances[[#This Row],[Colonne248]]+1)</f>
        <v>50</v>
      </c>
      <c r="JH53" s="17">
        <f>IF(Distances[[#This Row],[Colonne249]]=$G53,JG53,Distances[[#This Row],[Colonne249]]+1)</f>
        <v>50</v>
      </c>
      <c r="JI53" s="17">
        <f>IF(Distances[[#This Row],[Colonne250]]=$G53,JH53,Distances[[#This Row],[Colonne250]]+1)</f>
        <v>50</v>
      </c>
      <c r="JJ53" s="17">
        <f>IF(Distances[[#This Row],[Colonne251]]=$G53,JI53,Distances[[#This Row],[Colonne251]]+1)</f>
        <v>50</v>
      </c>
      <c r="JK53" s="17">
        <f>IF(Distances[[#This Row],[Colonne252]]=$G53,JJ53,Distances[[#This Row],[Colonne252]]+1)</f>
        <v>50</v>
      </c>
      <c r="JL53" s="17">
        <f>IF(Distances[[#This Row],[Colonne253]]=$G53,JK53,Distances[[#This Row],[Colonne253]]+1)</f>
        <v>50</v>
      </c>
      <c r="JM53" s="17">
        <f>IF(Distances[[#This Row],[Colonne254]]=$G53,JL53,Distances[[#This Row],[Colonne254]]+1)</f>
        <v>50</v>
      </c>
      <c r="JN53" s="17">
        <f>IF(Distances[[#This Row],[Colonne255]]=$G53,JM53,Distances[[#This Row],[Colonne255]]+1)</f>
        <v>50</v>
      </c>
      <c r="JO53" s="17">
        <f>IF(Distances[[#This Row],[Colonne256]]=$G53,JN53,Distances[[#This Row],[Colonne256]]+1)</f>
        <v>50</v>
      </c>
      <c r="JP53" s="17">
        <f>IF(Distances[[#This Row],[Colonne257]]=$G53,JO53,Distances[[#This Row],[Colonne257]]+1)</f>
        <v>50</v>
      </c>
      <c r="JQ53" s="17">
        <f>IF(Distances[[#This Row],[Colonne258]]=$G53,JP53,Distances[[#This Row],[Colonne258]]+1)</f>
        <v>50</v>
      </c>
      <c r="JR53" s="17">
        <f>IF(Distances[[#This Row],[Colonne259]]=$G53,JQ53,Distances[[#This Row],[Colonne259]]+1)</f>
        <v>50</v>
      </c>
      <c r="JS53" s="17">
        <f>IF(Distances[[#This Row],[Colonne260]]=$G53,JR53,Distances[[#This Row],[Colonne260]]+1)</f>
        <v>50</v>
      </c>
      <c r="JT53" s="17">
        <f>IF(Distances[[#This Row],[Colonne261]]=$G53,JS53,Distances[[#This Row],[Colonne261]]+1)</f>
        <v>50</v>
      </c>
      <c r="JU53" s="17">
        <f>IF(Distances[[#This Row],[Colonne262]]=$G53,JT53,Distances[[#This Row],[Colonne262]]+1)</f>
        <v>50</v>
      </c>
      <c r="JV53" s="17">
        <f>IF(Distances[[#This Row],[Colonne263]]=$G53,JU53,Distances[[#This Row],[Colonne263]]+1)</f>
        <v>50</v>
      </c>
      <c r="JW53" s="17">
        <f>IF(Distances[[#This Row],[Colonne264]]=$G53,JV53,Distances[[#This Row],[Colonne264]]+1)</f>
        <v>50</v>
      </c>
      <c r="JX53" s="17">
        <f>IF(Distances[[#This Row],[Colonne265]]=$G53,JW53,Distances[[#This Row],[Colonne265]]+1)</f>
        <v>50</v>
      </c>
      <c r="JY53" s="17">
        <f>IF(Distances[[#This Row],[Colonne266]]=$G53,JX53,Distances[[#This Row],[Colonne266]]+1)</f>
        <v>50</v>
      </c>
      <c r="JZ53" s="17">
        <f>IF(Distances[[#This Row],[Colonne267]]=$G53,JY53,Distances[[#This Row],[Colonne267]]+1)</f>
        <v>50</v>
      </c>
      <c r="KA53" s="17">
        <f>IF(Distances[[#This Row],[Colonne268]]=$G53,JZ53,Distances[[#This Row],[Colonne268]]+1)</f>
        <v>50</v>
      </c>
      <c r="KB53" s="17">
        <f>IF(Distances[[#This Row],[Colonne269]]=$G53,KA53,Distances[[#This Row],[Colonne269]]+1)</f>
        <v>50</v>
      </c>
      <c r="KC53" s="17">
        <f>IF(Distances[[#This Row],[Colonne270]]=$G53,KB53,Distances[[#This Row],[Colonne270]]+1)</f>
        <v>50</v>
      </c>
      <c r="KD53" s="17">
        <f>IF(Distances[[#This Row],[Colonne271]]=$G53,KC53,Distances[[#This Row],[Colonne271]]+1)</f>
        <v>50</v>
      </c>
      <c r="KE53" s="17">
        <f>IF(Distances[[#This Row],[Colonne272]]=$G53,KD53,Distances[[#This Row],[Colonne272]]+1)</f>
        <v>50</v>
      </c>
      <c r="KF53" s="17">
        <f>IF(Distances[[#This Row],[Colonne273]]=$G53,KE53,Distances[[#This Row],[Colonne273]]+1)</f>
        <v>50</v>
      </c>
      <c r="KG53" s="17">
        <f>IF(Distances[[#This Row],[Colonne274]]=$G53,KF53,Distances[[#This Row],[Colonne274]]+1)</f>
        <v>50</v>
      </c>
      <c r="KH53" s="17">
        <f>IF(Distances[[#This Row],[Colonne275]]=$G53,KG53,Distances[[#This Row],[Colonne275]]+1)</f>
        <v>50</v>
      </c>
      <c r="KI53" s="17">
        <f>IF(Distances[[#This Row],[Colonne276]]=$G53,KH53,Distances[[#This Row],[Colonne276]]+1)</f>
        <v>50</v>
      </c>
      <c r="KJ53" s="17">
        <f>IF(Distances[[#This Row],[Colonne277]]=$G53,KI53,Distances[[#This Row],[Colonne277]]+1)</f>
        <v>50</v>
      </c>
      <c r="KK53" s="17">
        <f>IF(Distances[[#This Row],[Colonne278]]=$G53,KJ53,Distances[[#This Row],[Colonne278]]+1)</f>
        <v>50</v>
      </c>
      <c r="KL53" s="17">
        <f>IF(Distances[[#This Row],[Colonne279]]=$G53,KK53,Distances[[#This Row],[Colonne279]]+1)</f>
        <v>50</v>
      </c>
      <c r="KM53" s="17">
        <f>IF(Distances[[#This Row],[Colonne280]]=$G53,KL53,Distances[[#This Row],[Colonne280]]+1)</f>
        <v>50</v>
      </c>
      <c r="KN53" s="17">
        <f>IF(Distances[[#This Row],[Colonne281]]=$G53,KM53,Distances[[#This Row],[Colonne281]]+1)</f>
        <v>50</v>
      </c>
      <c r="KO53" s="17">
        <f>IF(Distances[[#This Row],[Colonne282]]=$G53,KN53,Distances[[#This Row],[Colonne282]]+1)</f>
        <v>50</v>
      </c>
      <c r="KP53" s="17">
        <f>IF(Distances[[#This Row],[Colonne283]]=$G53,KO53,Distances[[#This Row],[Colonne283]]+1)</f>
        <v>50</v>
      </c>
      <c r="KQ53" s="17">
        <f>IF(Distances[[#This Row],[Colonne284]]=$G53,KP53,Distances[[#This Row],[Colonne284]]+1)</f>
        <v>50</v>
      </c>
      <c r="KR53" s="17">
        <f>IF(Distances[[#This Row],[Colonne285]]=$G53,KQ53,Distances[[#This Row],[Colonne285]]+1)</f>
        <v>50</v>
      </c>
      <c r="KS53" s="17">
        <f>IF(Distances[[#This Row],[Colonne286]]=$G53,KR53,Distances[[#This Row],[Colonne286]]+1)</f>
        <v>50</v>
      </c>
      <c r="KT53" s="17">
        <f>IF(Distances[[#This Row],[Colonne287]]=$G53,KS53,Distances[[#This Row],[Colonne287]]+1)</f>
        <v>50</v>
      </c>
      <c r="KU53" s="17">
        <f>IF(Distances[[#This Row],[Colonne288]]=$G53,KT53,Distances[[#This Row],[Colonne288]]+1)</f>
        <v>50</v>
      </c>
      <c r="KV53" s="17">
        <f>IF(Distances[[#This Row],[Colonne289]]=$G53,KU53,Distances[[#This Row],[Colonne289]]+1)</f>
        <v>50</v>
      </c>
      <c r="KW53" s="17">
        <f>IF(Distances[[#This Row],[Colonne290]]=$G53,KV53,Distances[[#This Row],[Colonne290]]+1)</f>
        <v>50</v>
      </c>
      <c r="KX53" s="17">
        <f>IF(Distances[[#This Row],[Colonne291]]=$G53,KW53,Distances[[#This Row],[Colonne291]]+1)</f>
        <v>50</v>
      </c>
      <c r="KY53" s="17">
        <f>IF(Distances[[#This Row],[Colonne292]]=$G53,KX53,Distances[[#This Row],[Colonne292]]+1)</f>
        <v>50</v>
      </c>
      <c r="KZ53" s="17">
        <f>IF(Distances[[#This Row],[Colonne293]]=$G53,KY53,Distances[[#This Row],[Colonne293]]+1)</f>
        <v>50</v>
      </c>
      <c r="LA53" s="17">
        <f>IF(Distances[[#This Row],[Colonne294]]=$G53,KZ53,Distances[[#This Row],[Colonne294]]+1)</f>
        <v>50</v>
      </c>
      <c r="LB53" s="17">
        <f>IF(Distances[[#This Row],[Colonne295]]=$G53,LA53,Distances[[#This Row],[Colonne295]]+1)</f>
        <v>50</v>
      </c>
      <c r="LC53" s="17">
        <f>IF(Distances[[#This Row],[Colonne296]]=$G53,LB53,Distances[[#This Row],[Colonne296]]+1)</f>
        <v>50</v>
      </c>
      <c r="LD53" s="17">
        <f>IF(Distances[[#This Row],[Colonne297]]=$G53,LC53,Distances[[#This Row],[Colonne297]]+1)</f>
        <v>50</v>
      </c>
      <c r="LE53" s="17">
        <f>IF(Distances[[#This Row],[Colonne298]]=$G53,LD53,Distances[[#This Row],[Colonne298]]+1)</f>
        <v>50</v>
      </c>
      <c r="LF53" s="17">
        <f>IF(Distances[[#This Row],[Colonne299]]=$G53,LE53,Distances[[#This Row],[Colonne299]]+1)</f>
        <v>50</v>
      </c>
      <c r="LG53" s="17">
        <f>IF(Distances[[#This Row],[Colonne300]]=$G53,LF53,Distances[[#This Row],[Colonne300]]+1)</f>
        <v>50</v>
      </c>
      <c r="LH53" s="17">
        <f>IF(Distances[[#This Row],[Colonne301]]=$G53,LG53,Distances[[#This Row],[Colonne301]]+1)</f>
        <v>50</v>
      </c>
      <c r="LI53" s="17">
        <f>IF(Distances[[#This Row],[Colonne302]]=$G53,LH53,Distances[[#This Row],[Colonne302]]+1)</f>
        <v>50</v>
      </c>
      <c r="LJ53" s="17">
        <f>IF(Distances[[#This Row],[Colonne303]]=$G53,LI53,Distances[[#This Row],[Colonne303]]+1)</f>
        <v>50</v>
      </c>
      <c r="LK53" s="51"/>
      <c r="LL53" s="17">
        <f t="shared" ref="LL53:NW53" si="106">IF(LK53=$H53,LK53,LK53+1)</f>
        <v>1</v>
      </c>
      <c r="LM53" s="17">
        <f t="shared" si="106"/>
        <v>2</v>
      </c>
      <c r="LN53" s="17">
        <f t="shared" si="106"/>
        <v>3</v>
      </c>
      <c r="LO53" s="17">
        <f t="shared" si="106"/>
        <v>4</v>
      </c>
      <c r="LP53" s="17">
        <f t="shared" si="106"/>
        <v>5</v>
      </c>
      <c r="LQ53" s="17">
        <f t="shared" si="106"/>
        <v>6</v>
      </c>
      <c r="LR53" s="17">
        <f t="shared" si="106"/>
        <v>7</v>
      </c>
      <c r="LS53" s="17">
        <f t="shared" si="106"/>
        <v>8</v>
      </c>
      <c r="LT53" s="17">
        <f t="shared" si="106"/>
        <v>9</v>
      </c>
      <c r="LU53" s="17">
        <f t="shared" si="106"/>
        <v>10</v>
      </c>
      <c r="LV53" s="17">
        <f t="shared" si="106"/>
        <v>11</v>
      </c>
      <c r="LW53" s="17">
        <f t="shared" si="106"/>
        <v>12</v>
      </c>
      <c r="LX53" s="17">
        <f t="shared" si="106"/>
        <v>13</v>
      </c>
      <c r="LY53" s="17">
        <f t="shared" si="106"/>
        <v>14</v>
      </c>
      <c r="LZ53" s="17">
        <f t="shared" si="106"/>
        <v>15</v>
      </c>
      <c r="MA53" s="17">
        <f t="shared" si="106"/>
        <v>16</v>
      </c>
      <c r="MB53" s="17">
        <f t="shared" si="106"/>
        <v>17</v>
      </c>
      <c r="MC53" s="17">
        <f t="shared" si="106"/>
        <v>18</v>
      </c>
      <c r="MD53" s="17">
        <f t="shared" si="106"/>
        <v>19</v>
      </c>
      <c r="ME53" s="17">
        <f t="shared" si="106"/>
        <v>20</v>
      </c>
      <c r="MF53" s="17">
        <f t="shared" si="106"/>
        <v>21</v>
      </c>
      <c r="MG53" s="17">
        <f t="shared" si="106"/>
        <v>22</v>
      </c>
      <c r="MH53" s="17">
        <f t="shared" si="106"/>
        <v>23</v>
      </c>
      <c r="MI53" s="17">
        <f t="shared" si="106"/>
        <v>24</v>
      </c>
      <c r="MJ53" s="17">
        <f t="shared" si="106"/>
        <v>25</v>
      </c>
      <c r="MK53" s="17">
        <f t="shared" si="106"/>
        <v>26</v>
      </c>
      <c r="ML53" s="17">
        <f t="shared" si="106"/>
        <v>27</v>
      </c>
      <c r="MM53" s="17">
        <f t="shared" si="106"/>
        <v>28</v>
      </c>
      <c r="MN53" s="17">
        <f t="shared" si="106"/>
        <v>29</v>
      </c>
      <c r="MO53" s="17">
        <f t="shared" si="106"/>
        <v>30</v>
      </c>
      <c r="MP53" s="17">
        <f t="shared" si="106"/>
        <v>31</v>
      </c>
      <c r="MQ53" s="17">
        <f t="shared" si="106"/>
        <v>32</v>
      </c>
      <c r="MR53" s="17">
        <f t="shared" si="106"/>
        <v>33</v>
      </c>
      <c r="MS53" s="17">
        <f t="shared" si="106"/>
        <v>34</v>
      </c>
      <c r="MT53" s="17">
        <f t="shared" si="106"/>
        <v>35</v>
      </c>
      <c r="MU53" s="17">
        <f t="shared" si="106"/>
        <v>36</v>
      </c>
      <c r="MV53" s="17">
        <f t="shared" si="106"/>
        <v>37</v>
      </c>
      <c r="MW53" s="17">
        <f t="shared" si="106"/>
        <v>38</v>
      </c>
      <c r="MX53" s="17">
        <f t="shared" si="106"/>
        <v>39</v>
      </c>
      <c r="MY53" s="17">
        <f t="shared" si="106"/>
        <v>40</v>
      </c>
      <c r="MZ53" s="17">
        <f t="shared" si="106"/>
        <v>40</v>
      </c>
      <c r="NA53" s="17">
        <f t="shared" si="106"/>
        <v>40</v>
      </c>
      <c r="NB53" s="17">
        <f t="shared" si="106"/>
        <v>40</v>
      </c>
      <c r="NC53" s="17">
        <f t="shared" si="106"/>
        <v>40</v>
      </c>
      <c r="ND53" s="17">
        <f t="shared" si="106"/>
        <v>40</v>
      </c>
      <c r="NE53" s="17">
        <f t="shared" si="106"/>
        <v>40</v>
      </c>
      <c r="NF53" s="17">
        <f t="shared" si="106"/>
        <v>40</v>
      </c>
      <c r="NG53" s="17">
        <f t="shared" si="106"/>
        <v>40</v>
      </c>
      <c r="NH53" s="17">
        <f t="shared" si="106"/>
        <v>40</v>
      </c>
      <c r="NI53" s="17">
        <f t="shared" si="106"/>
        <v>40</v>
      </c>
      <c r="NJ53" s="17">
        <f t="shared" si="106"/>
        <v>40</v>
      </c>
      <c r="NK53" s="17">
        <f t="shared" si="106"/>
        <v>40</v>
      </c>
      <c r="NL53" s="17">
        <f t="shared" si="106"/>
        <v>40</v>
      </c>
      <c r="NM53" s="17">
        <f t="shared" si="106"/>
        <v>40</v>
      </c>
      <c r="NN53" s="17">
        <f t="shared" si="106"/>
        <v>40</v>
      </c>
      <c r="NO53" s="17">
        <f t="shared" si="106"/>
        <v>40</v>
      </c>
      <c r="NP53" s="17">
        <f t="shared" si="106"/>
        <v>40</v>
      </c>
      <c r="NQ53" s="17">
        <f t="shared" si="106"/>
        <v>40</v>
      </c>
      <c r="NR53" s="17">
        <f t="shared" si="106"/>
        <v>40</v>
      </c>
      <c r="NS53" s="17">
        <f t="shared" si="106"/>
        <v>40</v>
      </c>
      <c r="NT53" s="17">
        <f t="shared" si="106"/>
        <v>40</v>
      </c>
      <c r="NU53" s="17">
        <f t="shared" si="106"/>
        <v>40</v>
      </c>
      <c r="NV53" s="17">
        <f t="shared" si="106"/>
        <v>40</v>
      </c>
      <c r="NW53" s="17">
        <f t="shared" si="106"/>
        <v>40</v>
      </c>
      <c r="NX53" s="17">
        <f t="shared" ref="NX53:PG53" si="107">IF(NW53=$H53,NW53,NW53+1)</f>
        <v>40</v>
      </c>
      <c r="NY53" s="17">
        <f t="shared" si="107"/>
        <v>40</v>
      </c>
      <c r="NZ53" s="17">
        <f t="shared" si="107"/>
        <v>40</v>
      </c>
      <c r="OA53" s="17">
        <f t="shared" si="107"/>
        <v>40</v>
      </c>
      <c r="OB53" s="17">
        <f t="shared" si="107"/>
        <v>40</v>
      </c>
      <c r="OC53" s="17">
        <f t="shared" si="107"/>
        <v>40</v>
      </c>
      <c r="OD53" s="17">
        <f t="shared" si="107"/>
        <v>40</v>
      </c>
      <c r="OE53" s="17">
        <f t="shared" si="107"/>
        <v>40</v>
      </c>
      <c r="OF53" s="17">
        <f t="shared" si="107"/>
        <v>40</v>
      </c>
      <c r="OG53" s="17">
        <f t="shared" si="107"/>
        <v>40</v>
      </c>
      <c r="OH53" s="17">
        <f t="shared" si="107"/>
        <v>40</v>
      </c>
      <c r="OI53" s="17">
        <f t="shared" si="107"/>
        <v>40</v>
      </c>
      <c r="OJ53" s="17">
        <f t="shared" si="107"/>
        <v>40</v>
      </c>
      <c r="OK53" s="17">
        <f t="shared" si="107"/>
        <v>40</v>
      </c>
      <c r="OL53" s="17">
        <f t="shared" si="107"/>
        <v>40</v>
      </c>
      <c r="OM53" s="17">
        <f t="shared" si="107"/>
        <v>40</v>
      </c>
      <c r="ON53" s="17">
        <f t="shared" si="107"/>
        <v>40</v>
      </c>
      <c r="OO53" s="17">
        <f t="shared" si="107"/>
        <v>40</v>
      </c>
      <c r="OP53" s="17">
        <f t="shared" si="107"/>
        <v>40</v>
      </c>
      <c r="OQ53" s="17">
        <f t="shared" si="107"/>
        <v>40</v>
      </c>
      <c r="OR53" s="17">
        <f t="shared" si="107"/>
        <v>40</v>
      </c>
      <c r="OS53" s="17">
        <f t="shared" si="107"/>
        <v>40</v>
      </c>
      <c r="OT53" s="17">
        <f t="shared" si="107"/>
        <v>40</v>
      </c>
      <c r="OU53" s="17">
        <f t="shared" si="107"/>
        <v>40</v>
      </c>
      <c r="OV53" s="17">
        <f t="shared" si="107"/>
        <v>40</v>
      </c>
      <c r="OW53" s="17">
        <f t="shared" si="107"/>
        <v>40</v>
      </c>
      <c r="OX53" s="17">
        <f t="shared" si="107"/>
        <v>40</v>
      </c>
      <c r="OY53" s="17">
        <f t="shared" si="107"/>
        <v>40</v>
      </c>
      <c r="OZ53" s="17">
        <f t="shared" si="107"/>
        <v>40</v>
      </c>
      <c r="PA53" s="17">
        <f t="shared" si="107"/>
        <v>40</v>
      </c>
      <c r="PB53" s="17">
        <f t="shared" si="107"/>
        <v>40</v>
      </c>
      <c r="PC53" s="17">
        <f t="shared" si="107"/>
        <v>40</v>
      </c>
      <c r="PD53" s="17">
        <f t="shared" si="107"/>
        <v>40</v>
      </c>
      <c r="PE53" s="17">
        <f t="shared" si="107"/>
        <v>40</v>
      </c>
      <c r="PF53" s="17">
        <f t="shared" si="107"/>
        <v>40</v>
      </c>
      <c r="PG53" s="17">
        <f t="shared" si="107"/>
        <v>40</v>
      </c>
    </row>
    <row r="54" spans="1:423" x14ac:dyDescent="0.25">
      <c r="A54" s="8" t="s">
        <v>5507</v>
      </c>
      <c r="B54" s="9" t="s">
        <v>5504</v>
      </c>
      <c r="C54" s="9" t="str">
        <f t="shared" si="72"/>
        <v>BR2</v>
      </c>
      <c r="D54" s="1" t="str">
        <f t="shared" si="73"/>
        <v>Bande R2</v>
      </c>
      <c r="E54" s="1" t="s">
        <v>15</v>
      </c>
      <c r="F54" s="9" t="s">
        <v>5508</v>
      </c>
      <c r="G54" s="9">
        <v>30</v>
      </c>
      <c r="H54" s="9">
        <v>40</v>
      </c>
      <c r="I54" s="127">
        <v>2.8</v>
      </c>
      <c r="J54" s="30"/>
      <c r="K54" s="281"/>
      <c r="L54" s="8">
        <v>0</v>
      </c>
      <c r="M54" s="9">
        <v>0</v>
      </c>
      <c r="N54" s="10">
        <v>0.999</v>
      </c>
      <c r="O54" s="269"/>
      <c r="P54" s="331"/>
      <c r="Q54" s="335"/>
      <c r="R54" s="128">
        <v>1</v>
      </c>
      <c r="S54" s="9">
        <v>1</v>
      </c>
      <c r="T54" s="10">
        <v>2</v>
      </c>
      <c r="U54" t="s">
        <v>5523</v>
      </c>
      <c r="V54" s="17">
        <v>0</v>
      </c>
      <c r="W54" s="17">
        <f>IF(Distances[[#This Row],[Colonne4]]=$G54,V54,Distances[[#This Row],[Colonne4]]+1)</f>
        <v>1</v>
      </c>
      <c r="X54" s="17">
        <f>IF(Distances[[#This Row],[Colonne5]]=$G54,W54,Distances[[#This Row],[Colonne5]]+1)</f>
        <v>2</v>
      </c>
      <c r="Y54" s="17">
        <f>IF(Distances[[#This Row],[Colonne6]]=$G54,X54,Distances[[#This Row],[Colonne6]]+1)</f>
        <v>3</v>
      </c>
      <c r="Z54" s="17">
        <f>IF(Distances[[#This Row],[Colonne7]]=$G54,Y54,Distances[[#This Row],[Colonne7]]+1)</f>
        <v>4</v>
      </c>
      <c r="AA54" s="17">
        <f>IF(Distances[[#This Row],[Colonne8]]=$G54,Z54,Distances[[#This Row],[Colonne8]]+1)</f>
        <v>5</v>
      </c>
      <c r="AB54" s="17">
        <f>IF(Distances[[#This Row],[Colonne9]]=$G54,AA54,Distances[[#This Row],[Colonne9]]+1)</f>
        <v>6</v>
      </c>
      <c r="AC54" s="17">
        <f>IF(Distances[[#This Row],[Colonne10]]=$G54,AB54,Distances[[#This Row],[Colonne10]]+1)</f>
        <v>7</v>
      </c>
      <c r="AD54" s="17">
        <f>IF(Distances[[#This Row],[Colonne11]]=$G54,AC54,Distances[[#This Row],[Colonne11]]+1)</f>
        <v>8</v>
      </c>
      <c r="AE54" s="17">
        <f>IF(Distances[[#This Row],[Colonne12]]=$G54,AD54,Distances[[#This Row],[Colonne12]]+1)</f>
        <v>9</v>
      </c>
      <c r="AF54" s="17">
        <f>IF(Distances[[#This Row],[Colonne13]]=$G54,AE54,Distances[[#This Row],[Colonne13]]+1)</f>
        <v>10</v>
      </c>
      <c r="AG54" s="17">
        <f>IF(Distances[[#This Row],[Colonne14]]=$G54,AF54,Distances[[#This Row],[Colonne14]]+1)</f>
        <v>11</v>
      </c>
      <c r="AH54" s="17">
        <f>IF(Distances[[#This Row],[Colonne15]]=$G54,AG54,Distances[[#This Row],[Colonne15]]+1)</f>
        <v>12</v>
      </c>
      <c r="AI54" s="17">
        <f>IF(Distances[[#This Row],[Colonne16]]=$G54,AH54,Distances[[#This Row],[Colonne16]]+1)</f>
        <v>13</v>
      </c>
      <c r="AJ54" s="17">
        <f>IF(Distances[[#This Row],[Colonne17]]=$G54,AI54,Distances[[#This Row],[Colonne17]]+1)</f>
        <v>14</v>
      </c>
      <c r="AK54" s="17">
        <f>IF(Distances[[#This Row],[Colonne18]]=$G54,AJ54,Distances[[#This Row],[Colonne18]]+1)</f>
        <v>15</v>
      </c>
      <c r="AL54" s="17">
        <f>IF(Distances[[#This Row],[Colonne19]]=$G54,AK54,Distances[[#This Row],[Colonne19]]+1)</f>
        <v>16</v>
      </c>
      <c r="AM54" s="17">
        <f>IF(Distances[[#This Row],[Colonne20]]=$G54,AL54,Distances[[#This Row],[Colonne20]]+1)</f>
        <v>17</v>
      </c>
      <c r="AN54" s="17">
        <f>IF(Distances[[#This Row],[Colonne21]]=$G54,AM54,Distances[[#This Row],[Colonne21]]+1)</f>
        <v>18</v>
      </c>
      <c r="AO54" s="17">
        <f>IF(Distances[[#This Row],[Colonne22]]=$G54,AN54,Distances[[#This Row],[Colonne22]]+1)</f>
        <v>19</v>
      </c>
      <c r="AP54" s="17">
        <f>IF(Distances[[#This Row],[Colonne23]]=$G54,AO54,Distances[[#This Row],[Colonne23]]+1)</f>
        <v>20</v>
      </c>
      <c r="AQ54" s="17">
        <f>IF(Distances[[#This Row],[Colonne24]]=$G54,AP54,Distances[[#This Row],[Colonne24]]+1)</f>
        <v>21</v>
      </c>
      <c r="AR54" s="17">
        <f>IF(Distances[[#This Row],[Colonne25]]=$G54,AQ54,Distances[[#This Row],[Colonne25]]+1)</f>
        <v>22</v>
      </c>
      <c r="AS54" s="17">
        <f>IF(Distances[[#This Row],[Colonne26]]=$G54,AR54,Distances[[#This Row],[Colonne26]]+1)</f>
        <v>23</v>
      </c>
      <c r="AT54" s="17">
        <f>IF(Distances[[#This Row],[Colonne27]]=$G54,AS54,Distances[[#This Row],[Colonne27]]+1)</f>
        <v>24</v>
      </c>
      <c r="AU54" s="17">
        <f>IF(Distances[[#This Row],[Colonne28]]=$G54,AT54,Distances[[#This Row],[Colonne28]]+1)</f>
        <v>25</v>
      </c>
      <c r="AV54" s="17">
        <f>IF(Distances[[#This Row],[Colonne29]]=$G54,AU54,Distances[[#This Row],[Colonne29]]+1)</f>
        <v>26</v>
      </c>
      <c r="AW54" s="17">
        <f>IF(Distances[[#This Row],[Colonne30]]=$G54,AV54,Distances[[#This Row],[Colonne30]]+1)</f>
        <v>27</v>
      </c>
      <c r="AX54" s="17">
        <f>IF(Distances[[#This Row],[Colonne31]]=$G54,AW54,Distances[[#This Row],[Colonne31]]+1)</f>
        <v>28</v>
      </c>
      <c r="AY54" s="17">
        <f>IF(Distances[[#This Row],[Colonne32]]=$G54,AX54,Distances[[#This Row],[Colonne32]]+1)</f>
        <v>29</v>
      </c>
      <c r="AZ54" s="17">
        <f>IF(Distances[[#This Row],[Colonne33]]=$G54,AY54,Distances[[#This Row],[Colonne33]]+1)</f>
        <v>30</v>
      </c>
      <c r="BA54" s="17">
        <f>IF(Distances[[#This Row],[Colonne34]]=$G54,AZ54,Distances[[#This Row],[Colonne34]]+1)</f>
        <v>30</v>
      </c>
      <c r="BB54" s="17">
        <f>IF(Distances[[#This Row],[Colonne35]]=$G54,BA54,Distances[[#This Row],[Colonne35]]+1)</f>
        <v>30</v>
      </c>
      <c r="BC54" s="17">
        <f>IF(Distances[[#This Row],[Colonne36]]=$G54,BB54,Distances[[#This Row],[Colonne36]]+1)</f>
        <v>30</v>
      </c>
      <c r="BD54" s="17">
        <f>IF(Distances[[#This Row],[Colonne37]]=$G54,BC54,Distances[[#This Row],[Colonne37]]+1)</f>
        <v>30</v>
      </c>
      <c r="BE54" s="17">
        <f>IF(Distances[[#This Row],[Colonne38]]=$G54,BD54,Distances[[#This Row],[Colonne38]]+1)</f>
        <v>30</v>
      </c>
      <c r="BF54" s="17">
        <f>IF(Distances[[#This Row],[Colonne39]]=$G54,BE54,Distances[[#This Row],[Colonne39]]+1)</f>
        <v>30</v>
      </c>
      <c r="BG54" s="17">
        <f>IF(Distances[[#This Row],[Colonne40]]=$G54,BF54,Distances[[#This Row],[Colonne40]]+1)</f>
        <v>30</v>
      </c>
      <c r="BH54" s="17">
        <f>IF(Distances[[#This Row],[Colonne41]]=$G54,BG54,Distances[[#This Row],[Colonne41]]+1)</f>
        <v>30</v>
      </c>
      <c r="BI54" s="17">
        <f>IF(Distances[[#This Row],[Colonne42]]=$G54,BH54,Distances[[#This Row],[Colonne42]]+1)</f>
        <v>30</v>
      </c>
      <c r="BJ54" s="17">
        <f>IF(Distances[[#This Row],[Colonne43]]=$G54,BI54,Distances[[#This Row],[Colonne43]]+1)</f>
        <v>30</v>
      </c>
      <c r="BK54" s="17">
        <f>IF(Distances[[#This Row],[Colonne44]]=$G54,BJ54,Distances[[#This Row],[Colonne44]]+1)</f>
        <v>30</v>
      </c>
      <c r="BL54" s="17">
        <f>IF(Distances[[#This Row],[Colonne45]]=$G54,BK54,Distances[[#This Row],[Colonne45]]+1)</f>
        <v>30</v>
      </c>
      <c r="BM54" s="17">
        <f>IF(Distances[[#This Row],[Colonne46]]=$G54,BL54,Distances[[#This Row],[Colonne46]]+1)</f>
        <v>30</v>
      </c>
      <c r="BN54" s="17">
        <f>IF(Distances[[#This Row],[Colonne47]]=$G54,BM54,Distances[[#This Row],[Colonne47]]+1)</f>
        <v>30</v>
      </c>
      <c r="BO54" s="17">
        <f>IF(Distances[[#This Row],[Colonne48]]=$G54,BN54,Distances[[#This Row],[Colonne48]]+1)</f>
        <v>30</v>
      </c>
      <c r="BP54" s="17">
        <f>IF(Distances[[#This Row],[Colonne49]]=$G54,BO54,Distances[[#This Row],[Colonne49]]+1)</f>
        <v>30</v>
      </c>
      <c r="BQ54" s="17">
        <f>IF(Distances[[#This Row],[Colonne50]]=$G54,BP54,Distances[[#This Row],[Colonne50]]+1)</f>
        <v>30</v>
      </c>
      <c r="BR54" s="17">
        <f>IF(Distances[[#This Row],[Colonne51]]=$G54,BQ54,Distances[[#This Row],[Colonne51]]+1)</f>
        <v>30</v>
      </c>
      <c r="BS54" s="17">
        <f>IF(Distances[[#This Row],[Colonne52]]=$G54,BR54,Distances[[#This Row],[Colonne52]]+1)</f>
        <v>30</v>
      </c>
      <c r="BT54" s="17">
        <f>IF(Distances[[#This Row],[Colonne53]]=$G54,BS54,Distances[[#This Row],[Colonne53]]+1)</f>
        <v>30</v>
      </c>
      <c r="BU54" s="17">
        <f>IF(Distances[[#This Row],[Colonne54]]=$G54,BT54,Distances[[#This Row],[Colonne54]]+1)</f>
        <v>30</v>
      </c>
      <c r="BV54" s="17">
        <f>IF(Distances[[#This Row],[Colonne55]]=$G54,BU54,Distances[[#This Row],[Colonne55]]+1)</f>
        <v>30</v>
      </c>
      <c r="BW54" s="17">
        <f>IF(Distances[[#This Row],[Colonne56]]=$G54,BV54,Distances[[#This Row],[Colonne56]]+1)</f>
        <v>30</v>
      </c>
      <c r="BX54" s="17">
        <f>IF(Distances[[#This Row],[Colonne57]]=$G54,BW54,Distances[[#This Row],[Colonne57]]+1)</f>
        <v>30</v>
      </c>
      <c r="BY54" s="17">
        <f>IF(Distances[[#This Row],[Colonne58]]=$G54,BX54,Distances[[#This Row],[Colonne58]]+1)</f>
        <v>30</v>
      </c>
      <c r="BZ54" s="17">
        <f>IF(Distances[[#This Row],[Colonne59]]=$G54,BY54,Distances[[#This Row],[Colonne59]]+1)</f>
        <v>30</v>
      </c>
      <c r="CA54" s="17">
        <f>IF(Distances[[#This Row],[Colonne60]]=$G54,BZ54,Distances[[#This Row],[Colonne60]]+1)</f>
        <v>30</v>
      </c>
      <c r="CB54" s="17">
        <f>IF(Distances[[#This Row],[Colonne61]]=$G54,CA54,Distances[[#This Row],[Colonne61]]+1)</f>
        <v>30</v>
      </c>
      <c r="CC54" s="17">
        <f>IF(Distances[[#This Row],[Colonne62]]=$G54,CB54,Distances[[#This Row],[Colonne62]]+1)</f>
        <v>30</v>
      </c>
      <c r="CD54" s="17">
        <f>IF(Distances[[#This Row],[Colonne63]]=$G54,CC54,Distances[[#This Row],[Colonne63]]+1)</f>
        <v>30</v>
      </c>
      <c r="CE54" s="17">
        <f>IF(Distances[[#This Row],[Colonne64]]=$G54,CD54,Distances[[#This Row],[Colonne64]]+1)</f>
        <v>30</v>
      </c>
      <c r="CF54" s="17">
        <f>IF(Distances[[#This Row],[Colonne65]]=$G54,CE54,Distances[[#This Row],[Colonne65]]+1)</f>
        <v>30</v>
      </c>
      <c r="CG54" s="17">
        <f>IF(Distances[[#This Row],[Colonne66]]=$G54,CF54,Distances[[#This Row],[Colonne66]]+1)</f>
        <v>30</v>
      </c>
      <c r="CH54" s="17">
        <f>IF(Distances[[#This Row],[Colonne67]]=$G54,CG54,Distances[[#This Row],[Colonne67]]+1)</f>
        <v>30</v>
      </c>
      <c r="CI54" s="17">
        <f>IF(Distances[[#This Row],[Colonne68]]=$G54,CH54,Distances[[#This Row],[Colonne68]]+1)</f>
        <v>30</v>
      </c>
      <c r="CJ54" s="17">
        <f>IF(Distances[[#This Row],[Colonne69]]=$G54,CI54,Distances[[#This Row],[Colonne69]]+1)</f>
        <v>30</v>
      </c>
      <c r="CK54" s="17">
        <f>IF(Distances[[#This Row],[Colonne70]]=$G54,CJ54,Distances[[#This Row],[Colonne70]]+1)</f>
        <v>30</v>
      </c>
      <c r="CL54" s="17">
        <f>IF(Distances[[#This Row],[Colonne71]]=$G54,CK54,Distances[[#This Row],[Colonne71]]+1)</f>
        <v>30</v>
      </c>
      <c r="CM54" s="17">
        <f>IF(Distances[[#This Row],[Colonne72]]=$G54,CL54,Distances[[#This Row],[Colonne72]]+1)</f>
        <v>30</v>
      </c>
      <c r="CN54" s="17">
        <f>IF(Distances[[#This Row],[Colonne73]]=$G54,CM54,Distances[[#This Row],[Colonne73]]+1)</f>
        <v>30</v>
      </c>
      <c r="CO54" s="17">
        <f>IF(Distances[[#This Row],[Colonne74]]=$G54,CN54,Distances[[#This Row],[Colonne74]]+1)</f>
        <v>30</v>
      </c>
      <c r="CP54" s="17">
        <f>IF(Distances[[#This Row],[Colonne75]]=$G54,CO54,Distances[[#This Row],[Colonne75]]+1)</f>
        <v>30</v>
      </c>
      <c r="CQ54" s="17">
        <f>IF(Distances[[#This Row],[Colonne76]]=$G54,CP54,Distances[[#This Row],[Colonne76]]+1)</f>
        <v>30</v>
      </c>
      <c r="CR54" s="17">
        <f>IF(Distances[[#This Row],[Colonne77]]=$G54,CQ54,Distances[[#This Row],[Colonne77]]+1)</f>
        <v>30</v>
      </c>
      <c r="CS54" s="17">
        <f>IF(Distances[[#This Row],[Colonne78]]=$G54,CR54,Distances[[#This Row],[Colonne78]]+1)</f>
        <v>30</v>
      </c>
      <c r="CT54" s="17">
        <f>IF(Distances[[#This Row],[Colonne79]]=$G54,CS54,Distances[[#This Row],[Colonne79]]+1)</f>
        <v>30</v>
      </c>
      <c r="CU54" s="17">
        <f>IF(Distances[[#This Row],[Colonne80]]=$G54,CT54,Distances[[#This Row],[Colonne80]]+1)</f>
        <v>30</v>
      </c>
      <c r="CV54" s="17">
        <f>IF(Distances[[#This Row],[Colonne81]]=$G54,CU54,Distances[[#This Row],[Colonne81]]+1)</f>
        <v>30</v>
      </c>
      <c r="CW54" s="17">
        <f>IF(Distances[[#This Row],[Colonne82]]=$G54,CV54,Distances[[#This Row],[Colonne82]]+1)</f>
        <v>30</v>
      </c>
      <c r="CX54" s="17">
        <f>IF(Distances[[#This Row],[Colonne83]]=$G54,CW54,Distances[[#This Row],[Colonne83]]+1)</f>
        <v>30</v>
      </c>
      <c r="CY54" s="17">
        <f>IF(Distances[[#This Row],[Colonne84]]=$G54,CX54,Distances[[#This Row],[Colonne84]]+1)</f>
        <v>30</v>
      </c>
      <c r="CZ54" s="17">
        <f>IF(Distances[[#This Row],[Colonne85]]=$G54,CY54,Distances[[#This Row],[Colonne85]]+1)</f>
        <v>30</v>
      </c>
      <c r="DA54" s="17">
        <f>IF(Distances[[#This Row],[Colonne86]]=$G54,CZ54,Distances[[#This Row],[Colonne86]]+1)</f>
        <v>30</v>
      </c>
      <c r="DB54" s="17">
        <f>IF(Distances[[#This Row],[Colonne87]]=$G54,DA54,Distances[[#This Row],[Colonne87]]+1)</f>
        <v>30</v>
      </c>
      <c r="DC54" s="17">
        <f>IF(Distances[[#This Row],[Colonne88]]=$G54,DB54,Distances[[#This Row],[Colonne88]]+1)</f>
        <v>30</v>
      </c>
      <c r="DD54" s="17">
        <f>IF(Distances[[#This Row],[Colonne89]]=$G54,DC54,Distances[[#This Row],[Colonne89]]+1)</f>
        <v>30</v>
      </c>
      <c r="DE54" s="17">
        <f>IF(Distances[[#This Row],[Colonne90]]=$G54,DD54,Distances[[#This Row],[Colonne90]]+1)</f>
        <v>30</v>
      </c>
      <c r="DF54" s="17">
        <f>IF(Distances[[#This Row],[Colonne91]]=$G54,DE54,Distances[[#This Row],[Colonne91]]+1)</f>
        <v>30</v>
      </c>
      <c r="DG54" s="17">
        <f>IF(Distances[[#This Row],[Colonne92]]=$G54,DF54,Distances[[#This Row],[Colonne92]]+1)</f>
        <v>30</v>
      </c>
      <c r="DH54" s="17">
        <f>IF(Distances[[#This Row],[Colonne93]]=$G54,DG54,Distances[[#This Row],[Colonne93]]+1)</f>
        <v>30</v>
      </c>
      <c r="DI54" s="17">
        <f>IF(Distances[[#This Row],[Colonne94]]=$G54,DH54,Distances[[#This Row],[Colonne94]]+1)</f>
        <v>30</v>
      </c>
      <c r="DJ54" s="17">
        <f>IF(Distances[[#This Row],[Colonne95]]=$G54,DI54,Distances[[#This Row],[Colonne95]]+1)</f>
        <v>30</v>
      </c>
      <c r="DK54" s="17">
        <f>IF(Distances[[#This Row],[Colonne96]]=$G54,DJ54,Distances[[#This Row],[Colonne96]]+1)</f>
        <v>30</v>
      </c>
      <c r="DL54" s="17">
        <f>IF(Distances[[#This Row],[Colonne97]]=$G54,DK54,Distances[[#This Row],[Colonne97]]+1)</f>
        <v>30</v>
      </c>
      <c r="DM54" s="17">
        <f>IF(Distances[[#This Row],[Colonne98]]=$G54,DL54,Distances[[#This Row],[Colonne98]]+1)</f>
        <v>30</v>
      </c>
      <c r="DN54" s="17">
        <f>IF(Distances[[#This Row],[Colonne99]]=$G54,DM54,Distances[[#This Row],[Colonne99]]+1)</f>
        <v>30</v>
      </c>
      <c r="DO54" s="17">
        <f>IF(Distances[[#This Row],[Colonne100]]=$G54,DN54,Distances[[#This Row],[Colonne100]]+1)</f>
        <v>30</v>
      </c>
      <c r="DP54" s="17">
        <f>IF(Distances[[#This Row],[Colonne101]]=$G54,DO54,Distances[[#This Row],[Colonne101]]+1)</f>
        <v>30</v>
      </c>
      <c r="DQ54" s="17">
        <f>IF(Distances[[#This Row],[Colonne102]]=$G54,DP54,Distances[[#This Row],[Colonne102]]+1)</f>
        <v>30</v>
      </c>
      <c r="DR54" s="17">
        <f>IF(Distances[[#This Row],[Colonne103]]=$G54,DQ54,Distances[[#This Row],[Colonne103]]+1)</f>
        <v>30</v>
      </c>
      <c r="DS54" s="17">
        <f>IF(Distances[[#This Row],[Colonne104]]=$G54,DR54,Distances[[#This Row],[Colonne104]]+1)</f>
        <v>30</v>
      </c>
      <c r="DT54" s="17">
        <f>IF(Distances[[#This Row],[Colonne105]]=$G54,DS54,Distances[[#This Row],[Colonne105]]+1)</f>
        <v>30</v>
      </c>
      <c r="DU54" s="17">
        <f>IF(Distances[[#This Row],[Colonne106]]=$G54,DT54,Distances[[#This Row],[Colonne106]]+1)</f>
        <v>30</v>
      </c>
      <c r="DV54" s="17">
        <f>IF(Distances[[#This Row],[Colonne107]]=$G54,DU54,Distances[[#This Row],[Colonne107]]+1)</f>
        <v>30</v>
      </c>
      <c r="DW54" s="17">
        <f>IF(Distances[[#This Row],[Colonne108]]=$G54,DV54,Distances[[#This Row],[Colonne108]]+1)</f>
        <v>30</v>
      </c>
      <c r="DX54" s="17">
        <f>IF(Distances[[#This Row],[Colonne109]]=$G54,DW54,Distances[[#This Row],[Colonne109]]+1)</f>
        <v>30</v>
      </c>
      <c r="DY54" s="17">
        <f>IF(Distances[[#This Row],[Colonne110]]=$G54,DX54,Distances[[#This Row],[Colonne110]]+1)</f>
        <v>30</v>
      </c>
      <c r="DZ54" s="17">
        <f>IF(Distances[[#This Row],[Colonne111]]=$G54,DY54,Distances[[#This Row],[Colonne111]]+1)</f>
        <v>30</v>
      </c>
      <c r="EA54" s="17">
        <f>IF(Distances[[#This Row],[Colonne112]]=$G54,DZ54,Distances[[#This Row],[Colonne112]]+1)</f>
        <v>30</v>
      </c>
      <c r="EB54" s="17">
        <f>IF(Distances[[#This Row],[Colonne113]]=$G54,EA54,Distances[[#This Row],[Colonne113]]+1)</f>
        <v>30</v>
      </c>
      <c r="EC54" s="17">
        <f>IF(Distances[[#This Row],[Colonne114]]=$G54,EB54,Distances[[#This Row],[Colonne114]]+1)</f>
        <v>30</v>
      </c>
      <c r="ED54" s="17">
        <f>IF(Distances[[#This Row],[Colonne115]]=$G54,EC54,Distances[[#This Row],[Colonne115]]+1)</f>
        <v>30</v>
      </c>
      <c r="EE54" s="17">
        <f>IF(Distances[[#This Row],[Colonne116]]=$G54,ED54,Distances[[#This Row],[Colonne116]]+1)</f>
        <v>30</v>
      </c>
      <c r="EF54" s="17">
        <f>IF(Distances[[#This Row],[Colonne117]]=$G54,EE54,Distances[[#This Row],[Colonne117]]+1)</f>
        <v>30</v>
      </c>
      <c r="EG54" s="17">
        <f>IF(Distances[[#This Row],[Colonne118]]=$G54,EF54,Distances[[#This Row],[Colonne118]]+1)</f>
        <v>30</v>
      </c>
      <c r="EH54" s="17">
        <f>IF(Distances[[#This Row],[Colonne119]]=$G54,EG54,Distances[[#This Row],[Colonne119]]+1)</f>
        <v>30</v>
      </c>
      <c r="EI54" s="17">
        <f>IF(Distances[[#This Row],[Colonne120]]=$G54,EH54,Distances[[#This Row],[Colonne120]]+1)</f>
        <v>30</v>
      </c>
      <c r="EJ54" s="17">
        <f>IF(Distances[[#This Row],[Colonne121]]=$G54,EI54,Distances[[#This Row],[Colonne121]]+1)</f>
        <v>30</v>
      </c>
      <c r="EK54" s="17">
        <f>IF(Distances[[#This Row],[Colonne122]]=$G54,EJ54,Distances[[#This Row],[Colonne122]]+1)</f>
        <v>30</v>
      </c>
      <c r="EL54" s="17">
        <f>IF(Distances[[#This Row],[Colonne123]]=$G54,EK54,Distances[[#This Row],[Colonne123]]+1)</f>
        <v>30</v>
      </c>
      <c r="EM54" s="17">
        <f>IF(Distances[[#This Row],[Colonne124]]=$G54,EL54,Distances[[#This Row],[Colonne124]]+1)</f>
        <v>30</v>
      </c>
      <c r="EN54" s="17">
        <f>IF(Distances[[#This Row],[Colonne125]]=$G54,EM54,Distances[[#This Row],[Colonne125]]+1)</f>
        <v>30</v>
      </c>
      <c r="EO54" s="17">
        <f>IF(Distances[[#This Row],[Colonne126]]=$G54,EN54,Distances[[#This Row],[Colonne126]]+1)</f>
        <v>30</v>
      </c>
      <c r="EP54" s="17">
        <f>IF(Distances[[#This Row],[Colonne127]]=$G54,EO54,Distances[[#This Row],[Colonne127]]+1)</f>
        <v>30</v>
      </c>
      <c r="EQ54" s="17">
        <f>IF(Distances[[#This Row],[Colonne128]]=$G54,EP54,Distances[[#This Row],[Colonne128]]+1)</f>
        <v>30</v>
      </c>
      <c r="ER54" s="17">
        <f>IF(Distances[[#This Row],[Colonne129]]=$G54,EQ54,Distances[[#This Row],[Colonne129]]+1)</f>
        <v>30</v>
      </c>
      <c r="ES54" s="17">
        <f>IF(Distances[[#This Row],[Colonne130]]=$G54,ER54,Distances[[#This Row],[Colonne130]]+1)</f>
        <v>30</v>
      </c>
      <c r="ET54" s="17">
        <f>IF(Distances[[#This Row],[Colonne131]]=$G54,ES54,Distances[[#This Row],[Colonne131]]+1)</f>
        <v>30</v>
      </c>
      <c r="EU54" s="17">
        <f>IF(Distances[[#This Row],[Colonne132]]=$G54,ET54,Distances[[#This Row],[Colonne132]]+1)</f>
        <v>30</v>
      </c>
      <c r="EV54" s="17">
        <f>IF(Distances[[#This Row],[Colonne133]]=$G54,EU54,Distances[[#This Row],[Colonne133]]+1)</f>
        <v>30</v>
      </c>
      <c r="EW54" s="17">
        <f>IF(Distances[[#This Row],[Colonne134]]=$G54,EV54,Distances[[#This Row],[Colonne134]]+1)</f>
        <v>30</v>
      </c>
      <c r="EX54" s="17">
        <f>IF(Distances[[#This Row],[Colonne135]]=$G54,EW54,Distances[[#This Row],[Colonne135]]+1)</f>
        <v>30</v>
      </c>
      <c r="EY54" s="17">
        <f>IF(Distances[[#This Row],[Colonne136]]=$G54,EX54,Distances[[#This Row],[Colonne136]]+1)</f>
        <v>30</v>
      </c>
      <c r="EZ54" s="17">
        <f>IF(Distances[[#This Row],[Colonne137]]=$G54,EY54,Distances[[#This Row],[Colonne137]]+1)</f>
        <v>30</v>
      </c>
      <c r="FA54" s="17">
        <f>IF(Distances[[#This Row],[Colonne138]]=$G54,EZ54,Distances[[#This Row],[Colonne138]]+1)</f>
        <v>30</v>
      </c>
      <c r="FB54" s="17">
        <f>IF(Distances[[#This Row],[Colonne139]]=$G54,FA54,Distances[[#This Row],[Colonne139]]+1)</f>
        <v>30</v>
      </c>
      <c r="FC54" s="17">
        <f>IF(Distances[[#This Row],[Colonne140]]=$G54,FB54,Distances[[#This Row],[Colonne140]]+1)</f>
        <v>30</v>
      </c>
      <c r="FD54" s="17">
        <f>IF(Distances[[#This Row],[Colonne141]]=$G54,FC54,Distances[[#This Row],[Colonne141]]+1)</f>
        <v>30</v>
      </c>
      <c r="FE54" s="17">
        <f>IF(Distances[[#This Row],[Colonne142]]=$G54,FD54,Distances[[#This Row],[Colonne142]]+1)</f>
        <v>30</v>
      </c>
      <c r="FF54" s="17">
        <f>IF(Distances[[#This Row],[Colonne143]]=$G54,FE54,Distances[[#This Row],[Colonne143]]+1)</f>
        <v>30</v>
      </c>
      <c r="FG54" s="17">
        <f>IF(Distances[[#This Row],[Colonne144]]=$G54,FF54,Distances[[#This Row],[Colonne144]]+1)</f>
        <v>30</v>
      </c>
      <c r="FH54" s="17">
        <f>IF(Distances[[#This Row],[Colonne145]]=$G54,FG54,Distances[[#This Row],[Colonne145]]+1)</f>
        <v>30</v>
      </c>
      <c r="FI54" s="17">
        <f>IF(Distances[[#This Row],[Colonne146]]=$G54,FH54,Distances[[#This Row],[Colonne146]]+1)</f>
        <v>30</v>
      </c>
      <c r="FJ54" s="17">
        <f>IF(Distances[[#This Row],[Colonne147]]=$G54,FI54,Distances[[#This Row],[Colonne147]]+1)</f>
        <v>30</v>
      </c>
      <c r="FK54" s="17">
        <f>IF(Distances[[#This Row],[Colonne148]]=$G54,FJ54,Distances[[#This Row],[Colonne148]]+1)</f>
        <v>30</v>
      </c>
      <c r="FL54" s="17">
        <f>IF(Distances[[#This Row],[Colonne149]]=$G54,FK54,Distances[[#This Row],[Colonne149]]+1)</f>
        <v>30</v>
      </c>
      <c r="FM54" s="17">
        <f>IF(Distances[[#This Row],[Colonne150]]=$G54,FL54,Distances[[#This Row],[Colonne150]]+1)</f>
        <v>30</v>
      </c>
      <c r="FN54" s="17">
        <f>IF(Distances[[#This Row],[Colonne151]]=$G54,FM54,Distances[[#This Row],[Colonne151]]+1)</f>
        <v>30</v>
      </c>
      <c r="FO54" s="17">
        <f>IF(Distances[[#This Row],[Colonne152]]=$G54,FN54,Distances[[#This Row],[Colonne152]]+1)</f>
        <v>30</v>
      </c>
      <c r="FP54" s="17">
        <f>IF(Distances[[#This Row],[Colonne153]]=$G54,FO54,Distances[[#This Row],[Colonne153]]+1)</f>
        <v>30</v>
      </c>
      <c r="FQ54" s="17">
        <f>IF(Distances[[#This Row],[Colonne154]]=$G54,FP54,Distances[[#This Row],[Colonne154]]+1)</f>
        <v>30</v>
      </c>
      <c r="FR54" s="17">
        <f>IF(Distances[[#This Row],[Colonne155]]=$G54,FQ54,Distances[[#This Row],[Colonne155]]+1)</f>
        <v>30</v>
      </c>
      <c r="FS54" s="17">
        <f>IF(Distances[[#This Row],[Colonne156]]=$G54,FR54,Distances[[#This Row],[Colonne156]]+1)</f>
        <v>30</v>
      </c>
      <c r="FT54" s="17">
        <f>IF(Distances[[#This Row],[Colonne157]]=$G54,FS54,Distances[[#This Row],[Colonne157]]+1)</f>
        <v>30</v>
      </c>
      <c r="FU54" s="17">
        <f>IF(Distances[[#This Row],[Colonne158]]=$G54,FT54,Distances[[#This Row],[Colonne158]]+1)</f>
        <v>30</v>
      </c>
      <c r="FV54" s="17">
        <f>IF(Distances[[#This Row],[Colonne159]]=$G54,FU54,Distances[[#This Row],[Colonne159]]+1)</f>
        <v>30</v>
      </c>
      <c r="FW54" s="17">
        <f>IF(Distances[[#This Row],[Colonne160]]=$G54,FV54,Distances[[#This Row],[Colonne160]]+1)</f>
        <v>30</v>
      </c>
      <c r="FX54" s="17">
        <f>IF(Distances[[#This Row],[Colonne161]]=$G54,FW54,Distances[[#This Row],[Colonne161]]+1)</f>
        <v>30</v>
      </c>
      <c r="FY54" s="17">
        <f>IF(Distances[[#This Row],[Colonne162]]=$G54,FX54,Distances[[#This Row],[Colonne162]]+1)</f>
        <v>30</v>
      </c>
      <c r="FZ54" s="17">
        <f>IF(Distances[[#This Row],[Colonne163]]=$G54,FY54,Distances[[#This Row],[Colonne163]]+1)</f>
        <v>30</v>
      </c>
      <c r="GA54" s="17">
        <f>IF(Distances[[#This Row],[Colonne164]]=$G54,FZ54,Distances[[#This Row],[Colonne164]]+1)</f>
        <v>30</v>
      </c>
      <c r="GB54" s="17">
        <f>IF(Distances[[#This Row],[Colonne165]]=$G54,GA54,Distances[[#This Row],[Colonne165]]+1)</f>
        <v>30</v>
      </c>
      <c r="GC54" s="17">
        <f>IF(Distances[[#This Row],[Colonne166]]=$G54,GB54,Distances[[#This Row],[Colonne166]]+1)</f>
        <v>30</v>
      </c>
      <c r="GD54" s="17">
        <f>IF(Distances[[#This Row],[Colonne167]]=$G54,GC54,Distances[[#This Row],[Colonne167]]+1)</f>
        <v>30</v>
      </c>
      <c r="GE54" s="17">
        <f>IF(Distances[[#This Row],[Colonne168]]=$G54,GD54,Distances[[#This Row],[Colonne168]]+1)</f>
        <v>30</v>
      </c>
      <c r="GF54" s="17">
        <f>IF(Distances[[#This Row],[Colonne169]]=$G54,GE54,Distances[[#This Row],[Colonne169]]+1)</f>
        <v>30</v>
      </c>
      <c r="GG54" s="17">
        <f>IF(Distances[[#This Row],[Colonne170]]=$G54,GF54,Distances[[#This Row],[Colonne170]]+1)</f>
        <v>30</v>
      </c>
      <c r="GH54" s="17">
        <f>IF(Distances[[#This Row],[Colonne171]]=$G54,GG54,Distances[[#This Row],[Colonne171]]+1)</f>
        <v>30</v>
      </c>
      <c r="GI54" s="17">
        <f>IF(Distances[[#This Row],[Colonne172]]=$G54,GH54,Distances[[#This Row],[Colonne172]]+1)</f>
        <v>30</v>
      </c>
      <c r="GJ54" s="17">
        <f>IF(Distances[[#This Row],[Colonne173]]=$G54,GI54,Distances[[#This Row],[Colonne173]]+1)</f>
        <v>30</v>
      </c>
      <c r="GK54" s="17">
        <f>IF(Distances[[#This Row],[Colonne174]]=$G54,GJ54,Distances[[#This Row],[Colonne174]]+1)</f>
        <v>30</v>
      </c>
      <c r="GL54" s="17">
        <f>IF(Distances[[#This Row],[Colonne175]]=$G54,GK54,Distances[[#This Row],[Colonne175]]+1)</f>
        <v>30</v>
      </c>
      <c r="GM54" s="17">
        <f>IF(Distances[[#This Row],[Colonne176]]=$G54,GL54,Distances[[#This Row],[Colonne176]]+1)</f>
        <v>30</v>
      </c>
      <c r="GN54" s="17">
        <f>IF(Distances[[#This Row],[Colonne177]]=$G54,GM54,Distances[[#This Row],[Colonne177]]+1)</f>
        <v>30</v>
      </c>
      <c r="GO54" s="17">
        <f>IF(Distances[[#This Row],[Colonne178]]=$G54,GN54,Distances[[#This Row],[Colonne178]]+1)</f>
        <v>30</v>
      </c>
      <c r="GP54" s="17">
        <f>IF(Distances[[#This Row],[Colonne179]]=$G54,GO54,Distances[[#This Row],[Colonne179]]+1)</f>
        <v>30</v>
      </c>
      <c r="GQ54" s="17">
        <f>IF(Distances[[#This Row],[Colonne180]]=$G54,GP54,Distances[[#This Row],[Colonne180]]+1)</f>
        <v>30</v>
      </c>
      <c r="GR54" s="17">
        <f>IF(Distances[[#This Row],[Colonne181]]=$G54,GQ54,Distances[[#This Row],[Colonne181]]+1)</f>
        <v>30</v>
      </c>
      <c r="GS54" s="17">
        <f>IF(Distances[[#This Row],[Colonne182]]=$G54,GR54,Distances[[#This Row],[Colonne182]]+1)</f>
        <v>30</v>
      </c>
      <c r="GT54" s="17">
        <f>IF(Distances[[#This Row],[Colonne183]]=$G54,GS54,Distances[[#This Row],[Colonne183]]+1)</f>
        <v>30</v>
      </c>
      <c r="GU54" s="17">
        <f>IF(Distances[[#This Row],[Colonne184]]=$G54,GT54,Distances[[#This Row],[Colonne184]]+1)</f>
        <v>30</v>
      </c>
      <c r="GV54" s="17">
        <f>IF(Distances[[#This Row],[Colonne185]]=$G54,GU54,Distances[[#This Row],[Colonne185]]+1)</f>
        <v>30</v>
      </c>
      <c r="GW54" s="17">
        <f>IF(Distances[[#This Row],[Colonne186]]=$G54,GV54,Distances[[#This Row],[Colonne186]]+1)</f>
        <v>30</v>
      </c>
      <c r="GX54" s="17">
        <f>IF(Distances[[#This Row],[Colonne187]]=$G54,GW54,Distances[[#This Row],[Colonne187]]+1)</f>
        <v>30</v>
      </c>
      <c r="GY54" s="17">
        <f>IF(Distances[[#This Row],[Colonne188]]=$G54,GX54,Distances[[#This Row],[Colonne188]]+1)</f>
        <v>30</v>
      </c>
      <c r="GZ54" s="17">
        <f>IF(Distances[[#This Row],[Colonne189]]=$G54,GY54,Distances[[#This Row],[Colonne189]]+1)</f>
        <v>30</v>
      </c>
      <c r="HA54" s="17">
        <f>IF(Distances[[#This Row],[Colonne190]]=$G54,GZ54,Distances[[#This Row],[Colonne190]]+1)</f>
        <v>30</v>
      </c>
      <c r="HB54" s="17">
        <f>IF(Distances[[#This Row],[Colonne191]]=$G54,HA54,Distances[[#This Row],[Colonne191]]+1)</f>
        <v>30</v>
      </c>
      <c r="HC54" s="17">
        <f>IF(Distances[[#This Row],[Colonne192]]=$G54,HB54,Distances[[#This Row],[Colonne192]]+1)</f>
        <v>30</v>
      </c>
      <c r="HD54" s="17">
        <f>IF(Distances[[#This Row],[Colonne193]]=$G54,HC54,Distances[[#This Row],[Colonne193]]+1)</f>
        <v>30</v>
      </c>
      <c r="HE54" s="17">
        <f>IF(Distances[[#This Row],[Colonne194]]=$G54,HD54,Distances[[#This Row],[Colonne194]]+1)</f>
        <v>30</v>
      </c>
      <c r="HF54" s="17">
        <f>IF(Distances[[#This Row],[Colonne195]]=$G54,HE54,Distances[[#This Row],[Colonne195]]+1)</f>
        <v>30</v>
      </c>
      <c r="HG54" s="17">
        <f>IF(Distances[[#This Row],[Colonne196]]=$G54,HF54,Distances[[#This Row],[Colonne196]]+1)</f>
        <v>30</v>
      </c>
      <c r="HH54" s="17">
        <f>IF(Distances[[#This Row],[Colonne197]]=$G54,HG54,Distances[[#This Row],[Colonne197]]+1)</f>
        <v>30</v>
      </c>
      <c r="HI54" s="17">
        <f>IF(Distances[[#This Row],[Colonne198]]=$G54,HH54,Distances[[#This Row],[Colonne198]]+1)</f>
        <v>30</v>
      </c>
      <c r="HJ54" s="17">
        <f>IF(Distances[[#This Row],[Colonne199]]=$G54,HI54,Distances[[#This Row],[Colonne199]]+1)</f>
        <v>30</v>
      </c>
      <c r="HK54" s="17">
        <f>IF(Distances[[#This Row],[Colonne200]]=$G54,HJ54,Distances[[#This Row],[Colonne200]]+1)</f>
        <v>30</v>
      </c>
      <c r="HL54" s="17">
        <f>IF(Distances[[#This Row],[Colonne201]]=$G54,HK54,Distances[[#This Row],[Colonne201]]+1)</f>
        <v>30</v>
      </c>
      <c r="HM54" s="17">
        <f>IF(Distances[[#This Row],[Colonne202]]=$G54,HL54,Distances[[#This Row],[Colonne202]]+1)</f>
        <v>30</v>
      </c>
      <c r="HN54" s="17">
        <f>IF(Distances[[#This Row],[Colonne203]]=$G54,HM54,Distances[[#This Row],[Colonne203]]+1)</f>
        <v>30</v>
      </c>
      <c r="HO54" s="17">
        <f>IF(Distances[[#This Row],[Colonne204]]=$G54,HN54,Distances[[#This Row],[Colonne204]]+1)</f>
        <v>30</v>
      </c>
      <c r="HP54" s="17">
        <f>IF(Distances[[#This Row],[Colonne205]]=$G54,HO54,Distances[[#This Row],[Colonne205]]+1)</f>
        <v>30</v>
      </c>
      <c r="HQ54" s="17">
        <f>IF(Distances[[#This Row],[Colonne206]]=$G54,HP54,Distances[[#This Row],[Colonne206]]+1)</f>
        <v>30</v>
      </c>
      <c r="HR54" s="17">
        <f>IF(Distances[[#This Row],[Colonne207]]=$G54,HQ54,Distances[[#This Row],[Colonne207]]+1)</f>
        <v>30</v>
      </c>
      <c r="HS54" s="17">
        <f>IF(Distances[[#This Row],[Colonne208]]=$G54,HR54,Distances[[#This Row],[Colonne208]]+1)</f>
        <v>30</v>
      </c>
      <c r="HT54" s="17">
        <f>IF(Distances[[#This Row],[Colonne209]]=$G54,HS54,Distances[[#This Row],[Colonne209]]+1)</f>
        <v>30</v>
      </c>
      <c r="HU54" s="17">
        <f>IF(Distances[[#This Row],[Colonne210]]=$G54,HT54,Distances[[#This Row],[Colonne210]]+1)</f>
        <v>30</v>
      </c>
      <c r="HV54" s="17">
        <f>IF(Distances[[#This Row],[Colonne211]]=$G54,HU54,Distances[[#This Row],[Colonne211]]+1)</f>
        <v>30</v>
      </c>
      <c r="HW54" s="17">
        <f>IF(Distances[[#This Row],[Colonne212]]=$G54,HV54,Distances[[#This Row],[Colonne212]]+1)</f>
        <v>30</v>
      </c>
      <c r="HX54" s="17">
        <f>IF(Distances[[#This Row],[Colonne213]]=$G54,HW54,Distances[[#This Row],[Colonne213]]+1)</f>
        <v>30</v>
      </c>
      <c r="HY54" s="17">
        <f>IF(Distances[[#This Row],[Colonne214]]=$G54,HX54,Distances[[#This Row],[Colonne214]]+1)</f>
        <v>30</v>
      </c>
      <c r="HZ54" s="17">
        <f>IF(Distances[[#This Row],[Colonne215]]=$G54,HY54,Distances[[#This Row],[Colonne215]]+1)</f>
        <v>30</v>
      </c>
      <c r="IA54" s="17">
        <f>IF(Distances[[#This Row],[Colonne216]]=$G54,HZ54,Distances[[#This Row],[Colonne216]]+1)</f>
        <v>30</v>
      </c>
      <c r="IB54" s="17">
        <f>IF(Distances[[#This Row],[Colonne217]]=$G54,IA54,Distances[[#This Row],[Colonne217]]+1)</f>
        <v>30</v>
      </c>
      <c r="IC54" s="17">
        <f>IF(Distances[[#This Row],[Colonne218]]=$G54,IB54,Distances[[#This Row],[Colonne218]]+1)</f>
        <v>30</v>
      </c>
      <c r="ID54" s="17">
        <f>IF(Distances[[#This Row],[Colonne219]]=$G54,IC54,Distances[[#This Row],[Colonne219]]+1)</f>
        <v>30</v>
      </c>
      <c r="IE54" s="17">
        <f>IF(Distances[[#This Row],[Colonne220]]=$G54,ID54,Distances[[#This Row],[Colonne220]]+1)</f>
        <v>30</v>
      </c>
      <c r="IF54" s="17">
        <f>IF(Distances[[#This Row],[Colonne221]]=$G54,IE54,Distances[[#This Row],[Colonne221]]+1)</f>
        <v>30</v>
      </c>
      <c r="IG54" s="17">
        <f>IF(Distances[[#This Row],[Colonne222]]=$G54,IF54,Distances[[#This Row],[Colonne222]]+1)</f>
        <v>30</v>
      </c>
      <c r="IH54" s="17">
        <f>IF(Distances[[#This Row],[Colonne223]]=$G54,IG54,Distances[[#This Row],[Colonne223]]+1)</f>
        <v>30</v>
      </c>
      <c r="II54" s="17">
        <f>IF(Distances[[#This Row],[Colonne224]]=$G54,IH54,Distances[[#This Row],[Colonne224]]+1)</f>
        <v>30</v>
      </c>
      <c r="IJ54" s="17">
        <f>IF(Distances[[#This Row],[Colonne225]]=$G54,II54,Distances[[#This Row],[Colonne225]]+1)</f>
        <v>30</v>
      </c>
      <c r="IK54" s="17">
        <f>IF(Distances[[#This Row],[Colonne226]]=$G54,IJ54,Distances[[#This Row],[Colonne226]]+1)</f>
        <v>30</v>
      </c>
      <c r="IL54" s="17">
        <f>IF(Distances[[#This Row],[Colonne227]]=$G54,IK54,Distances[[#This Row],[Colonne227]]+1)</f>
        <v>30</v>
      </c>
      <c r="IM54" s="17">
        <f>IF(Distances[[#This Row],[Colonne228]]=$G54,IL54,Distances[[#This Row],[Colonne228]]+1)</f>
        <v>30</v>
      </c>
      <c r="IN54" s="17">
        <f>IF(Distances[[#This Row],[Colonne229]]=$G54,IM54,Distances[[#This Row],[Colonne229]]+1)</f>
        <v>30</v>
      </c>
      <c r="IO54" s="17">
        <f>IF(Distances[[#This Row],[Colonne230]]=$G54,IN54,Distances[[#This Row],[Colonne230]]+1)</f>
        <v>30</v>
      </c>
      <c r="IP54" s="17">
        <f>IF(Distances[[#This Row],[Colonne231]]=$G54,IO54,Distances[[#This Row],[Colonne231]]+1)</f>
        <v>30</v>
      </c>
      <c r="IQ54" s="17">
        <f>IF(Distances[[#This Row],[Colonne232]]=$G54,IP54,Distances[[#This Row],[Colonne232]]+1)</f>
        <v>30</v>
      </c>
      <c r="IR54" s="17">
        <f>IF(Distances[[#This Row],[Colonne233]]=$G54,IQ54,Distances[[#This Row],[Colonne233]]+1)</f>
        <v>30</v>
      </c>
      <c r="IS54" s="17">
        <f>IF(Distances[[#This Row],[Colonne234]]=$G54,IR54,Distances[[#This Row],[Colonne234]]+1)</f>
        <v>30</v>
      </c>
      <c r="IT54" s="17">
        <f>IF(Distances[[#This Row],[Colonne235]]=$G54,IS54,Distances[[#This Row],[Colonne235]]+1)</f>
        <v>30</v>
      </c>
      <c r="IU54" s="17">
        <f>IF(Distances[[#This Row],[Colonne236]]=$G54,IT54,Distances[[#This Row],[Colonne236]]+1)</f>
        <v>30</v>
      </c>
      <c r="IV54" s="17">
        <f>IF(Distances[[#This Row],[Colonne237]]=$G54,IU54,Distances[[#This Row],[Colonne237]]+1)</f>
        <v>30</v>
      </c>
      <c r="IW54" s="17">
        <f>IF(Distances[[#This Row],[Colonne238]]=$G54,IV54,Distances[[#This Row],[Colonne238]]+1)</f>
        <v>30</v>
      </c>
      <c r="IX54" s="17">
        <f>IF(Distances[[#This Row],[Colonne239]]=$G54,IW54,Distances[[#This Row],[Colonne239]]+1)</f>
        <v>30</v>
      </c>
      <c r="IY54" s="17">
        <f>IF(Distances[[#This Row],[Colonne240]]=$G54,IX54,Distances[[#This Row],[Colonne240]]+1)</f>
        <v>30</v>
      </c>
      <c r="IZ54" s="17">
        <f>IF(Distances[[#This Row],[Colonne241]]=$G54,IY54,Distances[[#This Row],[Colonne241]]+1)</f>
        <v>30</v>
      </c>
      <c r="JA54" s="17">
        <f>IF(Distances[[#This Row],[Colonne242]]=$G54,IZ54,Distances[[#This Row],[Colonne242]]+1)</f>
        <v>30</v>
      </c>
      <c r="JB54" s="17">
        <f>IF(Distances[[#This Row],[Colonne243]]=$G54,JA54,Distances[[#This Row],[Colonne243]]+1)</f>
        <v>30</v>
      </c>
      <c r="JC54" s="17">
        <f>IF(Distances[[#This Row],[Colonne244]]=$G54,JB54,Distances[[#This Row],[Colonne244]]+1)</f>
        <v>30</v>
      </c>
      <c r="JD54" s="17">
        <f>IF(Distances[[#This Row],[Colonne245]]=$G54,JC54,Distances[[#This Row],[Colonne245]]+1)</f>
        <v>30</v>
      </c>
      <c r="JE54" s="17">
        <f>IF(Distances[[#This Row],[Colonne246]]=$G54,JD54,Distances[[#This Row],[Colonne246]]+1)</f>
        <v>30</v>
      </c>
      <c r="JF54" s="17">
        <f>IF(Distances[[#This Row],[Colonne247]]=$G54,JE54,Distances[[#This Row],[Colonne247]]+1)</f>
        <v>30</v>
      </c>
      <c r="JG54" s="17">
        <f>IF(Distances[[#This Row],[Colonne248]]=$G54,JF54,Distances[[#This Row],[Colonne248]]+1)</f>
        <v>30</v>
      </c>
      <c r="JH54" s="17">
        <f>IF(Distances[[#This Row],[Colonne249]]=$G54,JG54,Distances[[#This Row],[Colonne249]]+1)</f>
        <v>30</v>
      </c>
      <c r="JI54" s="17">
        <f>IF(Distances[[#This Row],[Colonne250]]=$G54,JH54,Distances[[#This Row],[Colonne250]]+1)</f>
        <v>30</v>
      </c>
      <c r="JJ54" s="17">
        <f>IF(Distances[[#This Row],[Colonne251]]=$G54,JI54,Distances[[#This Row],[Colonne251]]+1)</f>
        <v>30</v>
      </c>
      <c r="JK54" s="17">
        <f>IF(Distances[[#This Row],[Colonne252]]=$G54,JJ54,Distances[[#This Row],[Colonne252]]+1)</f>
        <v>30</v>
      </c>
      <c r="JL54" s="17">
        <f>IF(Distances[[#This Row],[Colonne253]]=$G54,JK54,Distances[[#This Row],[Colonne253]]+1)</f>
        <v>30</v>
      </c>
      <c r="JM54" s="17">
        <f>IF(Distances[[#This Row],[Colonne254]]=$G54,JL54,Distances[[#This Row],[Colonne254]]+1)</f>
        <v>30</v>
      </c>
      <c r="JN54" s="17">
        <f>IF(Distances[[#This Row],[Colonne255]]=$G54,JM54,Distances[[#This Row],[Colonne255]]+1)</f>
        <v>30</v>
      </c>
      <c r="JO54" s="17">
        <f>IF(Distances[[#This Row],[Colonne256]]=$G54,JN54,Distances[[#This Row],[Colonne256]]+1)</f>
        <v>30</v>
      </c>
      <c r="JP54" s="17">
        <f>IF(Distances[[#This Row],[Colonne257]]=$G54,JO54,Distances[[#This Row],[Colonne257]]+1)</f>
        <v>30</v>
      </c>
      <c r="JQ54" s="17">
        <f>IF(Distances[[#This Row],[Colonne258]]=$G54,JP54,Distances[[#This Row],[Colonne258]]+1)</f>
        <v>30</v>
      </c>
      <c r="JR54" s="17">
        <f>IF(Distances[[#This Row],[Colonne259]]=$G54,JQ54,Distances[[#This Row],[Colonne259]]+1)</f>
        <v>30</v>
      </c>
      <c r="JS54" s="17">
        <f>IF(Distances[[#This Row],[Colonne260]]=$G54,JR54,Distances[[#This Row],[Colonne260]]+1)</f>
        <v>30</v>
      </c>
      <c r="JT54" s="17">
        <f>IF(Distances[[#This Row],[Colonne261]]=$G54,JS54,Distances[[#This Row],[Colonne261]]+1)</f>
        <v>30</v>
      </c>
      <c r="JU54" s="17">
        <f>IF(Distances[[#This Row],[Colonne262]]=$G54,JT54,Distances[[#This Row],[Colonne262]]+1)</f>
        <v>30</v>
      </c>
      <c r="JV54" s="17">
        <f>IF(Distances[[#This Row],[Colonne263]]=$G54,JU54,Distances[[#This Row],[Colonne263]]+1)</f>
        <v>30</v>
      </c>
      <c r="JW54" s="17">
        <f>IF(Distances[[#This Row],[Colonne264]]=$G54,JV54,Distances[[#This Row],[Colonne264]]+1)</f>
        <v>30</v>
      </c>
      <c r="JX54" s="17">
        <f>IF(Distances[[#This Row],[Colonne265]]=$G54,JW54,Distances[[#This Row],[Colonne265]]+1)</f>
        <v>30</v>
      </c>
      <c r="JY54" s="17">
        <f>IF(Distances[[#This Row],[Colonne266]]=$G54,JX54,Distances[[#This Row],[Colonne266]]+1)</f>
        <v>30</v>
      </c>
      <c r="JZ54" s="17">
        <f>IF(Distances[[#This Row],[Colonne267]]=$G54,JY54,Distances[[#This Row],[Colonne267]]+1)</f>
        <v>30</v>
      </c>
      <c r="KA54" s="17">
        <f>IF(Distances[[#This Row],[Colonne268]]=$G54,JZ54,Distances[[#This Row],[Colonne268]]+1)</f>
        <v>30</v>
      </c>
      <c r="KB54" s="17">
        <f>IF(Distances[[#This Row],[Colonne269]]=$G54,KA54,Distances[[#This Row],[Colonne269]]+1)</f>
        <v>30</v>
      </c>
      <c r="KC54" s="17">
        <f>IF(Distances[[#This Row],[Colonne270]]=$G54,KB54,Distances[[#This Row],[Colonne270]]+1)</f>
        <v>30</v>
      </c>
      <c r="KD54" s="17">
        <f>IF(Distances[[#This Row],[Colonne271]]=$G54,KC54,Distances[[#This Row],[Colonne271]]+1)</f>
        <v>30</v>
      </c>
      <c r="KE54" s="17">
        <f>IF(Distances[[#This Row],[Colonne272]]=$G54,KD54,Distances[[#This Row],[Colonne272]]+1)</f>
        <v>30</v>
      </c>
      <c r="KF54" s="17">
        <f>IF(Distances[[#This Row],[Colonne273]]=$G54,KE54,Distances[[#This Row],[Colonne273]]+1)</f>
        <v>30</v>
      </c>
      <c r="KG54" s="17">
        <f>IF(Distances[[#This Row],[Colonne274]]=$G54,KF54,Distances[[#This Row],[Colonne274]]+1)</f>
        <v>30</v>
      </c>
      <c r="KH54" s="17">
        <f>IF(Distances[[#This Row],[Colonne275]]=$G54,KG54,Distances[[#This Row],[Colonne275]]+1)</f>
        <v>30</v>
      </c>
      <c r="KI54" s="17">
        <f>IF(Distances[[#This Row],[Colonne276]]=$G54,KH54,Distances[[#This Row],[Colonne276]]+1)</f>
        <v>30</v>
      </c>
      <c r="KJ54" s="17">
        <f>IF(Distances[[#This Row],[Colonne277]]=$G54,KI54,Distances[[#This Row],[Colonne277]]+1)</f>
        <v>30</v>
      </c>
      <c r="KK54" s="17">
        <f>IF(Distances[[#This Row],[Colonne278]]=$G54,KJ54,Distances[[#This Row],[Colonne278]]+1)</f>
        <v>30</v>
      </c>
      <c r="KL54" s="17">
        <f>IF(Distances[[#This Row],[Colonne279]]=$G54,KK54,Distances[[#This Row],[Colonne279]]+1)</f>
        <v>30</v>
      </c>
      <c r="KM54" s="17">
        <f>IF(Distances[[#This Row],[Colonne280]]=$G54,KL54,Distances[[#This Row],[Colonne280]]+1)</f>
        <v>30</v>
      </c>
      <c r="KN54" s="17">
        <f>IF(Distances[[#This Row],[Colonne281]]=$G54,KM54,Distances[[#This Row],[Colonne281]]+1)</f>
        <v>30</v>
      </c>
      <c r="KO54" s="17">
        <f>IF(Distances[[#This Row],[Colonne282]]=$G54,KN54,Distances[[#This Row],[Colonne282]]+1)</f>
        <v>30</v>
      </c>
      <c r="KP54" s="17">
        <f>IF(Distances[[#This Row],[Colonne283]]=$G54,KO54,Distances[[#This Row],[Colonne283]]+1)</f>
        <v>30</v>
      </c>
      <c r="KQ54" s="17">
        <f>IF(Distances[[#This Row],[Colonne284]]=$G54,KP54,Distances[[#This Row],[Colonne284]]+1)</f>
        <v>30</v>
      </c>
      <c r="KR54" s="17">
        <f>IF(Distances[[#This Row],[Colonne285]]=$G54,KQ54,Distances[[#This Row],[Colonne285]]+1)</f>
        <v>30</v>
      </c>
      <c r="KS54" s="17">
        <f>IF(Distances[[#This Row],[Colonne286]]=$G54,KR54,Distances[[#This Row],[Colonne286]]+1)</f>
        <v>30</v>
      </c>
      <c r="KT54" s="17">
        <f>IF(Distances[[#This Row],[Colonne287]]=$G54,KS54,Distances[[#This Row],[Colonne287]]+1)</f>
        <v>30</v>
      </c>
      <c r="KU54" s="17">
        <f>IF(Distances[[#This Row],[Colonne288]]=$G54,KT54,Distances[[#This Row],[Colonne288]]+1)</f>
        <v>30</v>
      </c>
      <c r="KV54" s="17">
        <f>IF(Distances[[#This Row],[Colonne289]]=$G54,KU54,Distances[[#This Row],[Colonne289]]+1)</f>
        <v>30</v>
      </c>
      <c r="KW54" s="17">
        <f>IF(Distances[[#This Row],[Colonne290]]=$G54,KV54,Distances[[#This Row],[Colonne290]]+1)</f>
        <v>30</v>
      </c>
      <c r="KX54" s="17">
        <f>IF(Distances[[#This Row],[Colonne291]]=$G54,KW54,Distances[[#This Row],[Colonne291]]+1)</f>
        <v>30</v>
      </c>
      <c r="KY54" s="17">
        <f>IF(Distances[[#This Row],[Colonne292]]=$G54,KX54,Distances[[#This Row],[Colonne292]]+1)</f>
        <v>30</v>
      </c>
      <c r="KZ54" s="17">
        <f>IF(Distances[[#This Row],[Colonne293]]=$G54,KY54,Distances[[#This Row],[Colonne293]]+1)</f>
        <v>30</v>
      </c>
      <c r="LA54" s="17">
        <f>IF(Distances[[#This Row],[Colonne294]]=$G54,KZ54,Distances[[#This Row],[Colonne294]]+1)</f>
        <v>30</v>
      </c>
      <c r="LB54" s="17">
        <f>IF(Distances[[#This Row],[Colonne295]]=$G54,LA54,Distances[[#This Row],[Colonne295]]+1)</f>
        <v>30</v>
      </c>
      <c r="LC54" s="17">
        <f>IF(Distances[[#This Row],[Colonne296]]=$G54,LB54,Distances[[#This Row],[Colonne296]]+1)</f>
        <v>30</v>
      </c>
      <c r="LD54" s="17">
        <f>IF(Distances[[#This Row],[Colonne297]]=$G54,LC54,Distances[[#This Row],[Colonne297]]+1)</f>
        <v>30</v>
      </c>
      <c r="LE54" s="17">
        <f>IF(Distances[[#This Row],[Colonne298]]=$G54,LD54,Distances[[#This Row],[Colonne298]]+1)</f>
        <v>30</v>
      </c>
      <c r="LF54" s="17">
        <f>IF(Distances[[#This Row],[Colonne299]]=$G54,LE54,Distances[[#This Row],[Colonne299]]+1)</f>
        <v>30</v>
      </c>
      <c r="LG54" s="17">
        <f>IF(Distances[[#This Row],[Colonne300]]=$G54,LF54,Distances[[#This Row],[Colonne300]]+1)</f>
        <v>30</v>
      </c>
      <c r="LH54" s="17">
        <f>IF(Distances[[#This Row],[Colonne301]]=$G54,LG54,Distances[[#This Row],[Colonne301]]+1)</f>
        <v>30</v>
      </c>
      <c r="LI54" s="17">
        <f>IF(Distances[[#This Row],[Colonne302]]=$G54,LH54,Distances[[#This Row],[Colonne302]]+1)</f>
        <v>30</v>
      </c>
      <c r="LJ54" s="17">
        <f>IF(Distances[[#This Row],[Colonne303]]=$G54,LI54,Distances[[#This Row],[Colonne303]]+1)</f>
        <v>30</v>
      </c>
      <c r="LK54" s="51"/>
      <c r="LL54" s="17">
        <f t="shared" ref="LL54:NW54" si="108">IF(LK54=$H54,LK54,LK54+1)</f>
        <v>1</v>
      </c>
      <c r="LM54" s="17">
        <f t="shared" si="108"/>
        <v>2</v>
      </c>
      <c r="LN54" s="17">
        <f t="shared" si="108"/>
        <v>3</v>
      </c>
      <c r="LO54" s="17">
        <f t="shared" si="108"/>
        <v>4</v>
      </c>
      <c r="LP54" s="17">
        <f t="shared" si="108"/>
        <v>5</v>
      </c>
      <c r="LQ54" s="17">
        <f t="shared" si="108"/>
        <v>6</v>
      </c>
      <c r="LR54" s="17">
        <f t="shared" si="108"/>
        <v>7</v>
      </c>
      <c r="LS54" s="17">
        <f t="shared" si="108"/>
        <v>8</v>
      </c>
      <c r="LT54" s="17">
        <f t="shared" si="108"/>
        <v>9</v>
      </c>
      <c r="LU54" s="17">
        <f t="shared" si="108"/>
        <v>10</v>
      </c>
      <c r="LV54" s="17">
        <f t="shared" si="108"/>
        <v>11</v>
      </c>
      <c r="LW54" s="17">
        <f t="shared" si="108"/>
        <v>12</v>
      </c>
      <c r="LX54" s="17">
        <f t="shared" si="108"/>
        <v>13</v>
      </c>
      <c r="LY54" s="17">
        <f t="shared" si="108"/>
        <v>14</v>
      </c>
      <c r="LZ54" s="17">
        <f t="shared" si="108"/>
        <v>15</v>
      </c>
      <c r="MA54" s="17">
        <f t="shared" si="108"/>
        <v>16</v>
      </c>
      <c r="MB54" s="17">
        <f t="shared" si="108"/>
        <v>17</v>
      </c>
      <c r="MC54" s="17">
        <f t="shared" si="108"/>
        <v>18</v>
      </c>
      <c r="MD54" s="17">
        <f t="shared" si="108"/>
        <v>19</v>
      </c>
      <c r="ME54" s="17">
        <f t="shared" si="108"/>
        <v>20</v>
      </c>
      <c r="MF54" s="17">
        <f t="shared" si="108"/>
        <v>21</v>
      </c>
      <c r="MG54" s="17">
        <f t="shared" si="108"/>
        <v>22</v>
      </c>
      <c r="MH54" s="17">
        <f t="shared" si="108"/>
        <v>23</v>
      </c>
      <c r="MI54" s="17">
        <f t="shared" si="108"/>
        <v>24</v>
      </c>
      <c r="MJ54" s="17">
        <f t="shared" si="108"/>
        <v>25</v>
      </c>
      <c r="MK54" s="17">
        <f t="shared" si="108"/>
        <v>26</v>
      </c>
      <c r="ML54" s="17">
        <f t="shared" si="108"/>
        <v>27</v>
      </c>
      <c r="MM54" s="17">
        <f t="shared" si="108"/>
        <v>28</v>
      </c>
      <c r="MN54" s="17">
        <f t="shared" si="108"/>
        <v>29</v>
      </c>
      <c r="MO54" s="17">
        <f t="shared" si="108"/>
        <v>30</v>
      </c>
      <c r="MP54" s="17">
        <f t="shared" si="108"/>
        <v>31</v>
      </c>
      <c r="MQ54" s="17">
        <f t="shared" si="108"/>
        <v>32</v>
      </c>
      <c r="MR54" s="17">
        <f t="shared" si="108"/>
        <v>33</v>
      </c>
      <c r="MS54" s="17">
        <f t="shared" si="108"/>
        <v>34</v>
      </c>
      <c r="MT54" s="17">
        <f t="shared" si="108"/>
        <v>35</v>
      </c>
      <c r="MU54" s="17">
        <f t="shared" si="108"/>
        <v>36</v>
      </c>
      <c r="MV54" s="17">
        <f t="shared" si="108"/>
        <v>37</v>
      </c>
      <c r="MW54" s="17">
        <f t="shared" si="108"/>
        <v>38</v>
      </c>
      <c r="MX54" s="17">
        <f t="shared" si="108"/>
        <v>39</v>
      </c>
      <c r="MY54" s="17">
        <f t="shared" si="108"/>
        <v>40</v>
      </c>
      <c r="MZ54" s="17">
        <f t="shared" si="108"/>
        <v>40</v>
      </c>
      <c r="NA54" s="17">
        <f t="shared" si="108"/>
        <v>40</v>
      </c>
      <c r="NB54" s="17">
        <f t="shared" si="108"/>
        <v>40</v>
      </c>
      <c r="NC54" s="17">
        <f t="shared" si="108"/>
        <v>40</v>
      </c>
      <c r="ND54" s="17">
        <f t="shared" si="108"/>
        <v>40</v>
      </c>
      <c r="NE54" s="17">
        <f t="shared" si="108"/>
        <v>40</v>
      </c>
      <c r="NF54" s="17">
        <f t="shared" si="108"/>
        <v>40</v>
      </c>
      <c r="NG54" s="17">
        <f t="shared" si="108"/>
        <v>40</v>
      </c>
      <c r="NH54" s="17">
        <f t="shared" si="108"/>
        <v>40</v>
      </c>
      <c r="NI54" s="17">
        <f t="shared" si="108"/>
        <v>40</v>
      </c>
      <c r="NJ54" s="17">
        <f t="shared" si="108"/>
        <v>40</v>
      </c>
      <c r="NK54" s="17">
        <f t="shared" si="108"/>
        <v>40</v>
      </c>
      <c r="NL54" s="17">
        <f t="shared" si="108"/>
        <v>40</v>
      </c>
      <c r="NM54" s="17">
        <f t="shared" si="108"/>
        <v>40</v>
      </c>
      <c r="NN54" s="17">
        <f t="shared" si="108"/>
        <v>40</v>
      </c>
      <c r="NO54" s="17">
        <f t="shared" si="108"/>
        <v>40</v>
      </c>
      <c r="NP54" s="17">
        <f t="shared" si="108"/>
        <v>40</v>
      </c>
      <c r="NQ54" s="17">
        <f t="shared" si="108"/>
        <v>40</v>
      </c>
      <c r="NR54" s="17">
        <f t="shared" si="108"/>
        <v>40</v>
      </c>
      <c r="NS54" s="17">
        <f t="shared" si="108"/>
        <v>40</v>
      </c>
      <c r="NT54" s="17">
        <f t="shared" si="108"/>
        <v>40</v>
      </c>
      <c r="NU54" s="17">
        <f t="shared" si="108"/>
        <v>40</v>
      </c>
      <c r="NV54" s="17">
        <f t="shared" si="108"/>
        <v>40</v>
      </c>
      <c r="NW54" s="17">
        <f t="shared" si="108"/>
        <v>40</v>
      </c>
      <c r="NX54" s="17">
        <f t="shared" ref="NX54:PG54" si="109">IF(NW54=$H54,NW54,NW54+1)</f>
        <v>40</v>
      </c>
      <c r="NY54" s="17">
        <f t="shared" si="109"/>
        <v>40</v>
      </c>
      <c r="NZ54" s="17">
        <f t="shared" si="109"/>
        <v>40</v>
      </c>
      <c r="OA54" s="17">
        <f t="shared" si="109"/>
        <v>40</v>
      </c>
      <c r="OB54" s="17">
        <f t="shared" si="109"/>
        <v>40</v>
      </c>
      <c r="OC54" s="17">
        <f t="shared" si="109"/>
        <v>40</v>
      </c>
      <c r="OD54" s="17">
        <f t="shared" si="109"/>
        <v>40</v>
      </c>
      <c r="OE54" s="17">
        <f t="shared" si="109"/>
        <v>40</v>
      </c>
      <c r="OF54" s="17">
        <f t="shared" si="109"/>
        <v>40</v>
      </c>
      <c r="OG54" s="17">
        <f t="shared" si="109"/>
        <v>40</v>
      </c>
      <c r="OH54" s="17">
        <f t="shared" si="109"/>
        <v>40</v>
      </c>
      <c r="OI54" s="17">
        <f t="shared" si="109"/>
        <v>40</v>
      </c>
      <c r="OJ54" s="17">
        <f t="shared" si="109"/>
        <v>40</v>
      </c>
      <c r="OK54" s="17">
        <f t="shared" si="109"/>
        <v>40</v>
      </c>
      <c r="OL54" s="17">
        <f t="shared" si="109"/>
        <v>40</v>
      </c>
      <c r="OM54" s="17">
        <f t="shared" si="109"/>
        <v>40</v>
      </c>
      <c r="ON54" s="17">
        <f t="shared" si="109"/>
        <v>40</v>
      </c>
      <c r="OO54" s="17">
        <f t="shared" si="109"/>
        <v>40</v>
      </c>
      <c r="OP54" s="17">
        <f t="shared" si="109"/>
        <v>40</v>
      </c>
      <c r="OQ54" s="17">
        <f t="shared" si="109"/>
        <v>40</v>
      </c>
      <c r="OR54" s="17">
        <f t="shared" si="109"/>
        <v>40</v>
      </c>
      <c r="OS54" s="17">
        <f t="shared" si="109"/>
        <v>40</v>
      </c>
      <c r="OT54" s="17">
        <f t="shared" si="109"/>
        <v>40</v>
      </c>
      <c r="OU54" s="17">
        <f t="shared" si="109"/>
        <v>40</v>
      </c>
      <c r="OV54" s="17">
        <f t="shared" si="109"/>
        <v>40</v>
      </c>
      <c r="OW54" s="17">
        <f t="shared" si="109"/>
        <v>40</v>
      </c>
      <c r="OX54" s="17">
        <f t="shared" si="109"/>
        <v>40</v>
      </c>
      <c r="OY54" s="17">
        <f t="shared" si="109"/>
        <v>40</v>
      </c>
      <c r="OZ54" s="17">
        <f t="shared" si="109"/>
        <v>40</v>
      </c>
      <c r="PA54" s="17">
        <f t="shared" si="109"/>
        <v>40</v>
      </c>
      <c r="PB54" s="17">
        <f t="shared" si="109"/>
        <v>40</v>
      </c>
      <c r="PC54" s="17">
        <f t="shared" si="109"/>
        <v>40</v>
      </c>
      <c r="PD54" s="17">
        <f t="shared" si="109"/>
        <v>40</v>
      </c>
      <c r="PE54" s="17">
        <f t="shared" si="109"/>
        <v>40</v>
      </c>
      <c r="PF54" s="17">
        <f t="shared" si="109"/>
        <v>40</v>
      </c>
      <c r="PG54" s="17">
        <f t="shared" si="109"/>
        <v>40</v>
      </c>
    </row>
    <row r="55" spans="1:423" x14ac:dyDescent="0.25">
      <c r="A55" s="8" t="s">
        <v>5507</v>
      </c>
      <c r="B55" s="9" t="s">
        <v>8497</v>
      </c>
      <c r="C55" s="9" t="str">
        <f t="shared" si="72"/>
        <v>BR1/R2</v>
      </c>
      <c r="D55" s="1" t="str">
        <f t="shared" si="73"/>
        <v>Bande R1/R2</v>
      </c>
      <c r="E55" s="1" t="s">
        <v>15</v>
      </c>
      <c r="F55" s="9" t="s">
        <v>5508</v>
      </c>
      <c r="G55" s="9">
        <v>50</v>
      </c>
      <c r="H55" s="9">
        <v>40</v>
      </c>
      <c r="I55" s="127">
        <v>2.8</v>
      </c>
      <c r="J55" s="30"/>
      <c r="K55" s="281"/>
      <c r="L55" s="8">
        <v>1</v>
      </c>
      <c r="M55" s="9">
        <v>1</v>
      </c>
      <c r="N55" s="10">
        <v>1.7490000000000001</v>
      </c>
      <c r="O55" s="269"/>
      <c r="P55" s="331"/>
      <c r="Q55" s="335"/>
      <c r="R55" s="128">
        <v>1</v>
      </c>
      <c r="S55" s="9">
        <v>1</v>
      </c>
      <c r="T55" s="10">
        <v>2</v>
      </c>
      <c r="U55" t="s">
        <v>5523</v>
      </c>
      <c r="V55" s="17">
        <v>0</v>
      </c>
      <c r="W55" s="17">
        <f>IF(Distances[[#This Row],[Colonne4]]=$G55,V55,Distances[[#This Row],[Colonne4]]+1)</f>
        <v>1</v>
      </c>
      <c r="X55" s="17">
        <f>IF(Distances[[#This Row],[Colonne5]]=$G55,W55,Distances[[#This Row],[Colonne5]]+1)</f>
        <v>2</v>
      </c>
      <c r="Y55" s="17">
        <f>IF(Distances[[#This Row],[Colonne6]]=$G55,X55,Distances[[#This Row],[Colonne6]]+1)</f>
        <v>3</v>
      </c>
      <c r="Z55" s="17">
        <f>IF(Distances[[#This Row],[Colonne7]]=$G55,Y55,Distances[[#This Row],[Colonne7]]+1)</f>
        <v>4</v>
      </c>
      <c r="AA55" s="17">
        <f>IF(Distances[[#This Row],[Colonne8]]=$G55,Z55,Distances[[#This Row],[Colonne8]]+1)</f>
        <v>5</v>
      </c>
      <c r="AB55" s="17">
        <f>IF(Distances[[#This Row],[Colonne9]]=$G55,AA55,Distances[[#This Row],[Colonne9]]+1)</f>
        <v>6</v>
      </c>
      <c r="AC55" s="17">
        <f>IF(Distances[[#This Row],[Colonne10]]=$G55,AB55,Distances[[#This Row],[Colonne10]]+1)</f>
        <v>7</v>
      </c>
      <c r="AD55" s="17">
        <f>IF(Distances[[#This Row],[Colonne11]]=$G55,AC55,Distances[[#This Row],[Colonne11]]+1)</f>
        <v>8</v>
      </c>
      <c r="AE55" s="17">
        <f>IF(Distances[[#This Row],[Colonne12]]=$G55,AD55,Distances[[#This Row],[Colonne12]]+1)</f>
        <v>9</v>
      </c>
      <c r="AF55" s="17">
        <f>IF(Distances[[#This Row],[Colonne13]]=$G55,AE55,Distances[[#This Row],[Colonne13]]+1)</f>
        <v>10</v>
      </c>
      <c r="AG55" s="17">
        <f>IF(Distances[[#This Row],[Colonne14]]=$G55,AF55,Distances[[#This Row],[Colonne14]]+1)</f>
        <v>11</v>
      </c>
      <c r="AH55" s="17">
        <f>IF(Distances[[#This Row],[Colonne15]]=$G55,AG55,Distances[[#This Row],[Colonne15]]+1)</f>
        <v>12</v>
      </c>
      <c r="AI55" s="17">
        <f>IF(Distances[[#This Row],[Colonne16]]=$G55,AH55,Distances[[#This Row],[Colonne16]]+1)</f>
        <v>13</v>
      </c>
      <c r="AJ55" s="17">
        <f>IF(Distances[[#This Row],[Colonne17]]=$G55,AI55,Distances[[#This Row],[Colonne17]]+1)</f>
        <v>14</v>
      </c>
      <c r="AK55" s="17">
        <f>IF(Distances[[#This Row],[Colonne18]]=$G55,AJ55,Distances[[#This Row],[Colonne18]]+1)</f>
        <v>15</v>
      </c>
      <c r="AL55" s="17">
        <f>IF(Distances[[#This Row],[Colonne19]]=$G55,AK55,Distances[[#This Row],[Colonne19]]+1)</f>
        <v>16</v>
      </c>
      <c r="AM55" s="17">
        <f>IF(Distances[[#This Row],[Colonne20]]=$G55,AL55,Distances[[#This Row],[Colonne20]]+1)</f>
        <v>17</v>
      </c>
      <c r="AN55" s="17">
        <f>IF(Distances[[#This Row],[Colonne21]]=$G55,AM55,Distances[[#This Row],[Colonne21]]+1)</f>
        <v>18</v>
      </c>
      <c r="AO55" s="17">
        <f>IF(Distances[[#This Row],[Colonne22]]=$G55,AN55,Distances[[#This Row],[Colonne22]]+1)</f>
        <v>19</v>
      </c>
      <c r="AP55" s="17">
        <f>IF(Distances[[#This Row],[Colonne23]]=$G55,AO55,Distances[[#This Row],[Colonne23]]+1)</f>
        <v>20</v>
      </c>
      <c r="AQ55" s="17">
        <f>IF(Distances[[#This Row],[Colonne24]]=$G55,AP55,Distances[[#This Row],[Colonne24]]+1)</f>
        <v>21</v>
      </c>
      <c r="AR55" s="17">
        <f>IF(Distances[[#This Row],[Colonne25]]=$G55,AQ55,Distances[[#This Row],[Colonne25]]+1)</f>
        <v>22</v>
      </c>
      <c r="AS55" s="17">
        <f>IF(Distances[[#This Row],[Colonne26]]=$G55,AR55,Distances[[#This Row],[Colonne26]]+1)</f>
        <v>23</v>
      </c>
      <c r="AT55" s="17">
        <f>IF(Distances[[#This Row],[Colonne27]]=$G55,AS55,Distances[[#This Row],[Colonne27]]+1)</f>
        <v>24</v>
      </c>
      <c r="AU55" s="17">
        <f>IF(Distances[[#This Row],[Colonne28]]=$G55,AT55,Distances[[#This Row],[Colonne28]]+1)</f>
        <v>25</v>
      </c>
      <c r="AV55" s="17">
        <f>IF(Distances[[#This Row],[Colonne29]]=$G55,AU55,Distances[[#This Row],[Colonne29]]+1)</f>
        <v>26</v>
      </c>
      <c r="AW55" s="17">
        <f>IF(Distances[[#This Row],[Colonne30]]=$G55,AV55,Distances[[#This Row],[Colonne30]]+1)</f>
        <v>27</v>
      </c>
      <c r="AX55" s="17">
        <f>IF(Distances[[#This Row],[Colonne31]]=$G55,AW55,Distances[[#This Row],[Colonne31]]+1)</f>
        <v>28</v>
      </c>
      <c r="AY55" s="17">
        <f>IF(Distances[[#This Row],[Colonne32]]=$G55,AX55,Distances[[#This Row],[Colonne32]]+1)</f>
        <v>29</v>
      </c>
      <c r="AZ55" s="17">
        <f>IF(Distances[[#This Row],[Colonne33]]=$G55,AY55,Distances[[#This Row],[Colonne33]]+1)</f>
        <v>30</v>
      </c>
      <c r="BA55" s="17">
        <f>IF(Distances[[#This Row],[Colonne34]]=$G55,AZ55,Distances[[#This Row],[Colonne34]]+1)</f>
        <v>31</v>
      </c>
      <c r="BB55" s="17">
        <f>IF(Distances[[#This Row],[Colonne35]]=$G55,BA55,Distances[[#This Row],[Colonne35]]+1)</f>
        <v>32</v>
      </c>
      <c r="BC55" s="17">
        <f>IF(Distances[[#This Row],[Colonne36]]=$G55,BB55,Distances[[#This Row],[Colonne36]]+1)</f>
        <v>33</v>
      </c>
      <c r="BD55" s="17">
        <f>IF(Distances[[#This Row],[Colonne37]]=$G55,BC55,Distances[[#This Row],[Colonne37]]+1)</f>
        <v>34</v>
      </c>
      <c r="BE55" s="17">
        <f>IF(Distances[[#This Row],[Colonne38]]=$G55,BD55,Distances[[#This Row],[Colonne38]]+1)</f>
        <v>35</v>
      </c>
      <c r="BF55" s="17">
        <f>IF(Distances[[#This Row],[Colonne39]]=$G55,BE55,Distances[[#This Row],[Colonne39]]+1)</f>
        <v>36</v>
      </c>
      <c r="BG55" s="17">
        <f>IF(Distances[[#This Row],[Colonne40]]=$G55,BF55,Distances[[#This Row],[Colonne40]]+1)</f>
        <v>37</v>
      </c>
      <c r="BH55" s="17">
        <f>IF(Distances[[#This Row],[Colonne41]]=$G55,BG55,Distances[[#This Row],[Colonne41]]+1)</f>
        <v>38</v>
      </c>
      <c r="BI55" s="17">
        <f>IF(Distances[[#This Row],[Colonne42]]=$G55,BH55,Distances[[#This Row],[Colonne42]]+1)</f>
        <v>39</v>
      </c>
      <c r="BJ55" s="17">
        <f>IF(Distances[[#This Row],[Colonne43]]=$G55,BI55,Distances[[#This Row],[Colonne43]]+1)</f>
        <v>40</v>
      </c>
      <c r="BK55" s="17">
        <f>IF(Distances[[#This Row],[Colonne44]]=$G55,BJ55,Distances[[#This Row],[Colonne44]]+1)</f>
        <v>41</v>
      </c>
      <c r="BL55" s="17">
        <f>IF(Distances[[#This Row],[Colonne45]]=$G55,BK55,Distances[[#This Row],[Colonne45]]+1)</f>
        <v>42</v>
      </c>
      <c r="BM55" s="17">
        <f>IF(Distances[[#This Row],[Colonne46]]=$G55,BL55,Distances[[#This Row],[Colonne46]]+1)</f>
        <v>43</v>
      </c>
      <c r="BN55" s="17">
        <f>IF(Distances[[#This Row],[Colonne47]]=$G55,BM55,Distances[[#This Row],[Colonne47]]+1)</f>
        <v>44</v>
      </c>
      <c r="BO55" s="17">
        <f>IF(Distances[[#This Row],[Colonne48]]=$G55,BN55,Distances[[#This Row],[Colonne48]]+1)</f>
        <v>45</v>
      </c>
      <c r="BP55" s="17">
        <f>IF(Distances[[#This Row],[Colonne49]]=$G55,BO55,Distances[[#This Row],[Colonne49]]+1)</f>
        <v>46</v>
      </c>
      <c r="BQ55" s="17">
        <f>IF(Distances[[#This Row],[Colonne50]]=$G55,BP55,Distances[[#This Row],[Colonne50]]+1)</f>
        <v>47</v>
      </c>
      <c r="BR55" s="17">
        <f>IF(Distances[[#This Row],[Colonne51]]=$G55,BQ55,Distances[[#This Row],[Colonne51]]+1)</f>
        <v>48</v>
      </c>
      <c r="BS55" s="17">
        <f>IF(Distances[[#This Row],[Colonne52]]=$G55,BR55,Distances[[#This Row],[Colonne52]]+1)</f>
        <v>49</v>
      </c>
      <c r="BT55" s="17">
        <f>IF(Distances[[#This Row],[Colonne53]]=$G55,BS55,Distances[[#This Row],[Colonne53]]+1)</f>
        <v>50</v>
      </c>
      <c r="BU55" s="17">
        <f>IF(Distances[[#This Row],[Colonne54]]=$G55,BT55,Distances[[#This Row],[Colonne54]]+1)</f>
        <v>50</v>
      </c>
      <c r="BV55" s="17">
        <f>IF(Distances[[#This Row],[Colonne55]]=$G55,BU55,Distances[[#This Row],[Colonne55]]+1)</f>
        <v>50</v>
      </c>
      <c r="BW55" s="17">
        <f>IF(Distances[[#This Row],[Colonne56]]=$G55,BV55,Distances[[#This Row],[Colonne56]]+1)</f>
        <v>50</v>
      </c>
      <c r="BX55" s="17">
        <f>IF(Distances[[#This Row],[Colonne57]]=$G55,BW55,Distances[[#This Row],[Colonne57]]+1)</f>
        <v>50</v>
      </c>
      <c r="BY55" s="17">
        <f>IF(Distances[[#This Row],[Colonne58]]=$G55,BX55,Distances[[#This Row],[Colonne58]]+1)</f>
        <v>50</v>
      </c>
      <c r="BZ55" s="17">
        <f>IF(Distances[[#This Row],[Colonne59]]=$G55,BY55,Distances[[#This Row],[Colonne59]]+1)</f>
        <v>50</v>
      </c>
      <c r="CA55" s="17">
        <f>IF(Distances[[#This Row],[Colonne60]]=$G55,BZ55,Distances[[#This Row],[Colonne60]]+1)</f>
        <v>50</v>
      </c>
      <c r="CB55" s="17">
        <f>IF(Distances[[#This Row],[Colonne61]]=$G55,CA55,Distances[[#This Row],[Colonne61]]+1)</f>
        <v>50</v>
      </c>
      <c r="CC55" s="17">
        <f>IF(Distances[[#This Row],[Colonne62]]=$G55,CB55,Distances[[#This Row],[Colonne62]]+1)</f>
        <v>50</v>
      </c>
      <c r="CD55" s="17">
        <f>IF(Distances[[#This Row],[Colonne63]]=$G55,CC55,Distances[[#This Row],[Colonne63]]+1)</f>
        <v>50</v>
      </c>
      <c r="CE55" s="17">
        <f>IF(Distances[[#This Row],[Colonne64]]=$G55,CD55,Distances[[#This Row],[Colonne64]]+1)</f>
        <v>50</v>
      </c>
      <c r="CF55" s="17">
        <f>IF(Distances[[#This Row],[Colonne65]]=$G55,CE55,Distances[[#This Row],[Colonne65]]+1)</f>
        <v>50</v>
      </c>
      <c r="CG55" s="17">
        <f>IF(Distances[[#This Row],[Colonne66]]=$G55,CF55,Distances[[#This Row],[Colonne66]]+1)</f>
        <v>50</v>
      </c>
      <c r="CH55" s="17">
        <f>IF(Distances[[#This Row],[Colonne67]]=$G55,CG55,Distances[[#This Row],[Colonne67]]+1)</f>
        <v>50</v>
      </c>
      <c r="CI55" s="17">
        <f>IF(Distances[[#This Row],[Colonne68]]=$G55,CH55,Distances[[#This Row],[Colonne68]]+1)</f>
        <v>50</v>
      </c>
      <c r="CJ55" s="17">
        <f>IF(Distances[[#This Row],[Colonne69]]=$G55,CI55,Distances[[#This Row],[Colonne69]]+1)</f>
        <v>50</v>
      </c>
      <c r="CK55" s="17">
        <f>IF(Distances[[#This Row],[Colonne70]]=$G55,CJ55,Distances[[#This Row],[Colonne70]]+1)</f>
        <v>50</v>
      </c>
      <c r="CL55" s="17">
        <f>IF(Distances[[#This Row],[Colonne71]]=$G55,CK55,Distances[[#This Row],[Colonne71]]+1)</f>
        <v>50</v>
      </c>
      <c r="CM55" s="17">
        <f>IF(Distances[[#This Row],[Colonne72]]=$G55,CL55,Distances[[#This Row],[Colonne72]]+1)</f>
        <v>50</v>
      </c>
      <c r="CN55" s="17">
        <f>IF(Distances[[#This Row],[Colonne73]]=$G55,CM55,Distances[[#This Row],[Colonne73]]+1)</f>
        <v>50</v>
      </c>
      <c r="CO55" s="17">
        <f>IF(Distances[[#This Row],[Colonne74]]=$G55,CN55,Distances[[#This Row],[Colonne74]]+1)</f>
        <v>50</v>
      </c>
      <c r="CP55" s="17">
        <f>IF(Distances[[#This Row],[Colonne75]]=$G55,CO55,Distances[[#This Row],[Colonne75]]+1)</f>
        <v>50</v>
      </c>
      <c r="CQ55" s="17">
        <f>IF(Distances[[#This Row],[Colonne76]]=$G55,CP55,Distances[[#This Row],[Colonne76]]+1)</f>
        <v>50</v>
      </c>
      <c r="CR55" s="17">
        <f>IF(Distances[[#This Row],[Colonne77]]=$G55,CQ55,Distances[[#This Row],[Colonne77]]+1)</f>
        <v>50</v>
      </c>
      <c r="CS55" s="17">
        <f>IF(Distances[[#This Row],[Colonne78]]=$G55,CR55,Distances[[#This Row],[Colonne78]]+1)</f>
        <v>50</v>
      </c>
      <c r="CT55" s="17">
        <f>IF(Distances[[#This Row],[Colonne79]]=$G55,CS55,Distances[[#This Row],[Colonne79]]+1)</f>
        <v>50</v>
      </c>
      <c r="CU55" s="17">
        <f>IF(Distances[[#This Row],[Colonne80]]=$G55,CT55,Distances[[#This Row],[Colonne80]]+1)</f>
        <v>50</v>
      </c>
      <c r="CV55" s="17">
        <f>IF(Distances[[#This Row],[Colonne81]]=$G55,CU55,Distances[[#This Row],[Colonne81]]+1)</f>
        <v>50</v>
      </c>
      <c r="CW55" s="17">
        <f>IF(Distances[[#This Row],[Colonne82]]=$G55,CV55,Distances[[#This Row],[Colonne82]]+1)</f>
        <v>50</v>
      </c>
      <c r="CX55" s="17">
        <f>IF(Distances[[#This Row],[Colonne83]]=$G55,CW55,Distances[[#This Row],[Colonne83]]+1)</f>
        <v>50</v>
      </c>
      <c r="CY55" s="17">
        <f>IF(Distances[[#This Row],[Colonne84]]=$G55,CX55,Distances[[#This Row],[Colonne84]]+1)</f>
        <v>50</v>
      </c>
      <c r="CZ55" s="17">
        <f>IF(Distances[[#This Row],[Colonne85]]=$G55,CY55,Distances[[#This Row],[Colonne85]]+1)</f>
        <v>50</v>
      </c>
      <c r="DA55" s="17">
        <f>IF(Distances[[#This Row],[Colonne86]]=$G55,CZ55,Distances[[#This Row],[Colonne86]]+1)</f>
        <v>50</v>
      </c>
      <c r="DB55" s="17">
        <f>IF(Distances[[#This Row],[Colonne87]]=$G55,DA55,Distances[[#This Row],[Colonne87]]+1)</f>
        <v>50</v>
      </c>
      <c r="DC55" s="17">
        <f>IF(Distances[[#This Row],[Colonne88]]=$G55,DB55,Distances[[#This Row],[Colonne88]]+1)</f>
        <v>50</v>
      </c>
      <c r="DD55" s="17">
        <f>IF(Distances[[#This Row],[Colonne89]]=$G55,DC55,Distances[[#This Row],[Colonne89]]+1)</f>
        <v>50</v>
      </c>
      <c r="DE55" s="17">
        <f>IF(Distances[[#This Row],[Colonne90]]=$G55,DD55,Distances[[#This Row],[Colonne90]]+1)</f>
        <v>50</v>
      </c>
      <c r="DF55" s="17">
        <f>IF(Distances[[#This Row],[Colonne91]]=$G55,DE55,Distances[[#This Row],[Colonne91]]+1)</f>
        <v>50</v>
      </c>
      <c r="DG55" s="17">
        <f>IF(Distances[[#This Row],[Colonne92]]=$G55,DF55,Distances[[#This Row],[Colonne92]]+1)</f>
        <v>50</v>
      </c>
      <c r="DH55" s="17">
        <f>IF(Distances[[#This Row],[Colonne93]]=$G55,DG55,Distances[[#This Row],[Colonne93]]+1)</f>
        <v>50</v>
      </c>
      <c r="DI55" s="17">
        <f>IF(Distances[[#This Row],[Colonne94]]=$G55,DH55,Distances[[#This Row],[Colonne94]]+1)</f>
        <v>50</v>
      </c>
      <c r="DJ55" s="17">
        <f>IF(Distances[[#This Row],[Colonne95]]=$G55,DI55,Distances[[#This Row],[Colonne95]]+1)</f>
        <v>50</v>
      </c>
      <c r="DK55" s="17">
        <f>IF(Distances[[#This Row],[Colonne96]]=$G55,DJ55,Distances[[#This Row],[Colonne96]]+1)</f>
        <v>50</v>
      </c>
      <c r="DL55" s="17">
        <f>IF(Distances[[#This Row],[Colonne97]]=$G55,DK55,Distances[[#This Row],[Colonne97]]+1)</f>
        <v>50</v>
      </c>
      <c r="DM55" s="17">
        <f>IF(Distances[[#This Row],[Colonne98]]=$G55,DL55,Distances[[#This Row],[Colonne98]]+1)</f>
        <v>50</v>
      </c>
      <c r="DN55" s="17">
        <f>IF(Distances[[#This Row],[Colonne99]]=$G55,DM55,Distances[[#This Row],[Colonne99]]+1)</f>
        <v>50</v>
      </c>
      <c r="DO55" s="17">
        <f>IF(Distances[[#This Row],[Colonne100]]=$G55,DN55,Distances[[#This Row],[Colonne100]]+1)</f>
        <v>50</v>
      </c>
      <c r="DP55" s="17">
        <f>IF(Distances[[#This Row],[Colonne101]]=$G55,DO55,Distances[[#This Row],[Colonne101]]+1)</f>
        <v>50</v>
      </c>
      <c r="DQ55" s="17">
        <f>IF(Distances[[#This Row],[Colonne102]]=$G55,DP55,Distances[[#This Row],[Colonne102]]+1)</f>
        <v>50</v>
      </c>
      <c r="DR55" s="17">
        <f>IF(Distances[[#This Row],[Colonne103]]=$G55,DQ55,Distances[[#This Row],[Colonne103]]+1)</f>
        <v>50</v>
      </c>
      <c r="DS55" s="17">
        <f>IF(Distances[[#This Row],[Colonne104]]=$G55,DR55,Distances[[#This Row],[Colonne104]]+1)</f>
        <v>50</v>
      </c>
      <c r="DT55" s="17">
        <f>IF(Distances[[#This Row],[Colonne105]]=$G55,DS55,Distances[[#This Row],[Colonne105]]+1)</f>
        <v>50</v>
      </c>
      <c r="DU55" s="17">
        <f>IF(Distances[[#This Row],[Colonne106]]=$G55,DT55,Distances[[#This Row],[Colonne106]]+1)</f>
        <v>50</v>
      </c>
      <c r="DV55" s="17">
        <f>IF(Distances[[#This Row],[Colonne107]]=$G55,DU55,Distances[[#This Row],[Colonne107]]+1)</f>
        <v>50</v>
      </c>
      <c r="DW55" s="17">
        <f>IF(Distances[[#This Row],[Colonne108]]=$G55,DV55,Distances[[#This Row],[Colonne108]]+1)</f>
        <v>50</v>
      </c>
      <c r="DX55" s="17">
        <f>IF(Distances[[#This Row],[Colonne109]]=$G55,DW55,Distances[[#This Row],[Colonne109]]+1)</f>
        <v>50</v>
      </c>
      <c r="DY55" s="17">
        <f>IF(Distances[[#This Row],[Colonne110]]=$G55,DX55,Distances[[#This Row],[Colonne110]]+1)</f>
        <v>50</v>
      </c>
      <c r="DZ55" s="17">
        <f>IF(Distances[[#This Row],[Colonne111]]=$G55,DY55,Distances[[#This Row],[Colonne111]]+1)</f>
        <v>50</v>
      </c>
      <c r="EA55" s="17">
        <f>IF(Distances[[#This Row],[Colonne112]]=$G55,DZ55,Distances[[#This Row],[Colonne112]]+1)</f>
        <v>50</v>
      </c>
      <c r="EB55" s="17">
        <f>IF(Distances[[#This Row],[Colonne113]]=$G55,EA55,Distances[[#This Row],[Colonne113]]+1)</f>
        <v>50</v>
      </c>
      <c r="EC55" s="17">
        <f>IF(Distances[[#This Row],[Colonne114]]=$G55,EB55,Distances[[#This Row],[Colonne114]]+1)</f>
        <v>50</v>
      </c>
      <c r="ED55" s="17">
        <f>IF(Distances[[#This Row],[Colonne115]]=$G55,EC55,Distances[[#This Row],[Colonne115]]+1)</f>
        <v>50</v>
      </c>
      <c r="EE55" s="17">
        <f>IF(Distances[[#This Row],[Colonne116]]=$G55,ED55,Distances[[#This Row],[Colonne116]]+1)</f>
        <v>50</v>
      </c>
      <c r="EF55" s="17">
        <f>IF(Distances[[#This Row],[Colonne117]]=$G55,EE55,Distances[[#This Row],[Colonne117]]+1)</f>
        <v>50</v>
      </c>
      <c r="EG55" s="17">
        <f>IF(Distances[[#This Row],[Colonne118]]=$G55,EF55,Distances[[#This Row],[Colonne118]]+1)</f>
        <v>50</v>
      </c>
      <c r="EH55" s="17">
        <f>IF(Distances[[#This Row],[Colonne119]]=$G55,EG55,Distances[[#This Row],[Colonne119]]+1)</f>
        <v>50</v>
      </c>
      <c r="EI55" s="17">
        <f>IF(Distances[[#This Row],[Colonne120]]=$G55,EH55,Distances[[#This Row],[Colonne120]]+1)</f>
        <v>50</v>
      </c>
      <c r="EJ55" s="17">
        <f>IF(Distances[[#This Row],[Colonne121]]=$G55,EI55,Distances[[#This Row],[Colonne121]]+1)</f>
        <v>50</v>
      </c>
      <c r="EK55" s="17">
        <f>IF(Distances[[#This Row],[Colonne122]]=$G55,EJ55,Distances[[#This Row],[Colonne122]]+1)</f>
        <v>50</v>
      </c>
      <c r="EL55" s="17">
        <f>IF(Distances[[#This Row],[Colonne123]]=$G55,EK55,Distances[[#This Row],[Colonne123]]+1)</f>
        <v>50</v>
      </c>
      <c r="EM55" s="17">
        <f>IF(Distances[[#This Row],[Colonne124]]=$G55,EL55,Distances[[#This Row],[Colonne124]]+1)</f>
        <v>50</v>
      </c>
      <c r="EN55" s="17">
        <f>IF(Distances[[#This Row],[Colonne125]]=$G55,EM55,Distances[[#This Row],[Colonne125]]+1)</f>
        <v>50</v>
      </c>
      <c r="EO55" s="17">
        <f>IF(Distances[[#This Row],[Colonne126]]=$G55,EN55,Distances[[#This Row],[Colonne126]]+1)</f>
        <v>50</v>
      </c>
      <c r="EP55" s="17">
        <f>IF(Distances[[#This Row],[Colonne127]]=$G55,EO55,Distances[[#This Row],[Colonne127]]+1)</f>
        <v>50</v>
      </c>
      <c r="EQ55" s="17">
        <f>IF(Distances[[#This Row],[Colonne128]]=$G55,EP55,Distances[[#This Row],[Colonne128]]+1)</f>
        <v>50</v>
      </c>
      <c r="ER55" s="17">
        <f>IF(Distances[[#This Row],[Colonne129]]=$G55,EQ55,Distances[[#This Row],[Colonne129]]+1)</f>
        <v>50</v>
      </c>
      <c r="ES55" s="17">
        <f>IF(Distances[[#This Row],[Colonne130]]=$G55,ER55,Distances[[#This Row],[Colonne130]]+1)</f>
        <v>50</v>
      </c>
      <c r="ET55" s="17">
        <f>IF(Distances[[#This Row],[Colonne131]]=$G55,ES55,Distances[[#This Row],[Colonne131]]+1)</f>
        <v>50</v>
      </c>
      <c r="EU55" s="17">
        <f>IF(Distances[[#This Row],[Colonne132]]=$G55,ET55,Distances[[#This Row],[Colonne132]]+1)</f>
        <v>50</v>
      </c>
      <c r="EV55" s="17">
        <f>IF(Distances[[#This Row],[Colonne133]]=$G55,EU55,Distances[[#This Row],[Colonne133]]+1)</f>
        <v>50</v>
      </c>
      <c r="EW55" s="17">
        <f>IF(Distances[[#This Row],[Colonne134]]=$G55,EV55,Distances[[#This Row],[Colonne134]]+1)</f>
        <v>50</v>
      </c>
      <c r="EX55" s="17">
        <f>IF(Distances[[#This Row],[Colonne135]]=$G55,EW55,Distances[[#This Row],[Colonne135]]+1)</f>
        <v>50</v>
      </c>
      <c r="EY55" s="17">
        <f>IF(Distances[[#This Row],[Colonne136]]=$G55,EX55,Distances[[#This Row],[Colonne136]]+1)</f>
        <v>50</v>
      </c>
      <c r="EZ55" s="17">
        <f>IF(Distances[[#This Row],[Colonne137]]=$G55,EY55,Distances[[#This Row],[Colonne137]]+1)</f>
        <v>50</v>
      </c>
      <c r="FA55" s="17">
        <f>IF(Distances[[#This Row],[Colonne138]]=$G55,EZ55,Distances[[#This Row],[Colonne138]]+1)</f>
        <v>50</v>
      </c>
      <c r="FB55" s="17">
        <f>IF(Distances[[#This Row],[Colonne139]]=$G55,FA55,Distances[[#This Row],[Colonne139]]+1)</f>
        <v>50</v>
      </c>
      <c r="FC55" s="17">
        <f>IF(Distances[[#This Row],[Colonne140]]=$G55,FB55,Distances[[#This Row],[Colonne140]]+1)</f>
        <v>50</v>
      </c>
      <c r="FD55" s="17">
        <f>IF(Distances[[#This Row],[Colonne141]]=$G55,FC55,Distances[[#This Row],[Colonne141]]+1)</f>
        <v>50</v>
      </c>
      <c r="FE55" s="17">
        <f>IF(Distances[[#This Row],[Colonne142]]=$G55,FD55,Distances[[#This Row],[Colonne142]]+1)</f>
        <v>50</v>
      </c>
      <c r="FF55" s="17">
        <f>IF(Distances[[#This Row],[Colonne143]]=$G55,FE55,Distances[[#This Row],[Colonne143]]+1)</f>
        <v>50</v>
      </c>
      <c r="FG55" s="17">
        <f>IF(Distances[[#This Row],[Colonne144]]=$G55,FF55,Distances[[#This Row],[Colonne144]]+1)</f>
        <v>50</v>
      </c>
      <c r="FH55" s="17">
        <f>IF(Distances[[#This Row],[Colonne145]]=$G55,FG55,Distances[[#This Row],[Colonne145]]+1)</f>
        <v>50</v>
      </c>
      <c r="FI55" s="17">
        <f>IF(Distances[[#This Row],[Colonne146]]=$G55,FH55,Distances[[#This Row],[Colonne146]]+1)</f>
        <v>50</v>
      </c>
      <c r="FJ55" s="17">
        <f>IF(Distances[[#This Row],[Colonne147]]=$G55,FI55,Distances[[#This Row],[Colonne147]]+1)</f>
        <v>50</v>
      </c>
      <c r="FK55" s="17">
        <f>IF(Distances[[#This Row],[Colonne148]]=$G55,FJ55,Distances[[#This Row],[Colonne148]]+1)</f>
        <v>50</v>
      </c>
      <c r="FL55" s="17">
        <f>IF(Distances[[#This Row],[Colonne149]]=$G55,FK55,Distances[[#This Row],[Colonne149]]+1)</f>
        <v>50</v>
      </c>
      <c r="FM55" s="17">
        <f>IF(Distances[[#This Row],[Colonne150]]=$G55,FL55,Distances[[#This Row],[Colonne150]]+1)</f>
        <v>50</v>
      </c>
      <c r="FN55" s="17">
        <f>IF(Distances[[#This Row],[Colonne151]]=$G55,FM55,Distances[[#This Row],[Colonne151]]+1)</f>
        <v>50</v>
      </c>
      <c r="FO55" s="17">
        <f>IF(Distances[[#This Row],[Colonne152]]=$G55,FN55,Distances[[#This Row],[Colonne152]]+1)</f>
        <v>50</v>
      </c>
      <c r="FP55" s="17">
        <f>IF(Distances[[#This Row],[Colonne153]]=$G55,FO55,Distances[[#This Row],[Colonne153]]+1)</f>
        <v>50</v>
      </c>
      <c r="FQ55" s="17">
        <f>IF(Distances[[#This Row],[Colonne154]]=$G55,FP55,Distances[[#This Row],[Colonne154]]+1)</f>
        <v>50</v>
      </c>
      <c r="FR55" s="17">
        <f>IF(Distances[[#This Row],[Colonne155]]=$G55,FQ55,Distances[[#This Row],[Colonne155]]+1)</f>
        <v>50</v>
      </c>
      <c r="FS55" s="17">
        <f>IF(Distances[[#This Row],[Colonne156]]=$G55,FR55,Distances[[#This Row],[Colonne156]]+1)</f>
        <v>50</v>
      </c>
      <c r="FT55" s="17">
        <f>IF(Distances[[#This Row],[Colonne157]]=$G55,FS55,Distances[[#This Row],[Colonne157]]+1)</f>
        <v>50</v>
      </c>
      <c r="FU55" s="17">
        <f>IF(Distances[[#This Row],[Colonne158]]=$G55,FT55,Distances[[#This Row],[Colonne158]]+1)</f>
        <v>50</v>
      </c>
      <c r="FV55" s="17">
        <f>IF(Distances[[#This Row],[Colonne159]]=$G55,FU55,Distances[[#This Row],[Colonne159]]+1)</f>
        <v>50</v>
      </c>
      <c r="FW55" s="17">
        <f>IF(Distances[[#This Row],[Colonne160]]=$G55,FV55,Distances[[#This Row],[Colonne160]]+1)</f>
        <v>50</v>
      </c>
      <c r="FX55" s="17">
        <f>IF(Distances[[#This Row],[Colonne161]]=$G55,FW55,Distances[[#This Row],[Colonne161]]+1)</f>
        <v>50</v>
      </c>
      <c r="FY55" s="17">
        <f>IF(Distances[[#This Row],[Colonne162]]=$G55,FX55,Distances[[#This Row],[Colonne162]]+1)</f>
        <v>50</v>
      </c>
      <c r="FZ55" s="17">
        <f>IF(Distances[[#This Row],[Colonne163]]=$G55,FY55,Distances[[#This Row],[Colonne163]]+1)</f>
        <v>50</v>
      </c>
      <c r="GA55" s="17">
        <f>IF(Distances[[#This Row],[Colonne164]]=$G55,FZ55,Distances[[#This Row],[Colonne164]]+1)</f>
        <v>50</v>
      </c>
      <c r="GB55" s="17">
        <f>IF(Distances[[#This Row],[Colonne165]]=$G55,GA55,Distances[[#This Row],[Colonne165]]+1)</f>
        <v>50</v>
      </c>
      <c r="GC55" s="17">
        <f>IF(Distances[[#This Row],[Colonne166]]=$G55,GB55,Distances[[#This Row],[Colonne166]]+1)</f>
        <v>50</v>
      </c>
      <c r="GD55" s="17">
        <f>IF(Distances[[#This Row],[Colonne167]]=$G55,GC55,Distances[[#This Row],[Colonne167]]+1)</f>
        <v>50</v>
      </c>
      <c r="GE55" s="17">
        <f>IF(Distances[[#This Row],[Colonne168]]=$G55,GD55,Distances[[#This Row],[Colonne168]]+1)</f>
        <v>50</v>
      </c>
      <c r="GF55" s="17">
        <f>IF(Distances[[#This Row],[Colonne169]]=$G55,GE55,Distances[[#This Row],[Colonne169]]+1)</f>
        <v>50</v>
      </c>
      <c r="GG55" s="17">
        <f>IF(Distances[[#This Row],[Colonne170]]=$G55,GF55,Distances[[#This Row],[Colonne170]]+1)</f>
        <v>50</v>
      </c>
      <c r="GH55" s="17">
        <f>IF(Distances[[#This Row],[Colonne171]]=$G55,GG55,Distances[[#This Row],[Colonne171]]+1)</f>
        <v>50</v>
      </c>
      <c r="GI55" s="17">
        <f>IF(Distances[[#This Row],[Colonne172]]=$G55,GH55,Distances[[#This Row],[Colonne172]]+1)</f>
        <v>50</v>
      </c>
      <c r="GJ55" s="17">
        <f>IF(Distances[[#This Row],[Colonne173]]=$G55,GI55,Distances[[#This Row],[Colonne173]]+1)</f>
        <v>50</v>
      </c>
      <c r="GK55" s="17">
        <f>IF(Distances[[#This Row],[Colonne174]]=$G55,GJ55,Distances[[#This Row],[Colonne174]]+1)</f>
        <v>50</v>
      </c>
      <c r="GL55" s="17">
        <f>IF(Distances[[#This Row],[Colonne175]]=$G55,GK55,Distances[[#This Row],[Colonne175]]+1)</f>
        <v>50</v>
      </c>
      <c r="GM55" s="17">
        <f>IF(Distances[[#This Row],[Colonne176]]=$G55,GL55,Distances[[#This Row],[Colonne176]]+1)</f>
        <v>50</v>
      </c>
      <c r="GN55" s="17">
        <f>IF(Distances[[#This Row],[Colonne177]]=$G55,GM55,Distances[[#This Row],[Colonne177]]+1)</f>
        <v>50</v>
      </c>
      <c r="GO55" s="17">
        <f>IF(Distances[[#This Row],[Colonne178]]=$G55,GN55,Distances[[#This Row],[Colonne178]]+1)</f>
        <v>50</v>
      </c>
      <c r="GP55" s="17">
        <f>IF(Distances[[#This Row],[Colonne179]]=$G55,GO55,Distances[[#This Row],[Colonne179]]+1)</f>
        <v>50</v>
      </c>
      <c r="GQ55" s="17">
        <f>IF(Distances[[#This Row],[Colonne180]]=$G55,GP55,Distances[[#This Row],[Colonne180]]+1)</f>
        <v>50</v>
      </c>
      <c r="GR55" s="17">
        <f>IF(Distances[[#This Row],[Colonne181]]=$G55,GQ55,Distances[[#This Row],[Colonne181]]+1)</f>
        <v>50</v>
      </c>
      <c r="GS55" s="17">
        <f>IF(Distances[[#This Row],[Colonne182]]=$G55,GR55,Distances[[#This Row],[Colonne182]]+1)</f>
        <v>50</v>
      </c>
      <c r="GT55" s="17">
        <f>IF(Distances[[#This Row],[Colonne183]]=$G55,GS55,Distances[[#This Row],[Colonne183]]+1)</f>
        <v>50</v>
      </c>
      <c r="GU55" s="17">
        <f>IF(Distances[[#This Row],[Colonne184]]=$G55,GT55,Distances[[#This Row],[Colonne184]]+1)</f>
        <v>50</v>
      </c>
      <c r="GV55" s="17">
        <f>IF(Distances[[#This Row],[Colonne185]]=$G55,GU55,Distances[[#This Row],[Colonne185]]+1)</f>
        <v>50</v>
      </c>
      <c r="GW55" s="17">
        <f>IF(Distances[[#This Row],[Colonne186]]=$G55,GV55,Distances[[#This Row],[Colonne186]]+1)</f>
        <v>50</v>
      </c>
      <c r="GX55" s="17">
        <f>IF(Distances[[#This Row],[Colonne187]]=$G55,GW55,Distances[[#This Row],[Colonne187]]+1)</f>
        <v>50</v>
      </c>
      <c r="GY55" s="17">
        <f>IF(Distances[[#This Row],[Colonne188]]=$G55,GX55,Distances[[#This Row],[Colonne188]]+1)</f>
        <v>50</v>
      </c>
      <c r="GZ55" s="17">
        <f>IF(Distances[[#This Row],[Colonne189]]=$G55,GY55,Distances[[#This Row],[Colonne189]]+1)</f>
        <v>50</v>
      </c>
      <c r="HA55" s="17">
        <f>IF(Distances[[#This Row],[Colonne190]]=$G55,GZ55,Distances[[#This Row],[Colonne190]]+1)</f>
        <v>50</v>
      </c>
      <c r="HB55" s="17">
        <f>IF(Distances[[#This Row],[Colonne191]]=$G55,HA55,Distances[[#This Row],[Colonne191]]+1)</f>
        <v>50</v>
      </c>
      <c r="HC55" s="17">
        <f>IF(Distances[[#This Row],[Colonne192]]=$G55,HB55,Distances[[#This Row],[Colonne192]]+1)</f>
        <v>50</v>
      </c>
      <c r="HD55" s="17">
        <f>IF(Distances[[#This Row],[Colonne193]]=$G55,HC55,Distances[[#This Row],[Colonne193]]+1)</f>
        <v>50</v>
      </c>
      <c r="HE55" s="17">
        <f>IF(Distances[[#This Row],[Colonne194]]=$G55,HD55,Distances[[#This Row],[Colonne194]]+1)</f>
        <v>50</v>
      </c>
      <c r="HF55" s="17">
        <f>IF(Distances[[#This Row],[Colonne195]]=$G55,HE55,Distances[[#This Row],[Colonne195]]+1)</f>
        <v>50</v>
      </c>
      <c r="HG55" s="17">
        <f>IF(Distances[[#This Row],[Colonne196]]=$G55,HF55,Distances[[#This Row],[Colonne196]]+1)</f>
        <v>50</v>
      </c>
      <c r="HH55" s="17">
        <f>IF(Distances[[#This Row],[Colonne197]]=$G55,HG55,Distances[[#This Row],[Colonne197]]+1)</f>
        <v>50</v>
      </c>
      <c r="HI55" s="17">
        <f>IF(Distances[[#This Row],[Colonne198]]=$G55,HH55,Distances[[#This Row],[Colonne198]]+1)</f>
        <v>50</v>
      </c>
      <c r="HJ55" s="17">
        <f>IF(Distances[[#This Row],[Colonne199]]=$G55,HI55,Distances[[#This Row],[Colonne199]]+1)</f>
        <v>50</v>
      </c>
      <c r="HK55" s="17">
        <f>IF(Distances[[#This Row],[Colonne200]]=$G55,HJ55,Distances[[#This Row],[Colonne200]]+1)</f>
        <v>50</v>
      </c>
      <c r="HL55" s="17">
        <f>IF(Distances[[#This Row],[Colonne201]]=$G55,HK55,Distances[[#This Row],[Colonne201]]+1)</f>
        <v>50</v>
      </c>
      <c r="HM55" s="17">
        <f>IF(Distances[[#This Row],[Colonne202]]=$G55,HL55,Distances[[#This Row],[Colonne202]]+1)</f>
        <v>50</v>
      </c>
      <c r="HN55" s="17">
        <f>IF(Distances[[#This Row],[Colonne203]]=$G55,HM55,Distances[[#This Row],[Colonne203]]+1)</f>
        <v>50</v>
      </c>
      <c r="HO55" s="17">
        <f>IF(Distances[[#This Row],[Colonne204]]=$G55,HN55,Distances[[#This Row],[Colonne204]]+1)</f>
        <v>50</v>
      </c>
      <c r="HP55" s="17">
        <f>IF(Distances[[#This Row],[Colonne205]]=$G55,HO55,Distances[[#This Row],[Colonne205]]+1)</f>
        <v>50</v>
      </c>
      <c r="HQ55" s="17">
        <f>IF(Distances[[#This Row],[Colonne206]]=$G55,HP55,Distances[[#This Row],[Colonne206]]+1)</f>
        <v>50</v>
      </c>
      <c r="HR55" s="17">
        <f>IF(Distances[[#This Row],[Colonne207]]=$G55,HQ55,Distances[[#This Row],[Colonne207]]+1)</f>
        <v>50</v>
      </c>
      <c r="HS55" s="17">
        <f>IF(Distances[[#This Row],[Colonne208]]=$G55,HR55,Distances[[#This Row],[Colonne208]]+1)</f>
        <v>50</v>
      </c>
      <c r="HT55" s="17">
        <f>IF(Distances[[#This Row],[Colonne209]]=$G55,HS55,Distances[[#This Row],[Colonne209]]+1)</f>
        <v>50</v>
      </c>
      <c r="HU55" s="17">
        <f>IF(Distances[[#This Row],[Colonne210]]=$G55,HT55,Distances[[#This Row],[Colonne210]]+1)</f>
        <v>50</v>
      </c>
      <c r="HV55" s="17">
        <f>IF(Distances[[#This Row],[Colonne211]]=$G55,HU55,Distances[[#This Row],[Colonne211]]+1)</f>
        <v>50</v>
      </c>
      <c r="HW55" s="17">
        <f>IF(Distances[[#This Row],[Colonne212]]=$G55,HV55,Distances[[#This Row],[Colonne212]]+1)</f>
        <v>50</v>
      </c>
      <c r="HX55" s="17">
        <f>IF(Distances[[#This Row],[Colonne213]]=$G55,HW55,Distances[[#This Row],[Colonne213]]+1)</f>
        <v>50</v>
      </c>
      <c r="HY55" s="17">
        <f>IF(Distances[[#This Row],[Colonne214]]=$G55,HX55,Distances[[#This Row],[Colonne214]]+1)</f>
        <v>50</v>
      </c>
      <c r="HZ55" s="17">
        <f>IF(Distances[[#This Row],[Colonne215]]=$G55,HY55,Distances[[#This Row],[Colonne215]]+1)</f>
        <v>50</v>
      </c>
      <c r="IA55" s="17">
        <f>IF(Distances[[#This Row],[Colonne216]]=$G55,HZ55,Distances[[#This Row],[Colonne216]]+1)</f>
        <v>50</v>
      </c>
      <c r="IB55" s="17">
        <f>IF(Distances[[#This Row],[Colonne217]]=$G55,IA55,Distances[[#This Row],[Colonne217]]+1)</f>
        <v>50</v>
      </c>
      <c r="IC55" s="17">
        <f>IF(Distances[[#This Row],[Colonne218]]=$G55,IB55,Distances[[#This Row],[Colonne218]]+1)</f>
        <v>50</v>
      </c>
      <c r="ID55" s="17">
        <f>IF(Distances[[#This Row],[Colonne219]]=$G55,IC55,Distances[[#This Row],[Colonne219]]+1)</f>
        <v>50</v>
      </c>
      <c r="IE55" s="17">
        <f>IF(Distances[[#This Row],[Colonne220]]=$G55,ID55,Distances[[#This Row],[Colonne220]]+1)</f>
        <v>50</v>
      </c>
      <c r="IF55" s="17">
        <f>IF(Distances[[#This Row],[Colonne221]]=$G55,IE55,Distances[[#This Row],[Colonne221]]+1)</f>
        <v>50</v>
      </c>
      <c r="IG55" s="17">
        <f>IF(Distances[[#This Row],[Colonne222]]=$G55,IF55,Distances[[#This Row],[Colonne222]]+1)</f>
        <v>50</v>
      </c>
      <c r="IH55" s="17">
        <f>IF(Distances[[#This Row],[Colonne223]]=$G55,IG55,Distances[[#This Row],[Colonne223]]+1)</f>
        <v>50</v>
      </c>
      <c r="II55" s="17">
        <f>IF(Distances[[#This Row],[Colonne224]]=$G55,IH55,Distances[[#This Row],[Colonne224]]+1)</f>
        <v>50</v>
      </c>
      <c r="IJ55" s="17">
        <f>IF(Distances[[#This Row],[Colonne225]]=$G55,II55,Distances[[#This Row],[Colonne225]]+1)</f>
        <v>50</v>
      </c>
      <c r="IK55" s="17">
        <f>IF(Distances[[#This Row],[Colonne226]]=$G55,IJ55,Distances[[#This Row],[Colonne226]]+1)</f>
        <v>50</v>
      </c>
      <c r="IL55" s="17">
        <f>IF(Distances[[#This Row],[Colonne227]]=$G55,IK55,Distances[[#This Row],[Colonne227]]+1)</f>
        <v>50</v>
      </c>
      <c r="IM55" s="17">
        <f>IF(Distances[[#This Row],[Colonne228]]=$G55,IL55,Distances[[#This Row],[Colonne228]]+1)</f>
        <v>50</v>
      </c>
      <c r="IN55" s="17">
        <f>IF(Distances[[#This Row],[Colonne229]]=$G55,IM55,Distances[[#This Row],[Colonne229]]+1)</f>
        <v>50</v>
      </c>
      <c r="IO55" s="17">
        <f>IF(Distances[[#This Row],[Colonne230]]=$G55,IN55,Distances[[#This Row],[Colonne230]]+1)</f>
        <v>50</v>
      </c>
      <c r="IP55" s="17">
        <f>IF(Distances[[#This Row],[Colonne231]]=$G55,IO55,Distances[[#This Row],[Colonne231]]+1)</f>
        <v>50</v>
      </c>
      <c r="IQ55" s="17">
        <f>IF(Distances[[#This Row],[Colonne232]]=$G55,IP55,Distances[[#This Row],[Colonne232]]+1)</f>
        <v>50</v>
      </c>
      <c r="IR55" s="17">
        <f>IF(Distances[[#This Row],[Colonne233]]=$G55,IQ55,Distances[[#This Row],[Colonne233]]+1)</f>
        <v>50</v>
      </c>
      <c r="IS55" s="17">
        <f>IF(Distances[[#This Row],[Colonne234]]=$G55,IR55,Distances[[#This Row],[Colonne234]]+1)</f>
        <v>50</v>
      </c>
      <c r="IT55" s="17">
        <f>IF(Distances[[#This Row],[Colonne235]]=$G55,IS55,Distances[[#This Row],[Colonne235]]+1)</f>
        <v>50</v>
      </c>
      <c r="IU55" s="17">
        <f>IF(Distances[[#This Row],[Colonne236]]=$G55,IT55,Distances[[#This Row],[Colonne236]]+1)</f>
        <v>50</v>
      </c>
      <c r="IV55" s="17">
        <f>IF(Distances[[#This Row],[Colonne237]]=$G55,IU55,Distances[[#This Row],[Colonne237]]+1)</f>
        <v>50</v>
      </c>
      <c r="IW55" s="17">
        <f>IF(Distances[[#This Row],[Colonne238]]=$G55,IV55,Distances[[#This Row],[Colonne238]]+1)</f>
        <v>50</v>
      </c>
      <c r="IX55" s="17">
        <f>IF(Distances[[#This Row],[Colonne239]]=$G55,IW55,Distances[[#This Row],[Colonne239]]+1)</f>
        <v>50</v>
      </c>
      <c r="IY55" s="17">
        <f>IF(Distances[[#This Row],[Colonne240]]=$G55,IX55,Distances[[#This Row],[Colonne240]]+1)</f>
        <v>50</v>
      </c>
      <c r="IZ55" s="17">
        <f>IF(Distances[[#This Row],[Colonne241]]=$G55,IY55,Distances[[#This Row],[Colonne241]]+1)</f>
        <v>50</v>
      </c>
      <c r="JA55" s="17">
        <f>IF(Distances[[#This Row],[Colonne242]]=$G55,IZ55,Distances[[#This Row],[Colonne242]]+1)</f>
        <v>50</v>
      </c>
      <c r="JB55" s="17">
        <f>IF(Distances[[#This Row],[Colonne243]]=$G55,JA55,Distances[[#This Row],[Colonne243]]+1)</f>
        <v>50</v>
      </c>
      <c r="JC55" s="17">
        <f>IF(Distances[[#This Row],[Colonne244]]=$G55,JB55,Distances[[#This Row],[Colonne244]]+1)</f>
        <v>50</v>
      </c>
      <c r="JD55" s="17">
        <f>IF(Distances[[#This Row],[Colonne245]]=$G55,JC55,Distances[[#This Row],[Colonne245]]+1)</f>
        <v>50</v>
      </c>
      <c r="JE55" s="17">
        <f>IF(Distances[[#This Row],[Colonne246]]=$G55,JD55,Distances[[#This Row],[Colonne246]]+1)</f>
        <v>50</v>
      </c>
      <c r="JF55" s="17">
        <f>IF(Distances[[#This Row],[Colonne247]]=$G55,JE55,Distances[[#This Row],[Colonne247]]+1)</f>
        <v>50</v>
      </c>
      <c r="JG55" s="17">
        <f>IF(Distances[[#This Row],[Colonne248]]=$G55,JF55,Distances[[#This Row],[Colonne248]]+1)</f>
        <v>50</v>
      </c>
      <c r="JH55" s="17">
        <f>IF(Distances[[#This Row],[Colonne249]]=$G55,JG55,Distances[[#This Row],[Colonne249]]+1)</f>
        <v>50</v>
      </c>
      <c r="JI55" s="17">
        <f>IF(Distances[[#This Row],[Colonne250]]=$G55,JH55,Distances[[#This Row],[Colonne250]]+1)</f>
        <v>50</v>
      </c>
      <c r="JJ55" s="17">
        <f>IF(Distances[[#This Row],[Colonne251]]=$G55,JI55,Distances[[#This Row],[Colonne251]]+1)</f>
        <v>50</v>
      </c>
      <c r="JK55" s="17">
        <f>IF(Distances[[#This Row],[Colonne252]]=$G55,JJ55,Distances[[#This Row],[Colonne252]]+1)</f>
        <v>50</v>
      </c>
      <c r="JL55" s="17">
        <f>IF(Distances[[#This Row],[Colonne253]]=$G55,JK55,Distances[[#This Row],[Colonne253]]+1)</f>
        <v>50</v>
      </c>
      <c r="JM55" s="17">
        <f>IF(Distances[[#This Row],[Colonne254]]=$G55,JL55,Distances[[#This Row],[Colonne254]]+1)</f>
        <v>50</v>
      </c>
      <c r="JN55" s="17">
        <f>IF(Distances[[#This Row],[Colonne255]]=$G55,JM55,Distances[[#This Row],[Colonne255]]+1)</f>
        <v>50</v>
      </c>
      <c r="JO55" s="17">
        <f>IF(Distances[[#This Row],[Colonne256]]=$G55,JN55,Distances[[#This Row],[Colonne256]]+1)</f>
        <v>50</v>
      </c>
      <c r="JP55" s="17">
        <f>IF(Distances[[#This Row],[Colonne257]]=$G55,JO55,Distances[[#This Row],[Colonne257]]+1)</f>
        <v>50</v>
      </c>
      <c r="JQ55" s="17">
        <f>IF(Distances[[#This Row],[Colonne258]]=$G55,JP55,Distances[[#This Row],[Colonne258]]+1)</f>
        <v>50</v>
      </c>
      <c r="JR55" s="17">
        <f>IF(Distances[[#This Row],[Colonne259]]=$G55,JQ55,Distances[[#This Row],[Colonne259]]+1)</f>
        <v>50</v>
      </c>
      <c r="JS55" s="17">
        <f>IF(Distances[[#This Row],[Colonne260]]=$G55,JR55,Distances[[#This Row],[Colonne260]]+1)</f>
        <v>50</v>
      </c>
      <c r="JT55" s="17">
        <f>IF(Distances[[#This Row],[Colonne261]]=$G55,JS55,Distances[[#This Row],[Colonne261]]+1)</f>
        <v>50</v>
      </c>
      <c r="JU55" s="17">
        <f>IF(Distances[[#This Row],[Colonne262]]=$G55,JT55,Distances[[#This Row],[Colonne262]]+1)</f>
        <v>50</v>
      </c>
      <c r="JV55" s="17">
        <f>IF(Distances[[#This Row],[Colonne263]]=$G55,JU55,Distances[[#This Row],[Colonne263]]+1)</f>
        <v>50</v>
      </c>
      <c r="JW55" s="17">
        <f>IF(Distances[[#This Row],[Colonne264]]=$G55,JV55,Distances[[#This Row],[Colonne264]]+1)</f>
        <v>50</v>
      </c>
      <c r="JX55" s="17">
        <f>IF(Distances[[#This Row],[Colonne265]]=$G55,JW55,Distances[[#This Row],[Colonne265]]+1)</f>
        <v>50</v>
      </c>
      <c r="JY55" s="17">
        <f>IF(Distances[[#This Row],[Colonne266]]=$G55,JX55,Distances[[#This Row],[Colonne266]]+1)</f>
        <v>50</v>
      </c>
      <c r="JZ55" s="17">
        <f>IF(Distances[[#This Row],[Colonne267]]=$G55,JY55,Distances[[#This Row],[Colonne267]]+1)</f>
        <v>50</v>
      </c>
      <c r="KA55" s="17">
        <f>IF(Distances[[#This Row],[Colonne268]]=$G55,JZ55,Distances[[#This Row],[Colonne268]]+1)</f>
        <v>50</v>
      </c>
      <c r="KB55" s="17">
        <f>IF(Distances[[#This Row],[Colonne269]]=$G55,KA55,Distances[[#This Row],[Colonne269]]+1)</f>
        <v>50</v>
      </c>
      <c r="KC55" s="17">
        <f>IF(Distances[[#This Row],[Colonne270]]=$G55,KB55,Distances[[#This Row],[Colonne270]]+1)</f>
        <v>50</v>
      </c>
      <c r="KD55" s="17">
        <f>IF(Distances[[#This Row],[Colonne271]]=$G55,KC55,Distances[[#This Row],[Colonne271]]+1)</f>
        <v>50</v>
      </c>
      <c r="KE55" s="17">
        <f>IF(Distances[[#This Row],[Colonne272]]=$G55,KD55,Distances[[#This Row],[Colonne272]]+1)</f>
        <v>50</v>
      </c>
      <c r="KF55" s="17">
        <f>IF(Distances[[#This Row],[Colonne273]]=$G55,KE55,Distances[[#This Row],[Colonne273]]+1)</f>
        <v>50</v>
      </c>
      <c r="KG55" s="17">
        <f>IF(Distances[[#This Row],[Colonne274]]=$G55,KF55,Distances[[#This Row],[Colonne274]]+1)</f>
        <v>50</v>
      </c>
      <c r="KH55" s="17">
        <f>IF(Distances[[#This Row],[Colonne275]]=$G55,KG55,Distances[[#This Row],[Colonne275]]+1)</f>
        <v>50</v>
      </c>
      <c r="KI55" s="17">
        <f>IF(Distances[[#This Row],[Colonne276]]=$G55,KH55,Distances[[#This Row],[Colonne276]]+1)</f>
        <v>50</v>
      </c>
      <c r="KJ55" s="17">
        <f>IF(Distances[[#This Row],[Colonne277]]=$G55,KI55,Distances[[#This Row],[Colonne277]]+1)</f>
        <v>50</v>
      </c>
      <c r="KK55" s="17">
        <f>IF(Distances[[#This Row],[Colonne278]]=$G55,KJ55,Distances[[#This Row],[Colonne278]]+1)</f>
        <v>50</v>
      </c>
      <c r="KL55" s="17">
        <f>IF(Distances[[#This Row],[Colonne279]]=$G55,KK55,Distances[[#This Row],[Colonne279]]+1)</f>
        <v>50</v>
      </c>
      <c r="KM55" s="17">
        <f>IF(Distances[[#This Row],[Colonne280]]=$G55,KL55,Distances[[#This Row],[Colonne280]]+1)</f>
        <v>50</v>
      </c>
      <c r="KN55" s="17">
        <f>IF(Distances[[#This Row],[Colonne281]]=$G55,KM55,Distances[[#This Row],[Colonne281]]+1)</f>
        <v>50</v>
      </c>
      <c r="KO55" s="17">
        <f>IF(Distances[[#This Row],[Colonne282]]=$G55,KN55,Distances[[#This Row],[Colonne282]]+1)</f>
        <v>50</v>
      </c>
      <c r="KP55" s="17">
        <f>IF(Distances[[#This Row],[Colonne283]]=$G55,KO55,Distances[[#This Row],[Colonne283]]+1)</f>
        <v>50</v>
      </c>
      <c r="KQ55" s="17">
        <f>IF(Distances[[#This Row],[Colonne284]]=$G55,KP55,Distances[[#This Row],[Colonne284]]+1)</f>
        <v>50</v>
      </c>
      <c r="KR55" s="17">
        <f>IF(Distances[[#This Row],[Colonne285]]=$G55,KQ55,Distances[[#This Row],[Colonne285]]+1)</f>
        <v>50</v>
      </c>
      <c r="KS55" s="17">
        <f>IF(Distances[[#This Row],[Colonne286]]=$G55,KR55,Distances[[#This Row],[Colonne286]]+1)</f>
        <v>50</v>
      </c>
      <c r="KT55" s="17">
        <f>IF(Distances[[#This Row],[Colonne287]]=$G55,KS55,Distances[[#This Row],[Colonne287]]+1)</f>
        <v>50</v>
      </c>
      <c r="KU55" s="17">
        <f>IF(Distances[[#This Row],[Colonne288]]=$G55,KT55,Distances[[#This Row],[Colonne288]]+1)</f>
        <v>50</v>
      </c>
      <c r="KV55" s="17">
        <f>IF(Distances[[#This Row],[Colonne289]]=$G55,KU55,Distances[[#This Row],[Colonne289]]+1)</f>
        <v>50</v>
      </c>
      <c r="KW55" s="17">
        <f>IF(Distances[[#This Row],[Colonne290]]=$G55,KV55,Distances[[#This Row],[Colonne290]]+1)</f>
        <v>50</v>
      </c>
      <c r="KX55" s="17">
        <f>IF(Distances[[#This Row],[Colonne291]]=$G55,KW55,Distances[[#This Row],[Colonne291]]+1)</f>
        <v>50</v>
      </c>
      <c r="KY55" s="17">
        <f>IF(Distances[[#This Row],[Colonne292]]=$G55,KX55,Distances[[#This Row],[Colonne292]]+1)</f>
        <v>50</v>
      </c>
      <c r="KZ55" s="17">
        <f>IF(Distances[[#This Row],[Colonne293]]=$G55,KY55,Distances[[#This Row],[Colonne293]]+1)</f>
        <v>50</v>
      </c>
      <c r="LA55" s="17">
        <f>IF(Distances[[#This Row],[Colonne294]]=$G55,KZ55,Distances[[#This Row],[Colonne294]]+1)</f>
        <v>50</v>
      </c>
      <c r="LB55" s="17">
        <f>IF(Distances[[#This Row],[Colonne295]]=$G55,LA55,Distances[[#This Row],[Colonne295]]+1)</f>
        <v>50</v>
      </c>
      <c r="LC55" s="17">
        <f>IF(Distances[[#This Row],[Colonne296]]=$G55,LB55,Distances[[#This Row],[Colonne296]]+1)</f>
        <v>50</v>
      </c>
      <c r="LD55" s="17">
        <f>IF(Distances[[#This Row],[Colonne297]]=$G55,LC55,Distances[[#This Row],[Colonne297]]+1)</f>
        <v>50</v>
      </c>
      <c r="LE55" s="17">
        <f>IF(Distances[[#This Row],[Colonne298]]=$G55,LD55,Distances[[#This Row],[Colonne298]]+1)</f>
        <v>50</v>
      </c>
      <c r="LF55" s="17">
        <f>IF(Distances[[#This Row],[Colonne299]]=$G55,LE55,Distances[[#This Row],[Colonne299]]+1)</f>
        <v>50</v>
      </c>
      <c r="LG55" s="17">
        <f>IF(Distances[[#This Row],[Colonne300]]=$G55,LF55,Distances[[#This Row],[Colonne300]]+1)</f>
        <v>50</v>
      </c>
      <c r="LH55" s="17">
        <f>IF(Distances[[#This Row],[Colonne301]]=$G55,LG55,Distances[[#This Row],[Colonne301]]+1)</f>
        <v>50</v>
      </c>
      <c r="LI55" s="17">
        <f>IF(Distances[[#This Row],[Colonne302]]=$G55,LH55,Distances[[#This Row],[Colonne302]]+1)</f>
        <v>50</v>
      </c>
      <c r="LJ55" s="17">
        <f>IF(Distances[[#This Row],[Colonne303]]=$G55,LI55,Distances[[#This Row],[Colonne303]]+1)</f>
        <v>50</v>
      </c>
      <c r="LK55" s="51"/>
      <c r="LL55" s="17">
        <f t="shared" ref="LL55:NW55" si="110">IF(LK55=$H55,LK55,LK55+1)</f>
        <v>1</v>
      </c>
      <c r="LM55" s="17">
        <f t="shared" si="110"/>
        <v>2</v>
      </c>
      <c r="LN55" s="17">
        <f t="shared" si="110"/>
        <v>3</v>
      </c>
      <c r="LO55" s="17">
        <f t="shared" si="110"/>
        <v>4</v>
      </c>
      <c r="LP55" s="17">
        <f t="shared" si="110"/>
        <v>5</v>
      </c>
      <c r="LQ55" s="17">
        <f t="shared" si="110"/>
        <v>6</v>
      </c>
      <c r="LR55" s="17">
        <f t="shared" si="110"/>
        <v>7</v>
      </c>
      <c r="LS55" s="17">
        <f t="shared" si="110"/>
        <v>8</v>
      </c>
      <c r="LT55" s="17">
        <f t="shared" si="110"/>
        <v>9</v>
      </c>
      <c r="LU55" s="17">
        <f t="shared" si="110"/>
        <v>10</v>
      </c>
      <c r="LV55" s="17">
        <f t="shared" si="110"/>
        <v>11</v>
      </c>
      <c r="LW55" s="17">
        <f t="shared" si="110"/>
        <v>12</v>
      </c>
      <c r="LX55" s="17">
        <f t="shared" si="110"/>
        <v>13</v>
      </c>
      <c r="LY55" s="17">
        <f t="shared" si="110"/>
        <v>14</v>
      </c>
      <c r="LZ55" s="17">
        <f t="shared" si="110"/>
        <v>15</v>
      </c>
      <c r="MA55" s="17">
        <f t="shared" si="110"/>
        <v>16</v>
      </c>
      <c r="MB55" s="17">
        <f t="shared" si="110"/>
        <v>17</v>
      </c>
      <c r="MC55" s="17">
        <f t="shared" si="110"/>
        <v>18</v>
      </c>
      <c r="MD55" s="17">
        <f t="shared" si="110"/>
        <v>19</v>
      </c>
      <c r="ME55" s="17">
        <f t="shared" si="110"/>
        <v>20</v>
      </c>
      <c r="MF55" s="17">
        <f t="shared" si="110"/>
        <v>21</v>
      </c>
      <c r="MG55" s="17">
        <f t="shared" si="110"/>
        <v>22</v>
      </c>
      <c r="MH55" s="17">
        <f t="shared" si="110"/>
        <v>23</v>
      </c>
      <c r="MI55" s="17">
        <f t="shared" si="110"/>
        <v>24</v>
      </c>
      <c r="MJ55" s="17">
        <f t="shared" si="110"/>
        <v>25</v>
      </c>
      <c r="MK55" s="17">
        <f t="shared" si="110"/>
        <v>26</v>
      </c>
      <c r="ML55" s="17">
        <f t="shared" si="110"/>
        <v>27</v>
      </c>
      <c r="MM55" s="17">
        <f t="shared" si="110"/>
        <v>28</v>
      </c>
      <c r="MN55" s="17">
        <f t="shared" si="110"/>
        <v>29</v>
      </c>
      <c r="MO55" s="17">
        <f t="shared" si="110"/>
        <v>30</v>
      </c>
      <c r="MP55" s="17">
        <f t="shared" si="110"/>
        <v>31</v>
      </c>
      <c r="MQ55" s="17">
        <f t="shared" si="110"/>
        <v>32</v>
      </c>
      <c r="MR55" s="17">
        <f t="shared" si="110"/>
        <v>33</v>
      </c>
      <c r="MS55" s="17">
        <f t="shared" si="110"/>
        <v>34</v>
      </c>
      <c r="MT55" s="17">
        <f t="shared" si="110"/>
        <v>35</v>
      </c>
      <c r="MU55" s="17">
        <f t="shared" si="110"/>
        <v>36</v>
      </c>
      <c r="MV55" s="17">
        <f t="shared" si="110"/>
        <v>37</v>
      </c>
      <c r="MW55" s="17">
        <f t="shared" si="110"/>
        <v>38</v>
      </c>
      <c r="MX55" s="17">
        <f t="shared" si="110"/>
        <v>39</v>
      </c>
      <c r="MY55" s="17">
        <f t="shared" si="110"/>
        <v>40</v>
      </c>
      <c r="MZ55" s="17">
        <f t="shared" si="110"/>
        <v>40</v>
      </c>
      <c r="NA55" s="17">
        <f t="shared" si="110"/>
        <v>40</v>
      </c>
      <c r="NB55" s="17">
        <f t="shared" si="110"/>
        <v>40</v>
      </c>
      <c r="NC55" s="17">
        <f t="shared" si="110"/>
        <v>40</v>
      </c>
      <c r="ND55" s="17">
        <f t="shared" si="110"/>
        <v>40</v>
      </c>
      <c r="NE55" s="17">
        <f t="shared" si="110"/>
        <v>40</v>
      </c>
      <c r="NF55" s="17">
        <f t="shared" si="110"/>
        <v>40</v>
      </c>
      <c r="NG55" s="17">
        <f t="shared" si="110"/>
        <v>40</v>
      </c>
      <c r="NH55" s="17">
        <f t="shared" si="110"/>
        <v>40</v>
      </c>
      <c r="NI55" s="17">
        <f t="shared" si="110"/>
        <v>40</v>
      </c>
      <c r="NJ55" s="17">
        <f t="shared" si="110"/>
        <v>40</v>
      </c>
      <c r="NK55" s="17">
        <f t="shared" si="110"/>
        <v>40</v>
      </c>
      <c r="NL55" s="17">
        <f t="shared" si="110"/>
        <v>40</v>
      </c>
      <c r="NM55" s="17">
        <f t="shared" si="110"/>
        <v>40</v>
      </c>
      <c r="NN55" s="17">
        <f t="shared" si="110"/>
        <v>40</v>
      </c>
      <c r="NO55" s="17">
        <f t="shared" si="110"/>
        <v>40</v>
      </c>
      <c r="NP55" s="17">
        <f t="shared" si="110"/>
        <v>40</v>
      </c>
      <c r="NQ55" s="17">
        <f t="shared" si="110"/>
        <v>40</v>
      </c>
      <c r="NR55" s="17">
        <f t="shared" si="110"/>
        <v>40</v>
      </c>
      <c r="NS55" s="17">
        <f t="shared" si="110"/>
        <v>40</v>
      </c>
      <c r="NT55" s="17">
        <f t="shared" si="110"/>
        <v>40</v>
      </c>
      <c r="NU55" s="17">
        <f t="shared" si="110"/>
        <v>40</v>
      </c>
      <c r="NV55" s="17">
        <f t="shared" si="110"/>
        <v>40</v>
      </c>
      <c r="NW55" s="17">
        <f t="shared" si="110"/>
        <v>40</v>
      </c>
      <c r="NX55" s="17">
        <f t="shared" ref="NX55:PG55" si="111">IF(NW55=$H55,NW55,NW55+1)</f>
        <v>40</v>
      </c>
      <c r="NY55" s="17">
        <f t="shared" si="111"/>
        <v>40</v>
      </c>
      <c r="NZ55" s="17">
        <f t="shared" si="111"/>
        <v>40</v>
      </c>
      <c r="OA55" s="17">
        <f t="shared" si="111"/>
        <v>40</v>
      </c>
      <c r="OB55" s="17">
        <f t="shared" si="111"/>
        <v>40</v>
      </c>
      <c r="OC55" s="17">
        <f t="shared" si="111"/>
        <v>40</v>
      </c>
      <c r="OD55" s="17">
        <f t="shared" si="111"/>
        <v>40</v>
      </c>
      <c r="OE55" s="17">
        <f t="shared" si="111"/>
        <v>40</v>
      </c>
      <c r="OF55" s="17">
        <f t="shared" si="111"/>
        <v>40</v>
      </c>
      <c r="OG55" s="17">
        <f t="shared" si="111"/>
        <v>40</v>
      </c>
      <c r="OH55" s="17">
        <f t="shared" si="111"/>
        <v>40</v>
      </c>
      <c r="OI55" s="17">
        <f t="shared" si="111"/>
        <v>40</v>
      </c>
      <c r="OJ55" s="17">
        <f t="shared" si="111"/>
        <v>40</v>
      </c>
      <c r="OK55" s="17">
        <f t="shared" si="111"/>
        <v>40</v>
      </c>
      <c r="OL55" s="17">
        <f t="shared" si="111"/>
        <v>40</v>
      </c>
      <c r="OM55" s="17">
        <f t="shared" si="111"/>
        <v>40</v>
      </c>
      <c r="ON55" s="17">
        <f t="shared" si="111"/>
        <v>40</v>
      </c>
      <c r="OO55" s="17">
        <f t="shared" si="111"/>
        <v>40</v>
      </c>
      <c r="OP55" s="17">
        <f t="shared" si="111"/>
        <v>40</v>
      </c>
      <c r="OQ55" s="17">
        <f t="shared" si="111"/>
        <v>40</v>
      </c>
      <c r="OR55" s="17">
        <f t="shared" si="111"/>
        <v>40</v>
      </c>
      <c r="OS55" s="17">
        <f t="shared" si="111"/>
        <v>40</v>
      </c>
      <c r="OT55" s="17">
        <f t="shared" si="111"/>
        <v>40</v>
      </c>
      <c r="OU55" s="17">
        <f t="shared" si="111"/>
        <v>40</v>
      </c>
      <c r="OV55" s="17">
        <f t="shared" si="111"/>
        <v>40</v>
      </c>
      <c r="OW55" s="17">
        <f t="shared" si="111"/>
        <v>40</v>
      </c>
      <c r="OX55" s="17">
        <f t="shared" si="111"/>
        <v>40</v>
      </c>
      <c r="OY55" s="17">
        <f t="shared" si="111"/>
        <v>40</v>
      </c>
      <c r="OZ55" s="17">
        <f t="shared" si="111"/>
        <v>40</v>
      </c>
      <c r="PA55" s="17">
        <f t="shared" si="111"/>
        <v>40</v>
      </c>
      <c r="PB55" s="17">
        <f t="shared" si="111"/>
        <v>40</v>
      </c>
      <c r="PC55" s="17">
        <f t="shared" si="111"/>
        <v>40</v>
      </c>
      <c r="PD55" s="17">
        <f t="shared" si="111"/>
        <v>40</v>
      </c>
      <c r="PE55" s="17">
        <f t="shared" si="111"/>
        <v>40</v>
      </c>
      <c r="PF55" s="17">
        <f t="shared" si="111"/>
        <v>40</v>
      </c>
      <c r="PG55" s="17">
        <f t="shared" si="111"/>
        <v>40</v>
      </c>
    </row>
    <row r="56" spans="1:423" x14ac:dyDescent="0.25">
      <c r="A56" s="8" t="s">
        <v>5507</v>
      </c>
      <c r="B56" s="9" t="s">
        <v>8505</v>
      </c>
      <c r="C56" s="9" t="str">
        <f t="shared" si="72"/>
        <v>BDames LBIF 1</v>
      </c>
      <c r="D56" s="1" t="str">
        <f t="shared" si="73"/>
        <v>Bande Dames LBIF 1</v>
      </c>
      <c r="E56" s="1" t="s">
        <v>8498</v>
      </c>
      <c r="F56" s="9" t="s">
        <v>5508</v>
      </c>
      <c r="G56" s="9">
        <v>18</v>
      </c>
      <c r="H56" s="9">
        <v>30</v>
      </c>
      <c r="I56" s="127">
        <v>2.8</v>
      </c>
      <c r="J56" s="30"/>
      <c r="K56" s="10"/>
      <c r="L56" s="8"/>
      <c r="M56" s="9"/>
      <c r="N56" s="10"/>
      <c r="O56" s="269"/>
      <c r="P56" s="331"/>
      <c r="Q56" s="335"/>
      <c r="R56" s="128"/>
      <c r="S56" s="9"/>
      <c r="T56" s="10"/>
      <c r="U56" t="s">
        <v>5523</v>
      </c>
      <c r="V56" s="17">
        <v>0</v>
      </c>
      <c r="W56" s="17">
        <f>IF(Distances[[#This Row],[Colonne4]]=$G56,V56,Distances[[#This Row],[Colonne4]]+1)</f>
        <v>1</v>
      </c>
      <c r="X56" s="17">
        <f>IF(Distances[[#This Row],[Colonne5]]=$G56,W56,Distances[[#This Row],[Colonne5]]+1)</f>
        <v>2</v>
      </c>
      <c r="Y56" s="17">
        <f>IF(Distances[[#This Row],[Colonne6]]=$G56,X56,Distances[[#This Row],[Colonne6]]+1)</f>
        <v>3</v>
      </c>
      <c r="Z56" s="17">
        <f>IF(Distances[[#This Row],[Colonne7]]=$G56,Y56,Distances[[#This Row],[Colonne7]]+1)</f>
        <v>4</v>
      </c>
      <c r="AA56" s="17">
        <f>IF(Distances[[#This Row],[Colonne8]]=$G56,Z56,Distances[[#This Row],[Colonne8]]+1)</f>
        <v>5</v>
      </c>
      <c r="AB56" s="17">
        <f>IF(Distances[[#This Row],[Colonne9]]=$G56,AA56,Distances[[#This Row],[Colonne9]]+1)</f>
        <v>6</v>
      </c>
      <c r="AC56" s="17">
        <f>IF(Distances[[#This Row],[Colonne10]]=$G56,AB56,Distances[[#This Row],[Colonne10]]+1)</f>
        <v>7</v>
      </c>
      <c r="AD56" s="17">
        <f>IF(Distances[[#This Row],[Colonne11]]=$G56,AC56,Distances[[#This Row],[Colonne11]]+1)</f>
        <v>8</v>
      </c>
      <c r="AE56" s="17">
        <f>IF(Distances[[#This Row],[Colonne12]]=$G56,AD56,Distances[[#This Row],[Colonne12]]+1)</f>
        <v>9</v>
      </c>
      <c r="AF56" s="17">
        <f>IF(Distances[[#This Row],[Colonne13]]=$G56,AE56,Distances[[#This Row],[Colonne13]]+1)</f>
        <v>10</v>
      </c>
      <c r="AG56" s="17">
        <f>IF(Distances[[#This Row],[Colonne14]]=$G56,AF56,Distances[[#This Row],[Colonne14]]+1)</f>
        <v>11</v>
      </c>
      <c r="AH56" s="17">
        <f>IF(Distances[[#This Row],[Colonne15]]=$G56,AG56,Distances[[#This Row],[Colonne15]]+1)</f>
        <v>12</v>
      </c>
      <c r="AI56" s="17">
        <f>IF(Distances[[#This Row],[Colonne16]]=$G56,AH56,Distances[[#This Row],[Colonne16]]+1)</f>
        <v>13</v>
      </c>
      <c r="AJ56" s="17">
        <f>IF(Distances[[#This Row],[Colonne17]]=$G56,AI56,Distances[[#This Row],[Colonne17]]+1)</f>
        <v>14</v>
      </c>
      <c r="AK56" s="17">
        <f>IF(Distances[[#This Row],[Colonne18]]=$G56,AJ56,Distances[[#This Row],[Colonne18]]+1)</f>
        <v>15</v>
      </c>
      <c r="AL56" s="17">
        <f>IF(Distances[[#This Row],[Colonne19]]=$G56,AK56,Distances[[#This Row],[Colonne19]]+1)</f>
        <v>16</v>
      </c>
      <c r="AM56" s="17">
        <f>IF(Distances[[#This Row],[Colonne20]]=$G56,AL56,Distances[[#This Row],[Colonne20]]+1)</f>
        <v>17</v>
      </c>
      <c r="AN56" s="17">
        <f>IF(Distances[[#This Row],[Colonne21]]=$G56,AM56,Distances[[#This Row],[Colonne21]]+1)</f>
        <v>18</v>
      </c>
      <c r="AO56" s="17">
        <f>IF(Distances[[#This Row],[Colonne22]]=$G56,AN56,Distances[[#This Row],[Colonne22]]+1)</f>
        <v>18</v>
      </c>
      <c r="AP56" s="17">
        <f>IF(Distances[[#This Row],[Colonne23]]=$G56,AO56,Distances[[#This Row],[Colonne23]]+1)</f>
        <v>18</v>
      </c>
      <c r="AQ56" s="17">
        <f>IF(Distances[[#This Row],[Colonne24]]=$G56,AP56,Distances[[#This Row],[Colonne24]]+1)</f>
        <v>18</v>
      </c>
      <c r="AR56" s="17">
        <f>IF(Distances[[#This Row],[Colonne25]]=$G56,AQ56,Distances[[#This Row],[Colonne25]]+1)</f>
        <v>18</v>
      </c>
      <c r="AS56" s="17">
        <f>IF(Distances[[#This Row],[Colonne26]]=$G56,AR56,Distances[[#This Row],[Colonne26]]+1)</f>
        <v>18</v>
      </c>
      <c r="AT56" s="17">
        <f>IF(Distances[[#This Row],[Colonne27]]=$G56,AS56,Distances[[#This Row],[Colonne27]]+1)</f>
        <v>18</v>
      </c>
      <c r="AU56" s="17">
        <f>IF(Distances[[#This Row],[Colonne28]]=$G56,AT56,Distances[[#This Row],[Colonne28]]+1)</f>
        <v>18</v>
      </c>
      <c r="AV56" s="17">
        <f>IF(Distances[[#This Row],[Colonne29]]=$G56,AU56,Distances[[#This Row],[Colonne29]]+1)</f>
        <v>18</v>
      </c>
      <c r="AW56" s="17">
        <f>IF(Distances[[#This Row],[Colonne30]]=$G56,AV56,Distances[[#This Row],[Colonne30]]+1)</f>
        <v>18</v>
      </c>
      <c r="AX56" s="17">
        <f>IF(Distances[[#This Row],[Colonne31]]=$G56,AW56,Distances[[#This Row],[Colonne31]]+1)</f>
        <v>18</v>
      </c>
      <c r="AY56" s="17">
        <f>IF(Distances[[#This Row],[Colonne32]]=$G56,AX56,Distances[[#This Row],[Colonne32]]+1)</f>
        <v>18</v>
      </c>
      <c r="AZ56" s="17">
        <f>IF(Distances[[#This Row],[Colonne33]]=$G56,AY56,Distances[[#This Row],[Colonne33]]+1)</f>
        <v>18</v>
      </c>
      <c r="BA56" s="17">
        <f>IF(Distances[[#This Row],[Colonne34]]=$G56,AZ56,Distances[[#This Row],[Colonne34]]+1)</f>
        <v>18</v>
      </c>
      <c r="BB56" s="17">
        <f>IF(Distances[[#This Row],[Colonne35]]=$G56,BA56,Distances[[#This Row],[Colonne35]]+1)</f>
        <v>18</v>
      </c>
      <c r="BC56" s="17">
        <f>IF(Distances[[#This Row],[Colonne36]]=$G56,BB56,Distances[[#This Row],[Colonne36]]+1)</f>
        <v>18</v>
      </c>
      <c r="BD56" s="17">
        <f>IF(Distances[[#This Row],[Colonne37]]=$G56,BC56,Distances[[#This Row],[Colonne37]]+1)</f>
        <v>18</v>
      </c>
      <c r="BE56" s="17">
        <f>IF(Distances[[#This Row],[Colonne38]]=$G56,BD56,Distances[[#This Row],[Colonne38]]+1)</f>
        <v>18</v>
      </c>
      <c r="BF56" s="17">
        <f>IF(Distances[[#This Row],[Colonne39]]=$G56,BE56,Distances[[#This Row],[Colonne39]]+1)</f>
        <v>18</v>
      </c>
      <c r="BG56" s="17">
        <f>IF(Distances[[#This Row],[Colonne40]]=$G56,BF56,Distances[[#This Row],[Colonne40]]+1)</f>
        <v>18</v>
      </c>
      <c r="BH56" s="17">
        <f>IF(Distances[[#This Row],[Colonne41]]=$G56,BG56,Distances[[#This Row],[Colonne41]]+1)</f>
        <v>18</v>
      </c>
      <c r="BI56" s="17">
        <f>IF(Distances[[#This Row],[Colonne42]]=$G56,BH56,Distances[[#This Row],[Colonne42]]+1)</f>
        <v>18</v>
      </c>
      <c r="BJ56" s="17">
        <f>IF(Distances[[#This Row],[Colonne43]]=$G56,BI56,Distances[[#This Row],[Colonne43]]+1)</f>
        <v>18</v>
      </c>
      <c r="BK56" s="17">
        <f>IF(Distances[[#This Row],[Colonne44]]=$G56,BJ56,Distances[[#This Row],[Colonne44]]+1)</f>
        <v>18</v>
      </c>
      <c r="BL56" s="17">
        <f>IF(Distances[[#This Row],[Colonne45]]=$G56,BK56,Distances[[#This Row],[Colonne45]]+1)</f>
        <v>18</v>
      </c>
      <c r="BM56" s="17">
        <f>IF(Distances[[#This Row],[Colonne46]]=$G56,BL56,Distances[[#This Row],[Colonne46]]+1)</f>
        <v>18</v>
      </c>
      <c r="BN56" s="17">
        <f>IF(Distances[[#This Row],[Colonne47]]=$G56,BM56,Distances[[#This Row],[Colonne47]]+1)</f>
        <v>18</v>
      </c>
      <c r="BO56" s="17">
        <f>IF(Distances[[#This Row],[Colonne48]]=$G56,BN56,Distances[[#This Row],[Colonne48]]+1)</f>
        <v>18</v>
      </c>
      <c r="BP56" s="17">
        <f>IF(Distances[[#This Row],[Colonne49]]=$G56,BO56,Distances[[#This Row],[Colonne49]]+1)</f>
        <v>18</v>
      </c>
      <c r="BQ56" s="17">
        <f>IF(Distances[[#This Row],[Colonne50]]=$G56,BP56,Distances[[#This Row],[Colonne50]]+1)</f>
        <v>18</v>
      </c>
      <c r="BR56" s="17">
        <f>IF(Distances[[#This Row],[Colonne51]]=$G56,BQ56,Distances[[#This Row],[Colonne51]]+1)</f>
        <v>18</v>
      </c>
      <c r="BS56" s="17">
        <f>IF(Distances[[#This Row],[Colonne52]]=$G56,BR56,Distances[[#This Row],[Colonne52]]+1)</f>
        <v>18</v>
      </c>
      <c r="BT56" s="17">
        <f>IF(Distances[[#This Row],[Colonne53]]=$G56,BS56,Distances[[#This Row],[Colonne53]]+1)</f>
        <v>18</v>
      </c>
      <c r="BU56" s="17">
        <f>IF(Distances[[#This Row],[Colonne54]]=$G56,BT56,Distances[[#This Row],[Colonne54]]+1)</f>
        <v>18</v>
      </c>
      <c r="BV56" s="17">
        <f>IF(Distances[[#This Row],[Colonne55]]=$G56,BU56,Distances[[#This Row],[Colonne55]]+1)</f>
        <v>18</v>
      </c>
      <c r="BW56" s="17">
        <f>IF(Distances[[#This Row],[Colonne56]]=$G56,BV56,Distances[[#This Row],[Colonne56]]+1)</f>
        <v>18</v>
      </c>
      <c r="BX56" s="17">
        <f>IF(Distances[[#This Row],[Colonne57]]=$G56,BW56,Distances[[#This Row],[Colonne57]]+1)</f>
        <v>18</v>
      </c>
      <c r="BY56" s="17">
        <f>IF(Distances[[#This Row],[Colonne58]]=$G56,BX56,Distances[[#This Row],[Colonne58]]+1)</f>
        <v>18</v>
      </c>
      <c r="BZ56" s="17">
        <f>IF(Distances[[#This Row],[Colonne59]]=$G56,BY56,Distances[[#This Row],[Colonne59]]+1)</f>
        <v>18</v>
      </c>
      <c r="CA56" s="17">
        <f>IF(Distances[[#This Row],[Colonne60]]=$G56,BZ56,Distances[[#This Row],[Colonne60]]+1)</f>
        <v>18</v>
      </c>
      <c r="CB56" s="17">
        <f>IF(Distances[[#This Row],[Colonne61]]=$G56,CA56,Distances[[#This Row],[Colonne61]]+1)</f>
        <v>18</v>
      </c>
      <c r="CC56" s="17">
        <f>IF(Distances[[#This Row],[Colonne62]]=$G56,CB56,Distances[[#This Row],[Colonne62]]+1)</f>
        <v>18</v>
      </c>
      <c r="CD56" s="17">
        <f>IF(Distances[[#This Row],[Colonne63]]=$G56,CC56,Distances[[#This Row],[Colonne63]]+1)</f>
        <v>18</v>
      </c>
      <c r="CE56" s="17">
        <f>IF(Distances[[#This Row],[Colonne64]]=$G56,CD56,Distances[[#This Row],[Colonne64]]+1)</f>
        <v>18</v>
      </c>
      <c r="CF56" s="17">
        <f>IF(Distances[[#This Row],[Colonne65]]=$G56,CE56,Distances[[#This Row],[Colonne65]]+1)</f>
        <v>18</v>
      </c>
      <c r="CG56" s="17">
        <f>IF(Distances[[#This Row],[Colonne66]]=$G56,CF56,Distances[[#This Row],[Colonne66]]+1)</f>
        <v>18</v>
      </c>
      <c r="CH56" s="17">
        <f>IF(Distances[[#This Row],[Colonne67]]=$G56,CG56,Distances[[#This Row],[Colonne67]]+1)</f>
        <v>18</v>
      </c>
      <c r="CI56" s="17">
        <f>IF(Distances[[#This Row],[Colonne68]]=$G56,CH56,Distances[[#This Row],[Colonne68]]+1)</f>
        <v>18</v>
      </c>
      <c r="CJ56" s="17">
        <f>IF(Distances[[#This Row],[Colonne69]]=$G56,CI56,Distances[[#This Row],[Colonne69]]+1)</f>
        <v>18</v>
      </c>
      <c r="CK56" s="17">
        <f>IF(Distances[[#This Row],[Colonne70]]=$G56,CJ56,Distances[[#This Row],[Colonne70]]+1)</f>
        <v>18</v>
      </c>
      <c r="CL56" s="17">
        <f>IF(Distances[[#This Row],[Colonne71]]=$G56,CK56,Distances[[#This Row],[Colonne71]]+1)</f>
        <v>18</v>
      </c>
      <c r="CM56" s="17">
        <f>IF(Distances[[#This Row],[Colonne72]]=$G56,CL56,Distances[[#This Row],[Colonne72]]+1)</f>
        <v>18</v>
      </c>
      <c r="CN56" s="17">
        <f>IF(Distances[[#This Row],[Colonne73]]=$G56,CM56,Distances[[#This Row],[Colonne73]]+1)</f>
        <v>18</v>
      </c>
      <c r="CO56" s="17">
        <f>IF(Distances[[#This Row],[Colonne74]]=$G56,CN56,Distances[[#This Row],[Colonne74]]+1)</f>
        <v>18</v>
      </c>
      <c r="CP56" s="17">
        <f>IF(Distances[[#This Row],[Colonne75]]=$G56,CO56,Distances[[#This Row],[Colonne75]]+1)</f>
        <v>18</v>
      </c>
      <c r="CQ56" s="17">
        <f>IF(Distances[[#This Row],[Colonne76]]=$G56,CP56,Distances[[#This Row],[Colonne76]]+1)</f>
        <v>18</v>
      </c>
      <c r="CR56" s="17">
        <f>IF(Distances[[#This Row],[Colonne77]]=$G56,CQ56,Distances[[#This Row],[Colonne77]]+1)</f>
        <v>18</v>
      </c>
      <c r="CS56" s="17">
        <f>IF(Distances[[#This Row],[Colonne78]]=$G56,CR56,Distances[[#This Row],[Colonne78]]+1)</f>
        <v>18</v>
      </c>
      <c r="CT56" s="17">
        <f>IF(Distances[[#This Row],[Colonne79]]=$G56,CS56,Distances[[#This Row],[Colonne79]]+1)</f>
        <v>18</v>
      </c>
      <c r="CU56" s="17">
        <f>IF(Distances[[#This Row],[Colonne80]]=$G56,CT56,Distances[[#This Row],[Colonne80]]+1)</f>
        <v>18</v>
      </c>
      <c r="CV56" s="17">
        <f>IF(Distances[[#This Row],[Colonne81]]=$G56,CU56,Distances[[#This Row],[Colonne81]]+1)</f>
        <v>18</v>
      </c>
      <c r="CW56" s="17">
        <f>IF(Distances[[#This Row],[Colonne82]]=$G56,CV56,Distances[[#This Row],[Colonne82]]+1)</f>
        <v>18</v>
      </c>
      <c r="CX56" s="17">
        <f>IF(Distances[[#This Row],[Colonne83]]=$G56,CW56,Distances[[#This Row],[Colonne83]]+1)</f>
        <v>18</v>
      </c>
      <c r="CY56" s="17">
        <f>IF(Distances[[#This Row],[Colonne84]]=$G56,CX56,Distances[[#This Row],[Colonne84]]+1)</f>
        <v>18</v>
      </c>
      <c r="CZ56" s="17">
        <f>IF(Distances[[#This Row],[Colonne85]]=$G56,CY56,Distances[[#This Row],[Colonne85]]+1)</f>
        <v>18</v>
      </c>
      <c r="DA56" s="17">
        <f>IF(Distances[[#This Row],[Colonne86]]=$G56,CZ56,Distances[[#This Row],[Colonne86]]+1)</f>
        <v>18</v>
      </c>
      <c r="DB56" s="17">
        <f>IF(Distances[[#This Row],[Colonne87]]=$G56,DA56,Distances[[#This Row],[Colonne87]]+1)</f>
        <v>18</v>
      </c>
      <c r="DC56" s="17">
        <f>IF(Distances[[#This Row],[Colonne88]]=$G56,DB56,Distances[[#This Row],[Colonne88]]+1)</f>
        <v>18</v>
      </c>
      <c r="DD56" s="17">
        <f>IF(Distances[[#This Row],[Colonne89]]=$G56,DC56,Distances[[#This Row],[Colonne89]]+1)</f>
        <v>18</v>
      </c>
      <c r="DE56" s="17">
        <f>IF(Distances[[#This Row],[Colonne90]]=$G56,DD56,Distances[[#This Row],[Colonne90]]+1)</f>
        <v>18</v>
      </c>
      <c r="DF56" s="17">
        <f>IF(Distances[[#This Row],[Colonne91]]=$G56,DE56,Distances[[#This Row],[Colonne91]]+1)</f>
        <v>18</v>
      </c>
      <c r="DG56" s="17">
        <f>IF(Distances[[#This Row],[Colonne92]]=$G56,DF56,Distances[[#This Row],[Colonne92]]+1)</f>
        <v>18</v>
      </c>
      <c r="DH56" s="17">
        <f>IF(Distances[[#This Row],[Colonne93]]=$G56,DG56,Distances[[#This Row],[Colonne93]]+1)</f>
        <v>18</v>
      </c>
      <c r="DI56" s="17">
        <f>IF(Distances[[#This Row],[Colonne94]]=$G56,DH56,Distances[[#This Row],[Colonne94]]+1)</f>
        <v>18</v>
      </c>
      <c r="DJ56" s="17">
        <f>IF(Distances[[#This Row],[Colonne95]]=$G56,DI56,Distances[[#This Row],[Colonne95]]+1)</f>
        <v>18</v>
      </c>
      <c r="DK56" s="17">
        <f>IF(Distances[[#This Row],[Colonne96]]=$G56,DJ56,Distances[[#This Row],[Colonne96]]+1)</f>
        <v>18</v>
      </c>
      <c r="DL56" s="17">
        <f>IF(Distances[[#This Row],[Colonne97]]=$G56,DK56,Distances[[#This Row],[Colonne97]]+1)</f>
        <v>18</v>
      </c>
      <c r="DM56" s="17">
        <f>IF(Distances[[#This Row],[Colonne98]]=$G56,DL56,Distances[[#This Row],[Colonne98]]+1)</f>
        <v>18</v>
      </c>
      <c r="DN56" s="17">
        <f>IF(Distances[[#This Row],[Colonne99]]=$G56,DM56,Distances[[#This Row],[Colonne99]]+1)</f>
        <v>18</v>
      </c>
      <c r="DO56" s="17">
        <f>IF(Distances[[#This Row],[Colonne100]]=$G56,DN56,Distances[[#This Row],[Colonne100]]+1)</f>
        <v>18</v>
      </c>
      <c r="DP56" s="17">
        <f>IF(Distances[[#This Row],[Colonne101]]=$G56,DO56,Distances[[#This Row],[Colonne101]]+1)</f>
        <v>18</v>
      </c>
      <c r="DQ56" s="17">
        <f>IF(Distances[[#This Row],[Colonne102]]=$G56,DP56,Distances[[#This Row],[Colonne102]]+1)</f>
        <v>18</v>
      </c>
      <c r="DR56" s="17">
        <f>IF(Distances[[#This Row],[Colonne103]]=$G56,DQ56,Distances[[#This Row],[Colonne103]]+1)</f>
        <v>18</v>
      </c>
      <c r="DS56" s="17">
        <f>IF(Distances[[#This Row],[Colonne104]]=$G56,DR56,Distances[[#This Row],[Colonne104]]+1)</f>
        <v>18</v>
      </c>
      <c r="DT56" s="17">
        <f>IF(Distances[[#This Row],[Colonne105]]=$G56,DS56,Distances[[#This Row],[Colonne105]]+1)</f>
        <v>18</v>
      </c>
      <c r="DU56" s="17">
        <f>IF(Distances[[#This Row],[Colonne106]]=$G56,DT56,Distances[[#This Row],[Colonne106]]+1)</f>
        <v>18</v>
      </c>
      <c r="DV56" s="17">
        <f>IF(Distances[[#This Row],[Colonne107]]=$G56,DU56,Distances[[#This Row],[Colonne107]]+1)</f>
        <v>18</v>
      </c>
      <c r="DW56" s="17">
        <f>IF(Distances[[#This Row],[Colonne108]]=$G56,DV56,Distances[[#This Row],[Colonne108]]+1)</f>
        <v>18</v>
      </c>
      <c r="DX56" s="17">
        <f>IF(Distances[[#This Row],[Colonne109]]=$G56,DW56,Distances[[#This Row],[Colonne109]]+1)</f>
        <v>18</v>
      </c>
      <c r="DY56" s="17">
        <f>IF(Distances[[#This Row],[Colonne110]]=$G56,DX56,Distances[[#This Row],[Colonne110]]+1)</f>
        <v>18</v>
      </c>
      <c r="DZ56" s="17">
        <f>IF(Distances[[#This Row],[Colonne111]]=$G56,DY56,Distances[[#This Row],[Colonne111]]+1)</f>
        <v>18</v>
      </c>
      <c r="EA56" s="17">
        <f>IF(Distances[[#This Row],[Colonne112]]=$G56,DZ56,Distances[[#This Row],[Colonne112]]+1)</f>
        <v>18</v>
      </c>
      <c r="EB56" s="17">
        <f>IF(Distances[[#This Row],[Colonne113]]=$G56,EA56,Distances[[#This Row],[Colonne113]]+1)</f>
        <v>18</v>
      </c>
      <c r="EC56" s="17">
        <f>IF(Distances[[#This Row],[Colonne114]]=$G56,EB56,Distances[[#This Row],[Colonne114]]+1)</f>
        <v>18</v>
      </c>
      <c r="ED56" s="17">
        <f>IF(Distances[[#This Row],[Colonne115]]=$G56,EC56,Distances[[#This Row],[Colonne115]]+1)</f>
        <v>18</v>
      </c>
      <c r="EE56" s="17">
        <f>IF(Distances[[#This Row],[Colonne116]]=$G56,ED56,Distances[[#This Row],[Colonne116]]+1)</f>
        <v>18</v>
      </c>
      <c r="EF56" s="17">
        <f>IF(Distances[[#This Row],[Colonne117]]=$G56,EE56,Distances[[#This Row],[Colonne117]]+1)</f>
        <v>18</v>
      </c>
      <c r="EG56" s="17">
        <f>IF(Distances[[#This Row],[Colonne118]]=$G56,EF56,Distances[[#This Row],[Colonne118]]+1)</f>
        <v>18</v>
      </c>
      <c r="EH56" s="17">
        <f>IF(Distances[[#This Row],[Colonne119]]=$G56,EG56,Distances[[#This Row],[Colonne119]]+1)</f>
        <v>18</v>
      </c>
      <c r="EI56" s="17">
        <f>IF(Distances[[#This Row],[Colonne120]]=$G56,EH56,Distances[[#This Row],[Colonne120]]+1)</f>
        <v>18</v>
      </c>
      <c r="EJ56" s="17">
        <f>IF(Distances[[#This Row],[Colonne121]]=$G56,EI56,Distances[[#This Row],[Colonne121]]+1)</f>
        <v>18</v>
      </c>
      <c r="EK56" s="17">
        <f>IF(Distances[[#This Row],[Colonne122]]=$G56,EJ56,Distances[[#This Row],[Colonne122]]+1)</f>
        <v>18</v>
      </c>
      <c r="EL56" s="17">
        <f>IF(Distances[[#This Row],[Colonne123]]=$G56,EK56,Distances[[#This Row],[Colonne123]]+1)</f>
        <v>18</v>
      </c>
      <c r="EM56" s="17">
        <f>IF(Distances[[#This Row],[Colonne124]]=$G56,EL56,Distances[[#This Row],[Colonne124]]+1)</f>
        <v>18</v>
      </c>
      <c r="EN56" s="17">
        <f>IF(Distances[[#This Row],[Colonne125]]=$G56,EM56,Distances[[#This Row],[Colonne125]]+1)</f>
        <v>18</v>
      </c>
      <c r="EO56" s="17">
        <f>IF(Distances[[#This Row],[Colonne126]]=$G56,EN56,Distances[[#This Row],[Colonne126]]+1)</f>
        <v>18</v>
      </c>
      <c r="EP56" s="17">
        <f>IF(Distances[[#This Row],[Colonne127]]=$G56,EO56,Distances[[#This Row],[Colonne127]]+1)</f>
        <v>18</v>
      </c>
      <c r="EQ56" s="17">
        <f>IF(Distances[[#This Row],[Colonne128]]=$G56,EP56,Distances[[#This Row],[Colonne128]]+1)</f>
        <v>18</v>
      </c>
      <c r="ER56" s="17">
        <f>IF(Distances[[#This Row],[Colonne129]]=$G56,EQ56,Distances[[#This Row],[Colonne129]]+1)</f>
        <v>18</v>
      </c>
      <c r="ES56" s="17">
        <f>IF(Distances[[#This Row],[Colonne130]]=$G56,ER56,Distances[[#This Row],[Colonne130]]+1)</f>
        <v>18</v>
      </c>
      <c r="ET56" s="17">
        <f>IF(Distances[[#This Row],[Colonne131]]=$G56,ES56,Distances[[#This Row],[Colonne131]]+1)</f>
        <v>18</v>
      </c>
      <c r="EU56" s="17">
        <f>IF(Distances[[#This Row],[Colonne132]]=$G56,ET56,Distances[[#This Row],[Colonne132]]+1)</f>
        <v>18</v>
      </c>
      <c r="EV56" s="17">
        <f>IF(Distances[[#This Row],[Colonne133]]=$G56,EU56,Distances[[#This Row],[Colonne133]]+1)</f>
        <v>18</v>
      </c>
      <c r="EW56" s="17">
        <f>IF(Distances[[#This Row],[Colonne134]]=$G56,EV56,Distances[[#This Row],[Colonne134]]+1)</f>
        <v>18</v>
      </c>
      <c r="EX56" s="17">
        <f>IF(Distances[[#This Row],[Colonne135]]=$G56,EW56,Distances[[#This Row],[Colonne135]]+1)</f>
        <v>18</v>
      </c>
      <c r="EY56" s="17">
        <f>IF(Distances[[#This Row],[Colonne136]]=$G56,EX56,Distances[[#This Row],[Colonne136]]+1)</f>
        <v>18</v>
      </c>
      <c r="EZ56" s="17">
        <f>IF(Distances[[#This Row],[Colonne137]]=$G56,EY56,Distances[[#This Row],[Colonne137]]+1)</f>
        <v>18</v>
      </c>
      <c r="FA56" s="17">
        <f>IF(Distances[[#This Row],[Colonne138]]=$G56,EZ56,Distances[[#This Row],[Colonne138]]+1)</f>
        <v>18</v>
      </c>
      <c r="FB56" s="17">
        <f>IF(Distances[[#This Row],[Colonne139]]=$G56,FA56,Distances[[#This Row],[Colonne139]]+1)</f>
        <v>18</v>
      </c>
      <c r="FC56" s="17">
        <f>IF(Distances[[#This Row],[Colonne140]]=$G56,FB56,Distances[[#This Row],[Colonne140]]+1)</f>
        <v>18</v>
      </c>
      <c r="FD56" s="17">
        <f>IF(Distances[[#This Row],[Colonne141]]=$G56,FC56,Distances[[#This Row],[Colonne141]]+1)</f>
        <v>18</v>
      </c>
      <c r="FE56" s="17">
        <f>IF(Distances[[#This Row],[Colonne142]]=$G56,FD56,Distances[[#This Row],[Colonne142]]+1)</f>
        <v>18</v>
      </c>
      <c r="FF56" s="17">
        <f>IF(Distances[[#This Row],[Colonne143]]=$G56,FE56,Distances[[#This Row],[Colonne143]]+1)</f>
        <v>18</v>
      </c>
      <c r="FG56" s="17">
        <f>IF(Distances[[#This Row],[Colonne144]]=$G56,FF56,Distances[[#This Row],[Colonne144]]+1)</f>
        <v>18</v>
      </c>
      <c r="FH56" s="17">
        <f>IF(Distances[[#This Row],[Colonne145]]=$G56,FG56,Distances[[#This Row],[Colonne145]]+1)</f>
        <v>18</v>
      </c>
      <c r="FI56" s="17">
        <f>IF(Distances[[#This Row],[Colonne146]]=$G56,FH56,Distances[[#This Row],[Colonne146]]+1)</f>
        <v>18</v>
      </c>
      <c r="FJ56" s="17">
        <f>IF(Distances[[#This Row],[Colonne147]]=$G56,FI56,Distances[[#This Row],[Colonne147]]+1)</f>
        <v>18</v>
      </c>
      <c r="FK56" s="17">
        <f>IF(Distances[[#This Row],[Colonne148]]=$G56,FJ56,Distances[[#This Row],[Colonne148]]+1)</f>
        <v>18</v>
      </c>
      <c r="FL56" s="17">
        <f>IF(Distances[[#This Row],[Colonne149]]=$G56,FK56,Distances[[#This Row],[Colonne149]]+1)</f>
        <v>18</v>
      </c>
      <c r="FM56" s="17">
        <f>IF(Distances[[#This Row],[Colonne150]]=$G56,FL56,Distances[[#This Row],[Colonne150]]+1)</f>
        <v>18</v>
      </c>
      <c r="FN56" s="17">
        <f>IF(Distances[[#This Row],[Colonne151]]=$G56,FM56,Distances[[#This Row],[Colonne151]]+1)</f>
        <v>18</v>
      </c>
      <c r="FO56" s="17">
        <f>IF(Distances[[#This Row],[Colonne152]]=$G56,FN56,Distances[[#This Row],[Colonne152]]+1)</f>
        <v>18</v>
      </c>
      <c r="FP56" s="17">
        <f>IF(Distances[[#This Row],[Colonne153]]=$G56,FO56,Distances[[#This Row],[Colonne153]]+1)</f>
        <v>18</v>
      </c>
      <c r="FQ56" s="17">
        <f>IF(Distances[[#This Row],[Colonne154]]=$G56,FP56,Distances[[#This Row],[Colonne154]]+1)</f>
        <v>18</v>
      </c>
      <c r="FR56" s="17">
        <f>IF(Distances[[#This Row],[Colonne155]]=$G56,FQ56,Distances[[#This Row],[Colonne155]]+1)</f>
        <v>18</v>
      </c>
      <c r="FS56" s="17">
        <f>IF(Distances[[#This Row],[Colonne156]]=$G56,FR56,Distances[[#This Row],[Colonne156]]+1)</f>
        <v>18</v>
      </c>
      <c r="FT56" s="17">
        <f>IF(Distances[[#This Row],[Colonne157]]=$G56,FS56,Distances[[#This Row],[Colonne157]]+1)</f>
        <v>18</v>
      </c>
      <c r="FU56" s="17">
        <f>IF(Distances[[#This Row],[Colonne158]]=$G56,FT56,Distances[[#This Row],[Colonne158]]+1)</f>
        <v>18</v>
      </c>
      <c r="FV56" s="17">
        <f>IF(Distances[[#This Row],[Colonne159]]=$G56,FU56,Distances[[#This Row],[Colonne159]]+1)</f>
        <v>18</v>
      </c>
      <c r="FW56" s="17">
        <f>IF(Distances[[#This Row],[Colonne160]]=$G56,FV56,Distances[[#This Row],[Colonne160]]+1)</f>
        <v>18</v>
      </c>
      <c r="FX56" s="17">
        <f>IF(Distances[[#This Row],[Colonne161]]=$G56,FW56,Distances[[#This Row],[Colonne161]]+1)</f>
        <v>18</v>
      </c>
      <c r="FY56" s="17">
        <f>IF(Distances[[#This Row],[Colonne162]]=$G56,FX56,Distances[[#This Row],[Colonne162]]+1)</f>
        <v>18</v>
      </c>
      <c r="FZ56" s="17">
        <f>IF(Distances[[#This Row],[Colonne163]]=$G56,FY56,Distances[[#This Row],[Colonne163]]+1)</f>
        <v>18</v>
      </c>
      <c r="GA56" s="17">
        <f>IF(Distances[[#This Row],[Colonne164]]=$G56,FZ56,Distances[[#This Row],[Colonne164]]+1)</f>
        <v>18</v>
      </c>
      <c r="GB56" s="17">
        <f>IF(Distances[[#This Row],[Colonne165]]=$G56,GA56,Distances[[#This Row],[Colonne165]]+1)</f>
        <v>18</v>
      </c>
      <c r="GC56" s="17">
        <f>IF(Distances[[#This Row],[Colonne166]]=$G56,GB56,Distances[[#This Row],[Colonne166]]+1)</f>
        <v>18</v>
      </c>
      <c r="GD56" s="17">
        <f>IF(Distances[[#This Row],[Colonne167]]=$G56,GC56,Distances[[#This Row],[Colonne167]]+1)</f>
        <v>18</v>
      </c>
      <c r="GE56" s="17">
        <f>IF(Distances[[#This Row],[Colonne168]]=$G56,GD56,Distances[[#This Row],[Colonne168]]+1)</f>
        <v>18</v>
      </c>
      <c r="GF56" s="17">
        <f>IF(Distances[[#This Row],[Colonne169]]=$G56,GE56,Distances[[#This Row],[Colonne169]]+1)</f>
        <v>18</v>
      </c>
      <c r="GG56" s="17">
        <f>IF(Distances[[#This Row],[Colonne170]]=$G56,GF56,Distances[[#This Row],[Colonne170]]+1)</f>
        <v>18</v>
      </c>
      <c r="GH56" s="17">
        <f>IF(Distances[[#This Row],[Colonne171]]=$G56,GG56,Distances[[#This Row],[Colonne171]]+1)</f>
        <v>18</v>
      </c>
      <c r="GI56" s="17">
        <f>IF(Distances[[#This Row],[Colonne172]]=$G56,GH56,Distances[[#This Row],[Colonne172]]+1)</f>
        <v>18</v>
      </c>
      <c r="GJ56" s="17">
        <f>IF(Distances[[#This Row],[Colonne173]]=$G56,GI56,Distances[[#This Row],[Colonne173]]+1)</f>
        <v>18</v>
      </c>
      <c r="GK56" s="17">
        <f>IF(Distances[[#This Row],[Colonne174]]=$G56,GJ56,Distances[[#This Row],[Colonne174]]+1)</f>
        <v>18</v>
      </c>
      <c r="GL56" s="17">
        <f>IF(Distances[[#This Row],[Colonne175]]=$G56,GK56,Distances[[#This Row],[Colonne175]]+1)</f>
        <v>18</v>
      </c>
      <c r="GM56" s="17">
        <f>IF(Distances[[#This Row],[Colonne176]]=$G56,GL56,Distances[[#This Row],[Colonne176]]+1)</f>
        <v>18</v>
      </c>
      <c r="GN56" s="17">
        <f>IF(Distances[[#This Row],[Colonne177]]=$G56,GM56,Distances[[#This Row],[Colonne177]]+1)</f>
        <v>18</v>
      </c>
      <c r="GO56" s="17">
        <f>IF(Distances[[#This Row],[Colonne178]]=$G56,GN56,Distances[[#This Row],[Colonne178]]+1)</f>
        <v>18</v>
      </c>
      <c r="GP56" s="17">
        <f>IF(Distances[[#This Row],[Colonne179]]=$G56,GO56,Distances[[#This Row],[Colonne179]]+1)</f>
        <v>18</v>
      </c>
      <c r="GQ56" s="17">
        <f>IF(Distances[[#This Row],[Colonne180]]=$G56,GP56,Distances[[#This Row],[Colonne180]]+1)</f>
        <v>18</v>
      </c>
      <c r="GR56" s="17">
        <f>IF(Distances[[#This Row],[Colonne181]]=$G56,GQ56,Distances[[#This Row],[Colonne181]]+1)</f>
        <v>18</v>
      </c>
      <c r="GS56" s="17">
        <f>IF(Distances[[#This Row],[Colonne182]]=$G56,GR56,Distances[[#This Row],[Colonne182]]+1)</f>
        <v>18</v>
      </c>
      <c r="GT56" s="17">
        <f>IF(Distances[[#This Row],[Colonne183]]=$G56,GS56,Distances[[#This Row],[Colonne183]]+1)</f>
        <v>18</v>
      </c>
      <c r="GU56" s="17">
        <f>IF(Distances[[#This Row],[Colonne184]]=$G56,GT56,Distances[[#This Row],[Colonne184]]+1)</f>
        <v>18</v>
      </c>
      <c r="GV56" s="17">
        <f>IF(Distances[[#This Row],[Colonne185]]=$G56,GU56,Distances[[#This Row],[Colonne185]]+1)</f>
        <v>18</v>
      </c>
      <c r="GW56" s="17">
        <f>IF(Distances[[#This Row],[Colonne186]]=$G56,GV56,Distances[[#This Row],[Colonne186]]+1)</f>
        <v>18</v>
      </c>
      <c r="GX56" s="17">
        <f>IF(Distances[[#This Row],[Colonne187]]=$G56,GW56,Distances[[#This Row],[Colonne187]]+1)</f>
        <v>18</v>
      </c>
      <c r="GY56" s="17">
        <f>IF(Distances[[#This Row],[Colonne188]]=$G56,GX56,Distances[[#This Row],[Colonne188]]+1)</f>
        <v>18</v>
      </c>
      <c r="GZ56" s="17">
        <f>IF(Distances[[#This Row],[Colonne189]]=$G56,GY56,Distances[[#This Row],[Colonne189]]+1)</f>
        <v>18</v>
      </c>
      <c r="HA56" s="17">
        <f>IF(Distances[[#This Row],[Colonne190]]=$G56,GZ56,Distances[[#This Row],[Colonne190]]+1)</f>
        <v>18</v>
      </c>
      <c r="HB56" s="17">
        <f>IF(Distances[[#This Row],[Colonne191]]=$G56,HA56,Distances[[#This Row],[Colonne191]]+1)</f>
        <v>18</v>
      </c>
      <c r="HC56" s="17">
        <f>IF(Distances[[#This Row],[Colonne192]]=$G56,HB56,Distances[[#This Row],[Colonne192]]+1)</f>
        <v>18</v>
      </c>
      <c r="HD56" s="17">
        <f>IF(Distances[[#This Row],[Colonne193]]=$G56,HC56,Distances[[#This Row],[Colonne193]]+1)</f>
        <v>18</v>
      </c>
      <c r="HE56" s="17">
        <f>IF(Distances[[#This Row],[Colonne194]]=$G56,HD56,Distances[[#This Row],[Colonne194]]+1)</f>
        <v>18</v>
      </c>
      <c r="HF56" s="17">
        <f>IF(Distances[[#This Row],[Colonne195]]=$G56,HE56,Distances[[#This Row],[Colonne195]]+1)</f>
        <v>18</v>
      </c>
      <c r="HG56" s="17">
        <f>IF(Distances[[#This Row],[Colonne196]]=$G56,HF56,Distances[[#This Row],[Colonne196]]+1)</f>
        <v>18</v>
      </c>
      <c r="HH56" s="17">
        <f>IF(Distances[[#This Row],[Colonne197]]=$G56,HG56,Distances[[#This Row],[Colonne197]]+1)</f>
        <v>18</v>
      </c>
      <c r="HI56" s="17">
        <f>IF(Distances[[#This Row],[Colonne198]]=$G56,HH56,Distances[[#This Row],[Colonne198]]+1)</f>
        <v>18</v>
      </c>
      <c r="HJ56" s="17">
        <f>IF(Distances[[#This Row],[Colonne199]]=$G56,HI56,Distances[[#This Row],[Colonne199]]+1)</f>
        <v>18</v>
      </c>
      <c r="HK56" s="17">
        <f>IF(Distances[[#This Row],[Colonne200]]=$G56,HJ56,Distances[[#This Row],[Colonne200]]+1)</f>
        <v>18</v>
      </c>
      <c r="HL56" s="17">
        <f>IF(Distances[[#This Row],[Colonne201]]=$G56,HK56,Distances[[#This Row],[Colonne201]]+1)</f>
        <v>18</v>
      </c>
      <c r="HM56" s="17">
        <f>IF(Distances[[#This Row],[Colonne202]]=$G56,HL56,Distances[[#This Row],[Colonne202]]+1)</f>
        <v>18</v>
      </c>
      <c r="HN56" s="17">
        <f>IF(Distances[[#This Row],[Colonne203]]=$G56,HM56,Distances[[#This Row],[Colonne203]]+1)</f>
        <v>18</v>
      </c>
      <c r="HO56" s="17">
        <f>IF(Distances[[#This Row],[Colonne204]]=$G56,HN56,Distances[[#This Row],[Colonne204]]+1)</f>
        <v>18</v>
      </c>
      <c r="HP56" s="17">
        <f>IF(Distances[[#This Row],[Colonne205]]=$G56,HO56,Distances[[#This Row],[Colonne205]]+1)</f>
        <v>18</v>
      </c>
      <c r="HQ56" s="17">
        <f>IF(Distances[[#This Row],[Colonne206]]=$G56,HP56,Distances[[#This Row],[Colonne206]]+1)</f>
        <v>18</v>
      </c>
      <c r="HR56" s="17">
        <f>IF(Distances[[#This Row],[Colonne207]]=$G56,HQ56,Distances[[#This Row],[Colonne207]]+1)</f>
        <v>18</v>
      </c>
      <c r="HS56" s="17">
        <f>IF(Distances[[#This Row],[Colonne208]]=$G56,HR56,Distances[[#This Row],[Colonne208]]+1)</f>
        <v>18</v>
      </c>
      <c r="HT56" s="17">
        <f>IF(Distances[[#This Row],[Colonne209]]=$G56,HS56,Distances[[#This Row],[Colonne209]]+1)</f>
        <v>18</v>
      </c>
      <c r="HU56" s="17">
        <f>IF(Distances[[#This Row],[Colonne210]]=$G56,HT56,Distances[[#This Row],[Colonne210]]+1)</f>
        <v>18</v>
      </c>
      <c r="HV56" s="17">
        <f>IF(Distances[[#This Row],[Colonne211]]=$G56,HU56,Distances[[#This Row],[Colonne211]]+1)</f>
        <v>18</v>
      </c>
      <c r="HW56" s="17">
        <f>IF(Distances[[#This Row],[Colonne212]]=$G56,HV56,Distances[[#This Row],[Colonne212]]+1)</f>
        <v>18</v>
      </c>
      <c r="HX56" s="17">
        <f>IF(Distances[[#This Row],[Colonne213]]=$G56,HW56,Distances[[#This Row],[Colonne213]]+1)</f>
        <v>18</v>
      </c>
      <c r="HY56" s="17">
        <f>IF(Distances[[#This Row],[Colonne214]]=$G56,HX56,Distances[[#This Row],[Colonne214]]+1)</f>
        <v>18</v>
      </c>
      <c r="HZ56" s="17">
        <f>IF(Distances[[#This Row],[Colonne215]]=$G56,HY56,Distances[[#This Row],[Colonne215]]+1)</f>
        <v>18</v>
      </c>
      <c r="IA56" s="17">
        <f>IF(Distances[[#This Row],[Colonne216]]=$G56,HZ56,Distances[[#This Row],[Colonne216]]+1)</f>
        <v>18</v>
      </c>
      <c r="IB56" s="17">
        <f>IF(Distances[[#This Row],[Colonne217]]=$G56,IA56,Distances[[#This Row],[Colonne217]]+1)</f>
        <v>18</v>
      </c>
      <c r="IC56" s="17">
        <f>IF(Distances[[#This Row],[Colonne218]]=$G56,IB56,Distances[[#This Row],[Colonne218]]+1)</f>
        <v>18</v>
      </c>
      <c r="ID56" s="17">
        <f>IF(Distances[[#This Row],[Colonne219]]=$G56,IC56,Distances[[#This Row],[Colonne219]]+1)</f>
        <v>18</v>
      </c>
      <c r="IE56" s="17">
        <f>IF(Distances[[#This Row],[Colonne220]]=$G56,ID56,Distances[[#This Row],[Colonne220]]+1)</f>
        <v>18</v>
      </c>
      <c r="IF56" s="17">
        <f>IF(Distances[[#This Row],[Colonne221]]=$G56,IE56,Distances[[#This Row],[Colonne221]]+1)</f>
        <v>18</v>
      </c>
      <c r="IG56" s="17">
        <f>IF(Distances[[#This Row],[Colonne222]]=$G56,IF56,Distances[[#This Row],[Colonne222]]+1)</f>
        <v>18</v>
      </c>
      <c r="IH56" s="17">
        <f>IF(Distances[[#This Row],[Colonne223]]=$G56,IG56,Distances[[#This Row],[Colonne223]]+1)</f>
        <v>18</v>
      </c>
      <c r="II56" s="17">
        <f>IF(Distances[[#This Row],[Colonne224]]=$G56,IH56,Distances[[#This Row],[Colonne224]]+1)</f>
        <v>18</v>
      </c>
      <c r="IJ56" s="17">
        <f>IF(Distances[[#This Row],[Colonne225]]=$G56,II56,Distances[[#This Row],[Colonne225]]+1)</f>
        <v>18</v>
      </c>
      <c r="IK56" s="17">
        <f>IF(Distances[[#This Row],[Colonne226]]=$G56,IJ56,Distances[[#This Row],[Colonne226]]+1)</f>
        <v>18</v>
      </c>
      <c r="IL56" s="17">
        <f>IF(Distances[[#This Row],[Colonne227]]=$G56,IK56,Distances[[#This Row],[Colonne227]]+1)</f>
        <v>18</v>
      </c>
      <c r="IM56" s="17">
        <f>IF(Distances[[#This Row],[Colonne228]]=$G56,IL56,Distances[[#This Row],[Colonne228]]+1)</f>
        <v>18</v>
      </c>
      <c r="IN56" s="17">
        <f>IF(Distances[[#This Row],[Colonne229]]=$G56,IM56,Distances[[#This Row],[Colonne229]]+1)</f>
        <v>18</v>
      </c>
      <c r="IO56" s="17">
        <f>IF(Distances[[#This Row],[Colonne230]]=$G56,IN56,Distances[[#This Row],[Colonne230]]+1)</f>
        <v>18</v>
      </c>
      <c r="IP56" s="17">
        <f>IF(Distances[[#This Row],[Colonne231]]=$G56,IO56,Distances[[#This Row],[Colonne231]]+1)</f>
        <v>18</v>
      </c>
      <c r="IQ56" s="17">
        <f>IF(Distances[[#This Row],[Colonne232]]=$G56,IP56,Distances[[#This Row],[Colonne232]]+1)</f>
        <v>18</v>
      </c>
      <c r="IR56" s="17">
        <f>IF(Distances[[#This Row],[Colonne233]]=$G56,IQ56,Distances[[#This Row],[Colonne233]]+1)</f>
        <v>18</v>
      </c>
      <c r="IS56" s="17">
        <f>IF(Distances[[#This Row],[Colonne234]]=$G56,IR56,Distances[[#This Row],[Colonne234]]+1)</f>
        <v>18</v>
      </c>
      <c r="IT56" s="17">
        <f>IF(Distances[[#This Row],[Colonne235]]=$G56,IS56,Distances[[#This Row],[Colonne235]]+1)</f>
        <v>18</v>
      </c>
      <c r="IU56" s="17">
        <f>IF(Distances[[#This Row],[Colonne236]]=$G56,IT56,Distances[[#This Row],[Colonne236]]+1)</f>
        <v>18</v>
      </c>
      <c r="IV56" s="17">
        <f>IF(Distances[[#This Row],[Colonne237]]=$G56,IU56,Distances[[#This Row],[Colonne237]]+1)</f>
        <v>18</v>
      </c>
      <c r="IW56" s="17">
        <f>IF(Distances[[#This Row],[Colonne238]]=$G56,IV56,Distances[[#This Row],[Colonne238]]+1)</f>
        <v>18</v>
      </c>
      <c r="IX56" s="17">
        <f>IF(Distances[[#This Row],[Colonne239]]=$G56,IW56,Distances[[#This Row],[Colonne239]]+1)</f>
        <v>18</v>
      </c>
      <c r="IY56" s="17">
        <f>IF(Distances[[#This Row],[Colonne240]]=$G56,IX56,Distances[[#This Row],[Colonne240]]+1)</f>
        <v>18</v>
      </c>
      <c r="IZ56" s="17">
        <f>IF(Distances[[#This Row],[Colonne241]]=$G56,IY56,Distances[[#This Row],[Colonne241]]+1)</f>
        <v>18</v>
      </c>
      <c r="JA56" s="17">
        <f>IF(Distances[[#This Row],[Colonne242]]=$G56,IZ56,Distances[[#This Row],[Colonne242]]+1)</f>
        <v>18</v>
      </c>
      <c r="JB56" s="17">
        <f>IF(Distances[[#This Row],[Colonne243]]=$G56,JA56,Distances[[#This Row],[Colonne243]]+1)</f>
        <v>18</v>
      </c>
      <c r="JC56" s="17">
        <f>IF(Distances[[#This Row],[Colonne244]]=$G56,JB56,Distances[[#This Row],[Colonne244]]+1)</f>
        <v>18</v>
      </c>
      <c r="JD56" s="17">
        <f>IF(Distances[[#This Row],[Colonne245]]=$G56,JC56,Distances[[#This Row],[Colonne245]]+1)</f>
        <v>18</v>
      </c>
      <c r="JE56" s="17">
        <f>IF(Distances[[#This Row],[Colonne246]]=$G56,JD56,Distances[[#This Row],[Colonne246]]+1)</f>
        <v>18</v>
      </c>
      <c r="JF56" s="17">
        <f>IF(Distances[[#This Row],[Colonne247]]=$G56,JE56,Distances[[#This Row],[Colonne247]]+1)</f>
        <v>18</v>
      </c>
      <c r="JG56" s="17">
        <f>IF(Distances[[#This Row],[Colonne248]]=$G56,JF56,Distances[[#This Row],[Colonne248]]+1)</f>
        <v>18</v>
      </c>
      <c r="JH56" s="17">
        <f>IF(Distances[[#This Row],[Colonne249]]=$G56,JG56,Distances[[#This Row],[Colonne249]]+1)</f>
        <v>18</v>
      </c>
      <c r="JI56" s="17">
        <f>IF(Distances[[#This Row],[Colonne250]]=$G56,JH56,Distances[[#This Row],[Colonne250]]+1)</f>
        <v>18</v>
      </c>
      <c r="JJ56" s="17">
        <f>IF(Distances[[#This Row],[Colonne251]]=$G56,JI56,Distances[[#This Row],[Colonne251]]+1)</f>
        <v>18</v>
      </c>
      <c r="JK56" s="17">
        <f>IF(Distances[[#This Row],[Colonne252]]=$G56,JJ56,Distances[[#This Row],[Colonne252]]+1)</f>
        <v>18</v>
      </c>
      <c r="JL56" s="17">
        <f>IF(Distances[[#This Row],[Colonne253]]=$G56,JK56,Distances[[#This Row],[Colonne253]]+1)</f>
        <v>18</v>
      </c>
      <c r="JM56" s="17">
        <f>IF(Distances[[#This Row],[Colonne254]]=$G56,JL56,Distances[[#This Row],[Colonne254]]+1)</f>
        <v>18</v>
      </c>
      <c r="JN56" s="17">
        <f>IF(Distances[[#This Row],[Colonne255]]=$G56,JM56,Distances[[#This Row],[Colonne255]]+1)</f>
        <v>18</v>
      </c>
      <c r="JO56" s="17">
        <f>IF(Distances[[#This Row],[Colonne256]]=$G56,JN56,Distances[[#This Row],[Colonne256]]+1)</f>
        <v>18</v>
      </c>
      <c r="JP56" s="17">
        <f>IF(Distances[[#This Row],[Colonne257]]=$G56,JO56,Distances[[#This Row],[Colonne257]]+1)</f>
        <v>18</v>
      </c>
      <c r="JQ56" s="17">
        <f>IF(Distances[[#This Row],[Colonne258]]=$G56,JP56,Distances[[#This Row],[Colonne258]]+1)</f>
        <v>18</v>
      </c>
      <c r="JR56" s="17">
        <f>IF(Distances[[#This Row],[Colonne259]]=$G56,JQ56,Distances[[#This Row],[Colonne259]]+1)</f>
        <v>18</v>
      </c>
      <c r="JS56" s="17">
        <f>IF(Distances[[#This Row],[Colonne260]]=$G56,JR56,Distances[[#This Row],[Colonne260]]+1)</f>
        <v>18</v>
      </c>
      <c r="JT56" s="17">
        <f>IF(Distances[[#This Row],[Colonne261]]=$G56,JS56,Distances[[#This Row],[Colonne261]]+1)</f>
        <v>18</v>
      </c>
      <c r="JU56" s="17">
        <f>IF(Distances[[#This Row],[Colonne262]]=$G56,JT56,Distances[[#This Row],[Colonne262]]+1)</f>
        <v>18</v>
      </c>
      <c r="JV56" s="17">
        <f>IF(Distances[[#This Row],[Colonne263]]=$G56,JU56,Distances[[#This Row],[Colonne263]]+1)</f>
        <v>18</v>
      </c>
      <c r="JW56" s="17">
        <f>IF(Distances[[#This Row],[Colonne264]]=$G56,JV56,Distances[[#This Row],[Colonne264]]+1)</f>
        <v>18</v>
      </c>
      <c r="JX56" s="17">
        <f>IF(Distances[[#This Row],[Colonne265]]=$G56,JW56,Distances[[#This Row],[Colonne265]]+1)</f>
        <v>18</v>
      </c>
      <c r="JY56" s="17">
        <f>IF(Distances[[#This Row],[Colonne266]]=$G56,JX56,Distances[[#This Row],[Colonne266]]+1)</f>
        <v>18</v>
      </c>
      <c r="JZ56" s="17">
        <f>IF(Distances[[#This Row],[Colonne267]]=$G56,JY56,Distances[[#This Row],[Colonne267]]+1)</f>
        <v>18</v>
      </c>
      <c r="KA56" s="17">
        <f>IF(Distances[[#This Row],[Colonne268]]=$G56,JZ56,Distances[[#This Row],[Colonne268]]+1)</f>
        <v>18</v>
      </c>
      <c r="KB56" s="17">
        <f>IF(Distances[[#This Row],[Colonne269]]=$G56,KA56,Distances[[#This Row],[Colonne269]]+1)</f>
        <v>18</v>
      </c>
      <c r="KC56" s="17">
        <f>IF(Distances[[#This Row],[Colonne270]]=$G56,KB56,Distances[[#This Row],[Colonne270]]+1)</f>
        <v>18</v>
      </c>
      <c r="KD56" s="17">
        <f>IF(Distances[[#This Row],[Colonne271]]=$G56,KC56,Distances[[#This Row],[Colonne271]]+1)</f>
        <v>18</v>
      </c>
      <c r="KE56" s="17">
        <f>IF(Distances[[#This Row],[Colonne272]]=$G56,KD56,Distances[[#This Row],[Colonne272]]+1)</f>
        <v>18</v>
      </c>
      <c r="KF56" s="17">
        <f>IF(Distances[[#This Row],[Colonne273]]=$G56,KE56,Distances[[#This Row],[Colonne273]]+1)</f>
        <v>18</v>
      </c>
      <c r="KG56" s="17">
        <f>IF(Distances[[#This Row],[Colonne274]]=$G56,KF56,Distances[[#This Row],[Colonne274]]+1)</f>
        <v>18</v>
      </c>
      <c r="KH56" s="17">
        <f>IF(Distances[[#This Row],[Colonne275]]=$G56,KG56,Distances[[#This Row],[Colonne275]]+1)</f>
        <v>18</v>
      </c>
      <c r="KI56" s="17">
        <f>IF(Distances[[#This Row],[Colonne276]]=$G56,KH56,Distances[[#This Row],[Colonne276]]+1)</f>
        <v>18</v>
      </c>
      <c r="KJ56" s="17">
        <f>IF(Distances[[#This Row],[Colonne277]]=$G56,KI56,Distances[[#This Row],[Colonne277]]+1)</f>
        <v>18</v>
      </c>
      <c r="KK56" s="17">
        <f>IF(Distances[[#This Row],[Colonne278]]=$G56,KJ56,Distances[[#This Row],[Colonne278]]+1)</f>
        <v>18</v>
      </c>
      <c r="KL56" s="17">
        <f>IF(Distances[[#This Row],[Colonne279]]=$G56,KK56,Distances[[#This Row],[Colonne279]]+1)</f>
        <v>18</v>
      </c>
      <c r="KM56" s="17">
        <f>IF(Distances[[#This Row],[Colonne280]]=$G56,KL56,Distances[[#This Row],[Colonne280]]+1)</f>
        <v>18</v>
      </c>
      <c r="KN56" s="17">
        <f>IF(Distances[[#This Row],[Colonne281]]=$G56,KM56,Distances[[#This Row],[Colonne281]]+1)</f>
        <v>18</v>
      </c>
      <c r="KO56" s="17">
        <f>IF(Distances[[#This Row],[Colonne282]]=$G56,KN56,Distances[[#This Row],[Colonne282]]+1)</f>
        <v>18</v>
      </c>
      <c r="KP56" s="17">
        <f>IF(Distances[[#This Row],[Colonne283]]=$G56,KO56,Distances[[#This Row],[Colonne283]]+1)</f>
        <v>18</v>
      </c>
      <c r="KQ56" s="17">
        <f>IF(Distances[[#This Row],[Colonne284]]=$G56,KP56,Distances[[#This Row],[Colonne284]]+1)</f>
        <v>18</v>
      </c>
      <c r="KR56" s="17">
        <f>IF(Distances[[#This Row],[Colonne285]]=$G56,KQ56,Distances[[#This Row],[Colonne285]]+1)</f>
        <v>18</v>
      </c>
      <c r="KS56" s="17">
        <f>IF(Distances[[#This Row],[Colonne286]]=$G56,KR56,Distances[[#This Row],[Colonne286]]+1)</f>
        <v>18</v>
      </c>
      <c r="KT56" s="17">
        <f>IF(Distances[[#This Row],[Colonne287]]=$G56,KS56,Distances[[#This Row],[Colonne287]]+1)</f>
        <v>18</v>
      </c>
      <c r="KU56" s="17">
        <f>IF(Distances[[#This Row],[Colonne288]]=$G56,KT56,Distances[[#This Row],[Colonne288]]+1)</f>
        <v>18</v>
      </c>
      <c r="KV56" s="17">
        <f>IF(Distances[[#This Row],[Colonne289]]=$G56,KU56,Distances[[#This Row],[Colonne289]]+1)</f>
        <v>18</v>
      </c>
      <c r="KW56" s="17">
        <f>IF(Distances[[#This Row],[Colonne290]]=$G56,KV56,Distances[[#This Row],[Colonne290]]+1)</f>
        <v>18</v>
      </c>
      <c r="KX56" s="17">
        <f>IF(Distances[[#This Row],[Colonne291]]=$G56,KW56,Distances[[#This Row],[Colonne291]]+1)</f>
        <v>18</v>
      </c>
      <c r="KY56" s="17">
        <f>IF(Distances[[#This Row],[Colonne292]]=$G56,KX56,Distances[[#This Row],[Colonne292]]+1)</f>
        <v>18</v>
      </c>
      <c r="KZ56" s="17">
        <f>IF(Distances[[#This Row],[Colonne293]]=$G56,KY56,Distances[[#This Row],[Colonne293]]+1)</f>
        <v>18</v>
      </c>
      <c r="LA56" s="17">
        <f>IF(Distances[[#This Row],[Colonne294]]=$G56,KZ56,Distances[[#This Row],[Colonne294]]+1)</f>
        <v>18</v>
      </c>
      <c r="LB56" s="17">
        <f>IF(Distances[[#This Row],[Colonne295]]=$G56,LA56,Distances[[#This Row],[Colonne295]]+1)</f>
        <v>18</v>
      </c>
      <c r="LC56" s="17">
        <f>IF(Distances[[#This Row],[Colonne296]]=$G56,LB56,Distances[[#This Row],[Colonne296]]+1)</f>
        <v>18</v>
      </c>
      <c r="LD56" s="17">
        <f>IF(Distances[[#This Row],[Colonne297]]=$G56,LC56,Distances[[#This Row],[Colonne297]]+1)</f>
        <v>18</v>
      </c>
      <c r="LE56" s="17">
        <f>IF(Distances[[#This Row],[Colonne298]]=$G56,LD56,Distances[[#This Row],[Colonne298]]+1)</f>
        <v>18</v>
      </c>
      <c r="LF56" s="17">
        <f>IF(Distances[[#This Row],[Colonne299]]=$G56,LE56,Distances[[#This Row],[Colonne299]]+1)</f>
        <v>18</v>
      </c>
      <c r="LG56" s="17">
        <f>IF(Distances[[#This Row],[Colonne300]]=$G56,LF56,Distances[[#This Row],[Colonne300]]+1)</f>
        <v>18</v>
      </c>
      <c r="LH56" s="17">
        <f>IF(Distances[[#This Row],[Colonne301]]=$G56,LG56,Distances[[#This Row],[Colonne301]]+1)</f>
        <v>18</v>
      </c>
      <c r="LI56" s="17">
        <f>IF(Distances[[#This Row],[Colonne302]]=$G56,LH56,Distances[[#This Row],[Colonne302]]+1)</f>
        <v>18</v>
      </c>
      <c r="LJ56" s="17">
        <f>IF(Distances[[#This Row],[Colonne303]]=$G56,LI56,Distances[[#This Row],[Colonne303]]+1)</f>
        <v>18</v>
      </c>
      <c r="LK56" s="51"/>
      <c r="LL56" s="17">
        <f t="shared" ref="LL56:NW56" si="112">IF(LK56=$H56,LK56,LK56+1)</f>
        <v>1</v>
      </c>
      <c r="LM56" s="17">
        <f t="shared" si="112"/>
        <v>2</v>
      </c>
      <c r="LN56" s="17">
        <f t="shared" si="112"/>
        <v>3</v>
      </c>
      <c r="LO56" s="17">
        <f t="shared" si="112"/>
        <v>4</v>
      </c>
      <c r="LP56" s="17">
        <f t="shared" si="112"/>
        <v>5</v>
      </c>
      <c r="LQ56" s="17">
        <f t="shared" si="112"/>
        <v>6</v>
      </c>
      <c r="LR56" s="17">
        <f t="shared" si="112"/>
        <v>7</v>
      </c>
      <c r="LS56" s="17">
        <f t="shared" si="112"/>
        <v>8</v>
      </c>
      <c r="LT56" s="17">
        <f t="shared" si="112"/>
        <v>9</v>
      </c>
      <c r="LU56" s="17">
        <f t="shared" si="112"/>
        <v>10</v>
      </c>
      <c r="LV56" s="17">
        <f t="shared" si="112"/>
        <v>11</v>
      </c>
      <c r="LW56" s="17">
        <f t="shared" si="112"/>
        <v>12</v>
      </c>
      <c r="LX56" s="17">
        <f t="shared" si="112"/>
        <v>13</v>
      </c>
      <c r="LY56" s="17">
        <f t="shared" si="112"/>
        <v>14</v>
      </c>
      <c r="LZ56" s="17">
        <f t="shared" si="112"/>
        <v>15</v>
      </c>
      <c r="MA56" s="17">
        <f t="shared" si="112"/>
        <v>16</v>
      </c>
      <c r="MB56" s="17">
        <f t="shared" si="112"/>
        <v>17</v>
      </c>
      <c r="MC56" s="17">
        <f t="shared" si="112"/>
        <v>18</v>
      </c>
      <c r="MD56" s="17">
        <f t="shared" si="112"/>
        <v>19</v>
      </c>
      <c r="ME56" s="17">
        <f t="shared" si="112"/>
        <v>20</v>
      </c>
      <c r="MF56" s="17">
        <f t="shared" si="112"/>
        <v>21</v>
      </c>
      <c r="MG56" s="17">
        <f t="shared" si="112"/>
        <v>22</v>
      </c>
      <c r="MH56" s="17">
        <f t="shared" si="112"/>
        <v>23</v>
      </c>
      <c r="MI56" s="17">
        <f t="shared" si="112"/>
        <v>24</v>
      </c>
      <c r="MJ56" s="17">
        <f t="shared" si="112"/>
        <v>25</v>
      </c>
      <c r="MK56" s="17">
        <f t="shared" si="112"/>
        <v>26</v>
      </c>
      <c r="ML56" s="17">
        <f t="shared" si="112"/>
        <v>27</v>
      </c>
      <c r="MM56" s="17">
        <f t="shared" si="112"/>
        <v>28</v>
      </c>
      <c r="MN56" s="17">
        <f t="shared" si="112"/>
        <v>29</v>
      </c>
      <c r="MO56" s="17">
        <f t="shared" si="112"/>
        <v>30</v>
      </c>
      <c r="MP56" s="17">
        <f t="shared" si="112"/>
        <v>30</v>
      </c>
      <c r="MQ56" s="17">
        <f t="shared" si="112"/>
        <v>30</v>
      </c>
      <c r="MR56" s="17">
        <f t="shared" si="112"/>
        <v>30</v>
      </c>
      <c r="MS56" s="17">
        <f t="shared" si="112"/>
        <v>30</v>
      </c>
      <c r="MT56" s="17">
        <f t="shared" si="112"/>
        <v>30</v>
      </c>
      <c r="MU56" s="17">
        <f t="shared" si="112"/>
        <v>30</v>
      </c>
      <c r="MV56" s="17">
        <f t="shared" si="112"/>
        <v>30</v>
      </c>
      <c r="MW56" s="17">
        <f t="shared" si="112"/>
        <v>30</v>
      </c>
      <c r="MX56" s="17">
        <f t="shared" si="112"/>
        <v>30</v>
      </c>
      <c r="MY56" s="17">
        <f t="shared" si="112"/>
        <v>30</v>
      </c>
      <c r="MZ56" s="17">
        <f t="shared" si="112"/>
        <v>30</v>
      </c>
      <c r="NA56" s="17">
        <f t="shared" si="112"/>
        <v>30</v>
      </c>
      <c r="NB56" s="17">
        <f t="shared" si="112"/>
        <v>30</v>
      </c>
      <c r="NC56" s="17">
        <f t="shared" si="112"/>
        <v>30</v>
      </c>
      <c r="ND56" s="17">
        <f t="shared" si="112"/>
        <v>30</v>
      </c>
      <c r="NE56" s="17">
        <f t="shared" si="112"/>
        <v>30</v>
      </c>
      <c r="NF56" s="17">
        <f t="shared" si="112"/>
        <v>30</v>
      </c>
      <c r="NG56" s="17">
        <f t="shared" si="112"/>
        <v>30</v>
      </c>
      <c r="NH56" s="17">
        <f t="shared" si="112"/>
        <v>30</v>
      </c>
      <c r="NI56" s="17">
        <f t="shared" si="112"/>
        <v>30</v>
      </c>
      <c r="NJ56" s="17">
        <f t="shared" si="112"/>
        <v>30</v>
      </c>
      <c r="NK56" s="17">
        <f t="shared" si="112"/>
        <v>30</v>
      </c>
      <c r="NL56" s="17">
        <f t="shared" si="112"/>
        <v>30</v>
      </c>
      <c r="NM56" s="17">
        <f t="shared" si="112"/>
        <v>30</v>
      </c>
      <c r="NN56" s="17">
        <f t="shared" si="112"/>
        <v>30</v>
      </c>
      <c r="NO56" s="17">
        <f t="shared" si="112"/>
        <v>30</v>
      </c>
      <c r="NP56" s="17">
        <f t="shared" si="112"/>
        <v>30</v>
      </c>
      <c r="NQ56" s="17">
        <f t="shared" si="112"/>
        <v>30</v>
      </c>
      <c r="NR56" s="17">
        <f t="shared" si="112"/>
        <v>30</v>
      </c>
      <c r="NS56" s="17">
        <f t="shared" si="112"/>
        <v>30</v>
      </c>
      <c r="NT56" s="17">
        <f t="shared" si="112"/>
        <v>30</v>
      </c>
      <c r="NU56" s="17">
        <f t="shared" si="112"/>
        <v>30</v>
      </c>
      <c r="NV56" s="17">
        <f t="shared" si="112"/>
        <v>30</v>
      </c>
      <c r="NW56" s="17">
        <f t="shared" si="112"/>
        <v>30</v>
      </c>
      <c r="NX56" s="17">
        <f t="shared" ref="NX56:PG56" si="113">IF(NW56=$H56,NW56,NW56+1)</f>
        <v>30</v>
      </c>
      <c r="NY56" s="17">
        <f t="shared" si="113"/>
        <v>30</v>
      </c>
      <c r="NZ56" s="17">
        <f t="shared" si="113"/>
        <v>30</v>
      </c>
      <c r="OA56" s="17">
        <f t="shared" si="113"/>
        <v>30</v>
      </c>
      <c r="OB56" s="17">
        <f t="shared" si="113"/>
        <v>30</v>
      </c>
      <c r="OC56" s="17">
        <f t="shared" si="113"/>
        <v>30</v>
      </c>
      <c r="OD56" s="17">
        <f t="shared" si="113"/>
        <v>30</v>
      </c>
      <c r="OE56" s="17">
        <f t="shared" si="113"/>
        <v>30</v>
      </c>
      <c r="OF56" s="17">
        <f t="shared" si="113"/>
        <v>30</v>
      </c>
      <c r="OG56" s="17">
        <f t="shared" si="113"/>
        <v>30</v>
      </c>
      <c r="OH56" s="17">
        <f t="shared" si="113"/>
        <v>30</v>
      </c>
      <c r="OI56" s="17">
        <f t="shared" si="113"/>
        <v>30</v>
      </c>
      <c r="OJ56" s="17">
        <f t="shared" si="113"/>
        <v>30</v>
      </c>
      <c r="OK56" s="17">
        <f t="shared" si="113"/>
        <v>30</v>
      </c>
      <c r="OL56" s="17">
        <f t="shared" si="113"/>
        <v>30</v>
      </c>
      <c r="OM56" s="17">
        <f t="shared" si="113"/>
        <v>30</v>
      </c>
      <c r="ON56" s="17">
        <f t="shared" si="113"/>
        <v>30</v>
      </c>
      <c r="OO56" s="17">
        <f t="shared" si="113"/>
        <v>30</v>
      </c>
      <c r="OP56" s="17">
        <f t="shared" si="113"/>
        <v>30</v>
      </c>
      <c r="OQ56" s="17">
        <f t="shared" si="113"/>
        <v>30</v>
      </c>
      <c r="OR56" s="17">
        <f t="shared" si="113"/>
        <v>30</v>
      </c>
      <c r="OS56" s="17">
        <f t="shared" si="113"/>
        <v>30</v>
      </c>
      <c r="OT56" s="17">
        <f t="shared" si="113"/>
        <v>30</v>
      </c>
      <c r="OU56" s="17">
        <f t="shared" si="113"/>
        <v>30</v>
      </c>
      <c r="OV56" s="17">
        <f t="shared" si="113"/>
        <v>30</v>
      </c>
      <c r="OW56" s="17">
        <f t="shared" si="113"/>
        <v>30</v>
      </c>
      <c r="OX56" s="17">
        <f t="shared" si="113"/>
        <v>30</v>
      </c>
      <c r="OY56" s="17">
        <f t="shared" si="113"/>
        <v>30</v>
      </c>
      <c r="OZ56" s="17">
        <f t="shared" si="113"/>
        <v>30</v>
      </c>
      <c r="PA56" s="17">
        <f t="shared" si="113"/>
        <v>30</v>
      </c>
      <c r="PB56" s="17">
        <f t="shared" si="113"/>
        <v>30</v>
      </c>
      <c r="PC56" s="17">
        <f t="shared" si="113"/>
        <v>30</v>
      </c>
      <c r="PD56" s="17">
        <f t="shared" si="113"/>
        <v>30</v>
      </c>
      <c r="PE56" s="17">
        <f t="shared" si="113"/>
        <v>30</v>
      </c>
      <c r="PF56" s="17">
        <f t="shared" si="113"/>
        <v>30</v>
      </c>
      <c r="PG56" s="17">
        <f t="shared" si="113"/>
        <v>30</v>
      </c>
    </row>
    <row r="57" spans="1:423" x14ac:dyDescent="0.25">
      <c r="A57" s="8" t="s">
        <v>5507</v>
      </c>
      <c r="B57" s="9" t="s">
        <v>8506</v>
      </c>
      <c r="C57" s="9" t="str">
        <f t="shared" si="72"/>
        <v>BDames LBIF 2</v>
      </c>
      <c r="D57" s="1" t="str">
        <f t="shared" si="73"/>
        <v>Bande Dames LBIF 2</v>
      </c>
      <c r="E57" s="1" t="s">
        <v>8498</v>
      </c>
      <c r="F57" s="9" t="s">
        <v>5508</v>
      </c>
      <c r="G57" s="9">
        <v>15</v>
      </c>
      <c r="H57" s="9">
        <v>30</v>
      </c>
      <c r="I57" s="127">
        <v>2.8</v>
      </c>
      <c r="J57" s="30"/>
      <c r="K57" s="10"/>
      <c r="L57" s="8"/>
      <c r="M57" s="9"/>
      <c r="N57" s="10"/>
      <c r="O57" s="269"/>
      <c r="P57" s="331"/>
      <c r="Q57" s="335"/>
      <c r="R57" s="128"/>
      <c r="S57" s="9"/>
      <c r="T57" s="10"/>
      <c r="U57" t="s">
        <v>5523</v>
      </c>
      <c r="V57" s="17">
        <v>0</v>
      </c>
      <c r="W57" s="17">
        <f>IF(Distances[[#This Row],[Colonne4]]=$G57,V57,Distances[[#This Row],[Colonne4]]+1)</f>
        <v>1</v>
      </c>
      <c r="X57" s="17">
        <f>IF(Distances[[#This Row],[Colonne5]]=$G57,W57,Distances[[#This Row],[Colonne5]]+1)</f>
        <v>2</v>
      </c>
      <c r="Y57" s="17">
        <f>IF(Distances[[#This Row],[Colonne6]]=$G57,X57,Distances[[#This Row],[Colonne6]]+1)</f>
        <v>3</v>
      </c>
      <c r="Z57" s="17">
        <f>IF(Distances[[#This Row],[Colonne7]]=$G57,Y57,Distances[[#This Row],[Colonne7]]+1)</f>
        <v>4</v>
      </c>
      <c r="AA57" s="17">
        <f>IF(Distances[[#This Row],[Colonne8]]=$G57,Z57,Distances[[#This Row],[Colonne8]]+1)</f>
        <v>5</v>
      </c>
      <c r="AB57" s="17">
        <f>IF(Distances[[#This Row],[Colonne9]]=$G57,AA57,Distances[[#This Row],[Colonne9]]+1)</f>
        <v>6</v>
      </c>
      <c r="AC57" s="17">
        <f>IF(Distances[[#This Row],[Colonne10]]=$G57,AB57,Distances[[#This Row],[Colonne10]]+1)</f>
        <v>7</v>
      </c>
      <c r="AD57" s="17">
        <f>IF(Distances[[#This Row],[Colonne11]]=$G57,AC57,Distances[[#This Row],[Colonne11]]+1)</f>
        <v>8</v>
      </c>
      <c r="AE57" s="17">
        <f>IF(Distances[[#This Row],[Colonne12]]=$G57,AD57,Distances[[#This Row],[Colonne12]]+1)</f>
        <v>9</v>
      </c>
      <c r="AF57" s="17">
        <f>IF(Distances[[#This Row],[Colonne13]]=$G57,AE57,Distances[[#This Row],[Colonne13]]+1)</f>
        <v>10</v>
      </c>
      <c r="AG57" s="17">
        <f>IF(Distances[[#This Row],[Colonne14]]=$G57,AF57,Distances[[#This Row],[Colonne14]]+1)</f>
        <v>11</v>
      </c>
      <c r="AH57" s="17">
        <f>IF(Distances[[#This Row],[Colonne15]]=$G57,AG57,Distances[[#This Row],[Colonne15]]+1)</f>
        <v>12</v>
      </c>
      <c r="AI57" s="17">
        <f>IF(Distances[[#This Row],[Colonne16]]=$G57,AH57,Distances[[#This Row],[Colonne16]]+1)</f>
        <v>13</v>
      </c>
      <c r="AJ57" s="17">
        <f>IF(Distances[[#This Row],[Colonne17]]=$G57,AI57,Distances[[#This Row],[Colonne17]]+1)</f>
        <v>14</v>
      </c>
      <c r="AK57" s="17">
        <f>IF(Distances[[#This Row],[Colonne18]]=$G57,AJ57,Distances[[#This Row],[Colonne18]]+1)</f>
        <v>15</v>
      </c>
      <c r="AL57" s="17">
        <f>IF(Distances[[#This Row],[Colonne19]]=$G57,AK57,Distances[[#This Row],[Colonne19]]+1)</f>
        <v>15</v>
      </c>
      <c r="AM57" s="17">
        <f>IF(Distances[[#This Row],[Colonne20]]=$G57,AL57,Distances[[#This Row],[Colonne20]]+1)</f>
        <v>15</v>
      </c>
      <c r="AN57" s="17">
        <f>IF(Distances[[#This Row],[Colonne21]]=$G57,AM57,Distances[[#This Row],[Colonne21]]+1)</f>
        <v>15</v>
      </c>
      <c r="AO57" s="17">
        <f>IF(Distances[[#This Row],[Colonne22]]=$G57,AN57,Distances[[#This Row],[Colonne22]]+1)</f>
        <v>15</v>
      </c>
      <c r="AP57" s="17">
        <f>IF(Distances[[#This Row],[Colonne23]]=$G57,AO57,Distances[[#This Row],[Colonne23]]+1)</f>
        <v>15</v>
      </c>
      <c r="AQ57" s="17">
        <f>IF(Distances[[#This Row],[Colonne24]]=$G57,AP57,Distances[[#This Row],[Colonne24]]+1)</f>
        <v>15</v>
      </c>
      <c r="AR57" s="17">
        <f>IF(Distances[[#This Row],[Colonne25]]=$G57,AQ57,Distances[[#This Row],[Colonne25]]+1)</f>
        <v>15</v>
      </c>
      <c r="AS57" s="17">
        <f>IF(Distances[[#This Row],[Colonne26]]=$G57,AR57,Distances[[#This Row],[Colonne26]]+1)</f>
        <v>15</v>
      </c>
      <c r="AT57" s="17">
        <f>IF(Distances[[#This Row],[Colonne27]]=$G57,AS57,Distances[[#This Row],[Colonne27]]+1)</f>
        <v>15</v>
      </c>
      <c r="AU57" s="17">
        <f>IF(Distances[[#This Row],[Colonne28]]=$G57,AT57,Distances[[#This Row],[Colonne28]]+1)</f>
        <v>15</v>
      </c>
      <c r="AV57" s="17">
        <f>IF(Distances[[#This Row],[Colonne29]]=$G57,AU57,Distances[[#This Row],[Colonne29]]+1)</f>
        <v>15</v>
      </c>
      <c r="AW57" s="17">
        <f>IF(Distances[[#This Row],[Colonne30]]=$G57,AV57,Distances[[#This Row],[Colonne30]]+1)</f>
        <v>15</v>
      </c>
      <c r="AX57" s="17">
        <f>IF(Distances[[#This Row],[Colonne31]]=$G57,AW57,Distances[[#This Row],[Colonne31]]+1)</f>
        <v>15</v>
      </c>
      <c r="AY57" s="17">
        <f>IF(Distances[[#This Row],[Colonne32]]=$G57,AX57,Distances[[#This Row],[Colonne32]]+1)</f>
        <v>15</v>
      </c>
      <c r="AZ57" s="17">
        <f>IF(Distances[[#This Row],[Colonne33]]=$G57,AY57,Distances[[#This Row],[Colonne33]]+1)</f>
        <v>15</v>
      </c>
      <c r="BA57" s="17">
        <f>IF(Distances[[#This Row],[Colonne34]]=$G57,AZ57,Distances[[#This Row],[Colonne34]]+1)</f>
        <v>15</v>
      </c>
      <c r="BB57" s="17">
        <f>IF(Distances[[#This Row],[Colonne35]]=$G57,BA57,Distances[[#This Row],[Colonne35]]+1)</f>
        <v>15</v>
      </c>
      <c r="BC57" s="17">
        <f>IF(Distances[[#This Row],[Colonne36]]=$G57,BB57,Distances[[#This Row],[Colonne36]]+1)</f>
        <v>15</v>
      </c>
      <c r="BD57" s="17">
        <f>IF(Distances[[#This Row],[Colonne37]]=$G57,BC57,Distances[[#This Row],[Colonne37]]+1)</f>
        <v>15</v>
      </c>
      <c r="BE57" s="17">
        <f>IF(Distances[[#This Row],[Colonne38]]=$G57,BD57,Distances[[#This Row],[Colonne38]]+1)</f>
        <v>15</v>
      </c>
      <c r="BF57" s="17">
        <f>IF(Distances[[#This Row],[Colonne39]]=$G57,BE57,Distances[[#This Row],[Colonne39]]+1)</f>
        <v>15</v>
      </c>
      <c r="BG57" s="17">
        <f>IF(Distances[[#This Row],[Colonne40]]=$G57,BF57,Distances[[#This Row],[Colonne40]]+1)</f>
        <v>15</v>
      </c>
      <c r="BH57" s="17">
        <f>IF(Distances[[#This Row],[Colonne41]]=$G57,BG57,Distances[[#This Row],[Colonne41]]+1)</f>
        <v>15</v>
      </c>
      <c r="BI57" s="17">
        <f>IF(Distances[[#This Row],[Colonne42]]=$G57,BH57,Distances[[#This Row],[Colonne42]]+1)</f>
        <v>15</v>
      </c>
      <c r="BJ57" s="17">
        <f>IF(Distances[[#This Row],[Colonne43]]=$G57,BI57,Distances[[#This Row],[Colonne43]]+1)</f>
        <v>15</v>
      </c>
      <c r="BK57" s="17">
        <f>IF(Distances[[#This Row],[Colonne44]]=$G57,BJ57,Distances[[#This Row],[Colonne44]]+1)</f>
        <v>15</v>
      </c>
      <c r="BL57" s="17">
        <f>IF(Distances[[#This Row],[Colonne45]]=$G57,BK57,Distances[[#This Row],[Colonne45]]+1)</f>
        <v>15</v>
      </c>
      <c r="BM57" s="17">
        <f>IF(Distances[[#This Row],[Colonne46]]=$G57,BL57,Distances[[#This Row],[Colonne46]]+1)</f>
        <v>15</v>
      </c>
      <c r="BN57" s="17">
        <f>IF(Distances[[#This Row],[Colonne47]]=$G57,BM57,Distances[[#This Row],[Colonne47]]+1)</f>
        <v>15</v>
      </c>
      <c r="BO57" s="17">
        <f>IF(Distances[[#This Row],[Colonne48]]=$G57,BN57,Distances[[#This Row],[Colonne48]]+1)</f>
        <v>15</v>
      </c>
      <c r="BP57" s="17">
        <f>IF(Distances[[#This Row],[Colonne49]]=$G57,BO57,Distances[[#This Row],[Colonne49]]+1)</f>
        <v>15</v>
      </c>
      <c r="BQ57" s="17">
        <f>IF(Distances[[#This Row],[Colonne50]]=$G57,BP57,Distances[[#This Row],[Colonne50]]+1)</f>
        <v>15</v>
      </c>
      <c r="BR57" s="17">
        <f>IF(Distances[[#This Row],[Colonne51]]=$G57,BQ57,Distances[[#This Row],[Colonne51]]+1)</f>
        <v>15</v>
      </c>
      <c r="BS57" s="17">
        <f>IF(Distances[[#This Row],[Colonne52]]=$G57,BR57,Distances[[#This Row],[Colonne52]]+1)</f>
        <v>15</v>
      </c>
      <c r="BT57" s="17">
        <f>IF(Distances[[#This Row],[Colonne53]]=$G57,BS57,Distances[[#This Row],[Colonne53]]+1)</f>
        <v>15</v>
      </c>
      <c r="BU57" s="17">
        <f>IF(Distances[[#This Row],[Colonne54]]=$G57,BT57,Distances[[#This Row],[Colonne54]]+1)</f>
        <v>15</v>
      </c>
      <c r="BV57" s="17">
        <f>IF(Distances[[#This Row],[Colonne55]]=$G57,BU57,Distances[[#This Row],[Colonne55]]+1)</f>
        <v>15</v>
      </c>
      <c r="BW57" s="17">
        <f>IF(Distances[[#This Row],[Colonne56]]=$G57,BV57,Distances[[#This Row],[Colonne56]]+1)</f>
        <v>15</v>
      </c>
      <c r="BX57" s="17">
        <f>IF(Distances[[#This Row],[Colonne57]]=$G57,BW57,Distances[[#This Row],[Colonne57]]+1)</f>
        <v>15</v>
      </c>
      <c r="BY57" s="17">
        <f>IF(Distances[[#This Row],[Colonne58]]=$G57,BX57,Distances[[#This Row],[Colonne58]]+1)</f>
        <v>15</v>
      </c>
      <c r="BZ57" s="17">
        <f>IF(Distances[[#This Row],[Colonne59]]=$G57,BY57,Distances[[#This Row],[Colonne59]]+1)</f>
        <v>15</v>
      </c>
      <c r="CA57" s="17">
        <f>IF(Distances[[#This Row],[Colonne60]]=$G57,BZ57,Distances[[#This Row],[Colonne60]]+1)</f>
        <v>15</v>
      </c>
      <c r="CB57" s="17">
        <f>IF(Distances[[#This Row],[Colonne61]]=$G57,CA57,Distances[[#This Row],[Colonne61]]+1)</f>
        <v>15</v>
      </c>
      <c r="CC57" s="17">
        <f>IF(Distances[[#This Row],[Colonne62]]=$G57,CB57,Distances[[#This Row],[Colonne62]]+1)</f>
        <v>15</v>
      </c>
      <c r="CD57" s="17">
        <f>IF(Distances[[#This Row],[Colonne63]]=$G57,CC57,Distances[[#This Row],[Colonne63]]+1)</f>
        <v>15</v>
      </c>
      <c r="CE57" s="17">
        <f>IF(Distances[[#This Row],[Colonne64]]=$G57,CD57,Distances[[#This Row],[Colonne64]]+1)</f>
        <v>15</v>
      </c>
      <c r="CF57" s="17">
        <f>IF(Distances[[#This Row],[Colonne65]]=$G57,CE57,Distances[[#This Row],[Colonne65]]+1)</f>
        <v>15</v>
      </c>
      <c r="CG57" s="17">
        <f>IF(Distances[[#This Row],[Colonne66]]=$G57,CF57,Distances[[#This Row],[Colonne66]]+1)</f>
        <v>15</v>
      </c>
      <c r="CH57" s="17">
        <f>IF(Distances[[#This Row],[Colonne67]]=$G57,CG57,Distances[[#This Row],[Colonne67]]+1)</f>
        <v>15</v>
      </c>
      <c r="CI57" s="17">
        <f>IF(Distances[[#This Row],[Colonne68]]=$G57,CH57,Distances[[#This Row],[Colonne68]]+1)</f>
        <v>15</v>
      </c>
      <c r="CJ57" s="17">
        <f>IF(Distances[[#This Row],[Colonne69]]=$G57,CI57,Distances[[#This Row],[Colonne69]]+1)</f>
        <v>15</v>
      </c>
      <c r="CK57" s="17">
        <f>IF(Distances[[#This Row],[Colonne70]]=$G57,CJ57,Distances[[#This Row],[Colonne70]]+1)</f>
        <v>15</v>
      </c>
      <c r="CL57" s="17">
        <f>IF(Distances[[#This Row],[Colonne71]]=$G57,CK57,Distances[[#This Row],[Colonne71]]+1)</f>
        <v>15</v>
      </c>
      <c r="CM57" s="17">
        <f>IF(Distances[[#This Row],[Colonne72]]=$G57,CL57,Distances[[#This Row],[Colonne72]]+1)</f>
        <v>15</v>
      </c>
      <c r="CN57" s="17">
        <f>IF(Distances[[#This Row],[Colonne73]]=$G57,CM57,Distances[[#This Row],[Colonne73]]+1)</f>
        <v>15</v>
      </c>
      <c r="CO57" s="17">
        <f>IF(Distances[[#This Row],[Colonne74]]=$G57,CN57,Distances[[#This Row],[Colonne74]]+1)</f>
        <v>15</v>
      </c>
      <c r="CP57" s="17">
        <f>IF(Distances[[#This Row],[Colonne75]]=$G57,CO57,Distances[[#This Row],[Colonne75]]+1)</f>
        <v>15</v>
      </c>
      <c r="CQ57" s="17">
        <f>IF(Distances[[#This Row],[Colonne76]]=$G57,CP57,Distances[[#This Row],[Colonne76]]+1)</f>
        <v>15</v>
      </c>
      <c r="CR57" s="17">
        <f>IF(Distances[[#This Row],[Colonne77]]=$G57,CQ57,Distances[[#This Row],[Colonne77]]+1)</f>
        <v>15</v>
      </c>
      <c r="CS57" s="17">
        <f>IF(Distances[[#This Row],[Colonne78]]=$G57,CR57,Distances[[#This Row],[Colonne78]]+1)</f>
        <v>15</v>
      </c>
      <c r="CT57" s="17">
        <f>IF(Distances[[#This Row],[Colonne79]]=$G57,CS57,Distances[[#This Row],[Colonne79]]+1)</f>
        <v>15</v>
      </c>
      <c r="CU57" s="17">
        <f>IF(Distances[[#This Row],[Colonne80]]=$G57,CT57,Distances[[#This Row],[Colonne80]]+1)</f>
        <v>15</v>
      </c>
      <c r="CV57" s="17">
        <f>IF(Distances[[#This Row],[Colonne81]]=$G57,CU57,Distances[[#This Row],[Colonne81]]+1)</f>
        <v>15</v>
      </c>
      <c r="CW57" s="17">
        <f>IF(Distances[[#This Row],[Colonne82]]=$G57,CV57,Distances[[#This Row],[Colonne82]]+1)</f>
        <v>15</v>
      </c>
      <c r="CX57" s="17">
        <f>IF(Distances[[#This Row],[Colonne83]]=$G57,CW57,Distances[[#This Row],[Colonne83]]+1)</f>
        <v>15</v>
      </c>
      <c r="CY57" s="17">
        <f>IF(Distances[[#This Row],[Colonne84]]=$G57,CX57,Distances[[#This Row],[Colonne84]]+1)</f>
        <v>15</v>
      </c>
      <c r="CZ57" s="17">
        <f>IF(Distances[[#This Row],[Colonne85]]=$G57,CY57,Distances[[#This Row],[Colonne85]]+1)</f>
        <v>15</v>
      </c>
      <c r="DA57" s="17">
        <f>IF(Distances[[#This Row],[Colonne86]]=$G57,CZ57,Distances[[#This Row],[Colonne86]]+1)</f>
        <v>15</v>
      </c>
      <c r="DB57" s="17">
        <f>IF(Distances[[#This Row],[Colonne87]]=$G57,DA57,Distances[[#This Row],[Colonne87]]+1)</f>
        <v>15</v>
      </c>
      <c r="DC57" s="17">
        <f>IF(Distances[[#This Row],[Colonne88]]=$G57,DB57,Distances[[#This Row],[Colonne88]]+1)</f>
        <v>15</v>
      </c>
      <c r="DD57" s="17">
        <f>IF(Distances[[#This Row],[Colonne89]]=$G57,DC57,Distances[[#This Row],[Colonne89]]+1)</f>
        <v>15</v>
      </c>
      <c r="DE57" s="17">
        <f>IF(Distances[[#This Row],[Colonne90]]=$G57,DD57,Distances[[#This Row],[Colonne90]]+1)</f>
        <v>15</v>
      </c>
      <c r="DF57" s="17">
        <f>IF(Distances[[#This Row],[Colonne91]]=$G57,DE57,Distances[[#This Row],[Colonne91]]+1)</f>
        <v>15</v>
      </c>
      <c r="DG57" s="17">
        <f>IF(Distances[[#This Row],[Colonne92]]=$G57,DF57,Distances[[#This Row],[Colonne92]]+1)</f>
        <v>15</v>
      </c>
      <c r="DH57" s="17">
        <f>IF(Distances[[#This Row],[Colonne93]]=$G57,DG57,Distances[[#This Row],[Colonne93]]+1)</f>
        <v>15</v>
      </c>
      <c r="DI57" s="17">
        <f>IF(Distances[[#This Row],[Colonne94]]=$G57,DH57,Distances[[#This Row],[Colonne94]]+1)</f>
        <v>15</v>
      </c>
      <c r="DJ57" s="17">
        <f>IF(Distances[[#This Row],[Colonne95]]=$G57,DI57,Distances[[#This Row],[Colonne95]]+1)</f>
        <v>15</v>
      </c>
      <c r="DK57" s="17">
        <f>IF(Distances[[#This Row],[Colonne96]]=$G57,DJ57,Distances[[#This Row],[Colonne96]]+1)</f>
        <v>15</v>
      </c>
      <c r="DL57" s="17">
        <f>IF(Distances[[#This Row],[Colonne97]]=$G57,DK57,Distances[[#This Row],[Colonne97]]+1)</f>
        <v>15</v>
      </c>
      <c r="DM57" s="17">
        <f>IF(Distances[[#This Row],[Colonne98]]=$G57,DL57,Distances[[#This Row],[Colonne98]]+1)</f>
        <v>15</v>
      </c>
      <c r="DN57" s="17">
        <f>IF(Distances[[#This Row],[Colonne99]]=$G57,DM57,Distances[[#This Row],[Colonne99]]+1)</f>
        <v>15</v>
      </c>
      <c r="DO57" s="17">
        <f>IF(Distances[[#This Row],[Colonne100]]=$G57,DN57,Distances[[#This Row],[Colonne100]]+1)</f>
        <v>15</v>
      </c>
      <c r="DP57" s="17">
        <f>IF(Distances[[#This Row],[Colonne101]]=$G57,DO57,Distances[[#This Row],[Colonne101]]+1)</f>
        <v>15</v>
      </c>
      <c r="DQ57" s="17">
        <f>IF(Distances[[#This Row],[Colonne102]]=$G57,DP57,Distances[[#This Row],[Colonne102]]+1)</f>
        <v>15</v>
      </c>
      <c r="DR57" s="17">
        <f>IF(Distances[[#This Row],[Colonne103]]=$G57,DQ57,Distances[[#This Row],[Colonne103]]+1)</f>
        <v>15</v>
      </c>
      <c r="DS57" s="17">
        <f>IF(Distances[[#This Row],[Colonne104]]=$G57,DR57,Distances[[#This Row],[Colonne104]]+1)</f>
        <v>15</v>
      </c>
      <c r="DT57" s="17">
        <f>IF(Distances[[#This Row],[Colonne105]]=$G57,DS57,Distances[[#This Row],[Colonne105]]+1)</f>
        <v>15</v>
      </c>
      <c r="DU57" s="17">
        <f>IF(Distances[[#This Row],[Colonne106]]=$G57,DT57,Distances[[#This Row],[Colonne106]]+1)</f>
        <v>15</v>
      </c>
      <c r="DV57" s="17">
        <f>IF(Distances[[#This Row],[Colonne107]]=$G57,DU57,Distances[[#This Row],[Colonne107]]+1)</f>
        <v>15</v>
      </c>
      <c r="DW57" s="17">
        <f>IF(Distances[[#This Row],[Colonne108]]=$G57,DV57,Distances[[#This Row],[Colonne108]]+1)</f>
        <v>15</v>
      </c>
      <c r="DX57" s="17">
        <f>IF(Distances[[#This Row],[Colonne109]]=$G57,DW57,Distances[[#This Row],[Colonne109]]+1)</f>
        <v>15</v>
      </c>
      <c r="DY57" s="17">
        <f>IF(Distances[[#This Row],[Colonne110]]=$G57,DX57,Distances[[#This Row],[Colonne110]]+1)</f>
        <v>15</v>
      </c>
      <c r="DZ57" s="17">
        <f>IF(Distances[[#This Row],[Colonne111]]=$G57,DY57,Distances[[#This Row],[Colonne111]]+1)</f>
        <v>15</v>
      </c>
      <c r="EA57" s="17">
        <f>IF(Distances[[#This Row],[Colonne112]]=$G57,DZ57,Distances[[#This Row],[Colonne112]]+1)</f>
        <v>15</v>
      </c>
      <c r="EB57" s="17">
        <f>IF(Distances[[#This Row],[Colonne113]]=$G57,EA57,Distances[[#This Row],[Colonne113]]+1)</f>
        <v>15</v>
      </c>
      <c r="EC57" s="17">
        <f>IF(Distances[[#This Row],[Colonne114]]=$G57,EB57,Distances[[#This Row],[Colonne114]]+1)</f>
        <v>15</v>
      </c>
      <c r="ED57" s="17">
        <f>IF(Distances[[#This Row],[Colonne115]]=$G57,EC57,Distances[[#This Row],[Colonne115]]+1)</f>
        <v>15</v>
      </c>
      <c r="EE57" s="17">
        <f>IF(Distances[[#This Row],[Colonne116]]=$G57,ED57,Distances[[#This Row],[Colonne116]]+1)</f>
        <v>15</v>
      </c>
      <c r="EF57" s="17">
        <f>IF(Distances[[#This Row],[Colonne117]]=$G57,EE57,Distances[[#This Row],[Colonne117]]+1)</f>
        <v>15</v>
      </c>
      <c r="EG57" s="17">
        <f>IF(Distances[[#This Row],[Colonne118]]=$G57,EF57,Distances[[#This Row],[Colonne118]]+1)</f>
        <v>15</v>
      </c>
      <c r="EH57" s="17">
        <f>IF(Distances[[#This Row],[Colonne119]]=$G57,EG57,Distances[[#This Row],[Colonne119]]+1)</f>
        <v>15</v>
      </c>
      <c r="EI57" s="17">
        <f>IF(Distances[[#This Row],[Colonne120]]=$G57,EH57,Distances[[#This Row],[Colonne120]]+1)</f>
        <v>15</v>
      </c>
      <c r="EJ57" s="17">
        <f>IF(Distances[[#This Row],[Colonne121]]=$G57,EI57,Distances[[#This Row],[Colonne121]]+1)</f>
        <v>15</v>
      </c>
      <c r="EK57" s="17">
        <f>IF(Distances[[#This Row],[Colonne122]]=$G57,EJ57,Distances[[#This Row],[Colonne122]]+1)</f>
        <v>15</v>
      </c>
      <c r="EL57" s="17">
        <f>IF(Distances[[#This Row],[Colonne123]]=$G57,EK57,Distances[[#This Row],[Colonne123]]+1)</f>
        <v>15</v>
      </c>
      <c r="EM57" s="17">
        <f>IF(Distances[[#This Row],[Colonne124]]=$G57,EL57,Distances[[#This Row],[Colonne124]]+1)</f>
        <v>15</v>
      </c>
      <c r="EN57" s="17">
        <f>IF(Distances[[#This Row],[Colonne125]]=$G57,EM57,Distances[[#This Row],[Colonne125]]+1)</f>
        <v>15</v>
      </c>
      <c r="EO57" s="17">
        <f>IF(Distances[[#This Row],[Colonne126]]=$G57,EN57,Distances[[#This Row],[Colonne126]]+1)</f>
        <v>15</v>
      </c>
      <c r="EP57" s="17">
        <f>IF(Distances[[#This Row],[Colonne127]]=$G57,EO57,Distances[[#This Row],[Colonne127]]+1)</f>
        <v>15</v>
      </c>
      <c r="EQ57" s="17">
        <f>IF(Distances[[#This Row],[Colonne128]]=$G57,EP57,Distances[[#This Row],[Colonne128]]+1)</f>
        <v>15</v>
      </c>
      <c r="ER57" s="17">
        <f>IF(Distances[[#This Row],[Colonne129]]=$G57,EQ57,Distances[[#This Row],[Colonne129]]+1)</f>
        <v>15</v>
      </c>
      <c r="ES57" s="17">
        <f>IF(Distances[[#This Row],[Colonne130]]=$G57,ER57,Distances[[#This Row],[Colonne130]]+1)</f>
        <v>15</v>
      </c>
      <c r="ET57" s="17">
        <f>IF(Distances[[#This Row],[Colonne131]]=$G57,ES57,Distances[[#This Row],[Colonne131]]+1)</f>
        <v>15</v>
      </c>
      <c r="EU57" s="17">
        <f>IF(Distances[[#This Row],[Colonne132]]=$G57,ET57,Distances[[#This Row],[Colonne132]]+1)</f>
        <v>15</v>
      </c>
      <c r="EV57" s="17">
        <f>IF(Distances[[#This Row],[Colonne133]]=$G57,EU57,Distances[[#This Row],[Colonne133]]+1)</f>
        <v>15</v>
      </c>
      <c r="EW57" s="17">
        <f>IF(Distances[[#This Row],[Colonne134]]=$G57,EV57,Distances[[#This Row],[Colonne134]]+1)</f>
        <v>15</v>
      </c>
      <c r="EX57" s="17">
        <f>IF(Distances[[#This Row],[Colonne135]]=$G57,EW57,Distances[[#This Row],[Colonne135]]+1)</f>
        <v>15</v>
      </c>
      <c r="EY57" s="17">
        <f>IF(Distances[[#This Row],[Colonne136]]=$G57,EX57,Distances[[#This Row],[Colonne136]]+1)</f>
        <v>15</v>
      </c>
      <c r="EZ57" s="17">
        <f>IF(Distances[[#This Row],[Colonne137]]=$G57,EY57,Distances[[#This Row],[Colonne137]]+1)</f>
        <v>15</v>
      </c>
      <c r="FA57" s="17">
        <f>IF(Distances[[#This Row],[Colonne138]]=$G57,EZ57,Distances[[#This Row],[Colonne138]]+1)</f>
        <v>15</v>
      </c>
      <c r="FB57" s="17">
        <f>IF(Distances[[#This Row],[Colonne139]]=$G57,FA57,Distances[[#This Row],[Colonne139]]+1)</f>
        <v>15</v>
      </c>
      <c r="FC57" s="17">
        <f>IF(Distances[[#This Row],[Colonne140]]=$G57,FB57,Distances[[#This Row],[Colonne140]]+1)</f>
        <v>15</v>
      </c>
      <c r="FD57" s="17">
        <f>IF(Distances[[#This Row],[Colonne141]]=$G57,FC57,Distances[[#This Row],[Colonne141]]+1)</f>
        <v>15</v>
      </c>
      <c r="FE57" s="17">
        <f>IF(Distances[[#This Row],[Colonne142]]=$G57,FD57,Distances[[#This Row],[Colonne142]]+1)</f>
        <v>15</v>
      </c>
      <c r="FF57" s="17">
        <f>IF(Distances[[#This Row],[Colonne143]]=$G57,FE57,Distances[[#This Row],[Colonne143]]+1)</f>
        <v>15</v>
      </c>
      <c r="FG57" s="17">
        <f>IF(Distances[[#This Row],[Colonne144]]=$G57,FF57,Distances[[#This Row],[Colonne144]]+1)</f>
        <v>15</v>
      </c>
      <c r="FH57" s="17">
        <f>IF(Distances[[#This Row],[Colonne145]]=$G57,FG57,Distances[[#This Row],[Colonne145]]+1)</f>
        <v>15</v>
      </c>
      <c r="FI57" s="17">
        <f>IF(Distances[[#This Row],[Colonne146]]=$G57,FH57,Distances[[#This Row],[Colonne146]]+1)</f>
        <v>15</v>
      </c>
      <c r="FJ57" s="17">
        <f>IF(Distances[[#This Row],[Colonne147]]=$G57,FI57,Distances[[#This Row],[Colonne147]]+1)</f>
        <v>15</v>
      </c>
      <c r="FK57" s="17">
        <f>IF(Distances[[#This Row],[Colonne148]]=$G57,FJ57,Distances[[#This Row],[Colonne148]]+1)</f>
        <v>15</v>
      </c>
      <c r="FL57" s="17">
        <f>IF(Distances[[#This Row],[Colonne149]]=$G57,FK57,Distances[[#This Row],[Colonne149]]+1)</f>
        <v>15</v>
      </c>
      <c r="FM57" s="17">
        <f>IF(Distances[[#This Row],[Colonne150]]=$G57,FL57,Distances[[#This Row],[Colonne150]]+1)</f>
        <v>15</v>
      </c>
      <c r="FN57" s="17">
        <f>IF(Distances[[#This Row],[Colonne151]]=$G57,FM57,Distances[[#This Row],[Colonne151]]+1)</f>
        <v>15</v>
      </c>
      <c r="FO57" s="17">
        <f>IF(Distances[[#This Row],[Colonne152]]=$G57,FN57,Distances[[#This Row],[Colonne152]]+1)</f>
        <v>15</v>
      </c>
      <c r="FP57" s="17">
        <f>IF(Distances[[#This Row],[Colonne153]]=$G57,FO57,Distances[[#This Row],[Colonne153]]+1)</f>
        <v>15</v>
      </c>
      <c r="FQ57" s="17">
        <f>IF(Distances[[#This Row],[Colonne154]]=$G57,FP57,Distances[[#This Row],[Colonne154]]+1)</f>
        <v>15</v>
      </c>
      <c r="FR57" s="17">
        <f>IF(Distances[[#This Row],[Colonne155]]=$G57,FQ57,Distances[[#This Row],[Colonne155]]+1)</f>
        <v>15</v>
      </c>
      <c r="FS57" s="17">
        <f>IF(Distances[[#This Row],[Colonne156]]=$G57,FR57,Distances[[#This Row],[Colonne156]]+1)</f>
        <v>15</v>
      </c>
      <c r="FT57" s="17">
        <f>IF(Distances[[#This Row],[Colonne157]]=$G57,FS57,Distances[[#This Row],[Colonne157]]+1)</f>
        <v>15</v>
      </c>
      <c r="FU57" s="17">
        <f>IF(Distances[[#This Row],[Colonne158]]=$G57,FT57,Distances[[#This Row],[Colonne158]]+1)</f>
        <v>15</v>
      </c>
      <c r="FV57" s="17">
        <f>IF(Distances[[#This Row],[Colonne159]]=$G57,FU57,Distances[[#This Row],[Colonne159]]+1)</f>
        <v>15</v>
      </c>
      <c r="FW57" s="17">
        <f>IF(Distances[[#This Row],[Colonne160]]=$G57,FV57,Distances[[#This Row],[Colonne160]]+1)</f>
        <v>15</v>
      </c>
      <c r="FX57" s="17">
        <f>IF(Distances[[#This Row],[Colonne161]]=$G57,FW57,Distances[[#This Row],[Colonne161]]+1)</f>
        <v>15</v>
      </c>
      <c r="FY57" s="17">
        <f>IF(Distances[[#This Row],[Colonne162]]=$G57,FX57,Distances[[#This Row],[Colonne162]]+1)</f>
        <v>15</v>
      </c>
      <c r="FZ57" s="17">
        <f>IF(Distances[[#This Row],[Colonne163]]=$G57,FY57,Distances[[#This Row],[Colonne163]]+1)</f>
        <v>15</v>
      </c>
      <c r="GA57" s="17">
        <f>IF(Distances[[#This Row],[Colonne164]]=$G57,FZ57,Distances[[#This Row],[Colonne164]]+1)</f>
        <v>15</v>
      </c>
      <c r="GB57" s="17">
        <f>IF(Distances[[#This Row],[Colonne165]]=$G57,GA57,Distances[[#This Row],[Colonne165]]+1)</f>
        <v>15</v>
      </c>
      <c r="GC57" s="17">
        <f>IF(Distances[[#This Row],[Colonne166]]=$G57,GB57,Distances[[#This Row],[Colonne166]]+1)</f>
        <v>15</v>
      </c>
      <c r="GD57" s="17">
        <f>IF(Distances[[#This Row],[Colonne167]]=$G57,GC57,Distances[[#This Row],[Colonne167]]+1)</f>
        <v>15</v>
      </c>
      <c r="GE57" s="17">
        <f>IF(Distances[[#This Row],[Colonne168]]=$G57,GD57,Distances[[#This Row],[Colonne168]]+1)</f>
        <v>15</v>
      </c>
      <c r="GF57" s="17">
        <f>IF(Distances[[#This Row],[Colonne169]]=$G57,GE57,Distances[[#This Row],[Colonne169]]+1)</f>
        <v>15</v>
      </c>
      <c r="GG57" s="17">
        <f>IF(Distances[[#This Row],[Colonne170]]=$G57,GF57,Distances[[#This Row],[Colonne170]]+1)</f>
        <v>15</v>
      </c>
      <c r="GH57" s="17">
        <f>IF(Distances[[#This Row],[Colonne171]]=$G57,GG57,Distances[[#This Row],[Colonne171]]+1)</f>
        <v>15</v>
      </c>
      <c r="GI57" s="17">
        <f>IF(Distances[[#This Row],[Colonne172]]=$G57,GH57,Distances[[#This Row],[Colonne172]]+1)</f>
        <v>15</v>
      </c>
      <c r="GJ57" s="17">
        <f>IF(Distances[[#This Row],[Colonne173]]=$G57,GI57,Distances[[#This Row],[Colonne173]]+1)</f>
        <v>15</v>
      </c>
      <c r="GK57" s="17">
        <f>IF(Distances[[#This Row],[Colonne174]]=$G57,GJ57,Distances[[#This Row],[Colonne174]]+1)</f>
        <v>15</v>
      </c>
      <c r="GL57" s="17">
        <f>IF(Distances[[#This Row],[Colonne175]]=$G57,GK57,Distances[[#This Row],[Colonne175]]+1)</f>
        <v>15</v>
      </c>
      <c r="GM57" s="17">
        <f>IF(Distances[[#This Row],[Colonne176]]=$G57,GL57,Distances[[#This Row],[Colonne176]]+1)</f>
        <v>15</v>
      </c>
      <c r="GN57" s="17">
        <f>IF(Distances[[#This Row],[Colonne177]]=$G57,GM57,Distances[[#This Row],[Colonne177]]+1)</f>
        <v>15</v>
      </c>
      <c r="GO57" s="17">
        <f>IF(Distances[[#This Row],[Colonne178]]=$G57,GN57,Distances[[#This Row],[Colonne178]]+1)</f>
        <v>15</v>
      </c>
      <c r="GP57" s="17">
        <f>IF(Distances[[#This Row],[Colonne179]]=$G57,GO57,Distances[[#This Row],[Colonne179]]+1)</f>
        <v>15</v>
      </c>
      <c r="GQ57" s="17">
        <f>IF(Distances[[#This Row],[Colonne180]]=$G57,GP57,Distances[[#This Row],[Colonne180]]+1)</f>
        <v>15</v>
      </c>
      <c r="GR57" s="17">
        <f>IF(Distances[[#This Row],[Colonne181]]=$G57,GQ57,Distances[[#This Row],[Colonne181]]+1)</f>
        <v>15</v>
      </c>
      <c r="GS57" s="17">
        <f>IF(Distances[[#This Row],[Colonne182]]=$G57,GR57,Distances[[#This Row],[Colonne182]]+1)</f>
        <v>15</v>
      </c>
      <c r="GT57" s="17">
        <f>IF(Distances[[#This Row],[Colonne183]]=$G57,GS57,Distances[[#This Row],[Colonne183]]+1)</f>
        <v>15</v>
      </c>
      <c r="GU57" s="17">
        <f>IF(Distances[[#This Row],[Colonne184]]=$G57,GT57,Distances[[#This Row],[Colonne184]]+1)</f>
        <v>15</v>
      </c>
      <c r="GV57" s="17">
        <f>IF(Distances[[#This Row],[Colonne185]]=$G57,GU57,Distances[[#This Row],[Colonne185]]+1)</f>
        <v>15</v>
      </c>
      <c r="GW57" s="17">
        <f>IF(Distances[[#This Row],[Colonne186]]=$G57,GV57,Distances[[#This Row],[Colonne186]]+1)</f>
        <v>15</v>
      </c>
      <c r="GX57" s="17">
        <f>IF(Distances[[#This Row],[Colonne187]]=$G57,GW57,Distances[[#This Row],[Colonne187]]+1)</f>
        <v>15</v>
      </c>
      <c r="GY57" s="17">
        <f>IF(Distances[[#This Row],[Colonne188]]=$G57,GX57,Distances[[#This Row],[Colonne188]]+1)</f>
        <v>15</v>
      </c>
      <c r="GZ57" s="17">
        <f>IF(Distances[[#This Row],[Colonne189]]=$G57,GY57,Distances[[#This Row],[Colonne189]]+1)</f>
        <v>15</v>
      </c>
      <c r="HA57" s="17">
        <f>IF(Distances[[#This Row],[Colonne190]]=$G57,GZ57,Distances[[#This Row],[Colonne190]]+1)</f>
        <v>15</v>
      </c>
      <c r="HB57" s="17">
        <f>IF(Distances[[#This Row],[Colonne191]]=$G57,HA57,Distances[[#This Row],[Colonne191]]+1)</f>
        <v>15</v>
      </c>
      <c r="HC57" s="17">
        <f>IF(Distances[[#This Row],[Colonne192]]=$G57,HB57,Distances[[#This Row],[Colonne192]]+1)</f>
        <v>15</v>
      </c>
      <c r="HD57" s="17">
        <f>IF(Distances[[#This Row],[Colonne193]]=$G57,HC57,Distances[[#This Row],[Colonne193]]+1)</f>
        <v>15</v>
      </c>
      <c r="HE57" s="17">
        <f>IF(Distances[[#This Row],[Colonne194]]=$G57,HD57,Distances[[#This Row],[Colonne194]]+1)</f>
        <v>15</v>
      </c>
      <c r="HF57" s="17">
        <f>IF(Distances[[#This Row],[Colonne195]]=$G57,HE57,Distances[[#This Row],[Colonne195]]+1)</f>
        <v>15</v>
      </c>
      <c r="HG57" s="17">
        <f>IF(Distances[[#This Row],[Colonne196]]=$G57,HF57,Distances[[#This Row],[Colonne196]]+1)</f>
        <v>15</v>
      </c>
      <c r="HH57" s="17">
        <f>IF(Distances[[#This Row],[Colonne197]]=$G57,HG57,Distances[[#This Row],[Colonne197]]+1)</f>
        <v>15</v>
      </c>
      <c r="HI57" s="17">
        <f>IF(Distances[[#This Row],[Colonne198]]=$G57,HH57,Distances[[#This Row],[Colonne198]]+1)</f>
        <v>15</v>
      </c>
      <c r="HJ57" s="17">
        <f>IF(Distances[[#This Row],[Colonne199]]=$G57,HI57,Distances[[#This Row],[Colonne199]]+1)</f>
        <v>15</v>
      </c>
      <c r="HK57" s="17">
        <f>IF(Distances[[#This Row],[Colonne200]]=$G57,HJ57,Distances[[#This Row],[Colonne200]]+1)</f>
        <v>15</v>
      </c>
      <c r="HL57" s="17">
        <f>IF(Distances[[#This Row],[Colonne201]]=$G57,HK57,Distances[[#This Row],[Colonne201]]+1)</f>
        <v>15</v>
      </c>
      <c r="HM57" s="17">
        <f>IF(Distances[[#This Row],[Colonne202]]=$G57,HL57,Distances[[#This Row],[Colonne202]]+1)</f>
        <v>15</v>
      </c>
      <c r="HN57" s="17">
        <f>IF(Distances[[#This Row],[Colonne203]]=$G57,HM57,Distances[[#This Row],[Colonne203]]+1)</f>
        <v>15</v>
      </c>
      <c r="HO57" s="17">
        <f>IF(Distances[[#This Row],[Colonne204]]=$G57,HN57,Distances[[#This Row],[Colonne204]]+1)</f>
        <v>15</v>
      </c>
      <c r="HP57" s="17">
        <f>IF(Distances[[#This Row],[Colonne205]]=$G57,HO57,Distances[[#This Row],[Colonne205]]+1)</f>
        <v>15</v>
      </c>
      <c r="HQ57" s="17">
        <f>IF(Distances[[#This Row],[Colonne206]]=$G57,HP57,Distances[[#This Row],[Colonne206]]+1)</f>
        <v>15</v>
      </c>
      <c r="HR57" s="17">
        <f>IF(Distances[[#This Row],[Colonne207]]=$G57,HQ57,Distances[[#This Row],[Colonne207]]+1)</f>
        <v>15</v>
      </c>
      <c r="HS57" s="17">
        <f>IF(Distances[[#This Row],[Colonne208]]=$G57,HR57,Distances[[#This Row],[Colonne208]]+1)</f>
        <v>15</v>
      </c>
      <c r="HT57" s="17">
        <f>IF(Distances[[#This Row],[Colonne209]]=$G57,HS57,Distances[[#This Row],[Colonne209]]+1)</f>
        <v>15</v>
      </c>
      <c r="HU57" s="17">
        <f>IF(Distances[[#This Row],[Colonne210]]=$G57,HT57,Distances[[#This Row],[Colonne210]]+1)</f>
        <v>15</v>
      </c>
      <c r="HV57" s="17">
        <f>IF(Distances[[#This Row],[Colonne211]]=$G57,HU57,Distances[[#This Row],[Colonne211]]+1)</f>
        <v>15</v>
      </c>
      <c r="HW57" s="17">
        <f>IF(Distances[[#This Row],[Colonne212]]=$G57,HV57,Distances[[#This Row],[Colonne212]]+1)</f>
        <v>15</v>
      </c>
      <c r="HX57" s="17">
        <f>IF(Distances[[#This Row],[Colonne213]]=$G57,HW57,Distances[[#This Row],[Colonne213]]+1)</f>
        <v>15</v>
      </c>
      <c r="HY57" s="17">
        <f>IF(Distances[[#This Row],[Colonne214]]=$G57,HX57,Distances[[#This Row],[Colonne214]]+1)</f>
        <v>15</v>
      </c>
      <c r="HZ57" s="17">
        <f>IF(Distances[[#This Row],[Colonne215]]=$G57,HY57,Distances[[#This Row],[Colonne215]]+1)</f>
        <v>15</v>
      </c>
      <c r="IA57" s="17">
        <f>IF(Distances[[#This Row],[Colonne216]]=$G57,HZ57,Distances[[#This Row],[Colonne216]]+1)</f>
        <v>15</v>
      </c>
      <c r="IB57" s="17">
        <f>IF(Distances[[#This Row],[Colonne217]]=$G57,IA57,Distances[[#This Row],[Colonne217]]+1)</f>
        <v>15</v>
      </c>
      <c r="IC57" s="17">
        <f>IF(Distances[[#This Row],[Colonne218]]=$G57,IB57,Distances[[#This Row],[Colonne218]]+1)</f>
        <v>15</v>
      </c>
      <c r="ID57" s="17">
        <f>IF(Distances[[#This Row],[Colonne219]]=$G57,IC57,Distances[[#This Row],[Colonne219]]+1)</f>
        <v>15</v>
      </c>
      <c r="IE57" s="17">
        <f>IF(Distances[[#This Row],[Colonne220]]=$G57,ID57,Distances[[#This Row],[Colonne220]]+1)</f>
        <v>15</v>
      </c>
      <c r="IF57" s="17">
        <f>IF(Distances[[#This Row],[Colonne221]]=$G57,IE57,Distances[[#This Row],[Colonne221]]+1)</f>
        <v>15</v>
      </c>
      <c r="IG57" s="17">
        <f>IF(Distances[[#This Row],[Colonne222]]=$G57,IF57,Distances[[#This Row],[Colonne222]]+1)</f>
        <v>15</v>
      </c>
      <c r="IH57" s="17">
        <f>IF(Distances[[#This Row],[Colonne223]]=$G57,IG57,Distances[[#This Row],[Colonne223]]+1)</f>
        <v>15</v>
      </c>
      <c r="II57" s="17">
        <f>IF(Distances[[#This Row],[Colonne224]]=$G57,IH57,Distances[[#This Row],[Colonne224]]+1)</f>
        <v>15</v>
      </c>
      <c r="IJ57" s="17">
        <f>IF(Distances[[#This Row],[Colonne225]]=$G57,II57,Distances[[#This Row],[Colonne225]]+1)</f>
        <v>15</v>
      </c>
      <c r="IK57" s="17">
        <f>IF(Distances[[#This Row],[Colonne226]]=$G57,IJ57,Distances[[#This Row],[Colonne226]]+1)</f>
        <v>15</v>
      </c>
      <c r="IL57" s="17">
        <f>IF(Distances[[#This Row],[Colonne227]]=$G57,IK57,Distances[[#This Row],[Colonne227]]+1)</f>
        <v>15</v>
      </c>
      <c r="IM57" s="17">
        <f>IF(Distances[[#This Row],[Colonne228]]=$G57,IL57,Distances[[#This Row],[Colonne228]]+1)</f>
        <v>15</v>
      </c>
      <c r="IN57" s="17">
        <f>IF(Distances[[#This Row],[Colonne229]]=$G57,IM57,Distances[[#This Row],[Colonne229]]+1)</f>
        <v>15</v>
      </c>
      <c r="IO57" s="17">
        <f>IF(Distances[[#This Row],[Colonne230]]=$G57,IN57,Distances[[#This Row],[Colonne230]]+1)</f>
        <v>15</v>
      </c>
      <c r="IP57" s="17">
        <f>IF(Distances[[#This Row],[Colonne231]]=$G57,IO57,Distances[[#This Row],[Colonne231]]+1)</f>
        <v>15</v>
      </c>
      <c r="IQ57" s="17">
        <f>IF(Distances[[#This Row],[Colonne232]]=$G57,IP57,Distances[[#This Row],[Colonne232]]+1)</f>
        <v>15</v>
      </c>
      <c r="IR57" s="17">
        <f>IF(Distances[[#This Row],[Colonne233]]=$G57,IQ57,Distances[[#This Row],[Colonne233]]+1)</f>
        <v>15</v>
      </c>
      <c r="IS57" s="17">
        <f>IF(Distances[[#This Row],[Colonne234]]=$G57,IR57,Distances[[#This Row],[Colonne234]]+1)</f>
        <v>15</v>
      </c>
      <c r="IT57" s="17">
        <f>IF(Distances[[#This Row],[Colonne235]]=$G57,IS57,Distances[[#This Row],[Colonne235]]+1)</f>
        <v>15</v>
      </c>
      <c r="IU57" s="17">
        <f>IF(Distances[[#This Row],[Colonne236]]=$G57,IT57,Distances[[#This Row],[Colonne236]]+1)</f>
        <v>15</v>
      </c>
      <c r="IV57" s="17">
        <f>IF(Distances[[#This Row],[Colonne237]]=$G57,IU57,Distances[[#This Row],[Colonne237]]+1)</f>
        <v>15</v>
      </c>
      <c r="IW57" s="17">
        <f>IF(Distances[[#This Row],[Colonne238]]=$G57,IV57,Distances[[#This Row],[Colonne238]]+1)</f>
        <v>15</v>
      </c>
      <c r="IX57" s="17">
        <f>IF(Distances[[#This Row],[Colonne239]]=$G57,IW57,Distances[[#This Row],[Colonne239]]+1)</f>
        <v>15</v>
      </c>
      <c r="IY57" s="17">
        <f>IF(Distances[[#This Row],[Colonne240]]=$G57,IX57,Distances[[#This Row],[Colonne240]]+1)</f>
        <v>15</v>
      </c>
      <c r="IZ57" s="17">
        <f>IF(Distances[[#This Row],[Colonne241]]=$G57,IY57,Distances[[#This Row],[Colonne241]]+1)</f>
        <v>15</v>
      </c>
      <c r="JA57" s="17">
        <f>IF(Distances[[#This Row],[Colonne242]]=$G57,IZ57,Distances[[#This Row],[Colonne242]]+1)</f>
        <v>15</v>
      </c>
      <c r="JB57" s="17">
        <f>IF(Distances[[#This Row],[Colonne243]]=$G57,JA57,Distances[[#This Row],[Colonne243]]+1)</f>
        <v>15</v>
      </c>
      <c r="JC57" s="17">
        <f>IF(Distances[[#This Row],[Colonne244]]=$G57,JB57,Distances[[#This Row],[Colonne244]]+1)</f>
        <v>15</v>
      </c>
      <c r="JD57" s="17">
        <f>IF(Distances[[#This Row],[Colonne245]]=$G57,JC57,Distances[[#This Row],[Colonne245]]+1)</f>
        <v>15</v>
      </c>
      <c r="JE57" s="17">
        <f>IF(Distances[[#This Row],[Colonne246]]=$G57,JD57,Distances[[#This Row],[Colonne246]]+1)</f>
        <v>15</v>
      </c>
      <c r="JF57" s="17">
        <f>IF(Distances[[#This Row],[Colonne247]]=$G57,JE57,Distances[[#This Row],[Colonne247]]+1)</f>
        <v>15</v>
      </c>
      <c r="JG57" s="17">
        <f>IF(Distances[[#This Row],[Colonne248]]=$G57,JF57,Distances[[#This Row],[Colonne248]]+1)</f>
        <v>15</v>
      </c>
      <c r="JH57" s="17">
        <f>IF(Distances[[#This Row],[Colonne249]]=$G57,JG57,Distances[[#This Row],[Colonne249]]+1)</f>
        <v>15</v>
      </c>
      <c r="JI57" s="17">
        <f>IF(Distances[[#This Row],[Colonne250]]=$G57,JH57,Distances[[#This Row],[Colonne250]]+1)</f>
        <v>15</v>
      </c>
      <c r="JJ57" s="17">
        <f>IF(Distances[[#This Row],[Colonne251]]=$G57,JI57,Distances[[#This Row],[Colonne251]]+1)</f>
        <v>15</v>
      </c>
      <c r="JK57" s="17">
        <f>IF(Distances[[#This Row],[Colonne252]]=$G57,JJ57,Distances[[#This Row],[Colonne252]]+1)</f>
        <v>15</v>
      </c>
      <c r="JL57" s="17">
        <f>IF(Distances[[#This Row],[Colonne253]]=$G57,JK57,Distances[[#This Row],[Colonne253]]+1)</f>
        <v>15</v>
      </c>
      <c r="JM57" s="17">
        <f>IF(Distances[[#This Row],[Colonne254]]=$G57,JL57,Distances[[#This Row],[Colonne254]]+1)</f>
        <v>15</v>
      </c>
      <c r="JN57" s="17">
        <f>IF(Distances[[#This Row],[Colonne255]]=$G57,JM57,Distances[[#This Row],[Colonne255]]+1)</f>
        <v>15</v>
      </c>
      <c r="JO57" s="17">
        <f>IF(Distances[[#This Row],[Colonne256]]=$G57,JN57,Distances[[#This Row],[Colonne256]]+1)</f>
        <v>15</v>
      </c>
      <c r="JP57" s="17">
        <f>IF(Distances[[#This Row],[Colonne257]]=$G57,JO57,Distances[[#This Row],[Colonne257]]+1)</f>
        <v>15</v>
      </c>
      <c r="JQ57" s="17">
        <f>IF(Distances[[#This Row],[Colonne258]]=$G57,JP57,Distances[[#This Row],[Colonne258]]+1)</f>
        <v>15</v>
      </c>
      <c r="JR57" s="17">
        <f>IF(Distances[[#This Row],[Colonne259]]=$G57,JQ57,Distances[[#This Row],[Colonne259]]+1)</f>
        <v>15</v>
      </c>
      <c r="JS57" s="17">
        <f>IF(Distances[[#This Row],[Colonne260]]=$G57,JR57,Distances[[#This Row],[Colonne260]]+1)</f>
        <v>15</v>
      </c>
      <c r="JT57" s="17">
        <f>IF(Distances[[#This Row],[Colonne261]]=$G57,JS57,Distances[[#This Row],[Colonne261]]+1)</f>
        <v>15</v>
      </c>
      <c r="JU57" s="17">
        <f>IF(Distances[[#This Row],[Colonne262]]=$G57,JT57,Distances[[#This Row],[Colonne262]]+1)</f>
        <v>15</v>
      </c>
      <c r="JV57" s="17">
        <f>IF(Distances[[#This Row],[Colonne263]]=$G57,JU57,Distances[[#This Row],[Colonne263]]+1)</f>
        <v>15</v>
      </c>
      <c r="JW57" s="17">
        <f>IF(Distances[[#This Row],[Colonne264]]=$G57,JV57,Distances[[#This Row],[Colonne264]]+1)</f>
        <v>15</v>
      </c>
      <c r="JX57" s="17">
        <f>IF(Distances[[#This Row],[Colonne265]]=$G57,JW57,Distances[[#This Row],[Colonne265]]+1)</f>
        <v>15</v>
      </c>
      <c r="JY57" s="17">
        <f>IF(Distances[[#This Row],[Colonne266]]=$G57,JX57,Distances[[#This Row],[Colonne266]]+1)</f>
        <v>15</v>
      </c>
      <c r="JZ57" s="17">
        <f>IF(Distances[[#This Row],[Colonne267]]=$G57,JY57,Distances[[#This Row],[Colonne267]]+1)</f>
        <v>15</v>
      </c>
      <c r="KA57" s="17">
        <f>IF(Distances[[#This Row],[Colonne268]]=$G57,JZ57,Distances[[#This Row],[Colonne268]]+1)</f>
        <v>15</v>
      </c>
      <c r="KB57" s="17">
        <f>IF(Distances[[#This Row],[Colonne269]]=$G57,KA57,Distances[[#This Row],[Colonne269]]+1)</f>
        <v>15</v>
      </c>
      <c r="KC57" s="17">
        <f>IF(Distances[[#This Row],[Colonne270]]=$G57,KB57,Distances[[#This Row],[Colonne270]]+1)</f>
        <v>15</v>
      </c>
      <c r="KD57" s="17">
        <f>IF(Distances[[#This Row],[Colonne271]]=$G57,KC57,Distances[[#This Row],[Colonne271]]+1)</f>
        <v>15</v>
      </c>
      <c r="KE57" s="17">
        <f>IF(Distances[[#This Row],[Colonne272]]=$G57,KD57,Distances[[#This Row],[Colonne272]]+1)</f>
        <v>15</v>
      </c>
      <c r="KF57" s="17">
        <f>IF(Distances[[#This Row],[Colonne273]]=$G57,KE57,Distances[[#This Row],[Colonne273]]+1)</f>
        <v>15</v>
      </c>
      <c r="KG57" s="17">
        <f>IF(Distances[[#This Row],[Colonne274]]=$G57,KF57,Distances[[#This Row],[Colonne274]]+1)</f>
        <v>15</v>
      </c>
      <c r="KH57" s="17">
        <f>IF(Distances[[#This Row],[Colonne275]]=$G57,KG57,Distances[[#This Row],[Colonne275]]+1)</f>
        <v>15</v>
      </c>
      <c r="KI57" s="17">
        <f>IF(Distances[[#This Row],[Colonne276]]=$G57,KH57,Distances[[#This Row],[Colonne276]]+1)</f>
        <v>15</v>
      </c>
      <c r="KJ57" s="17">
        <f>IF(Distances[[#This Row],[Colonne277]]=$G57,KI57,Distances[[#This Row],[Colonne277]]+1)</f>
        <v>15</v>
      </c>
      <c r="KK57" s="17">
        <f>IF(Distances[[#This Row],[Colonne278]]=$G57,KJ57,Distances[[#This Row],[Colonne278]]+1)</f>
        <v>15</v>
      </c>
      <c r="KL57" s="17">
        <f>IF(Distances[[#This Row],[Colonne279]]=$G57,KK57,Distances[[#This Row],[Colonne279]]+1)</f>
        <v>15</v>
      </c>
      <c r="KM57" s="17">
        <f>IF(Distances[[#This Row],[Colonne280]]=$G57,KL57,Distances[[#This Row],[Colonne280]]+1)</f>
        <v>15</v>
      </c>
      <c r="KN57" s="17">
        <f>IF(Distances[[#This Row],[Colonne281]]=$G57,KM57,Distances[[#This Row],[Colonne281]]+1)</f>
        <v>15</v>
      </c>
      <c r="KO57" s="17">
        <f>IF(Distances[[#This Row],[Colonne282]]=$G57,KN57,Distances[[#This Row],[Colonne282]]+1)</f>
        <v>15</v>
      </c>
      <c r="KP57" s="17">
        <f>IF(Distances[[#This Row],[Colonne283]]=$G57,KO57,Distances[[#This Row],[Colonne283]]+1)</f>
        <v>15</v>
      </c>
      <c r="KQ57" s="17">
        <f>IF(Distances[[#This Row],[Colonne284]]=$G57,KP57,Distances[[#This Row],[Colonne284]]+1)</f>
        <v>15</v>
      </c>
      <c r="KR57" s="17">
        <f>IF(Distances[[#This Row],[Colonne285]]=$G57,KQ57,Distances[[#This Row],[Colonne285]]+1)</f>
        <v>15</v>
      </c>
      <c r="KS57" s="17">
        <f>IF(Distances[[#This Row],[Colonne286]]=$G57,KR57,Distances[[#This Row],[Colonne286]]+1)</f>
        <v>15</v>
      </c>
      <c r="KT57" s="17">
        <f>IF(Distances[[#This Row],[Colonne287]]=$G57,KS57,Distances[[#This Row],[Colonne287]]+1)</f>
        <v>15</v>
      </c>
      <c r="KU57" s="17">
        <f>IF(Distances[[#This Row],[Colonne288]]=$G57,KT57,Distances[[#This Row],[Colonne288]]+1)</f>
        <v>15</v>
      </c>
      <c r="KV57" s="17">
        <f>IF(Distances[[#This Row],[Colonne289]]=$G57,KU57,Distances[[#This Row],[Colonne289]]+1)</f>
        <v>15</v>
      </c>
      <c r="KW57" s="17">
        <f>IF(Distances[[#This Row],[Colonne290]]=$G57,KV57,Distances[[#This Row],[Colonne290]]+1)</f>
        <v>15</v>
      </c>
      <c r="KX57" s="17">
        <f>IF(Distances[[#This Row],[Colonne291]]=$G57,KW57,Distances[[#This Row],[Colonne291]]+1)</f>
        <v>15</v>
      </c>
      <c r="KY57" s="17">
        <f>IF(Distances[[#This Row],[Colonne292]]=$G57,KX57,Distances[[#This Row],[Colonne292]]+1)</f>
        <v>15</v>
      </c>
      <c r="KZ57" s="17">
        <f>IF(Distances[[#This Row],[Colonne293]]=$G57,KY57,Distances[[#This Row],[Colonne293]]+1)</f>
        <v>15</v>
      </c>
      <c r="LA57" s="17">
        <f>IF(Distances[[#This Row],[Colonne294]]=$G57,KZ57,Distances[[#This Row],[Colonne294]]+1)</f>
        <v>15</v>
      </c>
      <c r="LB57" s="17">
        <f>IF(Distances[[#This Row],[Colonne295]]=$G57,LA57,Distances[[#This Row],[Colonne295]]+1)</f>
        <v>15</v>
      </c>
      <c r="LC57" s="17">
        <f>IF(Distances[[#This Row],[Colonne296]]=$G57,LB57,Distances[[#This Row],[Colonne296]]+1)</f>
        <v>15</v>
      </c>
      <c r="LD57" s="17">
        <f>IF(Distances[[#This Row],[Colonne297]]=$G57,LC57,Distances[[#This Row],[Colonne297]]+1)</f>
        <v>15</v>
      </c>
      <c r="LE57" s="17">
        <f>IF(Distances[[#This Row],[Colonne298]]=$G57,LD57,Distances[[#This Row],[Colonne298]]+1)</f>
        <v>15</v>
      </c>
      <c r="LF57" s="17">
        <f>IF(Distances[[#This Row],[Colonne299]]=$G57,LE57,Distances[[#This Row],[Colonne299]]+1)</f>
        <v>15</v>
      </c>
      <c r="LG57" s="17">
        <f>IF(Distances[[#This Row],[Colonne300]]=$G57,LF57,Distances[[#This Row],[Colonne300]]+1)</f>
        <v>15</v>
      </c>
      <c r="LH57" s="17">
        <f>IF(Distances[[#This Row],[Colonne301]]=$G57,LG57,Distances[[#This Row],[Colonne301]]+1)</f>
        <v>15</v>
      </c>
      <c r="LI57" s="17">
        <f>IF(Distances[[#This Row],[Colonne302]]=$G57,LH57,Distances[[#This Row],[Colonne302]]+1)</f>
        <v>15</v>
      </c>
      <c r="LJ57" s="17">
        <f>IF(Distances[[#This Row],[Colonne303]]=$G57,LI57,Distances[[#This Row],[Colonne303]]+1)</f>
        <v>15</v>
      </c>
      <c r="LK57" s="51"/>
      <c r="LL57" s="17">
        <f t="shared" ref="LL57:NW57" si="114">IF(LK57=$H57,LK57,LK57+1)</f>
        <v>1</v>
      </c>
      <c r="LM57" s="17">
        <f t="shared" si="114"/>
        <v>2</v>
      </c>
      <c r="LN57" s="17">
        <f t="shared" si="114"/>
        <v>3</v>
      </c>
      <c r="LO57" s="17">
        <f t="shared" si="114"/>
        <v>4</v>
      </c>
      <c r="LP57" s="17">
        <f t="shared" si="114"/>
        <v>5</v>
      </c>
      <c r="LQ57" s="17">
        <f t="shared" si="114"/>
        <v>6</v>
      </c>
      <c r="LR57" s="17">
        <f t="shared" si="114"/>
        <v>7</v>
      </c>
      <c r="LS57" s="17">
        <f t="shared" si="114"/>
        <v>8</v>
      </c>
      <c r="LT57" s="17">
        <f t="shared" si="114"/>
        <v>9</v>
      </c>
      <c r="LU57" s="17">
        <f t="shared" si="114"/>
        <v>10</v>
      </c>
      <c r="LV57" s="17">
        <f t="shared" si="114"/>
        <v>11</v>
      </c>
      <c r="LW57" s="17">
        <f t="shared" si="114"/>
        <v>12</v>
      </c>
      <c r="LX57" s="17">
        <f t="shared" si="114"/>
        <v>13</v>
      </c>
      <c r="LY57" s="17">
        <f t="shared" si="114"/>
        <v>14</v>
      </c>
      <c r="LZ57" s="17">
        <f t="shared" si="114"/>
        <v>15</v>
      </c>
      <c r="MA57" s="17">
        <f t="shared" si="114"/>
        <v>16</v>
      </c>
      <c r="MB57" s="17">
        <f t="shared" si="114"/>
        <v>17</v>
      </c>
      <c r="MC57" s="17">
        <f t="shared" si="114"/>
        <v>18</v>
      </c>
      <c r="MD57" s="17">
        <f t="shared" si="114"/>
        <v>19</v>
      </c>
      <c r="ME57" s="17">
        <f t="shared" si="114"/>
        <v>20</v>
      </c>
      <c r="MF57" s="17">
        <f t="shared" si="114"/>
        <v>21</v>
      </c>
      <c r="MG57" s="17">
        <f t="shared" si="114"/>
        <v>22</v>
      </c>
      <c r="MH57" s="17">
        <f t="shared" si="114"/>
        <v>23</v>
      </c>
      <c r="MI57" s="17">
        <f t="shared" si="114"/>
        <v>24</v>
      </c>
      <c r="MJ57" s="17">
        <f t="shared" si="114"/>
        <v>25</v>
      </c>
      <c r="MK57" s="17">
        <f t="shared" si="114"/>
        <v>26</v>
      </c>
      <c r="ML57" s="17">
        <f t="shared" si="114"/>
        <v>27</v>
      </c>
      <c r="MM57" s="17">
        <f t="shared" si="114"/>
        <v>28</v>
      </c>
      <c r="MN57" s="17">
        <f t="shared" si="114"/>
        <v>29</v>
      </c>
      <c r="MO57" s="17">
        <f t="shared" si="114"/>
        <v>30</v>
      </c>
      <c r="MP57" s="17">
        <f t="shared" si="114"/>
        <v>30</v>
      </c>
      <c r="MQ57" s="17">
        <f t="shared" si="114"/>
        <v>30</v>
      </c>
      <c r="MR57" s="17">
        <f t="shared" si="114"/>
        <v>30</v>
      </c>
      <c r="MS57" s="17">
        <f t="shared" si="114"/>
        <v>30</v>
      </c>
      <c r="MT57" s="17">
        <f t="shared" si="114"/>
        <v>30</v>
      </c>
      <c r="MU57" s="17">
        <f t="shared" si="114"/>
        <v>30</v>
      </c>
      <c r="MV57" s="17">
        <f t="shared" si="114"/>
        <v>30</v>
      </c>
      <c r="MW57" s="17">
        <f t="shared" si="114"/>
        <v>30</v>
      </c>
      <c r="MX57" s="17">
        <f t="shared" si="114"/>
        <v>30</v>
      </c>
      <c r="MY57" s="17">
        <f t="shared" si="114"/>
        <v>30</v>
      </c>
      <c r="MZ57" s="17">
        <f t="shared" si="114"/>
        <v>30</v>
      </c>
      <c r="NA57" s="17">
        <f t="shared" si="114"/>
        <v>30</v>
      </c>
      <c r="NB57" s="17">
        <f t="shared" si="114"/>
        <v>30</v>
      </c>
      <c r="NC57" s="17">
        <f t="shared" si="114"/>
        <v>30</v>
      </c>
      <c r="ND57" s="17">
        <f t="shared" si="114"/>
        <v>30</v>
      </c>
      <c r="NE57" s="17">
        <f t="shared" si="114"/>
        <v>30</v>
      </c>
      <c r="NF57" s="17">
        <f t="shared" si="114"/>
        <v>30</v>
      </c>
      <c r="NG57" s="17">
        <f t="shared" si="114"/>
        <v>30</v>
      </c>
      <c r="NH57" s="17">
        <f t="shared" si="114"/>
        <v>30</v>
      </c>
      <c r="NI57" s="17">
        <f t="shared" si="114"/>
        <v>30</v>
      </c>
      <c r="NJ57" s="17">
        <f t="shared" si="114"/>
        <v>30</v>
      </c>
      <c r="NK57" s="17">
        <f t="shared" si="114"/>
        <v>30</v>
      </c>
      <c r="NL57" s="17">
        <f t="shared" si="114"/>
        <v>30</v>
      </c>
      <c r="NM57" s="17">
        <f t="shared" si="114"/>
        <v>30</v>
      </c>
      <c r="NN57" s="17">
        <f t="shared" si="114"/>
        <v>30</v>
      </c>
      <c r="NO57" s="17">
        <f t="shared" si="114"/>
        <v>30</v>
      </c>
      <c r="NP57" s="17">
        <f t="shared" si="114"/>
        <v>30</v>
      </c>
      <c r="NQ57" s="17">
        <f t="shared" si="114"/>
        <v>30</v>
      </c>
      <c r="NR57" s="17">
        <f t="shared" si="114"/>
        <v>30</v>
      </c>
      <c r="NS57" s="17">
        <f t="shared" si="114"/>
        <v>30</v>
      </c>
      <c r="NT57" s="17">
        <f t="shared" si="114"/>
        <v>30</v>
      </c>
      <c r="NU57" s="17">
        <f t="shared" si="114"/>
        <v>30</v>
      </c>
      <c r="NV57" s="17">
        <f t="shared" si="114"/>
        <v>30</v>
      </c>
      <c r="NW57" s="17">
        <f t="shared" si="114"/>
        <v>30</v>
      </c>
      <c r="NX57" s="17">
        <f t="shared" ref="NX57:PG57" si="115">IF(NW57=$H57,NW57,NW57+1)</f>
        <v>30</v>
      </c>
      <c r="NY57" s="17">
        <f t="shared" si="115"/>
        <v>30</v>
      </c>
      <c r="NZ57" s="17">
        <f t="shared" si="115"/>
        <v>30</v>
      </c>
      <c r="OA57" s="17">
        <f t="shared" si="115"/>
        <v>30</v>
      </c>
      <c r="OB57" s="17">
        <f t="shared" si="115"/>
        <v>30</v>
      </c>
      <c r="OC57" s="17">
        <f t="shared" si="115"/>
        <v>30</v>
      </c>
      <c r="OD57" s="17">
        <f t="shared" si="115"/>
        <v>30</v>
      </c>
      <c r="OE57" s="17">
        <f t="shared" si="115"/>
        <v>30</v>
      </c>
      <c r="OF57" s="17">
        <f t="shared" si="115"/>
        <v>30</v>
      </c>
      <c r="OG57" s="17">
        <f t="shared" si="115"/>
        <v>30</v>
      </c>
      <c r="OH57" s="17">
        <f t="shared" si="115"/>
        <v>30</v>
      </c>
      <c r="OI57" s="17">
        <f t="shared" si="115"/>
        <v>30</v>
      </c>
      <c r="OJ57" s="17">
        <f t="shared" si="115"/>
        <v>30</v>
      </c>
      <c r="OK57" s="17">
        <f t="shared" si="115"/>
        <v>30</v>
      </c>
      <c r="OL57" s="17">
        <f t="shared" si="115"/>
        <v>30</v>
      </c>
      <c r="OM57" s="17">
        <f t="shared" si="115"/>
        <v>30</v>
      </c>
      <c r="ON57" s="17">
        <f t="shared" si="115"/>
        <v>30</v>
      </c>
      <c r="OO57" s="17">
        <f t="shared" si="115"/>
        <v>30</v>
      </c>
      <c r="OP57" s="17">
        <f t="shared" si="115"/>
        <v>30</v>
      </c>
      <c r="OQ57" s="17">
        <f t="shared" si="115"/>
        <v>30</v>
      </c>
      <c r="OR57" s="17">
        <f t="shared" si="115"/>
        <v>30</v>
      </c>
      <c r="OS57" s="17">
        <f t="shared" si="115"/>
        <v>30</v>
      </c>
      <c r="OT57" s="17">
        <f t="shared" si="115"/>
        <v>30</v>
      </c>
      <c r="OU57" s="17">
        <f t="shared" si="115"/>
        <v>30</v>
      </c>
      <c r="OV57" s="17">
        <f t="shared" si="115"/>
        <v>30</v>
      </c>
      <c r="OW57" s="17">
        <f t="shared" si="115"/>
        <v>30</v>
      </c>
      <c r="OX57" s="17">
        <f t="shared" si="115"/>
        <v>30</v>
      </c>
      <c r="OY57" s="17">
        <f t="shared" si="115"/>
        <v>30</v>
      </c>
      <c r="OZ57" s="17">
        <f t="shared" si="115"/>
        <v>30</v>
      </c>
      <c r="PA57" s="17">
        <f t="shared" si="115"/>
        <v>30</v>
      </c>
      <c r="PB57" s="17">
        <f t="shared" si="115"/>
        <v>30</v>
      </c>
      <c r="PC57" s="17">
        <f t="shared" si="115"/>
        <v>30</v>
      </c>
      <c r="PD57" s="17">
        <f t="shared" si="115"/>
        <v>30</v>
      </c>
      <c r="PE57" s="17">
        <f t="shared" si="115"/>
        <v>30</v>
      </c>
      <c r="PF57" s="17">
        <f t="shared" si="115"/>
        <v>30</v>
      </c>
      <c r="PG57" s="17">
        <f t="shared" si="115"/>
        <v>30</v>
      </c>
    </row>
    <row r="58" spans="1:423" x14ac:dyDescent="0.25">
      <c r="A58" s="8" t="s">
        <v>5454</v>
      </c>
      <c r="B58" s="9" t="s">
        <v>24</v>
      </c>
      <c r="C58" s="9" t="str">
        <f t="shared" si="72"/>
        <v>3N1</v>
      </c>
      <c r="D58" s="1" t="str">
        <f t="shared" si="73"/>
        <v>3 Bandes N1</v>
      </c>
      <c r="E58" s="1" t="s">
        <v>18</v>
      </c>
      <c r="F58" s="9" t="s">
        <v>5508</v>
      </c>
      <c r="G58" s="9">
        <v>30</v>
      </c>
      <c r="H58" s="9">
        <v>50</v>
      </c>
      <c r="I58" s="127">
        <v>3.1</v>
      </c>
      <c r="J58" s="30"/>
      <c r="K58" s="281"/>
      <c r="L58" s="8">
        <v>0.6</v>
      </c>
      <c r="M58" s="9">
        <v>0.77490000000000003</v>
      </c>
      <c r="N58" s="10">
        <v>0.94989999999999997</v>
      </c>
      <c r="O58" s="269">
        <v>1</v>
      </c>
      <c r="P58" s="331">
        <v>2</v>
      </c>
      <c r="Q58" s="335">
        <v>3</v>
      </c>
      <c r="R58" s="128"/>
      <c r="S58" s="9"/>
      <c r="T58" s="10"/>
      <c r="U58" t="s">
        <v>5523</v>
      </c>
      <c r="V58" s="17">
        <v>0</v>
      </c>
      <c r="W58" s="17">
        <f>IF(Distances[[#This Row],[Colonne4]]=$G58,V58,Distances[[#This Row],[Colonne4]]+1)</f>
        <v>1</v>
      </c>
      <c r="X58" s="17">
        <f>IF(Distances[[#This Row],[Colonne5]]=$G58,W58,Distances[[#This Row],[Colonne5]]+1)</f>
        <v>2</v>
      </c>
      <c r="Y58" s="17">
        <f>IF(Distances[[#This Row],[Colonne6]]=$G58,X58,Distances[[#This Row],[Colonne6]]+1)</f>
        <v>3</v>
      </c>
      <c r="Z58" s="17">
        <f>IF(Distances[[#This Row],[Colonne7]]=$G58,Y58,Distances[[#This Row],[Colonne7]]+1)</f>
        <v>4</v>
      </c>
      <c r="AA58" s="17">
        <f>IF(Distances[[#This Row],[Colonne8]]=$G58,Z58,Distances[[#This Row],[Colonne8]]+1)</f>
        <v>5</v>
      </c>
      <c r="AB58" s="17">
        <f>IF(Distances[[#This Row],[Colonne9]]=$G58,AA58,Distances[[#This Row],[Colonne9]]+1)</f>
        <v>6</v>
      </c>
      <c r="AC58" s="17">
        <f>IF(Distances[[#This Row],[Colonne10]]=$G58,AB58,Distances[[#This Row],[Colonne10]]+1)</f>
        <v>7</v>
      </c>
      <c r="AD58" s="17">
        <f>IF(Distances[[#This Row],[Colonne11]]=$G58,AC58,Distances[[#This Row],[Colonne11]]+1)</f>
        <v>8</v>
      </c>
      <c r="AE58" s="17">
        <f>IF(Distances[[#This Row],[Colonne12]]=$G58,AD58,Distances[[#This Row],[Colonne12]]+1)</f>
        <v>9</v>
      </c>
      <c r="AF58" s="17">
        <f>IF(Distances[[#This Row],[Colonne13]]=$G58,AE58,Distances[[#This Row],[Colonne13]]+1)</f>
        <v>10</v>
      </c>
      <c r="AG58" s="17">
        <f>IF(Distances[[#This Row],[Colonne14]]=$G58,AF58,Distances[[#This Row],[Colonne14]]+1)</f>
        <v>11</v>
      </c>
      <c r="AH58" s="17">
        <f>IF(Distances[[#This Row],[Colonne15]]=$G58,AG58,Distances[[#This Row],[Colonne15]]+1)</f>
        <v>12</v>
      </c>
      <c r="AI58" s="17">
        <f>IF(Distances[[#This Row],[Colonne16]]=$G58,AH58,Distances[[#This Row],[Colonne16]]+1)</f>
        <v>13</v>
      </c>
      <c r="AJ58" s="17">
        <f>IF(Distances[[#This Row],[Colonne17]]=$G58,AI58,Distances[[#This Row],[Colonne17]]+1)</f>
        <v>14</v>
      </c>
      <c r="AK58" s="17">
        <f>IF(Distances[[#This Row],[Colonne18]]=$G58,AJ58,Distances[[#This Row],[Colonne18]]+1)</f>
        <v>15</v>
      </c>
      <c r="AL58" s="17">
        <f>IF(Distances[[#This Row],[Colonne19]]=$G58,AK58,Distances[[#This Row],[Colonne19]]+1)</f>
        <v>16</v>
      </c>
      <c r="AM58" s="17">
        <f>IF(Distances[[#This Row],[Colonne20]]=$G58,AL58,Distances[[#This Row],[Colonne20]]+1)</f>
        <v>17</v>
      </c>
      <c r="AN58" s="17">
        <f>IF(Distances[[#This Row],[Colonne21]]=$G58,AM58,Distances[[#This Row],[Colonne21]]+1)</f>
        <v>18</v>
      </c>
      <c r="AO58" s="17">
        <f>IF(Distances[[#This Row],[Colonne22]]=$G58,AN58,Distances[[#This Row],[Colonne22]]+1)</f>
        <v>19</v>
      </c>
      <c r="AP58" s="17">
        <f>IF(Distances[[#This Row],[Colonne23]]=$G58,AO58,Distances[[#This Row],[Colonne23]]+1)</f>
        <v>20</v>
      </c>
      <c r="AQ58" s="17">
        <f>IF(Distances[[#This Row],[Colonne24]]=$G58,AP58,Distances[[#This Row],[Colonne24]]+1)</f>
        <v>21</v>
      </c>
      <c r="AR58" s="17">
        <f>IF(Distances[[#This Row],[Colonne25]]=$G58,AQ58,Distances[[#This Row],[Colonne25]]+1)</f>
        <v>22</v>
      </c>
      <c r="AS58" s="17">
        <f>IF(Distances[[#This Row],[Colonne26]]=$G58,AR58,Distances[[#This Row],[Colonne26]]+1)</f>
        <v>23</v>
      </c>
      <c r="AT58" s="17">
        <f>IF(Distances[[#This Row],[Colonne27]]=$G58,AS58,Distances[[#This Row],[Colonne27]]+1)</f>
        <v>24</v>
      </c>
      <c r="AU58" s="17">
        <f>IF(Distances[[#This Row],[Colonne28]]=$G58,AT58,Distances[[#This Row],[Colonne28]]+1)</f>
        <v>25</v>
      </c>
      <c r="AV58" s="17">
        <f>IF(Distances[[#This Row],[Colonne29]]=$G58,AU58,Distances[[#This Row],[Colonne29]]+1)</f>
        <v>26</v>
      </c>
      <c r="AW58" s="17">
        <f>IF(Distances[[#This Row],[Colonne30]]=$G58,AV58,Distances[[#This Row],[Colonne30]]+1)</f>
        <v>27</v>
      </c>
      <c r="AX58" s="17">
        <f>IF(Distances[[#This Row],[Colonne31]]=$G58,AW58,Distances[[#This Row],[Colonne31]]+1)</f>
        <v>28</v>
      </c>
      <c r="AY58" s="17">
        <f>IF(Distances[[#This Row],[Colonne32]]=$G58,AX58,Distances[[#This Row],[Colonne32]]+1)</f>
        <v>29</v>
      </c>
      <c r="AZ58" s="17">
        <f>IF(Distances[[#This Row],[Colonne33]]=$G58,AY58,Distances[[#This Row],[Colonne33]]+1)</f>
        <v>30</v>
      </c>
      <c r="BA58" s="17">
        <f>IF(Distances[[#This Row],[Colonne34]]=$G58,AZ58,Distances[[#This Row],[Colonne34]]+1)</f>
        <v>30</v>
      </c>
      <c r="BB58" s="17">
        <f>IF(Distances[[#This Row],[Colonne35]]=$G58,BA58,Distances[[#This Row],[Colonne35]]+1)</f>
        <v>30</v>
      </c>
      <c r="BC58" s="17">
        <f>IF(Distances[[#This Row],[Colonne36]]=$G58,BB58,Distances[[#This Row],[Colonne36]]+1)</f>
        <v>30</v>
      </c>
      <c r="BD58" s="17">
        <f>IF(Distances[[#This Row],[Colonne37]]=$G58,BC58,Distances[[#This Row],[Colonne37]]+1)</f>
        <v>30</v>
      </c>
      <c r="BE58" s="17">
        <f>IF(Distances[[#This Row],[Colonne38]]=$G58,BD58,Distances[[#This Row],[Colonne38]]+1)</f>
        <v>30</v>
      </c>
      <c r="BF58" s="17">
        <f>IF(Distances[[#This Row],[Colonne39]]=$G58,BE58,Distances[[#This Row],[Colonne39]]+1)</f>
        <v>30</v>
      </c>
      <c r="BG58" s="17">
        <f>IF(Distances[[#This Row],[Colonne40]]=$G58,BF58,Distances[[#This Row],[Colonne40]]+1)</f>
        <v>30</v>
      </c>
      <c r="BH58" s="17">
        <f>IF(Distances[[#This Row],[Colonne41]]=$G58,BG58,Distances[[#This Row],[Colonne41]]+1)</f>
        <v>30</v>
      </c>
      <c r="BI58" s="17">
        <f>IF(Distances[[#This Row],[Colonne42]]=$G58,BH58,Distances[[#This Row],[Colonne42]]+1)</f>
        <v>30</v>
      </c>
      <c r="BJ58" s="17">
        <f>IF(Distances[[#This Row],[Colonne43]]=$G58,BI58,Distances[[#This Row],[Colonne43]]+1)</f>
        <v>30</v>
      </c>
      <c r="BK58" s="17">
        <f>IF(Distances[[#This Row],[Colonne44]]=$G58,BJ58,Distances[[#This Row],[Colonne44]]+1)</f>
        <v>30</v>
      </c>
      <c r="BL58" s="17">
        <f>IF(Distances[[#This Row],[Colonne45]]=$G58,BK58,Distances[[#This Row],[Colonne45]]+1)</f>
        <v>30</v>
      </c>
      <c r="BM58" s="17">
        <f>IF(Distances[[#This Row],[Colonne46]]=$G58,BL58,Distances[[#This Row],[Colonne46]]+1)</f>
        <v>30</v>
      </c>
      <c r="BN58" s="17">
        <f>IF(Distances[[#This Row],[Colonne47]]=$G58,BM58,Distances[[#This Row],[Colonne47]]+1)</f>
        <v>30</v>
      </c>
      <c r="BO58" s="17">
        <f>IF(Distances[[#This Row],[Colonne48]]=$G58,BN58,Distances[[#This Row],[Colonne48]]+1)</f>
        <v>30</v>
      </c>
      <c r="BP58" s="17">
        <f>IF(Distances[[#This Row],[Colonne49]]=$G58,BO58,Distances[[#This Row],[Colonne49]]+1)</f>
        <v>30</v>
      </c>
      <c r="BQ58" s="17">
        <f>IF(Distances[[#This Row],[Colonne50]]=$G58,BP58,Distances[[#This Row],[Colonne50]]+1)</f>
        <v>30</v>
      </c>
      <c r="BR58" s="17">
        <f>IF(Distances[[#This Row],[Colonne51]]=$G58,BQ58,Distances[[#This Row],[Colonne51]]+1)</f>
        <v>30</v>
      </c>
      <c r="BS58" s="17">
        <f>IF(Distances[[#This Row],[Colonne52]]=$G58,BR58,Distances[[#This Row],[Colonne52]]+1)</f>
        <v>30</v>
      </c>
      <c r="BT58" s="17">
        <f>IF(Distances[[#This Row],[Colonne53]]=$G58,BS58,Distances[[#This Row],[Colonne53]]+1)</f>
        <v>30</v>
      </c>
      <c r="BU58" s="17">
        <f>IF(Distances[[#This Row],[Colonne54]]=$G58,BT58,Distances[[#This Row],[Colonne54]]+1)</f>
        <v>30</v>
      </c>
      <c r="BV58" s="17">
        <f>IF(Distances[[#This Row],[Colonne55]]=$G58,BU58,Distances[[#This Row],[Colonne55]]+1)</f>
        <v>30</v>
      </c>
      <c r="BW58" s="17">
        <f>IF(Distances[[#This Row],[Colonne56]]=$G58,BV58,Distances[[#This Row],[Colonne56]]+1)</f>
        <v>30</v>
      </c>
      <c r="BX58" s="17">
        <f>IF(Distances[[#This Row],[Colonne57]]=$G58,BW58,Distances[[#This Row],[Colonne57]]+1)</f>
        <v>30</v>
      </c>
      <c r="BY58" s="17">
        <f>IF(Distances[[#This Row],[Colonne58]]=$G58,BX58,Distances[[#This Row],[Colonne58]]+1)</f>
        <v>30</v>
      </c>
      <c r="BZ58" s="17">
        <f>IF(Distances[[#This Row],[Colonne59]]=$G58,BY58,Distances[[#This Row],[Colonne59]]+1)</f>
        <v>30</v>
      </c>
      <c r="CA58" s="17">
        <f>IF(Distances[[#This Row],[Colonne60]]=$G58,BZ58,Distances[[#This Row],[Colonne60]]+1)</f>
        <v>30</v>
      </c>
      <c r="CB58" s="17">
        <f>IF(Distances[[#This Row],[Colonne61]]=$G58,CA58,Distances[[#This Row],[Colonne61]]+1)</f>
        <v>30</v>
      </c>
      <c r="CC58" s="17">
        <f>IF(Distances[[#This Row],[Colonne62]]=$G58,CB58,Distances[[#This Row],[Colonne62]]+1)</f>
        <v>30</v>
      </c>
      <c r="CD58" s="17">
        <f>IF(Distances[[#This Row],[Colonne63]]=$G58,CC58,Distances[[#This Row],[Colonne63]]+1)</f>
        <v>30</v>
      </c>
      <c r="CE58" s="17">
        <f>IF(Distances[[#This Row],[Colonne64]]=$G58,CD58,Distances[[#This Row],[Colonne64]]+1)</f>
        <v>30</v>
      </c>
      <c r="CF58" s="17">
        <f>IF(Distances[[#This Row],[Colonne65]]=$G58,CE58,Distances[[#This Row],[Colonne65]]+1)</f>
        <v>30</v>
      </c>
      <c r="CG58" s="17">
        <f>IF(Distances[[#This Row],[Colonne66]]=$G58,CF58,Distances[[#This Row],[Colonne66]]+1)</f>
        <v>30</v>
      </c>
      <c r="CH58" s="17">
        <f>IF(Distances[[#This Row],[Colonne67]]=$G58,CG58,Distances[[#This Row],[Colonne67]]+1)</f>
        <v>30</v>
      </c>
      <c r="CI58" s="17">
        <f>IF(Distances[[#This Row],[Colonne68]]=$G58,CH58,Distances[[#This Row],[Colonne68]]+1)</f>
        <v>30</v>
      </c>
      <c r="CJ58" s="17">
        <f>IF(Distances[[#This Row],[Colonne69]]=$G58,CI58,Distances[[#This Row],[Colonne69]]+1)</f>
        <v>30</v>
      </c>
      <c r="CK58" s="17">
        <f>IF(Distances[[#This Row],[Colonne70]]=$G58,CJ58,Distances[[#This Row],[Colonne70]]+1)</f>
        <v>30</v>
      </c>
      <c r="CL58" s="17">
        <f>IF(Distances[[#This Row],[Colonne71]]=$G58,CK58,Distances[[#This Row],[Colonne71]]+1)</f>
        <v>30</v>
      </c>
      <c r="CM58" s="17">
        <f>IF(Distances[[#This Row],[Colonne72]]=$G58,CL58,Distances[[#This Row],[Colonne72]]+1)</f>
        <v>30</v>
      </c>
      <c r="CN58" s="17">
        <f>IF(Distances[[#This Row],[Colonne73]]=$G58,CM58,Distances[[#This Row],[Colonne73]]+1)</f>
        <v>30</v>
      </c>
      <c r="CO58" s="17">
        <f>IF(Distances[[#This Row],[Colonne74]]=$G58,CN58,Distances[[#This Row],[Colonne74]]+1)</f>
        <v>30</v>
      </c>
      <c r="CP58" s="17">
        <f>IF(Distances[[#This Row],[Colonne75]]=$G58,CO58,Distances[[#This Row],[Colonne75]]+1)</f>
        <v>30</v>
      </c>
      <c r="CQ58" s="17">
        <f>IF(Distances[[#This Row],[Colonne76]]=$G58,CP58,Distances[[#This Row],[Colonne76]]+1)</f>
        <v>30</v>
      </c>
      <c r="CR58" s="17">
        <f>IF(Distances[[#This Row],[Colonne77]]=$G58,CQ58,Distances[[#This Row],[Colonne77]]+1)</f>
        <v>30</v>
      </c>
      <c r="CS58" s="17">
        <f>IF(Distances[[#This Row],[Colonne78]]=$G58,CR58,Distances[[#This Row],[Colonne78]]+1)</f>
        <v>30</v>
      </c>
      <c r="CT58" s="17">
        <f>IF(Distances[[#This Row],[Colonne79]]=$G58,CS58,Distances[[#This Row],[Colonne79]]+1)</f>
        <v>30</v>
      </c>
      <c r="CU58" s="17">
        <f>IF(Distances[[#This Row],[Colonne80]]=$G58,CT58,Distances[[#This Row],[Colonne80]]+1)</f>
        <v>30</v>
      </c>
      <c r="CV58" s="17">
        <f>IF(Distances[[#This Row],[Colonne81]]=$G58,CU58,Distances[[#This Row],[Colonne81]]+1)</f>
        <v>30</v>
      </c>
      <c r="CW58" s="17">
        <f>IF(Distances[[#This Row],[Colonne82]]=$G58,CV58,Distances[[#This Row],[Colonne82]]+1)</f>
        <v>30</v>
      </c>
      <c r="CX58" s="17">
        <f>IF(Distances[[#This Row],[Colonne83]]=$G58,CW58,Distances[[#This Row],[Colonne83]]+1)</f>
        <v>30</v>
      </c>
      <c r="CY58" s="17">
        <f>IF(Distances[[#This Row],[Colonne84]]=$G58,CX58,Distances[[#This Row],[Colonne84]]+1)</f>
        <v>30</v>
      </c>
      <c r="CZ58" s="17">
        <f>IF(Distances[[#This Row],[Colonne85]]=$G58,CY58,Distances[[#This Row],[Colonne85]]+1)</f>
        <v>30</v>
      </c>
      <c r="DA58" s="17">
        <f>IF(Distances[[#This Row],[Colonne86]]=$G58,CZ58,Distances[[#This Row],[Colonne86]]+1)</f>
        <v>30</v>
      </c>
      <c r="DB58" s="17">
        <f>IF(Distances[[#This Row],[Colonne87]]=$G58,DA58,Distances[[#This Row],[Colonne87]]+1)</f>
        <v>30</v>
      </c>
      <c r="DC58" s="17">
        <f>IF(Distances[[#This Row],[Colonne88]]=$G58,DB58,Distances[[#This Row],[Colonne88]]+1)</f>
        <v>30</v>
      </c>
      <c r="DD58" s="17">
        <f>IF(Distances[[#This Row],[Colonne89]]=$G58,DC58,Distances[[#This Row],[Colonne89]]+1)</f>
        <v>30</v>
      </c>
      <c r="DE58" s="17">
        <f>IF(Distances[[#This Row],[Colonne90]]=$G58,DD58,Distances[[#This Row],[Colonne90]]+1)</f>
        <v>30</v>
      </c>
      <c r="DF58" s="17">
        <f>IF(Distances[[#This Row],[Colonne91]]=$G58,DE58,Distances[[#This Row],[Colonne91]]+1)</f>
        <v>30</v>
      </c>
      <c r="DG58" s="17">
        <f>IF(Distances[[#This Row],[Colonne92]]=$G58,DF58,Distances[[#This Row],[Colonne92]]+1)</f>
        <v>30</v>
      </c>
      <c r="DH58" s="17">
        <f>IF(Distances[[#This Row],[Colonne93]]=$G58,DG58,Distances[[#This Row],[Colonne93]]+1)</f>
        <v>30</v>
      </c>
      <c r="DI58" s="17">
        <f>IF(Distances[[#This Row],[Colonne94]]=$G58,DH58,Distances[[#This Row],[Colonne94]]+1)</f>
        <v>30</v>
      </c>
      <c r="DJ58" s="17">
        <f>IF(Distances[[#This Row],[Colonne95]]=$G58,DI58,Distances[[#This Row],[Colonne95]]+1)</f>
        <v>30</v>
      </c>
      <c r="DK58" s="17">
        <f>IF(Distances[[#This Row],[Colonne96]]=$G58,DJ58,Distances[[#This Row],[Colonne96]]+1)</f>
        <v>30</v>
      </c>
      <c r="DL58" s="17">
        <f>IF(Distances[[#This Row],[Colonne97]]=$G58,DK58,Distances[[#This Row],[Colonne97]]+1)</f>
        <v>30</v>
      </c>
      <c r="DM58" s="17">
        <f>IF(Distances[[#This Row],[Colonne98]]=$G58,DL58,Distances[[#This Row],[Colonne98]]+1)</f>
        <v>30</v>
      </c>
      <c r="DN58" s="17">
        <f>IF(Distances[[#This Row],[Colonne99]]=$G58,DM58,Distances[[#This Row],[Colonne99]]+1)</f>
        <v>30</v>
      </c>
      <c r="DO58" s="17">
        <f>IF(Distances[[#This Row],[Colonne100]]=$G58,DN58,Distances[[#This Row],[Colonne100]]+1)</f>
        <v>30</v>
      </c>
      <c r="DP58" s="17">
        <f>IF(Distances[[#This Row],[Colonne101]]=$G58,DO58,Distances[[#This Row],[Colonne101]]+1)</f>
        <v>30</v>
      </c>
      <c r="DQ58" s="17">
        <f>IF(Distances[[#This Row],[Colonne102]]=$G58,DP58,Distances[[#This Row],[Colonne102]]+1)</f>
        <v>30</v>
      </c>
      <c r="DR58" s="17">
        <f>IF(Distances[[#This Row],[Colonne103]]=$G58,DQ58,Distances[[#This Row],[Colonne103]]+1)</f>
        <v>30</v>
      </c>
      <c r="DS58" s="17">
        <f>IF(Distances[[#This Row],[Colonne104]]=$G58,DR58,Distances[[#This Row],[Colonne104]]+1)</f>
        <v>30</v>
      </c>
      <c r="DT58" s="17">
        <f>IF(Distances[[#This Row],[Colonne105]]=$G58,DS58,Distances[[#This Row],[Colonne105]]+1)</f>
        <v>30</v>
      </c>
      <c r="DU58" s="17">
        <f>IF(Distances[[#This Row],[Colonne106]]=$G58,DT58,Distances[[#This Row],[Colonne106]]+1)</f>
        <v>30</v>
      </c>
      <c r="DV58" s="17">
        <f>IF(Distances[[#This Row],[Colonne107]]=$G58,DU58,Distances[[#This Row],[Colonne107]]+1)</f>
        <v>30</v>
      </c>
      <c r="DW58" s="17">
        <f>IF(Distances[[#This Row],[Colonne108]]=$G58,DV58,Distances[[#This Row],[Colonne108]]+1)</f>
        <v>30</v>
      </c>
      <c r="DX58" s="17">
        <f>IF(Distances[[#This Row],[Colonne109]]=$G58,DW58,Distances[[#This Row],[Colonne109]]+1)</f>
        <v>30</v>
      </c>
      <c r="DY58" s="17">
        <f>IF(Distances[[#This Row],[Colonne110]]=$G58,DX58,Distances[[#This Row],[Colonne110]]+1)</f>
        <v>30</v>
      </c>
      <c r="DZ58" s="17">
        <f>IF(Distances[[#This Row],[Colonne111]]=$G58,DY58,Distances[[#This Row],[Colonne111]]+1)</f>
        <v>30</v>
      </c>
      <c r="EA58" s="17">
        <f>IF(Distances[[#This Row],[Colonne112]]=$G58,DZ58,Distances[[#This Row],[Colonne112]]+1)</f>
        <v>30</v>
      </c>
      <c r="EB58" s="17">
        <f>IF(Distances[[#This Row],[Colonne113]]=$G58,EA58,Distances[[#This Row],[Colonne113]]+1)</f>
        <v>30</v>
      </c>
      <c r="EC58" s="17">
        <f>IF(Distances[[#This Row],[Colonne114]]=$G58,EB58,Distances[[#This Row],[Colonne114]]+1)</f>
        <v>30</v>
      </c>
      <c r="ED58" s="17">
        <f>IF(Distances[[#This Row],[Colonne115]]=$G58,EC58,Distances[[#This Row],[Colonne115]]+1)</f>
        <v>30</v>
      </c>
      <c r="EE58" s="17">
        <f>IF(Distances[[#This Row],[Colonne116]]=$G58,ED58,Distances[[#This Row],[Colonne116]]+1)</f>
        <v>30</v>
      </c>
      <c r="EF58" s="17">
        <f>IF(Distances[[#This Row],[Colonne117]]=$G58,EE58,Distances[[#This Row],[Colonne117]]+1)</f>
        <v>30</v>
      </c>
      <c r="EG58" s="17">
        <f>IF(Distances[[#This Row],[Colonne118]]=$G58,EF58,Distances[[#This Row],[Colonne118]]+1)</f>
        <v>30</v>
      </c>
      <c r="EH58" s="17">
        <f>IF(Distances[[#This Row],[Colonne119]]=$G58,EG58,Distances[[#This Row],[Colonne119]]+1)</f>
        <v>30</v>
      </c>
      <c r="EI58" s="17">
        <f>IF(Distances[[#This Row],[Colonne120]]=$G58,EH58,Distances[[#This Row],[Colonne120]]+1)</f>
        <v>30</v>
      </c>
      <c r="EJ58" s="17">
        <f>IF(Distances[[#This Row],[Colonne121]]=$G58,EI58,Distances[[#This Row],[Colonne121]]+1)</f>
        <v>30</v>
      </c>
      <c r="EK58" s="17">
        <f>IF(Distances[[#This Row],[Colonne122]]=$G58,EJ58,Distances[[#This Row],[Colonne122]]+1)</f>
        <v>30</v>
      </c>
      <c r="EL58" s="17">
        <f>IF(Distances[[#This Row],[Colonne123]]=$G58,EK58,Distances[[#This Row],[Colonne123]]+1)</f>
        <v>30</v>
      </c>
      <c r="EM58" s="17">
        <f>IF(Distances[[#This Row],[Colonne124]]=$G58,EL58,Distances[[#This Row],[Colonne124]]+1)</f>
        <v>30</v>
      </c>
      <c r="EN58" s="17">
        <f>IF(Distances[[#This Row],[Colonne125]]=$G58,EM58,Distances[[#This Row],[Colonne125]]+1)</f>
        <v>30</v>
      </c>
      <c r="EO58" s="17">
        <f>IF(Distances[[#This Row],[Colonne126]]=$G58,EN58,Distances[[#This Row],[Colonne126]]+1)</f>
        <v>30</v>
      </c>
      <c r="EP58" s="17">
        <f>IF(Distances[[#This Row],[Colonne127]]=$G58,EO58,Distances[[#This Row],[Colonne127]]+1)</f>
        <v>30</v>
      </c>
      <c r="EQ58" s="17">
        <f>IF(Distances[[#This Row],[Colonne128]]=$G58,EP58,Distances[[#This Row],[Colonne128]]+1)</f>
        <v>30</v>
      </c>
      <c r="ER58" s="17">
        <f>IF(Distances[[#This Row],[Colonne129]]=$G58,EQ58,Distances[[#This Row],[Colonne129]]+1)</f>
        <v>30</v>
      </c>
      <c r="ES58" s="17">
        <f>IF(Distances[[#This Row],[Colonne130]]=$G58,ER58,Distances[[#This Row],[Colonne130]]+1)</f>
        <v>30</v>
      </c>
      <c r="ET58" s="17">
        <f>IF(Distances[[#This Row],[Colonne131]]=$G58,ES58,Distances[[#This Row],[Colonne131]]+1)</f>
        <v>30</v>
      </c>
      <c r="EU58" s="17">
        <f>IF(Distances[[#This Row],[Colonne132]]=$G58,ET58,Distances[[#This Row],[Colonne132]]+1)</f>
        <v>30</v>
      </c>
      <c r="EV58" s="17">
        <f>IF(Distances[[#This Row],[Colonne133]]=$G58,EU58,Distances[[#This Row],[Colonne133]]+1)</f>
        <v>30</v>
      </c>
      <c r="EW58" s="17">
        <f>IF(Distances[[#This Row],[Colonne134]]=$G58,EV58,Distances[[#This Row],[Colonne134]]+1)</f>
        <v>30</v>
      </c>
      <c r="EX58" s="17">
        <f>IF(Distances[[#This Row],[Colonne135]]=$G58,EW58,Distances[[#This Row],[Colonne135]]+1)</f>
        <v>30</v>
      </c>
      <c r="EY58" s="17">
        <f>IF(Distances[[#This Row],[Colonne136]]=$G58,EX58,Distances[[#This Row],[Colonne136]]+1)</f>
        <v>30</v>
      </c>
      <c r="EZ58" s="17">
        <f>IF(Distances[[#This Row],[Colonne137]]=$G58,EY58,Distances[[#This Row],[Colonne137]]+1)</f>
        <v>30</v>
      </c>
      <c r="FA58" s="17">
        <f>IF(Distances[[#This Row],[Colonne138]]=$G58,EZ58,Distances[[#This Row],[Colonne138]]+1)</f>
        <v>30</v>
      </c>
      <c r="FB58" s="17">
        <f>IF(Distances[[#This Row],[Colonne139]]=$G58,FA58,Distances[[#This Row],[Colonne139]]+1)</f>
        <v>30</v>
      </c>
      <c r="FC58" s="17">
        <f>IF(Distances[[#This Row],[Colonne140]]=$G58,FB58,Distances[[#This Row],[Colonne140]]+1)</f>
        <v>30</v>
      </c>
      <c r="FD58" s="17">
        <f>IF(Distances[[#This Row],[Colonne141]]=$G58,FC58,Distances[[#This Row],[Colonne141]]+1)</f>
        <v>30</v>
      </c>
      <c r="FE58" s="17">
        <f>IF(Distances[[#This Row],[Colonne142]]=$G58,FD58,Distances[[#This Row],[Colonne142]]+1)</f>
        <v>30</v>
      </c>
      <c r="FF58" s="17">
        <f>IF(Distances[[#This Row],[Colonne143]]=$G58,FE58,Distances[[#This Row],[Colonne143]]+1)</f>
        <v>30</v>
      </c>
      <c r="FG58" s="17">
        <f>IF(Distances[[#This Row],[Colonne144]]=$G58,FF58,Distances[[#This Row],[Colonne144]]+1)</f>
        <v>30</v>
      </c>
      <c r="FH58" s="17">
        <f>IF(Distances[[#This Row],[Colonne145]]=$G58,FG58,Distances[[#This Row],[Colonne145]]+1)</f>
        <v>30</v>
      </c>
      <c r="FI58" s="17">
        <f>IF(Distances[[#This Row],[Colonne146]]=$G58,FH58,Distances[[#This Row],[Colonne146]]+1)</f>
        <v>30</v>
      </c>
      <c r="FJ58" s="17">
        <f>IF(Distances[[#This Row],[Colonne147]]=$G58,FI58,Distances[[#This Row],[Colonne147]]+1)</f>
        <v>30</v>
      </c>
      <c r="FK58" s="17">
        <f>IF(Distances[[#This Row],[Colonne148]]=$G58,FJ58,Distances[[#This Row],[Colonne148]]+1)</f>
        <v>30</v>
      </c>
      <c r="FL58" s="17">
        <f>IF(Distances[[#This Row],[Colonne149]]=$G58,FK58,Distances[[#This Row],[Colonne149]]+1)</f>
        <v>30</v>
      </c>
      <c r="FM58" s="17">
        <f>IF(Distances[[#This Row],[Colonne150]]=$G58,FL58,Distances[[#This Row],[Colonne150]]+1)</f>
        <v>30</v>
      </c>
      <c r="FN58" s="17">
        <f>IF(Distances[[#This Row],[Colonne151]]=$G58,FM58,Distances[[#This Row],[Colonne151]]+1)</f>
        <v>30</v>
      </c>
      <c r="FO58" s="17">
        <f>IF(Distances[[#This Row],[Colonne152]]=$G58,FN58,Distances[[#This Row],[Colonne152]]+1)</f>
        <v>30</v>
      </c>
      <c r="FP58" s="17">
        <f>IF(Distances[[#This Row],[Colonne153]]=$G58,FO58,Distances[[#This Row],[Colonne153]]+1)</f>
        <v>30</v>
      </c>
      <c r="FQ58" s="17">
        <f>IF(Distances[[#This Row],[Colonne154]]=$G58,FP58,Distances[[#This Row],[Colonne154]]+1)</f>
        <v>30</v>
      </c>
      <c r="FR58" s="17">
        <f>IF(Distances[[#This Row],[Colonne155]]=$G58,FQ58,Distances[[#This Row],[Colonne155]]+1)</f>
        <v>30</v>
      </c>
      <c r="FS58" s="17">
        <f>IF(Distances[[#This Row],[Colonne156]]=$G58,FR58,Distances[[#This Row],[Colonne156]]+1)</f>
        <v>30</v>
      </c>
      <c r="FT58" s="17">
        <f>IF(Distances[[#This Row],[Colonne157]]=$G58,FS58,Distances[[#This Row],[Colonne157]]+1)</f>
        <v>30</v>
      </c>
      <c r="FU58" s="17">
        <f>IF(Distances[[#This Row],[Colonne158]]=$G58,FT58,Distances[[#This Row],[Colonne158]]+1)</f>
        <v>30</v>
      </c>
      <c r="FV58" s="17">
        <f>IF(Distances[[#This Row],[Colonne159]]=$G58,FU58,Distances[[#This Row],[Colonne159]]+1)</f>
        <v>30</v>
      </c>
      <c r="FW58" s="17">
        <f>IF(Distances[[#This Row],[Colonne160]]=$G58,FV58,Distances[[#This Row],[Colonne160]]+1)</f>
        <v>30</v>
      </c>
      <c r="FX58" s="17">
        <f>IF(Distances[[#This Row],[Colonne161]]=$G58,FW58,Distances[[#This Row],[Colonne161]]+1)</f>
        <v>30</v>
      </c>
      <c r="FY58" s="17">
        <f>IF(Distances[[#This Row],[Colonne162]]=$G58,FX58,Distances[[#This Row],[Colonne162]]+1)</f>
        <v>30</v>
      </c>
      <c r="FZ58" s="17">
        <f>IF(Distances[[#This Row],[Colonne163]]=$G58,FY58,Distances[[#This Row],[Colonne163]]+1)</f>
        <v>30</v>
      </c>
      <c r="GA58" s="17">
        <f>IF(Distances[[#This Row],[Colonne164]]=$G58,FZ58,Distances[[#This Row],[Colonne164]]+1)</f>
        <v>30</v>
      </c>
      <c r="GB58" s="17">
        <f>IF(Distances[[#This Row],[Colonne165]]=$G58,GA58,Distances[[#This Row],[Colonne165]]+1)</f>
        <v>30</v>
      </c>
      <c r="GC58" s="17">
        <f>IF(Distances[[#This Row],[Colonne166]]=$G58,GB58,Distances[[#This Row],[Colonne166]]+1)</f>
        <v>30</v>
      </c>
      <c r="GD58" s="17">
        <f>IF(Distances[[#This Row],[Colonne167]]=$G58,GC58,Distances[[#This Row],[Colonne167]]+1)</f>
        <v>30</v>
      </c>
      <c r="GE58" s="17">
        <f>IF(Distances[[#This Row],[Colonne168]]=$G58,GD58,Distances[[#This Row],[Colonne168]]+1)</f>
        <v>30</v>
      </c>
      <c r="GF58" s="17">
        <f>IF(Distances[[#This Row],[Colonne169]]=$G58,GE58,Distances[[#This Row],[Colonne169]]+1)</f>
        <v>30</v>
      </c>
      <c r="GG58" s="17">
        <f>IF(Distances[[#This Row],[Colonne170]]=$G58,GF58,Distances[[#This Row],[Colonne170]]+1)</f>
        <v>30</v>
      </c>
      <c r="GH58" s="17">
        <f>IF(Distances[[#This Row],[Colonne171]]=$G58,GG58,Distances[[#This Row],[Colonne171]]+1)</f>
        <v>30</v>
      </c>
      <c r="GI58" s="17">
        <f>IF(Distances[[#This Row],[Colonne172]]=$G58,GH58,Distances[[#This Row],[Colonne172]]+1)</f>
        <v>30</v>
      </c>
      <c r="GJ58" s="17">
        <f>IF(Distances[[#This Row],[Colonne173]]=$G58,GI58,Distances[[#This Row],[Colonne173]]+1)</f>
        <v>30</v>
      </c>
      <c r="GK58" s="17">
        <f>IF(Distances[[#This Row],[Colonne174]]=$G58,GJ58,Distances[[#This Row],[Colonne174]]+1)</f>
        <v>30</v>
      </c>
      <c r="GL58" s="17">
        <f>IF(Distances[[#This Row],[Colonne175]]=$G58,GK58,Distances[[#This Row],[Colonne175]]+1)</f>
        <v>30</v>
      </c>
      <c r="GM58" s="17">
        <f>IF(Distances[[#This Row],[Colonne176]]=$G58,GL58,Distances[[#This Row],[Colonne176]]+1)</f>
        <v>30</v>
      </c>
      <c r="GN58" s="17">
        <f>IF(Distances[[#This Row],[Colonne177]]=$G58,GM58,Distances[[#This Row],[Colonne177]]+1)</f>
        <v>30</v>
      </c>
      <c r="GO58" s="17">
        <f>IF(Distances[[#This Row],[Colonne178]]=$G58,GN58,Distances[[#This Row],[Colonne178]]+1)</f>
        <v>30</v>
      </c>
      <c r="GP58" s="17">
        <f>IF(Distances[[#This Row],[Colonne179]]=$G58,GO58,Distances[[#This Row],[Colonne179]]+1)</f>
        <v>30</v>
      </c>
      <c r="GQ58" s="17">
        <f>IF(Distances[[#This Row],[Colonne180]]=$G58,GP58,Distances[[#This Row],[Colonne180]]+1)</f>
        <v>30</v>
      </c>
      <c r="GR58" s="17">
        <f>IF(Distances[[#This Row],[Colonne181]]=$G58,GQ58,Distances[[#This Row],[Colonne181]]+1)</f>
        <v>30</v>
      </c>
      <c r="GS58" s="17">
        <f>IF(Distances[[#This Row],[Colonne182]]=$G58,GR58,Distances[[#This Row],[Colonne182]]+1)</f>
        <v>30</v>
      </c>
      <c r="GT58" s="17">
        <f>IF(Distances[[#This Row],[Colonne183]]=$G58,GS58,Distances[[#This Row],[Colonne183]]+1)</f>
        <v>30</v>
      </c>
      <c r="GU58" s="17">
        <f>IF(Distances[[#This Row],[Colonne184]]=$G58,GT58,Distances[[#This Row],[Colonne184]]+1)</f>
        <v>30</v>
      </c>
      <c r="GV58" s="17">
        <f>IF(Distances[[#This Row],[Colonne185]]=$G58,GU58,Distances[[#This Row],[Colonne185]]+1)</f>
        <v>30</v>
      </c>
      <c r="GW58" s="17">
        <f>IF(Distances[[#This Row],[Colonne186]]=$G58,GV58,Distances[[#This Row],[Colonne186]]+1)</f>
        <v>30</v>
      </c>
      <c r="GX58" s="17">
        <f>IF(Distances[[#This Row],[Colonne187]]=$G58,GW58,Distances[[#This Row],[Colonne187]]+1)</f>
        <v>30</v>
      </c>
      <c r="GY58" s="17">
        <f>IF(Distances[[#This Row],[Colonne188]]=$G58,GX58,Distances[[#This Row],[Colonne188]]+1)</f>
        <v>30</v>
      </c>
      <c r="GZ58" s="17">
        <f>IF(Distances[[#This Row],[Colonne189]]=$G58,GY58,Distances[[#This Row],[Colonne189]]+1)</f>
        <v>30</v>
      </c>
      <c r="HA58" s="17">
        <f>IF(Distances[[#This Row],[Colonne190]]=$G58,GZ58,Distances[[#This Row],[Colonne190]]+1)</f>
        <v>30</v>
      </c>
      <c r="HB58" s="17">
        <f>IF(Distances[[#This Row],[Colonne191]]=$G58,HA58,Distances[[#This Row],[Colonne191]]+1)</f>
        <v>30</v>
      </c>
      <c r="HC58" s="17">
        <f>IF(Distances[[#This Row],[Colonne192]]=$G58,HB58,Distances[[#This Row],[Colonne192]]+1)</f>
        <v>30</v>
      </c>
      <c r="HD58" s="17">
        <f>IF(Distances[[#This Row],[Colonne193]]=$G58,HC58,Distances[[#This Row],[Colonne193]]+1)</f>
        <v>30</v>
      </c>
      <c r="HE58" s="17">
        <f>IF(Distances[[#This Row],[Colonne194]]=$G58,HD58,Distances[[#This Row],[Colonne194]]+1)</f>
        <v>30</v>
      </c>
      <c r="HF58" s="17">
        <f>IF(Distances[[#This Row],[Colonne195]]=$G58,HE58,Distances[[#This Row],[Colonne195]]+1)</f>
        <v>30</v>
      </c>
      <c r="HG58" s="17">
        <f>IF(Distances[[#This Row],[Colonne196]]=$G58,HF58,Distances[[#This Row],[Colonne196]]+1)</f>
        <v>30</v>
      </c>
      <c r="HH58" s="17">
        <f>IF(Distances[[#This Row],[Colonne197]]=$G58,HG58,Distances[[#This Row],[Colonne197]]+1)</f>
        <v>30</v>
      </c>
      <c r="HI58" s="17">
        <f>IF(Distances[[#This Row],[Colonne198]]=$G58,HH58,Distances[[#This Row],[Colonne198]]+1)</f>
        <v>30</v>
      </c>
      <c r="HJ58" s="17">
        <f>IF(Distances[[#This Row],[Colonne199]]=$G58,HI58,Distances[[#This Row],[Colonne199]]+1)</f>
        <v>30</v>
      </c>
      <c r="HK58" s="17">
        <f>IF(Distances[[#This Row],[Colonne200]]=$G58,HJ58,Distances[[#This Row],[Colonne200]]+1)</f>
        <v>30</v>
      </c>
      <c r="HL58" s="17">
        <f>IF(Distances[[#This Row],[Colonne201]]=$G58,HK58,Distances[[#This Row],[Colonne201]]+1)</f>
        <v>30</v>
      </c>
      <c r="HM58" s="17">
        <f>IF(Distances[[#This Row],[Colonne202]]=$G58,HL58,Distances[[#This Row],[Colonne202]]+1)</f>
        <v>30</v>
      </c>
      <c r="HN58" s="17">
        <f>IF(Distances[[#This Row],[Colonne203]]=$G58,HM58,Distances[[#This Row],[Colonne203]]+1)</f>
        <v>30</v>
      </c>
      <c r="HO58" s="17">
        <f>IF(Distances[[#This Row],[Colonne204]]=$G58,HN58,Distances[[#This Row],[Colonne204]]+1)</f>
        <v>30</v>
      </c>
      <c r="HP58" s="17">
        <f>IF(Distances[[#This Row],[Colonne205]]=$G58,HO58,Distances[[#This Row],[Colonne205]]+1)</f>
        <v>30</v>
      </c>
      <c r="HQ58" s="17">
        <f>IF(Distances[[#This Row],[Colonne206]]=$G58,HP58,Distances[[#This Row],[Colonne206]]+1)</f>
        <v>30</v>
      </c>
      <c r="HR58" s="17">
        <f>IF(Distances[[#This Row],[Colonne207]]=$G58,HQ58,Distances[[#This Row],[Colonne207]]+1)</f>
        <v>30</v>
      </c>
      <c r="HS58" s="17">
        <f>IF(Distances[[#This Row],[Colonne208]]=$G58,HR58,Distances[[#This Row],[Colonne208]]+1)</f>
        <v>30</v>
      </c>
      <c r="HT58" s="17">
        <f>IF(Distances[[#This Row],[Colonne209]]=$G58,HS58,Distances[[#This Row],[Colonne209]]+1)</f>
        <v>30</v>
      </c>
      <c r="HU58" s="17">
        <f>IF(Distances[[#This Row],[Colonne210]]=$G58,HT58,Distances[[#This Row],[Colonne210]]+1)</f>
        <v>30</v>
      </c>
      <c r="HV58" s="17">
        <f>IF(Distances[[#This Row],[Colonne211]]=$G58,HU58,Distances[[#This Row],[Colonne211]]+1)</f>
        <v>30</v>
      </c>
      <c r="HW58" s="17">
        <f>IF(Distances[[#This Row],[Colonne212]]=$G58,HV58,Distances[[#This Row],[Colonne212]]+1)</f>
        <v>30</v>
      </c>
      <c r="HX58" s="17">
        <f>IF(Distances[[#This Row],[Colonne213]]=$G58,HW58,Distances[[#This Row],[Colonne213]]+1)</f>
        <v>30</v>
      </c>
      <c r="HY58" s="17">
        <f>IF(Distances[[#This Row],[Colonne214]]=$G58,HX58,Distances[[#This Row],[Colonne214]]+1)</f>
        <v>30</v>
      </c>
      <c r="HZ58" s="17">
        <f>IF(Distances[[#This Row],[Colonne215]]=$G58,HY58,Distances[[#This Row],[Colonne215]]+1)</f>
        <v>30</v>
      </c>
      <c r="IA58" s="17">
        <f>IF(Distances[[#This Row],[Colonne216]]=$G58,HZ58,Distances[[#This Row],[Colonne216]]+1)</f>
        <v>30</v>
      </c>
      <c r="IB58" s="17">
        <f>IF(Distances[[#This Row],[Colonne217]]=$G58,IA58,Distances[[#This Row],[Colonne217]]+1)</f>
        <v>30</v>
      </c>
      <c r="IC58" s="17">
        <f>IF(Distances[[#This Row],[Colonne218]]=$G58,IB58,Distances[[#This Row],[Colonne218]]+1)</f>
        <v>30</v>
      </c>
      <c r="ID58" s="17">
        <f>IF(Distances[[#This Row],[Colonne219]]=$G58,IC58,Distances[[#This Row],[Colonne219]]+1)</f>
        <v>30</v>
      </c>
      <c r="IE58" s="17">
        <f>IF(Distances[[#This Row],[Colonne220]]=$G58,ID58,Distances[[#This Row],[Colonne220]]+1)</f>
        <v>30</v>
      </c>
      <c r="IF58" s="17">
        <f>IF(Distances[[#This Row],[Colonne221]]=$G58,IE58,Distances[[#This Row],[Colonne221]]+1)</f>
        <v>30</v>
      </c>
      <c r="IG58" s="17">
        <f>IF(Distances[[#This Row],[Colonne222]]=$G58,IF58,Distances[[#This Row],[Colonne222]]+1)</f>
        <v>30</v>
      </c>
      <c r="IH58" s="17">
        <f>IF(Distances[[#This Row],[Colonne223]]=$G58,IG58,Distances[[#This Row],[Colonne223]]+1)</f>
        <v>30</v>
      </c>
      <c r="II58" s="17">
        <f>IF(Distances[[#This Row],[Colonne224]]=$G58,IH58,Distances[[#This Row],[Colonne224]]+1)</f>
        <v>30</v>
      </c>
      <c r="IJ58" s="17">
        <f>IF(Distances[[#This Row],[Colonne225]]=$G58,II58,Distances[[#This Row],[Colonne225]]+1)</f>
        <v>30</v>
      </c>
      <c r="IK58" s="17">
        <f>IF(Distances[[#This Row],[Colonne226]]=$G58,IJ58,Distances[[#This Row],[Colonne226]]+1)</f>
        <v>30</v>
      </c>
      <c r="IL58" s="17">
        <f>IF(Distances[[#This Row],[Colonne227]]=$G58,IK58,Distances[[#This Row],[Colonne227]]+1)</f>
        <v>30</v>
      </c>
      <c r="IM58" s="17">
        <f>IF(Distances[[#This Row],[Colonne228]]=$G58,IL58,Distances[[#This Row],[Colonne228]]+1)</f>
        <v>30</v>
      </c>
      <c r="IN58" s="17">
        <f>IF(Distances[[#This Row],[Colonne229]]=$G58,IM58,Distances[[#This Row],[Colonne229]]+1)</f>
        <v>30</v>
      </c>
      <c r="IO58" s="17">
        <f>IF(Distances[[#This Row],[Colonne230]]=$G58,IN58,Distances[[#This Row],[Colonne230]]+1)</f>
        <v>30</v>
      </c>
      <c r="IP58" s="17">
        <f>IF(Distances[[#This Row],[Colonne231]]=$G58,IO58,Distances[[#This Row],[Colonne231]]+1)</f>
        <v>30</v>
      </c>
      <c r="IQ58" s="17">
        <f>IF(Distances[[#This Row],[Colonne232]]=$G58,IP58,Distances[[#This Row],[Colonne232]]+1)</f>
        <v>30</v>
      </c>
      <c r="IR58" s="17">
        <f>IF(Distances[[#This Row],[Colonne233]]=$G58,IQ58,Distances[[#This Row],[Colonne233]]+1)</f>
        <v>30</v>
      </c>
      <c r="IS58" s="17">
        <f>IF(Distances[[#This Row],[Colonne234]]=$G58,IR58,Distances[[#This Row],[Colonne234]]+1)</f>
        <v>30</v>
      </c>
      <c r="IT58" s="17">
        <f>IF(Distances[[#This Row],[Colonne235]]=$G58,IS58,Distances[[#This Row],[Colonne235]]+1)</f>
        <v>30</v>
      </c>
      <c r="IU58" s="17">
        <f>IF(Distances[[#This Row],[Colonne236]]=$G58,IT58,Distances[[#This Row],[Colonne236]]+1)</f>
        <v>30</v>
      </c>
      <c r="IV58" s="17">
        <f>IF(Distances[[#This Row],[Colonne237]]=$G58,IU58,Distances[[#This Row],[Colonne237]]+1)</f>
        <v>30</v>
      </c>
      <c r="IW58" s="17">
        <f>IF(Distances[[#This Row],[Colonne238]]=$G58,IV58,Distances[[#This Row],[Colonne238]]+1)</f>
        <v>30</v>
      </c>
      <c r="IX58" s="17">
        <f>IF(Distances[[#This Row],[Colonne239]]=$G58,IW58,Distances[[#This Row],[Colonne239]]+1)</f>
        <v>30</v>
      </c>
      <c r="IY58" s="17">
        <f>IF(Distances[[#This Row],[Colonne240]]=$G58,IX58,Distances[[#This Row],[Colonne240]]+1)</f>
        <v>30</v>
      </c>
      <c r="IZ58" s="17">
        <f>IF(Distances[[#This Row],[Colonne241]]=$G58,IY58,Distances[[#This Row],[Colonne241]]+1)</f>
        <v>30</v>
      </c>
      <c r="JA58" s="17">
        <f>IF(Distances[[#This Row],[Colonne242]]=$G58,IZ58,Distances[[#This Row],[Colonne242]]+1)</f>
        <v>30</v>
      </c>
      <c r="JB58" s="17">
        <f>IF(Distances[[#This Row],[Colonne243]]=$G58,JA58,Distances[[#This Row],[Colonne243]]+1)</f>
        <v>30</v>
      </c>
      <c r="JC58" s="17">
        <f>IF(Distances[[#This Row],[Colonne244]]=$G58,JB58,Distances[[#This Row],[Colonne244]]+1)</f>
        <v>30</v>
      </c>
      <c r="JD58" s="17">
        <f>IF(Distances[[#This Row],[Colonne245]]=$G58,JC58,Distances[[#This Row],[Colonne245]]+1)</f>
        <v>30</v>
      </c>
      <c r="JE58" s="17">
        <f>IF(Distances[[#This Row],[Colonne246]]=$G58,JD58,Distances[[#This Row],[Colonne246]]+1)</f>
        <v>30</v>
      </c>
      <c r="JF58" s="17">
        <f>IF(Distances[[#This Row],[Colonne247]]=$G58,JE58,Distances[[#This Row],[Colonne247]]+1)</f>
        <v>30</v>
      </c>
      <c r="JG58" s="17">
        <f>IF(Distances[[#This Row],[Colonne248]]=$G58,JF58,Distances[[#This Row],[Colonne248]]+1)</f>
        <v>30</v>
      </c>
      <c r="JH58" s="17">
        <f>IF(Distances[[#This Row],[Colonne249]]=$G58,JG58,Distances[[#This Row],[Colonne249]]+1)</f>
        <v>30</v>
      </c>
      <c r="JI58" s="17">
        <f>IF(Distances[[#This Row],[Colonne250]]=$G58,JH58,Distances[[#This Row],[Colonne250]]+1)</f>
        <v>30</v>
      </c>
      <c r="JJ58" s="17">
        <f>IF(Distances[[#This Row],[Colonne251]]=$G58,JI58,Distances[[#This Row],[Colonne251]]+1)</f>
        <v>30</v>
      </c>
      <c r="JK58" s="17">
        <f>IF(Distances[[#This Row],[Colonne252]]=$G58,JJ58,Distances[[#This Row],[Colonne252]]+1)</f>
        <v>30</v>
      </c>
      <c r="JL58" s="17">
        <f>IF(Distances[[#This Row],[Colonne253]]=$G58,JK58,Distances[[#This Row],[Colonne253]]+1)</f>
        <v>30</v>
      </c>
      <c r="JM58" s="17">
        <f>IF(Distances[[#This Row],[Colonne254]]=$G58,JL58,Distances[[#This Row],[Colonne254]]+1)</f>
        <v>30</v>
      </c>
      <c r="JN58" s="17">
        <f>IF(Distances[[#This Row],[Colonne255]]=$G58,JM58,Distances[[#This Row],[Colonne255]]+1)</f>
        <v>30</v>
      </c>
      <c r="JO58" s="17">
        <f>IF(Distances[[#This Row],[Colonne256]]=$G58,JN58,Distances[[#This Row],[Colonne256]]+1)</f>
        <v>30</v>
      </c>
      <c r="JP58" s="17">
        <f>IF(Distances[[#This Row],[Colonne257]]=$G58,JO58,Distances[[#This Row],[Colonne257]]+1)</f>
        <v>30</v>
      </c>
      <c r="JQ58" s="17">
        <f>IF(Distances[[#This Row],[Colonne258]]=$G58,JP58,Distances[[#This Row],[Colonne258]]+1)</f>
        <v>30</v>
      </c>
      <c r="JR58" s="17">
        <f>IF(Distances[[#This Row],[Colonne259]]=$G58,JQ58,Distances[[#This Row],[Colonne259]]+1)</f>
        <v>30</v>
      </c>
      <c r="JS58" s="17">
        <f>IF(Distances[[#This Row],[Colonne260]]=$G58,JR58,Distances[[#This Row],[Colonne260]]+1)</f>
        <v>30</v>
      </c>
      <c r="JT58" s="17">
        <f>IF(Distances[[#This Row],[Colonne261]]=$G58,JS58,Distances[[#This Row],[Colonne261]]+1)</f>
        <v>30</v>
      </c>
      <c r="JU58" s="17">
        <f>IF(Distances[[#This Row],[Colonne262]]=$G58,JT58,Distances[[#This Row],[Colonne262]]+1)</f>
        <v>30</v>
      </c>
      <c r="JV58" s="17">
        <f>IF(Distances[[#This Row],[Colonne263]]=$G58,JU58,Distances[[#This Row],[Colonne263]]+1)</f>
        <v>30</v>
      </c>
      <c r="JW58" s="17">
        <f>IF(Distances[[#This Row],[Colonne264]]=$G58,JV58,Distances[[#This Row],[Colonne264]]+1)</f>
        <v>30</v>
      </c>
      <c r="JX58" s="17">
        <f>IF(Distances[[#This Row],[Colonne265]]=$G58,JW58,Distances[[#This Row],[Colonne265]]+1)</f>
        <v>30</v>
      </c>
      <c r="JY58" s="17">
        <f>IF(Distances[[#This Row],[Colonne266]]=$G58,JX58,Distances[[#This Row],[Colonne266]]+1)</f>
        <v>30</v>
      </c>
      <c r="JZ58" s="17">
        <f>IF(Distances[[#This Row],[Colonne267]]=$G58,JY58,Distances[[#This Row],[Colonne267]]+1)</f>
        <v>30</v>
      </c>
      <c r="KA58" s="17">
        <f>IF(Distances[[#This Row],[Colonne268]]=$G58,JZ58,Distances[[#This Row],[Colonne268]]+1)</f>
        <v>30</v>
      </c>
      <c r="KB58" s="17">
        <f>IF(Distances[[#This Row],[Colonne269]]=$G58,KA58,Distances[[#This Row],[Colonne269]]+1)</f>
        <v>30</v>
      </c>
      <c r="KC58" s="17">
        <f>IF(Distances[[#This Row],[Colonne270]]=$G58,KB58,Distances[[#This Row],[Colonne270]]+1)</f>
        <v>30</v>
      </c>
      <c r="KD58" s="17">
        <f>IF(Distances[[#This Row],[Colonne271]]=$G58,KC58,Distances[[#This Row],[Colonne271]]+1)</f>
        <v>30</v>
      </c>
      <c r="KE58" s="17">
        <f>IF(Distances[[#This Row],[Colonne272]]=$G58,KD58,Distances[[#This Row],[Colonne272]]+1)</f>
        <v>30</v>
      </c>
      <c r="KF58" s="17">
        <f>IF(Distances[[#This Row],[Colonne273]]=$G58,KE58,Distances[[#This Row],[Colonne273]]+1)</f>
        <v>30</v>
      </c>
      <c r="KG58" s="17">
        <f>IF(Distances[[#This Row],[Colonne274]]=$G58,KF58,Distances[[#This Row],[Colonne274]]+1)</f>
        <v>30</v>
      </c>
      <c r="KH58" s="17">
        <f>IF(Distances[[#This Row],[Colonne275]]=$G58,KG58,Distances[[#This Row],[Colonne275]]+1)</f>
        <v>30</v>
      </c>
      <c r="KI58" s="17">
        <f>IF(Distances[[#This Row],[Colonne276]]=$G58,KH58,Distances[[#This Row],[Colonne276]]+1)</f>
        <v>30</v>
      </c>
      <c r="KJ58" s="17">
        <f>IF(Distances[[#This Row],[Colonne277]]=$G58,KI58,Distances[[#This Row],[Colonne277]]+1)</f>
        <v>30</v>
      </c>
      <c r="KK58" s="17">
        <f>IF(Distances[[#This Row],[Colonne278]]=$G58,KJ58,Distances[[#This Row],[Colonne278]]+1)</f>
        <v>30</v>
      </c>
      <c r="KL58" s="17">
        <f>IF(Distances[[#This Row],[Colonne279]]=$G58,KK58,Distances[[#This Row],[Colonne279]]+1)</f>
        <v>30</v>
      </c>
      <c r="KM58" s="17">
        <f>IF(Distances[[#This Row],[Colonne280]]=$G58,KL58,Distances[[#This Row],[Colonne280]]+1)</f>
        <v>30</v>
      </c>
      <c r="KN58" s="17">
        <f>IF(Distances[[#This Row],[Colonne281]]=$G58,KM58,Distances[[#This Row],[Colonne281]]+1)</f>
        <v>30</v>
      </c>
      <c r="KO58" s="17">
        <f>IF(Distances[[#This Row],[Colonne282]]=$G58,KN58,Distances[[#This Row],[Colonne282]]+1)</f>
        <v>30</v>
      </c>
      <c r="KP58" s="17">
        <f>IF(Distances[[#This Row],[Colonne283]]=$G58,KO58,Distances[[#This Row],[Colonne283]]+1)</f>
        <v>30</v>
      </c>
      <c r="KQ58" s="17">
        <f>IF(Distances[[#This Row],[Colonne284]]=$G58,KP58,Distances[[#This Row],[Colonne284]]+1)</f>
        <v>30</v>
      </c>
      <c r="KR58" s="17">
        <f>IF(Distances[[#This Row],[Colonne285]]=$G58,KQ58,Distances[[#This Row],[Colonne285]]+1)</f>
        <v>30</v>
      </c>
      <c r="KS58" s="17">
        <f>IF(Distances[[#This Row],[Colonne286]]=$G58,KR58,Distances[[#This Row],[Colonne286]]+1)</f>
        <v>30</v>
      </c>
      <c r="KT58" s="17">
        <f>IF(Distances[[#This Row],[Colonne287]]=$G58,KS58,Distances[[#This Row],[Colonne287]]+1)</f>
        <v>30</v>
      </c>
      <c r="KU58" s="17">
        <f>IF(Distances[[#This Row],[Colonne288]]=$G58,KT58,Distances[[#This Row],[Colonne288]]+1)</f>
        <v>30</v>
      </c>
      <c r="KV58" s="17">
        <f>IF(Distances[[#This Row],[Colonne289]]=$G58,KU58,Distances[[#This Row],[Colonne289]]+1)</f>
        <v>30</v>
      </c>
      <c r="KW58" s="17">
        <f>IF(Distances[[#This Row],[Colonne290]]=$G58,KV58,Distances[[#This Row],[Colonne290]]+1)</f>
        <v>30</v>
      </c>
      <c r="KX58" s="17">
        <f>IF(Distances[[#This Row],[Colonne291]]=$G58,KW58,Distances[[#This Row],[Colonne291]]+1)</f>
        <v>30</v>
      </c>
      <c r="KY58" s="17">
        <f>IF(Distances[[#This Row],[Colonne292]]=$G58,KX58,Distances[[#This Row],[Colonne292]]+1)</f>
        <v>30</v>
      </c>
      <c r="KZ58" s="17">
        <f>IF(Distances[[#This Row],[Colonne293]]=$G58,KY58,Distances[[#This Row],[Colonne293]]+1)</f>
        <v>30</v>
      </c>
      <c r="LA58" s="17">
        <f>IF(Distances[[#This Row],[Colonne294]]=$G58,KZ58,Distances[[#This Row],[Colonne294]]+1)</f>
        <v>30</v>
      </c>
      <c r="LB58" s="17">
        <f>IF(Distances[[#This Row],[Colonne295]]=$G58,LA58,Distances[[#This Row],[Colonne295]]+1)</f>
        <v>30</v>
      </c>
      <c r="LC58" s="17">
        <f>IF(Distances[[#This Row],[Colonne296]]=$G58,LB58,Distances[[#This Row],[Colonne296]]+1)</f>
        <v>30</v>
      </c>
      <c r="LD58" s="17">
        <f>IF(Distances[[#This Row],[Colonne297]]=$G58,LC58,Distances[[#This Row],[Colonne297]]+1)</f>
        <v>30</v>
      </c>
      <c r="LE58" s="17">
        <f>IF(Distances[[#This Row],[Colonne298]]=$G58,LD58,Distances[[#This Row],[Colonne298]]+1)</f>
        <v>30</v>
      </c>
      <c r="LF58" s="17">
        <f>IF(Distances[[#This Row],[Colonne299]]=$G58,LE58,Distances[[#This Row],[Colonne299]]+1)</f>
        <v>30</v>
      </c>
      <c r="LG58" s="17">
        <f>IF(Distances[[#This Row],[Colonne300]]=$G58,LF58,Distances[[#This Row],[Colonne300]]+1)</f>
        <v>30</v>
      </c>
      <c r="LH58" s="17">
        <f>IF(Distances[[#This Row],[Colonne301]]=$G58,LG58,Distances[[#This Row],[Colonne301]]+1)</f>
        <v>30</v>
      </c>
      <c r="LI58" s="17">
        <f>IF(Distances[[#This Row],[Colonne302]]=$G58,LH58,Distances[[#This Row],[Colonne302]]+1)</f>
        <v>30</v>
      </c>
      <c r="LJ58" s="17">
        <f>IF(Distances[[#This Row],[Colonne303]]=$G58,LI58,Distances[[#This Row],[Colonne303]]+1)</f>
        <v>30</v>
      </c>
      <c r="LK58" s="51"/>
      <c r="LL58" s="17">
        <f t="shared" ref="LL58:NW58" si="116">IF(LK58=$H58,LK58,LK58+1)</f>
        <v>1</v>
      </c>
      <c r="LM58" s="17">
        <f t="shared" si="116"/>
        <v>2</v>
      </c>
      <c r="LN58" s="17">
        <f t="shared" si="116"/>
        <v>3</v>
      </c>
      <c r="LO58" s="17">
        <f t="shared" si="116"/>
        <v>4</v>
      </c>
      <c r="LP58" s="17">
        <f t="shared" si="116"/>
        <v>5</v>
      </c>
      <c r="LQ58" s="17">
        <f t="shared" si="116"/>
        <v>6</v>
      </c>
      <c r="LR58" s="17">
        <f t="shared" si="116"/>
        <v>7</v>
      </c>
      <c r="LS58" s="17">
        <f t="shared" si="116"/>
        <v>8</v>
      </c>
      <c r="LT58" s="17">
        <f t="shared" si="116"/>
        <v>9</v>
      </c>
      <c r="LU58" s="17">
        <f t="shared" si="116"/>
        <v>10</v>
      </c>
      <c r="LV58" s="17">
        <f t="shared" si="116"/>
        <v>11</v>
      </c>
      <c r="LW58" s="17">
        <f t="shared" si="116"/>
        <v>12</v>
      </c>
      <c r="LX58" s="17">
        <f t="shared" si="116"/>
        <v>13</v>
      </c>
      <c r="LY58" s="17">
        <f t="shared" si="116"/>
        <v>14</v>
      </c>
      <c r="LZ58" s="17">
        <f t="shared" si="116"/>
        <v>15</v>
      </c>
      <c r="MA58" s="17">
        <f t="shared" si="116"/>
        <v>16</v>
      </c>
      <c r="MB58" s="17">
        <f t="shared" si="116"/>
        <v>17</v>
      </c>
      <c r="MC58" s="17">
        <f t="shared" si="116"/>
        <v>18</v>
      </c>
      <c r="MD58" s="17">
        <f t="shared" si="116"/>
        <v>19</v>
      </c>
      <c r="ME58" s="17">
        <f t="shared" si="116"/>
        <v>20</v>
      </c>
      <c r="MF58" s="17">
        <f t="shared" si="116"/>
        <v>21</v>
      </c>
      <c r="MG58" s="17">
        <f t="shared" si="116"/>
        <v>22</v>
      </c>
      <c r="MH58" s="17">
        <f t="shared" si="116"/>
        <v>23</v>
      </c>
      <c r="MI58" s="17">
        <f t="shared" si="116"/>
        <v>24</v>
      </c>
      <c r="MJ58" s="17">
        <f t="shared" si="116"/>
        <v>25</v>
      </c>
      <c r="MK58" s="17">
        <f t="shared" si="116"/>
        <v>26</v>
      </c>
      <c r="ML58" s="17">
        <f t="shared" si="116"/>
        <v>27</v>
      </c>
      <c r="MM58" s="17">
        <f t="shared" si="116"/>
        <v>28</v>
      </c>
      <c r="MN58" s="17">
        <f t="shared" si="116"/>
        <v>29</v>
      </c>
      <c r="MO58" s="17">
        <f t="shared" si="116"/>
        <v>30</v>
      </c>
      <c r="MP58" s="17">
        <f t="shared" si="116"/>
        <v>31</v>
      </c>
      <c r="MQ58" s="17">
        <f t="shared" si="116"/>
        <v>32</v>
      </c>
      <c r="MR58" s="17">
        <f t="shared" si="116"/>
        <v>33</v>
      </c>
      <c r="MS58" s="17">
        <f t="shared" si="116"/>
        <v>34</v>
      </c>
      <c r="MT58" s="17">
        <f t="shared" si="116"/>
        <v>35</v>
      </c>
      <c r="MU58" s="17">
        <f t="shared" si="116"/>
        <v>36</v>
      </c>
      <c r="MV58" s="17">
        <f t="shared" si="116"/>
        <v>37</v>
      </c>
      <c r="MW58" s="17">
        <f t="shared" si="116"/>
        <v>38</v>
      </c>
      <c r="MX58" s="17">
        <f t="shared" si="116"/>
        <v>39</v>
      </c>
      <c r="MY58" s="17">
        <f t="shared" si="116"/>
        <v>40</v>
      </c>
      <c r="MZ58" s="17">
        <f t="shared" si="116"/>
        <v>41</v>
      </c>
      <c r="NA58" s="17">
        <f t="shared" si="116"/>
        <v>42</v>
      </c>
      <c r="NB58" s="17">
        <f t="shared" si="116"/>
        <v>43</v>
      </c>
      <c r="NC58" s="17">
        <f t="shared" si="116"/>
        <v>44</v>
      </c>
      <c r="ND58" s="17">
        <f t="shared" si="116"/>
        <v>45</v>
      </c>
      <c r="NE58" s="17">
        <f t="shared" si="116"/>
        <v>46</v>
      </c>
      <c r="NF58" s="17">
        <f t="shared" si="116"/>
        <v>47</v>
      </c>
      <c r="NG58" s="17">
        <f t="shared" si="116"/>
        <v>48</v>
      </c>
      <c r="NH58" s="17">
        <f t="shared" si="116"/>
        <v>49</v>
      </c>
      <c r="NI58" s="17">
        <f t="shared" si="116"/>
        <v>50</v>
      </c>
      <c r="NJ58" s="17">
        <f t="shared" si="116"/>
        <v>50</v>
      </c>
      <c r="NK58" s="17">
        <f t="shared" si="116"/>
        <v>50</v>
      </c>
      <c r="NL58" s="17">
        <f t="shared" si="116"/>
        <v>50</v>
      </c>
      <c r="NM58" s="17">
        <f t="shared" si="116"/>
        <v>50</v>
      </c>
      <c r="NN58" s="17">
        <f t="shared" si="116"/>
        <v>50</v>
      </c>
      <c r="NO58" s="17">
        <f t="shared" si="116"/>
        <v>50</v>
      </c>
      <c r="NP58" s="17">
        <f t="shared" si="116"/>
        <v>50</v>
      </c>
      <c r="NQ58" s="17">
        <f t="shared" si="116"/>
        <v>50</v>
      </c>
      <c r="NR58" s="17">
        <f t="shared" si="116"/>
        <v>50</v>
      </c>
      <c r="NS58" s="17">
        <f t="shared" si="116"/>
        <v>50</v>
      </c>
      <c r="NT58" s="17">
        <f t="shared" si="116"/>
        <v>50</v>
      </c>
      <c r="NU58" s="17">
        <f t="shared" si="116"/>
        <v>50</v>
      </c>
      <c r="NV58" s="17">
        <f t="shared" si="116"/>
        <v>50</v>
      </c>
      <c r="NW58" s="17">
        <f t="shared" si="116"/>
        <v>50</v>
      </c>
      <c r="NX58" s="17">
        <f t="shared" ref="NX58:PG58" si="117">IF(NW58=$H58,NW58,NW58+1)</f>
        <v>50</v>
      </c>
      <c r="NY58" s="17">
        <f t="shared" si="117"/>
        <v>50</v>
      </c>
      <c r="NZ58" s="17">
        <f t="shared" si="117"/>
        <v>50</v>
      </c>
      <c r="OA58" s="17">
        <f t="shared" si="117"/>
        <v>50</v>
      </c>
      <c r="OB58" s="17">
        <f t="shared" si="117"/>
        <v>50</v>
      </c>
      <c r="OC58" s="17">
        <f t="shared" si="117"/>
        <v>50</v>
      </c>
      <c r="OD58" s="17">
        <f t="shared" si="117"/>
        <v>50</v>
      </c>
      <c r="OE58" s="17">
        <f t="shared" si="117"/>
        <v>50</v>
      </c>
      <c r="OF58" s="17">
        <f t="shared" si="117"/>
        <v>50</v>
      </c>
      <c r="OG58" s="17">
        <f t="shared" si="117"/>
        <v>50</v>
      </c>
      <c r="OH58" s="17">
        <f t="shared" si="117"/>
        <v>50</v>
      </c>
      <c r="OI58" s="17">
        <f t="shared" si="117"/>
        <v>50</v>
      </c>
      <c r="OJ58" s="17">
        <f t="shared" si="117"/>
        <v>50</v>
      </c>
      <c r="OK58" s="17">
        <f t="shared" si="117"/>
        <v>50</v>
      </c>
      <c r="OL58" s="17">
        <f t="shared" si="117"/>
        <v>50</v>
      </c>
      <c r="OM58" s="17">
        <f t="shared" si="117"/>
        <v>50</v>
      </c>
      <c r="ON58" s="17">
        <f t="shared" si="117"/>
        <v>50</v>
      </c>
      <c r="OO58" s="17">
        <f t="shared" si="117"/>
        <v>50</v>
      </c>
      <c r="OP58" s="17">
        <f t="shared" si="117"/>
        <v>50</v>
      </c>
      <c r="OQ58" s="17">
        <f t="shared" si="117"/>
        <v>50</v>
      </c>
      <c r="OR58" s="17">
        <f t="shared" si="117"/>
        <v>50</v>
      </c>
      <c r="OS58" s="17">
        <f t="shared" si="117"/>
        <v>50</v>
      </c>
      <c r="OT58" s="17">
        <f t="shared" si="117"/>
        <v>50</v>
      </c>
      <c r="OU58" s="17">
        <f t="shared" si="117"/>
        <v>50</v>
      </c>
      <c r="OV58" s="17">
        <f t="shared" si="117"/>
        <v>50</v>
      </c>
      <c r="OW58" s="17">
        <f t="shared" si="117"/>
        <v>50</v>
      </c>
      <c r="OX58" s="17">
        <f t="shared" si="117"/>
        <v>50</v>
      </c>
      <c r="OY58" s="17">
        <f t="shared" si="117"/>
        <v>50</v>
      </c>
      <c r="OZ58" s="17">
        <f t="shared" si="117"/>
        <v>50</v>
      </c>
      <c r="PA58" s="17">
        <f t="shared" si="117"/>
        <v>50</v>
      </c>
      <c r="PB58" s="17">
        <f t="shared" si="117"/>
        <v>50</v>
      </c>
      <c r="PC58" s="17">
        <f t="shared" si="117"/>
        <v>50</v>
      </c>
      <c r="PD58" s="17">
        <f t="shared" si="117"/>
        <v>50</v>
      </c>
      <c r="PE58" s="17">
        <f t="shared" si="117"/>
        <v>50</v>
      </c>
      <c r="PF58" s="17">
        <f t="shared" si="117"/>
        <v>50</v>
      </c>
      <c r="PG58" s="17">
        <f t="shared" si="117"/>
        <v>50</v>
      </c>
    </row>
    <row r="59" spans="1:423" x14ac:dyDescent="0.25">
      <c r="A59" s="278" t="s">
        <v>5454</v>
      </c>
      <c r="B59" s="273" t="s">
        <v>25</v>
      </c>
      <c r="C59" s="273" t="str">
        <f t="shared" si="72"/>
        <v>3N2</v>
      </c>
      <c r="D59" s="274" t="str">
        <f t="shared" si="73"/>
        <v>3 Bandes N2</v>
      </c>
      <c r="E59" s="1" t="s">
        <v>18</v>
      </c>
      <c r="F59" s="273" t="s">
        <v>5508</v>
      </c>
      <c r="G59" s="273">
        <v>25</v>
      </c>
      <c r="H59" s="273">
        <v>55</v>
      </c>
      <c r="I59" s="275">
        <v>3.1</v>
      </c>
      <c r="J59" s="276"/>
      <c r="K59" s="282"/>
      <c r="L59" s="278">
        <v>0.45</v>
      </c>
      <c r="M59" s="273">
        <v>0.52490000000000003</v>
      </c>
      <c r="N59" s="277">
        <v>0.59989999999999999</v>
      </c>
      <c r="O59" s="336">
        <v>1</v>
      </c>
      <c r="P59" s="332">
        <v>2</v>
      </c>
      <c r="Q59" s="337">
        <v>3</v>
      </c>
      <c r="R59" s="272"/>
      <c r="S59" s="273"/>
      <c r="T59" s="277"/>
      <c r="U59" t="s">
        <v>5523</v>
      </c>
      <c r="V59" s="17">
        <v>0</v>
      </c>
      <c r="W59" s="17">
        <f>IF(Distances[[#This Row],[Colonne4]]=$G59,V59,Distances[[#This Row],[Colonne4]]+1)</f>
        <v>1</v>
      </c>
      <c r="X59" s="17">
        <f>IF(Distances[[#This Row],[Colonne5]]=$G59,W59,Distances[[#This Row],[Colonne5]]+1)</f>
        <v>2</v>
      </c>
      <c r="Y59" s="17">
        <f>IF(Distances[[#This Row],[Colonne6]]=$G59,X59,Distances[[#This Row],[Colonne6]]+1)</f>
        <v>3</v>
      </c>
      <c r="Z59" s="17">
        <f>IF(Distances[[#This Row],[Colonne7]]=$G59,Y59,Distances[[#This Row],[Colonne7]]+1)</f>
        <v>4</v>
      </c>
      <c r="AA59" s="17">
        <f>IF(Distances[[#This Row],[Colonne8]]=$G59,Z59,Distances[[#This Row],[Colonne8]]+1)</f>
        <v>5</v>
      </c>
      <c r="AB59" s="17">
        <f>IF(Distances[[#This Row],[Colonne9]]=$G59,AA59,Distances[[#This Row],[Colonne9]]+1)</f>
        <v>6</v>
      </c>
      <c r="AC59" s="17">
        <f>IF(Distances[[#This Row],[Colonne10]]=$G59,AB59,Distances[[#This Row],[Colonne10]]+1)</f>
        <v>7</v>
      </c>
      <c r="AD59" s="17">
        <f>IF(Distances[[#This Row],[Colonne11]]=$G59,AC59,Distances[[#This Row],[Colonne11]]+1)</f>
        <v>8</v>
      </c>
      <c r="AE59" s="17">
        <f>IF(Distances[[#This Row],[Colonne12]]=$G59,AD59,Distances[[#This Row],[Colonne12]]+1)</f>
        <v>9</v>
      </c>
      <c r="AF59" s="17">
        <f>IF(Distances[[#This Row],[Colonne13]]=$G59,AE59,Distances[[#This Row],[Colonne13]]+1)</f>
        <v>10</v>
      </c>
      <c r="AG59" s="17">
        <f>IF(Distances[[#This Row],[Colonne14]]=$G59,AF59,Distances[[#This Row],[Colonne14]]+1)</f>
        <v>11</v>
      </c>
      <c r="AH59" s="17">
        <f>IF(Distances[[#This Row],[Colonne15]]=$G59,AG59,Distances[[#This Row],[Colonne15]]+1)</f>
        <v>12</v>
      </c>
      <c r="AI59" s="17">
        <f>IF(Distances[[#This Row],[Colonne16]]=$G59,AH59,Distances[[#This Row],[Colonne16]]+1)</f>
        <v>13</v>
      </c>
      <c r="AJ59" s="17">
        <f>IF(Distances[[#This Row],[Colonne17]]=$G59,AI59,Distances[[#This Row],[Colonne17]]+1)</f>
        <v>14</v>
      </c>
      <c r="AK59" s="17">
        <f>IF(Distances[[#This Row],[Colonne18]]=$G59,AJ59,Distances[[#This Row],[Colonne18]]+1)</f>
        <v>15</v>
      </c>
      <c r="AL59" s="17">
        <f>IF(Distances[[#This Row],[Colonne19]]=$G59,AK59,Distances[[#This Row],[Colonne19]]+1)</f>
        <v>16</v>
      </c>
      <c r="AM59" s="17">
        <f>IF(Distances[[#This Row],[Colonne20]]=$G59,AL59,Distances[[#This Row],[Colonne20]]+1)</f>
        <v>17</v>
      </c>
      <c r="AN59" s="17">
        <f>IF(Distances[[#This Row],[Colonne21]]=$G59,AM59,Distances[[#This Row],[Colonne21]]+1)</f>
        <v>18</v>
      </c>
      <c r="AO59" s="17">
        <f>IF(Distances[[#This Row],[Colonne22]]=$G59,AN59,Distances[[#This Row],[Colonne22]]+1)</f>
        <v>19</v>
      </c>
      <c r="AP59" s="17">
        <f>IF(Distances[[#This Row],[Colonne23]]=$G59,AO59,Distances[[#This Row],[Colonne23]]+1)</f>
        <v>20</v>
      </c>
      <c r="AQ59" s="17">
        <f>IF(Distances[[#This Row],[Colonne24]]=$G59,AP59,Distances[[#This Row],[Colonne24]]+1)</f>
        <v>21</v>
      </c>
      <c r="AR59" s="17">
        <f>IF(Distances[[#This Row],[Colonne25]]=$G59,AQ59,Distances[[#This Row],[Colonne25]]+1)</f>
        <v>22</v>
      </c>
      <c r="AS59" s="17">
        <f>IF(Distances[[#This Row],[Colonne26]]=$G59,AR59,Distances[[#This Row],[Colonne26]]+1)</f>
        <v>23</v>
      </c>
      <c r="AT59" s="17">
        <f>IF(Distances[[#This Row],[Colonne27]]=$G59,AS59,Distances[[#This Row],[Colonne27]]+1)</f>
        <v>24</v>
      </c>
      <c r="AU59" s="17">
        <f>IF(Distances[[#This Row],[Colonne28]]=$G59,AT59,Distances[[#This Row],[Colonne28]]+1)</f>
        <v>25</v>
      </c>
      <c r="AV59" s="17">
        <f>IF(Distances[[#This Row],[Colonne29]]=$G59,AU59,Distances[[#This Row],[Colonne29]]+1)</f>
        <v>25</v>
      </c>
      <c r="AW59" s="17">
        <f>IF(Distances[[#This Row],[Colonne30]]=$G59,AV59,Distances[[#This Row],[Colonne30]]+1)</f>
        <v>25</v>
      </c>
      <c r="AX59" s="17">
        <f>IF(Distances[[#This Row],[Colonne31]]=$G59,AW59,Distances[[#This Row],[Colonne31]]+1)</f>
        <v>25</v>
      </c>
      <c r="AY59" s="17">
        <f>IF(Distances[[#This Row],[Colonne32]]=$G59,AX59,Distances[[#This Row],[Colonne32]]+1)</f>
        <v>25</v>
      </c>
      <c r="AZ59" s="17">
        <f>IF(Distances[[#This Row],[Colonne33]]=$G59,AY59,Distances[[#This Row],[Colonne33]]+1)</f>
        <v>25</v>
      </c>
      <c r="BA59" s="17">
        <f>IF(Distances[[#This Row],[Colonne34]]=$G59,AZ59,Distances[[#This Row],[Colonne34]]+1)</f>
        <v>25</v>
      </c>
      <c r="BB59" s="17">
        <f>IF(Distances[[#This Row],[Colonne35]]=$G59,BA59,Distances[[#This Row],[Colonne35]]+1)</f>
        <v>25</v>
      </c>
      <c r="BC59" s="17">
        <f>IF(Distances[[#This Row],[Colonne36]]=$G59,BB59,Distances[[#This Row],[Colonne36]]+1)</f>
        <v>25</v>
      </c>
      <c r="BD59" s="17">
        <f>IF(Distances[[#This Row],[Colonne37]]=$G59,BC59,Distances[[#This Row],[Colonne37]]+1)</f>
        <v>25</v>
      </c>
      <c r="BE59" s="17">
        <f>IF(Distances[[#This Row],[Colonne38]]=$G59,BD59,Distances[[#This Row],[Colonne38]]+1)</f>
        <v>25</v>
      </c>
      <c r="BF59" s="17">
        <f>IF(Distances[[#This Row],[Colonne39]]=$G59,BE59,Distances[[#This Row],[Colonne39]]+1)</f>
        <v>25</v>
      </c>
      <c r="BG59" s="17">
        <f>IF(Distances[[#This Row],[Colonne40]]=$G59,BF59,Distances[[#This Row],[Colonne40]]+1)</f>
        <v>25</v>
      </c>
      <c r="BH59" s="17">
        <f>IF(Distances[[#This Row],[Colonne41]]=$G59,BG59,Distances[[#This Row],[Colonne41]]+1)</f>
        <v>25</v>
      </c>
      <c r="BI59" s="17">
        <f>IF(Distances[[#This Row],[Colonne42]]=$G59,BH59,Distances[[#This Row],[Colonne42]]+1)</f>
        <v>25</v>
      </c>
      <c r="BJ59" s="17">
        <f>IF(Distances[[#This Row],[Colonne43]]=$G59,BI59,Distances[[#This Row],[Colonne43]]+1)</f>
        <v>25</v>
      </c>
      <c r="BK59" s="17">
        <f>IF(Distances[[#This Row],[Colonne44]]=$G59,BJ59,Distances[[#This Row],[Colonne44]]+1)</f>
        <v>25</v>
      </c>
      <c r="BL59" s="17">
        <f>IF(Distances[[#This Row],[Colonne45]]=$G59,BK59,Distances[[#This Row],[Colonne45]]+1)</f>
        <v>25</v>
      </c>
      <c r="BM59" s="17">
        <f>IF(Distances[[#This Row],[Colonne46]]=$G59,BL59,Distances[[#This Row],[Colonne46]]+1)</f>
        <v>25</v>
      </c>
      <c r="BN59" s="17">
        <f>IF(Distances[[#This Row],[Colonne47]]=$G59,BM59,Distances[[#This Row],[Colonne47]]+1)</f>
        <v>25</v>
      </c>
      <c r="BO59" s="17">
        <f>IF(Distances[[#This Row],[Colonne48]]=$G59,BN59,Distances[[#This Row],[Colonne48]]+1)</f>
        <v>25</v>
      </c>
      <c r="BP59" s="17">
        <f>IF(Distances[[#This Row],[Colonne49]]=$G59,BO59,Distances[[#This Row],[Colonne49]]+1)</f>
        <v>25</v>
      </c>
      <c r="BQ59" s="17">
        <f>IF(Distances[[#This Row],[Colonne50]]=$G59,BP59,Distances[[#This Row],[Colonne50]]+1)</f>
        <v>25</v>
      </c>
      <c r="BR59" s="17">
        <f>IF(Distances[[#This Row],[Colonne51]]=$G59,BQ59,Distances[[#This Row],[Colonne51]]+1)</f>
        <v>25</v>
      </c>
      <c r="BS59" s="17">
        <f>IF(Distances[[#This Row],[Colonne52]]=$G59,BR59,Distances[[#This Row],[Colonne52]]+1)</f>
        <v>25</v>
      </c>
      <c r="BT59" s="17">
        <f>IF(Distances[[#This Row],[Colonne53]]=$G59,BS59,Distances[[#This Row],[Colonne53]]+1)</f>
        <v>25</v>
      </c>
      <c r="BU59" s="17">
        <f>IF(Distances[[#This Row],[Colonne54]]=$G59,BT59,Distances[[#This Row],[Colonne54]]+1)</f>
        <v>25</v>
      </c>
      <c r="BV59" s="17">
        <f>IF(Distances[[#This Row],[Colonne55]]=$G59,BU59,Distances[[#This Row],[Colonne55]]+1)</f>
        <v>25</v>
      </c>
      <c r="BW59" s="17">
        <f>IF(Distances[[#This Row],[Colonne56]]=$G59,BV59,Distances[[#This Row],[Colonne56]]+1)</f>
        <v>25</v>
      </c>
      <c r="BX59" s="17">
        <f>IF(Distances[[#This Row],[Colonne57]]=$G59,BW59,Distances[[#This Row],[Colonne57]]+1)</f>
        <v>25</v>
      </c>
      <c r="BY59" s="17">
        <f>IF(Distances[[#This Row],[Colonne58]]=$G59,BX59,Distances[[#This Row],[Colonne58]]+1)</f>
        <v>25</v>
      </c>
      <c r="BZ59" s="17">
        <f>IF(Distances[[#This Row],[Colonne59]]=$G59,BY59,Distances[[#This Row],[Colonne59]]+1)</f>
        <v>25</v>
      </c>
      <c r="CA59" s="17">
        <f>IF(Distances[[#This Row],[Colonne60]]=$G59,BZ59,Distances[[#This Row],[Colonne60]]+1)</f>
        <v>25</v>
      </c>
      <c r="CB59" s="17">
        <f>IF(Distances[[#This Row],[Colonne61]]=$G59,CA59,Distances[[#This Row],[Colonne61]]+1)</f>
        <v>25</v>
      </c>
      <c r="CC59" s="17">
        <f>IF(Distances[[#This Row],[Colonne62]]=$G59,CB59,Distances[[#This Row],[Colonne62]]+1)</f>
        <v>25</v>
      </c>
      <c r="CD59" s="17">
        <f>IF(Distances[[#This Row],[Colonne63]]=$G59,CC59,Distances[[#This Row],[Colonne63]]+1)</f>
        <v>25</v>
      </c>
      <c r="CE59" s="17">
        <f>IF(Distances[[#This Row],[Colonne64]]=$G59,CD59,Distances[[#This Row],[Colonne64]]+1)</f>
        <v>25</v>
      </c>
      <c r="CF59" s="17">
        <f>IF(Distances[[#This Row],[Colonne65]]=$G59,CE59,Distances[[#This Row],[Colonne65]]+1)</f>
        <v>25</v>
      </c>
      <c r="CG59" s="17">
        <f>IF(Distances[[#This Row],[Colonne66]]=$G59,CF59,Distances[[#This Row],[Colonne66]]+1)</f>
        <v>25</v>
      </c>
      <c r="CH59" s="17">
        <f>IF(Distances[[#This Row],[Colonne67]]=$G59,CG59,Distances[[#This Row],[Colonne67]]+1)</f>
        <v>25</v>
      </c>
      <c r="CI59" s="17">
        <f>IF(Distances[[#This Row],[Colonne68]]=$G59,CH59,Distances[[#This Row],[Colonne68]]+1)</f>
        <v>25</v>
      </c>
      <c r="CJ59" s="17">
        <f>IF(Distances[[#This Row],[Colonne69]]=$G59,CI59,Distances[[#This Row],[Colonne69]]+1)</f>
        <v>25</v>
      </c>
      <c r="CK59" s="17">
        <f>IF(Distances[[#This Row],[Colonne70]]=$G59,CJ59,Distances[[#This Row],[Colonne70]]+1)</f>
        <v>25</v>
      </c>
      <c r="CL59" s="17">
        <f>IF(Distances[[#This Row],[Colonne71]]=$G59,CK59,Distances[[#This Row],[Colonne71]]+1)</f>
        <v>25</v>
      </c>
      <c r="CM59" s="17">
        <f>IF(Distances[[#This Row],[Colonne72]]=$G59,CL59,Distances[[#This Row],[Colonne72]]+1)</f>
        <v>25</v>
      </c>
      <c r="CN59" s="17">
        <f>IF(Distances[[#This Row],[Colonne73]]=$G59,CM59,Distances[[#This Row],[Colonne73]]+1)</f>
        <v>25</v>
      </c>
      <c r="CO59" s="17">
        <f>IF(Distances[[#This Row],[Colonne74]]=$G59,CN59,Distances[[#This Row],[Colonne74]]+1)</f>
        <v>25</v>
      </c>
      <c r="CP59" s="17">
        <f>IF(Distances[[#This Row],[Colonne75]]=$G59,CO59,Distances[[#This Row],[Colonne75]]+1)</f>
        <v>25</v>
      </c>
      <c r="CQ59" s="17">
        <f>IF(Distances[[#This Row],[Colonne76]]=$G59,CP59,Distances[[#This Row],[Colonne76]]+1)</f>
        <v>25</v>
      </c>
      <c r="CR59" s="17">
        <f>IF(Distances[[#This Row],[Colonne77]]=$G59,CQ59,Distances[[#This Row],[Colonne77]]+1)</f>
        <v>25</v>
      </c>
      <c r="CS59" s="17">
        <f>IF(Distances[[#This Row],[Colonne78]]=$G59,CR59,Distances[[#This Row],[Colonne78]]+1)</f>
        <v>25</v>
      </c>
      <c r="CT59" s="17">
        <f>IF(Distances[[#This Row],[Colonne79]]=$G59,CS59,Distances[[#This Row],[Colonne79]]+1)</f>
        <v>25</v>
      </c>
      <c r="CU59" s="17">
        <f>IF(Distances[[#This Row],[Colonne80]]=$G59,CT59,Distances[[#This Row],[Colonne80]]+1)</f>
        <v>25</v>
      </c>
      <c r="CV59" s="17">
        <f>IF(Distances[[#This Row],[Colonne81]]=$G59,CU59,Distances[[#This Row],[Colonne81]]+1)</f>
        <v>25</v>
      </c>
      <c r="CW59" s="17">
        <f>IF(Distances[[#This Row],[Colonne82]]=$G59,CV59,Distances[[#This Row],[Colonne82]]+1)</f>
        <v>25</v>
      </c>
      <c r="CX59" s="17">
        <f>IF(Distances[[#This Row],[Colonne83]]=$G59,CW59,Distances[[#This Row],[Colonne83]]+1)</f>
        <v>25</v>
      </c>
      <c r="CY59" s="17">
        <f>IF(Distances[[#This Row],[Colonne84]]=$G59,CX59,Distances[[#This Row],[Colonne84]]+1)</f>
        <v>25</v>
      </c>
      <c r="CZ59" s="17">
        <f>IF(Distances[[#This Row],[Colonne85]]=$G59,CY59,Distances[[#This Row],[Colonne85]]+1)</f>
        <v>25</v>
      </c>
      <c r="DA59" s="17">
        <f>IF(Distances[[#This Row],[Colonne86]]=$G59,CZ59,Distances[[#This Row],[Colonne86]]+1)</f>
        <v>25</v>
      </c>
      <c r="DB59" s="17">
        <f>IF(Distances[[#This Row],[Colonne87]]=$G59,DA59,Distances[[#This Row],[Colonne87]]+1)</f>
        <v>25</v>
      </c>
      <c r="DC59" s="17">
        <f>IF(Distances[[#This Row],[Colonne88]]=$G59,DB59,Distances[[#This Row],[Colonne88]]+1)</f>
        <v>25</v>
      </c>
      <c r="DD59" s="17">
        <f>IF(Distances[[#This Row],[Colonne89]]=$G59,DC59,Distances[[#This Row],[Colonne89]]+1)</f>
        <v>25</v>
      </c>
      <c r="DE59" s="17">
        <f>IF(Distances[[#This Row],[Colonne90]]=$G59,DD59,Distances[[#This Row],[Colonne90]]+1)</f>
        <v>25</v>
      </c>
      <c r="DF59" s="17">
        <f>IF(Distances[[#This Row],[Colonne91]]=$G59,DE59,Distances[[#This Row],[Colonne91]]+1)</f>
        <v>25</v>
      </c>
      <c r="DG59" s="17">
        <f>IF(Distances[[#This Row],[Colonne92]]=$G59,DF59,Distances[[#This Row],[Colonne92]]+1)</f>
        <v>25</v>
      </c>
      <c r="DH59" s="17">
        <f>IF(Distances[[#This Row],[Colonne93]]=$G59,DG59,Distances[[#This Row],[Colonne93]]+1)</f>
        <v>25</v>
      </c>
      <c r="DI59" s="17">
        <f>IF(Distances[[#This Row],[Colonne94]]=$G59,DH59,Distances[[#This Row],[Colonne94]]+1)</f>
        <v>25</v>
      </c>
      <c r="DJ59" s="17">
        <f>IF(Distances[[#This Row],[Colonne95]]=$G59,DI59,Distances[[#This Row],[Colonne95]]+1)</f>
        <v>25</v>
      </c>
      <c r="DK59" s="17">
        <f>IF(Distances[[#This Row],[Colonne96]]=$G59,DJ59,Distances[[#This Row],[Colonne96]]+1)</f>
        <v>25</v>
      </c>
      <c r="DL59" s="17">
        <f>IF(Distances[[#This Row],[Colonne97]]=$G59,DK59,Distances[[#This Row],[Colonne97]]+1)</f>
        <v>25</v>
      </c>
      <c r="DM59" s="17">
        <f>IF(Distances[[#This Row],[Colonne98]]=$G59,DL59,Distances[[#This Row],[Colonne98]]+1)</f>
        <v>25</v>
      </c>
      <c r="DN59" s="17">
        <f>IF(Distances[[#This Row],[Colonne99]]=$G59,DM59,Distances[[#This Row],[Colonne99]]+1)</f>
        <v>25</v>
      </c>
      <c r="DO59" s="17">
        <f>IF(Distances[[#This Row],[Colonne100]]=$G59,DN59,Distances[[#This Row],[Colonne100]]+1)</f>
        <v>25</v>
      </c>
      <c r="DP59" s="17">
        <f>IF(Distances[[#This Row],[Colonne101]]=$G59,DO59,Distances[[#This Row],[Colonne101]]+1)</f>
        <v>25</v>
      </c>
      <c r="DQ59" s="17">
        <f>IF(Distances[[#This Row],[Colonne102]]=$G59,DP59,Distances[[#This Row],[Colonne102]]+1)</f>
        <v>25</v>
      </c>
      <c r="DR59" s="17">
        <f>IF(Distances[[#This Row],[Colonne103]]=$G59,DQ59,Distances[[#This Row],[Colonne103]]+1)</f>
        <v>25</v>
      </c>
      <c r="DS59" s="17">
        <f>IF(Distances[[#This Row],[Colonne104]]=$G59,DR59,Distances[[#This Row],[Colonne104]]+1)</f>
        <v>25</v>
      </c>
      <c r="DT59" s="17">
        <f>IF(Distances[[#This Row],[Colonne105]]=$G59,DS59,Distances[[#This Row],[Colonne105]]+1)</f>
        <v>25</v>
      </c>
      <c r="DU59" s="17">
        <f>IF(Distances[[#This Row],[Colonne106]]=$G59,DT59,Distances[[#This Row],[Colonne106]]+1)</f>
        <v>25</v>
      </c>
      <c r="DV59" s="17">
        <f>IF(Distances[[#This Row],[Colonne107]]=$G59,DU59,Distances[[#This Row],[Colonne107]]+1)</f>
        <v>25</v>
      </c>
      <c r="DW59" s="17">
        <f>IF(Distances[[#This Row],[Colonne108]]=$G59,DV59,Distances[[#This Row],[Colonne108]]+1)</f>
        <v>25</v>
      </c>
      <c r="DX59" s="17">
        <f>IF(Distances[[#This Row],[Colonne109]]=$G59,DW59,Distances[[#This Row],[Colonne109]]+1)</f>
        <v>25</v>
      </c>
      <c r="DY59" s="17">
        <f>IF(Distances[[#This Row],[Colonne110]]=$G59,DX59,Distances[[#This Row],[Colonne110]]+1)</f>
        <v>25</v>
      </c>
      <c r="DZ59" s="17">
        <f>IF(Distances[[#This Row],[Colonne111]]=$G59,DY59,Distances[[#This Row],[Colonne111]]+1)</f>
        <v>25</v>
      </c>
      <c r="EA59" s="17">
        <f>IF(Distances[[#This Row],[Colonne112]]=$G59,DZ59,Distances[[#This Row],[Colonne112]]+1)</f>
        <v>25</v>
      </c>
      <c r="EB59" s="17">
        <f>IF(Distances[[#This Row],[Colonne113]]=$G59,EA59,Distances[[#This Row],[Colonne113]]+1)</f>
        <v>25</v>
      </c>
      <c r="EC59" s="17">
        <f>IF(Distances[[#This Row],[Colonne114]]=$G59,EB59,Distances[[#This Row],[Colonne114]]+1)</f>
        <v>25</v>
      </c>
      <c r="ED59" s="17">
        <f>IF(Distances[[#This Row],[Colonne115]]=$G59,EC59,Distances[[#This Row],[Colonne115]]+1)</f>
        <v>25</v>
      </c>
      <c r="EE59" s="17">
        <f>IF(Distances[[#This Row],[Colonne116]]=$G59,ED59,Distances[[#This Row],[Colonne116]]+1)</f>
        <v>25</v>
      </c>
      <c r="EF59" s="17">
        <f>IF(Distances[[#This Row],[Colonne117]]=$G59,EE59,Distances[[#This Row],[Colonne117]]+1)</f>
        <v>25</v>
      </c>
      <c r="EG59" s="17">
        <f>IF(Distances[[#This Row],[Colonne118]]=$G59,EF59,Distances[[#This Row],[Colonne118]]+1)</f>
        <v>25</v>
      </c>
      <c r="EH59" s="17">
        <f>IF(Distances[[#This Row],[Colonne119]]=$G59,EG59,Distances[[#This Row],[Colonne119]]+1)</f>
        <v>25</v>
      </c>
      <c r="EI59" s="17">
        <f>IF(Distances[[#This Row],[Colonne120]]=$G59,EH59,Distances[[#This Row],[Colonne120]]+1)</f>
        <v>25</v>
      </c>
      <c r="EJ59" s="17">
        <f>IF(Distances[[#This Row],[Colonne121]]=$G59,EI59,Distances[[#This Row],[Colonne121]]+1)</f>
        <v>25</v>
      </c>
      <c r="EK59" s="17">
        <f>IF(Distances[[#This Row],[Colonne122]]=$G59,EJ59,Distances[[#This Row],[Colonne122]]+1)</f>
        <v>25</v>
      </c>
      <c r="EL59" s="17">
        <f>IF(Distances[[#This Row],[Colonne123]]=$G59,EK59,Distances[[#This Row],[Colonne123]]+1)</f>
        <v>25</v>
      </c>
      <c r="EM59" s="17">
        <f>IF(Distances[[#This Row],[Colonne124]]=$G59,EL59,Distances[[#This Row],[Colonne124]]+1)</f>
        <v>25</v>
      </c>
      <c r="EN59" s="17">
        <f>IF(Distances[[#This Row],[Colonne125]]=$G59,EM59,Distances[[#This Row],[Colonne125]]+1)</f>
        <v>25</v>
      </c>
      <c r="EO59" s="17">
        <f>IF(Distances[[#This Row],[Colonne126]]=$G59,EN59,Distances[[#This Row],[Colonne126]]+1)</f>
        <v>25</v>
      </c>
      <c r="EP59" s="17">
        <f>IF(Distances[[#This Row],[Colonne127]]=$G59,EO59,Distances[[#This Row],[Colonne127]]+1)</f>
        <v>25</v>
      </c>
      <c r="EQ59" s="17">
        <f>IF(Distances[[#This Row],[Colonne128]]=$G59,EP59,Distances[[#This Row],[Colonne128]]+1)</f>
        <v>25</v>
      </c>
      <c r="ER59" s="17">
        <f>IF(Distances[[#This Row],[Colonne129]]=$G59,EQ59,Distances[[#This Row],[Colonne129]]+1)</f>
        <v>25</v>
      </c>
      <c r="ES59" s="17">
        <f>IF(Distances[[#This Row],[Colonne130]]=$G59,ER59,Distances[[#This Row],[Colonne130]]+1)</f>
        <v>25</v>
      </c>
      <c r="ET59" s="17">
        <f>IF(Distances[[#This Row],[Colonne131]]=$G59,ES59,Distances[[#This Row],[Colonne131]]+1)</f>
        <v>25</v>
      </c>
      <c r="EU59" s="17">
        <f>IF(Distances[[#This Row],[Colonne132]]=$G59,ET59,Distances[[#This Row],[Colonne132]]+1)</f>
        <v>25</v>
      </c>
      <c r="EV59" s="17">
        <f>IF(Distances[[#This Row],[Colonne133]]=$G59,EU59,Distances[[#This Row],[Colonne133]]+1)</f>
        <v>25</v>
      </c>
      <c r="EW59" s="17">
        <f>IF(Distances[[#This Row],[Colonne134]]=$G59,EV59,Distances[[#This Row],[Colonne134]]+1)</f>
        <v>25</v>
      </c>
      <c r="EX59" s="17">
        <f>IF(Distances[[#This Row],[Colonne135]]=$G59,EW59,Distances[[#This Row],[Colonne135]]+1)</f>
        <v>25</v>
      </c>
      <c r="EY59" s="17">
        <f>IF(Distances[[#This Row],[Colonne136]]=$G59,EX59,Distances[[#This Row],[Colonne136]]+1)</f>
        <v>25</v>
      </c>
      <c r="EZ59" s="17">
        <f>IF(Distances[[#This Row],[Colonne137]]=$G59,EY59,Distances[[#This Row],[Colonne137]]+1)</f>
        <v>25</v>
      </c>
      <c r="FA59" s="17">
        <f>IF(Distances[[#This Row],[Colonne138]]=$G59,EZ59,Distances[[#This Row],[Colonne138]]+1)</f>
        <v>25</v>
      </c>
      <c r="FB59" s="17">
        <f>IF(Distances[[#This Row],[Colonne139]]=$G59,FA59,Distances[[#This Row],[Colonne139]]+1)</f>
        <v>25</v>
      </c>
      <c r="FC59" s="17">
        <f>IF(Distances[[#This Row],[Colonne140]]=$G59,FB59,Distances[[#This Row],[Colonne140]]+1)</f>
        <v>25</v>
      </c>
      <c r="FD59" s="17">
        <f>IF(Distances[[#This Row],[Colonne141]]=$G59,FC59,Distances[[#This Row],[Colonne141]]+1)</f>
        <v>25</v>
      </c>
      <c r="FE59" s="17">
        <f>IF(Distances[[#This Row],[Colonne142]]=$G59,FD59,Distances[[#This Row],[Colonne142]]+1)</f>
        <v>25</v>
      </c>
      <c r="FF59" s="17">
        <f>IF(Distances[[#This Row],[Colonne143]]=$G59,FE59,Distances[[#This Row],[Colonne143]]+1)</f>
        <v>25</v>
      </c>
      <c r="FG59" s="17">
        <f>IF(Distances[[#This Row],[Colonne144]]=$G59,FF59,Distances[[#This Row],[Colonne144]]+1)</f>
        <v>25</v>
      </c>
      <c r="FH59" s="17">
        <f>IF(Distances[[#This Row],[Colonne145]]=$G59,FG59,Distances[[#This Row],[Colonne145]]+1)</f>
        <v>25</v>
      </c>
      <c r="FI59" s="17">
        <f>IF(Distances[[#This Row],[Colonne146]]=$G59,FH59,Distances[[#This Row],[Colonne146]]+1)</f>
        <v>25</v>
      </c>
      <c r="FJ59" s="17">
        <f>IF(Distances[[#This Row],[Colonne147]]=$G59,FI59,Distances[[#This Row],[Colonne147]]+1)</f>
        <v>25</v>
      </c>
      <c r="FK59" s="17">
        <f>IF(Distances[[#This Row],[Colonne148]]=$G59,FJ59,Distances[[#This Row],[Colonne148]]+1)</f>
        <v>25</v>
      </c>
      <c r="FL59" s="17">
        <f>IF(Distances[[#This Row],[Colonne149]]=$G59,FK59,Distances[[#This Row],[Colonne149]]+1)</f>
        <v>25</v>
      </c>
      <c r="FM59" s="17">
        <f>IF(Distances[[#This Row],[Colonne150]]=$G59,FL59,Distances[[#This Row],[Colonne150]]+1)</f>
        <v>25</v>
      </c>
      <c r="FN59" s="17">
        <f>IF(Distances[[#This Row],[Colonne151]]=$G59,FM59,Distances[[#This Row],[Colonne151]]+1)</f>
        <v>25</v>
      </c>
      <c r="FO59" s="17">
        <f>IF(Distances[[#This Row],[Colonne152]]=$G59,FN59,Distances[[#This Row],[Colonne152]]+1)</f>
        <v>25</v>
      </c>
      <c r="FP59" s="17">
        <f>IF(Distances[[#This Row],[Colonne153]]=$G59,FO59,Distances[[#This Row],[Colonne153]]+1)</f>
        <v>25</v>
      </c>
      <c r="FQ59" s="17">
        <f>IF(Distances[[#This Row],[Colonne154]]=$G59,FP59,Distances[[#This Row],[Colonne154]]+1)</f>
        <v>25</v>
      </c>
      <c r="FR59" s="17">
        <f>IF(Distances[[#This Row],[Colonne155]]=$G59,FQ59,Distances[[#This Row],[Colonne155]]+1)</f>
        <v>25</v>
      </c>
      <c r="FS59" s="17">
        <f>IF(Distances[[#This Row],[Colonne156]]=$G59,FR59,Distances[[#This Row],[Colonne156]]+1)</f>
        <v>25</v>
      </c>
      <c r="FT59" s="17">
        <f>IF(Distances[[#This Row],[Colonne157]]=$G59,FS59,Distances[[#This Row],[Colonne157]]+1)</f>
        <v>25</v>
      </c>
      <c r="FU59" s="17">
        <f>IF(Distances[[#This Row],[Colonne158]]=$G59,FT59,Distances[[#This Row],[Colonne158]]+1)</f>
        <v>25</v>
      </c>
      <c r="FV59" s="17">
        <f>IF(Distances[[#This Row],[Colonne159]]=$G59,FU59,Distances[[#This Row],[Colonne159]]+1)</f>
        <v>25</v>
      </c>
      <c r="FW59" s="17">
        <f>IF(Distances[[#This Row],[Colonne160]]=$G59,FV59,Distances[[#This Row],[Colonne160]]+1)</f>
        <v>25</v>
      </c>
      <c r="FX59" s="17">
        <f>IF(Distances[[#This Row],[Colonne161]]=$G59,FW59,Distances[[#This Row],[Colonne161]]+1)</f>
        <v>25</v>
      </c>
      <c r="FY59" s="17">
        <f>IF(Distances[[#This Row],[Colonne162]]=$G59,FX59,Distances[[#This Row],[Colonne162]]+1)</f>
        <v>25</v>
      </c>
      <c r="FZ59" s="17">
        <f>IF(Distances[[#This Row],[Colonne163]]=$G59,FY59,Distances[[#This Row],[Colonne163]]+1)</f>
        <v>25</v>
      </c>
      <c r="GA59" s="17">
        <f>IF(Distances[[#This Row],[Colonne164]]=$G59,FZ59,Distances[[#This Row],[Colonne164]]+1)</f>
        <v>25</v>
      </c>
      <c r="GB59" s="17">
        <f>IF(Distances[[#This Row],[Colonne165]]=$G59,GA59,Distances[[#This Row],[Colonne165]]+1)</f>
        <v>25</v>
      </c>
      <c r="GC59" s="17">
        <f>IF(Distances[[#This Row],[Colonne166]]=$G59,GB59,Distances[[#This Row],[Colonne166]]+1)</f>
        <v>25</v>
      </c>
      <c r="GD59" s="17">
        <f>IF(Distances[[#This Row],[Colonne167]]=$G59,GC59,Distances[[#This Row],[Colonne167]]+1)</f>
        <v>25</v>
      </c>
      <c r="GE59" s="17">
        <f>IF(Distances[[#This Row],[Colonne168]]=$G59,GD59,Distances[[#This Row],[Colonne168]]+1)</f>
        <v>25</v>
      </c>
      <c r="GF59" s="17">
        <f>IF(Distances[[#This Row],[Colonne169]]=$G59,GE59,Distances[[#This Row],[Colonne169]]+1)</f>
        <v>25</v>
      </c>
      <c r="GG59" s="17">
        <f>IF(Distances[[#This Row],[Colonne170]]=$G59,GF59,Distances[[#This Row],[Colonne170]]+1)</f>
        <v>25</v>
      </c>
      <c r="GH59" s="17">
        <f>IF(Distances[[#This Row],[Colonne171]]=$G59,GG59,Distances[[#This Row],[Colonne171]]+1)</f>
        <v>25</v>
      </c>
      <c r="GI59" s="17">
        <f>IF(Distances[[#This Row],[Colonne172]]=$G59,GH59,Distances[[#This Row],[Colonne172]]+1)</f>
        <v>25</v>
      </c>
      <c r="GJ59" s="17">
        <f>IF(Distances[[#This Row],[Colonne173]]=$G59,GI59,Distances[[#This Row],[Colonne173]]+1)</f>
        <v>25</v>
      </c>
      <c r="GK59" s="17">
        <f>IF(Distances[[#This Row],[Colonne174]]=$G59,GJ59,Distances[[#This Row],[Colonne174]]+1)</f>
        <v>25</v>
      </c>
      <c r="GL59" s="17">
        <f>IF(Distances[[#This Row],[Colonne175]]=$G59,GK59,Distances[[#This Row],[Colonne175]]+1)</f>
        <v>25</v>
      </c>
      <c r="GM59" s="17">
        <f>IF(Distances[[#This Row],[Colonne176]]=$G59,GL59,Distances[[#This Row],[Colonne176]]+1)</f>
        <v>25</v>
      </c>
      <c r="GN59" s="17">
        <f>IF(Distances[[#This Row],[Colonne177]]=$G59,GM59,Distances[[#This Row],[Colonne177]]+1)</f>
        <v>25</v>
      </c>
      <c r="GO59" s="17">
        <f>IF(Distances[[#This Row],[Colonne178]]=$G59,GN59,Distances[[#This Row],[Colonne178]]+1)</f>
        <v>25</v>
      </c>
      <c r="GP59" s="17">
        <f>IF(Distances[[#This Row],[Colonne179]]=$G59,GO59,Distances[[#This Row],[Colonne179]]+1)</f>
        <v>25</v>
      </c>
      <c r="GQ59" s="17">
        <f>IF(Distances[[#This Row],[Colonne180]]=$G59,GP59,Distances[[#This Row],[Colonne180]]+1)</f>
        <v>25</v>
      </c>
      <c r="GR59" s="17">
        <f>IF(Distances[[#This Row],[Colonne181]]=$G59,GQ59,Distances[[#This Row],[Colonne181]]+1)</f>
        <v>25</v>
      </c>
      <c r="GS59" s="17">
        <f>IF(Distances[[#This Row],[Colonne182]]=$G59,GR59,Distances[[#This Row],[Colonne182]]+1)</f>
        <v>25</v>
      </c>
      <c r="GT59" s="17">
        <f>IF(Distances[[#This Row],[Colonne183]]=$G59,GS59,Distances[[#This Row],[Colonne183]]+1)</f>
        <v>25</v>
      </c>
      <c r="GU59" s="17">
        <f>IF(Distances[[#This Row],[Colonne184]]=$G59,GT59,Distances[[#This Row],[Colonne184]]+1)</f>
        <v>25</v>
      </c>
      <c r="GV59" s="17">
        <f>IF(Distances[[#This Row],[Colonne185]]=$G59,GU59,Distances[[#This Row],[Colonne185]]+1)</f>
        <v>25</v>
      </c>
      <c r="GW59" s="17">
        <f>IF(Distances[[#This Row],[Colonne186]]=$G59,GV59,Distances[[#This Row],[Colonne186]]+1)</f>
        <v>25</v>
      </c>
      <c r="GX59" s="17">
        <f>IF(Distances[[#This Row],[Colonne187]]=$G59,GW59,Distances[[#This Row],[Colonne187]]+1)</f>
        <v>25</v>
      </c>
      <c r="GY59" s="17">
        <f>IF(Distances[[#This Row],[Colonne188]]=$G59,GX59,Distances[[#This Row],[Colonne188]]+1)</f>
        <v>25</v>
      </c>
      <c r="GZ59" s="17">
        <f>IF(Distances[[#This Row],[Colonne189]]=$G59,GY59,Distances[[#This Row],[Colonne189]]+1)</f>
        <v>25</v>
      </c>
      <c r="HA59" s="17">
        <f>IF(Distances[[#This Row],[Colonne190]]=$G59,GZ59,Distances[[#This Row],[Colonne190]]+1)</f>
        <v>25</v>
      </c>
      <c r="HB59" s="17">
        <f>IF(Distances[[#This Row],[Colonne191]]=$G59,HA59,Distances[[#This Row],[Colonne191]]+1)</f>
        <v>25</v>
      </c>
      <c r="HC59" s="17">
        <f>IF(Distances[[#This Row],[Colonne192]]=$G59,HB59,Distances[[#This Row],[Colonne192]]+1)</f>
        <v>25</v>
      </c>
      <c r="HD59" s="17">
        <f>IF(Distances[[#This Row],[Colonne193]]=$G59,HC59,Distances[[#This Row],[Colonne193]]+1)</f>
        <v>25</v>
      </c>
      <c r="HE59" s="17">
        <f>IF(Distances[[#This Row],[Colonne194]]=$G59,HD59,Distances[[#This Row],[Colonne194]]+1)</f>
        <v>25</v>
      </c>
      <c r="HF59" s="17">
        <f>IF(Distances[[#This Row],[Colonne195]]=$G59,HE59,Distances[[#This Row],[Colonne195]]+1)</f>
        <v>25</v>
      </c>
      <c r="HG59" s="17">
        <f>IF(Distances[[#This Row],[Colonne196]]=$G59,HF59,Distances[[#This Row],[Colonne196]]+1)</f>
        <v>25</v>
      </c>
      <c r="HH59" s="17">
        <f>IF(Distances[[#This Row],[Colonne197]]=$G59,HG59,Distances[[#This Row],[Colonne197]]+1)</f>
        <v>25</v>
      </c>
      <c r="HI59" s="17">
        <f>IF(Distances[[#This Row],[Colonne198]]=$G59,HH59,Distances[[#This Row],[Colonne198]]+1)</f>
        <v>25</v>
      </c>
      <c r="HJ59" s="17">
        <f>IF(Distances[[#This Row],[Colonne199]]=$G59,HI59,Distances[[#This Row],[Colonne199]]+1)</f>
        <v>25</v>
      </c>
      <c r="HK59" s="17">
        <f>IF(Distances[[#This Row],[Colonne200]]=$G59,HJ59,Distances[[#This Row],[Colonne200]]+1)</f>
        <v>25</v>
      </c>
      <c r="HL59" s="17">
        <f>IF(Distances[[#This Row],[Colonne201]]=$G59,HK59,Distances[[#This Row],[Colonne201]]+1)</f>
        <v>25</v>
      </c>
      <c r="HM59" s="17">
        <f>IF(Distances[[#This Row],[Colonne202]]=$G59,HL59,Distances[[#This Row],[Colonne202]]+1)</f>
        <v>25</v>
      </c>
      <c r="HN59" s="17">
        <f>IF(Distances[[#This Row],[Colonne203]]=$G59,HM59,Distances[[#This Row],[Colonne203]]+1)</f>
        <v>25</v>
      </c>
      <c r="HO59" s="17">
        <f>IF(Distances[[#This Row],[Colonne204]]=$G59,HN59,Distances[[#This Row],[Colonne204]]+1)</f>
        <v>25</v>
      </c>
      <c r="HP59" s="17">
        <f>IF(Distances[[#This Row],[Colonne205]]=$G59,HO59,Distances[[#This Row],[Colonne205]]+1)</f>
        <v>25</v>
      </c>
      <c r="HQ59" s="17">
        <f>IF(Distances[[#This Row],[Colonne206]]=$G59,HP59,Distances[[#This Row],[Colonne206]]+1)</f>
        <v>25</v>
      </c>
      <c r="HR59" s="17">
        <f>IF(Distances[[#This Row],[Colonne207]]=$G59,HQ59,Distances[[#This Row],[Colonne207]]+1)</f>
        <v>25</v>
      </c>
      <c r="HS59" s="17">
        <f>IF(Distances[[#This Row],[Colonne208]]=$G59,HR59,Distances[[#This Row],[Colonne208]]+1)</f>
        <v>25</v>
      </c>
      <c r="HT59" s="17">
        <f>IF(Distances[[#This Row],[Colonne209]]=$G59,HS59,Distances[[#This Row],[Colonne209]]+1)</f>
        <v>25</v>
      </c>
      <c r="HU59" s="17">
        <f>IF(Distances[[#This Row],[Colonne210]]=$G59,HT59,Distances[[#This Row],[Colonne210]]+1)</f>
        <v>25</v>
      </c>
      <c r="HV59" s="17">
        <f>IF(Distances[[#This Row],[Colonne211]]=$G59,HU59,Distances[[#This Row],[Colonne211]]+1)</f>
        <v>25</v>
      </c>
      <c r="HW59" s="17">
        <f>IF(Distances[[#This Row],[Colonne212]]=$G59,HV59,Distances[[#This Row],[Colonne212]]+1)</f>
        <v>25</v>
      </c>
      <c r="HX59" s="17">
        <f>IF(Distances[[#This Row],[Colonne213]]=$G59,HW59,Distances[[#This Row],[Colonne213]]+1)</f>
        <v>25</v>
      </c>
      <c r="HY59" s="17">
        <f>IF(Distances[[#This Row],[Colonne214]]=$G59,HX59,Distances[[#This Row],[Colonne214]]+1)</f>
        <v>25</v>
      </c>
      <c r="HZ59" s="17">
        <f>IF(Distances[[#This Row],[Colonne215]]=$G59,HY59,Distances[[#This Row],[Colonne215]]+1)</f>
        <v>25</v>
      </c>
      <c r="IA59" s="17">
        <f>IF(Distances[[#This Row],[Colonne216]]=$G59,HZ59,Distances[[#This Row],[Colonne216]]+1)</f>
        <v>25</v>
      </c>
      <c r="IB59" s="17">
        <f>IF(Distances[[#This Row],[Colonne217]]=$G59,IA59,Distances[[#This Row],[Colonne217]]+1)</f>
        <v>25</v>
      </c>
      <c r="IC59" s="17">
        <f>IF(Distances[[#This Row],[Colonne218]]=$G59,IB59,Distances[[#This Row],[Colonne218]]+1)</f>
        <v>25</v>
      </c>
      <c r="ID59" s="17">
        <f>IF(Distances[[#This Row],[Colonne219]]=$G59,IC59,Distances[[#This Row],[Colonne219]]+1)</f>
        <v>25</v>
      </c>
      <c r="IE59" s="17">
        <f>IF(Distances[[#This Row],[Colonne220]]=$G59,ID59,Distances[[#This Row],[Colonne220]]+1)</f>
        <v>25</v>
      </c>
      <c r="IF59" s="17">
        <f>IF(Distances[[#This Row],[Colonne221]]=$G59,IE59,Distances[[#This Row],[Colonne221]]+1)</f>
        <v>25</v>
      </c>
      <c r="IG59" s="17">
        <f>IF(Distances[[#This Row],[Colonne222]]=$G59,IF59,Distances[[#This Row],[Colonne222]]+1)</f>
        <v>25</v>
      </c>
      <c r="IH59" s="17">
        <f>IF(Distances[[#This Row],[Colonne223]]=$G59,IG59,Distances[[#This Row],[Colonne223]]+1)</f>
        <v>25</v>
      </c>
      <c r="II59" s="17">
        <f>IF(Distances[[#This Row],[Colonne224]]=$G59,IH59,Distances[[#This Row],[Colonne224]]+1)</f>
        <v>25</v>
      </c>
      <c r="IJ59" s="17">
        <f>IF(Distances[[#This Row],[Colonne225]]=$G59,II59,Distances[[#This Row],[Colonne225]]+1)</f>
        <v>25</v>
      </c>
      <c r="IK59" s="17">
        <f>IF(Distances[[#This Row],[Colonne226]]=$G59,IJ59,Distances[[#This Row],[Colonne226]]+1)</f>
        <v>25</v>
      </c>
      <c r="IL59" s="17">
        <f>IF(Distances[[#This Row],[Colonne227]]=$G59,IK59,Distances[[#This Row],[Colonne227]]+1)</f>
        <v>25</v>
      </c>
      <c r="IM59" s="17">
        <f>IF(Distances[[#This Row],[Colonne228]]=$G59,IL59,Distances[[#This Row],[Colonne228]]+1)</f>
        <v>25</v>
      </c>
      <c r="IN59" s="17">
        <f>IF(Distances[[#This Row],[Colonne229]]=$G59,IM59,Distances[[#This Row],[Colonne229]]+1)</f>
        <v>25</v>
      </c>
      <c r="IO59" s="17">
        <f>IF(Distances[[#This Row],[Colonne230]]=$G59,IN59,Distances[[#This Row],[Colonne230]]+1)</f>
        <v>25</v>
      </c>
      <c r="IP59" s="17">
        <f>IF(Distances[[#This Row],[Colonne231]]=$G59,IO59,Distances[[#This Row],[Colonne231]]+1)</f>
        <v>25</v>
      </c>
      <c r="IQ59" s="17">
        <f>IF(Distances[[#This Row],[Colonne232]]=$G59,IP59,Distances[[#This Row],[Colonne232]]+1)</f>
        <v>25</v>
      </c>
      <c r="IR59" s="17">
        <f>IF(Distances[[#This Row],[Colonne233]]=$G59,IQ59,Distances[[#This Row],[Colonne233]]+1)</f>
        <v>25</v>
      </c>
      <c r="IS59" s="17">
        <f>IF(Distances[[#This Row],[Colonne234]]=$G59,IR59,Distances[[#This Row],[Colonne234]]+1)</f>
        <v>25</v>
      </c>
      <c r="IT59" s="17">
        <f>IF(Distances[[#This Row],[Colonne235]]=$G59,IS59,Distances[[#This Row],[Colonne235]]+1)</f>
        <v>25</v>
      </c>
      <c r="IU59" s="17">
        <f>IF(Distances[[#This Row],[Colonne236]]=$G59,IT59,Distances[[#This Row],[Colonne236]]+1)</f>
        <v>25</v>
      </c>
      <c r="IV59" s="17">
        <f>IF(Distances[[#This Row],[Colonne237]]=$G59,IU59,Distances[[#This Row],[Colonne237]]+1)</f>
        <v>25</v>
      </c>
      <c r="IW59" s="17">
        <f>IF(Distances[[#This Row],[Colonne238]]=$G59,IV59,Distances[[#This Row],[Colonne238]]+1)</f>
        <v>25</v>
      </c>
      <c r="IX59" s="17">
        <f>IF(Distances[[#This Row],[Colonne239]]=$G59,IW59,Distances[[#This Row],[Colonne239]]+1)</f>
        <v>25</v>
      </c>
      <c r="IY59" s="17">
        <f>IF(Distances[[#This Row],[Colonne240]]=$G59,IX59,Distances[[#This Row],[Colonne240]]+1)</f>
        <v>25</v>
      </c>
      <c r="IZ59" s="17">
        <f>IF(Distances[[#This Row],[Colonne241]]=$G59,IY59,Distances[[#This Row],[Colonne241]]+1)</f>
        <v>25</v>
      </c>
      <c r="JA59" s="17">
        <f>IF(Distances[[#This Row],[Colonne242]]=$G59,IZ59,Distances[[#This Row],[Colonne242]]+1)</f>
        <v>25</v>
      </c>
      <c r="JB59" s="17">
        <f>IF(Distances[[#This Row],[Colonne243]]=$G59,JA59,Distances[[#This Row],[Colonne243]]+1)</f>
        <v>25</v>
      </c>
      <c r="JC59" s="17">
        <f>IF(Distances[[#This Row],[Colonne244]]=$G59,JB59,Distances[[#This Row],[Colonne244]]+1)</f>
        <v>25</v>
      </c>
      <c r="JD59" s="17">
        <f>IF(Distances[[#This Row],[Colonne245]]=$G59,JC59,Distances[[#This Row],[Colonne245]]+1)</f>
        <v>25</v>
      </c>
      <c r="JE59" s="17">
        <f>IF(Distances[[#This Row],[Colonne246]]=$G59,JD59,Distances[[#This Row],[Colonne246]]+1)</f>
        <v>25</v>
      </c>
      <c r="JF59" s="17">
        <f>IF(Distances[[#This Row],[Colonne247]]=$G59,JE59,Distances[[#This Row],[Colonne247]]+1)</f>
        <v>25</v>
      </c>
      <c r="JG59" s="17">
        <f>IF(Distances[[#This Row],[Colonne248]]=$G59,JF59,Distances[[#This Row],[Colonne248]]+1)</f>
        <v>25</v>
      </c>
      <c r="JH59" s="17">
        <f>IF(Distances[[#This Row],[Colonne249]]=$G59,JG59,Distances[[#This Row],[Colonne249]]+1)</f>
        <v>25</v>
      </c>
      <c r="JI59" s="17">
        <f>IF(Distances[[#This Row],[Colonne250]]=$G59,JH59,Distances[[#This Row],[Colonne250]]+1)</f>
        <v>25</v>
      </c>
      <c r="JJ59" s="17">
        <f>IF(Distances[[#This Row],[Colonne251]]=$G59,JI59,Distances[[#This Row],[Colonne251]]+1)</f>
        <v>25</v>
      </c>
      <c r="JK59" s="17">
        <f>IF(Distances[[#This Row],[Colonne252]]=$G59,JJ59,Distances[[#This Row],[Colonne252]]+1)</f>
        <v>25</v>
      </c>
      <c r="JL59" s="17">
        <f>IF(Distances[[#This Row],[Colonne253]]=$G59,JK59,Distances[[#This Row],[Colonne253]]+1)</f>
        <v>25</v>
      </c>
      <c r="JM59" s="17">
        <f>IF(Distances[[#This Row],[Colonne254]]=$G59,JL59,Distances[[#This Row],[Colonne254]]+1)</f>
        <v>25</v>
      </c>
      <c r="JN59" s="17">
        <f>IF(Distances[[#This Row],[Colonne255]]=$G59,JM59,Distances[[#This Row],[Colonne255]]+1)</f>
        <v>25</v>
      </c>
      <c r="JO59" s="17">
        <f>IF(Distances[[#This Row],[Colonne256]]=$G59,JN59,Distances[[#This Row],[Colonne256]]+1)</f>
        <v>25</v>
      </c>
      <c r="JP59" s="17">
        <f>IF(Distances[[#This Row],[Colonne257]]=$G59,JO59,Distances[[#This Row],[Colonne257]]+1)</f>
        <v>25</v>
      </c>
      <c r="JQ59" s="17">
        <f>IF(Distances[[#This Row],[Colonne258]]=$G59,JP59,Distances[[#This Row],[Colonne258]]+1)</f>
        <v>25</v>
      </c>
      <c r="JR59" s="17">
        <f>IF(Distances[[#This Row],[Colonne259]]=$G59,JQ59,Distances[[#This Row],[Colonne259]]+1)</f>
        <v>25</v>
      </c>
      <c r="JS59" s="17">
        <f>IF(Distances[[#This Row],[Colonne260]]=$G59,JR59,Distances[[#This Row],[Colonne260]]+1)</f>
        <v>25</v>
      </c>
      <c r="JT59" s="17">
        <f>IF(Distances[[#This Row],[Colonne261]]=$G59,JS59,Distances[[#This Row],[Colonne261]]+1)</f>
        <v>25</v>
      </c>
      <c r="JU59" s="17">
        <f>IF(Distances[[#This Row],[Colonne262]]=$G59,JT59,Distances[[#This Row],[Colonne262]]+1)</f>
        <v>25</v>
      </c>
      <c r="JV59" s="17">
        <f>IF(Distances[[#This Row],[Colonne263]]=$G59,JU59,Distances[[#This Row],[Colonne263]]+1)</f>
        <v>25</v>
      </c>
      <c r="JW59" s="17">
        <f>IF(Distances[[#This Row],[Colonne264]]=$G59,JV59,Distances[[#This Row],[Colonne264]]+1)</f>
        <v>25</v>
      </c>
      <c r="JX59" s="17">
        <f>IF(Distances[[#This Row],[Colonne265]]=$G59,JW59,Distances[[#This Row],[Colonne265]]+1)</f>
        <v>25</v>
      </c>
      <c r="JY59" s="17">
        <f>IF(Distances[[#This Row],[Colonne266]]=$G59,JX59,Distances[[#This Row],[Colonne266]]+1)</f>
        <v>25</v>
      </c>
      <c r="JZ59" s="17">
        <f>IF(Distances[[#This Row],[Colonne267]]=$G59,JY59,Distances[[#This Row],[Colonne267]]+1)</f>
        <v>25</v>
      </c>
      <c r="KA59" s="17">
        <f>IF(Distances[[#This Row],[Colonne268]]=$G59,JZ59,Distances[[#This Row],[Colonne268]]+1)</f>
        <v>25</v>
      </c>
      <c r="KB59" s="17">
        <f>IF(Distances[[#This Row],[Colonne269]]=$G59,KA59,Distances[[#This Row],[Colonne269]]+1)</f>
        <v>25</v>
      </c>
      <c r="KC59" s="17">
        <f>IF(Distances[[#This Row],[Colonne270]]=$G59,KB59,Distances[[#This Row],[Colonne270]]+1)</f>
        <v>25</v>
      </c>
      <c r="KD59" s="17">
        <f>IF(Distances[[#This Row],[Colonne271]]=$G59,KC59,Distances[[#This Row],[Colonne271]]+1)</f>
        <v>25</v>
      </c>
      <c r="KE59" s="17">
        <f>IF(Distances[[#This Row],[Colonne272]]=$G59,KD59,Distances[[#This Row],[Colonne272]]+1)</f>
        <v>25</v>
      </c>
      <c r="KF59" s="17">
        <f>IF(Distances[[#This Row],[Colonne273]]=$G59,KE59,Distances[[#This Row],[Colonne273]]+1)</f>
        <v>25</v>
      </c>
      <c r="KG59" s="17">
        <f>IF(Distances[[#This Row],[Colonne274]]=$G59,KF59,Distances[[#This Row],[Colonne274]]+1)</f>
        <v>25</v>
      </c>
      <c r="KH59" s="17">
        <f>IF(Distances[[#This Row],[Colonne275]]=$G59,KG59,Distances[[#This Row],[Colonne275]]+1)</f>
        <v>25</v>
      </c>
      <c r="KI59" s="17">
        <f>IF(Distances[[#This Row],[Colonne276]]=$G59,KH59,Distances[[#This Row],[Colonne276]]+1)</f>
        <v>25</v>
      </c>
      <c r="KJ59" s="17">
        <f>IF(Distances[[#This Row],[Colonne277]]=$G59,KI59,Distances[[#This Row],[Colonne277]]+1)</f>
        <v>25</v>
      </c>
      <c r="KK59" s="17">
        <f>IF(Distances[[#This Row],[Colonne278]]=$G59,KJ59,Distances[[#This Row],[Colonne278]]+1)</f>
        <v>25</v>
      </c>
      <c r="KL59" s="17">
        <f>IF(Distances[[#This Row],[Colonne279]]=$G59,KK59,Distances[[#This Row],[Colonne279]]+1)</f>
        <v>25</v>
      </c>
      <c r="KM59" s="17">
        <f>IF(Distances[[#This Row],[Colonne280]]=$G59,KL59,Distances[[#This Row],[Colonne280]]+1)</f>
        <v>25</v>
      </c>
      <c r="KN59" s="17">
        <f>IF(Distances[[#This Row],[Colonne281]]=$G59,KM59,Distances[[#This Row],[Colonne281]]+1)</f>
        <v>25</v>
      </c>
      <c r="KO59" s="17">
        <f>IF(Distances[[#This Row],[Colonne282]]=$G59,KN59,Distances[[#This Row],[Colonne282]]+1)</f>
        <v>25</v>
      </c>
      <c r="KP59" s="17">
        <f>IF(Distances[[#This Row],[Colonne283]]=$G59,KO59,Distances[[#This Row],[Colonne283]]+1)</f>
        <v>25</v>
      </c>
      <c r="KQ59" s="17">
        <f>IF(Distances[[#This Row],[Colonne284]]=$G59,KP59,Distances[[#This Row],[Colonne284]]+1)</f>
        <v>25</v>
      </c>
      <c r="KR59" s="17">
        <f>IF(Distances[[#This Row],[Colonne285]]=$G59,KQ59,Distances[[#This Row],[Colonne285]]+1)</f>
        <v>25</v>
      </c>
      <c r="KS59" s="17">
        <f>IF(Distances[[#This Row],[Colonne286]]=$G59,KR59,Distances[[#This Row],[Colonne286]]+1)</f>
        <v>25</v>
      </c>
      <c r="KT59" s="17">
        <f>IF(Distances[[#This Row],[Colonne287]]=$G59,KS59,Distances[[#This Row],[Colonne287]]+1)</f>
        <v>25</v>
      </c>
      <c r="KU59" s="17">
        <f>IF(Distances[[#This Row],[Colonne288]]=$G59,KT59,Distances[[#This Row],[Colonne288]]+1)</f>
        <v>25</v>
      </c>
      <c r="KV59" s="17">
        <f>IF(Distances[[#This Row],[Colonne289]]=$G59,KU59,Distances[[#This Row],[Colonne289]]+1)</f>
        <v>25</v>
      </c>
      <c r="KW59" s="17">
        <f>IF(Distances[[#This Row],[Colonne290]]=$G59,KV59,Distances[[#This Row],[Colonne290]]+1)</f>
        <v>25</v>
      </c>
      <c r="KX59" s="17">
        <f>IF(Distances[[#This Row],[Colonne291]]=$G59,KW59,Distances[[#This Row],[Colonne291]]+1)</f>
        <v>25</v>
      </c>
      <c r="KY59" s="17">
        <f>IF(Distances[[#This Row],[Colonne292]]=$G59,KX59,Distances[[#This Row],[Colonne292]]+1)</f>
        <v>25</v>
      </c>
      <c r="KZ59" s="17">
        <f>IF(Distances[[#This Row],[Colonne293]]=$G59,KY59,Distances[[#This Row],[Colonne293]]+1)</f>
        <v>25</v>
      </c>
      <c r="LA59" s="17">
        <f>IF(Distances[[#This Row],[Colonne294]]=$G59,KZ59,Distances[[#This Row],[Colonne294]]+1)</f>
        <v>25</v>
      </c>
      <c r="LB59" s="17">
        <f>IF(Distances[[#This Row],[Colonne295]]=$G59,LA59,Distances[[#This Row],[Colonne295]]+1)</f>
        <v>25</v>
      </c>
      <c r="LC59" s="17">
        <f>IF(Distances[[#This Row],[Colonne296]]=$G59,LB59,Distances[[#This Row],[Colonne296]]+1)</f>
        <v>25</v>
      </c>
      <c r="LD59" s="17">
        <f>IF(Distances[[#This Row],[Colonne297]]=$G59,LC59,Distances[[#This Row],[Colonne297]]+1)</f>
        <v>25</v>
      </c>
      <c r="LE59" s="17">
        <f>IF(Distances[[#This Row],[Colonne298]]=$G59,LD59,Distances[[#This Row],[Colonne298]]+1)</f>
        <v>25</v>
      </c>
      <c r="LF59" s="17">
        <f>IF(Distances[[#This Row],[Colonne299]]=$G59,LE59,Distances[[#This Row],[Colonne299]]+1)</f>
        <v>25</v>
      </c>
      <c r="LG59" s="17">
        <f>IF(Distances[[#This Row],[Colonne300]]=$G59,LF59,Distances[[#This Row],[Colonne300]]+1)</f>
        <v>25</v>
      </c>
      <c r="LH59" s="17">
        <f>IF(Distances[[#This Row],[Colonne301]]=$G59,LG59,Distances[[#This Row],[Colonne301]]+1)</f>
        <v>25</v>
      </c>
      <c r="LI59" s="17">
        <f>IF(Distances[[#This Row],[Colonne302]]=$G59,LH59,Distances[[#This Row],[Colonne302]]+1)</f>
        <v>25</v>
      </c>
      <c r="LJ59" s="17">
        <f>IF(Distances[[#This Row],[Colonne303]]=$G59,LI59,Distances[[#This Row],[Colonne303]]+1)</f>
        <v>25</v>
      </c>
      <c r="LK59" s="51"/>
      <c r="LL59" s="17">
        <f t="shared" ref="LL59:NW62" si="118">IF(LK59=$H59,LK59,LK59+1)</f>
        <v>1</v>
      </c>
      <c r="LM59" s="17">
        <f t="shared" si="118"/>
        <v>2</v>
      </c>
      <c r="LN59" s="17">
        <f t="shared" si="118"/>
        <v>3</v>
      </c>
      <c r="LO59" s="17">
        <f t="shared" si="118"/>
        <v>4</v>
      </c>
      <c r="LP59" s="17">
        <f t="shared" si="118"/>
        <v>5</v>
      </c>
      <c r="LQ59" s="17">
        <f t="shared" si="118"/>
        <v>6</v>
      </c>
      <c r="LR59" s="17">
        <f t="shared" si="118"/>
        <v>7</v>
      </c>
      <c r="LS59" s="17">
        <f t="shared" si="118"/>
        <v>8</v>
      </c>
      <c r="LT59" s="17">
        <f t="shared" si="118"/>
        <v>9</v>
      </c>
      <c r="LU59" s="17">
        <f t="shared" si="118"/>
        <v>10</v>
      </c>
      <c r="LV59" s="17">
        <f t="shared" si="118"/>
        <v>11</v>
      </c>
      <c r="LW59" s="17">
        <f t="shared" si="118"/>
        <v>12</v>
      </c>
      <c r="LX59" s="17">
        <f t="shared" si="118"/>
        <v>13</v>
      </c>
      <c r="LY59" s="17">
        <f t="shared" si="118"/>
        <v>14</v>
      </c>
      <c r="LZ59" s="17">
        <f t="shared" si="118"/>
        <v>15</v>
      </c>
      <c r="MA59" s="17">
        <f t="shared" si="118"/>
        <v>16</v>
      </c>
      <c r="MB59" s="17">
        <f t="shared" si="118"/>
        <v>17</v>
      </c>
      <c r="MC59" s="17">
        <f t="shared" si="118"/>
        <v>18</v>
      </c>
      <c r="MD59" s="17">
        <f t="shared" si="118"/>
        <v>19</v>
      </c>
      <c r="ME59" s="17">
        <f t="shared" si="118"/>
        <v>20</v>
      </c>
      <c r="MF59" s="17">
        <f t="shared" si="118"/>
        <v>21</v>
      </c>
      <c r="MG59" s="17">
        <f t="shared" si="118"/>
        <v>22</v>
      </c>
      <c r="MH59" s="17">
        <f t="shared" si="118"/>
        <v>23</v>
      </c>
      <c r="MI59" s="17">
        <f t="shared" si="118"/>
        <v>24</v>
      </c>
      <c r="MJ59" s="17">
        <f t="shared" si="118"/>
        <v>25</v>
      </c>
      <c r="MK59" s="17">
        <f t="shared" si="118"/>
        <v>26</v>
      </c>
      <c r="ML59" s="17">
        <f t="shared" si="118"/>
        <v>27</v>
      </c>
      <c r="MM59" s="17">
        <f t="shared" si="118"/>
        <v>28</v>
      </c>
      <c r="MN59" s="17">
        <f t="shared" si="118"/>
        <v>29</v>
      </c>
      <c r="MO59" s="17">
        <f t="shared" si="118"/>
        <v>30</v>
      </c>
      <c r="MP59" s="17">
        <f t="shared" si="118"/>
        <v>31</v>
      </c>
      <c r="MQ59" s="17">
        <f t="shared" si="118"/>
        <v>32</v>
      </c>
      <c r="MR59" s="17">
        <f t="shared" si="118"/>
        <v>33</v>
      </c>
      <c r="MS59" s="17">
        <f t="shared" si="118"/>
        <v>34</v>
      </c>
      <c r="MT59" s="17">
        <f t="shared" si="118"/>
        <v>35</v>
      </c>
      <c r="MU59" s="17">
        <f t="shared" si="118"/>
        <v>36</v>
      </c>
      <c r="MV59" s="17">
        <f t="shared" si="118"/>
        <v>37</v>
      </c>
      <c r="MW59" s="17">
        <f t="shared" si="118"/>
        <v>38</v>
      </c>
      <c r="MX59" s="17">
        <f t="shared" si="118"/>
        <v>39</v>
      </c>
      <c r="MY59" s="17">
        <f t="shared" si="118"/>
        <v>40</v>
      </c>
      <c r="MZ59" s="17">
        <f t="shared" si="118"/>
        <v>41</v>
      </c>
      <c r="NA59" s="17">
        <f t="shared" si="118"/>
        <v>42</v>
      </c>
      <c r="NB59" s="17">
        <f t="shared" si="118"/>
        <v>43</v>
      </c>
      <c r="NC59" s="17">
        <f t="shared" si="118"/>
        <v>44</v>
      </c>
      <c r="ND59" s="17">
        <f t="shared" si="118"/>
        <v>45</v>
      </c>
      <c r="NE59" s="17">
        <f t="shared" si="118"/>
        <v>46</v>
      </c>
      <c r="NF59" s="17">
        <f t="shared" si="118"/>
        <v>47</v>
      </c>
      <c r="NG59" s="17">
        <f t="shared" si="118"/>
        <v>48</v>
      </c>
      <c r="NH59" s="17">
        <f t="shared" si="118"/>
        <v>49</v>
      </c>
      <c r="NI59" s="17">
        <f t="shared" si="118"/>
        <v>50</v>
      </c>
      <c r="NJ59" s="17">
        <f t="shared" si="118"/>
        <v>51</v>
      </c>
      <c r="NK59" s="17">
        <f t="shared" si="118"/>
        <v>52</v>
      </c>
      <c r="NL59" s="17">
        <f t="shared" si="118"/>
        <v>53</v>
      </c>
      <c r="NM59" s="17">
        <f t="shared" si="118"/>
        <v>54</v>
      </c>
      <c r="NN59" s="17">
        <f t="shared" si="118"/>
        <v>55</v>
      </c>
      <c r="NO59" s="17">
        <f t="shared" si="118"/>
        <v>55</v>
      </c>
      <c r="NP59" s="17">
        <f t="shared" si="118"/>
        <v>55</v>
      </c>
      <c r="NQ59" s="17">
        <f t="shared" si="118"/>
        <v>55</v>
      </c>
      <c r="NR59" s="17">
        <f t="shared" si="118"/>
        <v>55</v>
      </c>
      <c r="NS59" s="17">
        <f t="shared" si="118"/>
        <v>55</v>
      </c>
      <c r="NT59" s="17">
        <f t="shared" si="118"/>
        <v>55</v>
      </c>
      <c r="NU59" s="17">
        <f t="shared" si="118"/>
        <v>55</v>
      </c>
      <c r="NV59" s="17">
        <f t="shared" si="118"/>
        <v>55</v>
      </c>
      <c r="NW59" s="17">
        <f t="shared" si="118"/>
        <v>55</v>
      </c>
      <c r="NX59" s="17">
        <f t="shared" ref="NX59:PG65" si="119">IF(NW59=$H59,NW59,NW59+1)</f>
        <v>55</v>
      </c>
      <c r="NY59" s="17">
        <f t="shared" si="119"/>
        <v>55</v>
      </c>
      <c r="NZ59" s="17">
        <f t="shared" si="119"/>
        <v>55</v>
      </c>
      <c r="OA59" s="17">
        <f t="shared" si="119"/>
        <v>55</v>
      </c>
      <c r="OB59" s="17">
        <f t="shared" si="119"/>
        <v>55</v>
      </c>
      <c r="OC59" s="17">
        <f t="shared" si="119"/>
        <v>55</v>
      </c>
      <c r="OD59" s="17">
        <f t="shared" si="119"/>
        <v>55</v>
      </c>
      <c r="OE59" s="17">
        <f t="shared" si="119"/>
        <v>55</v>
      </c>
      <c r="OF59" s="17">
        <f t="shared" si="119"/>
        <v>55</v>
      </c>
      <c r="OG59" s="17">
        <f t="shared" si="119"/>
        <v>55</v>
      </c>
      <c r="OH59" s="17">
        <f t="shared" si="119"/>
        <v>55</v>
      </c>
      <c r="OI59" s="17">
        <f t="shared" si="119"/>
        <v>55</v>
      </c>
      <c r="OJ59" s="17">
        <f t="shared" si="119"/>
        <v>55</v>
      </c>
      <c r="OK59" s="17">
        <f t="shared" si="119"/>
        <v>55</v>
      </c>
      <c r="OL59" s="17">
        <f t="shared" si="119"/>
        <v>55</v>
      </c>
      <c r="OM59" s="17">
        <f t="shared" si="119"/>
        <v>55</v>
      </c>
      <c r="ON59" s="17">
        <f t="shared" si="119"/>
        <v>55</v>
      </c>
      <c r="OO59" s="17">
        <f t="shared" si="119"/>
        <v>55</v>
      </c>
      <c r="OP59" s="17">
        <f t="shared" si="119"/>
        <v>55</v>
      </c>
      <c r="OQ59" s="17">
        <f t="shared" si="119"/>
        <v>55</v>
      </c>
      <c r="OR59" s="17">
        <f t="shared" si="119"/>
        <v>55</v>
      </c>
      <c r="OS59" s="17">
        <f t="shared" si="119"/>
        <v>55</v>
      </c>
      <c r="OT59" s="17">
        <f t="shared" si="119"/>
        <v>55</v>
      </c>
      <c r="OU59" s="17">
        <f t="shared" si="119"/>
        <v>55</v>
      </c>
      <c r="OV59" s="17">
        <f t="shared" si="119"/>
        <v>55</v>
      </c>
      <c r="OW59" s="17">
        <f t="shared" si="119"/>
        <v>55</v>
      </c>
      <c r="OX59" s="17">
        <f t="shared" si="119"/>
        <v>55</v>
      </c>
      <c r="OY59" s="17">
        <f t="shared" si="119"/>
        <v>55</v>
      </c>
      <c r="OZ59" s="17">
        <f t="shared" si="119"/>
        <v>55</v>
      </c>
      <c r="PA59" s="17">
        <f t="shared" si="119"/>
        <v>55</v>
      </c>
      <c r="PB59" s="17">
        <f t="shared" si="119"/>
        <v>55</v>
      </c>
      <c r="PC59" s="17">
        <f t="shared" si="119"/>
        <v>55</v>
      </c>
      <c r="PD59" s="17">
        <f t="shared" si="119"/>
        <v>55</v>
      </c>
      <c r="PE59" s="17">
        <f t="shared" si="119"/>
        <v>55</v>
      </c>
      <c r="PF59" s="17">
        <f t="shared" si="119"/>
        <v>55</v>
      </c>
      <c r="PG59" s="17">
        <f t="shared" si="119"/>
        <v>55</v>
      </c>
    </row>
    <row r="60" spans="1:423" x14ac:dyDescent="0.25">
      <c r="A60" s="8" t="s">
        <v>5509</v>
      </c>
      <c r="B60" s="9" t="s">
        <v>24</v>
      </c>
      <c r="C60" s="9" t="str">
        <f t="shared" ref="C60:C66" si="120">LEFT(A60)&amp;B60</f>
        <v>LN1</v>
      </c>
      <c r="D60" s="1" t="str">
        <f t="shared" ref="D60:D66" si="121">A60&amp;" "&amp;B60</f>
        <v>Libre N1</v>
      </c>
      <c r="E60" s="1" t="s">
        <v>9865</v>
      </c>
      <c r="F60" s="9" t="s">
        <v>11148</v>
      </c>
      <c r="G60" s="9">
        <v>150</v>
      </c>
      <c r="H60" s="9">
        <v>15</v>
      </c>
      <c r="I60" s="127">
        <v>3.1</v>
      </c>
      <c r="J60" s="30" t="s">
        <v>5510</v>
      </c>
      <c r="K60" s="10"/>
      <c r="L60" s="8">
        <v>10</v>
      </c>
      <c r="M60" s="9">
        <v>10</v>
      </c>
      <c r="N60" s="10">
        <v>29.998999999999999</v>
      </c>
      <c r="O60" s="269">
        <v>1</v>
      </c>
      <c r="P60" s="331">
        <v>1</v>
      </c>
      <c r="Q60" s="335">
        <v>2</v>
      </c>
      <c r="R60" s="8"/>
      <c r="S60" s="9"/>
      <c r="T60" s="10"/>
      <c r="U60" t="s">
        <v>5523</v>
      </c>
      <c r="V60" s="17">
        <v>0</v>
      </c>
      <c r="W60" s="17">
        <f>IF(Distances[[#This Row],[Colonne4]]=$G60,V60,Distances[[#This Row],[Colonne4]]+1)</f>
        <v>1</v>
      </c>
      <c r="X60" s="17">
        <f>IF(Distances[[#This Row],[Colonne5]]=$G60,W60,Distances[[#This Row],[Colonne5]]+1)</f>
        <v>2</v>
      </c>
      <c r="Y60" s="17">
        <f>IF(Distances[[#This Row],[Colonne6]]=$G60,X60,Distances[[#This Row],[Colonne6]]+1)</f>
        <v>3</v>
      </c>
      <c r="Z60" s="17">
        <f>IF(Distances[[#This Row],[Colonne7]]=$G60,Y60,Distances[[#This Row],[Colonne7]]+1)</f>
        <v>4</v>
      </c>
      <c r="AA60" s="17">
        <f>IF(Distances[[#This Row],[Colonne8]]=$G60,Z60,Distances[[#This Row],[Colonne8]]+1)</f>
        <v>5</v>
      </c>
      <c r="AB60" s="17">
        <f>IF(Distances[[#This Row],[Colonne9]]=$G60,AA60,Distances[[#This Row],[Colonne9]]+1)</f>
        <v>6</v>
      </c>
      <c r="AC60" s="17">
        <f>IF(Distances[[#This Row],[Colonne10]]=$G60,AB60,Distances[[#This Row],[Colonne10]]+1)</f>
        <v>7</v>
      </c>
      <c r="AD60" s="17">
        <f>IF(Distances[[#This Row],[Colonne11]]=$G60,AC60,Distances[[#This Row],[Colonne11]]+1)</f>
        <v>8</v>
      </c>
      <c r="AE60" s="17">
        <f>IF(Distances[[#This Row],[Colonne12]]=$G60,AD60,Distances[[#This Row],[Colonne12]]+1)</f>
        <v>9</v>
      </c>
      <c r="AF60" s="17">
        <f>IF(Distances[[#This Row],[Colonne13]]=$G60,AE60,Distances[[#This Row],[Colonne13]]+1)</f>
        <v>10</v>
      </c>
      <c r="AG60" s="17">
        <f>IF(Distances[[#This Row],[Colonne14]]=$G60,AF60,Distances[[#This Row],[Colonne14]]+1)</f>
        <v>11</v>
      </c>
      <c r="AH60" s="17">
        <f>IF(Distances[[#This Row],[Colonne15]]=$G60,AG60,Distances[[#This Row],[Colonne15]]+1)</f>
        <v>12</v>
      </c>
      <c r="AI60" s="17">
        <f>IF(Distances[[#This Row],[Colonne16]]=$G60,AH60,Distances[[#This Row],[Colonne16]]+1)</f>
        <v>13</v>
      </c>
      <c r="AJ60" s="17">
        <f>IF(Distances[[#This Row],[Colonne17]]=$G60,AI60,Distances[[#This Row],[Colonne17]]+1)</f>
        <v>14</v>
      </c>
      <c r="AK60" s="17">
        <f>IF(Distances[[#This Row],[Colonne18]]=$G60,AJ60,Distances[[#This Row],[Colonne18]]+1)</f>
        <v>15</v>
      </c>
      <c r="AL60" s="17">
        <f>IF(Distances[[#This Row],[Colonne19]]=$G60,AK60,Distances[[#This Row],[Colonne19]]+1)</f>
        <v>16</v>
      </c>
      <c r="AM60" s="17">
        <f>IF(Distances[[#This Row],[Colonne20]]=$G60,AL60,Distances[[#This Row],[Colonne20]]+1)</f>
        <v>17</v>
      </c>
      <c r="AN60" s="17">
        <f>IF(Distances[[#This Row],[Colonne21]]=$G60,AM60,Distances[[#This Row],[Colonne21]]+1)</f>
        <v>18</v>
      </c>
      <c r="AO60" s="17">
        <f>IF(Distances[[#This Row],[Colonne22]]=$G60,AN60,Distances[[#This Row],[Colonne22]]+1)</f>
        <v>19</v>
      </c>
      <c r="AP60" s="17">
        <f>IF(Distances[[#This Row],[Colonne23]]=$G60,AO60,Distances[[#This Row],[Colonne23]]+1)</f>
        <v>20</v>
      </c>
      <c r="AQ60" s="17">
        <f>IF(Distances[[#This Row],[Colonne24]]=$G60,AP60,Distances[[#This Row],[Colonne24]]+1)</f>
        <v>21</v>
      </c>
      <c r="AR60" s="17">
        <f>IF(Distances[[#This Row],[Colonne25]]=$G60,AQ60,Distances[[#This Row],[Colonne25]]+1)</f>
        <v>22</v>
      </c>
      <c r="AS60" s="17">
        <f>IF(Distances[[#This Row],[Colonne26]]=$G60,AR60,Distances[[#This Row],[Colonne26]]+1)</f>
        <v>23</v>
      </c>
      <c r="AT60" s="17">
        <f>IF(Distances[[#This Row],[Colonne27]]=$G60,AS60,Distances[[#This Row],[Colonne27]]+1)</f>
        <v>24</v>
      </c>
      <c r="AU60" s="17">
        <f>IF(Distances[[#This Row],[Colonne28]]=$G60,AT60,Distances[[#This Row],[Colonne28]]+1)</f>
        <v>25</v>
      </c>
      <c r="AV60" s="17">
        <f>IF(Distances[[#This Row],[Colonne29]]=$G60,AU60,Distances[[#This Row],[Colonne29]]+1)</f>
        <v>26</v>
      </c>
      <c r="AW60" s="17">
        <f>IF(Distances[[#This Row],[Colonne30]]=$G60,AV60,Distances[[#This Row],[Colonne30]]+1)</f>
        <v>27</v>
      </c>
      <c r="AX60" s="17">
        <f>IF(Distances[[#This Row],[Colonne31]]=$G60,AW60,Distances[[#This Row],[Colonne31]]+1)</f>
        <v>28</v>
      </c>
      <c r="AY60" s="17">
        <f>IF(Distances[[#This Row],[Colonne32]]=$G60,AX60,Distances[[#This Row],[Colonne32]]+1)</f>
        <v>29</v>
      </c>
      <c r="AZ60" s="17">
        <f>IF(Distances[[#This Row],[Colonne33]]=$G60,AY60,Distances[[#This Row],[Colonne33]]+1)</f>
        <v>30</v>
      </c>
      <c r="BA60" s="17">
        <f>IF(Distances[[#This Row],[Colonne34]]=$G60,AZ60,Distances[[#This Row],[Colonne34]]+1)</f>
        <v>31</v>
      </c>
      <c r="BB60" s="17">
        <f>IF(Distances[[#This Row],[Colonne35]]=$G60,BA60,Distances[[#This Row],[Colonne35]]+1)</f>
        <v>32</v>
      </c>
      <c r="BC60" s="17">
        <f>IF(Distances[[#This Row],[Colonne36]]=$G60,BB60,Distances[[#This Row],[Colonne36]]+1)</f>
        <v>33</v>
      </c>
      <c r="BD60" s="17">
        <f>IF(Distances[[#This Row],[Colonne37]]=$G60,BC60,Distances[[#This Row],[Colonne37]]+1)</f>
        <v>34</v>
      </c>
      <c r="BE60" s="17">
        <f>IF(Distances[[#This Row],[Colonne38]]=$G60,BD60,Distances[[#This Row],[Colonne38]]+1)</f>
        <v>35</v>
      </c>
      <c r="BF60" s="17">
        <f>IF(Distances[[#This Row],[Colonne39]]=$G60,BE60,Distances[[#This Row],[Colonne39]]+1)</f>
        <v>36</v>
      </c>
      <c r="BG60" s="17">
        <f>IF(Distances[[#This Row],[Colonne40]]=$G60,BF60,Distances[[#This Row],[Colonne40]]+1)</f>
        <v>37</v>
      </c>
      <c r="BH60" s="17">
        <f>IF(Distances[[#This Row],[Colonne41]]=$G60,BG60,Distances[[#This Row],[Colonne41]]+1)</f>
        <v>38</v>
      </c>
      <c r="BI60" s="17">
        <f>IF(Distances[[#This Row],[Colonne42]]=$G60,BH60,Distances[[#This Row],[Colonne42]]+1)</f>
        <v>39</v>
      </c>
      <c r="BJ60" s="17">
        <f>IF(Distances[[#This Row],[Colonne43]]=$G60,BI60,Distances[[#This Row],[Colonne43]]+1)</f>
        <v>40</v>
      </c>
      <c r="BK60" s="17">
        <f>IF(Distances[[#This Row],[Colonne44]]=$G60,BJ60,Distances[[#This Row],[Colonne44]]+1)</f>
        <v>41</v>
      </c>
      <c r="BL60" s="17">
        <f>IF(Distances[[#This Row],[Colonne45]]=$G60,BK60,Distances[[#This Row],[Colonne45]]+1)</f>
        <v>42</v>
      </c>
      <c r="BM60" s="17">
        <f>IF(Distances[[#This Row],[Colonne46]]=$G60,BL60,Distances[[#This Row],[Colonne46]]+1)</f>
        <v>43</v>
      </c>
      <c r="BN60" s="17">
        <f>IF(Distances[[#This Row],[Colonne47]]=$G60,BM60,Distances[[#This Row],[Colonne47]]+1)</f>
        <v>44</v>
      </c>
      <c r="BO60" s="17">
        <f>IF(Distances[[#This Row],[Colonne48]]=$G60,BN60,Distances[[#This Row],[Colonne48]]+1)</f>
        <v>45</v>
      </c>
      <c r="BP60" s="17">
        <f>IF(Distances[[#This Row],[Colonne49]]=$G60,BO60,Distances[[#This Row],[Colonne49]]+1)</f>
        <v>46</v>
      </c>
      <c r="BQ60" s="17">
        <f>IF(Distances[[#This Row],[Colonne50]]=$G60,BP60,Distances[[#This Row],[Colonne50]]+1)</f>
        <v>47</v>
      </c>
      <c r="BR60" s="17">
        <f>IF(Distances[[#This Row],[Colonne51]]=$G60,BQ60,Distances[[#This Row],[Colonne51]]+1)</f>
        <v>48</v>
      </c>
      <c r="BS60" s="17">
        <f>IF(Distances[[#This Row],[Colonne52]]=$G60,BR60,Distances[[#This Row],[Colonne52]]+1)</f>
        <v>49</v>
      </c>
      <c r="BT60" s="17">
        <f>IF(Distances[[#This Row],[Colonne53]]=$G60,BS60,Distances[[#This Row],[Colonne53]]+1)</f>
        <v>50</v>
      </c>
      <c r="BU60" s="17">
        <f>IF(Distances[[#This Row],[Colonne54]]=$G60,BT60,Distances[[#This Row],[Colonne54]]+1)</f>
        <v>51</v>
      </c>
      <c r="BV60" s="17">
        <f>IF(Distances[[#This Row],[Colonne55]]=$G60,BU60,Distances[[#This Row],[Colonne55]]+1)</f>
        <v>52</v>
      </c>
      <c r="BW60" s="17">
        <f>IF(Distances[[#This Row],[Colonne56]]=$G60,BV60,Distances[[#This Row],[Colonne56]]+1)</f>
        <v>53</v>
      </c>
      <c r="BX60" s="17">
        <f>IF(Distances[[#This Row],[Colonne57]]=$G60,BW60,Distances[[#This Row],[Colonne57]]+1)</f>
        <v>54</v>
      </c>
      <c r="BY60" s="17">
        <f>IF(Distances[[#This Row],[Colonne58]]=$G60,BX60,Distances[[#This Row],[Colonne58]]+1)</f>
        <v>55</v>
      </c>
      <c r="BZ60" s="17">
        <f>IF(Distances[[#This Row],[Colonne59]]=$G60,BY60,Distances[[#This Row],[Colonne59]]+1)</f>
        <v>56</v>
      </c>
      <c r="CA60" s="17">
        <f>IF(Distances[[#This Row],[Colonne60]]=$G60,BZ60,Distances[[#This Row],[Colonne60]]+1)</f>
        <v>57</v>
      </c>
      <c r="CB60" s="17">
        <f>IF(Distances[[#This Row],[Colonne61]]=$G60,CA60,Distances[[#This Row],[Colonne61]]+1)</f>
        <v>58</v>
      </c>
      <c r="CC60" s="17">
        <f>IF(Distances[[#This Row],[Colonne62]]=$G60,CB60,Distances[[#This Row],[Colonne62]]+1)</f>
        <v>59</v>
      </c>
      <c r="CD60" s="17">
        <f>IF(Distances[[#This Row],[Colonne63]]=$G60,CC60,Distances[[#This Row],[Colonne63]]+1)</f>
        <v>60</v>
      </c>
      <c r="CE60" s="17">
        <f>IF(Distances[[#This Row],[Colonne64]]=$G60,CD60,Distances[[#This Row],[Colonne64]]+1)</f>
        <v>61</v>
      </c>
      <c r="CF60" s="17">
        <f>IF(Distances[[#This Row],[Colonne65]]=$G60,CE60,Distances[[#This Row],[Colonne65]]+1)</f>
        <v>62</v>
      </c>
      <c r="CG60" s="17">
        <f>IF(Distances[[#This Row],[Colonne66]]=$G60,CF60,Distances[[#This Row],[Colonne66]]+1)</f>
        <v>63</v>
      </c>
      <c r="CH60" s="17">
        <f>IF(Distances[[#This Row],[Colonne67]]=$G60,CG60,Distances[[#This Row],[Colonne67]]+1)</f>
        <v>64</v>
      </c>
      <c r="CI60" s="17">
        <f>IF(Distances[[#This Row],[Colonne68]]=$G60,CH60,Distances[[#This Row],[Colonne68]]+1)</f>
        <v>65</v>
      </c>
      <c r="CJ60" s="17">
        <f>IF(Distances[[#This Row],[Colonne69]]=$G60,CI60,Distances[[#This Row],[Colonne69]]+1)</f>
        <v>66</v>
      </c>
      <c r="CK60" s="17">
        <f>IF(Distances[[#This Row],[Colonne70]]=$G60,CJ60,Distances[[#This Row],[Colonne70]]+1)</f>
        <v>67</v>
      </c>
      <c r="CL60" s="17">
        <f>IF(Distances[[#This Row],[Colonne71]]=$G60,CK60,Distances[[#This Row],[Colonne71]]+1)</f>
        <v>68</v>
      </c>
      <c r="CM60" s="17">
        <f>IF(Distances[[#This Row],[Colonne72]]=$G60,CL60,Distances[[#This Row],[Colonne72]]+1)</f>
        <v>69</v>
      </c>
      <c r="CN60" s="17">
        <f>IF(Distances[[#This Row],[Colonne73]]=$G60,CM60,Distances[[#This Row],[Colonne73]]+1)</f>
        <v>70</v>
      </c>
      <c r="CO60" s="17">
        <f>IF(Distances[[#This Row],[Colonne74]]=$G60,CN60,Distances[[#This Row],[Colonne74]]+1)</f>
        <v>71</v>
      </c>
      <c r="CP60" s="17">
        <f>IF(Distances[[#This Row],[Colonne75]]=$G60,CO60,Distances[[#This Row],[Colonne75]]+1)</f>
        <v>72</v>
      </c>
      <c r="CQ60" s="17">
        <f>IF(Distances[[#This Row],[Colonne76]]=$G60,CP60,Distances[[#This Row],[Colonne76]]+1)</f>
        <v>73</v>
      </c>
      <c r="CR60" s="17">
        <f>IF(Distances[[#This Row],[Colonne77]]=$G60,CQ60,Distances[[#This Row],[Colonne77]]+1)</f>
        <v>74</v>
      </c>
      <c r="CS60" s="17">
        <f>IF(Distances[[#This Row],[Colonne78]]=$G60,CR60,Distances[[#This Row],[Colonne78]]+1)</f>
        <v>75</v>
      </c>
      <c r="CT60" s="17">
        <f>IF(Distances[[#This Row],[Colonne79]]=$G60,CS60,Distances[[#This Row],[Colonne79]]+1)</f>
        <v>76</v>
      </c>
      <c r="CU60" s="17">
        <f>IF(Distances[[#This Row],[Colonne80]]=$G60,CT60,Distances[[#This Row],[Colonne80]]+1)</f>
        <v>77</v>
      </c>
      <c r="CV60" s="17">
        <f>IF(Distances[[#This Row],[Colonne81]]=$G60,CU60,Distances[[#This Row],[Colonne81]]+1)</f>
        <v>78</v>
      </c>
      <c r="CW60" s="17">
        <f>IF(Distances[[#This Row],[Colonne82]]=$G60,CV60,Distances[[#This Row],[Colonne82]]+1)</f>
        <v>79</v>
      </c>
      <c r="CX60" s="17">
        <f>IF(Distances[[#This Row],[Colonne83]]=$G60,CW60,Distances[[#This Row],[Colonne83]]+1)</f>
        <v>80</v>
      </c>
      <c r="CY60" s="17">
        <f>IF(Distances[[#This Row],[Colonne84]]=$G60,CX60,Distances[[#This Row],[Colonne84]]+1)</f>
        <v>81</v>
      </c>
      <c r="CZ60" s="17">
        <f>IF(Distances[[#This Row],[Colonne85]]=$G60,CY60,Distances[[#This Row],[Colonne85]]+1)</f>
        <v>82</v>
      </c>
      <c r="DA60" s="17">
        <f>IF(Distances[[#This Row],[Colonne86]]=$G60,CZ60,Distances[[#This Row],[Colonne86]]+1)</f>
        <v>83</v>
      </c>
      <c r="DB60" s="17">
        <f>IF(Distances[[#This Row],[Colonne87]]=$G60,DA60,Distances[[#This Row],[Colonne87]]+1)</f>
        <v>84</v>
      </c>
      <c r="DC60" s="17">
        <f>IF(Distances[[#This Row],[Colonne88]]=$G60,DB60,Distances[[#This Row],[Colonne88]]+1)</f>
        <v>85</v>
      </c>
      <c r="DD60" s="17">
        <f>IF(Distances[[#This Row],[Colonne89]]=$G60,DC60,Distances[[#This Row],[Colonne89]]+1)</f>
        <v>86</v>
      </c>
      <c r="DE60" s="17">
        <f>IF(Distances[[#This Row],[Colonne90]]=$G60,DD60,Distances[[#This Row],[Colonne90]]+1)</f>
        <v>87</v>
      </c>
      <c r="DF60" s="17">
        <f>IF(Distances[[#This Row],[Colonne91]]=$G60,DE60,Distances[[#This Row],[Colonne91]]+1)</f>
        <v>88</v>
      </c>
      <c r="DG60" s="17">
        <f>IF(Distances[[#This Row],[Colonne92]]=$G60,DF60,Distances[[#This Row],[Colonne92]]+1)</f>
        <v>89</v>
      </c>
      <c r="DH60" s="17">
        <f>IF(Distances[[#This Row],[Colonne93]]=$G60,DG60,Distances[[#This Row],[Colonne93]]+1)</f>
        <v>90</v>
      </c>
      <c r="DI60" s="17">
        <f>IF(Distances[[#This Row],[Colonne94]]=$G60,DH60,Distances[[#This Row],[Colonne94]]+1)</f>
        <v>91</v>
      </c>
      <c r="DJ60" s="17">
        <f>IF(Distances[[#This Row],[Colonne95]]=$G60,DI60,Distances[[#This Row],[Colonne95]]+1)</f>
        <v>92</v>
      </c>
      <c r="DK60" s="17">
        <f>IF(Distances[[#This Row],[Colonne96]]=$G60,DJ60,Distances[[#This Row],[Colonne96]]+1)</f>
        <v>93</v>
      </c>
      <c r="DL60" s="17">
        <f>IF(Distances[[#This Row],[Colonne97]]=$G60,DK60,Distances[[#This Row],[Colonne97]]+1)</f>
        <v>94</v>
      </c>
      <c r="DM60" s="17">
        <f>IF(Distances[[#This Row],[Colonne98]]=$G60,DL60,Distances[[#This Row],[Colonne98]]+1)</f>
        <v>95</v>
      </c>
      <c r="DN60" s="17">
        <f>IF(Distances[[#This Row],[Colonne99]]=$G60,DM60,Distances[[#This Row],[Colonne99]]+1)</f>
        <v>96</v>
      </c>
      <c r="DO60" s="17">
        <f>IF(Distances[[#This Row],[Colonne100]]=$G60,DN60,Distances[[#This Row],[Colonne100]]+1)</f>
        <v>97</v>
      </c>
      <c r="DP60" s="17">
        <f>IF(Distances[[#This Row],[Colonne101]]=$G60,DO60,Distances[[#This Row],[Colonne101]]+1)</f>
        <v>98</v>
      </c>
      <c r="DQ60" s="17">
        <f>IF(Distances[[#This Row],[Colonne102]]=$G60,DP60,Distances[[#This Row],[Colonne102]]+1)</f>
        <v>99</v>
      </c>
      <c r="DR60" s="17">
        <f>IF(Distances[[#This Row],[Colonne103]]=$G60,DQ60,Distances[[#This Row],[Colonne103]]+1)</f>
        <v>100</v>
      </c>
      <c r="DS60" s="17">
        <f>IF(Distances[[#This Row],[Colonne104]]=$G60,DR60,Distances[[#This Row],[Colonne104]]+1)</f>
        <v>101</v>
      </c>
      <c r="DT60" s="17">
        <f>IF(Distances[[#This Row],[Colonne105]]=$G60,DS60,Distances[[#This Row],[Colonne105]]+1)</f>
        <v>102</v>
      </c>
      <c r="DU60" s="17">
        <f>IF(Distances[[#This Row],[Colonne106]]=$G60,DT60,Distances[[#This Row],[Colonne106]]+1)</f>
        <v>103</v>
      </c>
      <c r="DV60" s="17">
        <f>IF(Distances[[#This Row],[Colonne107]]=$G60,DU60,Distances[[#This Row],[Colonne107]]+1)</f>
        <v>104</v>
      </c>
      <c r="DW60" s="17">
        <f>IF(Distances[[#This Row],[Colonne108]]=$G60,DV60,Distances[[#This Row],[Colonne108]]+1)</f>
        <v>105</v>
      </c>
      <c r="DX60" s="17">
        <f>IF(Distances[[#This Row],[Colonne109]]=$G60,DW60,Distances[[#This Row],[Colonne109]]+1)</f>
        <v>106</v>
      </c>
      <c r="DY60" s="17">
        <f>IF(Distances[[#This Row],[Colonne110]]=$G60,DX60,Distances[[#This Row],[Colonne110]]+1)</f>
        <v>107</v>
      </c>
      <c r="DZ60" s="17">
        <f>IF(Distances[[#This Row],[Colonne111]]=$G60,DY60,Distances[[#This Row],[Colonne111]]+1)</f>
        <v>108</v>
      </c>
      <c r="EA60" s="17">
        <f>IF(Distances[[#This Row],[Colonne112]]=$G60,DZ60,Distances[[#This Row],[Colonne112]]+1)</f>
        <v>109</v>
      </c>
      <c r="EB60" s="17">
        <f>IF(Distances[[#This Row],[Colonne113]]=$G60,EA60,Distances[[#This Row],[Colonne113]]+1)</f>
        <v>110</v>
      </c>
      <c r="EC60" s="17">
        <f>IF(Distances[[#This Row],[Colonne114]]=$G60,EB60,Distances[[#This Row],[Colonne114]]+1)</f>
        <v>111</v>
      </c>
      <c r="ED60" s="17">
        <f>IF(Distances[[#This Row],[Colonne115]]=$G60,EC60,Distances[[#This Row],[Colonne115]]+1)</f>
        <v>112</v>
      </c>
      <c r="EE60" s="17">
        <f>IF(Distances[[#This Row],[Colonne116]]=$G60,ED60,Distances[[#This Row],[Colonne116]]+1)</f>
        <v>113</v>
      </c>
      <c r="EF60" s="17">
        <f>IF(Distances[[#This Row],[Colonne117]]=$G60,EE60,Distances[[#This Row],[Colonne117]]+1)</f>
        <v>114</v>
      </c>
      <c r="EG60" s="17">
        <f>IF(Distances[[#This Row],[Colonne118]]=$G60,EF60,Distances[[#This Row],[Colonne118]]+1)</f>
        <v>115</v>
      </c>
      <c r="EH60" s="17">
        <f>IF(Distances[[#This Row],[Colonne119]]=$G60,EG60,Distances[[#This Row],[Colonne119]]+1)</f>
        <v>116</v>
      </c>
      <c r="EI60" s="17">
        <f>IF(Distances[[#This Row],[Colonne120]]=$G60,EH60,Distances[[#This Row],[Colonne120]]+1)</f>
        <v>117</v>
      </c>
      <c r="EJ60" s="17">
        <f>IF(Distances[[#This Row],[Colonne121]]=$G60,EI60,Distances[[#This Row],[Colonne121]]+1)</f>
        <v>118</v>
      </c>
      <c r="EK60" s="17">
        <f>IF(Distances[[#This Row],[Colonne122]]=$G60,EJ60,Distances[[#This Row],[Colonne122]]+1)</f>
        <v>119</v>
      </c>
      <c r="EL60" s="17">
        <f>IF(Distances[[#This Row],[Colonne123]]=$G60,EK60,Distances[[#This Row],[Colonne123]]+1)</f>
        <v>120</v>
      </c>
      <c r="EM60" s="17">
        <f>IF(Distances[[#This Row],[Colonne124]]=$G60,EL60,Distances[[#This Row],[Colonne124]]+1)</f>
        <v>121</v>
      </c>
      <c r="EN60" s="17">
        <f>IF(Distances[[#This Row],[Colonne125]]=$G60,EM60,Distances[[#This Row],[Colonne125]]+1)</f>
        <v>122</v>
      </c>
      <c r="EO60" s="17">
        <f>IF(Distances[[#This Row],[Colonne126]]=$G60,EN60,Distances[[#This Row],[Colonne126]]+1)</f>
        <v>123</v>
      </c>
      <c r="EP60" s="17">
        <f>IF(Distances[[#This Row],[Colonne127]]=$G60,EO60,Distances[[#This Row],[Colonne127]]+1)</f>
        <v>124</v>
      </c>
      <c r="EQ60" s="17">
        <f>IF(Distances[[#This Row],[Colonne128]]=$G60,EP60,Distances[[#This Row],[Colonne128]]+1)</f>
        <v>125</v>
      </c>
      <c r="ER60" s="17">
        <f>IF(Distances[[#This Row],[Colonne129]]=$G60,EQ60,Distances[[#This Row],[Colonne129]]+1)</f>
        <v>126</v>
      </c>
      <c r="ES60" s="17">
        <f>IF(Distances[[#This Row],[Colonne130]]=$G60,ER60,Distances[[#This Row],[Colonne130]]+1)</f>
        <v>127</v>
      </c>
      <c r="ET60" s="17">
        <f>IF(Distances[[#This Row],[Colonne131]]=$G60,ES60,Distances[[#This Row],[Colonne131]]+1)</f>
        <v>128</v>
      </c>
      <c r="EU60" s="17">
        <f>IF(Distances[[#This Row],[Colonne132]]=$G60,ET60,Distances[[#This Row],[Colonne132]]+1)</f>
        <v>129</v>
      </c>
      <c r="EV60" s="17">
        <f>IF(Distances[[#This Row],[Colonne133]]=$G60,EU60,Distances[[#This Row],[Colonne133]]+1)</f>
        <v>130</v>
      </c>
      <c r="EW60" s="17">
        <f>IF(Distances[[#This Row],[Colonne134]]=$G60,EV60,Distances[[#This Row],[Colonne134]]+1)</f>
        <v>131</v>
      </c>
      <c r="EX60" s="17">
        <f>IF(Distances[[#This Row],[Colonne135]]=$G60,EW60,Distances[[#This Row],[Colonne135]]+1)</f>
        <v>132</v>
      </c>
      <c r="EY60" s="17">
        <f>IF(Distances[[#This Row],[Colonne136]]=$G60,EX60,Distances[[#This Row],[Colonne136]]+1)</f>
        <v>133</v>
      </c>
      <c r="EZ60" s="17">
        <f>IF(Distances[[#This Row],[Colonne137]]=$G60,EY60,Distances[[#This Row],[Colonne137]]+1)</f>
        <v>134</v>
      </c>
      <c r="FA60" s="17">
        <f>IF(Distances[[#This Row],[Colonne138]]=$G60,EZ60,Distances[[#This Row],[Colonne138]]+1)</f>
        <v>135</v>
      </c>
      <c r="FB60" s="17">
        <f>IF(Distances[[#This Row],[Colonne139]]=$G60,FA60,Distances[[#This Row],[Colonne139]]+1)</f>
        <v>136</v>
      </c>
      <c r="FC60" s="17">
        <f>IF(Distances[[#This Row],[Colonne140]]=$G60,FB60,Distances[[#This Row],[Colonne140]]+1)</f>
        <v>137</v>
      </c>
      <c r="FD60" s="17">
        <f>IF(Distances[[#This Row],[Colonne141]]=$G60,FC60,Distances[[#This Row],[Colonne141]]+1)</f>
        <v>138</v>
      </c>
      <c r="FE60" s="17">
        <f>IF(Distances[[#This Row],[Colonne142]]=$G60,FD60,Distances[[#This Row],[Colonne142]]+1)</f>
        <v>139</v>
      </c>
      <c r="FF60" s="17">
        <f>IF(Distances[[#This Row],[Colonne143]]=$G60,FE60,Distances[[#This Row],[Colonne143]]+1)</f>
        <v>140</v>
      </c>
      <c r="FG60" s="17">
        <f>IF(Distances[[#This Row],[Colonne144]]=$G60,FF60,Distances[[#This Row],[Colonne144]]+1)</f>
        <v>141</v>
      </c>
      <c r="FH60" s="17">
        <f>IF(Distances[[#This Row],[Colonne145]]=$G60,FG60,Distances[[#This Row],[Colonne145]]+1)</f>
        <v>142</v>
      </c>
      <c r="FI60" s="17">
        <f>IF(Distances[[#This Row],[Colonne146]]=$G60,FH60,Distances[[#This Row],[Colonne146]]+1)</f>
        <v>143</v>
      </c>
      <c r="FJ60" s="17">
        <f>IF(Distances[[#This Row],[Colonne147]]=$G60,FI60,Distances[[#This Row],[Colonne147]]+1)</f>
        <v>144</v>
      </c>
      <c r="FK60" s="17">
        <f>IF(Distances[[#This Row],[Colonne148]]=$G60,FJ60,Distances[[#This Row],[Colonne148]]+1)</f>
        <v>145</v>
      </c>
      <c r="FL60" s="17">
        <f>IF(Distances[[#This Row],[Colonne149]]=$G60,FK60,Distances[[#This Row],[Colonne149]]+1)</f>
        <v>146</v>
      </c>
      <c r="FM60" s="17">
        <f>IF(Distances[[#This Row],[Colonne150]]=$G60,FL60,Distances[[#This Row],[Colonne150]]+1)</f>
        <v>147</v>
      </c>
      <c r="FN60" s="17">
        <f>IF(Distances[[#This Row],[Colonne151]]=$G60,FM60,Distances[[#This Row],[Colonne151]]+1)</f>
        <v>148</v>
      </c>
      <c r="FO60" s="17">
        <f>IF(Distances[[#This Row],[Colonne152]]=$G60,FN60,Distances[[#This Row],[Colonne152]]+1)</f>
        <v>149</v>
      </c>
      <c r="FP60" s="17">
        <f>IF(Distances[[#This Row],[Colonne153]]=$G60,FO60,Distances[[#This Row],[Colonne153]]+1)</f>
        <v>150</v>
      </c>
      <c r="FQ60" s="17">
        <f>IF(Distances[[#This Row],[Colonne154]]=$G60,FP60,Distances[[#This Row],[Colonne154]]+1)</f>
        <v>150</v>
      </c>
      <c r="FR60" s="17">
        <f>IF(Distances[[#This Row],[Colonne155]]=$G60,FQ60,Distances[[#This Row],[Colonne155]]+1)</f>
        <v>150</v>
      </c>
      <c r="FS60" s="17">
        <f>IF(Distances[[#This Row],[Colonne156]]=$G60,FR60,Distances[[#This Row],[Colonne156]]+1)</f>
        <v>150</v>
      </c>
      <c r="FT60" s="17">
        <f>IF(Distances[[#This Row],[Colonne157]]=$G60,FS60,Distances[[#This Row],[Colonne157]]+1)</f>
        <v>150</v>
      </c>
      <c r="FU60" s="17">
        <f>IF(Distances[[#This Row],[Colonne158]]=$G60,FT60,Distances[[#This Row],[Colonne158]]+1)</f>
        <v>150</v>
      </c>
      <c r="FV60" s="17">
        <f>IF(Distances[[#This Row],[Colonne159]]=$G60,FU60,Distances[[#This Row],[Colonne159]]+1)</f>
        <v>150</v>
      </c>
      <c r="FW60" s="17">
        <f>IF(Distances[[#This Row],[Colonne160]]=$G60,FV60,Distances[[#This Row],[Colonne160]]+1)</f>
        <v>150</v>
      </c>
      <c r="FX60" s="17">
        <f>IF(Distances[[#This Row],[Colonne161]]=$G60,FW60,Distances[[#This Row],[Colonne161]]+1)</f>
        <v>150</v>
      </c>
      <c r="FY60" s="17">
        <f>IF(Distances[[#This Row],[Colonne162]]=$G60,FX60,Distances[[#This Row],[Colonne162]]+1)</f>
        <v>150</v>
      </c>
      <c r="FZ60" s="17">
        <f>IF(Distances[[#This Row],[Colonne163]]=$G60,FY60,Distances[[#This Row],[Colonne163]]+1)</f>
        <v>150</v>
      </c>
      <c r="GA60" s="17">
        <f>IF(Distances[[#This Row],[Colonne164]]=$G60,FZ60,Distances[[#This Row],[Colonne164]]+1)</f>
        <v>150</v>
      </c>
      <c r="GB60" s="17">
        <f>IF(Distances[[#This Row],[Colonne165]]=$G60,GA60,Distances[[#This Row],[Colonne165]]+1)</f>
        <v>150</v>
      </c>
      <c r="GC60" s="17">
        <f>IF(Distances[[#This Row],[Colonne166]]=$G60,GB60,Distances[[#This Row],[Colonne166]]+1)</f>
        <v>150</v>
      </c>
      <c r="GD60" s="17">
        <f>IF(Distances[[#This Row],[Colonne167]]=$G60,GC60,Distances[[#This Row],[Colonne167]]+1)</f>
        <v>150</v>
      </c>
      <c r="GE60" s="17">
        <f>IF(Distances[[#This Row],[Colonne168]]=$G60,GD60,Distances[[#This Row],[Colonne168]]+1)</f>
        <v>150</v>
      </c>
      <c r="GF60" s="17">
        <f>IF(Distances[[#This Row],[Colonne169]]=$G60,GE60,Distances[[#This Row],[Colonne169]]+1)</f>
        <v>150</v>
      </c>
      <c r="GG60" s="17">
        <f>IF(Distances[[#This Row],[Colonne170]]=$G60,GF60,Distances[[#This Row],[Colonne170]]+1)</f>
        <v>150</v>
      </c>
      <c r="GH60" s="17">
        <f>IF(Distances[[#This Row],[Colonne171]]=$G60,GG60,Distances[[#This Row],[Colonne171]]+1)</f>
        <v>150</v>
      </c>
      <c r="GI60" s="17">
        <f>IF(Distances[[#This Row],[Colonne172]]=$G60,GH60,Distances[[#This Row],[Colonne172]]+1)</f>
        <v>150</v>
      </c>
      <c r="GJ60" s="17">
        <f>IF(Distances[[#This Row],[Colonne173]]=$G60,GI60,Distances[[#This Row],[Colonne173]]+1)</f>
        <v>150</v>
      </c>
      <c r="GK60" s="17">
        <f>IF(Distances[[#This Row],[Colonne174]]=$G60,GJ60,Distances[[#This Row],[Colonne174]]+1)</f>
        <v>150</v>
      </c>
      <c r="GL60" s="17">
        <f>IF(Distances[[#This Row],[Colonne175]]=$G60,GK60,Distances[[#This Row],[Colonne175]]+1)</f>
        <v>150</v>
      </c>
      <c r="GM60" s="17">
        <f>IF(Distances[[#This Row],[Colonne176]]=$G60,GL60,Distances[[#This Row],[Colonne176]]+1)</f>
        <v>150</v>
      </c>
      <c r="GN60" s="17">
        <f>IF(Distances[[#This Row],[Colonne177]]=$G60,GM60,Distances[[#This Row],[Colonne177]]+1)</f>
        <v>150</v>
      </c>
      <c r="GO60" s="17">
        <f>IF(Distances[[#This Row],[Colonne178]]=$G60,GN60,Distances[[#This Row],[Colonne178]]+1)</f>
        <v>150</v>
      </c>
      <c r="GP60" s="17">
        <f>IF(Distances[[#This Row],[Colonne179]]=$G60,GO60,Distances[[#This Row],[Colonne179]]+1)</f>
        <v>150</v>
      </c>
      <c r="GQ60" s="17">
        <f>IF(Distances[[#This Row],[Colonne180]]=$G60,GP60,Distances[[#This Row],[Colonne180]]+1)</f>
        <v>150</v>
      </c>
      <c r="GR60" s="17">
        <f>IF(Distances[[#This Row],[Colonne181]]=$G60,GQ60,Distances[[#This Row],[Colonne181]]+1)</f>
        <v>150</v>
      </c>
      <c r="GS60" s="17">
        <f>IF(Distances[[#This Row],[Colonne182]]=$G60,GR60,Distances[[#This Row],[Colonne182]]+1)</f>
        <v>150</v>
      </c>
      <c r="GT60" s="17">
        <f>IF(Distances[[#This Row],[Colonne183]]=$G60,GS60,Distances[[#This Row],[Colonne183]]+1)</f>
        <v>150</v>
      </c>
      <c r="GU60" s="17">
        <f>IF(Distances[[#This Row],[Colonne184]]=$G60,GT60,Distances[[#This Row],[Colonne184]]+1)</f>
        <v>150</v>
      </c>
      <c r="GV60" s="17">
        <f>IF(Distances[[#This Row],[Colonne185]]=$G60,GU60,Distances[[#This Row],[Colonne185]]+1)</f>
        <v>150</v>
      </c>
      <c r="GW60" s="17">
        <f>IF(Distances[[#This Row],[Colonne186]]=$G60,GV60,Distances[[#This Row],[Colonne186]]+1)</f>
        <v>150</v>
      </c>
      <c r="GX60" s="17">
        <f>IF(Distances[[#This Row],[Colonne187]]=$G60,GW60,Distances[[#This Row],[Colonne187]]+1)</f>
        <v>150</v>
      </c>
      <c r="GY60" s="17">
        <f>IF(Distances[[#This Row],[Colonne188]]=$G60,GX60,Distances[[#This Row],[Colonne188]]+1)</f>
        <v>150</v>
      </c>
      <c r="GZ60" s="17">
        <f>IF(Distances[[#This Row],[Colonne189]]=$G60,GY60,Distances[[#This Row],[Colonne189]]+1)</f>
        <v>150</v>
      </c>
      <c r="HA60" s="17">
        <f>IF(Distances[[#This Row],[Colonne190]]=$G60,GZ60,Distances[[#This Row],[Colonne190]]+1)</f>
        <v>150</v>
      </c>
      <c r="HB60" s="17">
        <f>IF(Distances[[#This Row],[Colonne191]]=$G60,HA60,Distances[[#This Row],[Colonne191]]+1)</f>
        <v>150</v>
      </c>
      <c r="HC60" s="17">
        <f>IF(Distances[[#This Row],[Colonne192]]=$G60,HB60,Distances[[#This Row],[Colonne192]]+1)</f>
        <v>150</v>
      </c>
      <c r="HD60" s="17">
        <f>IF(Distances[[#This Row],[Colonne193]]=$G60,HC60,Distances[[#This Row],[Colonne193]]+1)</f>
        <v>150</v>
      </c>
      <c r="HE60" s="17">
        <f>IF(Distances[[#This Row],[Colonne194]]=$G60,HD60,Distances[[#This Row],[Colonne194]]+1)</f>
        <v>150</v>
      </c>
      <c r="HF60" s="17">
        <f>IF(Distances[[#This Row],[Colonne195]]=$G60,HE60,Distances[[#This Row],[Colonne195]]+1)</f>
        <v>150</v>
      </c>
      <c r="HG60" s="17">
        <f>IF(Distances[[#This Row],[Colonne196]]=$G60,HF60,Distances[[#This Row],[Colonne196]]+1)</f>
        <v>150</v>
      </c>
      <c r="HH60" s="17">
        <f>IF(Distances[[#This Row],[Colonne197]]=$G60,HG60,Distances[[#This Row],[Colonne197]]+1)</f>
        <v>150</v>
      </c>
      <c r="HI60" s="17">
        <f>IF(Distances[[#This Row],[Colonne198]]=$G60,HH60,Distances[[#This Row],[Colonne198]]+1)</f>
        <v>150</v>
      </c>
      <c r="HJ60" s="17">
        <f>IF(Distances[[#This Row],[Colonne199]]=$G60,HI60,Distances[[#This Row],[Colonne199]]+1)</f>
        <v>150</v>
      </c>
      <c r="HK60" s="17">
        <f>IF(Distances[[#This Row],[Colonne200]]=$G60,HJ60,Distances[[#This Row],[Colonne200]]+1)</f>
        <v>150</v>
      </c>
      <c r="HL60" s="17">
        <f>IF(Distances[[#This Row],[Colonne201]]=$G60,HK60,Distances[[#This Row],[Colonne201]]+1)</f>
        <v>150</v>
      </c>
      <c r="HM60" s="17">
        <f>IF(Distances[[#This Row],[Colonne202]]=$G60,HL60,Distances[[#This Row],[Colonne202]]+1)</f>
        <v>150</v>
      </c>
      <c r="HN60" s="17">
        <f>IF(Distances[[#This Row],[Colonne203]]=$G60,HM60,Distances[[#This Row],[Colonne203]]+1)</f>
        <v>150</v>
      </c>
      <c r="HO60" s="17">
        <f>IF(Distances[[#This Row],[Colonne204]]=$G60,HN60,Distances[[#This Row],[Colonne204]]+1)</f>
        <v>150</v>
      </c>
      <c r="HP60" s="17">
        <f>IF(Distances[[#This Row],[Colonne205]]=$G60,HO60,Distances[[#This Row],[Colonne205]]+1)</f>
        <v>150</v>
      </c>
      <c r="HQ60" s="17">
        <f>IF(Distances[[#This Row],[Colonne206]]=$G60,HP60,Distances[[#This Row],[Colonne206]]+1)</f>
        <v>150</v>
      </c>
      <c r="HR60" s="17">
        <f>IF(Distances[[#This Row],[Colonne207]]=$G60,HQ60,Distances[[#This Row],[Colonne207]]+1)</f>
        <v>150</v>
      </c>
      <c r="HS60" s="17">
        <f>IF(Distances[[#This Row],[Colonne208]]=$G60,HR60,Distances[[#This Row],[Colonne208]]+1)</f>
        <v>150</v>
      </c>
      <c r="HT60" s="17">
        <f>IF(Distances[[#This Row],[Colonne209]]=$G60,HS60,Distances[[#This Row],[Colonne209]]+1)</f>
        <v>150</v>
      </c>
      <c r="HU60" s="17">
        <f>IF(Distances[[#This Row],[Colonne210]]=$G60,HT60,Distances[[#This Row],[Colonne210]]+1)</f>
        <v>150</v>
      </c>
      <c r="HV60" s="17">
        <f>IF(Distances[[#This Row],[Colonne211]]=$G60,HU60,Distances[[#This Row],[Colonne211]]+1)</f>
        <v>150</v>
      </c>
      <c r="HW60" s="17">
        <f>IF(Distances[[#This Row],[Colonne212]]=$G60,HV60,Distances[[#This Row],[Colonne212]]+1)</f>
        <v>150</v>
      </c>
      <c r="HX60" s="17">
        <f>IF(Distances[[#This Row],[Colonne213]]=$G60,HW60,Distances[[#This Row],[Colonne213]]+1)</f>
        <v>150</v>
      </c>
      <c r="HY60" s="17">
        <f>IF(Distances[[#This Row],[Colonne214]]=$G60,HX60,Distances[[#This Row],[Colonne214]]+1)</f>
        <v>150</v>
      </c>
      <c r="HZ60" s="17">
        <f>IF(Distances[[#This Row],[Colonne215]]=$G60,HY60,Distances[[#This Row],[Colonne215]]+1)</f>
        <v>150</v>
      </c>
      <c r="IA60" s="17">
        <f>IF(Distances[[#This Row],[Colonne216]]=$G60,HZ60,Distances[[#This Row],[Colonne216]]+1)</f>
        <v>150</v>
      </c>
      <c r="IB60" s="17">
        <f>IF(Distances[[#This Row],[Colonne217]]=$G60,IA60,Distances[[#This Row],[Colonne217]]+1)</f>
        <v>150</v>
      </c>
      <c r="IC60" s="17">
        <f>IF(Distances[[#This Row],[Colonne218]]=$G60,IB60,Distances[[#This Row],[Colonne218]]+1)</f>
        <v>150</v>
      </c>
      <c r="ID60" s="17">
        <f>IF(Distances[[#This Row],[Colonne219]]=$G60,IC60,Distances[[#This Row],[Colonne219]]+1)</f>
        <v>150</v>
      </c>
      <c r="IE60" s="17">
        <f>IF(Distances[[#This Row],[Colonne220]]=$G60,ID60,Distances[[#This Row],[Colonne220]]+1)</f>
        <v>150</v>
      </c>
      <c r="IF60" s="17">
        <f>IF(Distances[[#This Row],[Colonne221]]=$G60,IE60,Distances[[#This Row],[Colonne221]]+1)</f>
        <v>150</v>
      </c>
      <c r="IG60" s="17">
        <f>IF(Distances[[#This Row],[Colonne222]]=$G60,IF60,Distances[[#This Row],[Colonne222]]+1)</f>
        <v>150</v>
      </c>
      <c r="IH60" s="17">
        <f>IF(Distances[[#This Row],[Colonne223]]=$G60,IG60,Distances[[#This Row],[Colonne223]]+1)</f>
        <v>150</v>
      </c>
      <c r="II60" s="17">
        <f>IF(Distances[[#This Row],[Colonne224]]=$G60,IH60,Distances[[#This Row],[Colonne224]]+1)</f>
        <v>150</v>
      </c>
      <c r="IJ60" s="17">
        <f>IF(Distances[[#This Row],[Colonne225]]=$G60,II60,Distances[[#This Row],[Colonne225]]+1)</f>
        <v>150</v>
      </c>
      <c r="IK60" s="17">
        <f>IF(Distances[[#This Row],[Colonne226]]=$G60,IJ60,Distances[[#This Row],[Colonne226]]+1)</f>
        <v>150</v>
      </c>
      <c r="IL60" s="17">
        <f>IF(Distances[[#This Row],[Colonne227]]=$G60,IK60,Distances[[#This Row],[Colonne227]]+1)</f>
        <v>150</v>
      </c>
      <c r="IM60" s="17">
        <f>IF(Distances[[#This Row],[Colonne228]]=$G60,IL60,Distances[[#This Row],[Colonne228]]+1)</f>
        <v>150</v>
      </c>
      <c r="IN60" s="17">
        <f>IF(Distances[[#This Row],[Colonne229]]=$G60,IM60,Distances[[#This Row],[Colonne229]]+1)</f>
        <v>150</v>
      </c>
      <c r="IO60" s="17">
        <f>IF(Distances[[#This Row],[Colonne230]]=$G60,IN60,Distances[[#This Row],[Colonne230]]+1)</f>
        <v>150</v>
      </c>
      <c r="IP60" s="17">
        <f>IF(Distances[[#This Row],[Colonne231]]=$G60,IO60,Distances[[#This Row],[Colonne231]]+1)</f>
        <v>150</v>
      </c>
      <c r="IQ60" s="17">
        <f>IF(Distances[[#This Row],[Colonne232]]=$G60,IP60,Distances[[#This Row],[Colonne232]]+1)</f>
        <v>150</v>
      </c>
      <c r="IR60" s="17">
        <f>IF(Distances[[#This Row],[Colonne233]]=$G60,IQ60,Distances[[#This Row],[Colonne233]]+1)</f>
        <v>150</v>
      </c>
      <c r="IS60" s="17">
        <f>IF(Distances[[#This Row],[Colonne234]]=$G60,IR60,Distances[[#This Row],[Colonne234]]+1)</f>
        <v>150</v>
      </c>
      <c r="IT60" s="17">
        <f>IF(Distances[[#This Row],[Colonne235]]=$G60,IS60,Distances[[#This Row],[Colonne235]]+1)</f>
        <v>150</v>
      </c>
      <c r="IU60" s="17">
        <f>IF(Distances[[#This Row],[Colonne236]]=$G60,IT60,Distances[[#This Row],[Colonne236]]+1)</f>
        <v>150</v>
      </c>
      <c r="IV60" s="17">
        <f>IF(Distances[[#This Row],[Colonne237]]=$G60,IU60,Distances[[#This Row],[Colonne237]]+1)</f>
        <v>150</v>
      </c>
      <c r="IW60" s="17">
        <f>IF(Distances[[#This Row],[Colonne238]]=$G60,IV60,Distances[[#This Row],[Colonne238]]+1)</f>
        <v>150</v>
      </c>
      <c r="IX60" s="17">
        <f>IF(Distances[[#This Row],[Colonne239]]=$G60,IW60,Distances[[#This Row],[Colonne239]]+1)</f>
        <v>150</v>
      </c>
      <c r="IY60" s="17">
        <f>IF(Distances[[#This Row],[Colonne240]]=$G60,IX60,Distances[[#This Row],[Colonne240]]+1)</f>
        <v>150</v>
      </c>
      <c r="IZ60" s="17">
        <f>IF(Distances[[#This Row],[Colonne241]]=$G60,IY60,Distances[[#This Row],[Colonne241]]+1)</f>
        <v>150</v>
      </c>
      <c r="JA60" s="17">
        <f>IF(Distances[[#This Row],[Colonne242]]=$G60,IZ60,Distances[[#This Row],[Colonne242]]+1)</f>
        <v>150</v>
      </c>
      <c r="JB60" s="17">
        <f>IF(Distances[[#This Row],[Colonne243]]=$G60,JA60,Distances[[#This Row],[Colonne243]]+1)</f>
        <v>150</v>
      </c>
      <c r="JC60" s="17">
        <f>IF(Distances[[#This Row],[Colonne244]]=$G60,JB60,Distances[[#This Row],[Colonne244]]+1)</f>
        <v>150</v>
      </c>
      <c r="JD60" s="17">
        <f>IF(Distances[[#This Row],[Colonne245]]=$G60,JC60,Distances[[#This Row],[Colonne245]]+1)</f>
        <v>150</v>
      </c>
      <c r="JE60" s="17">
        <f>IF(Distances[[#This Row],[Colonne246]]=$G60,JD60,Distances[[#This Row],[Colonne246]]+1)</f>
        <v>150</v>
      </c>
      <c r="JF60" s="17">
        <f>IF(Distances[[#This Row],[Colonne247]]=$G60,JE60,Distances[[#This Row],[Colonne247]]+1)</f>
        <v>150</v>
      </c>
      <c r="JG60" s="17">
        <f>IF(Distances[[#This Row],[Colonne248]]=$G60,JF60,Distances[[#This Row],[Colonne248]]+1)</f>
        <v>150</v>
      </c>
      <c r="JH60" s="17">
        <f>IF(Distances[[#This Row],[Colonne249]]=$G60,JG60,Distances[[#This Row],[Colonne249]]+1)</f>
        <v>150</v>
      </c>
      <c r="JI60" s="17">
        <f>IF(Distances[[#This Row],[Colonne250]]=$G60,JH60,Distances[[#This Row],[Colonne250]]+1)</f>
        <v>150</v>
      </c>
      <c r="JJ60" s="17">
        <f>IF(Distances[[#This Row],[Colonne251]]=$G60,JI60,Distances[[#This Row],[Colonne251]]+1)</f>
        <v>150</v>
      </c>
      <c r="JK60" s="17">
        <f>IF(Distances[[#This Row],[Colonne252]]=$G60,JJ60,Distances[[#This Row],[Colonne252]]+1)</f>
        <v>150</v>
      </c>
      <c r="JL60" s="17">
        <f>IF(Distances[[#This Row],[Colonne253]]=$G60,JK60,Distances[[#This Row],[Colonne253]]+1)</f>
        <v>150</v>
      </c>
      <c r="JM60" s="17">
        <f>IF(Distances[[#This Row],[Colonne254]]=$G60,JL60,Distances[[#This Row],[Colonne254]]+1)</f>
        <v>150</v>
      </c>
      <c r="JN60" s="17">
        <f>IF(Distances[[#This Row],[Colonne255]]=$G60,JM60,Distances[[#This Row],[Colonne255]]+1)</f>
        <v>150</v>
      </c>
      <c r="JO60" s="17">
        <f>IF(Distances[[#This Row],[Colonne256]]=$G60,JN60,Distances[[#This Row],[Colonne256]]+1)</f>
        <v>150</v>
      </c>
      <c r="JP60" s="17">
        <f>IF(Distances[[#This Row],[Colonne257]]=$G60,JO60,Distances[[#This Row],[Colonne257]]+1)</f>
        <v>150</v>
      </c>
      <c r="JQ60" s="17">
        <f>IF(Distances[[#This Row],[Colonne258]]=$G60,JP60,Distances[[#This Row],[Colonne258]]+1)</f>
        <v>150</v>
      </c>
      <c r="JR60" s="17">
        <f>IF(Distances[[#This Row],[Colonne259]]=$G60,JQ60,Distances[[#This Row],[Colonne259]]+1)</f>
        <v>150</v>
      </c>
      <c r="JS60" s="17">
        <f>IF(Distances[[#This Row],[Colonne260]]=$G60,JR60,Distances[[#This Row],[Colonne260]]+1)</f>
        <v>150</v>
      </c>
      <c r="JT60" s="17">
        <f>IF(Distances[[#This Row],[Colonne261]]=$G60,JS60,Distances[[#This Row],[Colonne261]]+1)</f>
        <v>150</v>
      </c>
      <c r="JU60" s="17">
        <f>IF(Distances[[#This Row],[Colonne262]]=$G60,JT60,Distances[[#This Row],[Colonne262]]+1)</f>
        <v>150</v>
      </c>
      <c r="JV60" s="17">
        <f>IF(Distances[[#This Row],[Colonne263]]=$G60,JU60,Distances[[#This Row],[Colonne263]]+1)</f>
        <v>150</v>
      </c>
      <c r="JW60" s="17">
        <f>IF(Distances[[#This Row],[Colonne264]]=$G60,JV60,Distances[[#This Row],[Colonne264]]+1)</f>
        <v>150</v>
      </c>
      <c r="JX60" s="17">
        <f>IF(Distances[[#This Row],[Colonne265]]=$G60,JW60,Distances[[#This Row],[Colonne265]]+1)</f>
        <v>150</v>
      </c>
      <c r="JY60" s="17">
        <f>IF(Distances[[#This Row],[Colonne266]]=$G60,JX60,Distances[[#This Row],[Colonne266]]+1)</f>
        <v>150</v>
      </c>
      <c r="JZ60" s="17">
        <f>IF(Distances[[#This Row],[Colonne267]]=$G60,JY60,Distances[[#This Row],[Colonne267]]+1)</f>
        <v>150</v>
      </c>
      <c r="KA60" s="17">
        <f>IF(Distances[[#This Row],[Colonne268]]=$G60,JZ60,Distances[[#This Row],[Colonne268]]+1)</f>
        <v>150</v>
      </c>
      <c r="KB60" s="17">
        <f>IF(Distances[[#This Row],[Colonne269]]=$G60,KA60,Distances[[#This Row],[Colonne269]]+1)</f>
        <v>150</v>
      </c>
      <c r="KC60" s="17">
        <f>IF(Distances[[#This Row],[Colonne270]]=$G60,KB60,Distances[[#This Row],[Colonne270]]+1)</f>
        <v>150</v>
      </c>
      <c r="KD60" s="17">
        <f>IF(Distances[[#This Row],[Colonne271]]=$G60,KC60,Distances[[#This Row],[Colonne271]]+1)</f>
        <v>150</v>
      </c>
      <c r="KE60" s="17">
        <f>IF(Distances[[#This Row],[Colonne272]]=$G60,KD60,Distances[[#This Row],[Colonne272]]+1)</f>
        <v>150</v>
      </c>
      <c r="KF60" s="17">
        <f>IF(Distances[[#This Row],[Colonne273]]=$G60,KE60,Distances[[#This Row],[Colonne273]]+1)</f>
        <v>150</v>
      </c>
      <c r="KG60" s="17">
        <f>IF(Distances[[#This Row],[Colonne274]]=$G60,KF60,Distances[[#This Row],[Colonne274]]+1)</f>
        <v>150</v>
      </c>
      <c r="KH60" s="17">
        <f>IF(Distances[[#This Row],[Colonne275]]=$G60,KG60,Distances[[#This Row],[Colonne275]]+1)</f>
        <v>150</v>
      </c>
      <c r="KI60" s="17">
        <f>IF(Distances[[#This Row],[Colonne276]]=$G60,KH60,Distances[[#This Row],[Colonne276]]+1)</f>
        <v>150</v>
      </c>
      <c r="KJ60" s="17">
        <f>IF(Distances[[#This Row],[Colonne277]]=$G60,KI60,Distances[[#This Row],[Colonne277]]+1)</f>
        <v>150</v>
      </c>
      <c r="KK60" s="17">
        <f>IF(Distances[[#This Row],[Colonne278]]=$G60,KJ60,Distances[[#This Row],[Colonne278]]+1)</f>
        <v>150</v>
      </c>
      <c r="KL60" s="17">
        <f>IF(Distances[[#This Row],[Colonne279]]=$G60,KK60,Distances[[#This Row],[Colonne279]]+1)</f>
        <v>150</v>
      </c>
      <c r="KM60" s="17">
        <f>IF(Distances[[#This Row],[Colonne280]]=$G60,KL60,Distances[[#This Row],[Colonne280]]+1)</f>
        <v>150</v>
      </c>
      <c r="KN60" s="17">
        <f>IF(Distances[[#This Row],[Colonne281]]=$G60,KM60,Distances[[#This Row],[Colonne281]]+1)</f>
        <v>150</v>
      </c>
      <c r="KO60" s="17">
        <f>IF(Distances[[#This Row],[Colonne282]]=$G60,KN60,Distances[[#This Row],[Colonne282]]+1)</f>
        <v>150</v>
      </c>
      <c r="KP60" s="17">
        <f>IF(Distances[[#This Row],[Colonne283]]=$G60,KO60,Distances[[#This Row],[Colonne283]]+1)</f>
        <v>150</v>
      </c>
      <c r="KQ60" s="17">
        <f>IF(Distances[[#This Row],[Colonne284]]=$G60,KP60,Distances[[#This Row],[Colonne284]]+1)</f>
        <v>150</v>
      </c>
      <c r="KR60" s="17">
        <f>IF(Distances[[#This Row],[Colonne285]]=$G60,KQ60,Distances[[#This Row],[Colonne285]]+1)</f>
        <v>150</v>
      </c>
      <c r="KS60" s="17">
        <f>IF(Distances[[#This Row],[Colonne286]]=$G60,KR60,Distances[[#This Row],[Colonne286]]+1)</f>
        <v>150</v>
      </c>
      <c r="KT60" s="17">
        <f>IF(Distances[[#This Row],[Colonne287]]=$G60,KS60,Distances[[#This Row],[Colonne287]]+1)</f>
        <v>150</v>
      </c>
      <c r="KU60" s="17">
        <f>IF(Distances[[#This Row],[Colonne288]]=$G60,KT60,Distances[[#This Row],[Colonne288]]+1)</f>
        <v>150</v>
      </c>
      <c r="KV60" s="17">
        <f>IF(Distances[[#This Row],[Colonne289]]=$G60,KU60,Distances[[#This Row],[Colonne289]]+1)</f>
        <v>150</v>
      </c>
      <c r="KW60" s="17">
        <f>IF(Distances[[#This Row],[Colonne290]]=$G60,KV60,Distances[[#This Row],[Colonne290]]+1)</f>
        <v>150</v>
      </c>
      <c r="KX60" s="17">
        <f>IF(Distances[[#This Row],[Colonne291]]=$G60,KW60,Distances[[#This Row],[Colonne291]]+1)</f>
        <v>150</v>
      </c>
      <c r="KY60" s="17">
        <f>IF(Distances[[#This Row],[Colonne292]]=$G60,KX60,Distances[[#This Row],[Colonne292]]+1)</f>
        <v>150</v>
      </c>
      <c r="KZ60" s="17">
        <f>IF(Distances[[#This Row],[Colonne293]]=$G60,KY60,Distances[[#This Row],[Colonne293]]+1)</f>
        <v>150</v>
      </c>
      <c r="LA60" s="17">
        <f>IF(Distances[[#This Row],[Colonne294]]=$G60,KZ60,Distances[[#This Row],[Colonne294]]+1)</f>
        <v>150</v>
      </c>
      <c r="LB60" s="17">
        <f>IF(Distances[[#This Row],[Colonne295]]=$G60,LA60,Distances[[#This Row],[Colonne295]]+1)</f>
        <v>150</v>
      </c>
      <c r="LC60" s="17">
        <f>IF(Distances[[#This Row],[Colonne296]]=$G60,LB60,Distances[[#This Row],[Colonne296]]+1)</f>
        <v>150</v>
      </c>
      <c r="LD60" s="17">
        <f>IF(Distances[[#This Row],[Colonne297]]=$G60,LC60,Distances[[#This Row],[Colonne297]]+1)</f>
        <v>150</v>
      </c>
      <c r="LE60" s="17">
        <f>IF(Distances[[#This Row],[Colonne298]]=$G60,LD60,Distances[[#This Row],[Colonne298]]+1)</f>
        <v>150</v>
      </c>
      <c r="LF60" s="17">
        <f>IF(Distances[[#This Row],[Colonne299]]=$G60,LE60,Distances[[#This Row],[Colonne299]]+1)</f>
        <v>150</v>
      </c>
      <c r="LG60" s="17">
        <f>IF(Distances[[#This Row],[Colonne300]]=$G60,LF60,Distances[[#This Row],[Colonne300]]+1)</f>
        <v>150</v>
      </c>
      <c r="LH60" s="17">
        <f>IF(Distances[[#This Row],[Colonne301]]=$G60,LG60,Distances[[#This Row],[Colonne301]]+1)</f>
        <v>150</v>
      </c>
      <c r="LI60" s="17">
        <f>IF(Distances[[#This Row],[Colonne302]]=$G60,LH60,Distances[[#This Row],[Colonne302]]+1)</f>
        <v>150</v>
      </c>
      <c r="LJ60" s="17">
        <f>IF(Distances[[#This Row],[Colonne303]]=$G60,LI60,Distances[[#This Row],[Colonne303]]+1)</f>
        <v>150</v>
      </c>
      <c r="LK60" s="51"/>
      <c r="LL60" s="17">
        <f t="shared" si="118"/>
        <v>1</v>
      </c>
      <c r="LM60" s="17">
        <f t="shared" si="118"/>
        <v>2</v>
      </c>
      <c r="LN60" s="17">
        <f t="shared" si="118"/>
        <v>3</v>
      </c>
      <c r="LO60" s="17">
        <f t="shared" si="118"/>
        <v>4</v>
      </c>
      <c r="LP60" s="17">
        <f t="shared" si="118"/>
        <v>5</v>
      </c>
      <c r="LQ60" s="17">
        <f t="shared" si="118"/>
        <v>6</v>
      </c>
      <c r="LR60" s="17">
        <f t="shared" si="118"/>
        <v>7</v>
      </c>
      <c r="LS60" s="17">
        <f t="shared" si="118"/>
        <v>8</v>
      </c>
      <c r="LT60" s="17">
        <f t="shared" si="118"/>
        <v>9</v>
      </c>
      <c r="LU60" s="17">
        <f t="shared" si="118"/>
        <v>10</v>
      </c>
      <c r="LV60" s="17">
        <f t="shared" si="118"/>
        <v>11</v>
      </c>
      <c r="LW60" s="17">
        <f t="shared" si="118"/>
        <v>12</v>
      </c>
      <c r="LX60" s="17">
        <f t="shared" si="118"/>
        <v>13</v>
      </c>
      <c r="LY60" s="17">
        <f t="shared" si="118"/>
        <v>14</v>
      </c>
      <c r="LZ60" s="17">
        <f t="shared" si="118"/>
        <v>15</v>
      </c>
      <c r="MA60" s="17">
        <f t="shared" si="118"/>
        <v>15</v>
      </c>
      <c r="MB60" s="17">
        <f t="shared" si="118"/>
        <v>15</v>
      </c>
      <c r="MC60" s="17">
        <f t="shared" si="118"/>
        <v>15</v>
      </c>
      <c r="MD60" s="17">
        <f t="shared" si="118"/>
        <v>15</v>
      </c>
      <c r="ME60" s="17">
        <f t="shared" si="118"/>
        <v>15</v>
      </c>
      <c r="MF60" s="17">
        <f t="shared" si="118"/>
        <v>15</v>
      </c>
      <c r="MG60" s="17">
        <f t="shared" si="118"/>
        <v>15</v>
      </c>
      <c r="MH60" s="17">
        <f t="shared" si="118"/>
        <v>15</v>
      </c>
      <c r="MI60" s="17">
        <f t="shared" si="118"/>
        <v>15</v>
      </c>
      <c r="MJ60" s="17">
        <f t="shared" si="118"/>
        <v>15</v>
      </c>
      <c r="MK60" s="17">
        <f t="shared" si="118"/>
        <v>15</v>
      </c>
      <c r="ML60" s="17">
        <f t="shared" si="118"/>
        <v>15</v>
      </c>
      <c r="MM60" s="17">
        <f t="shared" si="118"/>
        <v>15</v>
      </c>
      <c r="MN60" s="17">
        <f t="shared" si="118"/>
        <v>15</v>
      </c>
      <c r="MO60" s="17">
        <f t="shared" si="118"/>
        <v>15</v>
      </c>
      <c r="MP60" s="17">
        <f t="shared" si="118"/>
        <v>15</v>
      </c>
      <c r="MQ60" s="17">
        <f t="shared" si="118"/>
        <v>15</v>
      </c>
      <c r="MR60" s="17">
        <f t="shared" si="118"/>
        <v>15</v>
      </c>
      <c r="MS60" s="17">
        <f t="shared" si="118"/>
        <v>15</v>
      </c>
      <c r="MT60" s="17">
        <f t="shared" si="118"/>
        <v>15</v>
      </c>
      <c r="MU60" s="17">
        <f t="shared" si="118"/>
        <v>15</v>
      </c>
      <c r="MV60" s="17">
        <f t="shared" si="118"/>
        <v>15</v>
      </c>
      <c r="MW60" s="17">
        <f t="shared" si="118"/>
        <v>15</v>
      </c>
      <c r="MX60" s="17">
        <f t="shared" si="118"/>
        <v>15</v>
      </c>
      <c r="MY60" s="17">
        <f t="shared" si="118"/>
        <v>15</v>
      </c>
      <c r="MZ60" s="17">
        <f t="shared" si="118"/>
        <v>15</v>
      </c>
      <c r="NA60" s="17">
        <f t="shared" si="118"/>
        <v>15</v>
      </c>
      <c r="NB60" s="17">
        <f t="shared" si="118"/>
        <v>15</v>
      </c>
      <c r="NC60" s="17">
        <f t="shared" si="118"/>
        <v>15</v>
      </c>
      <c r="ND60" s="17">
        <f t="shared" si="118"/>
        <v>15</v>
      </c>
      <c r="NE60" s="17">
        <f t="shared" si="118"/>
        <v>15</v>
      </c>
      <c r="NF60" s="17">
        <f t="shared" si="118"/>
        <v>15</v>
      </c>
      <c r="NG60" s="17">
        <f t="shared" si="118"/>
        <v>15</v>
      </c>
      <c r="NH60" s="17">
        <f t="shared" si="118"/>
        <v>15</v>
      </c>
      <c r="NI60" s="17">
        <f t="shared" si="118"/>
        <v>15</v>
      </c>
      <c r="NJ60" s="17">
        <f t="shared" si="118"/>
        <v>15</v>
      </c>
      <c r="NK60" s="17">
        <f t="shared" si="118"/>
        <v>15</v>
      </c>
      <c r="NL60" s="17">
        <f t="shared" si="118"/>
        <v>15</v>
      </c>
      <c r="NM60" s="17">
        <f t="shared" si="118"/>
        <v>15</v>
      </c>
      <c r="NN60" s="17">
        <f t="shared" si="118"/>
        <v>15</v>
      </c>
      <c r="NO60" s="17">
        <f t="shared" si="118"/>
        <v>15</v>
      </c>
      <c r="NP60" s="17">
        <f t="shared" si="118"/>
        <v>15</v>
      </c>
      <c r="NQ60" s="17">
        <f t="shared" si="118"/>
        <v>15</v>
      </c>
      <c r="NR60" s="17">
        <f t="shared" si="118"/>
        <v>15</v>
      </c>
      <c r="NS60" s="17">
        <f t="shared" si="118"/>
        <v>15</v>
      </c>
      <c r="NT60" s="17">
        <f t="shared" si="118"/>
        <v>15</v>
      </c>
      <c r="NU60" s="17">
        <f t="shared" si="118"/>
        <v>15</v>
      </c>
      <c r="NV60" s="17">
        <f t="shared" si="118"/>
        <v>15</v>
      </c>
      <c r="NW60" s="17">
        <f t="shared" si="118"/>
        <v>15</v>
      </c>
      <c r="NX60" s="17">
        <f t="shared" si="119"/>
        <v>15</v>
      </c>
      <c r="NY60" s="17">
        <f t="shared" si="119"/>
        <v>15</v>
      </c>
      <c r="NZ60" s="17">
        <f t="shared" si="119"/>
        <v>15</v>
      </c>
      <c r="OA60" s="17">
        <f t="shared" si="119"/>
        <v>15</v>
      </c>
      <c r="OB60" s="17">
        <f t="shared" si="119"/>
        <v>15</v>
      </c>
      <c r="OC60" s="17">
        <f t="shared" si="119"/>
        <v>15</v>
      </c>
      <c r="OD60" s="17">
        <f t="shared" si="119"/>
        <v>15</v>
      </c>
      <c r="OE60" s="17">
        <f t="shared" si="119"/>
        <v>15</v>
      </c>
      <c r="OF60" s="17">
        <f t="shared" si="119"/>
        <v>15</v>
      </c>
      <c r="OG60" s="17">
        <f t="shared" si="119"/>
        <v>15</v>
      </c>
      <c r="OH60" s="17">
        <f t="shared" si="119"/>
        <v>15</v>
      </c>
      <c r="OI60" s="17">
        <f t="shared" si="119"/>
        <v>15</v>
      </c>
      <c r="OJ60" s="17">
        <f t="shared" si="119"/>
        <v>15</v>
      </c>
      <c r="OK60" s="17">
        <f t="shared" si="119"/>
        <v>15</v>
      </c>
      <c r="OL60" s="17">
        <f t="shared" si="119"/>
        <v>15</v>
      </c>
      <c r="OM60" s="17">
        <f t="shared" si="119"/>
        <v>15</v>
      </c>
      <c r="ON60" s="17">
        <f t="shared" si="119"/>
        <v>15</v>
      </c>
      <c r="OO60" s="17">
        <f t="shared" si="119"/>
        <v>15</v>
      </c>
      <c r="OP60" s="17">
        <f t="shared" si="119"/>
        <v>15</v>
      </c>
      <c r="OQ60" s="17">
        <f t="shared" si="119"/>
        <v>15</v>
      </c>
      <c r="OR60" s="17">
        <f t="shared" si="119"/>
        <v>15</v>
      </c>
      <c r="OS60" s="17">
        <f t="shared" si="119"/>
        <v>15</v>
      </c>
      <c r="OT60" s="17">
        <f t="shared" si="119"/>
        <v>15</v>
      </c>
      <c r="OU60" s="17">
        <f t="shared" si="119"/>
        <v>15</v>
      </c>
      <c r="OV60" s="17">
        <f t="shared" si="119"/>
        <v>15</v>
      </c>
      <c r="OW60" s="17">
        <f t="shared" si="119"/>
        <v>15</v>
      </c>
      <c r="OX60" s="17">
        <f t="shared" si="119"/>
        <v>15</v>
      </c>
      <c r="OY60" s="17">
        <f t="shared" si="119"/>
        <v>15</v>
      </c>
      <c r="OZ60" s="17">
        <f t="shared" si="119"/>
        <v>15</v>
      </c>
      <c r="PA60" s="17">
        <f t="shared" si="119"/>
        <v>15</v>
      </c>
      <c r="PB60" s="17">
        <f t="shared" si="119"/>
        <v>15</v>
      </c>
      <c r="PC60" s="17">
        <f t="shared" si="119"/>
        <v>15</v>
      </c>
      <c r="PD60" s="17">
        <f t="shared" si="119"/>
        <v>15</v>
      </c>
      <c r="PE60" s="17">
        <f t="shared" si="119"/>
        <v>15</v>
      </c>
      <c r="PF60" s="17">
        <f t="shared" si="119"/>
        <v>15</v>
      </c>
      <c r="PG60" s="17">
        <f t="shared" si="119"/>
        <v>15</v>
      </c>
    </row>
    <row r="61" spans="1:423" x14ac:dyDescent="0.25">
      <c r="A61" s="8" t="s">
        <v>5506</v>
      </c>
      <c r="B61" s="9" t="s">
        <v>24</v>
      </c>
      <c r="C61" s="9" t="str">
        <f t="shared" si="120"/>
        <v>CN1</v>
      </c>
      <c r="D61" s="1" t="str">
        <f t="shared" si="121"/>
        <v>Cadre N1</v>
      </c>
      <c r="E61" s="1" t="s">
        <v>9865</v>
      </c>
      <c r="F61" s="9" t="s">
        <v>11148</v>
      </c>
      <c r="G61" s="9">
        <v>120</v>
      </c>
      <c r="H61" s="9">
        <v>12</v>
      </c>
      <c r="I61" s="127">
        <v>3.1</v>
      </c>
      <c r="J61" s="30"/>
      <c r="K61" s="10" t="s">
        <v>5539</v>
      </c>
      <c r="L61" s="8">
        <v>10</v>
      </c>
      <c r="M61" s="9">
        <v>10</v>
      </c>
      <c r="N61" s="10">
        <v>19.998999999999999</v>
      </c>
      <c r="O61" s="269">
        <v>1</v>
      </c>
      <c r="P61" s="331">
        <v>1</v>
      </c>
      <c r="Q61" s="335">
        <v>2</v>
      </c>
      <c r="R61" s="8"/>
      <c r="S61" s="9"/>
      <c r="T61" s="10"/>
      <c r="U61" t="s">
        <v>5523</v>
      </c>
      <c r="V61" s="17">
        <v>0</v>
      </c>
      <c r="W61" s="17">
        <f>IF(Distances[[#This Row],[Colonne4]]=$G61,V61,Distances[[#This Row],[Colonne4]]+1)</f>
        <v>1</v>
      </c>
      <c r="X61" s="17">
        <f>IF(Distances[[#This Row],[Colonne5]]=$G61,W61,Distances[[#This Row],[Colonne5]]+1)</f>
        <v>2</v>
      </c>
      <c r="Y61" s="17">
        <f>IF(Distances[[#This Row],[Colonne6]]=$G61,X61,Distances[[#This Row],[Colonne6]]+1)</f>
        <v>3</v>
      </c>
      <c r="Z61" s="17">
        <f>IF(Distances[[#This Row],[Colonne7]]=$G61,Y61,Distances[[#This Row],[Colonne7]]+1)</f>
        <v>4</v>
      </c>
      <c r="AA61" s="17">
        <f>IF(Distances[[#This Row],[Colonne8]]=$G61,Z61,Distances[[#This Row],[Colonne8]]+1)</f>
        <v>5</v>
      </c>
      <c r="AB61" s="17">
        <f>IF(Distances[[#This Row],[Colonne9]]=$G61,AA61,Distances[[#This Row],[Colonne9]]+1)</f>
        <v>6</v>
      </c>
      <c r="AC61" s="17">
        <f>IF(Distances[[#This Row],[Colonne10]]=$G61,AB61,Distances[[#This Row],[Colonne10]]+1)</f>
        <v>7</v>
      </c>
      <c r="AD61" s="17">
        <f>IF(Distances[[#This Row],[Colonne11]]=$G61,AC61,Distances[[#This Row],[Colonne11]]+1)</f>
        <v>8</v>
      </c>
      <c r="AE61" s="17">
        <f>IF(Distances[[#This Row],[Colonne12]]=$G61,AD61,Distances[[#This Row],[Colonne12]]+1)</f>
        <v>9</v>
      </c>
      <c r="AF61" s="17">
        <f>IF(Distances[[#This Row],[Colonne13]]=$G61,AE61,Distances[[#This Row],[Colonne13]]+1)</f>
        <v>10</v>
      </c>
      <c r="AG61" s="17">
        <f>IF(Distances[[#This Row],[Colonne14]]=$G61,AF61,Distances[[#This Row],[Colonne14]]+1)</f>
        <v>11</v>
      </c>
      <c r="AH61" s="17">
        <f>IF(Distances[[#This Row],[Colonne15]]=$G61,AG61,Distances[[#This Row],[Colonne15]]+1)</f>
        <v>12</v>
      </c>
      <c r="AI61" s="17">
        <f>IF(Distances[[#This Row],[Colonne16]]=$G61,AH61,Distances[[#This Row],[Colonne16]]+1)</f>
        <v>13</v>
      </c>
      <c r="AJ61" s="17">
        <f>IF(Distances[[#This Row],[Colonne17]]=$G61,AI61,Distances[[#This Row],[Colonne17]]+1)</f>
        <v>14</v>
      </c>
      <c r="AK61" s="17">
        <f>IF(Distances[[#This Row],[Colonne18]]=$G61,AJ61,Distances[[#This Row],[Colonne18]]+1)</f>
        <v>15</v>
      </c>
      <c r="AL61" s="17">
        <f>IF(Distances[[#This Row],[Colonne19]]=$G61,AK61,Distances[[#This Row],[Colonne19]]+1)</f>
        <v>16</v>
      </c>
      <c r="AM61" s="17">
        <f>IF(Distances[[#This Row],[Colonne20]]=$G61,AL61,Distances[[#This Row],[Colonne20]]+1)</f>
        <v>17</v>
      </c>
      <c r="AN61" s="17">
        <f>IF(Distances[[#This Row],[Colonne21]]=$G61,AM61,Distances[[#This Row],[Colonne21]]+1)</f>
        <v>18</v>
      </c>
      <c r="AO61" s="17">
        <f>IF(Distances[[#This Row],[Colonne22]]=$G61,AN61,Distances[[#This Row],[Colonne22]]+1)</f>
        <v>19</v>
      </c>
      <c r="AP61" s="17">
        <f>IF(Distances[[#This Row],[Colonne23]]=$G61,AO61,Distances[[#This Row],[Colonne23]]+1)</f>
        <v>20</v>
      </c>
      <c r="AQ61" s="17">
        <f>IF(Distances[[#This Row],[Colonne24]]=$G61,AP61,Distances[[#This Row],[Colonne24]]+1)</f>
        <v>21</v>
      </c>
      <c r="AR61" s="17">
        <f>IF(Distances[[#This Row],[Colonne25]]=$G61,AQ61,Distances[[#This Row],[Colonne25]]+1)</f>
        <v>22</v>
      </c>
      <c r="AS61" s="17">
        <f>IF(Distances[[#This Row],[Colonne26]]=$G61,AR61,Distances[[#This Row],[Colonne26]]+1)</f>
        <v>23</v>
      </c>
      <c r="AT61" s="17">
        <f>IF(Distances[[#This Row],[Colonne27]]=$G61,AS61,Distances[[#This Row],[Colonne27]]+1)</f>
        <v>24</v>
      </c>
      <c r="AU61" s="17">
        <f>IF(Distances[[#This Row],[Colonne28]]=$G61,AT61,Distances[[#This Row],[Colonne28]]+1)</f>
        <v>25</v>
      </c>
      <c r="AV61" s="17">
        <f>IF(Distances[[#This Row],[Colonne29]]=$G61,AU61,Distances[[#This Row],[Colonne29]]+1)</f>
        <v>26</v>
      </c>
      <c r="AW61" s="17">
        <f>IF(Distances[[#This Row],[Colonne30]]=$G61,AV61,Distances[[#This Row],[Colonne30]]+1)</f>
        <v>27</v>
      </c>
      <c r="AX61" s="17">
        <f>IF(Distances[[#This Row],[Colonne31]]=$G61,AW61,Distances[[#This Row],[Colonne31]]+1)</f>
        <v>28</v>
      </c>
      <c r="AY61" s="17">
        <f>IF(Distances[[#This Row],[Colonne32]]=$G61,AX61,Distances[[#This Row],[Colonne32]]+1)</f>
        <v>29</v>
      </c>
      <c r="AZ61" s="17">
        <f>IF(Distances[[#This Row],[Colonne33]]=$G61,AY61,Distances[[#This Row],[Colonne33]]+1)</f>
        <v>30</v>
      </c>
      <c r="BA61" s="17">
        <f>IF(Distances[[#This Row],[Colonne34]]=$G61,AZ61,Distances[[#This Row],[Colonne34]]+1)</f>
        <v>31</v>
      </c>
      <c r="BB61" s="17">
        <f>IF(Distances[[#This Row],[Colonne35]]=$G61,BA61,Distances[[#This Row],[Colonne35]]+1)</f>
        <v>32</v>
      </c>
      <c r="BC61" s="17">
        <f>IF(Distances[[#This Row],[Colonne36]]=$G61,BB61,Distances[[#This Row],[Colonne36]]+1)</f>
        <v>33</v>
      </c>
      <c r="BD61" s="17">
        <f>IF(Distances[[#This Row],[Colonne37]]=$G61,BC61,Distances[[#This Row],[Colonne37]]+1)</f>
        <v>34</v>
      </c>
      <c r="BE61" s="17">
        <f>IF(Distances[[#This Row],[Colonne38]]=$G61,BD61,Distances[[#This Row],[Colonne38]]+1)</f>
        <v>35</v>
      </c>
      <c r="BF61" s="17">
        <f>IF(Distances[[#This Row],[Colonne39]]=$G61,BE61,Distances[[#This Row],[Colonne39]]+1)</f>
        <v>36</v>
      </c>
      <c r="BG61" s="17">
        <f>IF(Distances[[#This Row],[Colonne40]]=$G61,BF61,Distances[[#This Row],[Colonne40]]+1)</f>
        <v>37</v>
      </c>
      <c r="BH61" s="17">
        <f>IF(Distances[[#This Row],[Colonne41]]=$G61,BG61,Distances[[#This Row],[Colonne41]]+1)</f>
        <v>38</v>
      </c>
      <c r="BI61" s="17">
        <f>IF(Distances[[#This Row],[Colonne42]]=$G61,BH61,Distances[[#This Row],[Colonne42]]+1)</f>
        <v>39</v>
      </c>
      <c r="BJ61" s="17">
        <f>IF(Distances[[#This Row],[Colonne43]]=$G61,BI61,Distances[[#This Row],[Colonne43]]+1)</f>
        <v>40</v>
      </c>
      <c r="BK61" s="17">
        <f>IF(Distances[[#This Row],[Colonne44]]=$G61,BJ61,Distances[[#This Row],[Colonne44]]+1)</f>
        <v>41</v>
      </c>
      <c r="BL61" s="17">
        <f>IF(Distances[[#This Row],[Colonne45]]=$G61,BK61,Distances[[#This Row],[Colonne45]]+1)</f>
        <v>42</v>
      </c>
      <c r="BM61" s="17">
        <f>IF(Distances[[#This Row],[Colonne46]]=$G61,BL61,Distances[[#This Row],[Colonne46]]+1)</f>
        <v>43</v>
      </c>
      <c r="BN61" s="17">
        <f>IF(Distances[[#This Row],[Colonne47]]=$G61,BM61,Distances[[#This Row],[Colonne47]]+1)</f>
        <v>44</v>
      </c>
      <c r="BO61" s="17">
        <f>IF(Distances[[#This Row],[Colonne48]]=$G61,BN61,Distances[[#This Row],[Colonne48]]+1)</f>
        <v>45</v>
      </c>
      <c r="BP61" s="17">
        <f>IF(Distances[[#This Row],[Colonne49]]=$G61,BO61,Distances[[#This Row],[Colonne49]]+1)</f>
        <v>46</v>
      </c>
      <c r="BQ61" s="17">
        <f>IF(Distances[[#This Row],[Colonne50]]=$G61,BP61,Distances[[#This Row],[Colonne50]]+1)</f>
        <v>47</v>
      </c>
      <c r="BR61" s="17">
        <f>IF(Distances[[#This Row],[Colonne51]]=$G61,BQ61,Distances[[#This Row],[Colonne51]]+1)</f>
        <v>48</v>
      </c>
      <c r="BS61" s="17">
        <f>IF(Distances[[#This Row],[Colonne52]]=$G61,BR61,Distances[[#This Row],[Colonne52]]+1)</f>
        <v>49</v>
      </c>
      <c r="BT61" s="17">
        <f>IF(Distances[[#This Row],[Colonne53]]=$G61,BS61,Distances[[#This Row],[Colonne53]]+1)</f>
        <v>50</v>
      </c>
      <c r="BU61" s="17">
        <f>IF(Distances[[#This Row],[Colonne54]]=$G61,BT61,Distances[[#This Row],[Colonne54]]+1)</f>
        <v>51</v>
      </c>
      <c r="BV61" s="17">
        <f>IF(Distances[[#This Row],[Colonne55]]=$G61,BU61,Distances[[#This Row],[Colonne55]]+1)</f>
        <v>52</v>
      </c>
      <c r="BW61" s="17">
        <f>IF(Distances[[#This Row],[Colonne56]]=$G61,BV61,Distances[[#This Row],[Colonne56]]+1)</f>
        <v>53</v>
      </c>
      <c r="BX61" s="17">
        <f>IF(Distances[[#This Row],[Colonne57]]=$G61,BW61,Distances[[#This Row],[Colonne57]]+1)</f>
        <v>54</v>
      </c>
      <c r="BY61" s="17">
        <f>IF(Distances[[#This Row],[Colonne58]]=$G61,BX61,Distances[[#This Row],[Colonne58]]+1)</f>
        <v>55</v>
      </c>
      <c r="BZ61" s="17">
        <f>IF(Distances[[#This Row],[Colonne59]]=$G61,BY61,Distances[[#This Row],[Colonne59]]+1)</f>
        <v>56</v>
      </c>
      <c r="CA61" s="17">
        <f>IF(Distances[[#This Row],[Colonne60]]=$G61,BZ61,Distances[[#This Row],[Colonne60]]+1)</f>
        <v>57</v>
      </c>
      <c r="CB61" s="17">
        <f>IF(Distances[[#This Row],[Colonne61]]=$G61,CA61,Distances[[#This Row],[Colonne61]]+1)</f>
        <v>58</v>
      </c>
      <c r="CC61" s="17">
        <f>IF(Distances[[#This Row],[Colonne62]]=$G61,CB61,Distances[[#This Row],[Colonne62]]+1)</f>
        <v>59</v>
      </c>
      <c r="CD61" s="17">
        <f>IF(Distances[[#This Row],[Colonne63]]=$G61,CC61,Distances[[#This Row],[Colonne63]]+1)</f>
        <v>60</v>
      </c>
      <c r="CE61" s="17">
        <f>IF(Distances[[#This Row],[Colonne64]]=$G61,CD61,Distances[[#This Row],[Colonne64]]+1)</f>
        <v>61</v>
      </c>
      <c r="CF61" s="17">
        <f>IF(Distances[[#This Row],[Colonne65]]=$G61,CE61,Distances[[#This Row],[Colonne65]]+1)</f>
        <v>62</v>
      </c>
      <c r="CG61" s="17">
        <f>IF(Distances[[#This Row],[Colonne66]]=$G61,CF61,Distances[[#This Row],[Colonne66]]+1)</f>
        <v>63</v>
      </c>
      <c r="CH61" s="17">
        <f>IF(Distances[[#This Row],[Colonne67]]=$G61,CG61,Distances[[#This Row],[Colonne67]]+1)</f>
        <v>64</v>
      </c>
      <c r="CI61" s="17">
        <f>IF(Distances[[#This Row],[Colonne68]]=$G61,CH61,Distances[[#This Row],[Colonne68]]+1)</f>
        <v>65</v>
      </c>
      <c r="CJ61" s="17">
        <f>IF(Distances[[#This Row],[Colonne69]]=$G61,CI61,Distances[[#This Row],[Colonne69]]+1)</f>
        <v>66</v>
      </c>
      <c r="CK61" s="17">
        <f>IF(Distances[[#This Row],[Colonne70]]=$G61,CJ61,Distances[[#This Row],[Colonne70]]+1)</f>
        <v>67</v>
      </c>
      <c r="CL61" s="17">
        <f>IF(Distances[[#This Row],[Colonne71]]=$G61,CK61,Distances[[#This Row],[Colonne71]]+1)</f>
        <v>68</v>
      </c>
      <c r="CM61" s="17">
        <f>IF(Distances[[#This Row],[Colonne72]]=$G61,CL61,Distances[[#This Row],[Colonne72]]+1)</f>
        <v>69</v>
      </c>
      <c r="CN61" s="17">
        <f>IF(Distances[[#This Row],[Colonne73]]=$G61,CM61,Distances[[#This Row],[Colonne73]]+1)</f>
        <v>70</v>
      </c>
      <c r="CO61" s="17">
        <f>IF(Distances[[#This Row],[Colonne74]]=$G61,CN61,Distances[[#This Row],[Colonne74]]+1)</f>
        <v>71</v>
      </c>
      <c r="CP61" s="17">
        <f>IF(Distances[[#This Row],[Colonne75]]=$G61,CO61,Distances[[#This Row],[Colonne75]]+1)</f>
        <v>72</v>
      </c>
      <c r="CQ61" s="17">
        <f>IF(Distances[[#This Row],[Colonne76]]=$G61,CP61,Distances[[#This Row],[Colonne76]]+1)</f>
        <v>73</v>
      </c>
      <c r="CR61" s="17">
        <f>IF(Distances[[#This Row],[Colonne77]]=$G61,CQ61,Distances[[#This Row],[Colonne77]]+1)</f>
        <v>74</v>
      </c>
      <c r="CS61" s="17">
        <f>IF(Distances[[#This Row],[Colonne78]]=$G61,CR61,Distances[[#This Row],[Colonne78]]+1)</f>
        <v>75</v>
      </c>
      <c r="CT61" s="17">
        <f>IF(Distances[[#This Row],[Colonne79]]=$G61,CS61,Distances[[#This Row],[Colonne79]]+1)</f>
        <v>76</v>
      </c>
      <c r="CU61" s="17">
        <f>IF(Distances[[#This Row],[Colonne80]]=$G61,CT61,Distances[[#This Row],[Colonne80]]+1)</f>
        <v>77</v>
      </c>
      <c r="CV61" s="17">
        <f>IF(Distances[[#This Row],[Colonne81]]=$G61,CU61,Distances[[#This Row],[Colonne81]]+1)</f>
        <v>78</v>
      </c>
      <c r="CW61" s="17">
        <f>IF(Distances[[#This Row],[Colonne82]]=$G61,CV61,Distances[[#This Row],[Colonne82]]+1)</f>
        <v>79</v>
      </c>
      <c r="CX61" s="17">
        <f>IF(Distances[[#This Row],[Colonne83]]=$G61,CW61,Distances[[#This Row],[Colonne83]]+1)</f>
        <v>80</v>
      </c>
      <c r="CY61" s="17">
        <f>IF(Distances[[#This Row],[Colonne84]]=$G61,CX61,Distances[[#This Row],[Colonne84]]+1)</f>
        <v>81</v>
      </c>
      <c r="CZ61" s="17">
        <f>IF(Distances[[#This Row],[Colonne85]]=$G61,CY61,Distances[[#This Row],[Colonne85]]+1)</f>
        <v>82</v>
      </c>
      <c r="DA61" s="17">
        <f>IF(Distances[[#This Row],[Colonne86]]=$G61,CZ61,Distances[[#This Row],[Colonne86]]+1)</f>
        <v>83</v>
      </c>
      <c r="DB61" s="17">
        <f>IF(Distances[[#This Row],[Colonne87]]=$G61,DA61,Distances[[#This Row],[Colonne87]]+1)</f>
        <v>84</v>
      </c>
      <c r="DC61" s="17">
        <f>IF(Distances[[#This Row],[Colonne88]]=$G61,DB61,Distances[[#This Row],[Colonne88]]+1)</f>
        <v>85</v>
      </c>
      <c r="DD61" s="17">
        <f>IF(Distances[[#This Row],[Colonne89]]=$G61,DC61,Distances[[#This Row],[Colonne89]]+1)</f>
        <v>86</v>
      </c>
      <c r="DE61" s="17">
        <f>IF(Distances[[#This Row],[Colonne90]]=$G61,DD61,Distances[[#This Row],[Colonne90]]+1)</f>
        <v>87</v>
      </c>
      <c r="DF61" s="17">
        <f>IF(Distances[[#This Row],[Colonne91]]=$G61,DE61,Distances[[#This Row],[Colonne91]]+1)</f>
        <v>88</v>
      </c>
      <c r="DG61" s="17">
        <f>IF(Distances[[#This Row],[Colonne92]]=$G61,DF61,Distances[[#This Row],[Colonne92]]+1)</f>
        <v>89</v>
      </c>
      <c r="DH61" s="17">
        <f>IF(Distances[[#This Row],[Colonne93]]=$G61,DG61,Distances[[#This Row],[Colonne93]]+1)</f>
        <v>90</v>
      </c>
      <c r="DI61" s="17">
        <f>IF(Distances[[#This Row],[Colonne94]]=$G61,DH61,Distances[[#This Row],[Colonne94]]+1)</f>
        <v>91</v>
      </c>
      <c r="DJ61" s="17">
        <f>IF(Distances[[#This Row],[Colonne95]]=$G61,DI61,Distances[[#This Row],[Colonne95]]+1)</f>
        <v>92</v>
      </c>
      <c r="DK61" s="17">
        <f>IF(Distances[[#This Row],[Colonne96]]=$G61,DJ61,Distances[[#This Row],[Colonne96]]+1)</f>
        <v>93</v>
      </c>
      <c r="DL61" s="17">
        <f>IF(Distances[[#This Row],[Colonne97]]=$G61,DK61,Distances[[#This Row],[Colonne97]]+1)</f>
        <v>94</v>
      </c>
      <c r="DM61" s="17">
        <f>IF(Distances[[#This Row],[Colonne98]]=$G61,DL61,Distances[[#This Row],[Colonne98]]+1)</f>
        <v>95</v>
      </c>
      <c r="DN61" s="17">
        <f>IF(Distances[[#This Row],[Colonne99]]=$G61,DM61,Distances[[#This Row],[Colonne99]]+1)</f>
        <v>96</v>
      </c>
      <c r="DO61" s="17">
        <f>IF(Distances[[#This Row],[Colonne100]]=$G61,DN61,Distances[[#This Row],[Colonne100]]+1)</f>
        <v>97</v>
      </c>
      <c r="DP61" s="17">
        <f>IF(Distances[[#This Row],[Colonne101]]=$G61,DO61,Distances[[#This Row],[Colonne101]]+1)</f>
        <v>98</v>
      </c>
      <c r="DQ61" s="17">
        <f>IF(Distances[[#This Row],[Colonne102]]=$G61,DP61,Distances[[#This Row],[Colonne102]]+1)</f>
        <v>99</v>
      </c>
      <c r="DR61" s="17">
        <f>IF(Distances[[#This Row],[Colonne103]]=$G61,DQ61,Distances[[#This Row],[Colonne103]]+1)</f>
        <v>100</v>
      </c>
      <c r="DS61" s="17">
        <f>IF(Distances[[#This Row],[Colonne104]]=$G61,DR61,Distances[[#This Row],[Colonne104]]+1)</f>
        <v>101</v>
      </c>
      <c r="DT61" s="17">
        <f>IF(Distances[[#This Row],[Colonne105]]=$G61,DS61,Distances[[#This Row],[Colonne105]]+1)</f>
        <v>102</v>
      </c>
      <c r="DU61" s="17">
        <f>IF(Distances[[#This Row],[Colonne106]]=$G61,DT61,Distances[[#This Row],[Colonne106]]+1)</f>
        <v>103</v>
      </c>
      <c r="DV61" s="17">
        <f>IF(Distances[[#This Row],[Colonne107]]=$G61,DU61,Distances[[#This Row],[Colonne107]]+1)</f>
        <v>104</v>
      </c>
      <c r="DW61" s="17">
        <f>IF(Distances[[#This Row],[Colonne108]]=$G61,DV61,Distances[[#This Row],[Colonne108]]+1)</f>
        <v>105</v>
      </c>
      <c r="DX61" s="17">
        <f>IF(Distances[[#This Row],[Colonne109]]=$G61,DW61,Distances[[#This Row],[Colonne109]]+1)</f>
        <v>106</v>
      </c>
      <c r="DY61" s="17">
        <f>IF(Distances[[#This Row],[Colonne110]]=$G61,DX61,Distances[[#This Row],[Colonne110]]+1)</f>
        <v>107</v>
      </c>
      <c r="DZ61" s="17">
        <f>IF(Distances[[#This Row],[Colonne111]]=$G61,DY61,Distances[[#This Row],[Colonne111]]+1)</f>
        <v>108</v>
      </c>
      <c r="EA61" s="17">
        <f>IF(Distances[[#This Row],[Colonne112]]=$G61,DZ61,Distances[[#This Row],[Colonne112]]+1)</f>
        <v>109</v>
      </c>
      <c r="EB61" s="17">
        <f>IF(Distances[[#This Row],[Colonne113]]=$G61,EA61,Distances[[#This Row],[Colonne113]]+1)</f>
        <v>110</v>
      </c>
      <c r="EC61" s="17">
        <f>IF(Distances[[#This Row],[Colonne114]]=$G61,EB61,Distances[[#This Row],[Colonne114]]+1)</f>
        <v>111</v>
      </c>
      <c r="ED61" s="17">
        <f>IF(Distances[[#This Row],[Colonne115]]=$G61,EC61,Distances[[#This Row],[Colonne115]]+1)</f>
        <v>112</v>
      </c>
      <c r="EE61" s="17">
        <f>IF(Distances[[#This Row],[Colonne116]]=$G61,ED61,Distances[[#This Row],[Colonne116]]+1)</f>
        <v>113</v>
      </c>
      <c r="EF61" s="17">
        <f>IF(Distances[[#This Row],[Colonne117]]=$G61,EE61,Distances[[#This Row],[Colonne117]]+1)</f>
        <v>114</v>
      </c>
      <c r="EG61" s="17">
        <f>IF(Distances[[#This Row],[Colonne118]]=$G61,EF61,Distances[[#This Row],[Colonne118]]+1)</f>
        <v>115</v>
      </c>
      <c r="EH61" s="17">
        <f>IF(Distances[[#This Row],[Colonne119]]=$G61,EG61,Distances[[#This Row],[Colonne119]]+1)</f>
        <v>116</v>
      </c>
      <c r="EI61" s="17">
        <f>IF(Distances[[#This Row],[Colonne120]]=$G61,EH61,Distances[[#This Row],[Colonne120]]+1)</f>
        <v>117</v>
      </c>
      <c r="EJ61" s="17">
        <f>IF(Distances[[#This Row],[Colonne121]]=$G61,EI61,Distances[[#This Row],[Colonne121]]+1)</f>
        <v>118</v>
      </c>
      <c r="EK61" s="17">
        <f>IF(Distances[[#This Row],[Colonne122]]=$G61,EJ61,Distances[[#This Row],[Colonne122]]+1)</f>
        <v>119</v>
      </c>
      <c r="EL61" s="17">
        <f>IF(Distances[[#This Row],[Colonne123]]=$G61,EK61,Distances[[#This Row],[Colonne123]]+1)</f>
        <v>120</v>
      </c>
      <c r="EM61" s="17">
        <f>IF(Distances[[#This Row],[Colonne124]]=$G61,EL61,Distances[[#This Row],[Colonne124]]+1)</f>
        <v>120</v>
      </c>
      <c r="EN61" s="17">
        <f>IF(Distances[[#This Row],[Colonne125]]=$G61,EM61,Distances[[#This Row],[Colonne125]]+1)</f>
        <v>120</v>
      </c>
      <c r="EO61" s="17">
        <f>IF(Distances[[#This Row],[Colonne126]]=$G61,EN61,Distances[[#This Row],[Colonne126]]+1)</f>
        <v>120</v>
      </c>
      <c r="EP61" s="17">
        <f>IF(Distances[[#This Row],[Colonne127]]=$G61,EO61,Distances[[#This Row],[Colonne127]]+1)</f>
        <v>120</v>
      </c>
      <c r="EQ61" s="17">
        <f>IF(Distances[[#This Row],[Colonne128]]=$G61,EP61,Distances[[#This Row],[Colonne128]]+1)</f>
        <v>120</v>
      </c>
      <c r="ER61" s="17">
        <f>IF(Distances[[#This Row],[Colonne129]]=$G61,EQ61,Distances[[#This Row],[Colonne129]]+1)</f>
        <v>120</v>
      </c>
      <c r="ES61" s="17">
        <f>IF(Distances[[#This Row],[Colonne130]]=$G61,ER61,Distances[[#This Row],[Colonne130]]+1)</f>
        <v>120</v>
      </c>
      <c r="ET61" s="17">
        <f>IF(Distances[[#This Row],[Colonne131]]=$G61,ES61,Distances[[#This Row],[Colonne131]]+1)</f>
        <v>120</v>
      </c>
      <c r="EU61" s="17">
        <f>IF(Distances[[#This Row],[Colonne132]]=$G61,ET61,Distances[[#This Row],[Colonne132]]+1)</f>
        <v>120</v>
      </c>
      <c r="EV61" s="17">
        <f>IF(Distances[[#This Row],[Colonne133]]=$G61,EU61,Distances[[#This Row],[Colonne133]]+1)</f>
        <v>120</v>
      </c>
      <c r="EW61" s="17">
        <f>IF(Distances[[#This Row],[Colonne134]]=$G61,EV61,Distances[[#This Row],[Colonne134]]+1)</f>
        <v>120</v>
      </c>
      <c r="EX61" s="17">
        <f>IF(Distances[[#This Row],[Colonne135]]=$G61,EW61,Distances[[#This Row],[Colonne135]]+1)</f>
        <v>120</v>
      </c>
      <c r="EY61" s="17">
        <f>IF(Distances[[#This Row],[Colonne136]]=$G61,EX61,Distances[[#This Row],[Colonne136]]+1)</f>
        <v>120</v>
      </c>
      <c r="EZ61" s="17">
        <f>IF(Distances[[#This Row],[Colonne137]]=$G61,EY61,Distances[[#This Row],[Colonne137]]+1)</f>
        <v>120</v>
      </c>
      <c r="FA61" s="17">
        <f>IF(Distances[[#This Row],[Colonne138]]=$G61,EZ61,Distances[[#This Row],[Colonne138]]+1)</f>
        <v>120</v>
      </c>
      <c r="FB61" s="17">
        <f>IF(Distances[[#This Row],[Colonne139]]=$G61,FA61,Distances[[#This Row],[Colonne139]]+1)</f>
        <v>120</v>
      </c>
      <c r="FC61" s="17">
        <f>IF(Distances[[#This Row],[Colonne140]]=$G61,FB61,Distances[[#This Row],[Colonne140]]+1)</f>
        <v>120</v>
      </c>
      <c r="FD61" s="17">
        <f>IF(Distances[[#This Row],[Colonne141]]=$G61,FC61,Distances[[#This Row],[Colonne141]]+1)</f>
        <v>120</v>
      </c>
      <c r="FE61" s="17">
        <f>IF(Distances[[#This Row],[Colonne142]]=$G61,FD61,Distances[[#This Row],[Colonne142]]+1)</f>
        <v>120</v>
      </c>
      <c r="FF61" s="17">
        <f>IF(Distances[[#This Row],[Colonne143]]=$G61,FE61,Distances[[#This Row],[Colonne143]]+1)</f>
        <v>120</v>
      </c>
      <c r="FG61" s="17">
        <f>IF(Distances[[#This Row],[Colonne144]]=$G61,FF61,Distances[[#This Row],[Colonne144]]+1)</f>
        <v>120</v>
      </c>
      <c r="FH61" s="17">
        <f>IF(Distances[[#This Row],[Colonne145]]=$G61,FG61,Distances[[#This Row],[Colonne145]]+1)</f>
        <v>120</v>
      </c>
      <c r="FI61" s="17">
        <f>IF(Distances[[#This Row],[Colonne146]]=$G61,FH61,Distances[[#This Row],[Colonne146]]+1)</f>
        <v>120</v>
      </c>
      <c r="FJ61" s="17">
        <f>IF(Distances[[#This Row],[Colonne147]]=$G61,FI61,Distances[[#This Row],[Colonne147]]+1)</f>
        <v>120</v>
      </c>
      <c r="FK61" s="17">
        <f>IF(Distances[[#This Row],[Colonne148]]=$G61,FJ61,Distances[[#This Row],[Colonne148]]+1)</f>
        <v>120</v>
      </c>
      <c r="FL61" s="17">
        <f>IF(Distances[[#This Row],[Colonne149]]=$G61,FK61,Distances[[#This Row],[Colonne149]]+1)</f>
        <v>120</v>
      </c>
      <c r="FM61" s="17">
        <f>IF(Distances[[#This Row],[Colonne150]]=$G61,FL61,Distances[[#This Row],[Colonne150]]+1)</f>
        <v>120</v>
      </c>
      <c r="FN61" s="17">
        <f>IF(Distances[[#This Row],[Colonne151]]=$G61,FM61,Distances[[#This Row],[Colonne151]]+1)</f>
        <v>120</v>
      </c>
      <c r="FO61" s="17">
        <f>IF(Distances[[#This Row],[Colonne152]]=$G61,FN61,Distances[[#This Row],[Colonne152]]+1)</f>
        <v>120</v>
      </c>
      <c r="FP61" s="17">
        <f>IF(Distances[[#This Row],[Colonne153]]=$G61,FO61,Distances[[#This Row],[Colonne153]]+1)</f>
        <v>120</v>
      </c>
      <c r="FQ61" s="17">
        <f>IF(Distances[[#This Row],[Colonne154]]=$G61,FP61,Distances[[#This Row],[Colonne154]]+1)</f>
        <v>120</v>
      </c>
      <c r="FR61" s="17">
        <f>IF(Distances[[#This Row],[Colonne155]]=$G61,FQ61,Distances[[#This Row],[Colonne155]]+1)</f>
        <v>120</v>
      </c>
      <c r="FS61" s="17">
        <f>IF(Distances[[#This Row],[Colonne156]]=$G61,FR61,Distances[[#This Row],[Colonne156]]+1)</f>
        <v>120</v>
      </c>
      <c r="FT61" s="17">
        <f>IF(Distances[[#This Row],[Colonne157]]=$G61,FS61,Distances[[#This Row],[Colonne157]]+1)</f>
        <v>120</v>
      </c>
      <c r="FU61" s="17">
        <f>IF(Distances[[#This Row],[Colonne158]]=$G61,FT61,Distances[[#This Row],[Colonne158]]+1)</f>
        <v>120</v>
      </c>
      <c r="FV61" s="17">
        <f>IF(Distances[[#This Row],[Colonne159]]=$G61,FU61,Distances[[#This Row],[Colonne159]]+1)</f>
        <v>120</v>
      </c>
      <c r="FW61" s="17">
        <f>IF(Distances[[#This Row],[Colonne160]]=$G61,FV61,Distances[[#This Row],[Colonne160]]+1)</f>
        <v>120</v>
      </c>
      <c r="FX61" s="17">
        <f>IF(Distances[[#This Row],[Colonne161]]=$G61,FW61,Distances[[#This Row],[Colonne161]]+1)</f>
        <v>120</v>
      </c>
      <c r="FY61" s="17">
        <f>IF(Distances[[#This Row],[Colonne162]]=$G61,FX61,Distances[[#This Row],[Colonne162]]+1)</f>
        <v>120</v>
      </c>
      <c r="FZ61" s="17">
        <f>IF(Distances[[#This Row],[Colonne163]]=$G61,FY61,Distances[[#This Row],[Colonne163]]+1)</f>
        <v>120</v>
      </c>
      <c r="GA61" s="17">
        <f>IF(Distances[[#This Row],[Colonne164]]=$G61,FZ61,Distances[[#This Row],[Colonne164]]+1)</f>
        <v>120</v>
      </c>
      <c r="GB61" s="17">
        <f>IF(Distances[[#This Row],[Colonne165]]=$G61,GA61,Distances[[#This Row],[Colonne165]]+1)</f>
        <v>120</v>
      </c>
      <c r="GC61" s="17">
        <f>IF(Distances[[#This Row],[Colonne166]]=$G61,GB61,Distances[[#This Row],[Colonne166]]+1)</f>
        <v>120</v>
      </c>
      <c r="GD61" s="17">
        <f>IF(Distances[[#This Row],[Colonne167]]=$G61,GC61,Distances[[#This Row],[Colonne167]]+1)</f>
        <v>120</v>
      </c>
      <c r="GE61" s="17">
        <f>IF(Distances[[#This Row],[Colonne168]]=$G61,GD61,Distances[[#This Row],[Colonne168]]+1)</f>
        <v>120</v>
      </c>
      <c r="GF61" s="17">
        <f>IF(Distances[[#This Row],[Colonne169]]=$G61,GE61,Distances[[#This Row],[Colonne169]]+1)</f>
        <v>120</v>
      </c>
      <c r="GG61" s="17">
        <f>IF(Distances[[#This Row],[Colonne170]]=$G61,GF61,Distances[[#This Row],[Colonne170]]+1)</f>
        <v>120</v>
      </c>
      <c r="GH61" s="17">
        <f>IF(Distances[[#This Row],[Colonne171]]=$G61,GG61,Distances[[#This Row],[Colonne171]]+1)</f>
        <v>120</v>
      </c>
      <c r="GI61" s="17">
        <f>IF(Distances[[#This Row],[Colonne172]]=$G61,GH61,Distances[[#This Row],[Colonne172]]+1)</f>
        <v>120</v>
      </c>
      <c r="GJ61" s="17">
        <f>IF(Distances[[#This Row],[Colonne173]]=$G61,GI61,Distances[[#This Row],[Colonne173]]+1)</f>
        <v>120</v>
      </c>
      <c r="GK61" s="17">
        <f>IF(Distances[[#This Row],[Colonne174]]=$G61,GJ61,Distances[[#This Row],[Colonne174]]+1)</f>
        <v>120</v>
      </c>
      <c r="GL61" s="17">
        <f>IF(Distances[[#This Row],[Colonne175]]=$G61,GK61,Distances[[#This Row],[Colonne175]]+1)</f>
        <v>120</v>
      </c>
      <c r="GM61" s="17">
        <f>IF(Distances[[#This Row],[Colonne176]]=$G61,GL61,Distances[[#This Row],[Colonne176]]+1)</f>
        <v>120</v>
      </c>
      <c r="GN61" s="17">
        <f>IF(Distances[[#This Row],[Colonne177]]=$G61,GM61,Distances[[#This Row],[Colonne177]]+1)</f>
        <v>120</v>
      </c>
      <c r="GO61" s="17">
        <f>IF(Distances[[#This Row],[Colonne178]]=$G61,GN61,Distances[[#This Row],[Colonne178]]+1)</f>
        <v>120</v>
      </c>
      <c r="GP61" s="17">
        <f>IF(Distances[[#This Row],[Colonne179]]=$G61,GO61,Distances[[#This Row],[Colonne179]]+1)</f>
        <v>120</v>
      </c>
      <c r="GQ61" s="17">
        <f>IF(Distances[[#This Row],[Colonne180]]=$G61,GP61,Distances[[#This Row],[Colonne180]]+1)</f>
        <v>120</v>
      </c>
      <c r="GR61" s="17">
        <f>IF(Distances[[#This Row],[Colonne181]]=$G61,GQ61,Distances[[#This Row],[Colonne181]]+1)</f>
        <v>120</v>
      </c>
      <c r="GS61" s="17">
        <f>IF(Distances[[#This Row],[Colonne182]]=$G61,GR61,Distances[[#This Row],[Colonne182]]+1)</f>
        <v>120</v>
      </c>
      <c r="GT61" s="17">
        <f>IF(Distances[[#This Row],[Colonne183]]=$G61,GS61,Distances[[#This Row],[Colonne183]]+1)</f>
        <v>120</v>
      </c>
      <c r="GU61" s="17">
        <f>IF(Distances[[#This Row],[Colonne184]]=$G61,GT61,Distances[[#This Row],[Colonne184]]+1)</f>
        <v>120</v>
      </c>
      <c r="GV61" s="17">
        <f>IF(Distances[[#This Row],[Colonne185]]=$G61,GU61,Distances[[#This Row],[Colonne185]]+1)</f>
        <v>120</v>
      </c>
      <c r="GW61" s="17">
        <f>IF(Distances[[#This Row],[Colonne186]]=$G61,GV61,Distances[[#This Row],[Colonne186]]+1)</f>
        <v>120</v>
      </c>
      <c r="GX61" s="17">
        <f>IF(Distances[[#This Row],[Colonne187]]=$G61,GW61,Distances[[#This Row],[Colonne187]]+1)</f>
        <v>120</v>
      </c>
      <c r="GY61" s="17">
        <f>IF(Distances[[#This Row],[Colonne188]]=$G61,GX61,Distances[[#This Row],[Colonne188]]+1)</f>
        <v>120</v>
      </c>
      <c r="GZ61" s="17">
        <f>IF(Distances[[#This Row],[Colonne189]]=$G61,GY61,Distances[[#This Row],[Colonne189]]+1)</f>
        <v>120</v>
      </c>
      <c r="HA61" s="17">
        <f>IF(Distances[[#This Row],[Colonne190]]=$G61,GZ61,Distances[[#This Row],[Colonne190]]+1)</f>
        <v>120</v>
      </c>
      <c r="HB61" s="17">
        <f>IF(Distances[[#This Row],[Colonne191]]=$G61,HA61,Distances[[#This Row],[Colonne191]]+1)</f>
        <v>120</v>
      </c>
      <c r="HC61" s="17">
        <f>IF(Distances[[#This Row],[Colonne192]]=$G61,HB61,Distances[[#This Row],[Colonne192]]+1)</f>
        <v>120</v>
      </c>
      <c r="HD61" s="17">
        <f>IF(Distances[[#This Row],[Colonne193]]=$G61,HC61,Distances[[#This Row],[Colonne193]]+1)</f>
        <v>120</v>
      </c>
      <c r="HE61" s="17">
        <f>IF(Distances[[#This Row],[Colonne194]]=$G61,HD61,Distances[[#This Row],[Colonne194]]+1)</f>
        <v>120</v>
      </c>
      <c r="HF61" s="17">
        <f>IF(Distances[[#This Row],[Colonne195]]=$G61,HE61,Distances[[#This Row],[Colonne195]]+1)</f>
        <v>120</v>
      </c>
      <c r="HG61" s="17">
        <f>IF(Distances[[#This Row],[Colonne196]]=$G61,HF61,Distances[[#This Row],[Colonne196]]+1)</f>
        <v>120</v>
      </c>
      <c r="HH61" s="17">
        <f>IF(Distances[[#This Row],[Colonne197]]=$G61,HG61,Distances[[#This Row],[Colonne197]]+1)</f>
        <v>120</v>
      </c>
      <c r="HI61" s="17">
        <f>IF(Distances[[#This Row],[Colonne198]]=$G61,HH61,Distances[[#This Row],[Colonne198]]+1)</f>
        <v>120</v>
      </c>
      <c r="HJ61" s="17">
        <f>IF(Distances[[#This Row],[Colonne199]]=$G61,HI61,Distances[[#This Row],[Colonne199]]+1)</f>
        <v>120</v>
      </c>
      <c r="HK61" s="17">
        <f>IF(Distances[[#This Row],[Colonne200]]=$G61,HJ61,Distances[[#This Row],[Colonne200]]+1)</f>
        <v>120</v>
      </c>
      <c r="HL61" s="17">
        <f>IF(Distances[[#This Row],[Colonne201]]=$G61,HK61,Distances[[#This Row],[Colonne201]]+1)</f>
        <v>120</v>
      </c>
      <c r="HM61" s="17">
        <f>IF(Distances[[#This Row],[Colonne202]]=$G61,HL61,Distances[[#This Row],[Colonne202]]+1)</f>
        <v>120</v>
      </c>
      <c r="HN61" s="17">
        <f>IF(Distances[[#This Row],[Colonne203]]=$G61,HM61,Distances[[#This Row],[Colonne203]]+1)</f>
        <v>120</v>
      </c>
      <c r="HO61" s="17">
        <f>IF(Distances[[#This Row],[Colonne204]]=$G61,HN61,Distances[[#This Row],[Colonne204]]+1)</f>
        <v>120</v>
      </c>
      <c r="HP61" s="17">
        <f>IF(Distances[[#This Row],[Colonne205]]=$G61,HO61,Distances[[#This Row],[Colonne205]]+1)</f>
        <v>120</v>
      </c>
      <c r="HQ61" s="17">
        <f>IF(Distances[[#This Row],[Colonne206]]=$G61,HP61,Distances[[#This Row],[Colonne206]]+1)</f>
        <v>120</v>
      </c>
      <c r="HR61" s="17">
        <f>IF(Distances[[#This Row],[Colonne207]]=$G61,HQ61,Distances[[#This Row],[Colonne207]]+1)</f>
        <v>120</v>
      </c>
      <c r="HS61" s="17">
        <f>IF(Distances[[#This Row],[Colonne208]]=$G61,HR61,Distances[[#This Row],[Colonne208]]+1)</f>
        <v>120</v>
      </c>
      <c r="HT61" s="17">
        <f>IF(Distances[[#This Row],[Colonne209]]=$G61,HS61,Distances[[#This Row],[Colonne209]]+1)</f>
        <v>120</v>
      </c>
      <c r="HU61" s="17">
        <f>IF(Distances[[#This Row],[Colonne210]]=$G61,HT61,Distances[[#This Row],[Colonne210]]+1)</f>
        <v>120</v>
      </c>
      <c r="HV61" s="17">
        <f>IF(Distances[[#This Row],[Colonne211]]=$G61,HU61,Distances[[#This Row],[Colonne211]]+1)</f>
        <v>120</v>
      </c>
      <c r="HW61" s="17">
        <f>IF(Distances[[#This Row],[Colonne212]]=$G61,HV61,Distances[[#This Row],[Colonne212]]+1)</f>
        <v>120</v>
      </c>
      <c r="HX61" s="17">
        <f>IF(Distances[[#This Row],[Colonne213]]=$G61,HW61,Distances[[#This Row],[Colonne213]]+1)</f>
        <v>120</v>
      </c>
      <c r="HY61" s="17">
        <f>IF(Distances[[#This Row],[Colonne214]]=$G61,HX61,Distances[[#This Row],[Colonne214]]+1)</f>
        <v>120</v>
      </c>
      <c r="HZ61" s="17">
        <f>IF(Distances[[#This Row],[Colonne215]]=$G61,HY61,Distances[[#This Row],[Colonne215]]+1)</f>
        <v>120</v>
      </c>
      <c r="IA61" s="17">
        <f>IF(Distances[[#This Row],[Colonne216]]=$G61,HZ61,Distances[[#This Row],[Colonne216]]+1)</f>
        <v>120</v>
      </c>
      <c r="IB61" s="17">
        <f>IF(Distances[[#This Row],[Colonne217]]=$G61,IA61,Distances[[#This Row],[Colonne217]]+1)</f>
        <v>120</v>
      </c>
      <c r="IC61" s="17">
        <f>IF(Distances[[#This Row],[Colonne218]]=$G61,IB61,Distances[[#This Row],[Colonne218]]+1)</f>
        <v>120</v>
      </c>
      <c r="ID61" s="17">
        <f>IF(Distances[[#This Row],[Colonne219]]=$G61,IC61,Distances[[#This Row],[Colonne219]]+1)</f>
        <v>120</v>
      </c>
      <c r="IE61" s="17">
        <f>IF(Distances[[#This Row],[Colonne220]]=$G61,ID61,Distances[[#This Row],[Colonne220]]+1)</f>
        <v>120</v>
      </c>
      <c r="IF61" s="17">
        <f>IF(Distances[[#This Row],[Colonne221]]=$G61,IE61,Distances[[#This Row],[Colonne221]]+1)</f>
        <v>120</v>
      </c>
      <c r="IG61" s="17">
        <f>IF(Distances[[#This Row],[Colonne222]]=$G61,IF61,Distances[[#This Row],[Colonne222]]+1)</f>
        <v>120</v>
      </c>
      <c r="IH61" s="17">
        <f>IF(Distances[[#This Row],[Colonne223]]=$G61,IG61,Distances[[#This Row],[Colonne223]]+1)</f>
        <v>120</v>
      </c>
      <c r="II61" s="17">
        <f>IF(Distances[[#This Row],[Colonne224]]=$G61,IH61,Distances[[#This Row],[Colonne224]]+1)</f>
        <v>120</v>
      </c>
      <c r="IJ61" s="17">
        <f>IF(Distances[[#This Row],[Colonne225]]=$G61,II61,Distances[[#This Row],[Colonne225]]+1)</f>
        <v>120</v>
      </c>
      <c r="IK61" s="17">
        <f>IF(Distances[[#This Row],[Colonne226]]=$G61,IJ61,Distances[[#This Row],[Colonne226]]+1)</f>
        <v>120</v>
      </c>
      <c r="IL61" s="17">
        <f>IF(Distances[[#This Row],[Colonne227]]=$G61,IK61,Distances[[#This Row],[Colonne227]]+1)</f>
        <v>120</v>
      </c>
      <c r="IM61" s="17">
        <f>IF(Distances[[#This Row],[Colonne228]]=$G61,IL61,Distances[[#This Row],[Colonne228]]+1)</f>
        <v>120</v>
      </c>
      <c r="IN61" s="17">
        <f>IF(Distances[[#This Row],[Colonne229]]=$G61,IM61,Distances[[#This Row],[Colonne229]]+1)</f>
        <v>120</v>
      </c>
      <c r="IO61" s="17">
        <f>IF(Distances[[#This Row],[Colonne230]]=$G61,IN61,Distances[[#This Row],[Colonne230]]+1)</f>
        <v>120</v>
      </c>
      <c r="IP61" s="17">
        <f>IF(Distances[[#This Row],[Colonne231]]=$G61,IO61,Distances[[#This Row],[Colonne231]]+1)</f>
        <v>120</v>
      </c>
      <c r="IQ61" s="17">
        <f>IF(Distances[[#This Row],[Colonne232]]=$G61,IP61,Distances[[#This Row],[Colonne232]]+1)</f>
        <v>120</v>
      </c>
      <c r="IR61" s="17">
        <f>IF(Distances[[#This Row],[Colonne233]]=$G61,IQ61,Distances[[#This Row],[Colonne233]]+1)</f>
        <v>120</v>
      </c>
      <c r="IS61" s="17">
        <f>IF(Distances[[#This Row],[Colonne234]]=$G61,IR61,Distances[[#This Row],[Colonne234]]+1)</f>
        <v>120</v>
      </c>
      <c r="IT61" s="17">
        <f>IF(Distances[[#This Row],[Colonne235]]=$G61,IS61,Distances[[#This Row],[Colonne235]]+1)</f>
        <v>120</v>
      </c>
      <c r="IU61" s="17">
        <f>IF(Distances[[#This Row],[Colonne236]]=$G61,IT61,Distances[[#This Row],[Colonne236]]+1)</f>
        <v>120</v>
      </c>
      <c r="IV61" s="17">
        <f>IF(Distances[[#This Row],[Colonne237]]=$G61,IU61,Distances[[#This Row],[Colonne237]]+1)</f>
        <v>120</v>
      </c>
      <c r="IW61" s="17">
        <f>IF(Distances[[#This Row],[Colonne238]]=$G61,IV61,Distances[[#This Row],[Colonne238]]+1)</f>
        <v>120</v>
      </c>
      <c r="IX61" s="17">
        <f>IF(Distances[[#This Row],[Colonne239]]=$G61,IW61,Distances[[#This Row],[Colonne239]]+1)</f>
        <v>120</v>
      </c>
      <c r="IY61" s="17">
        <f>IF(Distances[[#This Row],[Colonne240]]=$G61,IX61,Distances[[#This Row],[Colonne240]]+1)</f>
        <v>120</v>
      </c>
      <c r="IZ61" s="17">
        <f>IF(Distances[[#This Row],[Colonne241]]=$G61,IY61,Distances[[#This Row],[Colonne241]]+1)</f>
        <v>120</v>
      </c>
      <c r="JA61" s="17">
        <f>IF(Distances[[#This Row],[Colonne242]]=$G61,IZ61,Distances[[#This Row],[Colonne242]]+1)</f>
        <v>120</v>
      </c>
      <c r="JB61" s="17">
        <f>IF(Distances[[#This Row],[Colonne243]]=$G61,JA61,Distances[[#This Row],[Colonne243]]+1)</f>
        <v>120</v>
      </c>
      <c r="JC61" s="17">
        <f>IF(Distances[[#This Row],[Colonne244]]=$G61,JB61,Distances[[#This Row],[Colonne244]]+1)</f>
        <v>120</v>
      </c>
      <c r="JD61" s="17">
        <f>IF(Distances[[#This Row],[Colonne245]]=$G61,JC61,Distances[[#This Row],[Colonne245]]+1)</f>
        <v>120</v>
      </c>
      <c r="JE61" s="17">
        <f>IF(Distances[[#This Row],[Colonne246]]=$G61,JD61,Distances[[#This Row],[Colonne246]]+1)</f>
        <v>120</v>
      </c>
      <c r="JF61" s="17">
        <f>IF(Distances[[#This Row],[Colonne247]]=$G61,JE61,Distances[[#This Row],[Colonne247]]+1)</f>
        <v>120</v>
      </c>
      <c r="JG61" s="17">
        <f>IF(Distances[[#This Row],[Colonne248]]=$G61,JF61,Distances[[#This Row],[Colonne248]]+1)</f>
        <v>120</v>
      </c>
      <c r="JH61" s="17">
        <f>IF(Distances[[#This Row],[Colonne249]]=$G61,JG61,Distances[[#This Row],[Colonne249]]+1)</f>
        <v>120</v>
      </c>
      <c r="JI61" s="17">
        <f>IF(Distances[[#This Row],[Colonne250]]=$G61,JH61,Distances[[#This Row],[Colonne250]]+1)</f>
        <v>120</v>
      </c>
      <c r="JJ61" s="17">
        <f>IF(Distances[[#This Row],[Colonne251]]=$G61,JI61,Distances[[#This Row],[Colonne251]]+1)</f>
        <v>120</v>
      </c>
      <c r="JK61" s="17">
        <f>IF(Distances[[#This Row],[Colonne252]]=$G61,JJ61,Distances[[#This Row],[Colonne252]]+1)</f>
        <v>120</v>
      </c>
      <c r="JL61" s="17">
        <f>IF(Distances[[#This Row],[Colonne253]]=$G61,JK61,Distances[[#This Row],[Colonne253]]+1)</f>
        <v>120</v>
      </c>
      <c r="JM61" s="17">
        <f>IF(Distances[[#This Row],[Colonne254]]=$G61,JL61,Distances[[#This Row],[Colonne254]]+1)</f>
        <v>120</v>
      </c>
      <c r="JN61" s="17">
        <f>IF(Distances[[#This Row],[Colonne255]]=$G61,JM61,Distances[[#This Row],[Colonne255]]+1)</f>
        <v>120</v>
      </c>
      <c r="JO61" s="17">
        <f>IF(Distances[[#This Row],[Colonne256]]=$G61,JN61,Distances[[#This Row],[Colonne256]]+1)</f>
        <v>120</v>
      </c>
      <c r="JP61" s="17">
        <f>IF(Distances[[#This Row],[Colonne257]]=$G61,JO61,Distances[[#This Row],[Colonne257]]+1)</f>
        <v>120</v>
      </c>
      <c r="JQ61" s="17">
        <f>IF(Distances[[#This Row],[Colonne258]]=$G61,JP61,Distances[[#This Row],[Colonne258]]+1)</f>
        <v>120</v>
      </c>
      <c r="JR61" s="17">
        <f>IF(Distances[[#This Row],[Colonne259]]=$G61,JQ61,Distances[[#This Row],[Colonne259]]+1)</f>
        <v>120</v>
      </c>
      <c r="JS61" s="17">
        <f>IF(Distances[[#This Row],[Colonne260]]=$G61,JR61,Distances[[#This Row],[Colonne260]]+1)</f>
        <v>120</v>
      </c>
      <c r="JT61" s="17">
        <f>IF(Distances[[#This Row],[Colonne261]]=$G61,JS61,Distances[[#This Row],[Colonne261]]+1)</f>
        <v>120</v>
      </c>
      <c r="JU61" s="17">
        <f>IF(Distances[[#This Row],[Colonne262]]=$G61,JT61,Distances[[#This Row],[Colonne262]]+1)</f>
        <v>120</v>
      </c>
      <c r="JV61" s="17">
        <f>IF(Distances[[#This Row],[Colonne263]]=$G61,JU61,Distances[[#This Row],[Colonne263]]+1)</f>
        <v>120</v>
      </c>
      <c r="JW61" s="17">
        <f>IF(Distances[[#This Row],[Colonne264]]=$G61,JV61,Distances[[#This Row],[Colonne264]]+1)</f>
        <v>120</v>
      </c>
      <c r="JX61" s="17">
        <f>IF(Distances[[#This Row],[Colonne265]]=$G61,JW61,Distances[[#This Row],[Colonne265]]+1)</f>
        <v>120</v>
      </c>
      <c r="JY61" s="17">
        <f>IF(Distances[[#This Row],[Colonne266]]=$G61,JX61,Distances[[#This Row],[Colonne266]]+1)</f>
        <v>120</v>
      </c>
      <c r="JZ61" s="17">
        <f>IF(Distances[[#This Row],[Colonne267]]=$G61,JY61,Distances[[#This Row],[Colonne267]]+1)</f>
        <v>120</v>
      </c>
      <c r="KA61" s="17">
        <f>IF(Distances[[#This Row],[Colonne268]]=$G61,JZ61,Distances[[#This Row],[Colonne268]]+1)</f>
        <v>120</v>
      </c>
      <c r="KB61" s="17">
        <f>IF(Distances[[#This Row],[Colonne269]]=$G61,KA61,Distances[[#This Row],[Colonne269]]+1)</f>
        <v>120</v>
      </c>
      <c r="KC61" s="17">
        <f>IF(Distances[[#This Row],[Colonne270]]=$G61,KB61,Distances[[#This Row],[Colonne270]]+1)</f>
        <v>120</v>
      </c>
      <c r="KD61" s="17">
        <f>IF(Distances[[#This Row],[Colonne271]]=$G61,KC61,Distances[[#This Row],[Colonne271]]+1)</f>
        <v>120</v>
      </c>
      <c r="KE61" s="17">
        <f>IF(Distances[[#This Row],[Colonne272]]=$G61,KD61,Distances[[#This Row],[Colonne272]]+1)</f>
        <v>120</v>
      </c>
      <c r="KF61" s="17">
        <f>IF(Distances[[#This Row],[Colonne273]]=$G61,KE61,Distances[[#This Row],[Colonne273]]+1)</f>
        <v>120</v>
      </c>
      <c r="KG61" s="17">
        <f>IF(Distances[[#This Row],[Colonne274]]=$G61,KF61,Distances[[#This Row],[Colonne274]]+1)</f>
        <v>120</v>
      </c>
      <c r="KH61" s="17">
        <f>IF(Distances[[#This Row],[Colonne275]]=$G61,KG61,Distances[[#This Row],[Colonne275]]+1)</f>
        <v>120</v>
      </c>
      <c r="KI61" s="17">
        <f>IF(Distances[[#This Row],[Colonne276]]=$G61,KH61,Distances[[#This Row],[Colonne276]]+1)</f>
        <v>120</v>
      </c>
      <c r="KJ61" s="17">
        <f>IF(Distances[[#This Row],[Colonne277]]=$G61,KI61,Distances[[#This Row],[Colonne277]]+1)</f>
        <v>120</v>
      </c>
      <c r="KK61" s="17">
        <f>IF(Distances[[#This Row],[Colonne278]]=$G61,KJ61,Distances[[#This Row],[Colonne278]]+1)</f>
        <v>120</v>
      </c>
      <c r="KL61" s="17">
        <f>IF(Distances[[#This Row],[Colonne279]]=$G61,KK61,Distances[[#This Row],[Colonne279]]+1)</f>
        <v>120</v>
      </c>
      <c r="KM61" s="17">
        <f>IF(Distances[[#This Row],[Colonne280]]=$G61,KL61,Distances[[#This Row],[Colonne280]]+1)</f>
        <v>120</v>
      </c>
      <c r="KN61" s="17">
        <f>IF(Distances[[#This Row],[Colonne281]]=$G61,KM61,Distances[[#This Row],[Colonne281]]+1)</f>
        <v>120</v>
      </c>
      <c r="KO61" s="17">
        <f>IF(Distances[[#This Row],[Colonne282]]=$G61,KN61,Distances[[#This Row],[Colonne282]]+1)</f>
        <v>120</v>
      </c>
      <c r="KP61" s="17">
        <f>IF(Distances[[#This Row],[Colonne283]]=$G61,KO61,Distances[[#This Row],[Colonne283]]+1)</f>
        <v>120</v>
      </c>
      <c r="KQ61" s="17">
        <f>IF(Distances[[#This Row],[Colonne284]]=$G61,KP61,Distances[[#This Row],[Colonne284]]+1)</f>
        <v>120</v>
      </c>
      <c r="KR61" s="17">
        <f>IF(Distances[[#This Row],[Colonne285]]=$G61,KQ61,Distances[[#This Row],[Colonne285]]+1)</f>
        <v>120</v>
      </c>
      <c r="KS61" s="17">
        <f>IF(Distances[[#This Row],[Colonne286]]=$G61,KR61,Distances[[#This Row],[Colonne286]]+1)</f>
        <v>120</v>
      </c>
      <c r="KT61" s="17">
        <f>IF(Distances[[#This Row],[Colonne287]]=$G61,KS61,Distances[[#This Row],[Colonne287]]+1)</f>
        <v>120</v>
      </c>
      <c r="KU61" s="17">
        <f>IF(Distances[[#This Row],[Colonne288]]=$G61,KT61,Distances[[#This Row],[Colonne288]]+1)</f>
        <v>120</v>
      </c>
      <c r="KV61" s="17">
        <f>IF(Distances[[#This Row],[Colonne289]]=$G61,KU61,Distances[[#This Row],[Colonne289]]+1)</f>
        <v>120</v>
      </c>
      <c r="KW61" s="17">
        <f>IF(Distances[[#This Row],[Colonne290]]=$G61,KV61,Distances[[#This Row],[Colonne290]]+1)</f>
        <v>120</v>
      </c>
      <c r="KX61" s="17">
        <f>IF(Distances[[#This Row],[Colonne291]]=$G61,KW61,Distances[[#This Row],[Colonne291]]+1)</f>
        <v>120</v>
      </c>
      <c r="KY61" s="17">
        <f>IF(Distances[[#This Row],[Colonne292]]=$G61,KX61,Distances[[#This Row],[Colonne292]]+1)</f>
        <v>120</v>
      </c>
      <c r="KZ61" s="17">
        <f>IF(Distances[[#This Row],[Colonne293]]=$G61,KY61,Distances[[#This Row],[Colonne293]]+1)</f>
        <v>120</v>
      </c>
      <c r="LA61" s="17">
        <f>IF(Distances[[#This Row],[Colonne294]]=$G61,KZ61,Distances[[#This Row],[Colonne294]]+1)</f>
        <v>120</v>
      </c>
      <c r="LB61" s="17">
        <f>IF(Distances[[#This Row],[Colonne295]]=$G61,LA61,Distances[[#This Row],[Colonne295]]+1)</f>
        <v>120</v>
      </c>
      <c r="LC61" s="17">
        <f>IF(Distances[[#This Row],[Colonne296]]=$G61,LB61,Distances[[#This Row],[Colonne296]]+1)</f>
        <v>120</v>
      </c>
      <c r="LD61" s="17">
        <f>IF(Distances[[#This Row],[Colonne297]]=$G61,LC61,Distances[[#This Row],[Colonne297]]+1)</f>
        <v>120</v>
      </c>
      <c r="LE61" s="17">
        <f>IF(Distances[[#This Row],[Colonne298]]=$G61,LD61,Distances[[#This Row],[Colonne298]]+1)</f>
        <v>120</v>
      </c>
      <c r="LF61" s="17">
        <f>IF(Distances[[#This Row],[Colonne299]]=$G61,LE61,Distances[[#This Row],[Colonne299]]+1)</f>
        <v>120</v>
      </c>
      <c r="LG61" s="17">
        <f>IF(Distances[[#This Row],[Colonne300]]=$G61,LF61,Distances[[#This Row],[Colonne300]]+1)</f>
        <v>120</v>
      </c>
      <c r="LH61" s="17">
        <f>IF(Distances[[#This Row],[Colonne301]]=$G61,LG61,Distances[[#This Row],[Colonne301]]+1)</f>
        <v>120</v>
      </c>
      <c r="LI61" s="17">
        <f>IF(Distances[[#This Row],[Colonne302]]=$G61,LH61,Distances[[#This Row],[Colonne302]]+1)</f>
        <v>120</v>
      </c>
      <c r="LJ61" s="17">
        <f>IF(Distances[[#This Row],[Colonne303]]=$G61,LI61,Distances[[#This Row],[Colonne303]]+1)</f>
        <v>120</v>
      </c>
      <c r="LK61" s="51"/>
      <c r="LL61" s="17">
        <f t="shared" si="118"/>
        <v>1</v>
      </c>
      <c r="LM61" s="17">
        <f t="shared" si="118"/>
        <v>2</v>
      </c>
      <c r="LN61" s="17">
        <f t="shared" si="118"/>
        <v>3</v>
      </c>
      <c r="LO61" s="17">
        <f t="shared" si="118"/>
        <v>4</v>
      </c>
      <c r="LP61" s="17">
        <f t="shared" si="118"/>
        <v>5</v>
      </c>
      <c r="LQ61" s="17">
        <f t="shared" si="118"/>
        <v>6</v>
      </c>
      <c r="LR61" s="17">
        <f t="shared" si="118"/>
        <v>7</v>
      </c>
      <c r="LS61" s="17">
        <f t="shared" si="118"/>
        <v>8</v>
      </c>
      <c r="LT61" s="17">
        <f t="shared" si="118"/>
        <v>9</v>
      </c>
      <c r="LU61" s="17">
        <f t="shared" si="118"/>
        <v>10</v>
      </c>
      <c r="LV61" s="17">
        <f t="shared" si="118"/>
        <v>11</v>
      </c>
      <c r="LW61" s="17">
        <f t="shared" si="118"/>
        <v>12</v>
      </c>
      <c r="LX61" s="17">
        <f t="shared" si="118"/>
        <v>12</v>
      </c>
      <c r="LY61" s="17">
        <f t="shared" si="118"/>
        <v>12</v>
      </c>
      <c r="LZ61" s="17">
        <f t="shared" si="118"/>
        <v>12</v>
      </c>
      <c r="MA61" s="17">
        <f t="shared" si="118"/>
        <v>12</v>
      </c>
      <c r="MB61" s="17">
        <f t="shared" si="118"/>
        <v>12</v>
      </c>
      <c r="MC61" s="17">
        <f t="shared" si="118"/>
        <v>12</v>
      </c>
      <c r="MD61" s="17">
        <f t="shared" si="118"/>
        <v>12</v>
      </c>
      <c r="ME61" s="17">
        <f t="shared" si="118"/>
        <v>12</v>
      </c>
      <c r="MF61" s="17">
        <f t="shared" si="118"/>
        <v>12</v>
      </c>
      <c r="MG61" s="17">
        <f t="shared" si="118"/>
        <v>12</v>
      </c>
      <c r="MH61" s="17">
        <f t="shared" si="118"/>
        <v>12</v>
      </c>
      <c r="MI61" s="17">
        <f t="shared" si="118"/>
        <v>12</v>
      </c>
      <c r="MJ61" s="17">
        <f t="shared" si="118"/>
        <v>12</v>
      </c>
      <c r="MK61" s="17">
        <f t="shared" si="118"/>
        <v>12</v>
      </c>
      <c r="ML61" s="17">
        <f t="shared" si="118"/>
        <v>12</v>
      </c>
      <c r="MM61" s="17">
        <f t="shared" si="118"/>
        <v>12</v>
      </c>
      <c r="MN61" s="17">
        <f t="shared" si="118"/>
        <v>12</v>
      </c>
      <c r="MO61" s="17">
        <f t="shared" si="118"/>
        <v>12</v>
      </c>
      <c r="MP61" s="17">
        <f t="shared" si="118"/>
        <v>12</v>
      </c>
      <c r="MQ61" s="17">
        <f t="shared" si="118"/>
        <v>12</v>
      </c>
      <c r="MR61" s="17">
        <f t="shared" si="118"/>
        <v>12</v>
      </c>
      <c r="MS61" s="17">
        <f t="shared" si="118"/>
        <v>12</v>
      </c>
      <c r="MT61" s="17">
        <f t="shared" si="118"/>
        <v>12</v>
      </c>
      <c r="MU61" s="17">
        <f t="shared" si="118"/>
        <v>12</v>
      </c>
      <c r="MV61" s="17">
        <f t="shared" si="118"/>
        <v>12</v>
      </c>
      <c r="MW61" s="17">
        <f t="shared" si="118"/>
        <v>12</v>
      </c>
      <c r="MX61" s="17">
        <f t="shared" si="118"/>
        <v>12</v>
      </c>
      <c r="MY61" s="17">
        <f t="shared" si="118"/>
        <v>12</v>
      </c>
      <c r="MZ61" s="17">
        <f t="shared" si="118"/>
        <v>12</v>
      </c>
      <c r="NA61" s="17">
        <f t="shared" si="118"/>
        <v>12</v>
      </c>
      <c r="NB61" s="17">
        <f t="shared" si="118"/>
        <v>12</v>
      </c>
      <c r="NC61" s="17">
        <f t="shared" si="118"/>
        <v>12</v>
      </c>
      <c r="ND61" s="17">
        <f t="shared" si="118"/>
        <v>12</v>
      </c>
      <c r="NE61" s="17">
        <f t="shared" si="118"/>
        <v>12</v>
      </c>
      <c r="NF61" s="17">
        <f t="shared" si="118"/>
        <v>12</v>
      </c>
      <c r="NG61" s="17">
        <f t="shared" si="118"/>
        <v>12</v>
      </c>
      <c r="NH61" s="17">
        <f t="shared" si="118"/>
        <v>12</v>
      </c>
      <c r="NI61" s="17">
        <f t="shared" si="118"/>
        <v>12</v>
      </c>
      <c r="NJ61" s="17">
        <f t="shared" si="118"/>
        <v>12</v>
      </c>
      <c r="NK61" s="17">
        <f t="shared" si="118"/>
        <v>12</v>
      </c>
      <c r="NL61" s="17">
        <f t="shared" si="118"/>
        <v>12</v>
      </c>
      <c r="NM61" s="17">
        <f t="shared" si="118"/>
        <v>12</v>
      </c>
      <c r="NN61" s="17">
        <f t="shared" si="118"/>
        <v>12</v>
      </c>
      <c r="NO61" s="17">
        <f t="shared" si="118"/>
        <v>12</v>
      </c>
      <c r="NP61" s="17">
        <f t="shared" si="118"/>
        <v>12</v>
      </c>
      <c r="NQ61" s="17">
        <f t="shared" si="118"/>
        <v>12</v>
      </c>
      <c r="NR61" s="17">
        <f t="shared" si="118"/>
        <v>12</v>
      </c>
      <c r="NS61" s="17">
        <f t="shared" si="118"/>
        <v>12</v>
      </c>
      <c r="NT61" s="17">
        <f t="shared" si="118"/>
        <v>12</v>
      </c>
      <c r="NU61" s="17">
        <f t="shared" si="118"/>
        <v>12</v>
      </c>
      <c r="NV61" s="17">
        <f t="shared" si="118"/>
        <v>12</v>
      </c>
      <c r="NW61" s="17">
        <f t="shared" si="118"/>
        <v>12</v>
      </c>
      <c r="NX61" s="17">
        <f t="shared" si="119"/>
        <v>12</v>
      </c>
      <c r="NY61" s="17">
        <f t="shared" si="119"/>
        <v>12</v>
      </c>
      <c r="NZ61" s="17">
        <f t="shared" si="119"/>
        <v>12</v>
      </c>
      <c r="OA61" s="17">
        <f t="shared" si="119"/>
        <v>12</v>
      </c>
      <c r="OB61" s="17">
        <f t="shared" si="119"/>
        <v>12</v>
      </c>
      <c r="OC61" s="17">
        <f t="shared" si="119"/>
        <v>12</v>
      </c>
      <c r="OD61" s="17">
        <f t="shared" si="119"/>
        <v>12</v>
      </c>
      <c r="OE61" s="17">
        <f t="shared" si="119"/>
        <v>12</v>
      </c>
      <c r="OF61" s="17">
        <f t="shared" si="119"/>
        <v>12</v>
      </c>
      <c r="OG61" s="17">
        <f t="shared" si="119"/>
        <v>12</v>
      </c>
      <c r="OH61" s="17">
        <f t="shared" si="119"/>
        <v>12</v>
      </c>
      <c r="OI61" s="17">
        <f t="shared" si="119"/>
        <v>12</v>
      </c>
      <c r="OJ61" s="17">
        <f t="shared" si="119"/>
        <v>12</v>
      </c>
      <c r="OK61" s="17">
        <f t="shared" si="119"/>
        <v>12</v>
      </c>
      <c r="OL61" s="17">
        <f t="shared" si="119"/>
        <v>12</v>
      </c>
      <c r="OM61" s="17">
        <f t="shared" si="119"/>
        <v>12</v>
      </c>
      <c r="ON61" s="17">
        <f t="shared" si="119"/>
        <v>12</v>
      </c>
      <c r="OO61" s="17">
        <f t="shared" si="119"/>
        <v>12</v>
      </c>
      <c r="OP61" s="17">
        <f t="shared" si="119"/>
        <v>12</v>
      </c>
      <c r="OQ61" s="17">
        <f t="shared" si="119"/>
        <v>12</v>
      </c>
      <c r="OR61" s="17">
        <f t="shared" si="119"/>
        <v>12</v>
      </c>
      <c r="OS61" s="17">
        <f t="shared" si="119"/>
        <v>12</v>
      </c>
      <c r="OT61" s="17">
        <f t="shared" si="119"/>
        <v>12</v>
      </c>
      <c r="OU61" s="17">
        <f t="shared" si="119"/>
        <v>12</v>
      </c>
      <c r="OV61" s="17">
        <f t="shared" si="119"/>
        <v>12</v>
      </c>
      <c r="OW61" s="17">
        <f t="shared" si="119"/>
        <v>12</v>
      </c>
      <c r="OX61" s="17">
        <f t="shared" si="119"/>
        <v>12</v>
      </c>
      <c r="OY61" s="17">
        <f t="shared" si="119"/>
        <v>12</v>
      </c>
      <c r="OZ61" s="17">
        <f t="shared" si="119"/>
        <v>12</v>
      </c>
      <c r="PA61" s="17">
        <f t="shared" si="119"/>
        <v>12</v>
      </c>
      <c r="PB61" s="17">
        <f t="shared" si="119"/>
        <v>12</v>
      </c>
      <c r="PC61" s="17">
        <f t="shared" si="119"/>
        <v>12</v>
      </c>
      <c r="PD61" s="17">
        <f t="shared" si="119"/>
        <v>12</v>
      </c>
      <c r="PE61" s="17">
        <f t="shared" si="119"/>
        <v>12</v>
      </c>
      <c r="PF61" s="17">
        <f t="shared" si="119"/>
        <v>12</v>
      </c>
      <c r="PG61" s="17">
        <f t="shared" si="119"/>
        <v>12</v>
      </c>
    </row>
    <row r="62" spans="1:423" x14ac:dyDescent="0.25">
      <c r="A62" s="8" t="s">
        <v>5506</v>
      </c>
      <c r="B62" s="9" t="s">
        <v>25</v>
      </c>
      <c r="C62" s="9" t="str">
        <f t="shared" si="120"/>
        <v>CN2</v>
      </c>
      <c r="D62" s="1" t="str">
        <f t="shared" si="121"/>
        <v>Cadre N2</v>
      </c>
      <c r="E62" s="1" t="s">
        <v>9865</v>
      </c>
      <c r="F62" s="9" t="s">
        <v>11148</v>
      </c>
      <c r="G62" s="9">
        <v>80</v>
      </c>
      <c r="H62" s="9">
        <v>15</v>
      </c>
      <c r="I62" s="127">
        <v>3.1</v>
      </c>
      <c r="J62" s="30"/>
      <c r="K62" s="10" t="s">
        <v>5539</v>
      </c>
      <c r="L62" s="8">
        <v>5</v>
      </c>
      <c r="M62" s="9">
        <v>5</v>
      </c>
      <c r="N62" s="10">
        <v>9.9990000000000006</v>
      </c>
      <c r="O62" s="269">
        <v>1</v>
      </c>
      <c r="P62" s="331">
        <v>1</v>
      </c>
      <c r="Q62" s="335">
        <v>2</v>
      </c>
      <c r="R62" s="8"/>
      <c r="S62" s="9"/>
      <c r="T62" s="10"/>
      <c r="U62" t="s">
        <v>5523</v>
      </c>
      <c r="V62" s="17">
        <v>0</v>
      </c>
      <c r="W62" s="17">
        <f>IF(Distances[[#This Row],[Colonne4]]=$G62,V62,Distances[[#This Row],[Colonne4]]+1)</f>
        <v>1</v>
      </c>
      <c r="X62" s="17">
        <f>IF(Distances[[#This Row],[Colonne5]]=$G62,W62,Distances[[#This Row],[Colonne5]]+1)</f>
        <v>2</v>
      </c>
      <c r="Y62" s="17">
        <f>IF(Distances[[#This Row],[Colonne6]]=$G62,X62,Distances[[#This Row],[Colonne6]]+1)</f>
        <v>3</v>
      </c>
      <c r="Z62" s="17">
        <f>IF(Distances[[#This Row],[Colonne7]]=$G62,Y62,Distances[[#This Row],[Colonne7]]+1)</f>
        <v>4</v>
      </c>
      <c r="AA62" s="17">
        <f>IF(Distances[[#This Row],[Colonne8]]=$G62,Z62,Distances[[#This Row],[Colonne8]]+1)</f>
        <v>5</v>
      </c>
      <c r="AB62" s="17">
        <f>IF(Distances[[#This Row],[Colonne9]]=$G62,AA62,Distances[[#This Row],[Colonne9]]+1)</f>
        <v>6</v>
      </c>
      <c r="AC62" s="17">
        <f>IF(Distances[[#This Row],[Colonne10]]=$G62,AB62,Distances[[#This Row],[Colonne10]]+1)</f>
        <v>7</v>
      </c>
      <c r="AD62" s="17">
        <f>IF(Distances[[#This Row],[Colonne11]]=$G62,AC62,Distances[[#This Row],[Colonne11]]+1)</f>
        <v>8</v>
      </c>
      <c r="AE62" s="17">
        <f>IF(Distances[[#This Row],[Colonne12]]=$G62,AD62,Distances[[#This Row],[Colonne12]]+1)</f>
        <v>9</v>
      </c>
      <c r="AF62" s="17">
        <f>IF(Distances[[#This Row],[Colonne13]]=$G62,AE62,Distances[[#This Row],[Colonne13]]+1)</f>
        <v>10</v>
      </c>
      <c r="AG62" s="17">
        <f>IF(Distances[[#This Row],[Colonne14]]=$G62,AF62,Distances[[#This Row],[Colonne14]]+1)</f>
        <v>11</v>
      </c>
      <c r="AH62" s="17">
        <f>IF(Distances[[#This Row],[Colonne15]]=$G62,AG62,Distances[[#This Row],[Colonne15]]+1)</f>
        <v>12</v>
      </c>
      <c r="AI62" s="17">
        <f>IF(Distances[[#This Row],[Colonne16]]=$G62,AH62,Distances[[#This Row],[Colonne16]]+1)</f>
        <v>13</v>
      </c>
      <c r="AJ62" s="17">
        <f>IF(Distances[[#This Row],[Colonne17]]=$G62,AI62,Distances[[#This Row],[Colonne17]]+1)</f>
        <v>14</v>
      </c>
      <c r="AK62" s="17">
        <f>IF(Distances[[#This Row],[Colonne18]]=$G62,AJ62,Distances[[#This Row],[Colonne18]]+1)</f>
        <v>15</v>
      </c>
      <c r="AL62" s="17">
        <f>IF(Distances[[#This Row],[Colonne19]]=$G62,AK62,Distances[[#This Row],[Colonne19]]+1)</f>
        <v>16</v>
      </c>
      <c r="AM62" s="17">
        <f>IF(Distances[[#This Row],[Colonne20]]=$G62,AL62,Distances[[#This Row],[Colonne20]]+1)</f>
        <v>17</v>
      </c>
      <c r="AN62" s="17">
        <f>IF(Distances[[#This Row],[Colonne21]]=$G62,AM62,Distances[[#This Row],[Colonne21]]+1)</f>
        <v>18</v>
      </c>
      <c r="AO62" s="17">
        <f>IF(Distances[[#This Row],[Colonne22]]=$G62,AN62,Distances[[#This Row],[Colonne22]]+1)</f>
        <v>19</v>
      </c>
      <c r="AP62" s="17">
        <f>IF(Distances[[#This Row],[Colonne23]]=$G62,AO62,Distances[[#This Row],[Colonne23]]+1)</f>
        <v>20</v>
      </c>
      <c r="AQ62" s="17">
        <f>IF(Distances[[#This Row],[Colonne24]]=$G62,AP62,Distances[[#This Row],[Colonne24]]+1)</f>
        <v>21</v>
      </c>
      <c r="AR62" s="17">
        <f>IF(Distances[[#This Row],[Colonne25]]=$G62,AQ62,Distances[[#This Row],[Colonne25]]+1)</f>
        <v>22</v>
      </c>
      <c r="AS62" s="17">
        <f>IF(Distances[[#This Row],[Colonne26]]=$G62,AR62,Distances[[#This Row],[Colonne26]]+1)</f>
        <v>23</v>
      </c>
      <c r="AT62" s="17">
        <f>IF(Distances[[#This Row],[Colonne27]]=$G62,AS62,Distances[[#This Row],[Colonne27]]+1)</f>
        <v>24</v>
      </c>
      <c r="AU62" s="17">
        <f>IF(Distances[[#This Row],[Colonne28]]=$G62,AT62,Distances[[#This Row],[Colonne28]]+1)</f>
        <v>25</v>
      </c>
      <c r="AV62" s="17">
        <f>IF(Distances[[#This Row],[Colonne29]]=$G62,AU62,Distances[[#This Row],[Colonne29]]+1)</f>
        <v>26</v>
      </c>
      <c r="AW62" s="17">
        <f>IF(Distances[[#This Row],[Colonne30]]=$G62,AV62,Distances[[#This Row],[Colonne30]]+1)</f>
        <v>27</v>
      </c>
      <c r="AX62" s="17">
        <f>IF(Distances[[#This Row],[Colonne31]]=$G62,AW62,Distances[[#This Row],[Colonne31]]+1)</f>
        <v>28</v>
      </c>
      <c r="AY62" s="17">
        <f>IF(Distances[[#This Row],[Colonne32]]=$G62,AX62,Distances[[#This Row],[Colonne32]]+1)</f>
        <v>29</v>
      </c>
      <c r="AZ62" s="17">
        <f>IF(Distances[[#This Row],[Colonne33]]=$G62,AY62,Distances[[#This Row],[Colonne33]]+1)</f>
        <v>30</v>
      </c>
      <c r="BA62" s="17">
        <f>IF(Distances[[#This Row],[Colonne34]]=$G62,AZ62,Distances[[#This Row],[Colonne34]]+1)</f>
        <v>31</v>
      </c>
      <c r="BB62" s="17">
        <f>IF(Distances[[#This Row],[Colonne35]]=$G62,BA62,Distances[[#This Row],[Colonne35]]+1)</f>
        <v>32</v>
      </c>
      <c r="BC62" s="17">
        <f>IF(Distances[[#This Row],[Colonne36]]=$G62,BB62,Distances[[#This Row],[Colonne36]]+1)</f>
        <v>33</v>
      </c>
      <c r="BD62" s="17">
        <f>IF(Distances[[#This Row],[Colonne37]]=$G62,BC62,Distances[[#This Row],[Colonne37]]+1)</f>
        <v>34</v>
      </c>
      <c r="BE62" s="17">
        <f>IF(Distances[[#This Row],[Colonne38]]=$G62,BD62,Distances[[#This Row],[Colonne38]]+1)</f>
        <v>35</v>
      </c>
      <c r="BF62" s="17">
        <f>IF(Distances[[#This Row],[Colonne39]]=$G62,BE62,Distances[[#This Row],[Colonne39]]+1)</f>
        <v>36</v>
      </c>
      <c r="BG62" s="17">
        <f>IF(Distances[[#This Row],[Colonne40]]=$G62,BF62,Distances[[#This Row],[Colonne40]]+1)</f>
        <v>37</v>
      </c>
      <c r="BH62" s="17">
        <f>IF(Distances[[#This Row],[Colonne41]]=$G62,BG62,Distances[[#This Row],[Colonne41]]+1)</f>
        <v>38</v>
      </c>
      <c r="BI62" s="17">
        <f>IF(Distances[[#This Row],[Colonne42]]=$G62,BH62,Distances[[#This Row],[Colonne42]]+1)</f>
        <v>39</v>
      </c>
      <c r="BJ62" s="17">
        <f>IF(Distances[[#This Row],[Colonne43]]=$G62,BI62,Distances[[#This Row],[Colonne43]]+1)</f>
        <v>40</v>
      </c>
      <c r="BK62" s="17">
        <f>IF(Distances[[#This Row],[Colonne44]]=$G62,BJ62,Distances[[#This Row],[Colonne44]]+1)</f>
        <v>41</v>
      </c>
      <c r="BL62" s="17">
        <f>IF(Distances[[#This Row],[Colonne45]]=$G62,BK62,Distances[[#This Row],[Colonne45]]+1)</f>
        <v>42</v>
      </c>
      <c r="BM62" s="17">
        <f>IF(Distances[[#This Row],[Colonne46]]=$G62,BL62,Distances[[#This Row],[Colonne46]]+1)</f>
        <v>43</v>
      </c>
      <c r="BN62" s="17">
        <f>IF(Distances[[#This Row],[Colonne47]]=$G62,BM62,Distances[[#This Row],[Colonne47]]+1)</f>
        <v>44</v>
      </c>
      <c r="BO62" s="17">
        <f>IF(Distances[[#This Row],[Colonne48]]=$G62,BN62,Distances[[#This Row],[Colonne48]]+1)</f>
        <v>45</v>
      </c>
      <c r="BP62" s="17">
        <f>IF(Distances[[#This Row],[Colonne49]]=$G62,BO62,Distances[[#This Row],[Colonne49]]+1)</f>
        <v>46</v>
      </c>
      <c r="BQ62" s="17">
        <f>IF(Distances[[#This Row],[Colonne50]]=$G62,BP62,Distances[[#This Row],[Colonne50]]+1)</f>
        <v>47</v>
      </c>
      <c r="BR62" s="17">
        <f>IF(Distances[[#This Row],[Colonne51]]=$G62,BQ62,Distances[[#This Row],[Colonne51]]+1)</f>
        <v>48</v>
      </c>
      <c r="BS62" s="17">
        <f>IF(Distances[[#This Row],[Colonne52]]=$G62,BR62,Distances[[#This Row],[Colonne52]]+1)</f>
        <v>49</v>
      </c>
      <c r="BT62" s="17">
        <f>IF(Distances[[#This Row],[Colonne53]]=$G62,BS62,Distances[[#This Row],[Colonne53]]+1)</f>
        <v>50</v>
      </c>
      <c r="BU62" s="17">
        <f>IF(Distances[[#This Row],[Colonne54]]=$G62,BT62,Distances[[#This Row],[Colonne54]]+1)</f>
        <v>51</v>
      </c>
      <c r="BV62" s="17">
        <f>IF(Distances[[#This Row],[Colonne55]]=$G62,BU62,Distances[[#This Row],[Colonne55]]+1)</f>
        <v>52</v>
      </c>
      <c r="BW62" s="17">
        <f>IF(Distances[[#This Row],[Colonne56]]=$G62,BV62,Distances[[#This Row],[Colonne56]]+1)</f>
        <v>53</v>
      </c>
      <c r="BX62" s="17">
        <f>IF(Distances[[#This Row],[Colonne57]]=$G62,BW62,Distances[[#This Row],[Colonne57]]+1)</f>
        <v>54</v>
      </c>
      <c r="BY62" s="17">
        <f>IF(Distances[[#This Row],[Colonne58]]=$G62,BX62,Distances[[#This Row],[Colonne58]]+1)</f>
        <v>55</v>
      </c>
      <c r="BZ62" s="17">
        <f>IF(Distances[[#This Row],[Colonne59]]=$G62,BY62,Distances[[#This Row],[Colonne59]]+1)</f>
        <v>56</v>
      </c>
      <c r="CA62" s="17">
        <f>IF(Distances[[#This Row],[Colonne60]]=$G62,BZ62,Distances[[#This Row],[Colonne60]]+1)</f>
        <v>57</v>
      </c>
      <c r="CB62" s="17">
        <f>IF(Distances[[#This Row],[Colonne61]]=$G62,CA62,Distances[[#This Row],[Colonne61]]+1)</f>
        <v>58</v>
      </c>
      <c r="CC62" s="17">
        <f>IF(Distances[[#This Row],[Colonne62]]=$G62,CB62,Distances[[#This Row],[Colonne62]]+1)</f>
        <v>59</v>
      </c>
      <c r="CD62" s="17">
        <f>IF(Distances[[#This Row],[Colonne63]]=$G62,CC62,Distances[[#This Row],[Colonne63]]+1)</f>
        <v>60</v>
      </c>
      <c r="CE62" s="17">
        <f>IF(Distances[[#This Row],[Colonne64]]=$G62,CD62,Distances[[#This Row],[Colonne64]]+1)</f>
        <v>61</v>
      </c>
      <c r="CF62" s="17">
        <f>IF(Distances[[#This Row],[Colonne65]]=$G62,CE62,Distances[[#This Row],[Colonne65]]+1)</f>
        <v>62</v>
      </c>
      <c r="CG62" s="17">
        <f>IF(Distances[[#This Row],[Colonne66]]=$G62,CF62,Distances[[#This Row],[Colonne66]]+1)</f>
        <v>63</v>
      </c>
      <c r="CH62" s="17">
        <f>IF(Distances[[#This Row],[Colonne67]]=$G62,CG62,Distances[[#This Row],[Colonne67]]+1)</f>
        <v>64</v>
      </c>
      <c r="CI62" s="17">
        <f>IF(Distances[[#This Row],[Colonne68]]=$G62,CH62,Distances[[#This Row],[Colonne68]]+1)</f>
        <v>65</v>
      </c>
      <c r="CJ62" s="17">
        <f>IF(Distances[[#This Row],[Colonne69]]=$G62,CI62,Distances[[#This Row],[Colonne69]]+1)</f>
        <v>66</v>
      </c>
      <c r="CK62" s="17">
        <f>IF(Distances[[#This Row],[Colonne70]]=$G62,CJ62,Distances[[#This Row],[Colonne70]]+1)</f>
        <v>67</v>
      </c>
      <c r="CL62" s="17">
        <f>IF(Distances[[#This Row],[Colonne71]]=$G62,CK62,Distances[[#This Row],[Colonne71]]+1)</f>
        <v>68</v>
      </c>
      <c r="CM62" s="17">
        <f>IF(Distances[[#This Row],[Colonne72]]=$G62,CL62,Distances[[#This Row],[Colonne72]]+1)</f>
        <v>69</v>
      </c>
      <c r="CN62" s="17">
        <f>IF(Distances[[#This Row],[Colonne73]]=$G62,CM62,Distances[[#This Row],[Colonne73]]+1)</f>
        <v>70</v>
      </c>
      <c r="CO62" s="17">
        <f>IF(Distances[[#This Row],[Colonne74]]=$G62,CN62,Distances[[#This Row],[Colonne74]]+1)</f>
        <v>71</v>
      </c>
      <c r="CP62" s="17">
        <f>IF(Distances[[#This Row],[Colonne75]]=$G62,CO62,Distances[[#This Row],[Colonne75]]+1)</f>
        <v>72</v>
      </c>
      <c r="CQ62" s="17">
        <f>IF(Distances[[#This Row],[Colonne76]]=$G62,CP62,Distances[[#This Row],[Colonne76]]+1)</f>
        <v>73</v>
      </c>
      <c r="CR62" s="17">
        <f>IF(Distances[[#This Row],[Colonne77]]=$G62,CQ62,Distances[[#This Row],[Colonne77]]+1)</f>
        <v>74</v>
      </c>
      <c r="CS62" s="17">
        <f>IF(Distances[[#This Row],[Colonne78]]=$G62,CR62,Distances[[#This Row],[Colonne78]]+1)</f>
        <v>75</v>
      </c>
      <c r="CT62" s="17">
        <f>IF(Distances[[#This Row],[Colonne79]]=$G62,CS62,Distances[[#This Row],[Colonne79]]+1)</f>
        <v>76</v>
      </c>
      <c r="CU62" s="17">
        <f>IF(Distances[[#This Row],[Colonne80]]=$G62,CT62,Distances[[#This Row],[Colonne80]]+1)</f>
        <v>77</v>
      </c>
      <c r="CV62" s="17">
        <f>IF(Distances[[#This Row],[Colonne81]]=$G62,CU62,Distances[[#This Row],[Colonne81]]+1)</f>
        <v>78</v>
      </c>
      <c r="CW62" s="17">
        <f>IF(Distances[[#This Row],[Colonne82]]=$G62,CV62,Distances[[#This Row],[Colonne82]]+1)</f>
        <v>79</v>
      </c>
      <c r="CX62" s="17">
        <f>IF(Distances[[#This Row],[Colonne83]]=$G62,CW62,Distances[[#This Row],[Colonne83]]+1)</f>
        <v>80</v>
      </c>
      <c r="CY62" s="17">
        <f>IF(Distances[[#This Row],[Colonne84]]=$G62,CX62,Distances[[#This Row],[Colonne84]]+1)</f>
        <v>80</v>
      </c>
      <c r="CZ62" s="17">
        <f>IF(Distances[[#This Row],[Colonne85]]=$G62,CY62,Distances[[#This Row],[Colonne85]]+1)</f>
        <v>80</v>
      </c>
      <c r="DA62" s="17">
        <f>IF(Distances[[#This Row],[Colonne86]]=$G62,CZ62,Distances[[#This Row],[Colonne86]]+1)</f>
        <v>80</v>
      </c>
      <c r="DB62" s="17">
        <f>IF(Distances[[#This Row],[Colonne87]]=$G62,DA62,Distances[[#This Row],[Colonne87]]+1)</f>
        <v>80</v>
      </c>
      <c r="DC62" s="17">
        <f>IF(Distances[[#This Row],[Colonne88]]=$G62,DB62,Distances[[#This Row],[Colonne88]]+1)</f>
        <v>80</v>
      </c>
      <c r="DD62" s="17">
        <f>IF(Distances[[#This Row],[Colonne89]]=$G62,DC62,Distances[[#This Row],[Colonne89]]+1)</f>
        <v>80</v>
      </c>
      <c r="DE62" s="17">
        <f>IF(Distances[[#This Row],[Colonne90]]=$G62,DD62,Distances[[#This Row],[Colonne90]]+1)</f>
        <v>80</v>
      </c>
      <c r="DF62" s="17">
        <f>IF(Distances[[#This Row],[Colonne91]]=$G62,DE62,Distances[[#This Row],[Colonne91]]+1)</f>
        <v>80</v>
      </c>
      <c r="DG62" s="17">
        <f>IF(Distances[[#This Row],[Colonne92]]=$G62,DF62,Distances[[#This Row],[Colonne92]]+1)</f>
        <v>80</v>
      </c>
      <c r="DH62" s="17">
        <f>IF(Distances[[#This Row],[Colonne93]]=$G62,DG62,Distances[[#This Row],[Colonne93]]+1)</f>
        <v>80</v>
      </c>
      <c r="DI62" s="17">
        <f>IF(Distances[[#This Row],[Colonne94]]=$G62,DH62,Distances[[#This Row],[Colonne94]]+1)</f>
        <v>80</v>
      </c>
      <c r="DJ62" s="17">
        <f>IF(Distances[[#This Row],[Colonne95]]=$G62,DI62,Distances[[#This Row],[Colonne95]]+1)</f>
        <v>80</v>
      </c>
      <c r="DK62" s="17">
        <f>IF(Distances[[#This Row],[Colonne96]]=$G62,DJ62,Distances[[#This Row],[Colonne96]]+1)</f>
        <v>80</v>
      </c>
      <c r="DL62" s="17">
        <f>IF(Distances[[#This Row],[Colonne97]]=$G62,DK62,Distances[[#This Row],[Colonne97]]+1)</f>
        <v>80</v>
      </c>
      <c r="DM62" s="17">
        <f>IF(Distances[[#This Row],[Colonne98]]=$G62,DL62,Distances[[#This Row],[Colonne98]]+1)</f>
        <v>80</v>
      </c>
      <c r="DN62" s="17">
        <f>IF(Distances[[#This Row],[Colonne99]]=$G62,DM62,Distances[[#This Row],[Colonne99]]+1)</f>
        <v>80</v>
      </c>
      <c r="DO62" s="17">
        <f>IF(Distances[[#This Row],[Colonne100]]=$G62,DN62,Distances[[#This Row],[Colonne100]]+1)</f>
        <v>80</v>
      </c>
      <c r="DP62" s="17">
        <f>IF(Distances[[#This Row],[Colonne101]]=$G62,DO62,Distances[[#This Row],[Colonne101]]+1)</f>
        <v>80</v>
      </c>
      <c r="DQ62" s="17">
        <f>IF(Distances[[#This Row],[Colonne102]]=$G62,DP62,Distances[[#This Row],[Colonne102]]+1)</f>
        <v>80</v>
      </c>
      <c r="DR62" s="17">
        <f>IF(Distances[[#This Row],[Colonne103]]=$G62,DQ62,Distances[[#This Row],[Colonne103]]+1)</f>
        <v>80</v>
      </c>
      <c r="DS62" s="17">
        <f>IF(Distances[[#This Row],[Colonne104]]=$G62,DR62,Distances[[#This Row],[Colonne104]]+1)</f>
        <v>80</v>
      </c>
      <c r="DT62" s="17">
        <f>IF(Distances[[#This Row],[Colonne105]]=$G62,DS62,Distances[[#This Row],[Colonne105]]+1)</f>
        <v>80</v>
      </c>
      <c r="DU62" s="17">
        <f>IF(Distances[[#This Row],[Colonne106]]=$G62,DT62,Distances[[#This Row],[Colonne106]]+1)</f>
        <v>80</v>
      </c>
      <c r="DV62" s="17">
        <f>IF(Distances[[#This Row],[Colonne107]]=$G62,DU62,Distances[[#This Row],[Colonne107]]+1)</f>
        <v>80</v>
      </c>
      <c r="DW62" s="17">
        <f>IF(Distances[[#This Row],[Colonne108]]=$G62,DV62,Distances[[#This Row],[Colonne108]]+1)</f>
        <v>80</v>
      </c>
      <c r="DX62" s="17">
        <f>IF(Distances[[#This Row],[Colonne109]]=$G62,DW62,Distances[[#This Row],[Colonne109]]+1)</f>
        <v>80</v>
      </c>
      <c r="DY62" s="17">
        <f>IF(Distances[[#This Row],[Colonne110]]=$G62,DX62,Distances[[#This Row],[Colonne110]]+1)</f>
        <v>80</v>
      </c>
      <c r="DZ62" s="17">
        <f>IF(Distances[[#This Row],[Colonne111]]=$G62,DY62,Distances[[#This Row],[Colonne111]]+1)</f>
        <v>80</v>
      </c>
      <c r="EA62" s="17">
        <f>IF(Distances[[#This Row],[Colonne112]]=$G62,DZ62,Distances[[#This Row],[Colonne112]]+1)</f>
        <v>80</v>
      </c>
      <c r="EB62" s="17">
        <f>IF(Distances[[#This Row],[Colonne113]]=$G62,EA62,Distances[[#This Row],[Colonne113]]+1)</f>
        <v>80</v>
      </c>
      <c r="EC62" s="17">
        <f>IF(Distances[[#This Row],[Colonne114]]=$G62,EB62,Distances[[#This Row],[Colonne114]]+1)</f>
        <v>80</v>
      </c>
      <c r="ED62" s="17">
        <f>IF(Distances[[#This Row],[Colonne115]]=$G62,EC62,Distances[[#This Row],[Colonne115]]+1)</f>
        <v>80</v>
      </c>
      <c r="EE62" s="17">
        <f>IF(Distances[[#This Row],[Colonne116]]=$G62,ED62,Distances[[#This Row],[Colonne116]]+1)</f>
        <v>80</v>
      </c>
      <c r="EF62" s="17">
        <f>IF(Distances[[#This Row],[Colonne117]]=$G62,EE62,Distances[[#This Row],[Colonne117]]+1)</f>
        <v>80</v>
      </c>
      <c r="EG62" s="17">
        <f>IF(Distances[[#This Row],[Colonne118]]=$G62,EF62,Distances[[#This Row],[Colonne118]]+1)</f>
        <v>80</v>
      </c>
      <c r="EH62" s="17">
        <f>IF(Distances[[#This Row],[Colonne119]]=$G62,EG62,Distances[[#This Row],[Colonne119]]+1)</f>
        <v>80</v>
      </c>
      <c r="EI62" s="17">
        <f>IF(Distances[[#This Row],[Colonne120]]=$G62,EH62,Distances[[#This Row],[Colonne120]]+1)</f>
        <v>80</v>
      </c>
      <c r="EJ62" s="17">
        <f>IF(Distances[[#This Row],[Colonne121]]=$G62,EI62,Distances[[#This Row],[Colonne121]]+1)</f>
        <v>80</v>
      </c>
      <c r="EK62" s="17">
        <f>IF(Distances[[#This Row],[Colonne122]]=$G62,EJ62,Distances[[#This Row],[Colonne122]]+1)</f>
        <v>80</v>
      </c>
      <c r="EL62" s="17">
        <f>IF(Distances[[#This Row],[Colonne123]]=$G62,EK62,Distances[[#This Row],[Colonne123]]+1)</f>
        <v>80</v>
      </c>
      <c r="EM62" s="17">
        <f>IF(Distances[[#This Row],[Colonne124]]=$G62,EL62,Distances[[#This Row],[Colonne124]]+1)</f>
        <v>80</v>
      </c>
      <c r="EN62" s="17">
        <f>IF(Distances[[#This Row],[Colonne125]]=$G62,EM62,Distances[[#This Row],[Colonne125]]+1)</f>
        <v>80</v>
      </c>
      <c r="EO62" s="17">
        <f>IF(Distances[[#This Row],[Colonne126]]=$G62,EN62,Distances[[#This Row],[Colonne126]]+1)</f>
        <v>80</v>
      </c>
      <c r="EP62" s="17">
        <f>IF(Distances[[#This Row],[Colonne127]]=$G62,EO62,Distances[[#This Row],[Colonne127]]+1)</f>
        <v>80</v>
      </c>
      <c r="EQ62" s="17">
        <f>IF(Distances[[#This Row],[Colonne128]]=$G62,EP62,Distances[[#This Row],[Colonne128]]+1)</f>
        <v>80</v>
      </c>
      <c r="ER62" s="17">
        <f>IF(Distances[[#This Row],[Colonne129]]=$G62,EQ62,Distances[[#This Row],[Colonne129]]+1)</f>
        <v>80</v>
      </c>
      <c r="ES62" s="17">
        <f>IF(Distances[[#This Row],[Colonne130]]=$G62,ER62,Distances[[#This Row],[Colonne130]]+1)</f>
        <v>80</v>
      </c>
      <c r="ET62" s="17">
        <f>IF(Distances[[#This Row],[Colonne131]]=$G62,ES62,Distances[[#This Row],[Colonne131]]+1)</f>
        <v>80</v>
      </c>
      <c r="EU62" s="17">
        <f>IF(Distances[[#This Row],[Colonne132]]=$G62,ET62,Distances[[#This Row],[Colonne132]]+1)</f>
        <v>80</v>
      </c>
      <c r="EV62" s="17">
        <f>IF(Distances[[#This Row],[Colonne133]]=$G62,EU62,Distances[[#This Row],[Colonne133]]+1)</f>
        <v>80</v>
      </c>
      <c r="EW62" s="17">
        <f>IF(Distances[[#This Row],[Colonne134]]=$G62,EV62,Distances[[#This Row],[Colonne134]]+1)</f>
        <v>80</v>
      </c>
      <c r="EX62" s="17">
        <f>IF(Distances[[#This Row],[Colonne135]]=$G62,EW62,Distances[[#This Row],[Colonne135]]+1)</f>
        <v>80</v>
      </c>
      <c r="EY62" s="17">
        <f>IF(Distances[[#This Row],[Colonne136]]=$G62,EX62,Distances[[#This Row],[Colonne136]]+1)</f>
        <v>80</v>
      </c>
      <c r="EZ62" s="17">
        <f>IF(Distances[[#This Row],[Colonne137]]=$G62,EY62,Distances[[#This Row],[Colonne137]]+1)</f>
        <v>80</v>
      </c>
      <c r="FA62" s="17">
        <f>IF(Distances[[#This Row],[Colonne138]]=$G62,EZ62,Distances[[#This Row],[Colonne138]]+1)</f>
        <v>80</v>
      </c>
      <c r="FB62" s="17">
        <f>IF(Distances[[#This Row],[Colonne139]]=$G62,FA62,Distances[[#This Row],[Colonne139]]+1)</f>
        <v>80</v>
      </c>
      <c r="FC62" s="17">
        <f>IF(Distances[[#This Row],[Colonne140]]=$G62,FB62,Distances[[#This Row],[Colonne140]]+1)</f>
        <v>80</v>
      </c>
      <c r="FD62" s="17">
        <f>IF(Distances[[#This Row],[Colonne141]]=$G62,FC62,Distances[[#This Row],[Colonne141]]+1)</f>
        <v>80</v>
      </c>
      <c r="FE62" s="17">
        <f>IF(Distances[[#This Row],[Colonne142]]=$G62,FD62,Distances[[#This Row],[Colonne142]]+1)</f>
        <v>80</v>
      </c>
      <c r="FF62" s="17">
        <f>IF(Distances[[#This Row],[Colonne143]]=$G62,FE62,Distances[[#This Row],[Colonne143]]+1)</f>
        <v>80</v>
      </c>
      <c r="FG62" s="17">
        <f>IF(Distances[[#This Row],[Colonne144]]=$G62,FF62,Distances[[#This Row],[Colonne144]]+1)</f>
        <v>80</v>
      </c>
      <c r="FH62" s="17">
        <f>IF(Distances[[#This Row],[Colonne145]]=$G62,FG62,Distances[[#This Row],[Colonne145]]+1)</f>
        <v>80</v>
      </c>
      <c r="FI62" s="17">
        <f>IF(Distances[[#This Row],[Colonne146]]=$G62,FH62,Distances[[#This Row],[Colonne146]]+1)</f>
        <v>80</v>
      </c>
      <c r="FJ62" s="17">
        <f>IF(Distances[[#This Row],[Colonne147]]=$G62,FI62,Distances[[#This Row],[Colonne147]]+1)</f>
        <v>80</v>
      </c>
      <c r="FK62" s="17">
        <f>IF(Distances[[#This Row],[Colonne148]]=$G62,FJ62,Distances[[#This Row],[Colonne148]]+1)</f>
        <v>80</v>
      </c>
      <c r="FL62" s="17">
        <f>IF(Distances[[#This Row],[Colonne149]]=$G62,FK62,Distances[[#This Row],[Colonne149]]+1)</f>
        <v>80</v>
      </c>
      <c r="FM62" s="17">
        <f>IF(Distances[[#This Row],[Colonne150]]=$G62,FL62,Distances[[#This Row],[Colonne150]]+1)</f>
        <v>80</v>
      </c>
      <c r="FN62" s="17">
        <f>IF(Distances[[#This Row],[Colonne151]]=$G62,FM62,Distances[[#This Row],[Colonne151]]+1)</f>
        <v>80</v>
      </c>
      <c r="FO62" s="17">
        <f>IF(Distances[[#This Row],[Colonne152]]=$G62,FN62,Distances[[#This Row],[Colonne152]]+1)</f>
        <v>80</v>
      </c>
      <c r="FP62" s="17">
        <f>IF(Distances[[#This Row],[Colonne153]]=$G62,FO62,Distances[[#This Row],[Colonne153]]+1)</f>
        <v>80</v>
      </c>
      <c r="FQ62" s="17">
        <f>IF(Distances[[#This Row],[Colonne154]]=$G62,FP62,Distances[[#This Row],[Colonne154]]+1)</f>
        <v>80</v>
      </c>
      <c r="FR62" s="17">
        <f>IF(Distances[[#This Row],[Colonne155]]=$G62,FQ62,Distances[[#This Row],[Colonne155]]+1)</f>
        <v>80</v>
      </c>
      <c r="FS62" s="17">
        <f>IF(Distances[[#This Row],[Colonne156]]=$G62,FR62,Distances[[#This Row],[Colonne156]]+1)</f>
        <v>80</v>
      </c>
      <c r="FT62" s="17">
        <f>IF(Distances[[#This Row],[Colonne157]]=$G62,FS62,Distances[[#This Row],[Colonne157]]+1)</f>
        <v>80</v>
      </c>
      <c r="FU62" s="17">
        <f>IF(Distances[[#This Row],[Colonne158]]=$G62,FT62,Distances[[#This Row],[Colonne158]]+1)</f>
        <v>80</v>
      </c>
      <c r="FV62" s="17">
        <f>IF(Distances[[#This Row],[Colonne159]]=$G62,FU62,Distances[[#This Row],[Colonne159]]+1)</f>
        <v>80</v>
      </c>
      <c r="FW62" s="17">
        <f>IF(Distances[[#This Row],[Colonne160]]=$G62,FV62,Distances[[#This Row],[Colonne160]]+1)</f>
        <v>80</v>
      </c>
      <c r="FX62" s="17">
        <f>IF(Distances[[#This Row],[Colonne161]]=$G62,FW62,Distances[[#This Row],[Colonne161]]+1)</f>
        <v>80</v>
      </c>
      <c r="FY62" s="17">
        <f>IF(Distances[[#This Row],[Colonne162]]=$G62,FX62,Distances[[#This Row],[Colonne162]]+1)</f>
        <v>80</v>
      </c>
      <c r="FZ62" s="17">
        <f>IF(Distances[[#This Row],[Colonne163]]=$G62,FY62,Distances[[#This Row],[Colonne163]]+1)</f>
        <v>80</v>
      </c>
      <c r="GA62" s="17">
        <f>IF(Distances[[#This Row],[Colonne164]]=$G62,FZ62,Distances[[#This Row],[Colonne164]]+1)</f>
        <v>80</v>
      </c>
      <c r="GB62" s="17">
        <f>IF(Distances[[#This Row],[Colonne165]]=$G62,GA62,Distances[[#This Row],[Colonne165]]+1)</f>
        <v>80</v>
      </c>
      <c r="GC62" s="17">
        <f>IF(Distances[[#This Row],[Colonne166]]=$G62,GB62,Distances[[#This Row],[Colonne166]]+1)</f>
        <v>80</v>
      </c>
      <c r="GD62" s="17">
        <f>IF(Distances[[#This Row],[Colonne167]]=$G62,GC62,Distances[[#This Row],[Colonne167]]+1)</f>
        <v>80</v>
      </c>
      <c r="GE62" s="17">
        <f>IF(Distances[[#This Row],[Colonne168]]=$G62,GD62,Distances[[#This Row],[Colonne168]]+1)</f>
        <v>80</v>
      </c>
      <c r="GF62" s="17">
        <f>IF(Distances[[#This Row],[Colonne169]]=$G62,GE62,Distances[[#This Row],[Colonne169]]+1)</f>
        <v>80</v>
      </c>
      <c r="GG62" s="17">
        <f>IF(Distances[[#This Row],[Colonne170]]=$G62,GF62,Distances[[#This Row],[Colonne170]]+1)</f>
        <v>80</v>
      </c>
      <c r="GH62" s="17">
        <f>IF(Distances[[#This Row],[Colonne171]]=$G62,GG62,Distances[[#This Row],[Colonne171]]+1)</f>
        <v>80</v>
      </c>
      <c r="GI62" s="17">
        <f>IF(Distances[[#This Row],[Colonne172]]=$G62,GH62,Distances[[#This Row],[Colonne172]]+1)</f>
        <v>80</v>
      </c>
      <c r="GJ62" s="17">
        <f>IF(Distances[[#This Row],[Colonne173]]=$G62,GI62,Distances[[#This Row],[Colonne173]]+1)</f>
        <v>80</v>
      </c>
      <c r="GK62" s="17">
        <f>IF(Distances[[#This Row],[Colonne174]]=$G62,GJ62,Distances[[#This Row],[Colonne174]]+1)</f>
        <v>80</v>
      </c>
      <c r="GL62" s="17">
        <f>IF(Distances[[#This Row],[Colonne175]]=$G62,GK62,Distances[[#This Row],[Colonne175]]+1)</f>
        <v>80</v>
      </c>
      <c r="GM62" s="17">
        <f>IF(Distances[[#This Row],[Colonne176]]=$G62,GL62,Distances[[#This Row],[Colonne176]]+1)</f>
        <v>80</v>
      </c>
      <c r="GN62" s="17">
        <f>IF(Distances[[#This Row],[Colonne177]]=$G62,GM62,Distances[[#This Row],[Colonne177]]+1)</f>
        <v>80</v>
      </c>
      <c r="GO62" s="17">
        <f>IF(Distances[[#This Row],[Colonne178]]=$G62,GN62,Distances[[#This Row],[Colonne178]]+1)</f>
        <v>80</v>
      </c>
      <c r="GP62" s="17">
        <f>IF(Distances[[#This Row],[Colonne179]]=$G62,GO62,Distances[[#This Row],[Colonne179]]+1)</f>
        <v>80</v>
      </c>
      <c r="GQ62" s="17">
        <f>IF(Distances[[#This Row],[Colonne180]]=$G62,GP62,Distances[[#This Row],[Colonne180]]+1)</f>
        <v>80</v>
      </c>
      <c r="GR62" s="17">
        <f>IF(Distances[[#This Row],[Colonne181]]=$G62,GQ62,Distances[[#This Row],[Colonne181]]+1)</f>
        <v>80</v>
      </c>
      <c r="GS62" s="17">
        <f>IF(Distances[[#This Row],[Colonne182]]=$G62,GR62,Distances[[#This Row],[Colonne182]]+1)</f>
        <v>80</v>
      </c>
      <c r="GT62" s="17">
        <f>IF(Distances[[#This Row],[Colonne183]]=$G62,GS62,Distances[[#This Row],[Colonne183]]+1)</f>
        <v>80</v>
      </c>
      <c r="GU62" s="17">
        <f>IF(Distances[[#This Row],[Colonne184]]=$G62,GT62,Distances[[#This Row],[Colonne184]]+1)</f>
        <v>80</v>
      </c>
      <c r="GV62" s="17">
        <f>IF(Distances[[#This Row],[Colonne185]]=$G62,GU62,Distances[[#This Row],[Colonne185]]+1)</f>
        <v>80</v>
      </c>
      <c r="GW62" s="17">
        <f>IF(Distances[[#This Row],[Colonne186]]=$G62,GV62,Distances[[#This Row],[Colonne186]]+1)</f>
        <v>80</v>
      </c>
      <c r="GX62" s="17">
        <f>IF(Distances[[#This Row],[Colonne187]]=$G62,GW62,Distances[[#This Row],[Colonne187]]+1)</f>
        <v>80</v>
      </c>
      <c r="GY62" s="17">
        <f>IF(Distances[[#This Row],[Colonne188]]=$G62,GX62,Distances[[#This Row],[Colonne188]]+1)</f>
        <v>80</v>
      </c>
      <c r="GZ62" s="17">
        <f>IF(Distances[[#This Row],[Colonne189]]=$G62,GY62,Distances[[#This Row],[Colonne189]]+1)</f>
        <v>80</v>
      </c>
      <c r="HA62" s="17">
        <f>IF(Distances[[#This Row],[Colonne190]]=$G62,GZ62,Distances[[#This Row],[Colonne190]]+1)</f>
        <v>80</v>
      </c>
      <c r="HB62" s="17">
        <f>IF(Distances[[#This Row],[Colonne191]]=$G62,HA62,Distances[[#This Row],[Colonne191]]+1)</f>
        <v>80</v>
      </c>
      <c r="HC62" s="17">
        <f>IF(Distances[[#This Row],[Colonne192]]=$G62,HB62,Distances[[#This Row],[Colonne192]]+1)</f>
        <v>80</v>
      </c>
      <c r="HD62" s="17">
        <f>IF(Distances[[#This Row],[Colonne193]]=$G62,HC62,Distances[[#This Row],[Colonne193]]+1)</f>
        <v>80</v>
      </c>
      <c r="HE62" s="17">
        <f>IF(Distances[[#This Row],[Colonne194]]=$G62,HD62,Distances[[#This Row],[Colonne194]]+1)</f>
        <v>80</v>
      </c>
      <c r="HF62" s="17">
        <f>IF(Distances[[#This Row],[Colonne195]]=$G62,HE62,Distances[[#This Row],[Colonne195]]+1)</f>
        <v>80</v>
      </c>
      <c r="HG62" s="17">
        <f>IF(Distances[[#This Row],[Colonne196]]=$G62,HF62,Distances[[#This Row],[Colonne196]]+1)</f>
        <v>80</v>
      </c>
      <c r="HH62" s="17">
        <f>IF(Distances[[#This Row],[Colonne197]]=$G62,HG62,Distances[[#This Row],[Colonne197]]+1)</f>
        <v>80</v>
      </c>
      <c r="HI62" s="17">
        <f>IF(Distances[[#This Row],[Colonne198]]=$G62,HH62,Distances[[#This Row],[Colonne198]]+1)</f>
        <v>80</v>
      </c>
      <c r="HJ62" s="17">
        <f>IF(Distances[[#This Row],[Colonne199]]=$G62,HI62,Distances[[#This Row],[Colonne199]]+1)</f>
        <v>80</v>
      </c>
      <c r="HK62" s="17">
        <f>IF(Distances[[#This Row],[Colonne200]]=$G62,HJ62,Distances[[#This Row],[Colonne200]]+1)</f>
        <v>80</v>
      </c>
      <c r="HL62" s="17">
        <f>IF(Distances[[#This Row],[Colonne201]]=$G62,HK62,Distances[[#This Row],[Colonne201]]+1)</f>
        <v>80</v>
      </c>
      <c r="HM62" s="17">
        <f>IF(Distances[[#This Row],[Colonne202]]=$G62,HL62,Distances[[#This Row],[Colonne202]]+1)</f>
        <v>80</v>
      </c>
      <c r="HN62" s="17">
        <f>IF(Distances[[#This Row],[Colonne203]]=$G62,HM62,Distances[[#This Row],[Colonne203]]+1)</f>
        <v>80</v>
      </c>
      <c r="HO62" s="17">
        <f>IF(Distances[[#This Row],[Colonne204]]=$G62,HN62,Distances[[#This Row],[Colonne204]]+1)</f>
        <v>80</v>
      </c>
      <c r="HP62" s="17">
        <f>IF(Distances[[#This Row],[Colonne205]]=$G62,HO62,Distances[[#This Row],[Colonne205]]+1)</f>
        <v>80</v>
      </c>
      <c r="HQ62" s="17">
        <f>IF(Distances[[#This Row],[Colonne206]]=$G62,HP62,Distances[[#This Row],[Colonne206]]+1)</f>
        <v>80</v>
      </c>
      <c r="HR62" s="17">
        <f>IF(Distances[[#This Row],[Colonne207]]=$G62,HQ62,Distances[[#This Row],[Colonne207]]+1)</f>
        <v>80</v>
      </c>
      <c r="HS62" s="17">
        <f>IF(Distances[[#This Row],[Colonne208]]=$G62,HR62,Distances[[#This Row],[Colonne208]]+1)</f>
        <v>80</v>
      </c>
      <c r="HT62" s="17">
        <f>IF(Distances[[#This Row],[Colonne209]]=$G62,HS62,Distances[[#This Row],[Colonne209]]+1)</f>
        <v>80</v>
      </c>
      <c r="HU62" s="17">
        <f>IF(Distances[[#This Row],[Colonne210]]=$G62,HT62,Distances[[#This Row],[Colonne210]]+1)</f>
        <v>80</v>
      </c>
      <c r="HV62" s="17">
        <f>IF(Distances[[#This Row],[Colonne211]]=$G62,HU62,Distances[[#This Row],[Colonne211]]+1)</f>
        <v>80</v>
      </c>
      <c r="HW62" s="17">
        <f>IF(Distances[[#This Row],[Colonne212]]=$G62,HV62,Distances[[#This Row],[Colonne212]]+1)</f>
        <v>80</v>
      </c>
      <c r="HX62" s="17">
        <f>IF(Distances[[#This Row],[Colonne213]]=$G62,HW62,Distances[[#This Row],[Colonne213]]+1)</f>
        <v>80</v>
      </c>
      <c r="HY62" s="17">
        <f>IF(Distances[[#This Row],[Colonne214]]=$G62,HX62,Distances[[#This Row],[Colonne214]]+1)</f>
        <v>80</v>
      </c>
      <c r="HZ62" s="17">
        <f>IF(Distances[[#This Row],[Colonne215]]=$G62,HY62,Distances[[#This Row],[Colonne215]]+1)</f>
        <v>80</v>
      </c>
      <c r="IA62" s="17">
        <f>IF(Distances[[#This Row],[Colonne216]]=$G62,HZ62,Distances[[#This Row],[Colonne216]]+1)</f>
        <v>80</v>
      </c>
      <c r="IB62" s="17">
        <f>IF(Distances[[#This Row],[Colonne217]]=$G62,IA62,Distances[[#This Row],[Colonne217]]+1)</f>
        <v>80</v>
      </c>
      <c r="IC62" s="17">
        <f>IF(Distances[[#This Row],[Colonne218]]=$G62,IB62,Distances[[#This Row],[Colonne218]]+1)</f>
        <v>80</v>
      </c>
      <c r="ID62" s="17">
        <f>IF(Distances[[#This Row],[Colonne219]]=$G62,IC62,Distances[[#This Row],[Colonne219]]+1)</f>
        <v>80</v>
      </c>
      <c r="IE62" s="17">
        <f>IF(Distances[[#This Row],[Colonne220]]=$G62,ID62,Distances[[#This Row],[Colonne220]]+1)</f>
        <v>80</v>
      </c>
      <c r="IF62" s="17">
        <f>IF(Distances[[#This Row],[Colonne221]]=$G62,IE62,Distances[[#This Row],[Colonne221]]+1)</f>
        <v>80</v>
      </c>
      <c r="IG62" s="17">
        <f>IF(Distances[[#This Row],[Colonne222]]=$G62,IF62,Distances[[#This Row],[Colonne222]]+1)</f>
        <v>80</v>
      </c>
      <c r="IH62" s="17">
        <f>IF(Distances[[#This Row],[Colonne223]]=$G62,IG62,Distances[[#This Row],[Colonne223]]+1)</f>
        <v>80</v>
      </c>
      <c r="II62" s="17">
        <f>IF(Distances[[#This Row],[Colonne224]]=$G62,IH62,Distances[[#This Row],[Colonne224]]+1)</f>
        <v>80</v>
      </c>
      <c r="IJ62" s="17">
        <f>IF(Distances[[#This Row],[Colonne225]]=$G62,II62,Distances[[#This Row],[Colonne225]]+1)</f>
        <v>80</v>
      </c>
      <c r="IK62" s="17">
        <f>IF(Distances[[#This Row],[Colonne226]]=$G62,IJ62,Distances[[#This Row],[Colonne226]]+1)</f>
        <v>80</v>
      </c>
      <c r="IL62" s="17">
        <f>IF(Distances[[#This Row],[Colonne227]]=$G62,IK62,Distances[[#This Row],[Colonne227]]+1)</f>
        <v>80</v>
      </c>
      <c r="IM62" s="17">
        <f>IF(Distances[[#This Row],[Colonne228]]=$G62,IL62,Distances[[#This Row],[Colonne228]]+1)</f>
        <v>80</v>
      </c>
      <c r="IN62" s="17">
        <f>IF(Distances[[#This Row],[Colonne229]]=$G62,IM62,Distances[[#This Row],[Colonne229]]+1)</f>
        <v>80</v>
      </c>
      <c r="IO62" s="17">
        <f>IF(Distances[[#This Row],[Colonne230]]=$G62,IN62,Distances[[#This Row],[Colonne230]]+1)</f>
        <v>80</v>
      </c>
      <c r="IP62" s="17">
        <f>IF(Distances[[#This Row],[Colonne231]]=$G62,IO62,Distances[[#This Row],[Colonne231]]+1)</f>
        <v>80</v>
      </c>
      <c r="IQ62" s="17">
        <f>IF(Distances[[#This Row],[Colonne232]]=$G62,IP62,Distances[[#This Row],[Colonne232]]+1)</f>
        <v>80</v>
      </c>
      <c r="IR62" s="17">
        <f>IF(Distances[[#This Row],[Colonne233]]=$G62,IQ62,Distances[[#This Row],[Colonne233]]+1)</f>
        <v>80</v>
      </c>
      <c r="IS62" s="17">
        <f>IF(Distances[[#This Row],[Colonne234]]=$G62,IR62,Distances[[#This Row],[Colonne234]]+1)</f>
        <v>80</v>
      </c>
      <c r="IT62" s="17">
        <f>IF(Distances[[#This Row],[Colonne235]]=$G62,IS62,Distances[[#This Row],[Colonne235]]+1)</f>
        <v>80</v>
      </c>
      <c r="IU62" s="17">
        <f>IF(Distances[[#This Row],[Colonne236]]=$G62,IT62,Distances[[#This Row],[Colonne236]]+1)</f>
        <v>80</v>
      </c>
      <c r="IV62" s="17">
        <f>IF(Distances[[#This Row],[Colonne237]]=$G62,IU62,Distances[[#This Row],[Colonne237]]+1)</f>
        <v>80</v>
      </c>
      <c r="IW62" s="17">
        <f>IF(Distances[[#This Row],[Colonne238]]=$G62,IV62,Distances[[#This Row],[Colonne238]]+1)</f>
        <v>80</v>
      </c>
      <c r="IX62" s="17">
        <f>IF(Distances[[#This Row],[Colonne239]]=$G62,IW62,Distances[[#This Row],[Colonne239]]+1)</f>
        <v>80</v>
      </c>
      <c r="IY62" s="17">
        <f>IF(Distances[[#This Row],[Colonne240]]=$G62,IX62,Distances[[#This Row],[Colonne240]]+1)</f>
        <v>80</v>
      </c>
      <c r="IZ62" s="17">
        <f>IF(Distances[[#This Row],[Colonne241]]=$G62,IY62,Distances[[#This Row],[Colonne241]]+1)</f>
        <v>80</v>
      </c>
      <c r="JA62" s="17">
        <f>IF(Distances[[#This Row],[Colonne242]]=$G62,IZ62,Distances[[#This Row],[Colonne242]]+1)</f>
        <v>80</v>
      </c>
      <c r="JB62" s="17">
        <f>IF(Distances[[#This Row],[Colonne243]]=$G62,JA62,Distances[[#This Row],[Colonne243]]+1)</f>
        <v>80</v>
      </c>
      <c r="JC62" s="17">
        <f>IF(Distances[[#This Row],[Colonne244]]=$G62,JB62,Distances[[#This Row],[Colonne244]]+1)</f>
        <v>80</v>
      </c>
      <c r="JD62" s="17">
        <f>IF(Distances[[#This Row],[Colonne245]]=$G62,JC62,Distances[[#This Row],[Colonne245]]+1)</f>
        <v>80</v>
      </c>
      <c r="JE62" s="17">
        <f>IF(Distances[[#This Row],[Colonne246]]=$G62,JD62,Distances[[#This Row],[Colonne246]]+1)</f>
        <v>80</v>
      </c>
      <c r="JF62" s="17">
        <f>IF(Distances[[#This Row],[Colonne247]]=$G62,JE62,Distances[[#This Row],[Colonne247]]+1)</f>
        <v>80</v>
      </c>
      <c r="JG62" s="17">
        <f>IF(Distances[[#This Row],[Colonne248]]=$G62,JF62,Distances[[#This Row],[Colonne248]]+1)</f>
        <v>80</v>
      </c>
      <c r="JH62" s="17">
        <f>IF(Distances[[#This Row],[Colonne249]]=$G62,JG62,Distances[[#This Row],[Colonne249]]+1)</f>
        <v>80</v>
      </c>
      <c r="JI62" s="17">
        <f>IF(Distances[[#This Row],[Colonne250]]=$G62,JH62,Distances[[#This Row],[Colonne250]]+1)</f>
        <v>80</v>
      </c>
      <c r="JJ62" s="17">
        <f>IF(Distances[[#This Row],[Colonne251]]=$G62,JI62,Distances[[#This Row],[Colonne251]]+1)</f>
        <v>80</v>
      </c>
      <c r="JK62" s="17">
        <f>IF(Distances[[#This Row],[Colonne252]]=$G62,JJ62,Distances[[#This Row],[Colonne252]]+1)</f>
        <v>80</v>
      </c>
      <c r="JL62" s="17">
        <f>IF(Distances[[#This Row],[Colonne253]]=$G62,JK62,Distances[[#This Row],[Colonne253]]+1)</f>
        <v>80</v>
      </c>
      <c r="JM62" s="17">
        <f>IF(Distances[[#This Row],[Colonne254]]=$G62,JL62,Distances[[#This Row],[Colonne254]]+1)</f>
        <v>80</v>
      </c>
      <c r="JN62" s="17">
        <f>IF(Distances[[#This Row],[Colonne255]]=$G62,JM62,Distances[[#This Row],[Colonne255]]+1)</f>
        <v>80</v>
      </c>
      <c r="JO62" s="17">
        <f>IF(Distances[[#This Row],[Colonne256]]=$G62,JN62,Distances[[#This Row],[Colonne256]]+1)</f>
        <v>80</v>
      </c>
      <c r="JP62" s="17">
        <f>IF(Distances[[#This Row],[Colonne257]]=$G62,JO62,Distances[[#This Row],[Colonne257]]+1)</f>
        <v>80</v>
      </c>
      <c r="JQ62" s="17">
        <f>IF(Distances[[#This Row],[Colonne258]]=$G62,JP62,Distances[[#This Row],[Colonne258]]+1)</f>
        <v>80</v>
      </c>
      <c r="JR62" s="17">
        <f>IF(Distances[[#This Row],[Colonne259]]=$G62,JQ62,Distances[[#This Row],[Colonne259]]+1)</f>
        <v>80</v>
      </c>
      <c r="JS62" s="17">
        <f>IF(Distances[[#This Row],[Colonne260]]=$G62,JR62,Distances[[#This Row],[Colonne260]]+1)</f>
        <v>80</v>
      </c>
      <c r="JT62" s="17">
        <f>IF(Distances[[#This Row],[Colonne261]]=$G62,JS62,Distances[[#This Row],[Colonne261]]+1)</f>
        <v>80</v>
      </c>
      <c r="JU62" s="17">
        <f>IF(Distances[[#This Row],[Colonne262]]=$G62,JT62,Distances[[#This Row],[Colonne262]]+1)</f>
        <v>80</v>
      </c>
      <c r="JV62" s="17">
        <f>IF(Distances[[#This Row],[Colonne263]]=$G62,JU62,Distances[[#This Row],[Colonne263]]+1)</f>
        <v>80</v>
      </c>
      <c r="JW62" s="17">
        <f>IF(Distances[[#This Row],[Colonne264]]=$G62,JV62,Distances[[#This Row],[Colonne264]]+1)</f>
        <v>80</v>
      </c>
      <c r="JX62" s="17">
        <f>IF(Distances[[#This Row],[Colonne265]]=$G62,JW62,Distances[[#This Row],[Colonne265]]+1)</f>
        <v>80</v>
      </c>
      <c r="JY62" s="17">
        <f>IF(Distances[[#This Row],[Colonne266]]=$G62,JX62,Distances[[#This Row],[Colonne266]]+1)</f>
        <v>80</v>
      </c>
      <c r="JZ62" s="17">
        <f>IF(Distances[[#This Row],[Colonne267]]=$G62,JY62,Distances[[#This Row],[Colonne267]]+1)</f>
        <v>80</v>
      </c>
      <c r="KA62" s="17">
        <f>IF(Distances[[#This Row],[Colonne268]]=$G62,JZ62,Distances[[#This Row],[Colonne268]]+1)</f>
        <v>80</v>
      </c>
      <c r="KB62" s="17">
        <f>IF(Distances[[#This Row],[Colonne269]]=$G62,KA62,Distances[[#This Row],[Colonne269]]+1)</f>
        <v>80</v>
      </c>
      <c r="KC62" s="17">
        <f>IF(Distances[[#This Row],[Colonne270]]=$G62,KB62,Distances[[#This Row],[Colonne270]]+1)</f>
        <v>80</v>
      </c>
      <c r="KD62" s="17">
        <f>IF(Distances[[#This Row],[Colonne271]]=$G62,KC62,Distances[[#This Row],[Colonne271]]+1)</f>
        <v>80</v>
      </c>
      <c r="KE62" s="17">
        <f>IF(Distances[[#This Row],[Colonne272]]=$G62,KD62,Distances[[#This Row],[Colonne272]]+1)</f>
        <v>80</v>
      </c>
      <c r="KF62" s="17">
        <f>IF(Distances[[#This Row],[Colonne273]]=$G62,KE62,Distances[[#This Row],[Colonne273]]+1)</f>
        <v>80</v>
      </c>
      <c r="KG62" s="17">
        <f>IF(Distances[[#This Row],[Colonne274]]=$G62,KF62,Distances[[#This Row],[Colonne274]]+1)</f>
        <v>80</v>
      </c>
      <c r="KH62" s="17">
        <f>IF(Distances[[#This Row],[Colonne275]]=$G62,KG62,Distances[[#This Row],[Colonne275]]+1)</f>
        <v>80</v>
      </c>
      <c r="KI62" s="17">
        <f>IF(Distances[[#This Row],[Colonne276]]=$G62,KH62,Distances[[#This Row],[Colonne276]]+1)</f>
        <v>80</v>
      </c>
      <c r="KJ62" s="17">
        <f>IF(Distances[[#This Row],[Colonne277]]=$G62,KI62,Distances[[#This Row],[Colonne277]]+1)</f>
        <v>80</v>
      </c>
      <c r="KK62" s="17">
        <f>IF(Distances[[#This Row],[Colonne278]]=$G62,KJ62,Distances[[#This Row],[Colonne278]]+1)</f>
        <v>80</v>
      </c>
      <c r="KL62" s="17">
        <f>IF(Distances[[#This Row],[Colonne279]]=$G62,KK62,Distances[[#This Row],[Colonne279]]+1)</f>
        <v>80</v>
      </c>
      <c r="KM62" s="17">
        <f>IF(Distances[[#This Row],[Colonne280]]=$G62,KL62,Distances[[#This Row],[Colonne280]]+1)</f>
        <v>80</v>
      </c>
      <c r="KN62" s="17">
        <f>IF(Distances[[#This Row],[Colonne281]]=$G62,KM62,Distances[[#This Row],[Colonne281]]+1)</f>
        <v>80</v>
      </c>
      <c r="KO62" s="17">
        <f>IF(Distances[[#This Row],[Colonne282]]=$G62,KN62,Distances[[#This Row],[Colonne282]]+1)</f>
        <v>80</v>
      </c>
      <c r="KP62" s="17">
        <f>IF(Distances[[#This Row],[Colonne283]]=$G62,KO62,Distances[[#This Row],[Colonne283]]+1)</f>
        <v>80</v>
      </c>
      <c r="KQ62" s="17">
        <f>IF(Distances[[#This Row],[Colonne284]]=$G62,KP62,Distances[[#This Row],[Colonne284]]+1)</f>
        <v>80</v>
      </c>
      <c r="KR62" s="17">
        <f>IF(Distances[[#This Row],[Colonne285]]=$G62,KQ62,Distances[[#This Row],[Colonne285]]+1)</f>
        <v>80</v>
      </c>
      <c r="KS62" s="17">
        <f>IF(Distances[[#This Row],[Colonne286]]=$G62,KR62,Distances[[#This Row],[Colonne286]]+1)</f>
        <v>80</v>
      </c>
      <c r="KT62" s="17">
        <f>IF(Distances[[#This Row],[Colonne287]]=$G62,KS62,Distances[[#This Row],[Colonne287]]+1)</f>
        <v>80</v>
      </c>
      <c r="KU62" s="17">
        <f>IF(Distances[[#This Row],[Colonne288]]=$G62,KT62,Distances[[#This Row],[Colonne288]]+1)</f>
        <v>80</v>
      </c>
      <c r="KV62" s="17">
        <f>IF(Distances[[#This Row],[Colonne289]]=$G62,KU62,Distances[[#This Row],[Colonne289]]+1)</f>
        <v>80</v>
      </c>
      <c r="KW62" s="17">
        <f>IF(Distances[[#This Row],[Colonne290]]=$G62,KV62,Distances[[#This Row],[Colonne290]]+1)</f>
        <v>80</v>
      </c>
      <c r="KX62" s="17">
        <f>IF(Distances[[#This Row],[Colonne291]]=$G62,KW62,Distances[[#This Row],[Colonne291]]+1)</f>
        <v>80</v>
      </c>
      <c r="KY62" s="17">
        <f>IF(Distances[[#This Row],[Colonne292]]=$G62,KX62,Distances[[#This Row],[Colonne292]]+1)</f>
        <v>80</v>
      </c>
      <c r="KZ62" s="17">
        <f>IF(Distances[[#This Row],[Colonne293]]=$G62,KY62,Distances[[#This Row],[Colonne293]]+1)</f>
        <v>80</v>
      </c>
      <c r="LA62" s="17">
        <f>IF(Distances[[#This Row],[Colonne294]]=$G62,KZ62,Distances[[#This Row],[Colonne294]]+1)</f>
        <v>80</v>
      </c>
      <c r="LB62" s="17">
        <f>IF(Distances[[#This Row],[Colonne295]]=$G62,LA62,Distances[[#This Row],[Colonne295]]+1)</f>
        <v>80</v>
      </c>
      <c r="LC62" s="17">
        <f>IF(Distances[[#This Row],[Colonne296]]=$G62,LB62,Distances[[#This Row],[Colonne296]]+1)</f>
        <v>80</v>
      </c>
      <c r="LD62" s="17">
        <f>IF(Distances[[#This Row],[Colonne297]]=$G62,LC62,Distances[[#This Row],[Colonne297]]+1)</f>
        <v>80</v>
      </c>
      <c r="LE62" s="17">
        <f>IF(Distances[[#This Row],[Colonne298]]=$G62,LD62,Distances[[#This Row],[Colonne298]]+1)</f>
        <v>80</v>
      </c>
      <c r="LF62" s="17">
        <f>IF(Distances[[#This Row],[Colonne299]]=$G62,LE62,Distances[[#This Row],[Colonne299]]+1)</f>
        <v>80</v>
      </c>
      <c r="LG62" s="17">
        <f>IF(Distances[[#This Row],[Colonne300]]=$G62,LF62,Distances[[#This Row],[Colonne300]]+1)</f>
        <v>80</v>
      </c>
      <c r="LH62" s="17">
        <f>IF(Distances[[#This Row],[Colonne301]]=$G62,LG62,Distances[[#This Row],[Colonne301]]+1)</f>
        <v>80</v>
      </c>
      <c r="LI62" s="17">
        <f>IF(Distances[[#This Row],[Colonne302]]=$G62,LH62,Distances[[#This Row],[Colonne302]]+1)</f>
        <v>80</v>
      </c>
      <c r="LJ62" s="17">
        <f>IF(Distances[[#This Row],[Colonne303]]=$G62,LI62,Distances[[#This Row],[Colonne303]]+1)</f>
        <v>80</v>
      </c>
      <c r="LK62" s="51"/>
      <c r="LL62" s="17">
        <f t="shared" si="118"/>
        <v>1</v>
      </c>
      <c r="LM62" s="17">
        <f t="shared" si="118"/>
        <v>2</v>
      </c>
      <c r="LN62" s="17">
        <f t="shared" si="118"/>
        <v>3</v>
      </c>
      <c r="LO62" s="17">
        <f t="shared" si="118"/>
        <v>4</v>
      </c>
      <c r="LP62" s="17">
        <f t="shared" si="118"/>
        <v>5</v>
      </c>
      <c r="LQ62" s="17">
        <f t="shared" si="118"/>
        <v>6</v>
      </c>
      <c r="LR62" s="17">
        <f t="shared" si="118"/>
        <v>7</v>
      </c>
      <c r="LS62" s="17">
        <f t="shared" si="118"/>
        <v>8</v>
      </c>
      <c r="LT62" s="17">
        <f t="shared" si="118"/>
        <v>9</v>
      </c>
      <c r="LU62" s="17">
        <f t="shared" si="118"/>
        <v>10</v>
      </c>
      <c r="LV62" s="17">
        <f t="shared" si="118"/>
        <v>11</v>
      </c>
      <c r="LW62" s="17">
        <f t="shared" si="118"/>
        <v>12</v>
      </c>
      <c r="LX62" s="17">
        <f t="shared" si="118"/>
        <v>13</v>
      </c>
      <c r="LY62" s="17">
        <f t="shared" si="118"/>
        <v>14</v>
      </c>
      <c r="LZ62" s="17">
        <f t="shared" si="118"/>
        <v>15</v>
      </c>
      <c r="MA62" s="17">
        <f t="shared" si="118"/>
        <v>15</v>
      </c>
      <c r="MB62" s="17">
        <f t="shared" si="118"/>
        <v>15</v>
      </c>
      <c r="MC62" s="17">
        <f t="shared" si="118"/>
        <v>15</v>
      </c>
      <c r="MD62" s="17">
        <f t="shared" si="118"/>
        <v>15</v>
      </c>
      <c r="ME62" s="17">
        <f t="shared" si="118"/>
        <v>15</v>
      </c>
      <c r="MF62" s="17">
        <f t="shared" si="118"/>
        <v>15</v>
      </c>
      <c r="MG62" s="17">
        <f t="shared" si="118"/>
        <v>15</v>
      </c>
      <c r="MH62" s="17">
        <f t="shared" si="118"/>
        <v>15</v>
      </c>
      <c r="MI62" s="17">
        <f t="shared" si="118"/>
        <v>15</v>
      </c>
      <c r="MJ62" s="17">
        <f t="shared" si="118"/>
        <v>15</v>
      </c>
      <c r="MK62" s="17">
        <f t="shared" si="118"/>
        <v>15</v>
      </c>
      <c r="ML62" s="17">
        <f t="shared" si="118"/>
        <v>15</v>
      </c>
      <c r="MM62" s="17">
        <f t="shared" si="118"/>
        <v>15</v>
      </c>
      <c r="MN62" s="17">
        <f t="shared" si="118"/>
        <v>15</v>
      </c>
      <c r="MO62" s="17">
        <f t="shared" si="118"/>
        <v>15</v>
      </c>
      <c r="MP62" s="17">
        <f t="shared" si="118"/>
        <v>15</v>
      </c>
      <c r="MQ62" s="17">
        <f t="shared" si="118"/>
        <v>15</v>
      </c>
      <c r="MR62" s="17">
        <f t="shared" si="118"/>
        <v>15</v>
      </c>
      <c r="MS62" s="17">
        <f t="shared" si="118"/>
        <v>15</v>
      </c>
      <c r="MT62" s="17">
        <f t="shared" si="118"/>
        <v>15</v>
      </c>
      <c r="MU62" s="17">
        <f t="shared" si="118"/>
        <v>15</v>
      </c>
      <c r="MV62" s="17">
        <f t="shared" si="118"/>
        <v>15</v>
      </c>
      <c r="MW62" s="17">
        <f t="shared" si="118"/>
        <v>15</v>
      </c>
      <c r="MX62" s="17">
        <f t="shared" si="118"/>
        <v>15</v>
      </c>
      <c r="MY62" s="17">
        <f t="shared" si="118"/>
        <v>15</v>
      </c>
      <c r="MZ62" s="17">
        <f t="shared" si="118"/>
        <v>15</v>
      </c>
      <c r="NA62" s="17">
        <f t="shared" si="118"/>
        <v>15</v>
      </c>
      <c r="NB62" s="17">
        <f t="shared" si="118"/>
        <v>15</v>
      </c>
      <c r="NC62" s="17">
        <f t="shared" si="118"/>
        <v>15</v>
      </c>
      <c r="ND62" s="17">
        <f t="shared" si="118"/>
        <v>15</v>
      </c>
      <c r="NE62" s="17">
        <f t="shared" si="118"/>
        <v>15</v>
      </c>
      <c r="NF62" s="17">
        <f t="shared" si="118"/>
        <v>15</v>
      </c>
      <c r="NG62" s="17">
        <f t="shared" si="118"/>
        <v>15</v>
      </c>
      <c r="NH62" s="17">
        <f t="shared" si="118"/>
        <v>15</v>
      </c>
      <c r="NI62" s="17">
        <f t="shared" si="118"/>
        <v>15</v>
      </c>
      <c r="NJ62" s="17">
        <f t="shared" si="118"/>
        <v>15</v>
      </c>
      <c r="NK62" s="17">
        <f t="shared" si="118"/>
        <v>15</v>
      </c>
      <c r="NL62" s="17">
        <f t="shared" si="118"/>
        <v>15</v>
      </c>
      <c r="NM62" s="17">
        <f t="shared" si="118"/>
        <v>15</v>
      </c>
      <c r="NN62" s="17">
        <f t="shared" si="118"/>
        <v>15</v>
      </c>
      <c r="NO62" s="17">
        <f t="shared" si="118"/>
        <v>15</v>
      </c>
      <c r="NP62" s="17">
        <f t="shared" si="118"/>
        <v>15</v>
      </c>
      <c r="NQ62" s="17">
        <f t="shared" si="118"/>
        <v>15</v>
      </c>
      <c r="NR62" s="17">
        <f t="shared" si="118"/>
        <v>15</v>
      </c>
      <c r="NS62" s="17">
        <f t="shared" si="118"/>
        <v>15</v>
      </c>
      <c r="NT62" s="17">
        <f t="shared" si="118"/>
        <v>15</v>
      </c>
      <c r="NU62" s="17">
        <f t="shared" si="118"/>
        <v>15</v>
      </c>
      <c r="NV62" s="17">
        <f t="shared" si="118"/>
        <v>15</v>
      </c>
      <c r="NW62" s="17">
        <f>IF(NV62=$H62,NV62,NV62+1)</f>
        <v>15</v>
      </c>
      <c r="NX62" s="17">
        <f t="shared" si="119"/>
        <v>15</v>
      </c>
      <c r="NY62" s="17">
        <f t="shared" si="119"/>
        <v>15</v>
      </c>
      <c r="NZ62" s="17">
        <f t="shared" si="119"/>
        <v>15</v>
      </c>
      <c r="OA62" s="17">
        <f t="shared" si="119"/>
        <v>15</v>
      </c>
      <c r="OB62" s="17">
        <f t="shared" si="119"/>
        <v>15</v>
      </c>
      <c r="OC62" s="17">
        <f t="shared" si="119"/>
        <v>15</v>
      </c>
      <c r="OD62" s="17">
        <f t="shared" si="119"/>
        <v>15</v>
      </c>
      <c r="OE62" s="17">
        <f t="shared" si="119"/>
        <v>15</v>
      </c>
      <c r="OF62" s="17">
        <f t="shared" si="119"/>
        <v>15</v>
      </c>
      <c r="OG62" s="17">
        <f t="shared" si="119"/>
        <v>15</v>
      </c>
      <c r="OH62" s="17">
        <f t="shared" si="119"/>
        <v>15</v>
      </c>
      <c r="OI62" s="17">
        <f t="shared" si="119"/>
        <v>15</v>
      </c>
      <c r="OJ62" s="17">
        <f t="shared" si="119"/>
        <v>15</v>
      </c>
      <c r="OK62" s="17">
        <f t="shared" si="119"/>
        <v>15</v>
      </c>
      <c r="OL62" s="17">
        <f t="shared" si="119"/>
        <v>15</v>
      </c>
      <c r="OM62" s="17">
        <f t="shared" si="119"/>
        <v>15</v>
      </c>
      <c r="ON62" s="17">
        <f t="shared" si="119"/>
        <v>15</v>
      </c>
      <c r="OO62" s="17">
        <f t="shared" si="119"/>
        <v>15</v>
      </c>
      <c r="OP62" s="17">
        <f t="shared" si="119"/>
        <v>15</v>
      </c>
      <c r="OQ62" s="17">
        <f t="shared" si="119"/>
        <v>15</v>
      </c>
      <c r="OR62" s="17">
        <f t="shared" si="119"/>
        <v>15</v>
      </c>
      <c r="OS62" s="17">
        <f t="shared" si="119"/>
        <v>15</v>
      </c>
      <c r="OT62" s="17">
        <f t="shared" si="119"/>
        <v>15</v>
      </c>
      <c r="OU62" s="17">
        <f t="shared" si="119"/>
        <v>15</v>
      </c>
      <c r="OV62" s="17">
        <f t="shared" si="119"/>
        <v>15</v>
      </c>
      <c r="OW62" s="17">
        <f t="shared" si="119"/>
        <v>15</v>
      </c>
      <c r="OX62" s="17">
        <f t="shared" si="119"/>
        <v>15</v>
      </c>
      <c r="OY62" s="17">
        <f t="shared" si="119"/>
        <v>15</v>
      </c>
      <c r="OZ62" s="17">
        <f t="shared" si="119"/>
        <v>15</v>
      </c>
      <c r="PA62" s="17">
        <f t="shared" si="119"/>
        <v>15</v>
      </c>
      <c r="PB62" s="17">
        <f t="shared" si="119"/>
        <v>15</v>
      </c>
      <c r="PC62" s="17">
        <f t="shared" si="119"/>
        <v>15</v>
      </c>
      <c r="PD62" s="17">
        <f t="shared" si="119"/>
        <v>15</v>
      </c>
      <c r="PE62" s="17">
        <f t="shared" si="119"/>
        <v>15</v>
      </c>
      <c r="PF62" s="17">
        <f t="shared" si="119"/>
        <v>15</v>
      </c>
      <c r="PG62" s="17">
        <f t="shared" si="119"/>
        <v>15</v>
      </c>
    </row>
    <row r="63" spans="1:423" x14ac:dyDescent="0.25">
      <c r="A63" s="8" t="s">
        <v>5506</v>
      </c>
      <c r="B63" s="9" t="s">
        <v>5541</v>
      </c>
      <c r="C63" s="9" t="str">
        <f t="shared" si="120"/>
        <v>CN1/N2</v>
      </c>
      <c r="D63" s="1" t="str">
        <f t="shared" si="121"/>
        <v>Cadre N1/N2</v>
      </c>
      <c r="E63" s="1" t="s">
        <v>9865</v>
      </c>
      <c r="F63" s="9" t="s">
        <v>11148</v>
      </c>
      <c r="G63" s="9">
        <v>120</v>
      </c>
      <c r="H63" s="9">
        <v>12</v>
      </c>
      <c r="I63" s="127">
        <v>3.1</v>
      </c>
      <c r="J63" s="30"/>
      <c r="K63" s="10" t="s">
        <v>5539</v>
      </c>
      <c r="L63" s="8">
        <v>10</v>
      </c>
      <c r="M63" s="9">
        <v>10</v>
      </c>
      <c r="N63" s="10">
        <v>19.998999999999999</v>
      </c>
      <c r="O63" s="269">
        <v>1</v>
      </c>
      <c r="P63" s="331">
        <v>1</v>
      </c>
      <c r="Q63" s="335">
        <v>2</v>
      </c>
      <c r="R63" s="8"/>
      <c r="S63" s="9"/>
      <c r="T63" s="10"/>
      <c r="U63" t="s">
        <v>5523</v>
      </c>
      <c r="V63" s="17">
        <v>0</v>
      </c>
      <c r="W63" s="17">
        <f>IF(Distances[[#This Row],[Colonne4]]=$G63,V63,Distances[[#This Row],[Colonne4]]+1)</f>
        <v>1</v>
      </c>
      <c r="X63" s="17">
        <f>IF(Distances[[#This Row],[Colonne5]]=$G63,W63,Distances[[#This Row],[Colonne5]]+1)</f>
        <v>2</v>
      </c>
      <c r="Y63" s="17">
        <f>IF(Distances[[#This Row],[Colonne6]]=$G63,X63,Distances[[#This Row],[Colonne6]]+1)</f>
        <v>3</v>
      </c>
      <c r="Z63" s="17">
        <f>IF(Distances[[#This Row],[Colonne7]]=$G63,Y63,Distances[[#This Row],[Colonne7]]+1)</f>
        <v>4</v>
      </c>
      <c r="AA63" s="17">
        <f>IF(Distances[[#This Row],[Colonne8]]=$G63,Z63,Distances[[#This Row],[Colonne8]]+1)</f>
        <v>5</v>
      </c>
      <c r="AB63" s="17">
        <f>IF(Distances[[#This Row],[Colonne9]]=$G63,AA63,Distances[[#This Row],[Colonne9]]+1)</f>
        <v>6</v>
      </c>
      <c r="AC63" s="17">
        <f>IF(Distances[[#This Row],[Colonne10]]=$G63,AB63,Distances[[#This Row],[Colonne10]]+1)</f>
        <v>7</v>
      </c>
      <c r="AD63" s="17">
        <f>IF(Distances[[#This Row],[Colonne11]]=$G63,AC63,Distances[[#This Row],[Colonne11]]+1)</f>
        <v>8</v>
      </c>
      <c r="AE63" s="17">
        <f>IF(Distances[[#This Row],[Colonne12]]=$G63,AD63,Distances[[#This Row],[Colonne12]]+1)</f>
        <v>9</v>
      </c>
      <c r="AF63" s="17">
        <f>IF(Distances[[#This Row],[Colonne13]]=$G63,AE63,Distances[[#This Row],[Colonne13]]+1)</f>
        <v>10</v>
      </c>
      <c r="AG63" s="17">
        <f>IF(Distances[[#This Row],[Colonne14]]=$G63,AF63,Distances[[#This Row],[Colonne14]]+1)</f>
        <v>11</v>
      </c>
      <c r="AH63" s="17">
        <f>IF(Distances[[#This Row],[Colonne15]]=$G63,AG63,Distances[[#This Row],[Colonne15]]+1)</f>
        <v>12</v>
      </c>
      <c r="AI63" s="17">
        <f>IF(Distances[[#This Row],[Colonne16]]=$G63,AH63,Distances[[#This Row],[Colonne16]]+1)</f>
        <v>13</v>
      </c>
      <c r="AJ63" s="17">
        <f>IF(Distances[[#This Row],[Colonne17]]=$G63,AI63,Distances[[#This Row],[Colonne17]]+1)</f>
        <v>14</v>
      </c>
      <c r="AK63" s="17">
        <f>IF(Distances[[#This Row],[Colonne18]]=$G63,AJ63,Distances[[#This Row],[Colonne18]]+1)</f>
        <v>15</v>
      </c>
      <c r="AL63" s="17">
        <f>IF(Distances[[#This Row],[Colonne19]]=$G63,AK63,Distances[[#This Row],[Colonne19]]+1)</f>
        <v>16</v>
      </c>
      <c r="AM63" s="17">
        <f>IF(Distances[[#This Row],[Colonne20]]=$G63,AL63,Distances[[#This Row],[Colonne20]]+1)</f>
        <v>17</v>
      </c>
      <c r="AN63" s="17">
        <f>IF(Distances[[#This Row],[Colonne21]]=$G63,AM63,Distances[[#This Row],[Colonne21]]+1)</f>
        <v>18</v>
      </c>
      <c r="AO63" s="17">
        <f>IF(Distances[[#This Row],[Colonne22]]=$G63,AN63,Distances[[#This Row],[Colonne22]]+1)</f>
        <v>19</v>
      </c>
      <c r="AP63" s="17">
        <f>IF(Distances[[#This Row],[Colonne23]]=$G63,AO63,Distances[[#This Row],[Colonne23]]+1)</f>
        <v>20</v>
      </c>
      <c r="AQ63" s="17">
        <f>IF(Distances[[#This Row],[Colonne24]]=$G63,AP63,Distances[[#This Row],[Colonne24]]+1)</f>
        <v>21</v>
      </c>
      <c r="AR63" s="17">
        <f>IF(Distances[[#This Row],[Colonne25]]=$G63,AQ63,Distances[[#This Row],[Colonne25]]+1)</f>
        <v>22</v>
      </c>
      <c r="AS63" s="17">
        <f>IF(Distances[[#This Row],[Colonne26]]=$G63,AR63,Distances[[#This Row],[Colonne26]]+1)</f>
        <v>23</v>
      </c>
      <c r="AT63" s="17">
        <f>IF(Distances[[#This Row],[Colonne27]]=$G63,AS63,Distances[[#This Row],[Colonne27]]+1)</f>
        <v>24</v>
      </c>
      <c r="AU63" s="17">
        <f>IF(Distances[[#This Row],[Colonne28]]=$G63,AT63,Distances[[#This Row],[Colonne28]]+1)</f>
        <v>25</v>
      </c>
      <c r="AV63" s="17">
        <f>IF(Distances[[#This Row],[Colonne29]]=$G63,AU63,Distances[[#This Row],[Colonne29]]+1)</f>
        <v>26</v>
      </c>
      <c r="AW63" s="17">
        <f>IF(Distances[[#This Row],[Colonne30]]=$G63,AV63,Distances[[#This Row],[Colonne30]]+1)</f>
        <v>27</v>
      </c>
      <c r="AX63" s="17">
        <f>IF(Distances[[#This Row],[Colonne31]]=$G63,AW63,Distances[[#This Row],[Colonne31]]+1)</f>
        <v>28</v>
      </c>
      <c r="AY63" s="17">
        <f>IF(Distances[[#This Row],[Colonne32]]=$G63,AX63,Distances[[#This Row],[Colonne32]]+1)</f>
        <v>29</v>
      </c>
      <c r="AZ63" s="17">
        <f>IF(Distances[[#This Row],[Colonne33]]=$G63,AY63,Distances[[#This Row],[Colonne33]]+1)</f>
        <v>30</v>
      </c>
      <c r="BA63" s="17">
        <f>IF(Distances[[#This Row],[Colonne34]]=$G63,AZ63,Distances[[#This Row],[Colonne34]]+1)</f>
        <v>31</v>
      </c>
      <c r="BB63" s="17">
        <f>IF(Distances[[#This Row],[Colonne35]]=$G63,BA63,Distances[[#This Row],[Colonne35]]+1)</f>
        <v>32</v>
      </c>
      <c r="BC63" s="17">
        <f>IF(Distances[[#This Row],[Colonne36]]=$G63,BB63,Distances[[#This Row],[Colonne36]]+1)</f>
        <v>33</v>
      </c>
      <c r="BD63" s="17">
        <f>IF(Distances[[#This Row],[Colonne37]]=$G63,BC63,Distances[[#This Row],[Colonne37]]+1)</f>
        <v>34</v>
      </c>
      <c r="BE63" s="17">
        <f>IF(Distances[[#This Row],[Colonne38]]=$G63,BD63,Distances[[#This Row],[Colonne38]]+1)</f>
        <v>35</v>
      </c>
      <c r="BF63" s="17">
        <f>IF(Distances[[#This Row],[Colonne39]]=$G63,BE63,Distances[[#This Row],[Colonne39]]+1)</f>
        <v>36</v>
      </c>
      <c r="BG63" s="17">
        <f>IF(Distances[[#This Row],[Colonne40]]=$G63,BF63,Distances[[#This Row],[Colonne40]]+1)</f>
        <v>37</v>
      </c>
      <c r="BH63" s="17">
        <f>IF(Distances[[#This Row],[Colonne41]]=$G63,BG63,Distances[[#This Row],[Colonne41]]+1)</f>
        <v>38</v>
      </c>
      <c r="BI63" s="17">
        <f>IF(Distances[[#This Row],[Colonne42]]=$G63,BH63,Distances[[#This Row],[Colonne42]]+1)</f>
        <v>39</v>
      </c>
      <c r="BJ63" s="17">
        <f>IF(Distances[[#This Row],[Colonne43]]=$G63,BI63,Distances[[#This Row],[Colonne43]]+1)</f>
        <v>40</v>
      </c>
      <c r="BK63" s="17">
        <f>IF(Distances[[#This Row],[Colonne44]]=$G63,BJ63,Distances[[#This Row],[Colonne44]]+1)</f>
        <v>41</v>
      </c>
      <c r="BL63" s="17">
        <f>IF(Distances[[#This Row],[Colonne45]]=$G63,BK63,Distances[[#This Row],[Colonne45]]+1)</f>
        <v>42</v>
      </c>
      <c r="BM63" s="17">
        <f>IF(Distances[[#This Row],[Colonne46]]=$G63,BL63,Distances[[#This Row],[Colonne46]]+1)</f>
        <v>43</v>
      </c>
      <c r="BN63" s="17">
        <f>IF(Distances[[#This Row],[Colonne47]]=$G63,BM63,Distances[[#This Row],[Colonne47]]+1)</f>
        <v>44</v>
      </c>
      <c r="BO63" s="17">
        <f>IF(Distances[[#This Row],[Colonne48]]=$G63,BN63,Distances[[#This Row],[Colonne48]]+1)</f>
        <v>45</v>
      </c>
      <c r="BP63" s="17">
        <f>IF(Distances[[#This Row],[Colonne49]]=$G63,BO63,Distances[[#This Row],[Colonne49]]+1)</f>
        <v>46</v>
      </c>
      <c r="BQ63" s="17">
        <f>IF(Distances[[#This Row],[Colonne50]]=$G63,BP63,Distances[[#This Row],[Colonne50]]+1)</f>
        <v>47</v>
      </c>
      <c r="BR63" s="17">
        <f>IF(Distances[[#This Row],[Colonne51]]=$G63,BQ63,Distances[[#This Row],[Colonne51]]+1)</f>
        <v>48</v>
      </c>
      <c r="BS63" s="17">
        <f>IF(Distances[[#This Row],[Colonne52]]=$G63,BR63,Distances[[#This Row],[Colonne52]]+1)</f>
        <v>49</v>
      </c>
      <c r="BT63" s="17">
        <f>IF(Distances[[#This Row],[Colonne53]]=$G63,BS63,Distances[[#This Row],[Colonne53]]+1)</f>
        <v>50</v>
      </c>
      <c r="BU63" s="17">
        <f>IF(Distances[[#This Row],[Colonne54]]=$G63,BT63,Distances[[#This Row],[Colonne54]]+1)</f>
        <v>51</v>
      </c>
      <c r="BV63" s="17">
        <f>IF(Distances[[#This Row],[Colonne55]]=$G63,BU63,Distances[[#This Row],[Colonne55]]+1)</f>
        <v>52</v>
      </c>
      <c r="BW63" s="17">
        <f>IF(Distances[[#This Row],[Colonne56]]=$G63,BV63,Distances[[#This Row],[Colonne56]]+1)</f>
        <v>53</v>
      </c>
      <c r="BX63" s="17">
        <f>IF(Distances[[#This Row],[Colonne57]]=$G63,BW63,Distances[[#This Row],[Colonne57]]+1)</f>
        <v>54</v>
      </c>
      <c r="BY63" s="17">
        <f>IF(Distances[[#This Row],[Colonne58]]=$G63,BX63,Distances[[#This Row],[Colonne58]]+1)</f>
        <v>55</v>
      </c>
      <c r="BZ63" s="17">
        <f>IF(Distances[[#This Row],[Colonne59]]=$G63,BY63,Distances[[#This Row],[Colonne59]]+1)</f>
        <v>56</v>
      </c>
      <c r="CA63" s="17">
        <f>IF(Distances[[#This Row],[Colonne60]]=$G63,BZ63,Distances[[#This Row],[Colonne60]]+1)</f>
        <v>57</v>
      </c>
      <c r="CB63" s="17">
        <f>IF(Distances[[#This Row],[Colonne61]]=$G63,CA63,Distances[[#This Row],[Colonne61]]+1)</f>
        <v>58</v>
      </c>
      <c r="CC63" s="17">
        <f>IF(Distances[[#This Row],[Colonne62]]=$G63,CB63,Distances[[#This Row],[Colonne62]]+1)</f>
        <v>59</v>
      </c>
      <c r="CD63" s="17">
        <f>IF(Distances[[#This Row],[Colonne63]]=$G63,CC63,Distances[[#This Row],[Colonne63]]+1)</f>
        <v>60</v>
      </c>
      <c r="CE63" s="17">
        <f>IF(Distances[[#This Row],[Colonne64]]=$G63,CD63,Distances[[#This Row],[Colonne64]]+1)</f>
        <v>61</v>
      </c>
      <c r="CF63" s="17">
        <f>IF(Distances[[#This Row],[Colonne65]]=$G63,CE63,Distances[[#This Row],[Colonne65]]+1)</f>
        <v>62</v>
      </c>
      <c r="CG63" s="17">
        <f>IF(Distances[[#This Row],[Colonne66]]=$G63,CF63,Distances[[#This Row],[Colonne66]]+1)</f>
        <v>63</v>
      </c>
      <c r="CH63" s="17">
        <f>IF(Distances[[#This Row],[Colonne67]]=$G63,CG63,Distances[[#This Row],[Colonne67]]+1)</f>
        <v>64</v>
      </c>
      <c r="CI63" s="17">
        <f>IF(Distances[[#This Row],[Colonne68]]=$G63,CH63,Distances[[#This Row],[Colonne68]]+1)</f>
        <v>65</v>
      </c>
      <c r="CJ63" s="17">
        <f>IF(Distances[[#This Row],[Colonne69]]=$G63,CI63,Distances[[#This Row],[Colonne69]]+1)</f>
        <v>66</v>
      </c>
      <c r="CK63" s="17">
        <f>IF(Distances[[#This Row],[Colonne70]]=$G63,CJ63,Distances[[#This Row],[Colonne70]]+1)</f>
        <v>67</v>
      </c>
      <c r="CL63" s="17">
        <f>IF(Distances[[#This Row],[Colonne71]]=$G63,CK63,Distances[[#This Row],[Colonne71]]+1)</f>
        <v>68</v>
      </c>
      <c r="CM63" s="17">
        <f>IF(Distances[[#This Row],[Colonne72]]=$G63,CL63,Distances[[#This Row],[Colonne72]]+1)</f>
        <v>69</v>
      </c>
      <c r="CN63" s="17">
        <f>IF(Distances[[#This Row],[Colonne73]]=$G63,CM63,Distances[[#This Row],[Colonne73]]+1)</f>
        <v>70</v>
      </c>
      <c r="CO63" s="17">
        <f>IF(Distances[[#This Row],[Colonne74]]=$G63,CN63,Distances[[#This Row],[Colonne74]]+1)</f>
        <v>71</v>
      </c>
      <c r="CP63" s="17">
        <f>IF(Distances[[#This Row],[Colonne75]]=$G63,CO63,Distances[[#This Row],[Colonne75]]+1)</f>
        <v>72</v>
      </c>
      <c r="CQ63" s="17">
        <f>IF(Distances[[#This Row],[Colonne76]]=$G63,CP63,Distances[[#This Row],[Colonne76]]+1)</f>
        <v>73</v>
      </c>
      <c r="CR63" s="17">
        <f>IF(Distances[[#This Row],[Colonne77]]=$G63,CQ63,Distances[[#This Row],[Colonne77]]+1)</f>
        <v>74</v>
      </c>
      <c r="CS63" s="17">
        <f>IF(Distances[[#This Row],[Colonne78]]=$G63,CR63,Distances[[#This Row],[Colonne78]]+1)</f>
        <v>75</v>
      </c>
      <c r="CT63" s="17">
        <f>IF(Distances[[#This Row],[Colonne79]]=$G63,CS63,Distances[[#This Row],[Colonne79]]+1)</f>
        <v>76</v>
      </c>
      <c r="CU63" s="17">
        <f>IF(Distances[[#This Row],[Colonne80]]=$G63,CT63,Distances[[#This Row],[Colonne80]]+1)</f>
        <v>77</v>
      </c>
      <c r="CV63" s="17">
        <f>IF(Distances[[#This Row],[Colonne81]]=$G63,CU63,Distances[[#This Row],[Colonne81]]+1)</f>
        <v>78</v>
      </c>
      <c r="CW63" s="17">
        <f>IF(Distances[[#This Row],[Colonne82]]=$G63,CV63,Distances[[#This Row],[Colonne82]]+1)</f>
        <v>79</v>
      </c>
      <c r="CX63" s="17">
        <f>IF(Distances[[#This Row],[Colonne83]]=$G63,CW63,Distances[[#This Row],[Colonne83]]+1)</f>
        <v>80</v>
      </c>
      <c r="CY63" s="17">
        <f>IF(Distances[[#This Row],[Colonne84]]=$G63,CX63,Distances[[#This Row],[Colonne84]]+1)</f>
        <v>81</v>
      </c>
      <c r="CZ63" s="17">
        <f>IF(Distances[[#This Row],[Colonne85]]=$G63,CY63,Distances[[#This Row],[Colonne85]]+1)</f>
        <v>82</v>
      </c>
      <c r="DA63" s="17">
        <f>IF(Distances[[#This Row],[Colonne86]]=$G63,CZ63,Distances[[#This Row],[Colonne86]]+1)</f>
        <v>83</v>
      </c>
      <c r="DB63" s="17">
        <f>IF(Distances[[#This Row],[Colonne87]]=$G63,DA63,Distances[[#This Row],[Colonne87]]+1)</f>
        <v>84</v>
      </c>
      <c r="DC63" s="17">
        <f>IF(Distances[[#This Row],[Colonne88]]=$G63,DB63,Distances[[#This Row],[Colonne88]]+1)</f>
        <v>85</v>
      </c>
      <c r="DD63" s="17">
        <f>IF(Distances[[#This Row],[Colonne89]]=$G63,DC63,Distances[[#This Row],[Colonne89]]+1)</f>
        <v>86</v>
      </c>
      <c r="DE63" s="17">
        <f>IF(Distances[[#This Row],[Colonne90]]=$G63,DD63,Distances[[#This Row],[Colonne90]]+1)</f>
        <v>87</v>
      </c>
      <c r="DF63" s="17">
        <f>IF(Distances[[#This Row],[Colonne91]]=$G63,DE63,Distances[[#This Row],[Colonne91]]+1)</f>
        <v>88</v>
      </c>
      <c r="DG63" s="17">
        <f>IF(Distances[[#This Row],[Colonne92]]=$G63,DF63,Distances[[#This Row],[Colonne92]]+1)</f>
        <v>89</v>
      </c>
      <c r="DH63" s="17">
        <f>IF(Distances[[#This Row],[Colonne93]]=$G63,DG63,Distances[[#This Row],[Colonne93]]+1)</f>
        <v>90</v>
      </c>
      <c r="DI63" s="17">
        <f>IF(Distances[[#This Row],[Colonne94]]=$G63,DH63,Distances[[#This Row],[Colonne94]]+1)</f>
        <v>91</v>
      </c>
      <c r="DJ63" s="17">
        <f>IF(Distances[[#This Row],[Colonne95]]=$G63,DI63,Distances[[#This Row],[Colonne95]]+1)</f>
        <v>92</v>
      </c>
      <c r="DK63" s="17">
        <f>IF(Distances[[#This Row],[Colonne96]]=$G63,DJ63,Distances[[#This Row],[Colonne96]]+1)</f>
        <v>93</v>
      </c>
      <c r="DL63" s="17">
        <f>IF(Distances[[#This Row],[Colonne97]]=$G63,DK63,Distances[[#This Row],[Colonne97]]+1)</f>
        <v>94</v>
      </c>
      <c r="DM63" s="17">
        <f>IF(Distances[[#This Row],[Colonne98]]=$G63,DL63,Distances[[#This Row],[Colonne98]]+1)</f>
        <v>95</v>
      </c>
      <c r="DN63" s="17">
        <f>IF(Distances[[#This Row],[Colonne99]]=$G63,DM63,Distances[[#This Row],[Colonne99]]+1)</f>
        <v>96</v>
      </c>
      <c r="DO63" s="17">
        <f>IF(Distances[[#This Row],[Colonne100]]=$G63,DN63,Distances[[#This Row],[Colonne100]]+1)</f>
        <v>97</v>
      </c>
      <c r="DP63" s="17">
        <f>IF(Distances[[#This Row],[Colonne101]]=$G63,DO63,Distances[[#This Row],[Colonne101]]+1)</f>
        <v>98</v>
      </c>
      <c r="DQ63" s="17">
        <f>IF(Distances[[#This Row],[Colonne102]]=$G63,DP63,Distances[[#This Row],[Colonne102]]+1)</f>
        <v>99</v>
      </c>
      <c r="DR63" s="17">
        <f>IF(Distances[[#This Row],[Colonne103]]=$G63,DQ63,Distances[[#This Row],[Colonne103]]+1)</f>
        <v>100</v>
      </c>
      <c r="DS63" s="17">
        <f>IF(Distances[[#This Row],[Colonne104]]=$G63,DR63,Distances[[#This Row],[Colonne104]]+1)</f>
        <v>101</v>
      </c>
      <c r="DT63" s="17">
        <f>IF(Distances[[#This Row],[Colonne105]]=$G63,DS63,Distances[[#This Row],[Colonne105]]+1)</f>
        <v>102</v>
      </c>
      <c r="DU63" s="17">
        <f>IF(Distances[[#This Row],[Colonne106]]=$G63,DT63,Distances[[#This Row],[Colonne106]]+1)</f>
        <v>103</v>
      </c>
      <c r="DV63" s="17">
        <f>IF(Distances[[#This Row],[Colonne107]]=$G63,DU63,Distances[[#This Row],[Colonne107]]+1)</f>
        <v>104</v>
      </c>
      <c r="DW63" s="17">
        <f>IF(Distances[[#This Row],[Colonne108]]=$G63,DV63,Distances[[#This Row],[Colonne108]]+1)</f>
        <v>105</v>
      </c>
      <c r="DX63" s="17">
        <f>IF(Distances[[#This Row],[Colonne109]]=$G63,DW63,Distances[[#This Row],[Colonne109]]+1)</f>
        <v>106</v>
      </c>
      <c r="DY63" s="17">
        <f>IF(Distances[[#This Row],[Colonne110]]=$G63,DX63,Distances[[#This Row],[Colonne110]]+1)</f>
        <v>107</v>
      </c>
      <c r="DZ63" s="17">
        <f>IF(Distances[[#This Row],[Colonne111]]=$G63,DY63,Distances[[#This Row],[Colonne111]]+1)</f>
        <v>108</v>
      </c>
      <c r="EA63" s="17">
        <f>IF(Distances[[#This Row],[Colonne112]]=$G63,DZ63,Distances[[#This Row],[Colonne112]]+1)</f>
        <v>109</v>
      </c>
      <c r="EB63" s="17">
        <f>IF(Distances[[#This Row],[Colonne113]]=$G63,EA63,Distances[[#This Row],[Colonne113]]+1)</f>
        <v>110</v>
      </c>
      <c r="EC63" s="17">
        <f>IF(Distances[[#This Row],[Colonne114]]=$G63,EB63,Distances[[#This Row],[Colonne114]]+1)</f>
        <v>111</v>
      </c>
      <c r="ED63" s="17">
        <f>IF(Distances[[#This Row],[Colonne115]]=$G63,EC63,Distances[[#This Row],[Colonne115]]+1)</f>
        <v>112</v>
      </c>
      <c r="EE63" s="17">
        <f>IF(Distances[[#This Row],[Colonne116]]=$G63,ED63,Distances[[#This Row],[Colonne116]]+1)</f>
        <v>113</v>
      </c>
      <c r="EF63" s="17">
        <f>IF(Distances[[#This Row],[Colonne117]]=$G63,EE63,Distances[[#This Row],[Colonne117]]+1)</f>
        <v>114</v>
      </c>
      <c r="EG63" s="17">
        <f>IF(Distances[[#This Row],[Colonne118]]=$G63,EF63,Distances[[#This Row],[Colonne118]]+1)</f>
        <v>115</v>
      </c>
      <c r="EH63" s="17">
        <f>IF(Distances[[#This Row],[Colonne119]]=$G63,EG63,Distances[[#This Row],[Colonne119]]+1)</f>
        <v>116</v>
      </c>
      <c r="EI63" s="17">
        <f>IF(Distances[[#This Row],[Colonne120]]=$G63,EH63,Distances[[#This Row],[Colonne120]]+1)</f>
        <v>117</v>
      </c>
      <c r="EJ63" s="17">
        <f>IF(Distances[[#This Row],[Colonne121]]=$G63,EI63,Distances[[#This Row],[Colonne121]]+1)</f>
        <v>118</v>
      </c>
      <c r="EK63" s="17">
        <f>IF(Distances[[#This Row],[Colonne122]]=$G63,EJ63,Distances[[#This Row],[Colonne122]]+1)</f>
        <v>119</v>
      </c>
      <c r="EL63" s="17">
        <f>IF(Distances[[#This Row],[Colonne123]]=$G63,EK63,Distances[[#This Row],[Colonne123]]+1)</f>
        <v>120</v>
      </c>
      <c r="EM63" s="17">
        <f>IF(Distances[[#This Row],[Colonne124]]=$G63,EL63,Distances[[#This Row],[Colonne124]]+1)</f>
        <v>120</v>
      </c>
      <c r="EN63" s="17">
        <f>IF(Distances[[#This Row],[Colonne125]]=$G63,EM63,Distances[[#This Row],[Colonne125]]+1)</f>
        <v>120</v>
      </c>
      <c r="EO63" s="17">
        <f>IF(Distances[[#This Row],[Colonne126]]=$G63,EN63,Distances[[#This Row],[Colonne126]]+1)</f>
        <v>120</v>
      </c>
      <c r="EP63" s="17">
        <f>IF(Distances[[#This Row],[Colonne127]]=$G63,EO63,Distances[[#This Row],[Colonne127]]+1)</f>
        <v>120</v>
      </c>
      <c r="EQ63" s="17">
        <f>IF(Distances[[#This Row],[Colonne128]]=$G63,EP63,Distances[[#This Row],[Colonne128]]+1)</f>
        <v>120</v>
      </c>
      <c r="ER63" s="17">
        <f>IF(Distances[[#This Row],[Colonne129]]=$G63,EQ63,Distances[[#This Row],[Colonne129]]+1)</f>
        <v>120</v>
      </c>
      <c r="ES63" s="17">
        <f>IF(Distances[[#This Row],[Colonne130]]=$G63,ER63,Distances[[#This Row],[Colonne130]]+1)</f>
        <v>120</v>
      </c>
      <c r="ET63" s="17">
        <f>IF(Distances[[#This Row],[Colonne131]]=$G63,ES63,Distances[[#This Row],[Colonne131]]+1)</f>
        <v>120</v>
      </c>
      <c r="EU63" s="17">
        <f>IF(Distances[[#This Row],[Colonne132]]=$G63,ET63,Distances[[#This Row],[Colonne132]]+1)</f>
        <v>120</v>
      </c>
      <c r="EV63" s="17">
        <f>IF(Distances[[#This Row],[Colonne133]]=$G63,EU63,Distances[[#This Row],[Colonne133]]+1)</f>
        <v>120</v>
      </c>
      <c r="EW63" s="17">
        <f>IF(Distances[[#This Row],[Colonne134]]=$G63,EV63,Distances[[#This Row],[Colonne134]]+1)</f>
        <v>120</v>
      </c>
      <c r="EX63" s="17">
        <f>IF(Distances[[#This Row],[Colonne135]]=$G63,EW63,Distances[[#This Row],[Colonne135]]+1)</f>
        <v>120</v>
      </c>
      <c r="EY63" s="17">
        <f>IF(Distances[[#This Row],[Colonne136]]=$G63,EX63,Distances[[#This Row],[Colonne136]]+1)</f>
        <v>120</v>
      </c>
      <c r="EZ63" s="17">
        <f>IF(Distances[[#This Row],[Colonne137]]=$G63,EY63,Distances[[#This Row],[Colonne137]]+1)</f>
        <v>120</v>
      </c>
      <c r="FA63" s="17">
        <f>IF(Distances[[#This Row],[Colonne138]]=$G63,EZ63,Distances[[#This Row],[Colonne138]]+1)</f>
        <v>120</v>
      </c>
      <c r="FB63" s="17">
        <f>IF(Distances[[#This Row],[Colonne139]]=$G63,FA63,Distances[[#This Row],[Colonne139]]+1)</f>
        <v>120</v>
      </c>
      <c r="FC63" s="17">
        <f>IF(Distances[[#This Row],[Colonne140]]=$G63,FB63,Distances[[#This Row],[Colonne140]]+1)</f>
        <v>120</v>
      </c>
      <c r="FD63" s="17">
        <f>IF(Distances[[#This Row],[Colonne141]]=$G63,FC63,Distances[[#This Row],[Colonne141]]+1)</f>
        <v>120</v>
      </c>
      <c r="FE63" s="17">
        <f>IF(Distances[[#This Row],[Colonne142]]=$G63,FD63,Distances[[#This Row],[Colonne142]]+1)</f>
        <v>120</v>
      </c>
      <c r="FF63" s="17">
        <f>IF(Distances[[#This Row],[Colonne143]]=$G63,FE63,Distances[[#This Row],[Colonne143]]+1)</f>
        <v>120</v>
      </c>
      <c r="FG63" s="17">
        <f>IF(Distances[[#This Row],[Colonne144]]=$G63,FF63,Distances[[#This Row],[Colonne144]]+1)</f>
        <v>120</v>
      </c>
      <c r="FH63" s="17">
        <f>IF(Distances[[#This Row],[Colonne145]]=$G63,FG63,Distances[[#This Row],[Colonne145]]+1)</f>
        <v>120</v>
      </c>
      <c r="FI63" s="17">
        <f>IF(Distances[[#This Row],[Colonne146]]=$G63,FH63,Distances[[#This Row],[Colonne146]]+1)</f>
        <v>120</v>
      </c>
      <c r="FJ63" s="17">
        <f>IF(Distances[[#This Row],[Colonne147]]=$G63,FI63,Distances[[#This Row],[Colonne147]]+1)</f>
        <v>120</v>
      </c>
      <c r="FK63" s="17">
        <f>IF(Distances[[#This Row],[Colonne148]]=$G63,FJ63,Distances[[#This Row],[Colonne148]]+1)</f>
        <v>120</v>
      </c>
      <c r="FL63" s="17">
        <f>IF(Distances[[#This Row],[Colonne149]]=$G63,FK63,Distances[[#This Row],[Colonne149]]+1)</f>
        <v>120</v>
      </c>
      <c r="FM63" s="17">
        <f>IF(Distances[[#This Row],[Colonne150]]=$G63,FL63,Distances[[#This Row],[Colonne150]]+1)</f>
        <v>120</v>
      </c>
      <c r="FN63" s="17">
        <f>IF(Distances[[#This Row],[Colonne151]]=$G63,FM63,Distances[[#This Row],[Colonne151]]+1)</f>
        <v>120</v>
      </c>
      <c r="FO63" s="17">
        <f>IF(Distances[[#This Row],[Colonne152]]=$G63,FN63,Distances[[#This Row],[Colonne152]]+1)</f>
        <v>120</v>
      </c>
      <c r="FP63" s="17">
        <f>IF(Distances[[#This Row],[Colonne153]]=$G63,FO63,Distances[[#This Row],[Colonne153]]+1)</f>
        <v>120</v>
      </c>
      <c r="FQ63" s="17">
        <f>IF(Distances[[#This Row],[Colonne154]]=$G63,FP63,Distances[[#This Row],[Colonne154]]+1)</f>
        <v>120</v>
      </c>
      <c r="FR63" s="17">
        <f>IF(Distances[[#This Row],[Colonne155]]=$G63,FQ63,Distances[[#This Row],[Colonne155]]+1)</f>
        <v>120</v>
      </c>
      <c r="FS63" s="17">
        <f>IF(Distances[[#This Row],[Colonne156]]=$G63,FR63,Distances[[#This Row],[Colonne156]]+1)</f>
        <v>120</v>
      </c>
      <c r="FT63" s="17">
        <f>IF(Distances[[#This Row],[Colonne157]]=$G63,FS63,Distances[[#This Row],[Colonne157]]+1)</f>
        <v>120</v>
      </c>
      <c r="FU63" s="17">
        <f>IF(Distances[[#This Row],[Colonne158]]=$G63,FT63,Distances[[#This Row],[Colonne158]]+1)</f>
        <v>120</v>
      </c>
      <c r="FV63" s="17">
        <f>IF(Distances[[#This Row],[Colonne159]]=$G63,FU63,Distances[[#This Row],[Colonne159]]+1)</f>
        <v>120</v>
      </c>
      <c r="FW63" s="17">
        <f>IF(Distances[[#This Row],[Colonne160]]=$G63,FV63,Distances[[#This Row],[Colonne160]]+1)</f>
        <v>120</v>
      </c>
      <c r="FX63" s="17">
        <f>IF(Distances[[#This Row],[Colonne161]]=$G63,FW63,Distances[[#This Row],[Colonne161]]+1)</f>
        <v>120</v>
      </c>
      <c r="FY63" s="17">
        <f>IF(Distances[[#This Row],[Colonne162]]=$G63,FX63,Distances[[#This Row],[Colonne162]]+1)</f>
        <v>120</v>
      </c>
      <c r="FZ63" s="17">
        <f>IF(Distances[[#This Row],[Colonne163]]=$G63,FY63,Distances[[#This Row],[Colonne163]]+1)</f>
        <v>120</v>
      </c>
      <c r="GA63" s="17">
        <f>IF(Distances[[#This Row],[Colonne164]]=$G63,FZ63,Distances[[#This Row],[Colonne164]]+1)</f>
        <v>120</v>
      </c>
      <c r="GB63" s="17">
        <f>IF(Distances[[#This Row],[Colonne165]]=$G63,GA63,Distances[[#This Row],[Colonne165]]+1)</f>
        <v>120</v>
      </c>
      <c r="GC63" s="17">
        <f>IF(Distances[[#This Row],[Colonne166]]=$G63,GB63,Distances[[#This Row],[Colonne166]]+1)</f>
        <v>120</v>
      </c>
      <c r="GD63" s="17">
        <f>IF(Distances[[#This Row],[Colonne167]]=$G63,GC63,Distances[[#This Row],[Colonne167]]+1)</f>
        <v>120</v>
      </c>
      <c r="GE63" s="17">
        <f>IF(Distances[[#This Row],[Colonne168]]=$G63,GD63,Distances[[#This Row],[Colonne168]]+1)</f>
        <v>120</v>
      </c>
      <c r="GF63" s="17">
        <f>IF(Distances[[#This Row],[Colonne169]]=$G63,GE63,Distances[[#This Row],[Colonne169]]+1)</f>
        <v>120</v>
      </c>
      <c r="GG63" s="17">
        <f>IF(Distances[[#This Row],[Colonne170]]=$G63,GF63,Distances[[#This Row],[Colonne170]]+1)</f>
        <v>120</v>
      </c>
      <c r="GH63" s="17">
        <f>IF(Distances[[#This Row],[Colonne171]]=$G63,GG63,Distances[[#This Row],[Colonne171]]+1)</f>
        <v>120</v>
      </c>
      <c r="GI63" s="17">
        <f>IF(Distances[[#This Row],[Colonne172]]=$G63,GH63,Distances[[#This Row],[Colonne172]]+1)</f>
        <v>120</v>
      </c>
      <c r="GJ63" s="17">
        <f>IF(Distances[[#This Row],[Colonne173]]=$G63,GI63,Distances[[#This Row],[Colonne173]]+1)</f>
        <v>120</v>
      </c>
      <c r="GK63" s="17">
        <f>IF(Distances[[#This Row],[Colonne174]]=$G63,GJ63,Distances[[#This Row],[Colonne174]]+1)</f>
        <v>120</v>
      </c>
      <c r="GL63" s="17">
        <f>IF(Distances[[#This Row],[Colonne175]]=$G63,GK63,Distances[[#This Row],[Colonne175]]+1)</f>
        <v>120</v>
      </c>
      <c r="GM63" s="17">
        <f>IF(Distances[[#This Row],[Colonne176]]=$G63,GL63,Distances[[#This Row],[Colonne176]]+1)</f>
        <v>120</v>
      </c>
      <c r="GN63" s="17">
        <f>IF(Distances[[#This Row],[Colonne177]]=$G63,GM63,Distances[[#This Row],[Colonne177]]+1)</f>
        <v>120</v>
      </c>
      <c r="GO63" s="17">
        <f>IF(Distances[[#This Row],[Colonne178]]=$G63,GN63,Distances[[#This Row],[Colonne178]]+1)</f>
        <v>120</v>
      </c>
      <c r="GP63" s="17">
        <f>IF(Distances[[#This Row],[Colonne179]]=$G63,GO63,Distances[[#This Row],[Colonne179]]+1)</f>
        <v>120</v>
      </c>
      <c r="GQ63" s="17">
        <f>IF(Distances[[#This Row],[Colonne180]]=$G63,GP63,Distances[[#This Row],[Colonne180]]+1)</f>
        <v>120</v>
      </c>
      <c r="GR63" s="17">
        <f>IF(Distances[[#This Row],[Colonne181]]=$G63,GQ63,Distances[[#This Row],[Colonne181]]+1)</f>
        <v>120</v>
      </c>
      <c r="GS63" s="17">
        <f>IF(Distances[[#This Row],[Colonne182]]=$G63,GR63,Distances[[#This Row],[Colonne182]]+1)</f>
        <v>120</v>
      </c>
      <c r="GT63" s="17">
        <f>IF(Distances[[#This Row],[Colonne183]]=$G63,GS63,Distances[[#This Row],[Colonne183]]+1)</f>
        <v>120</v>
      </c>
      <c r="GU63" s="17">
        <f>IF(Distances[[#This Row],[Colonne184]]=$G63,GT63,Distances[[#This Row],[Colonne184]]+1)</f>
        <v>120</v>
      </c>
      <c r="GV63" s="17">
        <f>IF(Distances[[#This Row],[Colonne185]]=$G63,GU63,Distances[[#This Row],[Colonne185]]+1)</f>
        <v>120</v>
      </c>
      <c r="GW63" s="17">
        <f>IF(Distances[[#This Row],[Colonne186]]=$G63,GV63,Distances[[#This Row],[Colonne186]]+1)</f>
        <v>120</v>
      </c>
      <c r="GX63" s="17">
        <f>IF(Distances[[#This Row],[Colonne187]]=$G63,GW63,Distances[[#This Row],[Colonne187]]+1)</f>
        <v>120</v>
      </c>
      <c r="GY63" s="17">
        <f>IF(Distances[[#This Row],[Colonne188]]=$G63,GX63,Distances[[#This Row],[Colonne188]]+1)</f>
        <v>120</v>
      </c>
      <c r="GZ63" s="17">
        <f>IF(Distances[[#This Row],[Colonne189]]=$G63,GY63,Distances[[#This Row],[Colonne189]]+1)</f>
        <v>120</v>
      </c>
      <c r="HA63" s="17">
        <f>IF(Distances[[#This Row],[Colonne190]]=$G63,GZ63,Distances[[#This Row],[Colonne190]]+1)</f>
        <v>120</v>
      </c>
      <c r="HB63" s="17">
        <f>IF(Distances[[#This Row],[Colonne191]]=$G63,HA63,Distances[[#This Row],[Colonne191]]+1)</f>
        <v>120</v>
      </c>
      <c r="HC63" s="17">
        <f>IF(Distances[[#This Row],[Colonne192]]=$G63,HB63,Distances[[#This Row],[Colonne192]]+1)</f>
        <v>120</v>
      </c>
      <c r="HD63" s="17">
        <f>IF(Distances[[#This Row],[Colonne193]]=$G63,HC63,Distances[[#This Row],[Colonne193]]+1)</f>
        <v>120</v>
      </c>
      <c r="HE63" s="17">
        <f>IF(Distances[[#This Row],[Colonne194]]=$G63,HD63,Distances[[#This Row],[Colonne194]]+1)</f>
        <v>120</v>
      </c>
      <c r="HF63" s="17">
        <f>IF(Distances[[#This Row],[Colonne195]]=$G63,HE63,Distances[[#This Row],[Colonne195]]+1)</f>
        <v>120</v>
      </c>
      <c r="HG63" s="17">
        <f>IF(Distances[[#This Row],[Colonne196]]=$G63,HF63,Distances[[#This Row],[Colonne196]]+1)</f>
        <v>120</v>
      </c>
      <c r="HH63" s="17">
        <f>IF(Distances[[#This Row],[Colonne197]]=$G63,HG63,Distances[[#This Row],[Colonne197]]+1)</f>
        <v>120</v>
      </c>
      <c r="HI63" s="17">
        <f>IF(Distances[[#This Row],[Colonne198]]=$G63,HH63,Distances[[#This Row],[Colonne198]]+1)</f>
        <v>120</v>
      </c>
      <c r="HJ63" s="17">
        <f>IF(Distances[[#This Row],[Colonne199]]=$G63,HI63,Distances[[#This Row],[Colonne199]]+1)</f>
        <v>120</v>
      </c>
      <c r="HK63" s="17">
        <f>IF(Distances[[#This Row],[Colonne200]]=$G63,HJ63,Distances[[#This Row],[Colonne200]]+1)</f>
        <v>120</v>
      </c>
      <c r="HL63" s="17">
        <f>IF(Distances[[#This Row],[Colonne201]]=$G63,HK63,Distances[[#This Row],[Colonne201]]+1)</f>
        <v>120</v>
      </c>
      <c r="HM63" s="17">
        <f>IF(Distances[[#This Row],[Colonne202]]=$G63,HL63,Distances[[#This Row],[Colonne202]]+1)</f>
        <v>120</v>
      </c>
      <c r="HN63" s="17">
        <f>IF(Distances[[#This Row],[Colonne203]]=$G63,HM63,Distances[[#This Row],[Colonne203]]+1)</f>
        <v>120</v>
      </c>
      <c r="HO63" s="17">
        <f>IF(Distances[[#This Row],[Colonne204]]=$G63,HN63,Distances[[#This Row],[Colonne204]]+1)</f>
        <v>120</v>
      </c>
      <c r="HP63" s="17">
        <f>IF(Distances[[#This Row],[Colonne205]]=$G63,HO63,Distances[[#This Row],[Colonne205]]+1)</f>
        <v>120</v>
      </c>
      <c r="HQ63" s="17">
        <f>IF(Distances[[#This Row],[Colonne206]]=$G63,HP63,Distances[[#This Row],[Colonne206]]+1)</f>
        <v>120</v>
      </c>
      <c r="HR63" s="17">
        <f>IF(Distances[[#This Row],[Colonne207]]=$G63,HQ63,Distances[[#This Row],[Colonne207]]+1)</f>
        <v>120</v>
      </c>
      <c r="HS63" s="17">
        <f>IF(Distances[[#This Row],[Colonne208]]=$G63,HR63,Distances[[#This Row],[Colonne208]]+1)</f>
        <v>120</v>
      </c>
      <c r="HT63" s="17">
        <f>IF(Distances[[#This Row],[Colonne209]]=$G63,HS63,Distances[[#This Row],[Colonne209]]+1)</f>
        <v>120</v>
      </c>
      <c r="HU63" s="17">
        <f>IF(Distances[[#This Row],[Colonne210]]=$G63,HT63,Distances[[#This Row],[Colonne210]]+1)</f>
        <v>120</v>
      </c>
      <c r="HV63" s="17">
        <f>IF(Distances[[#This Row],[Colonne211]]=$G63,HU63,Distances[[#This Row],[Colonne211]]+1)</f>
        <v>120</v>
      </c>
      <c r="HW63" s="17">
        <f>IF(Distances[[#This Row],[Colonne212]]=$G63,HV63,Distances[[#This Row],[Colonne212]]+1)</f>
        <v>120</v>
      </c>
      <c r="HX63" s="17">
        <f>IF(Distances[[#This Row],[Colonne213]]=$G63,HW63,Distances[[#This Row],[Colonne213]]+1)</f>
        <v>120</v>
      </c>
      <c r="HY63" s="17">
        <f>IF(Distances[[#This Row],[Colonne214]]=$G63,HX63,Distances[[#This Row],[Colonne214]]+1)</f>
        <v>120</v>
      </c>
      <c r="HZ63" s="17">
        <f>IF(Distances[[#This Row],[Colonne215]]=$G63,HY63,Distances[[#This Row],[Colonne215]]+1)</f>
        <v>120</v>
      </c>
      <c r="IA63" s="17">
        <f>IF(Distances[[#This Row],[Colonne216]]=$G63,HZ63,Distances[[#This Row],[Colonne216]]+1)</f>
        <v>120</v>
      </c>
      <c r="IB63" s="17">
        <f>IF(Distances[[#This Row],[Colonne217]]=$G63,IA63,Distances[[#This Row],[Colonne217]]+1)</f>
        <v>120</v>
      </c>
      <c r="IC63" s="17">
        <f>IF(Distances[[#This Row],[Colonne218]]=$G63,IB63,Distances[[#This Row],[Colonne218]]+1)</f>
        <v>120</v>
      </c>
      <c r="ID63" s="17">
        <f>IF(Distances[[#This Row],[Colonne219]]=$G63,IC63,Distances[[#This Row],[Colonne219]]+1)</f>
        <v>120</v>
      </c>
      <c r="IE63" s="17">
        <f>IF(Distances[[#This Row],[Colonne220]]=$G63,ID63,Distances[[#This Row],[Colonne220]]+1)</f>
        <v>120</v>
      </c>
      <c r="IF63" s="17">
        <f>IF(Distances[[#This Row],[Colonne221]]=$G63,IE63,Distances[[#This Row],[Colonne221]]+1)</f>
        <v>120</v>
      </c>
      <c r="IG63" s="17">
        <f>IF(Distances[[#This Row],[Colonne222]]=$G63,IF63,Distances[[#This Row],[Colonne222]]+1)</f>
        <v>120</v>
      </c>
      <c r="IH63" s="17">
        <f>IF(Distances[[#This Row],[Colonne223]]=$G63,IG63,Distances[[#This Row],[Colonne223]]+1)</f>
        <v>120</v>
      </c>
      <c r="II63" s="17">
        <f>IF(Distances[[#This Row],[Colonne224]]=$G63,IH63,Distances[[#This Row],[Colonne224]]+1)</f>
        <v>120</v>
      </c>
      <c r="IJ63" s="17">
        <f>IF(Distances[[#This Row],[Colonne225]]=$G63,II63,Distances[[#This Row],[Colonne225]]+1)</f>
        <v>120</v>
      </c>
      <c r="IK63" s="17">
        <f>IF(Distances[[#This Row],[Colonne226]]=$G63,IJ63,Distances[[#This Row],[Colonne226]]+1)</f>
        <v>120</v>
      </c>
      <c r="IL63" s="17">
        <f>IF(Distances[[#This Row],[Colonne227]]=$G63,IK63,Distances[[#This Row],[Colonne227]]+1)</f>
        <v>120</v>
      </c>
      <c r="IM63" s="17">
        <f>IF(Distances[[#This Row],[Colonne228]]=$G63,IL63,Distances[[#This Row],[Colonne228]]+1)</f>
        <v>120</v>
      </c>
      <c r="IN63" s="17">
        <f>IF(Distances[[#This Row],[Colonne229]]=$G63,IM63,Distances[[#This Row],[Colonne229]]+1)</f>
        <v>120</v>
      </c>
      <c r="IO63" s="17">
        <f>IF(Distances[[#This Row],[Colonne230]]=$G63,IN63,Distances[[#This Row],[Colonne230]]+1)</f>
        <v>120</v>
      </c>
      <c r="IP63" s="17">
        <f>IF(Distances[[#This Row],[Colonne231]]=$G63,IO63,Distances[[#This Row],[Colonne231]]+1)</f>
        <v>120</v>
      </c>
      <c r="IQ63" s="17">
        <f>IF(Distances[[#This Row],[Colonne232]]=$G63,IP63,Distances[[#This Row],[Colonne232]]+1)</f>
        <v>120</v>
      </c>
      <c r="IR63" s="17">
        <f>IF(Distances[[#This Row],[Colonne233]]=$G63,IQ63,Distances[[#This Row],[Colonne233]]+1)</f>
        <v>120</v>
      </c>
      <c r="IS63" s="17">
        <f>IF(Distances[[#This Row],[Colonne234]]=$G63,IR63,Distances[[#This Row],[Colonne234]]+1)</f>
        <v>120</v>
      </c>
      <c r="IT63" s="17">
        <f>IF(Distances[[#This Row],[Colonne235]]=$G63,IS63,Distances[[#This Row],[Colonne235]]+1)</f>
        <v>120</v>
      </c>
      <c r="IU63" s="17">
        <f>IF(Distances[[#This Row],[Colonne236]]=$G63,IT63,Distances[[#This Row],[Colonne236]]+1)</f>
        <v>120</v>
      </c>
      <c r="IV63" s="17">
        <f>IF(Distances[[#This Row],[Colonne237]]=$G63,IU63,Distances[[#This Row],[Colonne237]]+1)</f>
        <v>120</v>
      </c>
      <c r="IW63" s="17">
        <f>IF(Distances[[#This Row],[Colonne238]]=$G63,IV63,Distances[[#This Row],[Colonne238]]+1)</f>
        <v>120</v>
      </c>
      <c r="IX63" s="17">
        <f>IF(Distances[[#This Row],[Colonne239]]=$G63,IW63,Distances[[#This Row],[Colonne239]]+1)</f>
        <v>120</v>
      </c>
      <c r="IY63" s="17">
        <f>IF(Distances[[#This Row],[Colonne240]]=$G63,IX63,Distances[[#This Row],[Colonne240]]+1)</f>
        <v>120</v>
      </c>
      <c r="IZ63" s="17">
        <f>IF(Distances[[#This Row],[Colonne241]]=$G63,IY63,Distances[[#This Row],[Colonne241]]+1)</f>
        <v>120</v>
      </c>
      <c r="JA63" s="17">
        <f>IF(Distances[[#This Row],[Colonne242]]=$G63,IZ63,Distances[[#This Row],[Colonne242]]+1)</f>
        <v>120</v>
      </c>
      <c r="JB63" s="17">
        <f>IF(Distances[[#This Row],[Colonne243]]=$G63,JA63,Distances[[#This Row],[Colonne243]]+1)</f>
        <v>120</v>
      </c>
      <c r="JC63" s="17">
        <f>IF(Distances[[#This Row],[Colonne244]]=$G63,JB63,Distances[[#This Row],[Colonne244]]+1)</f>
        <v>120</v>
      </c>
      <c r="JD63" s="17">
        <f>IF(Distances[[#This Row],[Colonne245]]=$G63,JC63,Distances[[#This Row],[Colonne245]]+1)</f>
        <v>120</v>
      </c>
      <c r="JE63" s="17">
        <f>IF(Distances[[#This Row],[Colonne246]]=$G63,JD63,Distances[[#This Row],[Colonne246]]+1)</f>
        <v>120</v>
      </c>
      <c r="JF63" s="17">
        <f>IF(Distances[[#This Row],[Colonne247]]=$G63,JE63,Distances[[#This Row],[Colonne247]]+1)</f>
        <v>120</v>
      </c>
      <c r="JG63" s="17">
        <f>IF(Distances[[#This Row],[Colonne248]]=$G63,JF63,Distances[[#This Row],[Colonne248]]+1)</f>
        <v>120</v>
      </c>
      <c r="JH63" s="17">
        <f>IF(Distances[[#This Row],[Colonne249]]=$G63,JG63,Distances[[#This Row],[Colonne249]]+1)</f>
        <v>120</v>
      </c>
      <c r="JI63" s="17">
        <f>IF(Distances[[#This Row],[Colonne250]]=$G63,JH63,Distances[[#This Row],[Colonne250]]+1)</f>
        <v>120</v>
      </c>
      <c r="JJ63" s="17">
        <f>IF(Distances[[#This Row],[Colonne251]]=$G63,JI63,Distances[[#This Row],[Colonne251]]+1)</f>
        <v>120</v>
      </c>
      <c r="JK63" s="17">
        <f>IF(Distances[[#This Row],[Colonne252]]=$G63,JJ63,Distances[[#This Row],[Colonne252]]+1)</f>
        <v>120</v>
      </c>
      <c r="JL63" s="17">
        <f>IF(Distances[[#This Row],[Colonne253]]=$G63,JK63,Distances[[#This Row],[Colonne253]]+1)</f>
        <v>120</v>
      </c>
      <c r="JM63" s="17">
        <f>IF(Distances[[#This Row],[Colonne254]]=$G63,JL63,Distances[[#This Row],[Colonne254]]+1)</f>
        <v>120</v>
      </c>
      <c r="JN63" s="17">
        <f>IF(Distances[[#This Row],[Colonne255]]=$G63,JM63,Distances[[#This Row],[Colonne255]]+1)</f>
        <v>120</v>
      </c>
      <c r="JO63" s="17">
        <f>IF(Distances[[#This Row],[Colonne256]]=$G63,JN63,Distances[[#This Row],[Colonne256]]+1)</f>
        <v>120</v>
      </c>
      <c r="JP63" s="17">
        <f>IF(Distances[[#This Row],[Colonne257]]=$G63,JO63,Distances[[#This Row],[Colonne257]]+1)</f>
        <v>120</v>
      </c>
      <c r="JQ63" s="17">
        <f>IF(Distances[[#This Row],[Colonne258]]=$G63,JP63,Distances[[#This Row],[Colonne258]]+1)</f>
        <v>120</v>
      </c>
      <c r="JR63" s="17">
        <f>IF(Distances[[#This Row],[Colonne259]]=$G63,JQ63,Distances[[#This Row],[Colonne259]]+1)</f>
        <v>120</v>
      </c>
      <c r="JS63" s="17">
        <f>IF(Distances[[#This Row],[Colonne260]]=$G63,JR63,Distances[[#This Row],[Colonne260]]+1)</f>
        <v>120</v>
      </c>
      <c r="JT63" s="17">
        <f>IF(Distances[[#This Row],[Colonne261]]=$G63,JS63,Distances[[#This Row],[Colonne261]]+1)</f>
        <v>120</v>
      </c>
      <c r="JU63" s="17">
        <f>IF(Distances[[#This Row],[Colonne262]]=$G63,JT63,Distances[[#This Row],[Colonne262]]+1)</f>
        <v>120</v>
      </c>
      <c r="JV63" s="17">
        <f>IF(Distances[[#This Row],[Colonne263]]=$G63,JU63,Distances[[#This Row],[Colonne263]]+1)</f>
        <v>120</v>
      </c>
      <c r="JW63" s="17">
        <f>IF(Distances[[#This Row],[Colonne264]]=$G63,JV63,Distances[[#This Row],[Colonne264]]+1)</f>
        <v>120</v>
      </c>
      <c r="JX63" s="17">
        <f>IF(Distances[[#This Row],[Colonne265]]=$G63,JW63,Distances[[#This Row],[Colonne265]]+1)</f>
        <v>120</v>
      </c>
      <c r="JY63" s="17">
        <f>IF(Distances[[#This Row],[Colonne266]]=$G63,JX63,Distances[[#This Row],[Colonne266]]+1)</f>
        <v>120</v>
      </c>
      <c r="JZ63" s="17">
        <f>IF(Distances[[#This Row],[Colonne267]]=$G63,JY63,Distances[[#This Row],[Colonne267]]+1)</f>
        <v>120</v>
      </c>
      <c r="KA63" s="17">
        <f>IF(Distances[[#This Row],[Colonne268]]=$G63,JZ63,Distances[[#This Row],[Colonne268]]+1)</f>
        <v>120</v>
      </c>
      <c r="KB63" s="17">
        <f>IF(Distances[[#This Row],[Colonne269]]=$G63,KA63,Distances[[#This Row],[Colonne269]]+1)</f>
        <v>120</v>
      </c>
      <c r="KC63" s="17">
        <f>IF(Distances[[#This Row],[Colonne270]]=$G63,KB63,Distances[[#This Row],[Colonne270]]+1)</f>
        <v>120</v>
      </c>
      <c r="KD63" s="17">
        <f>IF(Distances[[#This Row],[Colonne271]]=$G63,KC63,Distances[[#This Row],[Colonne271]]+1)</f>
        <v>120</v>
      </c>
      <c r="KE63" s="17">
        <f>IF(Distances[[#This Row],[Colonne272]]=$G63,KD63,Distances[[#This Row],[Colonne272]]+1)</f>
        <v>120</v>
      </c>
      <c r="KF63" s="17">
        <f>IF(Distances[[#This Row],[Colonne273]]=$G63,KE63,Distances[[#This Row],[Colonne273]]+1)</f>
        <v>120</v>
      </c>
      <c r="KG63" s="17">
        <f>IF(Distances[[#This Row],[Colonne274]]=$G63,KF63,Distances[[#This Row],[Colonne274]]+1)</f>
        <v>120</v>
      </c>
      <c r="KH63" s="17">
        <f>IF(Distances[[#This Row],[Colonne275]]=$G63,KG63,Distances[[#This Row],[Colonne275]]+1)</f>
        <v>120</v>
      </c>
      <c r="KI63" s="17">
        <f>IF(Distances[[#This Row],[Colonne276]]=$G63,KH63,Distances[[#This Row],[Colonne276]]+1)</f>
        <v>120</v>
      </c>
      <c r="KJ63" s="17">
        <f>IF(Distances[[#This Row],[Colonne277]]=$G63,KI63,Distances[[#This Row],[Colonne277]]+1)</f>
        <v>120</v>
      </c>
      <c r="KK63" s="17">
        <f>IF(Distances[[#This Row],[Colonne278]]=$G63,KJ63,Distances[[#This Row],[Colonne278]]+1)</f>
        <v>120</v>
      </c>
      <c r="KL63" s="17">
        <f>IF(Distances[[#This Row],[Colonne279]]=$G63,KK63,Distances[[#This Row],[Colonne279]]+1)</f>
        <v>120</v>
      </c>
      <c r="KM63" s="17">
        <f>IF(Distances[[#This Row],[Colonne280]]=$G63,KL63,Distances[[#This Row],[Colonne280]]+1)</f>
        <v>120</v>
      </c>
      <c r="KN63" s="17">
        <f>IF(Distances[[#This Row],[Colonne281]]=$G63,KM63,Distances[[#This Row],[Colonne281]]+1)</f>
        <v>120</v>
      </c>
      <c r="KO63" s="17">
        <f>IF(Distances[[#This Row],[Colonne282]]=$G63,KN63,Distances[[#This Row],[Colonne282]]+1)</f>
        <v>120</v>
      </c>
      <c r="KP63" s="17">
        <f>IF(Distances[[#This Row],[Colonne283]]=$G63,KO63,Distances[[#This Row],[Colonne283]]+1)</f>
        <v>120</v>
      </c>
      <c r="KQ63" s="17">
        <f>IF(Distances[[#This Row],[Colonne284]]=$G63,KP63,Distances[[#This Row],[Colonne284]]+1)</f>
        <v>120</v>
      </c>
      <c r="KR63" s="17">
        <f>IF(Distances[[#This Row],[Colonne285]]=$G63,KQ63,Distances[[#This Row],[Colonne285]]+1)</f>
        <v>120</v>
      </c>
      <c r="KS63" s="17">
        <f>IF(Distances[[#This Row],[Colonne286]]=$G63,KR63,Distances[[#This Row],[Colonne286]]+1)</f>
        <v>120</v>
      </c>
      <c r="KT63" s="17">
        <f>IF(Distances[[#This Row],[Colonne287]]=$G63,KS63,Distances[[#This Row],[Colonne287]]+1)</f>
        <v>120</v>
      </c>
      <c r="KU63" s="17">
        <f>IF(Distances[[#This Row],[Colonne288]]=$G63,KT63,Distances[[#This Row],[Colonne288]]+1)</f>
        <v>120</v>
      </c>
      <c r="KV63" s="17">
        <f>IF(Distances[[#This Row],[Colonne289]]=$G63,KU63,Distances[[#This Row],[Colonne289]]+1)</f>
        <v>120</v>
      </c>
      <c r="KW63" s="17">
        <f>IF(Distances[[#This Row],[Colonne290]]=$G63,KV63,Distances[[#This Row],[Colonne290]]+1)</f>
        <v>120</v>
      </c>
      <c r="KX63" s="17">
        <f>IF(Distances[[#This Row],[Colonne291]]=$G63,KW63,Distances[[#This Row],[Colonne291]]+1)</f>
        <v>120</v>
      </c>
      <c r="KY63" s="17">
        <f>IF(Distances[[#This Row],[Colonne292]]=$G63,KX63,Distances[[#This Row],[Colonne292]]+1)</f>
        <v>120</v>
      </c>
      <c r="KZ63" s="17">
        <f>IF(Distances[[#This Row],[Colonne293]]=$G63,KY63,Distances[[#This Row],[Colonne293]]+1)</f>
        <v>120</v>
      </c>
      <c r="LA63" s="17">
        <f>IF(Distances[[#This Row],[Colonne294]]=$G63,KZ63,Distances[[#This Row],[Colonne294]]+1)</f>
        <v>120</v>
      </c>
      <c r="LB63" s="17">
        <f>IF(Distances[[#This Row],[Colonne295]]=$G63,LA63,Distances[[#This Row],[Colonne295]]+1)</f>
        <v>120</v>
      </c>
      <c r="LC63" s="17">
        <f>IF(Distances[[#This Row],[Colonne296]]=$G63,LB63,Distances[[#This Row],[Colonne296]]+1)</f>
        <v>120</v>
      </c>
      <c r="LD63" s="17">
        <f>IF(Distances[[#This Row],[Colonne297]]=$G63,LC63,Distances[[#This Row],[Colonne297]]+1)</f>
        <v>120</v>
      </c>
      <c r="LE63" s="17">
        <f>IF(Distances[[#This Row],[Colonne298]]=$G63,LD63,Distances[[#This Row],[Colonne298]]+1)</f>
        <v>120</v>
      </c>
      <c r="LF63" s="17">
        <f>IF(Distances[[#This Row],[Colonne299]]=$G63,LE63,Distances[[#This Row],[Colonne299]]+1)</f>
        <v>120</v>
      </c>
      <c r="LG63" s="17">
        <f>IF(Distances[[#This Row],[Colonne300]]=$G63,LF63,Distances[[#This Row],[Colonne300]]+1)</f>
        <v>120</v>
      </c>
      <c r="LH63" s="17">
        <f>IF(Distances[[#This Row],[Colonne301]]=$G63,LG63,Distances[[#This Row],[Colonne301]]+1)</f>
        <v>120</v>
      </c>
      <c r="LI63" s="17">
        <f>IF(Distances[[#This Row],[Colonne302]]=$G63,LH63,Distances[[#This Row],[Colonne302]]+1)</f>
        <v>120</v>
      </c>
      <c r="LJ63" s="17">
        <f>IF(Distances[[#This Row],[Colonne303]]=$G63,LI63,Distances[[#This Row],[Colonne303]]+1)</f>
        <v>120</v>
      </c>
      <c r="LK63" s="51"/>
      <c r="LL63" s="17">
        <f t="shared" ref="LL63:MQ63" si="122">IF(LK63=$H63,LK63,LK63+1)</f>
        <v>1</v>
      </c>
      <c r="LM63" s="17">
        <f t="shared" si="122"/>
        <v>2</v>
      </c>
      <c r="LN63" s="17">
        <f t="shared" si="122"/>
        <v>3</v>
      </c>
      <c r="LO63" s="17">
        <f t="shared" si="122"/>
        <v>4</v>
      </c>
      <c r="LP63" s="17">
        <f t="shared" si="122"/>
        <v>5</v>
      </c>
      <c r="LQ63" s="17">
        <f t="shared" si="122"/>
        <v>6</v>
      </c>
      <c r="LR63" s="17">
        <f t="shared" si="122"/>
        <v>7</v>
      </c>
      <c r="LS63" s="17">
        <f t="shared" si="122"/>
        <v>8</v>
      </c>
      <c r="LT63" s="17">
        <f t="shared" si="122"/>
        <v>9</v>
      </c>
      <c r="LU63" s="17">
        <f t="shared" si="122"/>
        <v>10</v>
      </c>
      <c r="LV63" s="17">
        <f t="shared" si="122"/>
        <v>11</v>
      </c>
      <c r="LW63" s="17">
        <f t="shared" si="122"/>
        <v>12</v>
      </c>
      <c r="LX63" s="17">
        <f t="shared" si="122"/>
        <v>12</v>
      </c>
      <c r="LY63" s="17">
        <f t="shared" si="122"/>
        <v>12</v>
      </c>
      <c r="LZ63" s="17">
        <f t="shared" si="122"/>
        <v>12</v>
      </c>
      <c r="MA63" s="17">
        <f t="shared" si="122"/>
        <v>12</v>
      </c>
      <c r="MB63" s="17">
        <f t="shared" si="122"/>
        <v>12</v>
      </c>
      <c r="MC63" s="17">
        <f t="shared" si="122"/>
        <v>12</v>
      </c>
      <c r="MD63" s="17">
        <f t="shared" si="122"/>
        <v>12</v>
      </c>
      <c r="ME63" s="17">
        <f t="shared" si="122"/>
        <v>12</v>
      </c>
      <c r="MF63" s="17">
        <f t="shared" si="122"/>
        <v>12</v>
      </c>
      <c r="MG63" s="17">
        <f t="shared" si="122"/>
        <v>12</v>
      </c>
      <c r="MH63" s="17">
        <f t="shared" si="122"/>
        <v>12</v>
      </c>
      <c r="MI63" s="17">
        <f t="shared" si="122"/>
        <v>12</v>
      </c>
      <c r="MJ63" s="17">
        <f t="shared" si="122"/>
        <v>12</v>
      </c>
      <c r="MK63" s="17">
        <f t="shared" si="122"/>
        <v>12</v>
      </c>
      <c r="ML63" s="17">
        <f t="shared" si="122"/>
        <v>12</v>
      </c>
      <c r="MM63" s="17">
        <f t="shared" si="122"/>
        <v>12</v>
      </c>
      <c r="MN63" s="17">
        <f t="shared" si="122"/>
        <v>12</v>
      </c>
      <c r="MO63" s="17">
        <f t="shared" si="122"/>
        <v>12</v>
      </c>
      <c r="MP63" s="17">
        <f t="shared" si="122"/>
        <v>12</v>
      </c>
      <c r="MQ63" s="17">
        <f t="shared" si="122"/>
        <v>12</v>
      </c>
      <c r="MR63" s="17">
        <f t="shared" ref="MR63:NV63" si="123">IF(MQ63=$H63,MQ63,MQ63+1)</f>
        <v>12</v>
      </c>
      <c r="MS63" s="17">
        <f t="shared" si="123"/>
        <v>12</v>
      </c>
      <c r="MT63" s="17">
        <f t="shared" si="123"/>
        <v>12</v>
      </c>
      <c r="MU63" s="17">
        <f t="shared" si="123"/>
        <v>12</v>
      </c>
      <c r="MV63" s="17">
        <f t="shared" si="123"/>
        <v>12</v>
      </c>
      <c r="MW63" s="17">
        <f t="shared" si="123"/>
        <v>12</v>
      </c>
      <c r="MX63" s="17">
        <f t="shared" si="123"/>
        <v>12</v>
      </c>
      <c r="MY63" s="17">
        <f t="shared" si="123"/>
        <v>12</v>
      </c>
      <c r="MZ63" s="17">
        <f t="shared" si="123"/>
        <v>12</v>
      </c>
      <c r="NA63" s="17">
        <f t="shared" si="123"/>
        <v>12</v>
      </c>
      <c r="NB63" s="17">
        <f t="shared" si="123"/>
        <v>12</v>
      </c>
      <c r="NC63" s="17">
        <f t="shared" si="123"/>
        <v>12</v>
      </c>
      <c r="ND63" s="17">
        <f t="shared" si="123"/>
        <v>12</v>
      </c>
      <c r="NE63" s="17">
        <f t="shared" si="123"/>
        <v>12</v>
      </c>
      <c r="NF63" s="17">
        <f t="shared" si="123"/>
        <v>12</v>
      </c>
      <c r="NG63" s="17">
        <f t="shared" si="123"/>
        <v>12</v>
      </c>
      <c r="NH63" s="17">
        <f t="shared" si="123"/>
        <v>12</v>
      </c>
      <c r="NI63" s="17">
        <f t="shared" si="123"/>
        <v>12</v>
      </c>
      <c r="NJ63" s="17">
        <f t="shared" si="123"/>
        <v>12</v>
      </c>
      <c r="NK63" s="17">
        <f t="shared" si="123"/>
        <v>12</v>
      </c>
      <c r="NL63" s="17">
        <f t="shared" si="123"/>
        <v>12</v>
      </c>
      <c r="NM63" s="17">
        <f t="shared" si="123"/>
        <v>12</v>
      </c>
      <c r="NN63" s="17">
        <f t="shared" si="123"/>
        <v>12</v>
      </c>
      <c r="NO63" s="17">
        <f t="shared" si="123"/>
        <v>12</v>
      </c>
      <c r="NP63" s="17">
        <f t="shared" si="123"/>
        <v>12</v>
      </c>
      <c r="NQ63" s="17">
        <f t="shared" si="123"/>
        <v>12</v>
      </c>
      <c r="NR63" s="17">
        <f t="shared" si="123"/>
        <v>12</v>
      </c>
      <c r="NS63" s="17">
        <f t="shared" si="123"/>
        <v>12</v>
      </c>
      <c r="NT63" s="17">
        <f t="shared" si="123"/>
        <v>12</v>
      </c>
      <c r="NU63" s="17">
        <f t="shared" si="123"/>
        <v>12</v>
      </c>
      <c r="NV63" s="17">
        <f t="shared" si="123"/>
        <v>12</v>
      </c>
      <c r="NW63" s="17">
        <f>IF(NV63=$H63,NV63,NV63+1)</f>
        <v>12</v>
      </c>
      <c r="NX63" s="17">
        <f t="shared" si="119"/>
        <v>12</v>
      </c>
      <c r="NY63" s="17">
        <f t="shared" si="119"/>
        <v>12</v>
      </c>
      <c r="NZ63" s="17">
        <f t="shared" si="119"/>
        <v>12</v>
      </c>
      <c r="OA63" s="17">
        <f t="shared" si="119"/>
        <v>12</v>
      </c>
      <c r="OB63" s="17">
        <f t="shared" si="119"/>
        <v>12</v>
      </c>
      <c r="OC63" s="17">
        <f t="shared" si="119"/>
        <v>12</v>
      </c>
      <c r="OD63" s="17">
        <f t="shared" si="119"/>
        <v>12</v>
      </c>
      <c r="OE63" s="17">
        <f t="shared" si="119"/>
        <v>12</v>
      </c>
      <c r="OF63" s="17">
        <f t="shared" si="119"/>
        <v>12</v>
      </c>
      <c r="OG63" s="17">
        <f t="shared" si="119"/>
        <v>12</v>
      </c>
      <c r="OH63" s="17">
        <f t="shared" si="119"/>
        <v>12</v>
      </c>
      <c r="OI63" s="17">
        <f t="shared" si="119"/>
        <v>12</v>
      </c>
      <c r="OJ63" s="17">
        <f t="shared" si="119"/>
        <v>12</v>
      </c>
      <c r="OK63" s="17">
        <f t="shared" si="119"/>
        <v>12</v>
      </c>
      <c r="OL63" s="17">
        <f t="shared" si="119"/>
        <v>12</v>
      </c>
      <c r="OM63" s="17">
        <f t="shared" si="119"/>
        <v>12</v>
      </c>
      <c r="ON63" s="17">
        <f t="shared" si="119"/>
        <v>12</v>
      </c>
      <c r="OO63" s="17">
        <f t="shared" si="119"/>
        <v>12</v>
      </c>
      <c r="OP63" s="17">
        <f t="shared" si="119"/>
        <v>12</v>
      </c>
      <c r="OQ63" s="17">
        <f t="shared" si="119"/>
        <v>12</v>
      </c>
      <c r="OR63" s="17">
        <f t="shared" si="119"/>
        <v>12</v>
      </c>
      <c r="OS63" s="17">
        <f t="shared" si="119"/>
        <v>12</v>
      </c>
      <c r="OT63" s="17">
        <f t="shared" si="119"/>
        <v>12</v>
      </c>
      <c r="OU63" s="17">
        <f t="shared" si="119"/>
        <v>12</v>
      </c>
      <c r="OV63" s="17">
        <f t="shared" si="119"/>
        <v>12</v>
      </c>
      <c r="OW63" s="17">
        <f t="shared" si="119"/>
        <v>12</v>
      </c>
      <c r="OX63" s="17">
        <f t="shared" si="119"/>
        <v>12</v>
      </c>
      <c r="OY63" s="17">
        <f t="shared" si="119"/>
        <v>12</v>
      </c>
      <c r="OZ63" s="17">
        <f t="shared" si="119"/>
        <v>12</v>
      </c>
      <c r="PA63" s="17">
        <f t="shared" si="119"/>
        <v>12</v>
      </c>
      <c r="PB63" s="17">
        <f t="shared" si="119"/>
        <v>12</v>
      </c>
      <c r="PC63" s="17">
        <f t="shared" si="119"/>
        <v>12</v>
      </c>
      <c r="PD63" s="17">
        <f t="shared" si="119"/>
        <v>12</v>
      </c>
      <c r="PE63" s="17">
        <f t="shared" si="119"/>
        <v>12</v>
      </c>
      <c r="PF63" s="17">
        <f t="shared" si="119"/>
        <v>12</v>
      </c>
      <c r="PG63" s="17">
        <f t="shared" si="119"/>
        <v>12</v>
      </c>
    </row>
    <row r="64" spans="1:423" x14ac:dyDescent="0.25">
      <c r="A64" s="8" t="s">
        <v>5507</v>
      </c>
      <c r="B64" s="9" t="s">
        <v>24</v>
      </c>
      <c r="C64" s="9" t="str">
        <f t="shared" si="120"/>
        <v>BN1</v>
      </c>
      <c r="D64" s="1" t="str">
        <f t="shared" si="121"/>
        <v>Bande N1</v>
      </c>
      <c r="E64" s="1" t="s">
        <v>9865</v>
      </c>
      <c r="F64" s="9" t="s">
        <v>11148</v>
      </c>
      <c r="G64" s="9">
        <v>60</v>
      </c>
      <c r="H64" s="9">
        <v>25</v>
      </c>
      <c r="I64" s="127">
        <v>3.1</v>
      </c>
      <c r="J64" s="30"/>
      <c r="K64" s="10"/>
      <c r="L64" s="8">
        <v>2.2999999999999998</v>
      </c>
      <c r="M64" s="9">
        <v>2.2999999999999998</v>
      </c>
      <c r="N64" s="10">
        <v>4.9989999999999997</v>
      </c>
      <c r="O64" s="269">
        <v>1</v>
      </c>
      <c r="P64" s="331">
        <v>1</v>
      </c>
      <c r="Q64" s="335">
        <v>2</v>
      </c>
      <c r="R64" s="8"/>
      <c r="S64" s="9"/>
      <c r="T64" s="10"/>
      <c r="U64" t="s">
        <v>5523</v>
      </c>
      <c r="V64" s="17">
        <v>0</v>
      </c>
      <c r="W64" s="17">
        <f>IF(Distances[[#This Row],[Colonne4]]=$G64,V64,Distances[[#This Row],[Colonne4]]+1)</f>
        <v>1</v>
      </c>
      <c r="X64" s="17">
        <f>IF(Distances[[#This Row],[Colonne5]]=$G64,W64,Distances[[#This Row],[Colonne5]]+1)</f>
        <v>2</v>
      </c>
      <c r="Y64" s="17">
        <f>IF(Distances[[#This Row],[Colonne6]]=$G64,X64,Distances[[#This Row],[Colonne6]]+1)</f>
        <v>3</v>
      </c>
      <c r="Z64" s="17">
        <f>IF(Distances[[#This Row],[Colonne7]]=$G64,Y64,Distances[[#This Row],[Colonne7]]+1)</f>
        <v>4</v>
      </c>
      <c r="AA64" s="17">
        <f>IF(Distances[[#This Row],[Colonne8]]=$G64,Z64,Distances[[#This Row],[Colonne8]]+1)</f>
        <v>5</v>
      </c>
      <c r="AB64" s="17">
        <f>IF(Distances[[#This Row],[Colonne9]]=$G64,AA64,Distances[[#This Row],[Colonne9]]+1)</f>
        <v>6</v>
      </c>
      <c r="AC64" s="17">
        <f>IF(Distances[[#This Row],[Colonne10]]=$G64,AB64,Distances[[#This Row],[Colonne10]]+1)</f>
        <v>7</v>
      </c>
      <c r="AD64" s="17">
        <f>IF(Distances[[#This Row],[Colonne11]]=$G64,AC64,Distances[[#This Row],[Colonne11]]+1)</f>
        <v>8</v>
      </c>
      <c r="AE64" s="17">
        <f>IF(Distances[[#This Row],[Colonne12]]=$G64,AD64,Distances[[#This Row],[Colonne12]]+1)</f>
        <v>9</v>
      </c>
      <c r="AF64" s="17">
        <f>IF(Distances[[#This Row],[Colonne13]]=$G64,AE64,Distances[[#This Row],[Colonne13]]+1)</f>
        <v>10</v>
      </c>
      <c r="AG64" s="17">
        <f>IF(Distances[[#This Row],[Colonne14]]=$G64,AF64,Distances[[#This Row],[Colonne14]]+1)</f>
        <v>11</v>
      </c>
      <c r="AH64" s="17">
        <f>IF(Distances[[#This Row],[Colonne15]]=$G64,AG64,Distances[[#This Row],[Colonne15]]+1)</f>
        <v>12</v>
      </c>
      <c r="AI64" s="17">
        <f>IF(Distances[[#This Row],[Colonne16]]=$G64,AH64,Distances[[#This Row],[Colonne16]]+1)</f>
        <v>13</v>
      </c>
      <c r="AJ64" s="17">
        <f>IF(Distances[[#This Row],[Colonne17]]=$G64,AI64,Distances[[#This Row],[Colonne17]]+1)</f>
        <v>14</v>
      </c>
      <c r="AK64" s="17">
        <f>IF(Distances[[#This Row],[Colonne18]]=$G64,AJ64,Distances[[#This Row],[Colonne18]]+1)</f>
        <v>15</v>
      </c>
      <c r="AL64" s="17">
        <f>IF(Distances[[#This Row],[Colonne19]]=$G64,AK64,Distances[[#This Row],[Colonne19]]+1)</f>
        <v>16</v>
      </c>
      <c r="AM64" s="17">
        <f>IF(Distances[[#This Row],[Colonne20]]=$G64,AL64,Distances[[#This Row],[Colonne20]]+1)</f>
        <v>17</v>
      </c>
      <c r="AN64" s="17">
        <f>IF(Distances[[#This Row],[Colonne21]]=$G64,AM64,Distances[[#This Row],[Colonne21]]+1)</f>
        <v>18</v>
      </c>
      <c r="AO64" s="17">
        <f>IF(Distances[[#This Row],[Colonne22]]=$G64,AN64,Distances[[#This Row],[Colonne22]]+1)</f>
        <v>19</v>
      </c>
      <c r="AP64" s="17">
        <f>IF(Distances[[#This Row],[Colonne23]]=$G64,AO64,Distances[[#This Row],[Colonne23]]+1)</f>
        <v>20</v>
      </c>
      <c r="AQ64" s="17">
        <f>IF(Distances[[#This Row],[Colonne24]]=$G64,AP64,Distances[[#This Row],[Colonne24]]+1)</f>
        <v>21</v>
      </c>
      <c r="AR64" s="17">
        <f>IF(Distances[[#This Row],[Colonne25]]=$G64,AQ64,Distances[[#This Row],[Colonne25]]+1)</f>
        <v>22</v>
      </c>
      <c r="AS64" s="17">
        <f>IF(Distances[[#This Row],[Colonne26]]=$G64,AR64,Distances[[#This Row],[Colonne26]]+1)</f>
        <v>23</v>
      </c>
      <c r="AT64" s="17">
        <f>IF(Distances[[#This Row],[Colonne27]]=$G64,AS64,Distances[[#This Row],[Colonne27]]+1)</f>
        <v>24</v>
      </c>
      <c r="AU64" s="17">
        <f>IF(Distances[[#This Row],[Colonne28]]=$G64,AT64,Distances[[#This Row],[Colonne28]]+1)</f>
        <v>25</v>
      </c>
      <c r="AV64" s="17">
        <f>IF(Distances[[#This Row],[Colonne29]]=$G64,AU64,Distances[[#This Row],[Colonne29]]+1)</f>
        <v>26</v>
      </c>
      <c r="AW64" s="17">
        <f>IF(Distances[[#This Row],[Colonne30]]=$G64,AV64,Distances[[#This Row],[Colonne30]]+1)</f>
        <v>27</v>
      </c>
      <c r="AX64" s="17">
        <f>IF(Distances[[#This Row],[Colonne31]]=$G64,AW64,Distances[[#This Row],[Colonne31]]+1)</f>
        <v>28</v>
      </c>
      <c r="AY64" s="17">
        <f>IF(Distances[[#This Row],[Colonne32]]=$G64,AX64,Distances[[#This Row],[Colonne32]]+1)</f>
        <v>29</v>
      </c>
      <c r="AZ64" s="17">
        <f>IF(Distances[[#This Row],[Colonne33]]=$G64,AY64,Distances[[#This Row],[Colonne33]]+1)</f>
        <v>30</v>
      </c>
      <c r="BA64" s="17">
        <f>IF(Distances[[#This Row],[Colonne34]]=$G64,AZ64,Distances[[#This Row],[Colonne34]]+1)</f>
        <v>31</v>
      </c>
      <c r="BB64" s="17">
        <f>IF(Distances[[#This Row],[Colonne35]]=$G64,BA64,Distances[[#This Row],[Colonne35]]+1)</f>
        <v>32</v>
      </c>
      <c r="BC64" s="17">
        <f>IF(Distances[[#This Row],[Colonne36]]=$G64,BB64,Distances[[#This Row],[Colonne36]]+1)</f>
        <v>33</v>
      </c>
      <c r="BD64" s="17">
        <f>IF(Distances[[#This Row],[Colonne37]]=$G64,BC64,Distances[[#This Row],[Colonne37]]+1)</f>
        <v>34</v>
      </c>
      <c r="BE64" s="17">
        <f>IF(Distances[[#This Row],[Colonne38]]=$G64,BD64,Distances[[#This Row],[Colonne38]]+1)</f>
        <v>35</v>
      </c>
      <c r="BF64" s="17">
        <f>IF(Distances[[#This Row],[Colonne39]]=$G64,BE64,Distances[[#This Row],[Colonne39]]+1)</f>
        <v>36</v>
      </c>
      <c r="BG64" s="17">
        <f>IF(Distances[[#This Row],[Colonne40]]=$G64,BF64,Distances[[#This Row],[Colonne40]]+1)</f>
        <v>37</v>
      </c>
      <c r="BH64" s="17">
        <f>IF(Distances[[#This Row],[Colonne41]]=$G64,BG64,Distances[[#This Row],[Colonne41]]+1)</f>
        <v>38</v>
      </c>
      <c r="BI64" s="17">
        <f>IF(Distances[[#This Row],[Colonne42]]=$G64,BH64,Distances[[#This Row],[Colonne42]]+1)</f>
        <v>39</v>
      </c>
      <c r="BJ64" s="17">
        <f>IF(Distances[[#This Row],[Colonne43]]=$G64,BI64,Distances[[#This Row],[Colonne43]]+1)</f>
        <v>40</v>
      </c>
      <c r="BK64" s="17">
        <f>IF(Distances[[#This Row],[Colonne44]]=$G64,BJ64,Distances[[#This Row],[Colonne44]]+1)</f>
        <v>41</v>
      </c>
      <c r="BL64" s="17">
        <f>IF(Distances[[#This Row],[Colonne45]]=$G64,BK64,Distances[[#This Row],[Colonne45]]+1)</f>
        <v>42</v>
      </c>
      <c r="BM64" s="17">
        <f>IF(Distances[[#This Row],[Colonne46]]=$G64,BL64,Distances[[#This Row],[Colonne46]]+1)</f>
        <v>43</v>
      </c>
      <c r="BN64" s="17">
        <f>IF(Distances[[#This Row],[Colonne47]]=$G64,BM64,Distances[[#This Row],[Colonne47]]+1)</f>
        <v>44</v>
      </c>
      <c r="BO64" s="17">
        <f>IF(Distances[[#This Row],[Colonne48]]=$G64,BN64,Distances[[#This Row],[Colonne48]]+1)</f>
        <v>45</v>
      </c>
      <c r="BP64" s="17">
        <f>IF(Distances[[#This Row],[Colonne49]]=$G64,BO64,Distances[[#This Row],[Colonne49]]+1)</f>
        <v>46</v>
      </c>
      <c r="BQ64" s="17">
        <f>IF(Distances[[#This Row],[Colonne50]]=$G64,BP64,Distances[[#This Row],[Colonne50]]+1)</f>
        <v>47</v>
      </c>
      <c r="BR64" s="17">
        <f>IF(Distances[[#This Row],[Colonne51]]=$G64,BQ64,Distances[[#This Row],[Colonne51]]+1)</f>
        <v>48</v>
      </c>
      <c r="BS64" s="17">
        <f>IF(Distances[[#This Row],[Colonne52]]=$G64,BR64,Distances[[#This Row],[Colonne52]]+1)</f>
        <v>49</v>
      </c>
      <c r="BT64" s="17">
        <f>IF(Distances[[#This Row],[Colonne53]]=$G64,BS64,Distances[[#This Row],[Colonne53]]+1)</f>
        <v>50</v>
      </c>
      <c r="BU64" s="17">
        <f>IF(Distances[[#This Row],[Colonne54]]=$G64,BT64,Distances[[#This Row],[Colonne54]]+1)</f>
        <v>51</v>
      </c>
      <c r="BV64" s="17">
        <f>IF(Distances[[#This Row],[Colonne55]]=$G64,BU64,Distances[[#This Row],[Colonne55]]+1)</f>
        <v>52</v>
      </c>
      <c r="BW64" s="17">
        <f>IF(Distances[[#This Row],[Colonne56]]=$G64,BV64,Distances[[#This Row],[Colonne56]]+1)</f>
        <v>53</v>
      </c>
      <c r="BX64" s="17">
        <f>IF(Distances[[#This Row],[Colonne57]]=$G64,BW64,Distances[[#This Row],[Colonne57]]+1)</f>
        <v>54</v>
      </c>
      <c r="BY64" s="17">
        <f>IF(Distances[[#This Row],[Colonne58]]=$G64,BX64,Distances[[#This Row],[Colonne58]]+1)</f>
        <v>55</v>
      </c>
      <c r="BZ64" s="17">
        <f>IF(Distances[[#This Row],[Colonne59]]=$G64,BY64,Distances[[#This Row],[Colonne59]]+1)</f>
        <v>56</v>
      </c>
      <c r="CA64" s="17">
        <f>IF(Distances[[#This Row],[Colonne60]]=$G64,BZ64,Distances[[#This Row],[Colonne60]]+1)</f>
        <v>57</v>
      </c>
      <c r="CB64" s="17">
        <f>IF(Distances[[#This Row],[Colonne61]]=$G64,CA64,Distances[[#This Row],[Colonne61]]+1)</f>
        <v>58</v>
      </c>
      <c r="CC64" s="17">
        <f>IF(Distances[[#This Row],[Colonne62]]=$G64,CB64,Distances[[#This Row],[Colonne62]]+1)</f>
        <v>59</v>
      </c>
      <c r="CD64" s="17">
        <f>IF(Distances[[#This Row],[Colonne63]]=$G64,CC64,Distances[[#This Row],[Colonne63]]+1)</f>
        <v>60</v>
      </c>
      <c r="CE64" s="17">
        <f>IF(Distances[[#This Row],[Colonne64]]=$G64,CD64,Distances[[#This Row],[Colonne64]]+1)</f>
        <v>60</v>
      </c>
      <c r="CF64" s="17">
        <f>IF(Distances[[#This Row],[Colonne65]]=$G64,CE64,Distances[[#This Row],[Colonne65]]+1)</f>
        <v>60</v>
      </c>
      <c r="CG64" s="17">
        <f>IF(Distances[[#This Row],[Colonne66]]=$G64,CF64,Distances[[#This Row],[Colonne66]]+1)</f>
        <v>60</v>
      </c>
      <c r="CH64" s="17">
        <f>IF(Distances[[#This Row],[Colonne67]]=$G64,CG64,Distances[[#This Row],[Colonne67]]+1)</f>
        <v>60</v>
      </c>
      <c r="CI64" s="17">
        <f>IF(Distances[[#This Row],[Colonne68]]=$G64,CH64,Distances[[#This Row],[Colonne68]]+1)</f>
        <v>60</v>
      </c>
      <c r="CJ64" s="17">
        <f>IF(Distances[[#This Row],[Colonne69]]=$G64,CI64,Distances[[#This Row],[Colonne69]]+1)</f>
        <v>60</v>
      </c>
      <c r="CK64" s="17">
        <f>IF(Distances[[#This Row],[Colonne70]]=$G64,CJ64,Distances[[#This Row],[Colonne70]]+1)</f>
        <v>60</v>
      </c>
      <c r="CL64" s="17">
        <f>IF(Distances[[#This Row],[Colonne71]]=$G64,CK64,Distances[[#This Row],[Colonne71]]+1)</f>
        <v>60</v>
      </c>
      <c r="CM64" s="17">
        <f>IF(Distances[[#This Row],[Colonne72]]=$G64,CL64,Distances[[#This Row],[Colonne72]]+1)</f>
        <v>60</v>
      </c>
      <c r="CN64" s="17">
        <f>IF(Distances[[#This Row],[Colonne73]]=$G64,CM64,Distances[[#This Row],[Colonne73]]+1)</f>
        <v>60</v>
      </c>
      <c r="CO64" s="17">
        <f>IF(Distances[[#This Row],[Colonne74]]=$G64,CN64,Distances[[#This Row],[Colonne74]]+1)</f>
        <v>60</v>
      </c>
      <c r="CP64" s="17">
        <f>IF(Distances[[#This Row],[Colonne75]]=$G64,CO64,Distances[[#This Row],[Colonne75]]+1)</f>
        <v>60</v>
      </c>
      <c r="CQ64" s="17">
        <f>IF(Distances[[#This Row],[Colonne76]]=$G64,CP64,Distances[[#This Row],[Colonne76]]+1)</f>
        <v>60</v>
      </c>
      <c r="CR64" s="17">
        <f>IF(Distances[[#This Row],[Colonne77]]=$G64,CQ64,Distances[[#This Row],[Colonne77]]+1)</f>
        <v>60</v>
      </c>
      <c r="CS64" s="17">
        <f>IF(Distances[[#This Row],[Colonne78]]=$G64,CR64,Distances[[#This Row],[Colonne78]]+1)</f>
        <v>60</v>
      </c>
      <c r="CT64" s="17">
        <f>IF(Distances[[#This Row],[Colonne79]]=$G64,CS64,Distances[[#This Row],[Colonne79]]+1)</f>
        <v>60</v>
      </c>
      <c r="CU64" s="17">
        <f>IF(Distances[[#This Row],[Colonne80]]=$G64,CT64,Distances[[#This Row],[Colonne80]]+1)</f>
        <v>60</v>
      </c>
      <c r="CV64" s="17">
        <f>IF(Distances[[#This Row],[Colonne81]]=$G64,CU64,Distances[[#This Row],[Colonne81]]+1)</f>
        <v>60</v>
      </c>
      <c r="CW64" s="17">
        <f>IF(Distances[[#This Row],[Colonne82]]=$G64,CV64,Distances[[#This Row],[Colonne82]]+1)</f>
        <v>60</v>
      </c>
      <c r="CX64" s="17">
        <f>IF(Distances[[#This Row],[Colonne83]]=$G64,CW64,Distances[[#This Row],[Colonne83]]+1)</f>
        <v>60</v>
      </c>
      <c r="CY64" s="17">
        <f>IF(Distances[[#This Row],[Colonne84]]=$G64,CX64,Distances[[#This Row],[Colonne84]]+1)</f>
        <v>60</v>
      </c>
      <c r="CZ64" s="17">
        <f>IF(Distances[[#This Row],[Colonne85]]=$G64,CY64,Distances[[#This Row],[Colonne85]]+1)</f>
        <v>60</v>
      </c>
      <c r="DA64" s="17">
        <f>IF(Distances[[#This Row],[Colonne86]]=$G64,CZ64,Distances[[#This Row],[Colonne86]]+1)</f>
        <v>60</v>
      </c>
      <c r="DB64" s="17">
        <f>IF(Distances[[#This Row],[Colonne87]]=$G64,DA64,Distances[[#This Row],[Colonne87]]+1)</f>
        <v>60</v>
      </c>
      <c r="DC64" s="17">
        <f>IF(Distances[[#This Row],[Colonne88]]=$G64,DB64,Distances[[#This Row],[Colonne88]]+1)</f>
        <v>60</v>
      </c>
      <c r="DD64" s="17">
        <f>IF(Distances[[#This Row],[Colonne89]]=$G64,DC64,Distances[[#This Row],[Colonne89]]+1)</f>
        <v>60</v>
      </c>
      <c r="DE64" s="17">
        <f>IF(Distances[[#This Row],[Colonne90]]=$G64,DD64,Distances[[#This Row],[Colonne90]]+1)</f>
        <v>60</v>
      </c>
      <c r="DF64" s="17">
        <f>IF(Distances[[#This Row],[Colonne91]]=$G64,DE64,Distances[[#This Row],[Colonne91]]+1)</f>
        <v>60</v>
      </c>
      <c r="DG64" s="17">
        <f>IF(Distances[[#This Row],[Colonne92]]=$G64,DF64,Distances[[#This Row],[Colonne92]]+1)</f>
        <v>60</v>
      </c>
      <c r="DH64" s="17">
        <f>IF(Distances[[#This Row],[Colonne93]]=$G64,DG64,Distances[[#This Row],[Colonne93]]+1)</f>
        <v>60</v>
      </c>
      <c r="DI64" s="17">
        <f>IF(Distances[[#This Row],[Colonne94]]=$G64,DH64,Distances[[#This Row],[Colonne94]]+1)</f>
        <v>60</v>
      </c>
      <c r="DJ64" s="17">
        <f>IF(Distances[[#This Row],[Colonne95]]=$G64,DI64,Distances[[#This Row],[Colonne95]]+1)</f>
        <v>60</v>
      </c>
      <c r="DK64" s="17">
        <f>IF(Distances[[#This Row],[Colonne96]]=$G64,DJ64,Distances[[#This Row],[Colonne96]]+1)</f>
        <v>60</v>
      </c>
      <c r="DL64" s="17">
        <f>IF(Distances[[#This Row],[Colonne97]]=$G64,DK64,Distances[[#This Row],[Colonne97]]+1)</f>
        <v>60</v>
      </c>
      <c r="DM64" s="17">
        <f>IF(Distances[[#This Row],[Colonne98]]=$G64,DL64,Distances[[#This Row],[Colonne98]]+1)</f>
        <v>60</v>
      </c>
      <c r="DN64" s="17">
        <f>IF(Distances[[#This Row],[Colonne99]]=$G64,DM64,Distances[[#This Row],[Colonne99]]+1)</f>
        <v>60</v>
      </c>
      <c r="DO64" s="17">
        <f>IF(Distances[[#This Row],[Colonne100]]=$G64,DN64,Distances[[#This Row],[Colonne100]]+1)</f>
        <v>60</v>
      </c>
      <c r="DP64" s="17">
        <f>IF(Distances[[#This Row],[Colonne101]]=$G64,DO64,Distances[[#This Row],[Colonne101]]+1)</f>
        <v>60</v>
      </c>
      <c r="DQ64" s="17">
        <f>IF(Distances[[#This Row],[Colonne102]]=$G64,DP64,Distances[[#This Row],[Colonne102]]+1)</f>
        <v>60</v>
      </c>
      <c r="DR64" s="17">
        <f>IF(Distances[[#This Row],[Colonne103]]=$G64,DQ64,Distances[[#This Row],[Colonne103]]+1)</f>
        <v>60</v>
      </c>
      <c r="DS64" s="17">
        <f>IF(Distances[[#This Row],[Colonne104]]=$G64,DR64,Distances[[#This Row],[Colonne104]]+1)</f>
        <v>60</v>
      </c>
      <c r="DT64" s="17">
        <f>IF(Distances[[#This Row],[Colonne105]]=$G64,DS64,Distances[[#This Row],[Colonne105]]+1)</f>
        <v>60</v>
      </c>
      <c r="DU64" s="17">
        <f>IF(Distances[[#This Row],[Colonne106]]=$G64,DT64,Distances[[#This Row],[Colonne106]]+1)</f>
        <v>60</v>
      </c>
      <c r="DV64" s="17">
        <f>IF(Distances[[#This Row],[Colonne107]]=$G64,DU64,Distances[[#This Row],[Colonne107]]+1)</f>
        <v>60</v>
      </c>
      <c r="DW64" s="17">
        <f>IF(Distances[[#This Row],[Colonne108]]=$G64,DV64,Distances[[#This Row],[Colonne108]]+1)</f>
        <v>60</v>
      </c>
      <c r="DX64" s="17">
        <f>IF(Distances[[#This Row],[Colonne109]]=$G64,DW64,Distances[[#This Row],[Colonne109]]+1)</f>
        <v>60</v>
      </c>
      <c r="DY64" s="17">
        <f>IF(Distances[[#This Row],[Colonne110]]=$G64,DX64,Distances[[#This Row],[Colonne110]]+1)</f>
        <v>60</v>
      </c>
      <c r="DZ64" s="17">
        <f>IF(Distances[[#This Row],[Colonne111]]=$G64,DY64,Distances[[#This Row],[Colonne111]]+1)</f>
        <v>60</v>
      </c>
      <c r="EA64" s="17">
        <f>IF(Distances[[#This Row],[Colonne112]]=$G64,DZ64,Distances[[#This Row],[Colonne112]]+1)</f>
        <v>60</v>
      </c>
      <c r="EB64" s="17">
        <f>IF(Distances[[#This Row],[Colonne113]]=$G64,EA64,Distances[[#This Row],[Colonne113]]+1)</f>
        <v>60</v>
      </c>
      <c r="EC64" s="17">
        <f>IF(Distances[[#This Row],[Colonne114]]=$G64,EB64,Distances[[#This Row],[Colonne114]]+1)</f>
        <v>60</v>
      </c>
      <c r="ED64" s="17">
        <f>IF(Distances[[#This Row],[Colonne115]]=$G64,EC64,Distances[[#This Row],[Colonne115]]+1)</f>
        <v>60</v>
      </c>
      <c r="EE64" s="17">
        <f>IF(Distances[[#This Row],[Colonne116]]=$G64,ED64,Distances[[#This Row],[Colonne116]]+1)</f>
        <v>60</v>
      </c>
      <c r="EF64" s="17">
        <f>IF(Distances[[#This Row],[Colonne117]]=$G64,EE64,Distances[[#This Row],[Colonne117]]+1)</f>
        <v>60</v>
      </c>
      <c r="EG64" s="17">
        <f>IF(Distances[[#This Row],[Colonne118]]=$G64,EF64,Distances[[#This Row],[Colonne118]]+1)</f>
        <v>60</v>
      </c>
      <c r="EH64" s="17">
        <f>IF(Distances[[#This Row],[Colonne119]]=$G64,EG64,Distances[[#This Row],[Colonne119]]+1)</f>
        <v>60</v>
      </c>
      <c r="EI64" s="17">
        <f>IF(Distances[[#This Row],[Colonne120]]=$G64,EH64,Distances[[#This Row],[Colonne120]]+1)</f>
        <v>60</v>
      </c>
      <c r="EJ64" s="17">
        <f>IF(Distances[[#This Row],[Colonne121]]=$G64,EI64,Distances[[#This Row],[Colonne121]]+1)</f>
        <v>60</v>
      </c>
      <c r="EK64" s="17">
        <f>IF(Distances[[#This Row],[Colonne122]]=$G64,EJ64,Distances[[#This Row],[Colonne122]]+1)</f>
        <v>60</v>
      </c>
      <c r="EL64" s="17">
        <f>IF(Distances[[#This Row],[Colonne123]]=$G64,EK64,Distances[[#This Row],[Colonne123]]+1)</f>
        <v>60</v>
      </c>
      <c r="EM64" s="17">
        <f>IF(Distances[[#This Row],[Colonne124]]=$G64,EL64,Distances[[#This Row],[Colonne124]]+1)</f>
        <v>60</v>
      </c>
      <c r="EN64" s="17">
        <f>IF(Distances[[#This Row],[Colonne125]]=$G64,EM64,Distances[[#This Row],[Colonne125]]+1)</f>
        <v>60</v>
      </c>
      <c r="EO64" s="17">
        <f>IF(Distances[[#This Row],[Colonne126]]=$G64,EN64,Distances[[#This Row],[Colonne126]]+1)</f>
        <v>60</v>
      </c>
      <c r="EP64" s="17">
        <f>IF(Distances[[#This Row],[Colonne127]]=$G64,EO64,Distances[[#This Row],[Colonne127]]+1)</f>
        <v>60</v>
      </c>
      <c r="EQ64" s="17">
        <f>IF(Distances[[#This Row],[Colonne128]]=$G64,EP64,Distances[[#This Row],[Colonne128]]+1)</f>
        <v>60</v>
      </c>
      <c r="ER64" s="17">
        <f>IF(Distances[[#This Row],[Colonne129]]=$G64,EQ64,Distances[[#This Row],[Colonne129]]+1)</f>
        <v>60</v>
      </c>
      <c r="ES64" s="17">
        <f>IF(Distances[[#This Row],[Colonne130]]=$G64,ER64,Distances[[#This Row],[Colonne130]]+1)</f>
        <v>60</v>
      </c>
      <c r="ET64" s="17">
        <f>IF(Distances[[#This Row],[Colonne131]]=$G64,ES64,Distances[[#This Row],[Colonne131]]+1)</f>
        <v>60</v>
      </c>
      <c r="EU64" s="17">
        <f>IF(Distances[[#This Row],[Colonne132]]=$G64,ET64,Distances[[#This Row],[Colonne132]]+1)</f>
        <v>60</v>
      </c>
      <c r="EV64" s="17">
        <f>IF(Distances[[#This Row],[Colonne133]]=$G64,EU64,Distances[[#This Row],[Colonne133]]+1)</f>
        <v>60</v>
      </c>
      <c r="EW64" s="17">
        <f>IF(Distances[[#This Row],[Colonne134]]=$G64,EV64,Distances[[#This Row],[Colonne134]]+1)</f>
        <v>60</v>
      </c>
      <c r="EX64" s="17">
        <f>IF(Distances[[#This Row],[Colonne135]]=$G64,EW64,Distances[[#This Row],[Colonne135]]+1)</f>
        <v>60</v>
      </c>
      <c r="EY64" s="17">
        <f>IF(Distances[[#This Row],[Colonne136]]=$G64,EX64,Distances[[#This Row],[Colonne136]]+1)</f>
        <v>60</v>
      </c>
      <c r="EZ64" s="17">
        <f>IF(Distances[[#This Row],[Colonne137]]=$G64,EY64,Distances[[#This Row],[Colonne137]]+1)</f>
        <v>60</v>
      </c>
      <c r="FA64" s="17">
        <f>IF(Distances[[#This Row],[Colonne138]]=$G64,EZ64,Distances[[#This Row],[Colonne138]]+1)</f>
        <v>60</v>
      </c>
      <c r="FB64" s="17">
        <f>IF(Distances[[#This Row],[Colonne139]]=$G64,FA64,Distances[[#This Row],[Colonne139]]+1)</f>
        <v>60</v>
      </c>
      <c r="FC64" s="17">
        <f>IF(Distances[[#This Row],[Colonne140]]=$G64,FB64,Distances[[#This Row],[Colonne140]]+1)</f>
        <v>60</v>
      </c>
      <c r="FD64" s="17">
        <f>IF(Distances[[#This Row],[Colonne141]]=$G64,FC64,Distances[[#This Row],[Colonne141]]+1)</f>
        <v>60</v>
      </c>
      <c r="FE64" s="17">
        <f>IF(Distances[[#This Row],[Colonne142]]=$G64,FD64,Distances[[#This Row],[Colonne142]]+1)</f>
        <v>60</v>
      </c>
      <c r="FF64" s="17">
        <f>IF(Distances[[#This Row],[Colonne143]]=$G64,FE64,Distances[[#This Row],[Colonne143]]+1)</f>
        <v>60</v>
      </c>
      <c r="FG64" s="17">
        <f>IF(Distances[[#This Row],[Colonne144]]=$G64,FF64,Distances[[#This Row],[Colonne144]]+1)</f>
        <v>60</v>
      </c>
      <c r="FH64" s="17">
        <f>IF(Distances[[#This Row],[Colonne145]]=$G64,FG64,Distances[[#This Row],[Colonne145]]+1)</f>
        <v>60</v>
      </c>
      <c r="FI64" s="17">
        <f>IF(Distances[[#This Row],[Colonne146]]=$G64,FH64,Distances[[#This Row],[Colonne146]]+1)</f>
        <v>60</v>
      </c>
      <c r="FJ64" s="17">
        <f>IF(Distances[[#This Row],[Colonne147]]=$G64,FI64,Distances[[#This Row],[Colonne147]]+1)</f>
        <v>60</v>
      </c>
      <c r="FK64" s="17">
        <f>IF(Distances[[#This Row],[Colonne148]]=$G64,FJ64,Distances[[#This Row],[Colonne148]]+1)</f>
        <v>60</v>
      </c>
      <c r="FL64" s="17">
        <f>IF(Distances[[#This Row],[Colonne149]]=$G64,FK64,Distances[[#This Row],[Colonne149]]+1)</f>
        <v>60</v>
      </c>
      <c r="FM64" s="17">
        <f>IF(Distances[[#This Row],[Colonne150]]=$G64,FL64,Distances[[#This Row],[Colonne150]]+1)</f>
        <v>60</v>
      </c>
      <c r="FN64" s="17">
        <f>IF(Distances[[#This Row],[Colonne151]]=$G64,FM64,Distances[[#This Row],[Colonne151]]+1)</f>
        <v>60</v>
      </c>
      <c r="FO64" s="17">
        <f>IF(Distances[[#This Row],[Colonne152]]=$G64,FN64,Distances[[#This Row],[Colonne152]]+1)</f>
        <v>60</v>
      </c>
      <c r="FP64" s="17">
        <f>IF(Distances[[#This Row],[Colonne153]]=$G64,FO64,Distances[[#This Row],[Colonne153]]+1)</f>
        <v>60</v>
      </c>
      <c r="FQ64" s="17">
        <f>IF(Distances[[#This Row],[Colonne154]]=$G64,FP64,Distances[[#This Row],[Colonne154]]+1)</f>
        <v>60</v>
      </c>
      <c r="FR64" s="17">
        <f>IF(Distances[[#This Row],[Colonne155]]=$G64,FQ64,Distances[[#This Row],[Colonne155]]+1)</f>
        <v>60</v>
      </c>
      <c r="FS64" s="17">
        <f>IF(Distances[[#This Row],[Colonne156]]=$G64,FR64,Distances[[#This Row],[Colonne156]]+1)</f>
        <v>60</v>
      </c>
      <c r="FT64" s="17">
        <f>IF(Distances[[#This Row],[Colonne157]]=$G64,FS64,Distances[[#This Row],[Colonne157]]+1)</f>
        <v>60</v>
      </c>
      <c r="FU64" s="17">
        <f>IF(Distances[[#This Row],[Colonne158]]=$G64,FT64,Distances[[#This Row],[Colonne158]]+1)</f>
        <v>60</v>
      </c>
      <c r="FV64" s="17">
        <f>IF(Distances[[#This Row],[Colonne159]]=$G64,FU64,Distances[[#This Row],[Colonne159]]+1)</f>
        <v>60</v>
      </c>
      <c r="FW64" s="17">
        <f>IF(Distances[[#This Row],[Colonne160]]=$G64,FV64,Distances[[#This Row],[Colonne160]]+1)</f>
        <v>60</v>
      </c>
      <c r="FX64" s="17">
        <f>IF(Distances[[#This Row],[Colonne161]]=$G64,FW64,Distances[[#This Row],[Colonne161]]+1)</f>
        <v>60</v>
      </c>
      <c r="FY64" s="17">
        <f>IF(Distances[[#This Row],[Colonne162]]=$G64,FX64,Distances[[#This Row],[Colonne162]]+1)</f>
        <v>60</v>
      </c>
      <c r="FZ64" s="17">
        <f>IF(Distances[[#This Row],[Colonne163]]=$G64,FY64,Distances[[#This Row],[Colonne163]]+1)</f>
        <v>60</v>
      </c>
      <c r="GA64" s="17">
        <f>IF(Distances[[#This Row],[Colonne164]]=$G64,FZ64,Distances[[#This Row],[Colonne164]]+1)</f>
        <v>60</v>
      </c>
      <c r="GB64" s="17">
        <f>IF(Distances[[#This Row],[Colonne165]]=$G64,GA64,Distances[[#This Row],[Colonne165]]+1)</f>
        <v>60</v>
      </c>
      <c r="GC64" s="17">
        <f>IF(Distances[[#This Row],[Colonne166]]=$G64,GB64,Distances[[#This Row],[Colonne166]]+1)</f>
        <v>60</v>
      </c>
      <c r="GD64" s="17">
        <f>IF(Distances[[#This Row],[Colonne167]]=$G64,GC64,Distances[[#This Row],[Colonne167]]+1)</f>
        <v>60</v>
      </c>
      <c r="GE64" s="17">
        <f>IF(Distances[[#This Row],[Colonne168]]=$G64,GD64,Distances[[#This Row],[Colonne168]]+1)</f>
        <v>60</v>
      </c>
      <c r="GF64" s="17">
        <f>IF(Distances[[#This Row],[Colonne169]]=$G64,GE64,Distances[[#This Row],[Colonne169]]+1)</f>
        <v>60</v>
      </c>
      <c r="GG64" s="17">
        <f>IF(Distances[[#This Row],[Colonne170]]=$G64,GF64,Distances[[#This Row],[Colonne170]]+1)</f>
        <v>60</v>
      </c>
      <c r="GH64" s="17">
        <f>IF(Distances[[#This Row],[Colonne171]]=$G64,GG64,Distances[[#This Row],[Colonne171]]+1)</f>
        <v>60</v>
      </c>
      <c r="GI64" s="17">
        <f>IF(Distances[[#This Row],[Colonne172]]=$G64,GH64,Distances[[#This Row],[Colonne172]]+1)</f>
        <v>60</v>
      </c>
      <c r="GJ64" s="17">
        <f>IF(Distances[[#This Row],[Colonne173]]=$G64,GI64,Distances[[#This Row],[Colonne173]]+1)</f>
        <v>60</v>
      </c>
      <c r="GK64" s="17">
        <f>IF(Distances[[#This Row],[Colonne174]]=$G64,GJ64,Distances[[#This Row],[Colonne174]]+1)</f>
        <v>60</v>
      </c>
      <c r="GL64" s="17">
        <f>IF(Distances[[#This Row],[Colonne175]]=$G64,GK64,Distances[[#This Row],[Colonne175]]+1)</f>
        <v>60</v>
      </c>
      <c r="GM64" s="17">
        <f>IF(Distances[[#This Row],[Colonne176]]=$G64,GL64,Distances[[#This Row],[Colonne176]]+1)</f>
        <v>60</v>
      </c>
      <c r="GN64" s="17">
        <f>IF(Distances[[#This Row],[Colonne177]]=$G64,GM64,Distances[[#This Row],[Colonne177]]+1)</f>
        <v>60</v>
      </c>
      <c r="GO64" s="17">
        <f>IF(Distances[[#This Row],[Colonne178]]=$G64,GN64,Distances[[#This Row],[Colonne178]]+1)</f>
        <v>60</v>
      </c>
      <c r="GP64" s="17">
        <f>IF(Distances[[#This Row],[Colonne179]]=$G64,GO64,Distances[[#This Row],[Colonne179]]+1)</f>
        <v>60</v>
      </c>
      <c r="GQ64" s="17">
        <f>IF(Distances[[#This Row],[Colonne180]]=$G64,GP64,Distances[[#This Row],[Colonne180]]+1)</f>
        <v>60</v>
      </c>
      <c r="GR64" s="17">
        <f>IF(Distances[[#This Row],[Colonne181]]=$G64,GQ64,Distances[[#This Row],[Colonne181]]+1)</f>
        <v>60</v>
      </c>
      <c r="GS64" s="17">
        <f>IF(Distances[[#This Row],[Colonne182]]=$G64,GR64,Distances[[#This Row],[Colonne182]]+1)</f>
        <v>60</v>
      </c>
      <c r="GT64" s="17">
        <f>IF(Distances[[#This Row],[Colonne183]]=$G64,GS64,Distances[[#This Row],[Colonne183]]+1)</f>
        <v>60</v>
      </c>
      <c r="GU64" s="17">
        <f>IF(Distances[[#This Row],[Colonne184]]=$G64,GT64,Distances[[#This Row],[Colonne184]]+1)</f>
        <v>60</v>
      </c>
      <c r="GV64" s="17">
        <f>IF(Distances[[#This Row],[Colonne185]]=$G64,GU64,Distances[[#This Row],[Colonne185]]+1)</f>
        <v>60</v>
      </c>
      <c r="GW64" s="17">
        <f>IF(Distances[[#This Row],[Colonne186]]=$G64,GV64,Distances[[#This Row],[Colonne186]]+1)</f>
        <v>60</v>
      </c>
      <c r="GX64" s="17">
        <f>IF(Distances[[#This Row],[Colonne187]]=$G64,GW64,Distances[[#This Row],[Colonne187]]+1)</f>
        <v>60</v>
      </c>
      <c r="GY64" s="17">
        <f>IF(Distances[[#This Row],[Colonne188]]=$G64,GX64,Distances[[#This Row],[Colonne188]]+1)</f>
        <v>60</v>
      </c>
      <c r="GZ64" s="17">
        <f>IF(Distances[[#This Row],[Colonne189]]=$G64,GY64,Distances[[#This Row],[Colonne189]]+1)</f>
        <v>60</v>
      </c>
      <c r="HA64" s="17">
        <f>IF(Distances[[#This Row],[Colonne190]]=$G64,GZ64,Distances[[#This Row],[Colonne190]]+1)</f>
        <v>60</v>
      </c>
      <c r="HB64" s="17">
        <f>IF(Distances[[#This Row],[Colonne191]]=$G64,HA64,Distances[[#This Row],[Colonne191]]+1)</f>
        <v>60</v>
      </c>
      <c r="HC64" s="17">
        <f>IF(Distances[[#This Row],[Colonne192]]=$G64,HB64,Distances[[#This Row],[Colonne192]]+1)</f>
        <v>60</v>
      </c>
      <c r="HD64" s="17">
        <f>IF(Distances[[#This Row],[Colonne193]]=$G64,HC64,Distances[[#This Row],[Colonne193]]+1)</f>
        <v>60</v>
      </c>
      <c r="HE64" s="17">
        <f>IF(Distances[[#This Row],[Colonne194]]=$G64,HD64,Distances[[#This Row],[Colonne194]]+1)</f>
        <v>60</v>
      </c>
      <c r="HF64" s="17">
        <f>IF(Distances[[#This Row],[Colonne195]]=$G64,HE64,Distances[[#This Row],[Colonne195]]+1)</f>
        <v>60</v>
      </c>
      <c r="HG64" s="17">
        <f>IF(Distances[[#This Row],[Colonne196]]=$G64,HF64,Distances[[#This Row],[Colonne196]]+1)</f>
        <v>60</v>
      </c>
      <c r="HH64" s="17">
        <f>IF(Distances[[#This Row],[Colonne197]]=$G64,HG64,Distances[[#This Row],[Colonne197]]+1)</f>
        <v>60</v>
      </c>
      <c r="HI64" s="17">
        <f>IF(Distances[[#This Row],[Colonne198]]=$G64,HH64,Distances[[#This Row],[Colonne198]]+1)</f>
        <v>60</v>
      </c>
      <c r="HJ64" s="17">
        <f>IF(Distances[[#This Row],[Colonne199]]=$G64,HI64,Distances[[#This Row],[Colonne199]]+1)</f>
        <v>60</v>
      </c>
      <c r="HK64" s="17">
        <f>IF(Distances[[#This Row],[Colonne200]]=$G64,HJ64,Distances[[#This Row],[Colonne200]]+1)</f>
        <v>60</v>
      </c>
      <c r="HL64" s="17">
        <f>IF(Distances[[#This Row],[Colonne201]]=$G64,HK64,Distances[[#This Row],[Colonne201]]+1)</f>
        <v>60</v>
      </c>
      <c r="HM64" s="17">
        <f>IF(Distances[[#This Row],[Colonne202]]=$G64,HL64,Distances[[#This Row],[Colonne202]]+1)</f>
        <v>60</v>
      </c>
      <c r="HN64" s="17">
        <f>IF(Distances[[#This Row],[Colonne203]]=$G64,HM64,Distances[[#This Row],[Colonne203]]+1)</f>
        <v>60</v>
      </c>
      <c r="HO64" s="17">
        <f>IF(Distances[[#This Row],[Colonne204]]=$G64,HN64,Distances[[#This Row],[Colonne204]]+1)</f>
        <v>60</v>
      </c>
      <c r="HP64" s="17">
        <f>IF(Distances[[#This Row],[Colonne205]]=$G64,HO64,Distances[[#This Row],[Colonne205]]+1)</f>
        <v>60</v>
      </c>
      <c r="HQ64" s="17">
        <f>IF(Distances[[#This Row],[Colonne206]]=$G64,HP64,Distances[[#This Row],[Colonne206]]+1)</f>
        <v>60</v>
      </c>
      <c r="HR64" s="17">
        <f>IF(Distances[[#This Row],[Colonne207]]=$G64,HQ64,Distances[[#This Row],[Colonne207]]+1)</f>
        <v>60</v>
      </c>
      <c r="HS64" s="17">
        <f>IF(Distances[[#This Row],[Colonne208]]=$G64,HR64,Distances[[#This Row],[Colonne208]]+1)</f>
        <v>60</v>
      </c>
      <c r="HT64" s="17">
        <f>IF(Distances[[#This Row],[Colonne209]]=$G64,HS64,Distances[[#This Row],[Colonne209]]+1)</f>
        <v>60</v>
      </c>
      <c r="HU64" s="17">
        <f>IF(Distances[[#This Row],[Colonne210]]=$G64,HT64,Distances[[#This Row],[Colonne210]]+1)</f>
        <v>60</v>
      </c>
      <c r="HV64" s="17">
        <f>IF(Distances[[#This Row],[Colonne211]]=$G64,HU64,Distances[[#This Row],[Colonne211]]+1)</f>
        <v>60</v>
      </c>
      <c r="HW64" s="17">
        <f>IF(Distances[[#This Row],[Colonne212]]=$G64,HV64,Distances[[#This Row],[Colonne212]]+1)</f>
        <v>60</v>
      </c>
      <c r="HX64" s="17">
        <f>IF(Distances[[#This Row],[Colonne213]]=$G64,HW64,Distances[[#This Row],[Colonne213]]+1)</f>
        <v>60</v>
      </c>
      <c r="HY64" s="17">
        <f>IF(Distances[[#This Row],[Colonne214]]=$G64,HX64,Distances[[#This Row],[Colonne214]]+1)</f>
        <v>60</v>
      </c>
      <c r="HZ64" s="17">
        <f>IF(Distances[[#This Row],[Colonne215]]=$G64,HY64,Distances[[#This Row],[Colonne215]]+1)</f>
        <v>60</v>
      </c>
      <c r="IA64" s="17">
        <f>IF(Distances[[#This Row],[Colonne216]]=$G64,HZ64,Distances[[#This Row],[Colonne216]]+1)</f>
        <v>60</v>
      </c>
      <c r="IB64" s="17">
        <f>IF(Distances[[#This Row],[Colonne217]]=$G64,IA64,Distances[[#This Row],[Colonne217]]+1)</f>
        <v>60</v>
      </c>
      <c r="IC64" s="17">
        <f>IF(Distances[[#This Row],[Colonne218]]=$G64,IB64,Distances[[#This Row],[Colonne218]]+1)</f>
        <v>60</v>
      </c>
      <c r="ID64" s="17">
        <f>IF(Distances[[#This Row],[Colonne219]]=$G64,IC64,Distances[[#This Row],[Colonne219]]+1)</f>
        <v>60</v>
      </c>
      <c r="IE64" s="17">
        <f>IF(Distances[[#This Row],[Colonne220]]=$G64,ID64,Distances[[#This Row],[Colonne220]]+1)</f>
        <v>60</v>
      </c>
      <c r="IF64" s="17">
        <f>IF(Distances[[#This Row],[Colonne221]]=$G64,IE64,Distances[[#This Row],[Colonne221]]+1)</f>
        <v>60</v>
      </c>
      <c r="IG64" s="17">
        <f>IF(Distances[[#This Row],[Colonne222]]=$G64,IF64,Distances[[#This Row],[Colonne222]]+1)</f>
        <v>60</v>
      </c>
      <c r="IH64" s="17">
        <f>IF(Distances[[#This Row],[Colonne223]]=$G64,IG64,Distances[[#This Row],[Colonne223]]+1)</f>
        <v>60</v>
      </c>
      <c r="II64" s="17">
        <f>IF(Distances[[#This Row],[Colonne224]]=$G64,IH64,Distances[[#This Row],[Colonne224]]+1)</f>
        <v>60</v>
      </c>
      <c r="IJ64" s="17">
        <f>IF(Distances[[#This Row],[Colonne225]]=$G64,II64,Distances[[#This Row],[Colonne225]]+1)</f>
        <v>60</v>
      </c>
      <c r="IK64" s="17">
        <f>IF(Distances[[#This Row],[Colonne226]]=$G64,IJ64,Distances[[#This Row],[Colonne226]]+1)</f>
        <v>60</v>
      </c>
      <c r="IL64" s="17">
        <f>IF(Distances[[#This Row],[Colonne227]]=$G64,IK64,Distances[[#This Row],[Colonne227]]+1)</f>
        <v>60</v>
      </c>
      <c r="IM64" s="17">
        <f>IF(Distances[[#This Row],[Colonne228]]=$G64,IL64,Distances[[#This Row],[Colonne228]]+1)</f>
        <v>60</v>
      </c>
      <c r="IN64" s="17">
        <f>IF(Distances[[#This Row],[Colonne229]]=$G64,IM64,Distances[[#This Row],[Colonne229]]+1)</f>
        <v>60</v>
      </c>
      <c r="IO64" s="17">
        <f>IF(Distances[[#This Row],[Colonne230]]=$G64,IN64,Distances[[#This Row],[Colonne230]]+1)</f>
        <v>60</v>
      </c>
      <c r="IP64" s="17">
        <f>IF(Distances[[#This Row],[Colonne231]]=$G64,IO64,Distances[[#This Row],[Colonne231]]+1)</f>
        <v>60</v>
      </c>
      <c r="IQ64" s="17">
        <f>IF(Distances[[#This Row],[Colonne232]]=$G64,IP64,Distances[[#This Row],[Colonne232]]+1)</f>
        <v>60</v>
      </c>
      <c r="IR64" s="17">
        <f>IF(Distances[[#This Row],[Colonne233]]=$G64,IQ64,Distances[[#This Row],[Colonne233]]+1)</f>
        <v>60</v>
      </c>
      <c r="IS64" s="17">
        <f>IF(Distances[[#This Row],[Colonne234]]=$G64,IR64,Distances[[#This Row],[Colonne234]]+1)</f>
        <v>60</v>
      </c>
      <c r="IT64" s="17">
        <f>IF(Distances[[#This Row],[Colonne235]]=$G64,IS64,Distances[[#This Row],[Colonne235]]+1)</f>
        <v>60</v>
      </c>
      <c r="IU64" s="17">
        <f>IF(Distances[[#This Row],[Colonne236]]=$G64,IT64,Distances[[#This Row],[Colonne236]]+1)</f>
        <v>60</v>
      </c>
      <c r="IV64" s="17">
        <f>IF(Distances[[#This Row],[Colonne237]]=$G64,IU64,Distances[[#This Row],[Colonne237]]+1)</f>
        <v>60</v>
      </c>
      <c r="IW64" s="17">
        <f>IF(Distances[[#This Row],[Colonne238]]=$G64,IV64,Distances[[#This Row],[Colonne238]]+1)</f>
        <v>60</v>
      </c>
      <c r="IX64" s="17">
        <f>IF(Distances[[#This Row],[Colonne239]]=$G64,IW64,Distances[[#This Row],[Colonne239]]+1)</f>
        <v>60</v>
      </c>
      <c r="IY64" s="17">
        <f>IF(Distances[[#This Row],[Colonne240]]=$G64,IX64,Distances[[#This Row],[Colonne240]]+1)</f>
        <v>60</v>
      </c>
      <c r="IZ64" s="17">
        <f>IF(Distances[[#This Row],[Colonne241]]=$G64,IY64,Distances[[#This Row],[Colonne241]]+1)</f>
        <v>60</v>
      </c>
      <c r="JA64" s="17">
        <f>IF(Distances[[#This Row],[Colonne242]]=$G64,IZ64,Distances[[#This Row],[Colonne242]]+1)</f>
        <v>60</v>
      </c>
      <c r="JB64" s="17">
        <f>IF(Distances[[#This Row],[Colonne243]]=$G64,JA64,Distances[[#This Row],[Colonne243]]+1)</f>
        <v>60</v>
      </c>
      <c r="JC64" s="17">
        <f>IF(Distances[[#This Row],[Colonne244]]=$G64,JB64,Distances[[#This Row],[Colonne244]]+1)</f>
        <v>60</v>
      </c>
      <c r="JD64" s="17">
        <f>IF(Distances[[#This Row],[Colonne245]]=$G64,JC64,Distances[[#This Row],[Colonne245]]+1)</f>
        <v>60</v>
      </c>
      <c r="JE64" s="17">
        <f>IF(Distances[[#This Row],[Colonne246]]=$G64,JD64,Distances[[#This Row],[Colonne246]]+1)</f>
        <v>60</v>
      </c>
      <c r="JF64" s="17">
        <f>IF(Distances[[#This Row],[Colonne247]]=$G64,JE64,Distances[[#This Row],[Colonne247]]+1)</f>
        <v>60</v>
      </c>
      <c r="JG64" s="17">
        <f>IF(Distances[[#This Row],[Colonne248]]=$G64,JF64,Distances[[#This Row],[Colonne248]]+1)</f>
        <v>60</v>
      </c>
      <c r="JH64" s="17">
        <f>IF(Distances[[#This Row],[Colonne249]]=$G64,JG64,Distances[[#This Row],[Colonne249]]+1)</f>
        <v>60</v>
      </c>
      <c r="JI64" s="17">
        <f>IF(Distances[[#This Row],[Colonne250]]=$G64,JH64,Distances[[#This Row],[Colonne250]]+1)</f>
        <v>60</v>
      </c>
      <c r="JJ64" s="17">
        <f>IF(Distances[[#This Row],[Colonne251]]=$G64,JI64,Distances[[#This Row],[Colonne251]]+1)</f>
        <v>60</v>
      </c>
      <c r="JK64" s="17">
        <f>IF(Distances[[#This Row],[Colonne252]]=$G64,JJ64,Distances[[#This Row],[Colonne252]]+1)</f>
        <v>60</v>
      </c>
      <c r="JL64" s="17">
        <f>IF(Distances[[#This Row],[Colonne253]]=$G64,JK64,Distances[[#This Row],[Colonne253]]+1)</f>
        <v>60</v>
      </c>
      <c r="JM64" s="17">
        <f>IF(Distances[[#This Row],[Colonne254]]=$G64,JL64,Distances[[#This Row],[Colonne254]]+1)</f>
        <v>60</v>
      </c>
      <c r="JN64" s="17">
        <f>IF(Distances[[#This Row],[Colonne255]]=$G64,JM64,Distances[[#This Row],[Colonne255]]+1)</f>
        <v>60</v>
      </c>
      <c r="JO64" s="17">
        <f>IF(Distances[[#This Row],[Colonne256]]=$G64,JN64,Distances[[#This Row],[Colonne256]]+1)</f>
        <v>60</v>
      </c>
      <c r="JP64" s="17">
        <f>IF(Distances[[#This Row],[Colonne257]]=$G64,JO64,Distances[[#This Row],[Colonne257]]+1)</f>
        <v>60</v>
      </c>
      <c r="JQ64" s="17">
        <f>IF(Distances[[#This Row],[Colonne258]]=$G64,JP64,Distances[[#This Row],[Colonne258]]+1)</f>
        <v>60</v>
      </c>
      <c r="JR64" s="17">
        <f>IF(Distances[[#This Row],[Colonne259]]=$G64,JQ64,Distances[[#This Row],[Colonne259]]+1)</f>
        <v>60</v>
      </c>
      <c r="JS64" s="17">
        <f>IF(Distances[[#This Row],[Colonne260]]=$G64,JR64,Distances[[#This Row],[Colonne260]]+1)</f>
        <v>60</v>
      </c>
      <c r="JT64" s="17">
        <f>IF(Distances[[#This Row],[Colonne261]]=$G64,JS64,Distances[[#This Row],[Colonne261]]+1)</f>
        <v>60</v>
      </c>
      <c r="JU64" s="17">
        <f>IF(Distances[[#This Row],[Colonne262]]=$G64,JT64,Distances[[#This Row],[Colonne262]]+1)</f>
        <v>60</v>
      </c>
      <c r="JV64" s="17">
        <f>IF(Distances[[#This Row],[Colonne263]]=$G64,JU64,Distances[[#This Row],[Colonne263]]+1)</f>
        <v>60</v>
      </c>
      <c r="JW64" s="17">
        <f>IF(Distances[[#This Row],[Colonne264]]=$G64,JV64,Distances[[#This Row],[Colonne264]]+1)</f>
        <v>60</v>
      </c>
      <c r="JX64" s="17">
        <f>IF(Distances[[#This Row],[Colonne265]]=$G64,JW64,Distances[[#This Row],[Colonne265]]+1)</f>
        <v>60</v>
      </c>
      <c r="JY64" s="17">
        <f>IF(Distances[[#This Row],[Colonne266]]=$G64,JX64,Distances[[#This Row],[Colonne266]]+1)</f>
        <v>60</v>
      </c>
      <c r="JZ64" s="17">
        <f>IF(Distances[[#This Row],[Colonne267]]=$G64,JY64,Distances[[#This Row],[Colonne267]]+1)</f>
        <v>60</v>
      </c>
      <c r="KA64" s="17">
        <f>IF(Distances[[#This Row],[Colonne268]]=$G64,JZ64,Distances[[#This Row],[Colonne268]]+1)</f>
        <v>60</v>
      </c>
      <c r="KB64" s="17">
        <f>IF(Distances[[#This Row],[Colonne269]]=$G64,KA64,Distances[[#This Row],[Colonne269]]+1)</f>
        <v>60</v>
      </c>
      <c r="KC64" s="17">
        <f>IF(Distances[[#This Row],[Colonne270]]=$G64,KB64,Distances[[#This Row],[Colonne270]]+1)</f>
        <v>60</v>
      </c>
      <c r="KD64" s="17">
        <f>IF(Distances[[#This Row],[Colonne271]]=$G64,KC64,Distances[[#This Row],[Colonne271]]+1)</f>
        <v>60</v>
      </c>
      <c r="KE64" s="17">
        <f>IF(Distances[[#This Row],[Colonne272]]=$G64,KD64,Distances[[#This Row],[Colonne272]]+1)</f>
        <v>60</v>
      </c>
      <c r="KF64" s="17">
        <f>IF(Distances[[#This Row],[Colonne273]]=$G64,KE64,Distances[[#This Row],[Colonne273]]+1)</f>
        <v>60</v>
      </c>
      <c r="KG64" s="17">
        <f>IF(Distances[[#This Row],[Colonne274]]=$G64,KF64,Distances[[#This Row],[Colonne274]]+1)</f>
        <v>60</v>
      </c>
      <c r="KH64" s="17">
        <f>IF(Distances[[#This Row],[Colonne275]]=$G64,KG64,Distances[[#This Row],[Colonne275]]+1)</f>
        <v>60</v>
      </c>
      <c r="KI64" s="17">
        <f>IF(Distances[[#This Row],[Colonne276]]=$G64,KH64,Distances[[#This Row],[Colonne276]]+1)</f>
        <v>60</v>
      </c>
      <c r="KJ64" s="17">
        <f>IF(Distances[[#This Row],[Colonne277]]=$G64,KI64,Distances[[#This Row],[Colonne277]]+1)</f>
        <v>60</v>
      </c>
      <c r="KK64" s="17">
        <f>IF(Distances[[#This Row],[Colonne278]]=$G64,KJ64,Distances[[#This Row],[Colonne278]]+1)</f>
        <v>60</v>
      </c>
      <c r="KL64" s="17">
        <f>IF(Distances[[#This Row],[Colonne279]]=$G64,KK64,Distances[[#This Row],[Colonne279]]+1)</f>
        <v>60</v>
      </c>
      <c r="KM64" s="17">
        <f>IF(Distances[[#This Row],[Colonne280]]=$G64,KL64,Distances[[#This Row],[Colonne280]]+1)</f>
        <v>60</v>
      </c>
      <c r="KN64" s="17">
        <f>IF(Distances[[#This Row],[Colonne281]]=$G64,KM64,Distances[[#This Row],[Colonne281]]+1)</f>
        <v>60</v>
      </c>
      <c r="KO64" s="17">
        <f>IF(Distances[[#This Row],[Colonne282]]=$G64,KN64,Distances[[#This Row],[Colonne282]]+1)</f>
        <v>60</v>
      </c>
      <c r="KP64" s="17">
        <f>IF(Distances[[#This Row],[Colonne283]]=$G64,KO64,Distances[[#This Row],[Colonne283]]+1)</f>
        <v>60</v>
      </c>
      <c r="KQ64" s="17">
        <f>IF(Distances[[#This Row],[Colonne284]]=$G64,KP64,Distances[[#This Row],[Colonne284]]+1)</f>
        <v>60</v>
      </c>
      <c r="KR64" s="17">
        <f>IF(Distances[[#This Row],[Colonne285]]=$G64,KQ64,Distances[[#This Row],[Colonne285]]+1)</f>
        <v>60</v>
      </c>
      <c r="KS64" s="17">
        <f>IF(Distances[[#This Row],[Colonne286]]=$G64,KR64,Distances[[#This Row],[Colonne286]]+1)</f>
        <v>60</v>
      </c>
      <c r="KT64" s="17">
        <f>IF(Distances[[#This Row],[Colonne287]]=$G64,KS64,Distances[[#This Row],[Colonne287]]+1)</f>
        <v>60</v>
      </c>
      <c r="KU64" s="17">
        <f>IF(Distances[[#This Row],[Colonne288]]=$G64,KT64,Distances[[#This Row],[Colonne288]]+1)</f>
        <v>60</v>
      </c>
      <c r="KV64" s="17">
        <f>IF(Distances[[#This Row],[Colonne289]]=$G64,KU64,Distances[[#This Row],[Colonne289]]+1)</f>
        <v>60</v>
      </c>
      <c r="KW64" s="17">
        <f>IF(Distances[[#This Row],[Colonne290]]=$G64,KV64,Distances[[#This Row],[Colonne290]]+1)</f>
        <v>60</v>
      </c>
      <c r="KX64" s="17">
        <f>IF(Distances[[#This Row],[Colonne291]]=$G64,KW64,Distances[[#This Row],[Colonne291]]+1)</f>
        <v>60</v>
      </c>
      <c r="KY64" s="17">
        <f>IF(Distances[[#This Row],[Colonne292]]=$G64,KX64,Distances[[#This Row],[Colonne292]]+1)</f>
        <v>60</v>
      </c>
      <c r="KZ64" s="17">
        <f>IF(Distances[[#This Row],[Colonne293]]=$G64,KY64,Distances[[#This Row],[Colonne293]]+1)</f>
        <v>60</v>
      </c>
      <c r="LA64" s="17">
        <f>IF(Distances[[#This Row],[Colonne294]]=$G64,KZ64,Distances[[#This Row],[Colonne294]]+1)</f>
        <v>60</v>
      </c>
      <c r="LB64" s="17">
        <f>IF(Distances[[#This Row],[Colonne295]]=$G64,LA64,Distances[[#This Row],[Colonne295]]+1)</f>
        <v>60</v>
      </c>
      <c r="LC64" s="17">
        <f>IF(Distances[[#This Row],[Colonne296]]=$G64,LB64,Distances[[#This Row],[Colonne296]]+1)</f>
        <v>60</v>
      </c>
      <c r="LD64" s="17">
        <f>IF(Distances[[#This Row],[Colonne297]]=$G64,LC64,Distances[[#This Row],[Colonne297]]+1)</f>
        <v>60</v>
      </c>
      <c r="LE64" s="17">
        <f>IF(Distances[[#This Row],[Colonne298]]=$G64,LD64,Distances[[#This Row],[Colonne298]]+1)</f>
        <v>60</v>
      </c>
      <c r="LF64" s="17">
        <f>IF(Distances[[#This Row],[Colonne299]]=$G64,LE64,Distances[[#This Row],[Colonne299]]+1)</f>
        <v>60</v>
      </c>
      <c r="LG64" s="17">
        <f>IF(Distances[[#This Row],[Colonne300]]=$G64,LF64,Distances[[#This Row],[Colonne300]]+1)</f>
        <v>60</v>
      </c>
      <c r="LH64" s="17">
        <f>IF(Distances[[#This Row],[Colonne301]]=$G64,LG64,Distances[[#This Row],[Colonne301]]+1)</f>
        <v>60</v>
      </c>
      <c r="LI64" s="17">
        <f>IF(Distances[[#This Row],[Colonne302]]=$G64,LH64,Distances[[#This Row],[Colonne302]]+1)</f>
        <v>60</v>
      </c>
      <c r="LJ64" s="17">
        <f>IF(Distances[[#This Row],[Colonne303]]=$G64,LI64,Distances[[#This Row],[Colonne303]]+1)</f>
        <v>60</v>
      </c>
      <c r="LK64" s="51"/>
      <c r="LL64" s="17">
        <f t="shared" ref="LL64:MQ64" si="124">IF(LK64=$H64,LK64,LK64+1)</f>
        <v>1</v>
      </c>
      <c r="LM64" s="17">
        <f t="shared" si="124"/>
        <v>2</v>
      </c>
      <c r="LN64" s="17">
        <f t="shared" si="124"/>
        <v>3</v>
      </c>
      <c r="LO64" s="17">
        <f t="shared" si="124"/>
        <v>4</v>
      </c>
      <c r="LP64" s="17">
        <f t="shared" si="124"/>
        <v>5</v>
      </c>
      <c r="LQ64" s="17">
        <f t="shared" si="124"/>
        <v>6</v>
      </c>
      <c r="LR64" s="17">
        <f t="shared" si="124"/>
        <v>7</v>
      </c>
      <c r="LS64" s="17">
        <f t="shared" si="124"/>
        <v>8</v>
      </c>
      <c r="LT64" s="17">
        <f t="shared" si="124"/>
        <v>9</v>
      </c>
      <c r="LU64" s="17">
        <f t="shared" si="124"/>
        <v>10</v>
      </c>
      <c r="LV64" s="17">
        <f t="shared" si="124"/>
        <v>11</v>
      </c>
      <c r="LW64" s="17">
        <f t="shared" si="124"/>
        <v>12</v>
      </c>
      <c r="LX64" s="17">
        <f t="shared" si="124"/>
        <v>13</v>
      </c>
      <c r="LY64" s="17">
        <f t="shared" si="124"/>
        <v>14</v>
      </c>
      <c r="LZ64" s="17">
        <f t="shared" si="124"/>
        <v>15</v>
      </c>
      <c r="MA64" s="17">
        <f t="shared" si="124"/>
        <v>16</v>
      </c>
      <c r="MB64" s="17">
        <f t="shared" si="124"/>
        <v>17</v>
      </c>
      <c r="MC64" s="17">
        <f t="shared" si="124"/>
        <v>18</v>
      </c>
      <c r="MD64" s="17">
        <f t="shared" si="124"/>
        <v>19</v>
      </c>
      <c r="ME64" s="17">
        <f t="shared" si="124"/>
        <v>20</v>
      </c>
      <c r="MF64" s="17">
        <f t="shared" si="124"/>
        <v>21</v>
      </c>
      <c r="MG64" s="17">
        <f t="shared" si="124"/>
        <v>22</v>
      </c>
      <c r="MH64" s="17">
        <f t="shared" si="124"/>
        <v>23</v>
      </c>
      <c r="MI64" s="17">
        <f t="shared" si="124"/>
        <v>24</v>
      </c>
      <c r="MJ64" s="17">
        <f t="shared" si="124"/>
        <v>25</v>
      </c>
      <c r="MK64" s="17">
        <f t="shared" si="124"/>
        <v>25</v>
      </c>
      <c r="ML64" s="17">
        <f t="shared" si="124"/>
        <v>25</v>
      </c>
      <c r="MM64" s="17">
        <f t="shared" si="124"/>
        <v>25</v>
      </c>
      <c r="MN64" s="17">
        <f t="shared" si="124"/>
        <v>25</v>
      </c>
      <c r="MO64" s="17">
        <f t="shared" si="124"/>
        <v>25</v>
      </c>
      <c r="MP64" s="17">
        <f t="shared" si="124"/>
        <v>25</v>
      </c>
      <c r="MQ64" s="17">
        <f t="shared" si="124"/>
        <v>25</v>
      </c>
      <c r="MR64" s="17">
        <f t="shared" ref="MR64:NV64" si="125">IF(MQ64=$H64,MQ64,MQ64+1)</f>
        <v>25</v>
      </c>
      <c r="MS64" s="17">
        <f t="shared" si="125"/>
        <v>25</v>
      </c>
      <c r="MT64" s="17">
        <f t="shared" si="125"/>
        <v>25</v>
      </c>
      <c r="MU64" s="17">
        <f t="shared" si="125"/>
        <v>25</v>
      </c>
      <c r="MV64" s="17">
        <f t="shared" si="125"/>
        <v>25</v>
      </c>
      <c r="MW64" s="17">
        <f t="shared" si="125"/>
        <v>25</v>
      </c>
      <c r="MX64" s="17">
        <f t="shared" si="125"/>
        <v>25</v>
      </c>
      <c r="MY64" s="17">
        <f t="shared" si="125"/>
        <v>25</v>
      </c>
      <c r="MZ64" s="17">
        <f t="shared" si="125"/>
        <v>25</v>
      </c>
      <c r="NA64" s="17">
        <f t="shared" si="125"/>
        <v>25</v>
      </c>
      <c r="NB64" s="17">
        <f t="shared" si="125"/>
        <v>25</v>
      </c>
      <c r="NC64" s="17">
        <f t="shared" si="125"/>
        <v>25</v>
      </c>
      <c r="ND64" s="17">
        <f t="shared" si="125"/>
        <v>25</v>
      </c>
      <c r="NE64" s="17">
        <f t="shared" si="125"/>
        <v>25</v>
      </c>
      <c r="NF64" s="17">
        <f t="shared" si="125"/>
        <v>25</v>
      </c>
      <c r="NG64" s="17">
        <f t="shared" si="125"/>
        <v>25</v>
      </c>
      <c r="NH64" s="17">
        <f t="shared" si="125"/>
        <v>25</v>
      </c>
      <c r="NI64" s="17">
        <f t="shared" si="125"/>
        <v>25</v>
      </c>
      <c r="NJ64" s="17">
        <f t="shared" si="125"/>
        <v>25</v>
      </c>
      <c r="NK64" s="17">
        <f t="shared" si="125"/>
        <v>25</v>
      </c>
      <c r="NL64" s="17">
        <f t="shared" si="125"/>
        <v>25</v>
      </c>
      <c r="NM64" s="17">
        <f t="shared" si="125"/>
        <v>25</v>
      </c>
      <c r="NN64" s="17">
        <f t="shared" si="125"/>
        <v>25</v>
      </c>
      <c r="NO64" s="17">
        <f t="shared" si="125"/>
        <v>25</v>
      </c>
      <c r="NP64" s="17">
        <f t="shared" si="125"/>
        <v>25</v>
      </c>
      <c r="NQ64" s="17">
        <f t="shared" si="125"/>
        <v>25</v>
      </c>
      <c r="NR64" s="17">
        <f t="shared" si="125"/>
        <v>25</v>
      </c>
      <c r="NS64" s="17">
        <f t="shared" si="125"/>
        <v>25</v>
      </c>
      <c r="NT64" s="17">
        <f t="shared" si="125"/>
        <v>25</v>
      </c>
      <c r="NU64" s="17">
        <f t="shared" si="125"/>
        <v>25</v>
      </c>
      <c r="NV64" s="17">
        <f t="shared" si="125"/>
        <v>25</v>
      </c>
      <c r="NW64" s="17">
        <f>IF(NV64=$H64,NV64,NV64+1)</f>
        <v>25</v>
      </c>
      <c r="NX64" s="17">
        <f t="shared" si="119"/>
        <v>25</v>
      </c>
      <c r="NY64" s="17">
        <f t="shared" si="119"/>
        <v>25</v>
      </c>
      <c r="NZ64" s="17">
        <f t="shared" si="119"/>
        <v>25</v>
      </c>
      <c r="OA64" s="17">
        <f t="shared" si="119"/>
        <v>25</v>
      </c>
      <c r="OB64" s="17">
        <f t="shared" si="119"/>
        <v>25</v>
      </c>
      <c r="OC64" s="17">
        <f t="shared" si="119"/>
        <v>25</v>
      </c>
      <c r="OD64" s="17">
        <f t="shared" si="119"/>
        <v>25</v>
      </c>
      <c r="OE64" s="17">
        <f t="shared" si="119"/>
        <v>25</v>
      </c>
      <c r="OF64" s="17">
        <f t="shared" si="119"/>
        <v>25</v>
      </c>
      <c r="OG64" s="17">
        <f t="shared" si="119"/>
        <v>25</v>
      </c>
      <c r="OH64" s="17">
        <f t="shared" si="119"/>
        <v>25</v>
      </c>
      <c r="OI64" s="17">
        <f t="shared" si="119"/>
        <v>25</v>
      </c>
      <c r="OJ64" s="17">
        <f t="shared" si="119"/>
        <v>25</v>
      </c>
      <c r="OK64" s="17">
        <f t="shared" si="119"/>
        <v>25</v>
      </c>
      <c r="OL64" s="17">
        <f t="shared" si="119"/>
        <v>25</v>
      </c>
      <c r="OM64" s="17">
        <f t="shared" si="119"/>
        <v>25</v>
      </c>
      <c r="ON64" s="17">
        <f t="shared" si="119"/>
        <v>25</v>
      </c>
      <c r="OO64" s="17">
        <f t="shared" si="119"/>
        <v>25</v>
      </c>
      <c r="OP64" s="17">
        <f t="shared" si="119"/>
        <v>25</v>
      </c>
      <c r="OQ64" s="17">
        <f t="shared" si="119"/>
        <v>25</v>
      </c>
      <c r="OR64" s="17">
        <f t="shared" si="119"/>
        <v>25</v>
      </c>
      <c r="OS64" s="17">
        <f t="shared" si="119"/>
        <v>25</v>
      </c>
      <c r="OT64" s="17">
        <f t="shared" si="119"/>
        <v>25</v>
      </c>
      <c r="OU64" s="17">
        <f t="shared" si="119"/>
        <v>25</v>
      </c>
      <c r="OV64" s="17">
        <f t="shared" si="119"/>
        <v>25</v>
      </c>
      <c r="OW64" s="17">
        <f t="shared" si="119"/>
        <v>25</v>
      </c>
      <c r="OX64" s="17">
        <f t="shared" si="119"/>
        <v>25</v>
      </c>
      <c r="OY64" s="17">
        <f t="shared" si="119"/>
        <v>25</v>
      </c>
      <c r="OZ64" s="17">
        <f t="shared" si="119"/>
        <v>25</v>
      </c>
      <c r="PA64" s="17">
        <f t="shared" si="119"/>
        <v>25</v>
      </c>
      <c r="PB64" s="17">
        <f t="shared" si="119"/>
        <v>25</v>
      </c>
      <c r="PC64" s="17">
        <f t="shared" si="119"/>
        <v>25</v>
      </c>
      <c r="PD64" s="17">
        <f t="shared" si="119"/>
        <v>25</v>
      </c>
      <c r="PE64" s="17">
        <f t="shared" si="119"/>
        <v>25</v>
      </c>
      <c r="PF64" s="17">
        <f t="shared" si="119"/>
        <v>25</v>
      </c>
      <c r="PG64" s="17">
        <f t="shared" si="119"/>
        <v>25</v>
      </c>
    </row>
    <row r="65" spans="1:423" x14ac:dyDescent="0.25">
      <c r="A65" s="8" t="s">
        <v>5454</v>
      </c>
      <c r="B65" s="9" t="s">
        <v>24</v>
      </c>
      <c r="C65" s="9" t="str">
        <f t="shared" si="120"/>
        <v>3N1</v>
      </c>
      <c r="D65" s="1" t="str">
        <f t="shared" si="121"/>
        <v>3 Bandes N1</v>
      </c>
      <c r="E65" s="1" t="s">
        <v>18</v>
      </c>
      <c r="F65" s="9" t="s">
        <v>11148</v>
      </c>
      <c r="G65" s="9">
        <v>25</v>
      </c>
      <c r="H65" s="9">
        <v>40</v>
      </c>
      <c r="I65" s="127">
        <v>3.1</v>
      </c>
      <c r="J65" s="30"/>
      <c r="K65" s="10"/>
      <c r="L65" s="8">
        <v>0.6</v>
      </c>
      <c r="M65" s="9">
        <v>0.77490000000000003</v>
      </c>
      <c r="N65" s="10">
        <v>0.94989999999999997</v>
      </c>
      <c r="O65" s="269">
        <v>1</v>
      </c>
      <c r="P65" s="331">
        <v>2</v>
      </c>
      <c r="Q65" s="335">
        <v>3</v>
      </c>
      <c r="R65" s="8"/>
      <c r="S65" s="9"/>
      <c r="T65" s="10"/>
      <c r="U65" t="s">
        <v>5523</v>
      </c>
      <c r="V65" s="17">
        <v>0</v>
      </c>
      <c r="W65" s="17">
        <f>IF(Distances[[#This Row],[Colonne4]]=$G65,V65,Distances[[#This Row],[Colonne4]]+1)</f>
        <v>1</v>
      </c>
      <c r="X65" s="17">
        <f>IF(Distances[[#This Row],[Colonne5]]=$G65,W65,Distances[[#This Row],[Colonne5]]+1)</f>
        <v>2</v>
      </c>
      <c r="Y65" s="17">
        <f>IF(Distances[[#This Row],[Colonne6]]=$G65,X65,Distances[[#This Row],[Colonne6]]+1)</f>
        <v>3</v>
      </c>
      <c r="Z65" s="17">
        <f>IF(Distances[[#This Row],[Colonne7]]=$G65,Y65,Distances[[#This Row],[Colonne7]]+1)</f>
        <v>4</v>
      </c>
      <c r="AA65" s="17">
        <f>IF(Distances[[#This Row],[Colonne8]]=$G65,Z65,Distances[[#This Row],[Colonne8]]+1)</f>
        <v>5</v>
      </c>
      <c r="AB65" s="17">
        <f>IF(Distances[[#This Row],[Colonne9]]=$G65,AA65,Distances[[#This Row],[Colonne9]]+1)</f>
        <v>6</v>
      </c>
      <c r="AC65" s="17">
        <f>IF(Distances[[#This Row],[Colonne10]]=$G65,AB65,Distances[[#This Row],[Colonne10]]+1)</f>
        <v>7</v>
      </c>
      <c r="AD65" s="17">
        <f>IF(Distances[[#This Row],[Colonne11]]=$G65,AC65,Distances[[#This Row],[Colonne11]]+1)</f>
        <v>8</v>
      </c>
      <c r="AE65" s="17">
        <f>IF(Distances[[#This Row],[Colonne12]]=$G65,AD65,Distances[[#This Row],[Colonne12]]+1)</f>
        <v>9</v>
      </c>
      <c r="AF65" s="17">
        <f>IF(Distances[[#This Row],[Colonne13]]=$G65,AE65,Distances[[#This Row],[Colonne13]]+1)</f>
        <v>10</v>
      </c>
      <c r="AG65" s="17">
        <f>IF(Distances[[#This Row],[Colonne14]]=$G65,AF65,Distances[[#This Row],[Colonne14]]+1)</f>
        <v>11</v>
      </c>
      <c r="AH65" s="17">
        <f>IF(Distances[[#This Row],[Colonne15]]=$G65,AG65,Distances[[#This Row],[Colonne15]]+1)</f>
        <v>12</v>
      </c>
      <c r="AI65" s="17">
        <f>IF(Distances[[#This Row],[Colonne16]]=$G65,AH65,Distances[[#This Row],[Colonne16]]+1)</f>
        <v>13</v>
      </c>
      <c r="AJ65" s="17">
        <f>IF(Distances[[#This Row],[Colonne17]]=$G65,AI65,Distances[[#This Row],[Colonne17]]+1)</f>
        <v>14</v>
      </c>
      <c r="AK65" s="17">
        <f>IF(Distances[[#This Row],[Colonne18]]=$G65,AJ65,Distances[[#This Row],[Colonne18]]+1)</f>
        <v>15</v>
      </c>
      <c r="AL65" s="17">
        <f>IF(Distances[[#This Row],[Colonne19]]=$G65,AK65,Distances[[#This Row],[Colonne19]]+1)</f>
        <v>16</v>
      </c>
      <c r="AM65" s="17">
        <f>IF(Distances[[#This Row],[Colonne20]]=$G65,AL65,Distances[[#This Row],[Colonne20]]+1)</f>
        <v>17</v>
      </c>
      <c r="AN65" s="17">
        <f>IF(Distances[[#This Row],[Colonne21]]=$G65,AM65,Distances[[#This Row],[Colonne21]]+1)</f>
        <v>18</v>
      </c>
      <c r="AO65" s="17">
        <f>IF(Distances[[#This Row],[Colonne22]]=$G65,AN65,Distances[[#This Row],[Colonne22]]+1)</f>
        <v>19</v>
      </c>
      <c r="AP65" s="17">
        <f>IF(Distances[[#This Row],[Colonne23]]=$G65,AO65,Distances[[#This Row],[Colonne23]]+1)</f>
        <v>20</v>
      </c>
      <c r="AQ65" s="17">
        <f>IF(Distances[[#This Row],[Colonne24]]=$G65,AP65,Distances[[#This Row],[Colonne24]]+1)</f>
        <v>21</v>
      </c>
      <c r="AR65" s="17">
        <f>IF(Distances[[#This Row],[Colonne25]]=$G65,AQ65,Distances[[#This Row],[Colonne25]]+1)</f>
        <v>22</v>
      </c>
      <c r="AS65" s="17">
        <f>IF(Distances[[#This Row],[Colonne26]]=$G65,AR65,Distances[[#This Row],[Colonne26]]+1)</f>
        <v>23</v>
      </c>
      <c r="AT65" s="17">
        <f>IF(Distances[[#This Row],[Colonne27]]=$G65,AS65,Distances[[#This Row],[Colonne27]]+1)</f>
        <v>24</v>
      </c>
      <c r="AU65" s="17">
        <f>IF(Distances[[#This Row],[Colonne28]]=$G65,AT65,Distances[[#This Row],[Colonne28]]+1)</f>
        <v>25</v>
      </c>
      <c r="AV65" s="17">
        <f>IF(Distances[[#This Row],[Colonne29]]=$G65,AU65,Distances[[#This Row],[Colonne29]]+1)</f>
        <v>25</v>
      </c>
      <c r="AW65" s="17">
        <f>IF(Distances[[#This Row],[Colonne30]]=$G65,AV65,Distances[[#This Row],[Colonne30]]+1)</f>
        <v>25</v>
      </c>
      <c r="AX65" s="17">
        <f>IF(Distances[[#This Row],[Colonne31]]=$G65,AW65,Distances[[#This Row],[Colonne31]]+1)</f>
        <v>25</v>
      </c>
      <c r="AY65" s="17">
        <f>IF(Distances[[#This Row],[Colonne32]]=$G65,AX65,Distances[[#This Row],[Colonne32]]+1)</f>
        <v>25</v>
      </c>
      <c r="AZ65" s="17">
        <f>IF(Distances[[#This Row],[Colonne33]]=$G65,AY65,Distances[[#This Row],[Colonne33]]+1)</f>
        <v>25</v>
      </c>
      <c r="BA65" s="17">
        <f>IF(Distances[[#This Row],[Colonne34]]=$G65,AZ65,Distances[[#This Row],[Colonne34]]+1)</f>
        <v>25</v>
      </c>
      <c r="BB65" s="17">
        <f>IF(Distances[[#This Row],[Colonne35]]=$G65,BA65,Distances[[#This Row],[Colonne35]]+1)</f>
        <v>25</v>
      </c>
      <c r="BC65" s="17">
        <f>IF(Distances[[#This Row],[Colonne36]]=$G65,BB65,Distances[[#This Row],[Colonne36]]+1)</f>
        <v>25</v>
      </c>
      <c r="BD65" s="17">
        <f>IF(Distances[[#This Row],[Colonne37]]=$G65,BC65,Distances[[#This Row],[Colonne37]]+1)</f>
        <v>25</v>
      </c>
      <c r="BE65" s="17">
        <f>IF(Distances[[#This Row],[Colonne38]]=$G65,BD65,Distances[[#This Row],[Colonne38]]+1)</f>
        <v>25</v>
      </c>
      <c r="BF65" s="17">
        <f>IF(Distances[[#This Row],[Colonne39]]=$G65,BE65,Distances[[#This Row],[Colonne39]]+1)</f>
        <v>25</v>
      </c>
      <c r="BG65" s="17">
        <f>IF(Distances[[#This Row],[Colonne40]]=$G65,BF65,Distances[[#This Row],[Colonne40]]+1)</f>
        <v>25</v>
      </c>
      <c r="BH65" s="17">
        <f>IF(Distances[[#This Row],[Colonne41]]=$G65,BG65,Distances[[#This Row],[Colonne41]]+1)</f>
        <v>25</v>
      </c>
      <c r="BI65" s="17">
        <f>IF(Distances[[#This Row],[Colonne42]]=$G65,BH65,Distances[[#This Row],[Colonne42]]+1)</f>
        <v>25</v>
      </c>
      <c r="BJ65" s="17">
        <f>IF(Distances[[#This Row],[Colonne43]]=$G65,BI65,Distances[[#This Row],[Colonne43]]+1)</f>
        <v>25</v>
      </c>
      <c r="BK65" s="17">
        <f>IF(Distances[[#This Row],[Colonne44]]=$G65,BJ65,Distances[[#This Row],[Colonne44]]+1)</f>
        <v>25</v>
      </c>
      <c r="BL65" s="17">
        <f>IF(Distances[[#This Row],[Colonne45]]=$G65,BK65,Distances[[#This Row],[Colonne45]]+1)</f>
        <v>25</v>
      </c>
      <c r="BM65" s="17">
        <f>IF(Distances[[#This Row],[Colonne46]]=$G65,BL65,Distances[[#This Row],[Colonne46]]+1)</f>
        <v>25</v>
      </c>
      <c r="BN65" s="17">
        <f>IF(Distances[[#This Row],[Colonne47]]=$G65,BM65,Distances[[#This Row],[Colonne47]]+1)</f>
        <v>25</v>
      </c>
      <c r="BO65" s="17">
        <f>IF(Distances[[#This Row],[Colonne48]]=$G65,BN65,Distances[[#This Row],[Colonne48]]+1)</f>
        <v>25</v>
      </c>
      <c r="BP65" s="17">
        <f>IF(Distances[[#This Row],[Colonne49]]=$G65,BO65,Distances[[#This Row],[Colonne49]]+1)</f>
        <v>25</v>
      </c>
      <c r="BQ65" s="17">
        <f>IF(Distances[[#This Row],[Colonne50]]=$G65,BP65,Distances[[#This Row],[Colonne50]]+1)</f>
        <v>25</v>
      </c>
      <c r="BR65" s="17">
        <f>IF(Distances[[#This Row],[Colonne51]]=$G65,BQ65,Distances[[#This Row],[Colonne51]]+1)</f>
        <v>25</v>
      </c>
      <c r="BS65" s="17">
        <f>IF(Distances[[#This Row],[Colonne52]]=$G65,BR65,Distances[[#This Row],[Colonne52]]+1)</f>
        <v>25</v>
      </c>
      <c r="BT65" s="17">
        <f>IF(Distances[[#This Row],[Colonne53]]=$G65,BS65,Distances[[#This Row],[Colonne53]]+1)</f>
        <v>25</v>
      </c>
      <c r="BU65" s="17">
        <f>IF(Distances[[#This Row],[Colonne54]]=$G65,BT65,Distances[[#This Row],[Colonne54]]+1)</f>
        <v>25</v>
      </c>
      <c r="BV65" s="17">
        <f>IF(Distances[[#This Row],[Colonne55]]=$G65,BU65,Distances[[#This Row],[Colonne55]]+1)</f>
        <v>25</v>
      </c>
      <c r="BW65" s="17">
        <f>IF(Distances[[#This Row],[Colonne56]]=$G65,BV65,Distances[[#This Row],[Colonne56]]+1)</f>
        <v>25</v>
      </c>
      <c r="BX65" s="17">
        <f>IF(Distances[[#This Row],[Colonne57]]=$G65,BW65,Distances[[#This Row],[Colonne57]]+1)</f>
        <v>25</v>
      </c>
      <c r="BY65" s="17">
        <f>IF(Distances[[#This Row],[Colonne58]]=$G65,BX65,Distances[[#This Row],[Colonne58]]+1)</f>
        <v>25</v>
      </c>
      <c r="BZ65" s="17">
        <f>IF(Distances[[#This Row],[Colonne59]]=$G65,BY65,Distances[[#This Row],[Colonne59]]+1)</f>
        <v>25</v>
      </c>
      <c r="CA65" s="17">
        <f>IF(Distances[[#This Row],[Colonne60]]=$G65,BZ65,Distances[[#This Row],[Colonne60]]+1)</f>
        <v>25</v>
      </c>
      <c r="CB65" s="17">
        <f>IF(Distances[[#This Row],[Colonne61]]=$G65,CA65,Distances[[#This Row],[Colonne61]]+1)</f>
        <v>25</v>
      </c>
      <c r="CC65" s="17">
        <f>IF(Distances[[#This Row],[Colonne62]]=$G65,CB65,Distances[[#This Row],[Colonne62]]+1)</f>
        <v>25</v>
      </c>
      <c r="CD65" s="17">
        <f>IF(Distances[[#This Row],[Colonne63]]=$G65,CC65,Distances[[#This Row],[Colonne63]]+1)</f>
        <v>25</v>
      </c>
      <c r="CE65" s="17">
        <f>IF(Distances[[#This Row],[Colonne64]]=$G65,CD65,Distances[[#This Row],[Colonne64]]+1)</f>
        <v>25</v>
      </c>
      <c r="CF65" s="17">
        <f>IF(Distances[[#This Row],[Colonne65]]=$G65,CE65,Distances[[#This Row],[Colonne65]]+1)</f>
        <v>25</v>
      </c>
      <c r="CG65" s="17">
        <f>IF(Distances[[#This Row],[Colonne66]]=$G65,CF65,Distances[[#This Row],[Colonne66]]+1)</f>
        <v>25</v>
      </c>
      <c r="CH65" s="17">
        <f>IF(Distances[[#This Row],[Colonne67]]=$G65,CG65,Distances[[#This Row],[Colonne67]]+1)</f>
        <v>25</v>
      </c>
      <c r="CI65" s="17">
        <f>IF(Distances[[#This Row],[Colonne68]]=$G65,CH65,Distances[[#This Row],[Colonne68]]+1)</f>
        <v>25</v>
      </c>
      <c r="CJ65" s="17">
        <f>IF(Distances[[#This Row],[Colonne69]]=$G65,CI65,Distances[[#This Row],[Colonne69]]+1)</f>
        <v>25</v>
      </c>
      <c r="CK65" s="17">
        <f>IF(Distances[[#This Row],[Colonne70]]=$G65,CJ65,Distances[[#This Row],[Colonne70]]+1)</f>
        <v>25</v>
      </c>
      <c r="CL65" s="17">
        <f>IF(Distances[[#This Row],[Colonne71]]=$G65,CK65,Distances[[#This Row],[Colonne71]]+1)</f>
        <v>25</v>
      </c>
      <c r="CM65" s="17">
        <f>IF(Distances[[#This Row],[Colonne72]]=$G65,CL65,Distances[[#This Row],[Colonne72]]+1)</f>
        <v>25</v>
      </c>
      <c r="CN65" s="17">
        <f>IF(Distances[[#This Row],[Colonne73]]=$G65,CM65,Distances[[#This Row],[Colonne73]]+1)</f>
        <v>25</v>
      </c>
      <c r="CO65" s="17">
        <f>IF(Distances[[#This Row],[Colonne74]]=$G65,CN65,Distances[[#This Row],[Colonne74]]+1)</f>
        <v>25</v>
      </c>
      <c r="CP65" s="17">
        <f>IF(Distances[[#This Row],[Colonne75]]=$G65,CO65,Distances[[#This Row],[Colonne75]]+1)</f>
        <v>25</v>
      </c>
      <c r="CQ65" s="17">
        <f>IF(Distances[[#This Row],[Colonne76]]=$G65,CP65,Distances[[#This Row],[Colonne76]]+1)</f>
        <v>25</v>
      </c>
      <c r="CR65" s="17">
        <f>IF(Distances[[#This Row],[Colonne77]]=$G65,CQ65,Distances[[#This Row],[Colonne77]]+1)</f>
        <v>25</v>
      </c>
      <c r="CS65" s="17">
        <f>IF(Distances[[#This Row],[Colonne78]]=$G65,CR65,Distances[[#This Row],[Colonne78]]+1)</f>
        <v>25</v>
      </c>
      <c r="CT65" s="17">
        <f>IF(Distances[[#This Row],[Colonne79]]=$G65,CS65,Distances[[#This Row],[Colonne79]]+1)</f>
        <v>25</v>
      </c>
      <c r="CU65" s="17">
        <f>IF(Distances[[#This Row],[Colonne80]]=$G65,CT65,Distances[[#This Row],[Colonne80]]+1)</f>
        <v>25</v>
      </c>
      <c r="CV65" s="17">
        <f>IF(Distances[[#This Row],[Colonne81]]=$G65,CU65,Distances[[#This Row],[Colonne81]]+1)</f>
        <v>25</v>
      </c>
      <c r="CW65" s="17">
        <f>IF(Distances[[#This Row],[Colonne82]]=$G65,CV65,Distances[[#This Row],[Colonne82]]+1)</f>
        <v>25</v>
      </c>
      <c r="CX65" s="17">
        <f>IF(Distances[[#This Row],[Colonne83]]=$G65,CW65,Distances[[#This Row],[Colonne83]]+1)</f>
        <v>25</v>
      </c>
      <c r="CY65" s="17">
        <f>IF(Distances[[#This Row],[Colonne84]]=$G65,CX65,Distances[[#This Row],[Colonne84]]+1)</f>
        <v>25</v>
      </c>
      <c r="CZ65" s="17">
        <f>IF(Distances[[#This Row],[Colonne85]]=$G65,CY65,Distances[[#This Row],[Colonne85]]+1)</f>
        <v>25</v>
      </c>
      <c r="DA65" s="17">
        <f>IF(Distances[[#This Row],[Colonne86]]=$G65,CZ65,Distances[[#This Row],[Colonne86]]+1)</f>
        <v>25</v>
      </c>
      <c r="DB65" s="17">
        <f>IF(Distances[[#This Row],[Colonne87]]=$G65,DA65,Distances[[#This Row],[Colonne87]]+1)</f>
        <v>25</v>
      </c>
      <c r="DC65" s="17">
        <f>IF(Distances[[#This Row],[Colonne88]]=$G65,DB65,Distances[[#This Row],[Colonne88]]+1)</f>
        <v>25</v>
      </c>
      <c r="DD65" s="17">
        <f>IF(Distances[[#This Row],[Colonne89]]=$G65,DC65,Distances[[#This Row],[Colonne89]]+1)</f>
        <v>25</v>
      </c>
      <c r="DE65" s="17">
        <f>IF(Distances[[#This Row],[Colonne90]]=$G65,DD65,Distances[[#This Row],[Colonne90]]+1)</f>
        <v>25</v>
      </c>
      <c r="DF65" s="17">
        <f>IF(Distances[[#This Row],[Colonne91]]=$G65,DE65,Distances[[#This Row],[Colonne91]]+1)</f>
        <v>25</v>
      </c>
      <c r="DG65" s="17">
        <f>IF(Distances[[#This Row],[Colonne92]]=$G65,DF65,Distances[[#This Row],[Colonne92]]+1)</f>
        <v>25</v>
      </c>
      <c r="DH65" s="17">
        <f>IF(Distances[[#This Row],[Colonne93]]=$G65,DG65,Distances[[#This Row],[Colonne93]]+1)</f>
        <v>25</v>
      </c>
      <c r="DI65" s="17">
        <f>IF(Distances[[#This Row],[Colonne94]]=$G65,DH65,Distances[[#This Row],[Colonne94]]+1)</f>
        <v>25</v>
      </c>
      <c r="DJ65" s="17">
        <f>IF(Distances[[#This Row],[Colonne95]]=$G65,DI65,Distances[[#This Row],[Colonne95]]+1)</f>
        <v>25</v>
      </c>
      <c r="DK65" s="17">
        <f>IF(Distances[[#This Row],[Colonne96]]=$G65,DJ65,Distances[[#This Row],[Colonne96]]+1)</f>
        <v>25</v>
      </c>
      <c r="DL65" s="17">
        <f>IF(Distances[[#This Row],[Colonne97]]=$G65,DK65,Distances[[#This Row],[Colonne97]]+1)</f>
        <v>25</v>
      </c>
      <c r="DM65" s="17">
        <f>IF(Distances[[#This Row],[Colonne98]]=$G65,DL65,Distances[[#This Row],[Colonne98]]+1)</f>
        <v>25</v>
      </c>
      <c r="DN65" s="17">
        <f>IF(Distances[[#This Row],[Colonne99]]=$G65,DM65,Distances[[#This Row],[Colonne99]]+1)</f>
        <v>25</v>
      </c>
      <c r="DO65" s="17">
        <f>IF(Distances[[#This Row],[Colonne100]]=$G65,DN65,Distances[[#This Row],[Colonne100]]+1)</f>
        <v>25</v>
      </c>
      <c r="DP65" s="17">
        <f>IF(Distances[[#This Row],[Colonne101]]=$G65,DO65,Distances[[#This Row],[Colonne101]]+1)</f>
        <v>25</v>
      </c>
      <c r="DQ65" s="17">
        <f>IF(Distances[[#This Row],[Colonne102]]=$G65,DP65,Distances[[#This Row],[Colonne102]]+1)</f>
        <v>25</v>
      </c>
      <c r="DR65" s="17">
        <f>IF(Distances[[#This Row],[Colonne103]]=$G65,DQ65,Distances[[#This Row],[Colonne103]]+1)</f>
        <v>25</v>
      </c>
      <c r="DS65" s="17">
        <f>IF(Distances[[#This Row],[Colonne104]]=$G65,DR65,Distances[[#This Row],[Colonne104]]+1)</f>
        <v>25</v>
      </c>
      <c r="DT65" s="17">
        <f>IF(Distances[[#This Row],[Colonne105]]=$G65,DS65,Distances[[#This Row],[Colonne105]]+1)</f>
        <v>25</v>
      </c>
      <c r="DU65" s="17">
        <f>IF(Distances[[#This Row],[Colonne106]]=$G65,DT65,Distances[[#This Row],[Colonne106]]+1)</f>
        <v>25</v>
      </c>
      <c r="DV65" s="17">
        <f>IF(Distances[[#This Row],[Colonne107]]=$G65,DU65,Distances[[#This Row],[Colonne107]]+1)</f>
        <v>25</v>
      </c>
      <c r="DW65" s="17">
        <f>IF(Distances[[#This Row],[Colonne108]]=$G65,DV65,Distances[[#This Row],[Colonne108]]+1)</f>
        <v>25</v>
      </c>
      <c r="DX65" s="17">
        <f>IF(Distances[[#This Row],[Colonne109]]=$G65,DW65,Distances[[#This Row],[Colonne109]]+1)</f>
        <v>25</v>
      </c>
      <c r="DY65" s="17">
        <f>IF(Distances[[#This Row],[Colonne110]]=$G65,DX65,Distances[[#This Row],[Colonne110]]+1)</f>
        <v>25</v>
      </c>
      <c r="DZ65" s="17">
        <f>IF(Distances[[#This Row],[Colonne111]]=$G65,DY65,Distances[[#This Row],[Colonne111]]+1)</f>
        <v>25</v>
      </c>
      <c r="EA65" s="17">
        <f>IF(Distances[[#This Row],[Colonne112]]=$G65,DZ65,Distances[[#This Row],[Colonne112]]+1)</f>
        <v>25</v>
      </c>
      <c r="EB65" s="17">
        <f>IF(Distances[[#This Row],[Colonne113]]=$G65,EA65,Distances[[#This Row],[Colonne113]]+1)</f>
        <v>25</v>
      </c>
      <c r="EC65" s="17">
        <f>IF(Distances[[#This Row],[Colonne114]]=$G65,EB65,Distances[[#This Row],[Colonne114]]+1)</f>
        <v>25</v>
      </c>
      <c r="ED65" s="17">
        <f>IF(Distances[[#This Row],[Colonne115]]=$G65,EC65,Distances[[#This Row],[Colonne115]]+1)</f>
        <v>25</v>
      </c>
      <c r="EE65" s="17">
        <f>IF(Distances[[#This Row],[Colonne116]]=$G65,ED65,Distances[[#This Row],[Colonne116]]+1)</f>
        <v>25</v>
      </c>
      <c r="EF65" s="17">
        <f>IF(Distances[[#This Row],[Colonne117]]=$G65,EE65,Distances[[#This Row],[Colonne117]]+1)</f>
        <v>25</v>
      </c>
      <c r="EG65" s="17">
        <f>IF(Distances[[#This Row],[Colonne118]]=$G65,EF65,Distances[[#This Row],[Colonne118]]+1)</f>
        <v>25</v>
      </c>
      <c r="EH65" s="17">
        <f>IF(Distances[[#This Row],[Colonne119]]=$G65,EG65,Distances[[#This Row],[Colonne119]]+1)</f>
        <v>25</v>
      </c>
      <c r="EI65" s="17">
        <f>IF(Distances[[#This Row],[Colonne120]]=$G65,EH65,Distances[[#This Row],[Colonne120]]+1)</f>
        <v>25</v>
      </c>
      <c r="EJ65" s="17">
        <f>IF(Distances[[#This Row],[Colonne121]]=$G65,EI65,Distances[[#This Row],[Colonne121]]+1)</f>
        <v>25</v>
      </c>
      <c r="EK65" s="17">
        <f>IF(Distances[[#This Row],[Colonne122]]=$G65,EJ65,Distances[[#This Row],[Colonne122]]+1)</f>
        <v>25</v>
      </c>
      <c r="EL65" s="17">
        <f>IF(Distances[[#This Row],[Colonne123]]=$G65,EK65,Distances[[#This Row],[Colonne123]]+1)</f>
        <v>25</v>
      </c>
      <c r="EM65" s="17">
        <f>IF(Distances[[#This Row],[Colonne124]]=$G65,EL65,Distances[[#This Row],[Colonne124]]+1)</f>
        <v>25</v>
      </c>
      <c r="EN65" s="17">
        <f>IF(Distances[[#This Row],[Colonne125]]=$G65,EM65,Distances[[#This Row],[Colonne125]]+1)</f>
        <v>25</v>
      </c>
      <c r="EO65" s="17">
        <f>IF(Distances[[#This Row],[Colonne126]]=$G65,EN65,Distances[[#This Row],[Colonne126]]+1)</f>
        <v>25</v>
      </c>
      <c r="EP65" s="17">
        <f>IF(Distances[[#This Row],[Colonne127]]=$G65,EO65,Distances[[#This Row],[Colonne127]]+1)</f>
        <v>25</v>
      </c>
      <c r="EQ65" s="17">
        <f>IF(Distances[[#This Row],[Colonne128]]=$G65,EP65,Distances[[#This Row],[Colonne128]]+1)</f>
        <v>25</v>
      </c>
      <c r="ER65" s="17">
        <f>IF(Distances[[#This Row],[Colonne129]]=$G65,EQ65,Distances[[#This Row],[Colonne129]]+1)</f>
        <v>25</v>
      </c>
      <c r="ES65" s="17">
        <f>IF(Distances[[#This Row],[Colonne130]]=$G65,ER65,Distances[[#This Row],[Colonne130]]+1)</f>
        <v>25</v>
      </c>
      <c r="ET65" s="17">
        <f>IF(Distances[[#This Row],[Colonne131]]=$G65,ES65,Distances[[#This Row],[Colonne131]]+1)</f>
        <v>25</v>
      </c>
      <c r="EU65" s="17">
        <f>IF(Distances[[#This Row],[Colonne132]]=$G65,ET65,Distances[[#This Row],[Colonne132]]+1)</f>
        <v>25</v>
      </c>
      <c r="EV65" s="17">
        <f>IF(Distances[[#This Row],[Colonne133]]=$G65,EU65,Distances[[#This Row],[Colonne133]]+1)</f>
        <v>25</v>
      </c>
      <c r="EW65" s="17">
        <f>IF(Distances[[#This Row],[Colonne134]]=$G65,EV65,Distances[[#This Row],[Colonne134]]+1)</f>
        <v>25</v>
      </c>
      <c r="EX65" s="17">
        <f>IF(Distances[[#This Row],[Colonne135]]=$G65,EW65,Distances[[#This Row],[Colonne135]]+1)</f>
        <v>25</v>
      </c>
      <c r="EY65" s="17">
        <f>IF(Distances[[#This Row],[Colonne136]]=$G65,EX65,Distances[[#This Row],[Colonne136]]+1)</f>
        <v>25</v>
      </c>
      <c r="EZ65" s="17">
        <f>IF(Distances[[#This Row],[Colonne137]]=$G65,EY65,Distances[[#This Row],[Colonne137]]+1)</f>
        <v>25</v>
      </c>
      <c r="FA65" s="17">
        <f>IF(Distances[[#This Row],[Colonne138]]=$G65,EZ65,Distances[[#This Row],[Colonne138]]+1)</f>
        <v>25</v>
      </c>
      <c r="FB65" s="17">
        <f>IF(Distances[[#This Row],[Colonne139]]=$G65,FA65,Distances[[#This Row],[Colonne139]]+1)</f>
        <v>25</v>
      </c>
      <c r="FC65" s="17">
        <f>IF(Distances[[#This Row],[Colonne140]]=$G65,FB65,Distances[[#This Row],[Colonne140]]+1)</f>
        <v>25</v>
      </c>
      <c r="FD65" s="17">
        <f>IF(Distances[[#This Row],[Colonne141]]=$G65,FC65,Distances[[#This Row],[Colonne141]]+1)</f>
        <v>25</v>
      </c>
      <c r="FE65" s="17">
        <f>IF(Distances[[#This Row],[Colonne142]]=$G65,FD65,Distances[[#This Row],[Colonne142]]+1)</f>
        <v>25</v>
      </c>
      <c r="FF65" s="17">
        <f>IF(Distances[[#This Row],[Colonne143]]=$G65,FE65,Distances[[#This Row],[Colonne143]]+1)</f>
        <v>25</v>
      </c>
      <c r="FG65" s="17">
        <f>IF(Distances[[#This Row],[Colonne144]]=$G65,FF65,Distances[[#This Row],[Colonne144]]+1)</f>
        <v>25</v>
      </c>
      <c r="FH65" s="17">
        <f>IF(Distances[[#This Row],[Colonne145]]=$G65,FG65,Distances[[#This Row],[Colonne145]]+1)</f>
        <v>25</v>
      </c>
      <c r="FI65" s="17">
        <f>IF(Distances[[#This Row],[Colonne146]]=$G65,FH65,Distances[[#This Row],[Colonne146]]+1)</f>
        <v>25</v>
      </c>
      <c r="FJ65" s="17">
        <f>IF(Distances[[#This Row],[Colonne147]]=$G65,FI65,Distances[[#This Row],[Colonne147]]+1)</f>
        <v>25</v>
      </c>
      <c r="FK65" s="17">
        <f>IF(Distances[[#This Row],[Colonne148]]=$G65,FJ65,Distances[[#This Row],[Colonne148]]+1)</f>
        <v>25</v>
      </c>
      <c r="FL65" s="17">
        <f>IF(Distances[[#This Row],[Colonne149]]=$G65,FK65,Distances[[#This Row],[Colonne149]]+1)</f>
        <v>25</v>
      </c>
      <c r="FM65" s="17">
        <f>IF(Distances[[#This Row],[Colonne150]]=$G65,FL65,Distances[[#This Row],[Colonne150]]+1)</f>
        <v>25</v>
      </c>
      <c r="FN65" s="17">
        <f>IF(Distances[[#This Row],[Colonne151]]=$G65,FM65,Distances[[#This Row],[Colonne151]]+1)</f>
        <v>25</v>
      </c>
      <c r="FO65" s="17">
        <f>IF(Distances[[#This Row],[Colonne152]]=$G65,FN65,Distances[[#This Row],[Colonne152]]+1)</f>
        <v>25</v>
      </c>
      <c r="FP65" s="17">
        <f>IF(Distances[[#This Row],[Colonne153]]=$G65,FO65,Distances[[#This Row],[Colonne153]]+1)</f>
        <v>25</v>
      </c>
      <c r="FQ65" s="17">
        <f>IF(Distances[[#This Row],[Colonne154]]=$G65,FP65,Distances[[#This Row],[Colonne154]]+1)</f>
        <v>25</v>
      </c>
      <c r="FR65" s="17">
        <f>IF(Distances[[#This Row],[Colonne155]]=$G65,FQ65,Distances[[#This Row],[Colonne155]]+1)</f>
        <v>25</v>
      </c>
      <c r="FS65" s="17">
        <f>IF(Distances[[#This Row],[Colonne156]]=$G65,FR65,Distances[[#This Row],[Colonne156]]+1)</f>
        <v>25</v>
      </c>
      <c r="FT65" s="17">
        <f>IF(Distances[[#This Row],[Colonne157]]=$G65,FS65,Distances[[#This Row],[Colonne157]]+1)</f>
        <v>25</v>
      </c>
      <c r="FU65" s="17">
        <f>IF(Distances[[#This Row],[Colonne158]]=$G65,FT65,Distances[[#This Row],[Colonne158]]+1)</f>
        <v>25</v>
      </c>
      <c r="FV65" s="17">
        <f>IF(Distances[[#This Row],[Colonne159]]=$G65,FU65,Distances[[#This Row],[Colonne159]]+1)</f>
        <v>25</v>
      </c>
      <c r="FW65" s="17">
        <f>IF(Distances[[#This Row],[Colonne160]]=$G65,FV65,Distances[[#This Row],[Colonne160]]+1)</f>
        <v>25</v>
      </c>
      <c r="FX65" s="17">
        <f>IF(Distances[[#This Row],[Colonne161]]=$G65,FW65,Distances[[#This Row],[Colonne161]]+1)</f>
        <v>25</v>
      </c>
      <c r="FY65" s="17">
        <f>IF(Distances[[#This Row],[Colonne162]]=$G65,FX65,Distances[[#This Row],[Colonne162]]+1)</f>
        <v>25</v>
      </c>
      <c r="FZ65" s="17">
        <f>IF(Distances[[#This Row],[Colonne163]]=$G65,FY65,Distances[[#This Row],[Colonne163]]+1)</f>
        <v>25</v>
      </c>
      <c r="GA65" s="17">
        <f>IF(Distances[[#This Row],[Colonne164]]=$G65,FZ65,Distances[[#This Row],[Colonne164]]+1)</f>
        <v>25</v>
      </c>
      <c r="GB65" s="17">
        <f>IF(Distances[[#This Row],[Colonne165]]=$G65,GA65,Distances[[#This Row],[Colonne165]]+1)</f>
        <v>25</v>
      </c>
      <c r="GC65" s="17">
        <f>IF(Distances[[#This Row],[Colonne166]]=$G65,GB65,Distances[[#This Row],[Colonne166]]+1)</f>
        <v>25</v>
      </c>
      <c r="GD65" s="17">
        <f>IF(Distances[[#This Row],[Colonne167]]=$G65,GC65,Distances[[#This Row],[Colonne167]]+1)</f>
        <v>25</v>
      </c>
      <c r="GE65" s="17">
        <f>IF(Distances[[#This Row],[Colonne168]]=$G65,GD65,Distances[[#This Row],[Colonne168]]+1)</f>
        <v>25</v>
      </c>
      <c r="GF65" s="17">
        <f>IF(Distances[[#This Row],[Colonne169]]=$G65,GE65,Distances[[#This Row],[Colonne169]]+1)</f>
        <v>25</v>
      </c>
      <c r="GG65" s="17">
        <f>IF(Distances[[#This Row],[Colonne170]]=$G65,GF65,Distances[[#This Row],[Colonne170]]+1)</f>
        <v>25</v>
      </c>
      <c r="GH65" s="17">
        <f>IF(Distances[[#This Row],[Colonne171]]=$G65,GG65,Distances[[#This Row],[Colonne171]]+1)</f>
        <v>25</v>
      </c>
      <c r="GI65" s="17">
        <f>IF(Distances[[#This Row],[Colonne172]]=$G65,GH65,Distances[[#This Row],[Colonne172]]+1)</f>
        <v>25</v>
      </c>
      <c r="GJ65" s="17">
        <f>IF(Distances[[#This Row],[Colonne173]]=$G65,GI65,Distances[[#This Row],[Colonne173]]+1)</f>
        <v>25</v>
      </c>
      <c r="GK65" s="17">
        <f>IF(Distances[[#This Row],[Colonne174]]=$G65,GJ65,Distances[[#This Row],[Colonne174]]+1)</f>
        <v>25</v>
      </c>
      <c r="GL65" s="17">
        <f>IF(Distances[[#This Row],[Colonne175]]=$G65,GK65,Distances[[#This Row],[Colonne175]]+1)</f>
        <v>25</v>
      </c>
      <c r="GM65" s="17">
        <f>IF(Distances[[#This Row],[Colonne176]]=$G65,GL65,Distances[[#This Row],[Colonne176]]+1)</f>
        <v>25</v>
      </c>
      <c r="GN65" s="17">
        <f>IF(Distances[[#This Row],[Colonne177]]=$G65,GM65,Distances[[#This Row],[Colonne177]]+1)</f>
        <v>25</v>
      </c>
      <c r="GO65" s="17">
        <f>IF(Distances[[#This Row],[Colonne178]]=$G65,GN65,Distances[[#This Row],[Colonne178]]+1)</f>
        <v>25</v>
      </c>
      <c r="GP65" s="17">
        <f>IF(Distances[[#This Row],[Colonne179]]=$G65,GO65,Distances[[#This Row],[Colonne179]]+1)</f>
        <v>25</v>
      </c>
      <c r="GQ65" s="17">
        <f>IF(Distances[[#This Row],[Colonne180]]=$G65,GP65,Distances[[#This Row],[Colonne180]]+1)</f>
        <v>25</v>
      </c>
      <c r="GR65" s="17">
        <f>IF(Distances[[#This Row],[Colonne181]]=$G65,GQ65,Distances[[#This Row],[Colonne181]]+1)</f>
        <v>25</v>
      </c>
      <c r="GS65" s="17">
        <f>IF(Distances[[#This Row],[Colonne182]]=$G65,GR65,Distances[[#This Row],[Colonne182]]+1)</f>
        <v>25</v>
      </c>
      <c r="GT65" s="17">
        <f>IF(Distances[[#This Row],[Colonne183]]=$G65,GS65,Distances[[#This Row],[Colonne183]]+1)</f>
        <v>25</v>
      </c>
      <c r="GU65" s="17">
        <f>IF(Distances[[#This Row],[Colonne184]]=$G65,GT65,Distances[[#This Row],[Colonne184]]+1)</f>
        <v>25</v>
      </c>
      <c r="GV65" s="17">
        <f>IF(Distances[[#This Row],[Colonne185]]=$G65,GU65,Distances[[#This Row],[Colonne185]]+1)</f>
        <v>25</v>
      </c>
      <c r="GW65" s="17">
        <f>IF(Distances[[#This Row],[Colonne186]]=$G65,GV65,Distances[[#This Row],[Colonne186]]+1)</f>
        <v>25</v>
      </c>
      <c r="GX65" s="17">
        <f>IF(Distances[[#This Row],[Colonne187]]=$G65,GW65,Distances[[#This Row],[Colonne187]]+1)</f>
        <v>25</v>
      </c>
      <c r="GY65" s="17">
        <f>IF(Distances[[#This Row],[Colonne188]]=$G65,GX65,Distances[[#This Row],[Colonne188]]+1)</f>
        <v>25</v>
      </c>
      <c r="GZ65" s="17">
        <f>IF(Distances[[#This Row],[Colonne189]]=$G65,GY65,Distances[[#This Row],[Colonne189]]+1)</f>
        <v>25</v>
      </c>
      <c r="HA65" s="17">
        <f>IF(Distances[[#This Row],[Colonne190]]=$G65,GZ65,Distances[[#This Row],[Colonne190]]+1)</f>
        <v>25</v>
      </c>
      <c r="HB65" s="17">
        <f>IF(Distances[[#This Row],[Colonne191]]=$G65,HA65,Distances[[#This Row],[Colonne191]]+1)</f>
        <v>25</v>
      </c>
      <c r="HC65" s="17">
        <f>IF(Distances[[#This Row],[Colonne192]]=$G65,HB65,Distances[[#This Row],[Colonne192]]+1)</f>
        <v>25</v>
      </c>
      <c r="HD65" s="17">
        <f>IF(Distances[[#This Row],[Colonne193]]=$G65,HC65,Distances[[#This Row],[Colonne193]]+1)</f>
        <v>25</v>
      </c>
      <c r="HE65" s="17">
        <f>IF(Distances[[#This Row],[Colonne194]]=$G65,HD65,Distances[[#This Row],[Colonne194]]+1)</f>
        <v>25</v>
      </c>
      <c r="HF65" s="17">
        <f>IF(Distances[[#This Row],[Colonne195]]=$G65,HE65,Distances[[#This Row],[Colonne195]]+1)</f>
        <v>25</v>
      </c>
      <c r="HG65" s="17">
        <f>IF(Distances[[#This Row],[Colonne196]]=$G65,HF65,Distances[[#This Row],[Colonne196]]+1)</f>
        <v>25</v>
      </c>
      <c r="HH65" s="17">
        <f>IF(Distances[[#This Row],[Colonne197]]=$G65,HG65,Distances[[#This Row],[Colonne197]]+1)</f>
        <v>25</v>
      </c>
      <c r="HI65" s="17">
        <f>IF(Distances[[#This Row],[Colonne198]]=$G65,HH65,Distances[[#This Row],[Colonne198]]+1)</f>
        <v>25</v>
      </c>
      <c r="HJ65" s="17">
        <f>IF(Distances[[#This Row],[Colonne199]]=$G65,HI65,Distances[[#This Row],[Colonne199]]+1)</f>
        <v>25</v>
      </c>
      <c r="HK65" s="17">
        <f>IF(Distances[[#This Row],[Colonne200]]=$G65,HJ65,Distances[[#This Row],[Colonne200]]+1)</f>
        <v>25</v>
      </c>
      <c r="HL65" s="17">
        <f>IF(Distances[[#This Row],[Colonne201]]=$G65,HK65,Distances[[#This Row],[Colonne201]]+1)</f>
        <v>25</v>
      </c>
      <c r="HM65" s="17">
        <f>IF(Distances[[#This Row],[Colonne202]]=$G65,HL65,Distances[[#This Row],[Colonne202]]+1)</f>
        <v>25</v>
      </c>
      <c r="HN65" s="17">
        <f>IF(Distances[[#This Row],[Colonne203]]=$G65,HM65,Distances[[#This Row],[Colonne203]]+1)</f>
        <v>25</v>
      </c>
      <c r="HO65" s="17">
        <f>IF(Distances[[#This Row],[Colonne204]]=$G65,HN65,Distances[[#This Row],[Colonne204]]+1)</f>
        <v>25</v>
      </c>
      <c r="HP65" s="17">
        <f>IF(Distances[[#This Row],[Colonne205]]=$G65,HO65,Distances[[#This Row],[Colonne205]]+1)</f>
        <v>25</v>
      </c>
      <c r="HQ65" s="17">
        <f>IF(Distances[[#This Row],[Colonne206]]=$G65,HP65,Distances[[#This Row],[Colonne206]]+1)</f>
        <v>25</v>
      </c>
      <c r="HR65" s="17">
        <f>IF(Distances[[#This Row],[Colonne207]]=$G65,HQ65,Distances[[#This Row],[Colonne207]]+1)</f>
        <v>25</v>
      </c>
      <c r="HS65" s="17">
        <f>IF(Distances[[#This Row],[Colonne208]]=$G65,HR65,Distances[[#This Row],[Colonne208]]+1)</f>
        <v>25</v>
      </c>
      <c r="HT65" s="17">
        <f>IF(Distances[[#This Row],[Colonne209]]=$G65,HS65,Distances[[#This Row],[Colonne209]]+1)</f>
        <v>25</v>
      </c>
      <c r="HU65" s="17">
        <f>IF(Distances[[#This Row],[Colonne210]]=$G65,HT65,Distances[[#This Row],[Colonne210]]+1)</f>
        <v>25</v>
      </c>
      <c r="HV65" s="17">
        <f>IF(Distances[[#This Row],[Colonne211]]=$G65,HU65,Distances[[#This Row],[Colonne211]]+1)</f>
        <v>25</v>
      </c>
      <c r="HW65" s="17">
        <f>IF(Distances[[#This Row],[Colonne212]]=$G65,HV65,Distances[[#This Row],[Colonne212]]+1)</f>
        <v>25</v>
      </c>
      <c r="HX65" s="17">
        <f>IF(Distances[[#This Row],[Colonne213]]=$G65,HW65,Distances[[#This Row],[Colonne213]]+1)</f>
        <v>25</v>
      </c>
      <c r="HY65" s="17">
        <f>IF(Distances[[#This Row],[Colonne214]]=$G65,HX65,Distances[[#This Row],[Colonne214]]+1)</f>
        <v>25</v>
      </c>
      <c r="HZ65" s="17">
        <f>IF(Distances[[#This Row],[Colonne215]]=$G65,HY65,Distances[[#This Row],[Colonne215]]+1)</f>
        <v>25</v>
      </c>
      <c r="IA65" s="17">
        <f>IF(Distances[[#This Row],[Colonne216]]=$G65,HZ65,Distances[[#This Row],[Colonne216]]+1)</f>
        <v>25</v>
      </c>
      <c r="IB65" s="17">
        <f>IF(Distances[[#This Row],[Colonne217]]=$G65,IA65,Distances[[#This Row],[Colonne217]]+1)</f>
        <v>25</v>
      </c>
      <c r="IC65" s="17">
        <f>IF(Distances[[#This Row],[Colonne218]]=$G65,IB65,Distances[[#This Row],[Colonne218]]+1)</f>
        <v>25</v>
      </c>
      <c r="ID65" s="17">
        <f>IF(Distances[[#This Row],[Colonne219]]=$G65,IC65,Distances[[#This Row],[Colonne219]]+1)</f>
        <v>25</v>
      </c>
      <c r="IE65" s="17">
        <f>IF(Distances[[#This Row],[Colonne220]]=$G65,ID65,Distances[[#This Row],[Colonne220]]+1)</f>
        <v>25</v>
      </c>
      <c r="IF65" s="17">
        <f>IF(Distances[[#This Row],[Colonne221]]=$G65,IE65,Distances[[#This Row],[Colonne221]]+1)</f>
        <v>25</v>
      </c>
      <c r="IG65" s="17">
        <f>IF(Distances[[#This Row],[Colonne222]]=$G65,IF65,Distances[[#This Row],[Colonne222]]+1)</f>
        <v>25</v>
      </c>
      <c r="IH65" s="17">
        <f>IF(Distances[[#This Row],[Colonne223]]=$G65,IG65,Distances[[#This Row],[Colonne223]]+1)</f>
        <v>25</v>
      </c>
      <c r="II65" s="17">
        <f>IF(Distances[[#This Row],[Colonne224]]=$G65,IH65,Distances[[#This Row],[Colonne224]]+1)</f>
        <v>25</v>
      </c>
      <c r="IJ65" s="17">
        <f>IF(Distances[[#This Row],[Colonne225]]=$G65,II65,Distances[[#This Row],[Colonne225]]+1)</f>
        <v>25</v>
      </c>
      <c r="IK65" s="17">
        <f>IF(Distances[[#This Row],[Colonne226]]=$G65,IJ65,Distances[[#This Row],[Colonne226]]+1)</f>
        <v>25</v>
      </c>
      <c r="IL65" s="17">
        <f>IF(Distances[[#This Row],[Colonne227]]=$G65,IK65,Distances[[#This Row],[Colonne227]]+1)</f>
        <v>25</v>
      </c>
      <c r="IM65" s="17">
        <f>IF(Distances[[#This Row],[Colonne228]]=$G65,IL65,Distances[[#This Row],[Colonne228]]+1)</f>
        <v>25</v>
      </c>
      <c r="IN65" s="17">
        <f>IF(Distances[[#This Row],[Colonne229]]=$G65,IM65,Distances[[#This Row],[Colonne229]]+1)</f>
        <v>25</v>
      </c>
      <c r="IO65" s="17">
        <f>IF(Distances[[#This Row],[Colonne230]]=$G65,IN65,Distances[[#This Row],[Colonne230]]+1)</f>
        <v>25</v>
      </c>
      <c r="IP65" s="17">
        <f>IF(Distances[[#This Row],[Colonne231]]=$G65,IO65,Distances[[#This Row],[Colonne231]]+1)</f>
        <v>25</v>
      </c>
      <c r="IQ65" s="17">
        <f>IF(Distances[[#This Row],[Colonne232]]=$G65,IP65,Distances[[#This Row],[Colonne232]]+1)</f>
        <v>25</v>
      </c>
      <c r="IR65" s="17">
        <f>IF(Distances[[#This Row],[Colonne233]]=$G65,IQ65,Distances[[#This Row],[Colonne233]]+1)</f>
        <v>25</v>
      </c>
      <c r="IS65" s="17">
        <f>IF(Distances[[#This Row],[Colonne234]]=$G65,IR65,Distances[[#This Row],[Colonne234]]+1)</f>
        <v>25</v>
      </c>
      <c r="IT65" s="17">
        <f>IF(Distances[[#This Row],[Colonne235]]=$G65,IS65,Distances[[#This Row],[Colonne235]]+1)</f>
        <v>25</v>
      </c>
      <c r="IU65" s="17">
        <f>IF(Distances[[#This Row],[Colonne236]]=$G65,IT65,Distances[[#This Row],[Colonne236]]+1)</f>
        <v>25</v>
      </c>
      <c r="IV65" s="17">
        <f>IF(Distances[[#This Row],[Colonne237]]=$G65,IU65,Distances[[#This Row],[Colonne237]]+1)</f>
        <v>25</v>
      </c>
      <c r="IW65" s="17">
        <f>IF(Distances[[#This Row],[Colonne238]]=$G65,IV65,Distances[[#This Row],[Colonne238]]+1)</f>
        <v>25</v>
      </c>
      <c r="IX65" s="17">
        <f>IF(Distances[[#This Row],[Colonne239]]=$G65,IW65,Distances[[#This Row],[Colonne239]]+1)</f>
        <v>25</v>
      </c>
      <c r="IY65" s="17">
        <f>IF(Distances[[#This Row],[Colonne240]]=$G65,IX65,Distances[[#This Row],[Colonne240]]+1)</f>
        <v>25</v>
      </c>
      <c r="IZ65" s="17">
        <f>IF(Distances[[#This Row],[Colonne241]]=$G65,IY65,Distances[[#This Row],[Colonne241]]+1)</f>
        <v>25</v>
      </c>
      <c r="JA65" s="17">
        <f>IF(Distances[[#This Row],[Colonne242]]=$G65,IZ65,Distances[[#This Row],[Colonne242]]+1)</f>
        <v>25</v>
      </c>
      <c r="JB65" s="17">
        <f>IF(Distances[[#This Row],[Colonne243]]=$G65,JA65,Distances[[#This Row],[Colonne243]]+1)</f>
        <v>25</v>
      </c>
      <c r="JC65" s="17">
        <f>IF(Distances[[#This Row],[Colonne244]]=$G65,JB65,Distances[[#This Row],[Colonne244]]+1)</f>
        <v>25</v>
      </c>
      <c r="JD65" s="17">
        <f>IF(Distances[[#This Row],[Colonne245]]=$G65,JC65,Distances[[#This Row],[Colonne245]]+1)</f>
        <v>25</v>
      </c>
      <c r="JE65" s="17">
        <f>IF(Distances[[#This Row],[Colonne246]]=$G65,JD65,Distances[[#This Row],[Colonne246]]+1)</f>
        <v>25</v>
      </c>
      <c r="JF65" s="17">
        <f>IF(Distances[[#This Row],[Colonne247]]=$G65,JE65,Distances[[#This Row],[Colonne247]]+1)</f>
        <v>25</v>
      </c>
      <c r="JG65" s="17">
        <f>IF(Distances[[#This Row],[Colonne248]]=$G65,JF65,Distances[[#This Row],[Colonne248]]+1)</f>
        <v>25</v>
      </c>
      <c r="JH65" s="17">
        <f>IF(Distances[[#This Row],[Colonne249]]=$G65,JG65,Distances[[#This Row],[Colonne249]]+1)</f>
        <v>25</v>
      </c>
      <c r="JI65" s="17">
        <f>IF(Distances[[#This Row],[Colonne250]]=$G65,JH65,Distances[[#This Row],[Colonne250]]+1)</f>
        <v>25</v>
      </c>
      <c r="JJ65" s="17">
        <f>IF(Distances[[#This Row],[Colonne251]]=$G65,JI65,Distances[[#This Row],[Colonne251]]+1)</f>
        <v>25</v>
      </c>
      <c r="JK65" s="17">
        <f>IF(Distances[[#This Row],[Colonne252]]=$G65,JJ65,Distances[[#This Row],[Colonne252]]+1)</f>
        <v>25</v>
      </c>
      <c r="JL65" s="17">
        <f>IF(Distances[[#This Row],[Colonne253]]=$G65,JK65,Distances[[#This Row],[Colonne253]]+1)</f>
        <v>25</v>
      </c>
      <c r="JM65" s="17">
        <f>IF(Distances[[#This Row],[Colonne254]]=$G65,JL65,Distances[[#This Row],[Colonne254]]+1)</f>
        <v>25</v>
      </c>
      <c r="JN65" s="17">
        <f>IF(Distances[[#This Row],[Colonne255]]=$G65,JM65,Distances[[#This Row],[Colonne255]]+1)</f>
        <v>25</v>
      </c>
      <c r="JO65" s="17">
        <f>IF(Distances[[#This Row],[Colonne256]]=$G65,JN65,Distances[[#This Row],[Colonne256]]+1)</f>
        <v>25</v>
      </c>
      <c r="JP65" s="17">
        <f>IF(Distances[[#This Row],[Colonne257]]=$G65,JO65,Distances[[#This Row],[Colonne257]]+1)</f>
        <v>25</v>
      </c>
      <c r="JQ65" s="17">
        <f>IF(Distances[[#This Row],[Colonne258]]=$G65,JP65,Distances[[#This Row],[Colonne258]]+1)</f>
        <v>25</v>
      </c>
      <c r="JR65" s="17">
        <f>IF(Distances[[#This Row],[Colonne259]]=$G65,JQ65,Distances[[#This Row],[Colonne259]]+1)</f>
        <v>25</v>
      </c>
      <c r="JS65" s="17">
        <f>IF(Distances[[#This Row],[Colonne260]]=$G65,JR65,Distances[[#This Row],[Colonne260]]+1)</f>
        <v>25</v>
      </c>
      <c r="JT65" s="17">
        <f>IF(Distances[[#This Row],[Colonne261]]=$G65,JS65,Distances[[#This Row],[Colonne261]]+1)</f>
        <v>25</v>
      </c>
      <c r="JU65" s="17">
        <f>IF(Distances[[#This Row],[Colonne262]]=$G65,JT65,Distances[[#This Row],[Colonne262]]+1)</f>
        <v>25</v>
      </c>
      <c r="JV65" s="17">
        <f>IF(Distances[[#This Row],[Colonne263]]=$G65,JU65,Distances[[#This Row],[Colonne263]]+1)</f>
        <v>25</v>
      </c>
      <c r="JW65" s="17">
        <f>IF(Distances[[#This Row],[Colonne264]]=$G65,JV65,Distances[[#This Row],[Colonne264]]+1)</f>
        <v>25</v>
      </c>
      <c r="JX65" s="17">
        <f>IF(Distances[[#This Row],[Colonne265]]=$G65,JW65,Distances[[#This Row],[Colonne265]]+1)</f>
        <v>25</v>
      </c>
      <c r="JY65" s="17">
        <f>IF(Distances[[#This Row],[Colonne266]]=$G65,JX65,Distances[[#This Row],[Colonne266]]+1)</f>
        <v>25</v>
      </c>
      <c r="JZ65" s="17">
        <f>IF(Distances[[#This Row],[Colonne267]]=$G65,JY65,Distances[[#This Row],[Colonne267]]+1)</f>
        <v>25</v>
      </c>
      <c r="KA65" s="17">
        <f>IF(Distances[[#This Row],[Colonne268]]=$G65,JZ65,Distances[[#This Row],[Colonne268]]+1)</f>
        <v>25</v>
      </c>
      <c r="KB65" s="17">
        <f>IF(Distances[[#This Row],[Colonne269]]=$G65,KA65,Distances[[#This Row],[Colonne269]]+1)</f>
        <v>25</v>
      </c>
      <c r="KC65" s="17">
        <f>IF(Distances[[#This Row],[Colonne270]]=$G65,KB65,Distances[[#This Row],[Colonne270]]+1)</f>
        <v>25</v>
      </c>
      <c r="KD65" s="17">
        <f>IF(Distances[[#This Row],[Colonne271]]=$G65,KC65,Distances[[#This Row],[Colonne271]]+1)</f>
        <v>25</v>
      </c>
      <c r="KE65" s="17">
        <f>IF(Distances[[#This Row],[Colonne272]]=$G65,KD65,Distances[[#This Row],[Colonne272]]+1)</f>
        <v>25</v>
      </c>
      <c r="KF65" s="17">
        <f>IF(Distances[[#This Row],[Colonne273]]=$G65,KE65,Distances[[#This Row],[Colonne273]]+1)</f>
        <v>25</v>
      </c>
      <c r="KG65" s="17">
        <f>IF(Distances[[#This Row],[Colonne274]]=$G65,KF65,Distances[[#This Row],[Colonne274]]+1)</f>
        <v>25</v>
      </c>
      <c r="KH65" s="17">
        <f>IF(Distances[[#This Row],[Colonne275]]=$G65,KG65,Distances[[#This Row],[Colonne275]]+1)</f>
        <v>25</v>
      </c>
      <c r="KI65" s="17">
        <f>IF(Distances[[#This Row],[Colonne276]]=$G65,KH65,Distances[[#This Row],[Colonne276]]+1)</f>
        <v>25</v>
      </c>
      <c r="KJ65" s="17">
        <f>IF(Distances[[#This Row],[Colonne277]]=$G65,KI65,Distances[[#This Row],[Colonne277]]+1)</f>
        <v>25</v>
      </c>
      <c r="KK65" s="17">
        <f>IF(Distances[[#This Row],[Colonne278]]=$G65,KJ65,Distances[[#This Row],[Colonne278]]+1)</f>
        <v>25</v>
      </c>
      <c r="KL65" s="17">
        <f>IF(Distances[[#This Row],[Colonne279]]=$G65,KK65,Distances[[#This Row],[Colonne279]]+1)</f>
        <v>25</v>
      </c>
      <c r="KM65" s="17">
        <f>IF(Distances[[#This Row],[Colonne280]]=$G65,KL65,Distances[[#This Row],[Colonne280]]+1)</f>
        <v>25</v>
      </c>
      <c r="KN65" s="17">
        <f>IF(Distances[[#This Row],[Colonne281]]=$G65,KM65,Distances[[#This Row],[Colonne281]]+1)</f>
        <v>25</v>
      </c>
      <c r="KO65" s="17">
        <f>IF(Distances[[#This Row],[Colonne282]]=$G65,KN65,Distances[[#This Row],[Colonne282]]+1)</f>
        <v>25</v>
      </c>
      <c r="KP65" s="17">
        <f>IF(Distances[[#This Row],[Colonne283]]=$G65,KO65,Distances[[#This Row],[Colonne283]]+1)</f>
        <v>25</v>
      </c>
      <c r="KQ65" s="17">
        <f>IF(Distances[[#This Row],[Colonne284]]=$G65,KP65,Distances[[#This Row],[Colonne284]]+1)</f>
        <v>25</v>
      </c>
      <c r="KR65" s="17">
        <f>IF(Distances[[#This Row],[Colonne285]]=$G65,KQ65,Distances[[#This Row],[Colonne285]]+1)</f>
        <v>25</v>
      </c>
      <c r="KS65" s="17">
        <f>IF(Distances[[#This Row],[Colonne286]]=$G65,KR65,Distances[[#This Row],[Colonne286]]+1)</f>
        <v>25</v>
      </c>
      <c r="KT65" s="17">
        <f>IF(Distances[[#This Row],[Colonne287]]=$G65,KS65,Distances[[#This Row],[Colonne287]]+1)</f>
        <v>25</v>
      </c>
      <c r="KU65" s="17">
        <f>IF(Distances[[#This Row],[Colonne288]]=$G65,KT65,Distances[[#This Row],[Colonne288]]+1)</f>
        <v>25</v>
      </c>
      <c r="KV65" s="17">
        <f>IF(Distances[[#This Row],[Colonne289]]=$G65,KU65,Distances[[#This Row],[Colonne289]]+1)</f>
        <v>25</v>
      </c>
      <c r="KW65" s="17">
        <f>IF(Distances[[#This Row],[Colonne290]]=$G65,KV65,Distances[[#This Row],[Colonne290]]+1)</f>
        <v>25</v>
      </c>
      <c r="KX65" s="17">
        <f>IF(Distances[[#This Row],[Colonne291]]=$G65,KW65,Distances[[#This Row],[Colonne291]]+1)</f>
        <v>25</v>
      </c>
      <c r="KY65" s="17">
        <f>IF(Distances[[#This Row],[Colonne292]]=$G65,KX65,Distances[[#This Row],[Colonne292]]+1)</f>
        <v>25</v>
      </c>
      <c r="KZ65" s="17">
        <f>IF(Distances[[#This Row],[Colonne293]]=$G65,KY65,Distances[[#This Row],[Colonne293]]+1)</f>
        <v>25</v>
      </c>
      <c r="LA65" s="17">
        <f>IF(Distances[[#This Row],[Colonne294]]=$G65,KZ65,Distances[[#This Row],[Colonne294]]+1)</f>
        <v>25</v>
      </c>
      <c r="LB65" s="17">
        <f>IF(Distances[[#This Row],[Colonne295]]=$G65,LA65,Distances[[#This Row],[Colonne295]]+1)</f>
        <v>25</v>
      </c>
      <c r="LC65" s="17">
        <f>IF(Distances[[#This Row],[Colonne296]]=$G65,LB65,Distances[[#This Row],[Colonne296]]+1)</f>
        <v>25</v>
      </c>
      <c r="LD65" s="17">
        <f>IF(Distances[[#This Row],[Colonne297]]=$G65,LC65,Distances[[#This Row],[Colonne297]]+1)</f>
        <v>25</v>
      </c>
      <c r="LE65" s="17">
        <f>IF(Distances[[#This Row],[Colonne298]]=$G65,LD65,Distances[[#This Row],[Colonne298]]+1)</f>
        <v>25</v>
      </c>
      <c r="LF65" s="17">
        <f>IF(Distances[[#This Row],[Colonne299]]=$G65,LE65,Distances[[#This Row],[Colonne299]]+1)</f>
        <v>25</v>
      </c>
      <c r="LG65" s="17">
        <f>IF(Distances[[#This Row],[Colonne300]]=$G65,LF65,Distances[[#This Row],[Colonne300]]+1)</f>
        <v>25</v>
      </c>
      <c r="LH65" s="17">
        <f>IF(Distances[[#This Row],[Colonne301]]=$G65,LG65,Distances[[#This Row],[Colonne301]]+1)</f>
        <v>25</v>
      </c>
      <c r="LI65" s="17">
        <f>IF(Distances[[#This Row],[Colonne302]]=$G65,LH65,Distances[[#This Row],[Colonne302]]+1)</f>
        <v>25</v>
      </c>
      <c r="LJ65" s="17">
        <f>IF(Distances[[#This Row],[Colonne303]]=$G65,LI65,Distances[[#This Row],[Colonne303]]+1)</f>
        <v>25</v>
      </c>
      <c r="LK65" s="51"/>
      <c r="LL65" s="17">
        <f t="shared" ref="LL65:MQ65" si="126">IF(LK65=$H65,LK65,LK65+1)</f>
        <v>1</v>
      </c>
      <c r="LM65" s="17">
        <f t="shared" si="126"/>
        <v>2</v>
      </c>
      <c r="LN65" s="17">
        <f t="shared" si="126"/>
        <v>3</v>
      </c>
      <c r="LO65" s="17">
        <f t="shared" si="126"/>
        <v>4</v>
      </c>
      <c r="LP65" s="17">
        <f t="shared" si="126"/>
        <v>5</v>
      </c>
      <c r="LQ65" s="17">
        <f t="shared" si="126"/>
        <v>6</v>
      </c>
      <c r="LR65" s="17">
        <f t="shared" si="126"/>
        <v>7</v>
      </c>
      <c r="LS65" s="17">
        <f t="shared" si="126"/>
        <v>8</v>
      </c>
      <c r="LT65" s="17">
        <f t="shared" si="126"/>
        <v>9</v>
      </c>
      <c r="LU65" s="17">
        <f t="shared" si="126"/>
        <v>10</v>
      </c>
      <c r="LV65" s="17">
        <f t="shared" si="126"/>
        <v>11</v>
      </c>
      <c r="LW65" s="17">
        <f t="shared" si="126"/>
        <v>12</v>
      </c>
      <c r="LX65" s="17">
        <f t="shared" si="126"/>
        <v>13</v>
      </c>
      <c r="LY65" s="17">
        <f t="shared" si="126"/>
        <v>14</v>
      </c>
      <c r="LZ65" s="17">
        <f t="shared" si="126"/>
        <v>15</v>
      </c>
      <c r="MA65" s="17">
        <f t="shared" si="126"/>
        <v>16</v>
      </c>
      <c r="MB65" s="17">
        <f t="shared" si="126"/>
        <v>17</v>
      </c>
      <c r="MC65" s="17">
        <f t="shared" si="126"/>
        <v>18</v>
      </c>
      <c r="MD65" s="17">
        <f t="shared" si="126"/>
        <v>19</v>
      </c>
      <c r="ME65" s="17">
        <f t="shared" si="126"/>
        <v>20</v>
      </c>
      <c r="MF65" s="17">
        <f t="shared" si="126"/>
        <v>21</v>
      </c>
      <c r="MG65" s="17">
        <f t="shared" si="126"/>
        <v>22</v>
      </c>
      <c r="MH65" s="17">
        <f t="shared" si="126"/>
        <v>23</v>
      </c>
      <c r="MI65" s="17">
        <f t="shared" si="126"/>
        <v>24</v>
      </c>
      <c r="MJ65" s="17">
        <f t="shared" si="126"/>
        <v>25</v>
      </c>
      <c r="MK65" s="17">
        <f t="shared" si="126"/>
        <v>26</v>
      </c>
      <c r="ML65" s="17">
        <f t="shared" si="126"/>
        <v>27</v>
      </c>
      <c r="MM65" s="17">
        <f t="shared" si="126"/>
        <v>28</v>
      </c>
      <c r="MN65" s="17">
        <f t="shared" si="126"/>
        <v>29</v>
      </c>
      <c r="MO65" s="17">
        <f t="shared" si="126"/>
        <v>30</v>
      </c>
      <c r="MP65" s="17">
        <f t="shared" si="126"/>
        <v>31</v>
      </c>
      <c r="MQ65" s="17">
        <f t="shared" si="126"/>
        <v>32</v>
      </c>
      <c r="MR65" s="17">
        <f t="shared" ref="MR65:NV65" si="127">IF(MQ65=$H65,MQ65,MQ65+1)</f>
        <v>33</v>
      </c>
      <c r="MS65" s="17">
        <f t="shared" si="127"/>
        <v>34</v>
      </c>
      <c r="MT65" s="17">
        <f t="shared" si="127"/>
        <v>35</v>
      </c>
      <c r="MU65" s="17">
        <f t="shared" si="127"/>
        <v>36</v>
      </c>
      <c r="MV65" s="17">
        <f t="shared" si="127"/>
        <v>37</v>
      </c>
      <c r="MW65" s="17">
        <f t="shared" si="127"/>
        <v>38</v>
      </c>
      <c r="MX65" s="17">
        <f t="shared" si="127"/>
        <v>39</v>
      </c>
      <c r="MY65" s="17">
        <f t="shared" si="127"/>
        <v>40</v>
      </c>
      <c r="MZ65" s="17">
        <f t="shared" si="127"/>
        <v>40</v>
      </c>
      <c r="NA65" s="17">
        <f t="shared" si="127"/>
        <v>40</v>
      </c>
      <c r="NB65" s="17">
        <f t="shared" si="127"/>
        <v>40</v>
      </c>
      <c r="NC65" s="17">
        <f t="shared" si="127"/>
        <v>40</v>
      </c>
      <c r="ND65" s="17">
        <f t="shared" si="127"/>
        <v>40</v>
      </c>
      <c r="NE65" s="17">
        <f t="shared" si="127"/>
        <v>40</v>
      </c>
      <c r="NF65" s="17">
        <f t="shared" si="127"/>
        <v>40</v>
      </c>
      <c r="NG65" s="17">
        <f t="shared" si="127"/>
        <v>40</v>
      </c>
      <c r="NH65" s="17">
        <f t="shared" si="127"/>
        <v>40</v>
      </c>
      <c r="NI65" s="17">
        <f t="shared" si="127"/>
        <v>40</v>
      </c>
      <c r="NJ65" s="17">
        <f t="shared" si="127"/>
        <v>40</v>
      </c>
      <c r="NK65" s="17">
        <f t="shared" si="127"/>
        <v>40</v>
      </c>
      <c r="NL65" s="17">
        <f t="shared" si="127"/>
        <v>40</v>
      </c>
      <c r="NM65" s="17">
        <f t="shared" si="127"/>
        <v>40</v>
      </c>
      <c r="NN65" s="17">
        <f t="shared" si="127"/>
        <v>40</v>
      </c>
      <c r="NO65" s="17">
        <f t="shared" si="127"/>
        <v>40</v>
      </c>
      <c r="NP65" s="17">
        <f t="shared" si="127"/>
        <v>40</v>
      </c>
      <c r="NQ65" s="17">
        <f t="shared" si="127"/>
        <v>40</v>
      </c>
      <c r="NR65" s="17">
        <f t="shared" si="127"/>
        <v>40</v>
      </c>
      <c r="NS65" s="17">
        <f t="shared" si="127"/>
        <v>40</v>
      </c>
      <c r="NT65" s="17">
        <f t="shared" si="127"/>
        <v>40</v>
      </c>
      <c r="NU65" s="17">
        <f t="shared" si="127"/>
        <v>40</v>
      </c>
      <c r="NV65" s="17">
        <f t="shared" si="127"/>
        <v>40</v>
      </c>
      <c r="NW65" s="17">
        <f>IF(NV65=$H65,NV65,NV65+1)</f>
        <v>40</v>
      </c>
      <c r="NX65" s="17">
        <f t="shared" si="119"/>
        <v>40</v>
      </c>
      <c r="NY65" s="17">
        <f t="shared" si="119"/>
        <v>40</v>
      </c>
      <c r="NZ65" s="17">
        <f t="shared" si="119"/>
        <v>40</v>
      </c>
      <c r="OA65" s="17">
        <f t="shared" si="119"/>
        <v>40</v>
      </c>
      <c r="OB65" s="17">
        <f t="shared" si="119"/>
        <v>40</v>
      </c>
      <c r="OC65" s="17">
        <f t="shared" si="119"/>
        <v>40</v>
      </c>
      <c r="OD65" s="17">
        <f t="shared" si="119"/>
        <v>40</v>
      </c>
      <c r="OE65" s="17">
        <f t="shared" si="119"/>
        <v>40</v>
      </c>
      <c r="OF65" s="17">
        <f t="shared" si="119"/>
        <v>40</v>
      </c>
      <c r="OG65" s="17">
        <f t="shared" si="119"/>
        <v>40</v>
      </c>
      <c r="OH65" s="17">
        <f t="shared" si="119"/>
        <v>40</v>
      </c>
      <c r="OI65" s="17">
        <f t="shared" si="119"/>
        <v>40</v>
      </c>
      <c r="OJ65" s="17">
        <f t="shared" si="119"/>
        <v>40</v>
      </c>
      <c r="OK65" s="17">
        <f t="shared" si="119"/>
        <v>40</v>
      </c>
      <c r="OL65" s="17">
        <f t="shared" si="119"/>
        <v>40</v>
      </c>
      <c r="OM65" s="17">
        <f t="shared" si="119"/>
        <v>40</v>
      </c>
      <c r="ON65" s="17">
        <f t="shared" si="119"/>
        <v>40</v>
      </c>
      <c r="OO65" s="17">
        <f t="shared" si="119"/>
        <v>40</v>
      </c>
      <c r="OP65" s="17">
        <f t="shared" si="119"/>
        <v>40</v>
      </c>
      <c r="OQ65" s="17">
        <f t="shared" si="119"/>
        <v>40</v>
      </c>
      <c r="OR65" s="17">
        <f t="shared" si="119"/>
        <v>40</v>
      </c>
      <c r="OS65" s="17">
        <f t="shared" si="119"/>
        <v>40</v>
      </c>
      <c r="OT65" s="17">
        <f t="shared" si="119"/>
        <v>40</v>
      </c>
      <c r="OU65" s="17">
        <f t="shared" si="119"/>
        <v>40</v>
      </c>
      <c r="OV65" s="17">
        <f t="shared" si="119"/>
        <v>40</v>
      </c>
      <c r="OW65" s="17">
        <f t="shared" si="119"/>
        <v>40</v>
      </c>
      <c r="OX65" s="17">
        <f t="shared" si="119"/>
        <v>40</v>
      </c>
      <c r="OY65" s="17">
        <f t="shared" si="119"/>
        <v>40</v>
      </c>
      <c r="OZ65" s="17">
        <f t="shared" si="119"/>
        <v>40</v>
      </c>
      <c r="PA65" s="17">
        <f t="shared" si="119"/>
        <v>40</v>
      </c>
      <c r="PB65" s="17">
        <f t="shared" si="119"/>
        <v>40</v>
      </c>
      <c r="PC65" s="17">
        <f t="shared" si="119"/>
        <v>40</v>
      </c>
      <c r="PD65" s="17">
        <f t="shared" si="119"/>
        <v>40</v>
      </c>
      <c r="PE65" s="17">
        <f t="shared" si="119"/>
        <v>40</v>
      </c>
      <c r="PF65" s="17">
        <f t="shared" si="119"/>
        <v>40</v>
      </c>
      <c r="PG65" s="17">
        <f t="shared" si="119"/>
        <v>40</v>
      </c>
    </row>
    <row r="66" spans="1:423" x14ac:dyDescent="0.25">
      <c r="A66" s="8" t="s">
        <v>5454</v>
      </c>
      <c r="B66" s="9" t="s">
        <v>25</v>
      </c>
      <c r="C66" s="9" t="str">
        <f t="shared" si="120"/>
        <v>3N2</v>
      </c>
      <c r="D66" s="1" t="str">
        <f t="shared" si="121"/>
        <v>3 Bandes N2</v>
      </c>
      <c r="E66" s="1" t="s">
        <v>18</v>
      </c>
      <c r="F66" s="9" t="s">
        <v>11148</v>
      </c>
      <c r="G66" s="9">
        <v>20</v>
      </c>
      <c r="H66" s="9">
        <v>45</v>
      </c>
      <c r="I66" s="127">
        <v>3.1</v>
      </c>
      <c r="J66" s="30"/>
      <c r="K66" s="10"/>
      <c r="L66" s="8">
        <v>0.45</v>
      </c>
      <c r="M66" s="9">
        <v>0.52490000000000003</v>
      </c>
      <c r="N66" s="10">
        <v>0.59989999999999999</v>
      </c>
      <c r="O66" s="269">
        <v>1</v>
      </c>
      <c r="P66" s="331">
        <v>2</v>
      </c>
      <c r="Q66" s="335">
        <v>3</v>
      </c>
      <c r="R66" s="8"/>
      <c r="S66" s="9"/>
      <c r="T66" s="10"/>
      <c r="U66" t="s">
        <v>5523</v>
      </c>
      <c r="V66" s="17">
        <v>0</v>
      </c>
      <c r="W66" s="17">
        <f>IF(Distances[[#This Row],[Colonne4]]=$G66,V66,Distances[[#This Row],[Colonne4]]+1)</f>
        <v>1</v>
      </c>
      <c r="X66" s="17">
        <f>IF(Distances[[#This Row],[Colonne5]]=$G66,W66,Distances[[#This Row],[Colonne5]]+1)</f>
        <v>2</v>
      </c>
      <c r="Y66" s="17">
        <f>IF(Distances[[#This Row],[Colonne6]]=$G66,X66,Distances[[#This Row],[Colonne6]]+1)</f>
        <v>3</v>
      </c>
      <c r="Z66" s="17">
        <f>IF(Distances[[#This Row],[Colonne7]]=$G66,Y66,Distances[[#This Row],[Colonne7]]+1)</f>
        <v>4</v>
      </c>
      <c r="AA66" s="17">
        <f>IF(Distances[[#This Row],[Colonne8]]=$G66,Z66,Distances[[#This Row],[Colonne8]]+1)</f>
        <v>5</v>
      </c>
      <c r="AB66" s="17">
        <f>IF(Distances[[#This Row],[Colonne9]]=$G66,AA66,Distances[[#This Row],[Colonne9]]+1)</f>
        <v>6</v>
      </c>
      <c r="AC66" s="17">
        <f>IF(Distances[[#This Row],[Colonne10]]=$G66,AB66,Distances[[#This Row],[Colonne10]]+1)</f>
        <v>7</v>
      </c>
      <c r="AD66" s="17">
        <f>IF(Distances[[#This Row],[Colonne11]]=$G66,AC66,Distances[[#This Row],[Colonne11]]+1)</f>
        <v>8</v>
      </c>
      <c r="AE66" s="17">
        <f>IF(Distances[[#This Row],[Colonne12]]=$G66,AD66,Distances[[#This Row],[Colonne12]]+1)</f>
        <v>9</v>
      </c>
      <c r="AF66" s="17">
        <f>IF(Distances[[#This Row],[Colonne13]]=$G66,AE66,Distances[[#This Row],[Colonne13]]+1)</f>
        <v>10</v>
      </c>
      <c r="AG66" s="17">
        <f>IF(Distances[[#This Row],[Colonne14]]=$G66,AF66,Distances[[#This Row],[Colonne14]]+1)</f>
        <v>11</v>
      </c>
      <c r="AH66" s="17">
        <f>IF(Distances[[#This Row],[Colonne15]]=$G66,AG66,Distances[[#This Row],[Colonne15]]+1)</f>
        <v>12</v>
      </c>
      <c r="AI66" s="17">
        <f>IF(Distances[[#This Row],[Colonne16]]=$G66,AH66,Distances[[#This Row],[Colonne16]]+1)</f>
        <v>13</v>
      </c>
      <c r="AJ66" s="17">
        <f>IF(Distances[[#This Row],[Colonne17]]=$G66,AI66,Distances[[#This Row],[Colonne17]]+1)</f>
        <v>14</v>
      </c>
      <c r="AK66" s="17">
        <f>IF(Distances[[#This Row],[Colonne18]]=$G66,AJ66,Distances[[#This Row],[Colonne18]]+1)</f>
        <v>15</v>
      </c>
      <c r="AL66" s="17">
        <f>IF(Distances[[#This Row],[Colonne19]]=$G66,AK66,Distances[[#This Row],[Colonne19]]+1)</f>
        <v>16</v>
      </c>
      <c r="AM66" s="17">
        <f>IF(Distances[[#This Row],[Colonne20]]=$G66,AL66,Distances[[#This Row],[Colonne20]]+1)</f>
        <v>17</v>
      </c>
      <c r="AN66" s="17">
        <f>IF(Distances[[#This Row],[Colonne21]]=$G66,AM66,Distances[[#This Row],[Colonne21]]+1)</f>
        <v>18</v>
      </c>
      <c r="AO66" s="17">
        <f>IF(Distances[[#This Row],[Colonne22]]=$G66,AN66,Distances[[#This Row],[Colonne22]]+1)</f>
        <v>19</v>
      </c>
      <c r="AP66" s="17">
        <f>IF(Distances[[#This Row],[Colonne23]]=$G66,AO66,Distances[[#This Row],[Colonne23]]+1)</f>
        <v>20</v>
      </c>
      <c r="AQ66" s="17">
        <f>IF(Distances[[#This Row],[Colonne24]]=$G66,AP66,Distances[[#This Row],[Colonne24]]+1)</f>
        <v>20</v>
      </c>
      <c r="AR66" s="17">
        <f>IF(Distances[[#This Row],[Colonne25]]=$G66,AQ66,Distances[[#This Row],[Colonne25]]+1)</f>
        <v>20</v>
      </c>
      <c r="AS66" s="17">
        <f>IF(Distances[[#This Row],[Colonne26]]=$G66,AR66,Distances[[#This Row],[Colonne26]]+1)</f>
        <v>20</v>
      </c>
      <c r="AT66" s="17">
        <f>IF(Distances[[#This Row],[Colonne27]]=$G66,AS66,Distances[[#This Row],[Colonne27]]+1)</f>
        <v>20</v>
      </c>
      <c r="AU66" s="17">
        <f>IF(Distances[[#This Row],[Colonne28]]=$G66,AT66,Distances[[#This Row],[Colonne28]]+1)</f>
        <v>20</v>
      </c>
      <c r="AV66" s="17">
        <f>IF(Distances[[#This Row],[Colonne29]]=$G66,AU66,Distances[[#This Row],[Colonne29]]+1)</f>
        <v>20</v>
      </c>
      <c r="AW66" s="17">
        <f>IF(Distances[[#This Row],[Colonne30]]=$G66,AV66,Distances[[#This Row],[Colonne30]]+1)</f>
        <v>20</v>
      </c>
      <c r="AX66" s="17">
        <f>IF(Distances[[#This Row],[Colonne31]]=$G66,AW66,Distances[[#This Row],[Colonne31]]+1)</f>
        <v>20</v>
      </c>
      <c r="AY66" s="17">
        <f>IF(Distances[[#This Row],[Colonne32]]=$G66,AX66,Distances[[#This Row],[Colonne32]]+1)</f>
        <v>20</v>
      </c>
      <c r="AZ66" s="17">
        <f>IF(Distances[[#This Row],[Colonne33]]=$G66,AY66,Distances[[#This Row],[Colonne33]]+1)</f>
        <v>20</v>
      </c>
      <c r="BA66" s="17">
        <f>IF(Distances[[#This Row],[Colonne34]]=$G66,AZ66,Distances[[#This Row],[Colonne34]]+1)</f>
        <v>20</v>
      </c>
      <c r="BB66" s="17">
        <f>IF(Distances[[#This Row],[Colonne35]]=$G66,BA66,Distances[[#This Row],[Colonne35]]+1)</f>
        <v>20</v>
      </c>
      <c r="BC66" s="17">
        <f>IF(Distances[[#This Row],[Colonne36]]=$G66,BB66,Distances[[#This Row],[Colonne36]]+1)</f>
        <v>20</v>
      </c>
      <c r="BD66" s="17">
        <f>IF(Distances[[#This Row],[Colonne37]]=$G66,BC66,Distances[[#This Row],[Colonne37]]+1)</f>
        <v>20</v>
      </c>
      <c r="BE66" s="17">
        <f>IF(Distances[[#This Row],[Colonne38]]=$G66,BD66,Distances[[#This Row],[Colonne38]]+1)</f>
        <v>20</v>
      </c>
      <c r="BF66" s="17">
        <f>IF(Distances[[#This Row],[Colonne39]]=$G66,BE66,Distances[[#This Row],[Colonne39]]+1)</f>
        <v>20</v>
      </c>
      <c r="BG66" s="17">
        <f>IF(Distances[[#This Row],[Colonne40]]=$G66,BF66,Distances[[#This Row],[Colonne40]]+1)</f>
        <v>20</v>
      </c>
      <c r="BH66" s="17">
        <f>IF(Distances[[#This Row],[Colonne41]]=$G66,BG66,Distances[[#This Row],[Colonne41]]+1)</f>
        <v>20</v>
      </c>
      <c r="BI66" s="17">
        <f>IF(Distances[[#This Row],[Colonne42]]=$G66,BH66,Distances[[#This Row],[Colonne42]]+1)</f>
        <v>20</v>
      </c>
      <c r="BJ66" s="17">
        <f>IF(Distances[[#This Row],[Colonne43]]=$G66,BI66,Distances[[#This Row],[Colonne43]]+1)</f>
        <v>20</v>
      </c>
      <c r="BK66" s="17">
        <f>IF(Distances[[#This Row],[Colonne44]]=$G66,BJ66,Distances[[#This Row],[Colonne44]]+1)</f>
        <v>20</v>
      </c>
      <c r="BL66" s="17">
        <f>IF(Distances[[#This Row],[Colonne45]]=$G66,BK66,Distances[[#This Row],[Colonne45]]+1)</f>
        <v>20</v>
      </c>
      <c r="BM66" s="17">
        <f>IF(Distances[[#This Row],[Colonne46]]=$G66,BL66,Distances[[#This Row],[Colonne46]]+1)</f>
        <v>20</v>
      </c>
      <c r="BN66" s="17">
        <f>IF(Distances[[#This Row],[Colonne47]]=$G66,BM66,Distances[[#This Row],[Colonne47]]+1)</f>
        <v>20</v>
      </c>
      <c r="BO66" s="17">
        <f>IF(Distances[[#This Row],[Colonne48]]=$G66,BN66,Distances[[#This Row],[Colonne48]]+1)</f>
        <v>20</v>
      </c>
      <c r="BP66" s="17">
        <f>IF(Distances[[#This Row],[Colonne49]]=$G66,BO66,Distances[[#This Row],[Colonne49]]+1)</f>
        <v>20</v>
      </c>
      <c r="BQ66" s="17">
        <f>IF(Distances[[#This Row],[Colonne50]]=$G66,BP66,Distances[[#This Row],[Colonne50]]+1)</f>
        <v>20</v>
      </c>
      <c r="BR66" s="17">
        <f>IF(Distances[[#This Row],[Colonne51]]=$G66,BQ66,Distances[[#This Row],[Colonne51]]+1)</f>
        <v>20</v>
      </c>
      <c r="BS66" s="17">
        <f>IF(Distances[[#This Row],[Colonne52]]=$G66,BR66,Distances[[#This Row],[Colonne52]]+1)</f>
        <v>20</v>
      </c>
      <c r="BT66" s="17">
        <f>IF(Distances[[#This Row],[Colonne53]]=$G66,BS66,Distances[[#This Row],[Colonne53]]+1)</f>
        <v>20</v>
      </c>
      <c r="BU66" s="17">
        <f>IF(Distances[[#This Row],[Colonne54]]=$G66,BT66,Distances[[#This Row],[Colonne54]]+1)</f>
        <v>20</v>
      </c>
      <c r="BV66" s="17">
        <f>IF(Distances[[#This Row],[Colonne55]]=$G66,BU66,Distances[[#This Row],[Colonne55]]+1)</f>
        <v>20</v>
      </c>
      <c r="BW66" s="17">
        <f>IF(Distances[[#This Row],[Colonne56]]=$G66,BV66,Distances[[#This Row],[Colonne56]]+1)</f>
        <v>20</v>
      </c>
      <c r="BX66" s="17">
        <f>IF(Distances[[#This Row],[Colonne57]]=$G66,BW66,Distances[[#This Row],[Colonne57]]+1)</f>
        <v>20</v>
      </c>
      <c r="BY66" s="17">
        <f>IF(Distances[[#This Row],[Colonne58]]=$G66,BX66,Distances[[#This Row],[Colonne58]]+1)</f>
        <v>20</v>
      </c>
      <c r="BZ66" s="17">
        <f>IF(Distances[[#This Row],[Colonne59]]=$G66,BY66,Distances[[#This Row],[Colonne59]]+1)</f>
        <v>20</v>
      </c>
      <c r="CA66" s="17">
        <f>IF(Distances[[#This Row],[Colonne60]]=$G66,BZ66,Distances[[#This Row],[Colonne60]]+1)</f>
        <v>20</v>
      </c>
      <c r="CB66" s="17">
        <f>IF(Distances[[#This Row],[Colonne61]]=$G66,CA66,Distances[[#This Row],[Colonne61]]+1)</f>
        <v>20</v>
      </c>
      <c r="CC66" s="17">
        <f>IF(Distances[[#This Row],[Colonne62]]=$G66,CB66,Distances[[#This Row],[Colonne62]]+1)</f>
        <v>20</v>
      </c>
      <c r="CD66" s="17">
        <f>IF(Distances[[#This Row],[Colonne63]]=$G66,CC66,Distances[[#This Row],[Colonne63]]+1)</f>
        <v>20</v>
      </c>
      <c r="CE66" s="17">
        <f>IF(Distances[[#This Row],[Colonne64]]=$G66,CD66,Distances[[#This Row],[Colonne64]]+1)</f>
        <v>20</v>
      </c>
      <c r="CF66" s="17">
        <f>IF(Distances[[#This Row],[Colonne65]]=$G66,CE66,Distances[[#This Row],[Colonne65]]+1)</f>
        <v>20</v>
      </c>
      <c r="CG66" s="17">
        <f>IF(Distances[[#This Row],[Colonne66]]=$G66,CF66,Distances[[#This Row],[Colonne66]]+1)</f>
        <v>20</v>
      </c>
      <c r="CH66" s="17">
        <f>IF(Distances[[#This Row],[Colonne67]]=$G66,CG66,Distances[[#This Row],[Colonne67]]+1)</f>
        <v>20</v>
      </c>
      <c r="CI66" s="17">
        <f>IF(Distances[[#This Row],[Colonne68]]=$G66,CH66,Distances[[#This Row],[Colonne68]]+1)</f>
        <v>20</v>
      </c>
      <c r="CJ66" s="17">
        <f>IF(Distances[[#This Row],[Colonne69]]=$G66,CI66,Distances[[#This Row],[Colonne69]]+1)</f>
        <v>20</v>
      </c>
      <c r="CK66" s="17">
        <f>IF(Distances[[#This Row],[Colonne70]]=$G66,CJ66,Distances[[#This Row],[Colonne70]]+1)</f>
        <v>20</v>
      </c>
      <c r="CL66" s="17">
        <f>IF(Distances[[#This Row],[Colonne71]]=$G66,CK66,Distances[[#This Row],[Colonne71]]+1)</f>
        <v>20</v>
      </c>
      <c r="CM66" s="17">
        <f>IF(Distances[[#This Row],[Colonne72]]=$G66,CL66,Distances[[#This Row],[Colonne72]]+1)</f>
        <v>20</v>
      </c>
      <c r="CN66" s="17">
        <f>IF(Distances[[#This Row],[Colonne73]]=$G66,CM66,Distances[[#This Row],[Colonne73]]+1)</f>
        <v>20</v>
      </c>
      <c r="CO66" s="17">
        <f>IF(Distances[[#This Row],[Colonne74]]=$G66,CN66,Distances[[#This Row],[Colonne74]]+1)</f>
        <v>20</v>
      </c>
      <c r="CP66" s="17">
        <f>IF(Distances[[#This Row],[Colonne75]]=$G66,CO66,Distances[[#This Row],[Colonne75]]+1)</f>
        <v>20</v>
      </c>
      <c r="CQ66" s="17">
        <f>IF(Distances[[#This Row],[Colonne76]]=$G66,CP66,Distances[[#This Row],[Colonne76]]+1)</f>
        <v>20</v>
      </c>
      <c r="CR66" s="17">
        <f>IF(Distances[[#This Row],[Colonne77]]=$G66,CQ66,Distances[[#This Row],[Colonne77]]+1)</f>
        <v>20</v>
      </c>
      <c r="CS66" s="17">
        <f>IF(Distances[[#This Row],[Colonne78]]=$G66,CR66,Distances[[#This Row],[Colonne78]]+1)</f>
        <v>20</v>
      </c>
      <c r="CT66" s="17">
        <f>IF(Distances[[#This Row],[Colonne79]]=$G66,CS66,Distances[[#This Row],[Colonne79]]+1)</f>
        <v>20</v>
      </c>
      <c r="CU66" s="17">
        <f>IF(Distances[[#This Row],[Colonne80]]=$G66,CT66,Distances[[#This Row],[Colonne80]]+1)</f>
        <v>20</v>
      </c>
      <c r="CV66" s="17">
        <f>IF(Distances[[#This Row],[Colonne81]]=$G66,CU66,Distances[[#This Row],[Colonne81]]+1)</f>
        <v>20</v>
      </c>
      <c r="CW66" s="17">
        <f>IF(Distances[[#This Row],[Colonne82]]=$G66,CV66,Distances[[#This Row],[Colonne82]]+1)</f>
        <v>20</v>
      </c>
      <c r="CX66" s="17">
        <f>IF(Distances[[#This Row],[Colonne83]]=$G66,CW66,Distances[[#This Row],[Colonne83]]+1)</f>
        <v>20</v>
      </c>
      <c r="CY66" s="17">
        <f>IF(Distances[[#This Row],[Colonne84]]=$G66,CX66,Distances[[#This Row],[Colonne84]]+1)</f>
        <v>20</v>
      </c>
      <c r="CZ66" s="17">
        <f>IF(Distances[[#This Row],[Colonne85]]=$G66,CY66,Distances[[#This Row],[Colonne85]]+1)</f>
        <v>20</v>
      </c>
      <c r="DA66" s="17">
        <f>IF(Distances[[#This Row],[Colonne86]]=$G66,CZ66,Distances[[#This Row],[Colonne86]]+1)</f>
        <v>20</v>
      </c>
      <c r="DB66" s="17">
        <f>IF(Distances[[#This Row],[Colonne87]]=$G66,DA66,Distances[[#This Row],[Colonne87]]+1)</f>
        <v>20</v>
      </c>
      <c r="DC66" s="17">
        <f>IF(Distances[[#This Row],[Colonne88]]=$G66,DB66,Distances[[#This Row],[Colonne88]]+1)</f>
        <v>20</v>
      </c>
      <c r="DD66" s="17">
        <f>IF(Distances[[#This Row],[Colonne89]]=$G66,DC66,Distances[[#This Row],[Colonne89]]+1)</f>
        <v>20</v>
      </c>
      <c r="DE66" s="17">
        <f>IF(Distances[[#This Row],[Colonne90]]=$G66,DD66,Distances[[#This Row],[Colonne90]]+1)</f>
        <v>20</v>
      </c>
      <c r="DF66" s="17">
        <f>IF(Distances[[#This Row],[Colonne91]]=$G66,DE66,Distances[[#This Row],[Colonne91]]+1)</f>
        <v>20</v>
      </c>
      <c r="DG66" s="17">
        <f>IF(Distances[[#This Row],[Colonne92]]=$G66,DF66,Distances[[#This Row],[Colonne92]]+1)</f>
        <v>20</v>
      </c>
      <c r="DH66" s="17">
        <f>IF(Distances[[#This Row],[Colonne93]]=$G66,DG66,Distances[[#This Row],[Colonne93]]+1)</f>
        <v>20</v>
      </c>
      <c r="DI66" s="17">
        <f>IF(Distances[[#This Row],[Colonne94]]=$G66,DH66,Distances[[#This Row],[Colonne94]]+1)</f>
        <v>20</v>
      </c>
      <c r="DJ66" s="17">
        <f>IF(Distances[[#This Row],[Colonne95]]=$G66,DI66,Distances[[#This Row],[Colonne95]]+1)</f>
        <v>20</v>
      </c>
      <c r="DK66" s="17">
        <f>IF(Distances[[#This Row],[Colonne96]]=$G66,DJ66,Distances[[#This Row],[Colonne96]]+1)</f>
        <v>20</v>
      </c>
      <c r="DL66" s="17">
        <f>IF(Distances[[#This Row],[Colonne97]]=$G66,DK66,Distances[[#This Row],[Colonne97]]+1)</f>
        <v>20</v>
      </c>
      <c r="DM66" s="17">
        <f>IF(Distances[[#This Row],[Colonne98]]=$G66,DL66,Distances[[#This Row],[Colonne98]]+1)</f>
        <v>20</v>
      </c>
      <c r="DN66" s="17">
        <f>IF(Distances[[#This Row],[Colonne99]]=$G66,DM66,Distances[[#This Row],[Colonne99]]+1)</f>
        <v>20</v>
      </c>
      <c r="DO66" s="17">
        <f>IF(Distances[[#This Row],[Colonne100]]=$G66,DN66,Distances[[#This Row],[Colonne100]]+1)</f>
        <v>20</v>
      </c>
      <c r="DP66" s="17">
        <f>IF(Distances[[#This Row],[Colonne101]]=$G66,DO66,Distances[[#This Row],[Colonne101]]+1)</f>
        <v>20</v>
      </c>
      <c r="DQ66" s="17">
        <f>IF(Distances[[#This Row],[Colonne102]]=$G66,DP66,Distances[[#This Row],[Colonne102]]+1)</f>
        <v>20</v>
      </c>
      <c r="DR66" s="17">
        <f>IF(Distances[[#This Row],[Colonne103]]=$G66,DQ66,Distances[[#This Row],[Colonne103]]+1)</f>
        <v>20</v>
      </c>
      <c r="DS66" s="17">
        <f>IF(Distances[[#This Row],[Colonne104]]=$G66,DR66,Distances[[#This Row],[Colonne104]]+1)</f>
        <v>20</v>
      </c>
      <c r="DT66" s="17">
        <f>IF(Distances[[#This Row],[Colonne105]]=$G66,DS66,Distances[[#This Row],[Colonne105]]+1)</f>
        <v>20</v>
      </c>
      <c r="DU66" s="17">
        <f>IF(Distances[[#This Row],[Colonne106]]=$G66,DT66,Distances[[#This Row],[Colonne106]]+1)</f>
        <v>20</v>
      </c>
      <c r="DV66" s="17">
        <f>IF(Distances[[#This Row],[Colonne107]]=$G66,DU66,Distances[[#This Row],[Colonne107]]+1)</f>
        <v>20</v>
      </c>
      <c r="DW66" s="17">
        <f>IF(Distances[[#This Row],[Colonne108]]=$G66,DV66,Distances[[#This Row],[Colonne108]]+1)</f>
        <v>20</v>
      </c>
      <c r="DX66" s="17">
        <f>IF(Distances[[#This Row],[Colonne109]]=$G66,DW66,Distances[[#This Row],[Colonne109]]+1)</f>
        <v>20</v>
      </c>
      <c r="DY66" s="17">
        <f>IF(Distances[[#This Row],[Colonne110]]=$G66,DX66,Distances[[#This Row],[Colonne110]]+1)</f>
        <v>20</v>
      </c>
      <c r="DZ66" s="17">
        <f>IF(Distances[[#This Row],[Colonne111]]=$G66,DY66,Distances[[#This Row],[Colonne111]]+1)</f>
        <v>20</v>
      </c>
      <c r="EA66" s="17">
        <f>IF(Distances[[#This Row],[Colonne112]]=$G66,DZ66,Distances[[#This Row],[Colonne112]]+1)</f>
        <v>20</v>
      </c>
      <c r="EB66" s="17">
        <f>IF(Distances[[#This Row],[Colonne113]]=$G66,EA66,Distances[[#This Row],[Colonne113]]+1)</f>
        <v>20</v>
      </c>
      <c r="EC66" s="17">
        <f>IF(Distances[[#This Row],[Colonne114]]=$G66,EB66,Distances[[#This Row],[Colonne114]]+1)</f>
        <v>20</v>
      </c>
      <c r="ED66" s="17">
        <f>IF(Distances[[#This Row],[Colonne115]]=$G66,EC66,Distances[[#This Row],[Colonne115]]+1)</f>
        <v>20</v>
      </c>
      <c r="EE66" s="17">
        <f>IF(Distances[[#This Row],[Colonne116]]=$G66,ED66,Distances[[#This Row],[Colonne116]]+1)</f>
        <v>20</v>
      </c>
      <c r="EF66" s="17">
        <f>IF(Distances[[#This Row],[Colonne117]]=$G66,EE66,Distances[[#This Row],[Colonne117]]+1)</f>
        <v>20</v>
      </c>
      <c r="EG66" s="17">
        <f>IF(Distances[[#This Row],[Colonne118]]=$G66,EF66,Distances[[#This Row],[Colonne118]]+1)</f>
        <v>20</v>
      </c>
      <c r="EH66" s="17">
        <f>IF(Distances[[#This Row],[Colonne119]]=$G66,EG66,Distances[[#This Row],[Colonne119]]+1)</f>
        <v>20</v>
      </c>
      <c r="EI66" s="17">
        <f>IF(Distances[[#This Row],[Colonne120]]=$G66,EH66,Distances[[#This Row],[Colonne120]]+1)</f>
        <v>20</v>
      </c>
      <c r="EJ66" s="17">
        <f>IF(Distances[[#This Row],[Colonne121]]=$G66,EI66,Distances[[#This Row],[Colonne121]]+1)</f>
        <v>20</v>
      </c>
      <c r="EK66" s="17">
        <f>IF(Distances[[#This Row],[Colonne122]]=$G66,EJ66,Distances[[#This Row],[Colonne122]]+1)</f>
        <v>20</v>
      </c>
      <c r="EL66" s="17">
        <f>IF(Distances[[#This Row],[Colonne123]]=$G66,EK66,Distances[[#This Row],[Colonne123]]+1)</f>
        <v>20</v>
      </c>
      <c r="EM66" s="17">
        <f>IF(Distances[[#This Row],[Colonne124]]=$G66,EL66,Distances[[#This Row],[Colonne124]]+1)</f>
        <v>20</v>
      </c>
      <c r="EN66" s="17">
        <f>IF(Distances[[#This Row],[Colonne125]]=$G66,EM66,Distances[[#This Row],[Colonne125]]+1)</f>
        <v>20</v>
      </c>
      <c r="EO66" s="17">
        <f>IF(Distances[[#This Row],[Colonne126]]=$G66,EN66,Distances[[#This Row],[Colonne126]]+1)</f>
        <v>20</v>
      </c>
      <c r="EP66" s="17">
        <f>IF(Distances[[#This Row],[Colonne127]]=$G66,EO66,Distances[[#This Row],[Colonne127]]+1)</f>
        <v>20</v>
      </c>
      <c r="EQ66" s="17">
        <f>IF(Distances[[#This Row],[Colonne128]]=$G66,EP66,Distances[[#This Row],[Colonne128]]+1)</f>
        <v>20</v>
      </c>
      <c r="ER66" s="17">
        <f>IF(Distances[[#This Row],[Colonne129]]=$G66,EQ66,Distances[[#This Row],[Colonne129]]+1)</f>
        <v>20</v>
      </c>
      <c r="ES66" s="17">
        <f>IF(Distances[[#This Row],[Colonne130]]=$G66,ER66,Distances[[#This Row],[Colonne130]]+1)</f>
        <v>20</v>
      </c>
      <c r="ET66" s="17">
        <f>IF(Distances[[#This Row],[Colonne131]]=$G66,ES66,Distances[[#This Row],[Colonne131]]+1)</f>
        <v>20</v>
      </c>
      <c r="EU66" s="17">
        <f>IF(Distances[[#This Row],[Colonne132]]=$G66,ET66,Distances[[#This Row],[Colonne132]]+1)</f>
        <v>20</v>
      </c>
      <c r="EV66" s="17">
        <f>IF(Distances[[#This Row],[Colonne133]]=$G66,EU66,Distances[[#This Row],[Colonne133]]+1)</f>
        <v>20</v>
      </c>
      <c r="EW66" s="17">
        <f>IF(Distances[[#This Row],[Colonne134]]=$G66,EV66,Distances[[#This Row],[Colonne134]]+1)</f>
        <v>20</v>
      </c>
      <c r="EX66" s="17">
        <f>IF(Distances[[#This Row],[Colonne135]]=$G66,EW66,Distances[[#This Row],[Colonne135]]+1)</f>
        <v>20</v>
      </c>
      <c r="EY66" s="17">
        <f>IF(Distances[[#This Row],[Colonne136]]=$G66,EX66,Distances[[#This Row],[Colonne136]]+1)</f>
        <v>20</v>
      </c>
      <c r="EZ66" s="17">
        <f>IF(Distances[[#This Row],[Colonne137]]=$G66,EY66,Distances[[#This Row],[Colonne137]]+1)</f>
        <v>20</v>
      </c>
      <c r="FA66" s="17">
        <f>IF(Distances[[#This Row],[Colonne138]]=$G66,EZ66,Distances[[#This Row],[Colonne138]]+1)</f>
        <v>20</v>
      </c>
      <c r="FB66" s="17">
        <f>IF(Distances[[#This Row],[Colonne139]]=$G66,FA66,Distances[[#This Row],[Colonne139]]+1)</f>
        <v>20</v>
      </c>
      <c r="FC66" s="17">
        <f>IF(Distances[[#This Row],[Colonne140]]=$G66,FB66,Distances[[#This Row],[Colonne140]]+1)</f>
        <v>20</v>
      </c>
      <c r="FD66" s="17">
        <f>IF(Distances[[#This Row],[Colonne141]]=$G66,FC66,Distances[[#This Row],[Colonne141]]+1)</f>
        <v>20</v>
      </c>
      <c r="FE66" s="17">
        <f>IF(Distances[[#This Row],[Colonne142]]=$G66,FD66,Distances[[#This Row],[Colonne142]]+1)</f>
        <v>20</v>
      </c>
      <c r="FF66" s="17">
        <f>IF(Distances[[#This Row],[Colonne143]]=$G66,FE66,Distances[[#This Row],[Colonne143]]+1)</f>
        <v>20</v>
      </c>
      <c r="FG66" s="17">
        <f>IF(Distances[[#This Row],[Colonne144]]=$G66,FF66,Distances[[#This Row],[Colonne144]]+1)</f>
        <v>20</v>
      </c>
      <c r="FH66" s="17">
        <f>IF(Distances[[#This Row],[Colonne145]]=$G66,FG66,Distances[[#This Row],[Colonne145]]+1)</f>
        <v>20</v>
      </c>
      <c r="FI66" s="17">
        <f>IF(Distances[[#This Row],[Colonne146]]=$G66,FH66,Distances[[#This Row],[Colonne146]]+1)</f>
        <v>20</v>
      </c>
      <c r="FJ66" s="17">
        <f>IF(Distances[[#This Row],[Colonne147]]=$G66,FI66,Distances[[#This Row],[Colonne147]]+1)</f>
        <v>20</v>
      </c>
      <c r="FK66" s="17">
        <f>IF(Distances[[#This Row],[Colonne148]]=$G66,FJ66,Distances[[#This Row],[Colonne148]]+1)</f>
        <v>20</v>
      </c>
      <c r="FL66" s="17">
        <f>IF(Distances[[#This Row],[Colonne149]]=$G66,FK66,Distances[[#This Row],[Colonne149]]+1)</f>
        <v>20</v>
      </c>
      <c r="FM66" s="17">
        <f>IF(Distances[[#This Row],[Colonne150]]=$G66,FL66,Distances[[#This Row],[Colonne150]]+1)</f>
        <v>20</v>
      </c>
      <c r="FN66" s="17">
        <f>IF(Distances[[#This Row],[Colonne151]]=$G66,FM66,Distances[[#This Row],[Colonne151]]+1)</f>
        <v>20</v>
      </c>
      <c r="FO66" s="17">
        <f>IF(Distances[[#This Row],[Colonne152]]=$G66,FN66,Distances[[#This Row],[Colonne152]]+1)</f>
        <v>20</v>
      </c>
      <c r="FP66" s="17">
        <f>IF(Distances[[#This Row],[Colonne153]]=$G66,FO66,Distances[[#This Row],[Colonne153]]+1)</f>
        <v>20</v>
      </c>
      <c r="FQ66" s="17">
        <f>IF(Distances[[#This Row],[Colonne154]]=$G66,FP66,Distances[[#This Row],[Colonne154]]+1)</f>
        <v>20</v>
      </c>
      <c r="FR66" s="17">
        <f>IF(Distances[[#This Row],[Colonne155]]=$G66,FQ66,Distances[[#This Row],[Colonne155]]+1)</f>
        <v>20</v>
      </c>
      <c r="FS66" s="17">
        <f>IF(Distances[[#This Row],[Colonne156]]=$G66,FR66,Distances[[#This Row],[Colonne156]]+1)</f>
        <v>20</v>
      </c>
      <c r="FT66" s="17">
        <f>IF(Distances[[#This Row],[Colonne157]]=$G66,FS66,Distances[[#This Row],[Colonne157]]+1)</f>
        <v>20</v>
      </c>
      <c r="FU66" s="17">
        <f>IF(Distances[[#This Row],[Colonne158]]=$G66,FT66,Distances[[#This Row],[Colonne158]]+1)</f>
        <v>20</v>
      </c>
      <c r="FV66" s="17">
        <f>IF(Distances[[#This Row],[Colonne159]]=$G66,FU66,Distances[[#This Row],[Colonne159]]+1)</f>
        <v>20</v>
      </c>
      <c r="FW66" s="17">
        <f>IF(Distances[[#This Row],[Colonne160]]=$G66,FV66,Distances[[#This Row],[Colonne160]]+1)</f>
        <v>20</v>
      </c>
      <c r="FX66" s="17">
        <f>IF(Distances[[#This Row],[Colonne161]]=$G66,FW66,Distances[[#This Row],[Colonne161]]+1)</f>
        <v>20</v>
      </c>
      <c r="FY66" s="17">
        <f>IF(Distances[[#This Row],[Colonne162]]=$G66,FX66,Distances[[#This Row],[Colonne162]]+1)</f>
        <v>20</v>
      </c>
      <c r="FZ66" s="17">
        <f>IF(Distances[[#This Row],[Colonne163]]=$G66,FY66,Distances[[#This Row],[Colonne163]]+1)</f>
        <v>20</v>
      </c>
      <c r="GA66" s="17">
        <f>IF(Distances[[#This Row],[Colonne164]]=$G66,FZ66,Distances[[#This Row],[Colonne164]]+1)</f>
        <v>20</v>
      </c>
      <c r="GB66" s="17">
        <f>IF(Distances[[#This Row],[Colonne165]]=$G66,GA66,Distances[[#This Row],[Colonne165]]+1)</f>
        <v>20</v>
      </c>
      <c r="GC66" s="17">
        <f>IF(Distances[[#This Row],[Colonne166]]=$G66,GB66,Distances[[#This Row],[Colonne166]]+1)</f>
        <v>20</v>
      </c>
      <c r="GD66" s="17">
        <f>IF(Distances[[#This Row],[Colonne167]]=$G66,GC66,Distances[[#This Row],[Colonne167]]+1)</f>
        <v>20</v>
      </c>
      <c r="GE66" s="17">
        <f>IF(Distances[[#This Row],[Colonne168]]=$G66,GD66,Distances[[#This Row],[Colonne168]]+1)</f>
        <v>20</v>
      </c>
      <c r="GF66" s="17">
        <f>IF(Distances[[#This Row],[Colonne169]]=$G66,GE66,Distances[[#This Row],[Colonne169]]+1)</f>
        <v>20</v>
      </c>
      <c r="GG66" s="17">
        <f>IF(Distances[[#This Row],[Colonne170]]=$G66,GF66,Distances[[#This Row],[Colonne170]]+1)</f>
        <v>20</v>
      </c>
      <c r="GH66" s="17">
        <f>IF(Distances[[#This Row],[Colonne171]]=$G66,GG66,Distances[[#This Row],[Colonne171]]+1)</f>
        <v>20</v>
      </c>
      <c r="GI66" s="17">
        <f>IF(Distances[[#This Row],[Colonne172]]=$G66,GH66,Distances[[#This Row],[Colonne172]]+1)</f>
        <v>20</v>
      </c>
      <c r="GJ66" s="17">
        <f>IF(Distances[[#This Row],[Colonne173]]=$G66,GI66,Distances[[#This Row],[Colonne173]]+1)</f>
        <v>20</v>
      </c>
      <c r="GK66" s="17">
        <f>IF(Distances[[#This Row],[Colonne174]]=$G66,GJ66,Distances[[#This Row],[Colonne174]]+1)</f>
        <v>20</v>
      </c>
      <c r="GL66" s="17">
        <f>IF(Distances[[#This Row],[Colonne175]]=$G66,GK66,Distances[[#This Row],[Colonne175]]+1)</f>
        <v>20</v>
      </c>
      <c r="GM66" s="17">
        <f>IF(Distances[[#This Row],[Colonne176]]=$G66,GL66,Distances[[#This Row],[Colonne176]]+1)</f>
        <v>20</v>
      </c>
      <c r="GN66" s="17">
        <f>IF(Distances[[#This Row],[Colonne177]]=$G66,GM66,Distances[[#This Row],[Colonne177]]+1)</f>
        <v>20</v>
      </c>
      <c r="GO66" s="17">
        <f>IF(Distances[[#This Row],[Colonne178]]=$G66,GN66,Distances[[#This Row],[Colonne178]]+1)</f>
        <v>20</v>
      </c>
      <c r="GP66" s="17">
        <f>IF(Distances[[#This Row],[Colonne179]]=$G66,GO66,Distances[[#This Row],[Colonne179]]+1)</f>
        <v>20</v>
      </c>
      <c r="GQ66" s="17">
        <f>IF(Distances[[#This Row],[Colonne180]]=$G66,GP66,Distances[[#This Row],[Colonne180]]+1)</f>
        <v>20</v>
      </c>
      <c r="GR66" s="17">
        <f>IF(Distances[[#This Row],[Colonne181]]=$G66,GQ66,Distances[[#This Row],[Colonne181]]+1)</f>
        <v>20</v>
      </c>
      <c r="GS66" s="17">
        <f>IF(Distances[[#This Row],[Colonne182]]=$G66,GR66,Distances[[#This Row],[Colonne182]]+1)</f>
        <v>20</v>
      </c>
      <c r="GT66" s="17">
        <f>IF(Distances[[#This Row],[Colonne183]]=$G66,GS66,Distances[[#This Row],[Colonne183]]+1)</f>
        <v>20</v>
      </c>
      <c r="GU66" s="17">
        <f>IF(Distances[[#This Row],[Colonne184]]=$G66,GT66,Distances[[#This Row],[Colonne184]]+1)</f>
        <v>20</v>
      </c>
      <c r="GV66" s="17">
        <f>IF(Distances[[#This Row],[Colonne185]]=$G66,GU66,Distances[[#This Row],[Colonne185]]+1)</f>
        <v>20</v>
      </c>
      <c r="GW66" s="17">
        <f>IF(Distances[[#This Row],[Colonne186]]=$G66,GV66,Distances[[#This Row],[Colonne186]]+1)</f>
        <v>20</v>
      </c>
      <c r="GX66" s="17">
        <f>IF(Distances[[#This Row],[Colonne187]]=$G66,GW66,Distances[[#This Row],[Colonne187]]+1)</f>
        <v>20</v>
      </c>
      <c r="GY66" s="17">
        <f>IF(Distances[[#This Row],[Colonne188]]=$G66,GX66,Distances[[#This Row],[Colonne188]]+1)</f>
        <v>20</v>
      </c>
      <c r="GZ66" s="17">
        <f>IF(Distances[[#This Row],[Colonne189]]=$G66,GY66,Distances[[#This Row],[Colonne189]]+1)</f>
        <v>20</v>
      </c>
      <c r="HA66" s="17">
        <f>IF(Distances[[#This Row],[Colonne190]]=$G66,GZ66,Distances[[#This Row],[Colonne190]]+1)</f>
        <v>20</v>
      </c>
      <c r="HB66" s="17">
        <f>IF(Distances[[#This Row],[Colonne191]]=$G66,HA66,Distances[[#This Row],[Colonne191]]+1)</f>
        <v>20</v>
      </c>
      <c r="HC66" s="17">
        <f>IF(Distances[[#This Row],[Colonne192]]=$G66,HB66,Distances[[#This Row],[Colonne192]]+1)</f>
        <v>20</v>
      </c>
      <c r="HD66" s="17">
        <f>IF(Distances[[#This Row],[Colonne193]]=$G66,HC66,Distances[[#This Row],[Colonne193]]+1)</f>
        <v>20</v>
      </c>
      <c r="HE66" s="17">
        <f>IF(Distances[[#This Row],[Colonne194]]=$G66,HD66,Distances[[#This Row],[Colonne194]]+1)</f>
        <v>20</v>
      </c>
      <c r="HF66" s="17">
        <f>IF(Distances[[#This Row],[Colonne195]]=$G66,HE66,Distances[[#This Row],[Colonne195]]+1)</f>
        <v>20</v>
      </c>
      <c r="HG66" s="17">
        <f>IF(Distances[[#This Row],[Colonne196]]=$G66,HF66,Distances[[#This Row],[Colonne196]]+1)</f>
        <v>20</v>
      </c>
      <c r="HH66" s="17">
        <f>IF(Distances[[#This Row],[Colonne197]]=$G66,HG66,Distances[[#This Row],[Colonne197]]+1)</f>
        <v>20</v>
      </c>
      <c r="HI66" s="17">
        <f>IF(Distances[[#This Row],[Colonne198]]=$G66,HH66,Distances[[#This Row],[Colonne198]]+1)</f>
        <v>20</v>
      </c>
      <c r="HJ66" s="17">
        <f>IF(Distances[[#This Row],[Colonne199]]=$G66,HI66,Distances[[#This Row],[Colonne199]]+1)</f>
        <v>20</v>
      </c>
      <c r="HK66" s="17">
        <f>IF(Distances[[#This Row],[Colonne200]]=$G66,HJ66,Distances[[#This Row],[Colonne200]]+1)</f>
        <v>20</v>
      </c>
      <c r="HL66" s="17">
        <f>IF(Distances[[#This Row],[Colonne201]]=$G66,HK66,Distances[[#This Row],[Colonne201]]+1)</f>
        <v>20</v>
      </c>
      <c r="HM66" s="17">
        <f>IF(Distances[[#This Row],[Colonne202]]=$G66,HL66,Distances[[#This Row],[Colonne202]]+1)</f>
        <v>20</v>
      </c>
      <c r="HN66" s="17">
        <f>IF(Distances[[#This Row],[Colonne203]]=$G66,HM66,Distances[[#This Row],[Colonne203]]+1)</f>
        <v>20</v>
      </c>
      <c r="HO66" s="17">
        <f>IF(Distances[[#This Row],[Colonne204]]=$G66,HN66,Distances[[#This Row],[Colonne204]]+1)</f>
        <v>20</v>
      </c>
      <c r="HP66" s="17">
        <f>IF(Distances[[#This Row],[Colonne205]]=$G66,HO66,Distances[[#This Row],[Colonne205]]+1)</f>
        <v>20</v>
      </c>
      <c r="HQ66" s="17">
        <f>IF(Distances[[#This Row],[Colonne206]]=$G66,HP66,Distances[[#This Row],[Colonne206]]+1)</f>
        <v>20</v>
      </c>
      <c r="HR66" s="17">
        <f>IF(Distances[[#This Row],[Colonne207]]=$G66,HQ66,Distances[[#This Row],[Colonne207]]+1)</f>
        <v>20</v>
      </c>
      <c r="HS66" s="17">
        <f>IF(Distances[[#This Row],[Colonne208]]=$G66,HR66,Distances[[#This Row],[Colonne208]]+1)</f>
        <v>20</v>
      </c>
      <c r="HT66" s="17">
        <f>IF(Distances[[#This Row],[Colonne209]]=$G66,HS66,Distances[[#This Row],[Colonne209]]+1)</f>
        <v>20</v>
      </c>
      <c r="HU66" s="17">
        <f>IF(Distances[[#This Row],[Colonne210]]=$G66,HT66,Distances[[#This Row],[Colonne210]]+1)</f>
        <v>20</v>
      </c>
      <c r="HV66" s="17">
        <f>IF(Distances[[#This Row],[Colonne211]]=$G66,HU66,Distances[[#This Row],[Colonne211]]+1)</f>
        <v>20</v>
      </c>
      <c r="HW66" s="17">
        <f>IF(Distances[[#This Row],[Colonne212]]=$G66,HV66,Distances[[#This Row],[Colonne212]]+1)</f>
        <v>20</v>
      </c>
      <c r="HX66" s="17">
        <f>IF(Distances[[#This Row],[Colonne213]]=$G66,HW66,Distances[[#This Row],[Colonne213]]+1)</f>
        <v>20</v>
      </c>
      <c r="HY66" s="17">
        <f>IF(Distances[[#This Row],[Colonne214]]=$G66,HX66,Distances[[#This Row],[Colonne214]]+1)</f>
        <v>20</v>
      </c>
      <c r="HZ66" s="17">
        <f>IF(Distances[[#This Row],[Colonne215]]=$G66,HY66,Distances[[#This Row],[Colonne215]]+1)</f>
        <v>20</v>
      </c>
      <c r="IA66" s="17">
        <f>IF(Distances[[#This Row],[Colonne216]]=$G66,HZ66,Distances[[#This Row],[Colonne216]]+1)</f>
        <v>20</v>
      </c>
      <c r="IB66" s="17">
        <f>IF(Distances[[#This Row],[Colonne217]]=$G66,IA66,Distances[[#This Row],[Colonne217]]+1)</f>
        <v>20</v>
      </c>
      <c r="IC66" s="17">
        <f>IF(Distances[[#This Row],[Colonne218]]=$G66,IB66,Distances[[#This Row],[Colonne218]]+1)</f>
        <v>20</v>
      </c>
      <c r="ID66" s="17">
        <f>IF(Distances[[#This Row],[Colonne219]]=$G66,IC66,Distances[[#This Row],[Colonne219]]+1)</f>
        <v>20</v>
      </c>
      <c r="IE66" s="17">
        <f>IF(Distances[[#This Row],[Colonne220]]=$G66,ID66,Distances[[#This Row],[Colonne220]]+1)</f>
        <v>20</v>
      </c>
      <c r="IF66" s="17">
        <f>IF(Distances[[#This Row],[Colonne221]]=$G66,IE66,Distances[[#This Row],[Colonne221]]+1)</f>
        <v>20</v>
      </c>
      <c r="IG66" s="17">
        <f>IF(Distances[[#This Row],[Colonne222]]=$G66,IF66,Distances[[#This Row],[Colonne222]]+1)</f>
        <v>20</v>
      </c>
      <c r="IH66" s="17">
        <f>IF(Distances[[#This Row],[Colonne223]]=$G66,IG66,Distances[[#This Row],[Colonne223]]+1)</f>
        <v>20</v>
      </c>
      <c r="II66" s="17">
        <f>IF(Distances[[#This Row],[Colonne224]]=$G66,IH66,Distances[[#This Row],[Colonne224]]+1)</f>
        <v>20</v>
      </c>
      <c r="IJ66" s="17">
        <f>IF(Distances[[#This Row],[Colonne225]]=$G66,II66,Distances[[#This Row],[Colonne225]]+1)</f>
        <v>20</v>
      </c>
      <c r="IK66" s="17">
        <f>IF(Distances[[#This Row],[Colonne226]]=$G66,IJ66,Distances[[#This Row],[Colonne226]]+1)</f>
        <v>20</v>
      </c>
      <c r="IL66" s="17">
        <f>IF(Distances[[#This Row],[Colonne227]]=$G66,IK66,Distances[[#This Row],[Colonne227]]+1)</f>
        <v>20</v>
      </c>
      <c r="IM66" s="17">
        <f>IF(Distances[[#This Row],[Colonne228]]=$G66,IL66,Distances[[#This Row],[Colonne228]]+1)</f>
        <v>20</v>
      </c>
      <c r="IN66" s="17">
        <f>IF(Distances[[#This Row],[Colonne229]]=$G66,IM66,Distances[[#This Row],[Colonne229]]+1)</f>
        <v>20</v>
      </c>
      <c r="IO66" s="17">
        <f>IF(Distances[[#This Row],[Colonne230]]=$G66,IN66,Distances[[#This Row],[Colonne230]]+1)</f>
        <v>20</v>
      </c>
      <c r="IP66" s="17">
        <f>IF(Distances[[#This Row],[Colonne231]]=$G66,IO66,Distances[[#This Row],[Colonne231]]+1)</f>
        <v>20</v>
      </c>
      <c r="IQ66" s="17">
        <f>IF(Distances[[#This Row],[Colonne232]]=$G66,IP66,Distances[[#This Row],[Colonne232]]+1)</f>
        <v>20</v>
      </c>
      <c r="IR66" s="17">
        <f>IF(Distances[[#This Row],[Colonne233]]=$G66,IQ66,Distances[[#This Row],[Colonne233]]+1)</f>
        <v>20</v>
      </c>
      <c r="IS66" s="17">
        <f>IF(Distances[[#This Row],[Colonne234]]=$G66,IR66,Distances[[#This Row],[Colonne234]]+1)</f>
        <v>20</v>
      </c>
      <c r="IT66" s="17">
        <f>IF(Distances[[#This Row],[Colonne235]]=$G66,IS66,Distances[[#This Row],[Colonne235]]+1)</f>
        <v>20</v>
      </c>
      <c r="IU66" s="17">
        <f>IF(Distances[[#This Row],[Colonne236]]=$G66,IT66,Distances[[#This Row],[Colonne236]]+1)</f>
        <v>20</v>
      </c>
      <c r="IV66" s="17">
        <f>IF(Distances[[#This Row],[Colonne237]]=$G66,IU66,Distances[[#This Row],[Colonne237]]+1)</f>
        <v>20</v>
      </c>
      <c r="IW66" s="17">
        <f>IF(Distances[[#This Row],[Colonne238]]=$G66,IV66,Distances[[#This Row],[Colonne238]]+1)</f>
        <v>20</v>
      </c>
      <c r="IX66" s="17">
        <f>IF(Distances[[#This Row],[Colonne239]]=$G66,IW66,Distances[[#This Row],[Colonne239]]+1)</f>
        <v>20</v>
      </c>
      <c r="IY66" s="17">
        <f>IF(Distances[[#This Row],[Colonne240]]=$G66,IX66,Distances[[#This Row],[Colonne240]]+1)</f>
        <v>20</v>
      </c>
      <c r="IZ66" s="17">
        <f>IF(Distances[[#This Row],[Colonne241]]=$G66,IY66,Distances[[#This Row],[Colonne241]]+1)</f>
        <v>20</v>
      </c>
      <c r="JA66" s="17">
        <f>IF(Distances[[#This Row],[Colonne242]]=$G66,IZ66,Distances[[#This Row],[Colonne242]]+1)</f>
        <v>20</v>
      </c>
      <c r="JB66" s="17">
        <f>IF(Distances[[#This Row],[Colonne243]]=$G66,JA66,Distances[[#This Row],[Colonne243]]+1)</f>
        <v>20</v>
      </c>
      <c r="JC66" s="17">
        <f>IF(Distances[[#This Row],[Colonne244]]=$G66,JB66,Distances[[#This Row],[Colonne244]]+1)</f>
        <v>20</v>
      </c>
      <c r="JD66" s="17">
        <f>IF(Distances[[#This Row],[Colonne245]]=$G66,JC66,Distances[[#This Row],[Colonne245]]+1)</f>
        <v>20</v>
      </c>
      <c r="JE66" s="17">
        <f>IF(Distances[[#This Row],[Colonne246]]=$G66,JD66,Distances[[#This Row],[Colonne246]]+1)</f>
        <v>20</v>
      </c>
      <c r="JF66" s="17">
        <f>IF(Distances[[#This Row],[Colonne247]]=$G66,JE66,Distances[[#This Row],[Colonne247]]+1)</f>
        <v>20</v>
      </c>
      <c r="JG66" s="17">
        <f>IF(Distances[[#This Row],[Colonne248]]=$G66,JF66,Distances[[#This Row],[Colonne248]]+1)</f>
        <v>20</v>
      </c>
      <c r="JH66" s="17">
        <f>IF(Distances[[#This Row],[Colonne249]]=$G66,JG66,Distances[[#This Row],[Colonne249]]+1)</f>
        <v>20</v>
      </c>
      <c r="JI66" s="17">
        <f>IF(Distances[[#This Row],[Colonne250]]=$G66,JH66,Distances[[#This Row],[Colonne250]]+1)</f>
        <v>20</v>
      </c>
      <c r="JJ66" s="17">
        <f>IF(Distances[[#This Row],[Colonne251]]=$G66,JI66,Distances[[#This Row],[Colonne251]]+1)</f>
        <v>20</v>
      </c>
      <c r="JK66" s="17">
        <f>IF(Distances[[#This Row],[Colonne252]]=$G66,JJ66,Distances[[#This Row],[Colonne252]]+1)</f>
        <v>20</v>
      </c>
      <c r="JL66" s="17">
        <f>IF(Distances[[#This Row],[Colonne253]]=$G66,JK66,Distances[[#This Row],[Colonne253]]+1)</f>
        <v>20</v>
      </c>
      <c r="JM66" s="17">
        <f>IF(Distances[[#This Row],[Colonne254]]=$G66,JL66,Distances[[#This Row],[Colonne254]]+1)</f>
        <v>20</v>
      </c>
      <c r="JN66" s="17">
        <f>IF(Distances[[#This Row],[Colonne255]]=$G66,JM66,Distances[[#This Row],[Colonne255]]+1)</f>
        <v>20</v>
      </c>
      <c r="JO66" s="17">
        <f>IF(Distances[[#This Row],[Colonne256]]=$G66,JN66,Distances[[#This Row],[Colonne256]]+1)</f>
        <v>20</v>
      </c>
      <c r="JP66" s="17">
        <f>IF(Distances[[#This Row],[Colonne257]]=$G66,JO66,Distances[[#This Row],[Colonne257]]+1)</f>
        <v>20</v>
      </c>
      <c r="JQ66" s="17">
        <f>IF(Distances[[#This Row],[Colonne258]]=$G66,JP66,Distances[[#This Row],[Colonne258]]+1)</f>
        <v>20</v>
      </c>
      <c r="JR66" s="17">
        <f>IF(Distances[[#This Row],[Colonne259]]=$G66,JQ66,Distances[[#This Row],[Colonne259]]+1)</f>
        <v>20</v>
      </c>
      <c r="JS66" s="17">
        <f>IF(Distances[[#This Row],[Colonne260]]=$G66,JR66,Distances[[#This Row],[Colonne260]]+1)</f>
        <v>20</v>
      </c>
      <c r="JT66" s="17">
        <f>IF(Distances[[#This Row],[Colonne261]]=$G66,JS66,Distances[[#This Row],[Colonne261]]+1)</f>
        <v>20</v>
      </c>
      <c r="JU66" s="17">
        <f>IF(Distances[[#This Row],[Colonne262]]=$G66,JT66,Distances[[#This Row],[Colonne262]]+1)</f>
        <v>20</v>
      </c>
      <c r="JV66" s="17">
        <f>IF(Distances[[#This Row],[Colonne263]]=$G66,JU66,Distances[[#This Row],[Colonne263]]+1)</f>
        <v>20</v>
      </c>
      <c r="JW66" s="17">
        <f>IF(Distances[[#This Row],[Colonne264]]=$G66,JV66,Distances[[#This Row],[Colonne264]]+1)</f>
        <v>20</v>
      </c>
      <c r="JX66" s="17">
        <f>IF(Distances[[#This Row],[Colonne265]]=$G66,JW66,Distances[[#This Row],[Colonne265]]+1)</f>
        <v>20</v>
      </c>
      <c r="JY66" s="17">
        <f>IF(Distances[[#This Row],[Colonne266]]=$G66,JX66,Distances[[#This Row],[Colonne266]]+1)</f>
        <v>20</v>
      </c>
      <c r="JZ66" s="17">
        <f>IF(Distances[[#This Row],[Colonne267]]=$G66,JY66,Distances[[#This Row],[Colonne267]]+1)</f>
        <v>20</v>
      </c>
      <c r="KA66" s="17">
        <f>IF(Distances[[#This Row],[Colonne268]]=$G66,JZ66,Distances[[#This Row],[Colonne268]]+1)</f>
        <v>20</v>
      </c>
      <c r="KB66" s="17">
        <f>IF(Distances[[#This Row],[Colonne269]]=$G66,KA66,Distances[[#This Row],[Colonne269]]+1)</f>
        <v>20</v>
      </c>
      <c r="KC66" s="17">
        <f>IF(Distances[[#This Row],[Colonne270]]=$G66,KB66,Distances[[#This Row],[Colonne270]]+1)</f>
        <v>20</v>
      </c>
      <c r="KD66" s="17">
        <f>IF(Distances[[#This Row],[Colonne271]]=$G66,KC66,Distances[[#This Row],[Colonne271]]+1)</f>
        <v>20</v>
      </c>
      <c r="KE66" s="17">
        <f>IF(Distances[[#This Row],[Colonne272]]=$G66,KD66,Distances[[#This Row],[Colonne272]]+1)</f>
        <v>20</v>
      </c>
      <c r="KF66" s="17">
        <f>IF(Distances[[#This Row],[Colonne273]]=$G66,KE66,Distances[[#This Row],[Colonne273]]+1)</f>
        <v>20</v>
      </c>
      <c r="KG66" s="17">
        <f>IF(Distances[[#This Row],[Colonne274]]=$G66,KF66,Distances[[#This Row],[Colonne274]]+1)</f>
        <v>20</v>
      </c>
      <c r="KH66" s="17">
        <f>IF(Distances[[#This Row],[Colonne275]]=$G66,KG66,Distances[[#This Row],[Colonne275]]+1)</f>
        <v>20</v>
      </c>
      <c r="KI66" s="17">
        <f>IF(Distances[[#This Row],[Colonne276]]=$G66,KH66,Distances[[#This Row],[Colonne276]]+1)</f>
        <v>20</v>
      </c>
      <c r="KJ66" s="17">
        <f>IF(Distances[[#This Row],[Colonne277]]=$G66,KI66,Distances[[#This Row],[Colonne277]]+1)</f>
        <v>20</v>
      </c>
      <c r="KK66" s="17">
        <f>IF(Distances[[#This Row],[Colonne278]]=$G66,KJ66,Distances[[#This Row],[Colonne278]]+1)</f>
        <v>20</v>
      </c>
      <c r="KL66" s="17">
        <f>IF(Distances[[#This Row],[Colonne279]]=$G66,KK66,Distances[[#This Row],[Colonne279]]+1)</f>
        <v>20</v>
      </c>
      <c r="KM66" s="17">
        <f>IF(Distances[[#This Row],[Colonne280]]=$G66,KL66,Distances[[#This Row],[Colonne280]]+1)</f>
        <v>20</v>
      </c>
      <c r="KN66" s="17">
        <f>IF(Distances[[#This Row],[Colonne281]]=$G66,KM66,Distances[[#This Row],[Colonne281]]+1)</f>
        <v>20</v>
      </c>
      <c r="KO66" s="17">
        <f>IF(Distances[[#This Row],[Colonne282]]=$G66,KN66,Distances[[#This Row],[Colonne282]]+1)</f>
        <v>20</v>
      </c>
      <c r="KP66" s="17">
        <f>IF(Distances[[#This Row],[Colonne283]]=$G66,KO66,Distances[[#This Row],[Colonne283]]+1)</f>
        <v>20</v>
      </c>
      <c r="KQ66" s="17">
        <f>IF(Distances[[#This Row],[Colonne284]]=$G66,KP66,Distances[[#This Row],[Colonne284]]+1)</f>
        <v>20</v>
      </c>
      <c r="KR66" s="17">
        <f>IF(Distances[[#This Row],[Colonne285]]=$G66,KQ66,Distances[[#This Row],[Colonne285]]+1)</f>
        <v>20</v>
      </c>
      <c r="KS66" s="17">
        <f>IF(Distances[[#This Row],[Colonne286]]=$G66,KR66,Distances[[#This Row],[Colonne286]]+1)</f>
        <v>20</v>
      </c>
      <c r="KT66" s="17">
        <f>IF(Distances[[#This Row],[Colonne287]]=$G66,KS66,Distances[[#This Row],[Colonne287]]+1)</f>
        <v>20</v>
      </c>
      <c r="KU66" s="17">
        <f>IF(Distances[[#This Row],[Colonne288]]=$G66,KT66,Distances[[#This Row],[Colonne288]]+1)</f>
        <v>20</v>
      </c>
      <c r="KV66" s="17">
        <f>IF(Distances[[#This Row],[Colonne289]]=$G66,KU66,Distances[[#This Row],[Colonne289]]+1)</f>
        <v>20</v>
      </c>
      <c r="KW66" s="17">
        <f>IF(Distances[[#This Row],[Colonne290]]=$G66,KV66,Distances[[#This Row],[Colonne290]]+1)</f>
        <v>20</v>
      </c>
      <c r="KX66" s="17">
        <f>IF(Distances[[#This Row],[Colonne291]]=$G66,KW66,Distances[[#This Row],[Colonne291]]+1)</f>
        <v>20</v>
      </c>
      <c r="KY66" s="17">
        <f>IF(Distances[[#This Row],[Colonne292]]=$G66,KX66,Distances[[#This Row],[Colonne292]]+1)</f>
        <v>20</v>
      </c>
      <c r="KZ66" s="17">
        <f>IF(Distances[[#This Row],[Colonne293]]=$G66,KY66,Distances[[#This Row],[Colonne293]]+1)</f>
        <v>20</v>
      </c>
      <c r="LA66" s="17">
        <f>IF(Distances[[#This Row],[Colonne294]]=$G66,KZ66,Distances[[#This Row],[Colonne294]]+1)</f>
        <v>20</v>
      </c>
      <c r="LB66" s="17">
        <f>IF(Distances[[#This Row],[Colonne295]]=$G66,LA66,Distances[[#This Row],[Colonne295]]+1)</f>
        <v>20</v>
      </c>
      <c r="LC66" s="17">
        <f>IF(Distances[[#This Row],[Colonne296]]=$G66,LB66,Distances[[#This Row],[Colonne296]]+1)</f>
        <v>20</v>
      </c>
      <c r="LD66" s="17">
        <f>IF(Distances[[#This Row],[Colonne297]]=$G66,LC66,Distances[[#This Row],[Colonne297]]+1)</f>
        <v>20</v>
      </c>
      <c r="LE66" s="17">
        <f>IF(Distances[[#This Row],[Colonne298]]=$G66,LD66,Distances[[#This Row],[Colonne298]]+1)</f>
        <v>20</v>
      </c>
      <c r="LF66" s="17">
        <f>IF(Distances[[#This Row],[Colonne299]]=$G66,LE66,Distances[[#This Row],[Colonne299]]+1)</f>
        <v>20</v>
      </c>
      <c r="LG66" s="17">
        <f>IF(Distances[[#This Row],[Colonne300]]=$G66,LF66,Distances[[#This Row],[Colonne300]]+1)</f>
        <v>20</v>
      </c>
      <c r="LH66" s="17">
        <f>IF(Distances[[#This Row],[Colonne301]]=$G66,LG66,Distances[[#This Row],[Colonne301]]+1)</f>
        <v>20</v>
      </c>
      <c r="LI66" s="17">
        <f>IF(Distances[[#This Row],[Colonne302]]=$G66,LH66,Distances[[#This Row],[Colonne302]]+1)</f>
        <v>20</v>
      </c>
      <c r="LJ66" s="17">
        <f>IF(Distances[[#This Row],[Colonne303]]=$G66,LI66,Distances[[#This Row],[Colonne303]]+1)</f>
        <v>20</v>
      </c>
      <c r="LK66" s="51"/>
      <c r="LL66" s="17">
        <f t="shared" ref="LL66:MQ66" si="128">IF(LK66=$H66,LK66,LK66+1)</f>
        <v>1</v>
      </c>
      <c r="LM66" s="17">
        <f t="shared" si="128"/>
        <v>2</v>
      </c>
      <c r="LN66" s="17">
        <f t="shared" si="128"/>
        <v>3</v>
      </c>
      <c r="LO66" s="17">
        <f t="shared" si="128"/>
        <v>4</v>
      </c>
      <c r="LP66" s="17">
        <f t="shared" si="128"/>
        <v>5</v>
      </c>
      <c r="LQ66" s="17">
        <f t="shared" si="128"/>
        <v>6</v>
      </c>
      <c r="LR66" s="17">
        <f t="shared" si="128"/>
        <v>7</v>
      </c>
      <c r="LS66" s="17">
        <f t="shared" si="128"/>
        <v>8</v>
      </c>
      <c r="LT66" s="17">
        <f t="shared" si="128"/>
        <v>9</v>
      </c>
      <c r="LU66" s="17">
        <f t="shared" si="128"/>
        <v>10</v>
      </c>
      <c r="LV66" s="17">
        <f t="shared" si="128"/>
        <v>11</v>
      </c>
      <c r="LW66" s="17">
        <f t="shared" si="128"/>
        <v>12</v>
      </c>
      <c r="LX66" s="17">
        <f t="shared" si="128"/>
        <v>13</v>
      </c>
      <c r="LY66" s="17">
        <f t="shared" si="128"/>
        <v>14</v>
      </c>
      <c r="LZ66" s="17">
        <f t="shared" si="128"/>
        <v>15</v>
      </c>
      <c r="MA66" s="17">
        <f t="shared" si="128"/>
        <v>16</v>
      </c>
      <c r="MB66" s="17">
        <f t="shared" si="128"/>
        <v>17</v>
      </c>
      <c r="MC66" s="17">
        <f t="shared" si="128"/>
        <v>18</v>
      </c>
      <c r="MD66" s="17">
        <f t="shared" si="128"/>
        <v>19</v>
      </c>
      <c r="ME66" s="17">
        <f t="shared" si="128"/>
        <v>20</v>
      </c>
      <c r="MF66" s="17">
        <f t="shared" si="128"/>
        <v>21</v>
      </c>
      <c r="MG66" s="17">
        <f t="shared" si="128"/>
        <v>22</v>
      </c>
      <c r="MH66" s="17">
        <f t="shared" si="128"/>
        <v>23</v>
      </c>
      <c r="MI66" s="17">
        <f t="shared" si="128"/>
        <v>24</v>
      </c>
      <c r="MJ66" s="17">
        <f t="shared" si="128"/>
        <v>25</v>
      </c>
      <c r="MK66" s="17">
        <f t="shared" si="128"/>
        <v>26</v>
      </c>
      <c r="ML66" s="17">
        <f t="shared" si="128"/>
        <v>27</v>
      </c>
      <c r="MM66" s="17">
        <f t="shared" si="128"/>
        <v>28</v>
      </c>
      <c r="MN66" s="17">
        <f t="shared" si="128"/>
        <v>29</v>
      </c>
      <c r="MO66" s="17">
        <f t="shared" si="128"/>
        <v>30</v>
      </c>
      <c r="MP66" s="17">
        <f t="shared" si="128"/>
        <v>31</v>
      </c>
      <c r="MQ66" s="17">
        <f t="shared" si="128"/>
        <v>32</v>
      </c>
      <c r="MR66" s="17">
        <f t="shared" ref="MR66:NV66" si="129">IF(MQ66=$H66,MQ66,MQ66+1)</f>
        <v>33</v>
      </c>
      <c r="MS66" s="17">
        <f t="shared" si="129"/>
        <v>34</v>
      </c>
      <c r="MT66" s="17">
        <f t="shared" si="129"/>
        <v>35</v>
      </c>
      <c r="MU66" s="17">
        <f t="shared" si="129"/>
        <v>36</v>
      </c>
      <c r="MV66" s="17">
        <f t="shared" si="129"/>
        <v>37</v>
      </c>
      <c r="MW66" s="17">
        <f t="shared" si="129"/>
        <v>38</v>
      </c>
      <c r="MX66" s="17">
        <f t="shared" si="129"/>
        <v>39</v>
      </c>
      <c r="MY66" s="17">
        <f t="shared" si="129"/>
        <v>40</v>
      </c>
      <c r="MZ66" s="17">
        <f t="shared" si="129"/>
        <v>41</v>
      </c>
      <c r="NA66" s="17">
        <f t="shared" si="129"/>
        <v>42</v>
      </c>
      <c r="NB66" s="17">
        <f t="shared" si="129"/>
        <v>43</v>
      </c>
      <c r="NC66" s="17">
        <f t="shared" si="129"/>
        <v>44</v>
      </c>
      <c r="ND66" s="17">
        <f t="shared" si="129"/>
        <v>45</v>
      </c>
      <c r="NE66" s="17">
        <f t="shared" si="129"/>
        <v>45</v>
      </c>
      <c r="NF66" s="17">
        <f t="shared" si="129"/>
        <v>45</v>
      </c>
      <c r="NG66" s="17">
        <f t="shared" si="129"/>
        <v>45</v>
      </c>
      <c r="NH66" s="17">
        <f t="shared" si="129"/>
        <v>45</v>
      </c>
      <c r="NI66" s="17">
        <f t="shared" si="129"/>
        <v>45</v>
      </c>
      <c r="NJ66" s="17">
        <f t="shared" si="129"/>
        <v>45</v>
      </c>
      <c r="NK66" s="17">
        <f t="shared" si="129"/>
        <v>45</v>
      </c>
      <c r="NL66" s="17">
        <f t="shared" si="129"/>
        <v>45</v>
      </c>
      <c r="NM66" s="17">
        <f t="shared" si="129"/>
        <v>45</v>
      </c>
      <c r="NN66" s="17">
        <f t="shared" si="129"/>
        <v>45</v>
      </c>
      <c r="NO66" s="17">
        <f t="shared" si="129"/>
        <v>45</v>
      </c>
      <c r="NP66" s="17">
        <f t="shared" si="129"/>
        <v>45</v>
      </c>
      <c r="NQ66" s="17">
        <f t="shared" si="129"/>
        <v>45</v>
      </c>
      <c r="NR66" s="17">
        <f t="shared" si="129"/>
        <v>45</v>
      </c>
      <c r="NS66" s="17">
        <f t="shared" si="129"/>
        <v>45</v>
      </c>
      <c r="NT66" s="17">
        <f t="shared" si="129"/>
        <v>45</v>
      </c>
      <c r="NU66" s="17">
        <f t="shared" si="129"/>
        <v>45</v>
      </c>
      <c r="NV66" s="17">
        <f t="shared" si="129"/>
        <v>45</v>
      </c>
      <c r="NW66" s="17">
        <f>IF(NV66=$H66,NV66,NV66+1)</f>
        <v>45</v>
      </c>
      <c r="NX66" s="17">
        <f t="shared" ref="NX66:PG66" si="130">IF(NW66=$H66,NW66,NW66+1)</f>
        <v>45</v>
      </c>
      <c r="NY66" s="17">
        <f t="shared" si="130"/>
        <v>45</v>
      </c>
      <c r="NZ66" s="17">
        <f t="shared" si="130"/>
        <v>45</v>
      </c>
      <c r="OA66" s="17">
        <f t="shared" si="130"/>
        <v>45</v>
      </c>
      <c r="OB66" s="17">
        <f t="shared" si="130"/>
        <v>45</v>
      </c>
      <c r="OC66" s="17">
        <f t="shared" si="130"/>
        <v>45</v>
      </c>
      <c r="OD66" s="17">
        <f t="shared" si="130"/>
        <v>45</v>
      </c>
      <c r="OE66" s="17">
        <f t="shared" si="130"/>
        <v>45</v>
      </c>
      <c r="OF66" s="17">
        <f t="shared" si="130"/>
        <v>45</v>
      </c>
      <c r="OG66" s="17">
        <f t="shared" si="130"/>
        <v>45</v>
      </c>
      <c r="OH66" s="17">
        <f t="shared" si="130"/>
        <v>45</v>
      </c>
      <c r="OI66" s="17">
        <f t="shared" si="130"/>
        <v>45</v>
      </c>
      <c r="OJ66" s="17">
        <f t="shared" si="130"/>
        <v>45</v>
      </c>
      <c r="OK66" s="17">
        <f t="shared" si="130"/>
        <v>45</v>
      </c>
      <c r="OL66" s="17">
        <f t="shared" si="130"/>
        <v>45</v>
      </c>
      <c r="OM66" s="17">
        <f t="shared" si="130"/>
        <v>45</v>
      </c>
      <c r="ON66" s="17">
        <f t="shared" si="130"/>
        <v>45</v>
      </c>
      <c r="OO66" s="17">
        <f t="shared" si="130"/>
        <v>45</v>
      </c>
      <c r="OP66" s="17">
        <f t="shared" si="130"/>
        <v>45</v>
      </c>
      <c r="OQ66" s="17">
        <f t="shared" si="130"/>
        <v>45</v>
      </c>
      <c r="OR66" s="17">
        <f t="shared" si="130"/>
        <v>45</v>
      </c>
      <c r="OS66" s="17">
        <f t="shared" si="130"/>
        <v>45</v>
      </c>
      <c r="OT66" s="17">
        <f t="shared" si="130"/>
        <v>45</v>
      </c>
      <c r="OU66" s="17">
        <f t="shared" si="130"/>
        <v>45</v>
      </c>
      <c r="OV66" s="17">
        <f t="shared" si="130"/>
        <v>45</v>
      </c>
      <c r="OW66" s="17">
        <f t="shared" si="130"/>
        <v>45</v>
      </c>
      <c r="OX66" s="17">
        <f t="shared" si="130"/>
        <v>45</v>
      </c>
      <c r="OY66" s="17">
        <f t="shared" si="130"/>
        <v>45</v>
      </c>
      <c r="OZ66" s="17">
        <f t="shared" si="130"/>
        <v>45</v>
      </c>
      <c r="PA66" s="17">
        <f t="shared" si="130"/>
        <v>45</v>
      </c>
      <c r="PB66" s="17">
        <f t="shared" si="130"/>
        <v>45</v>
      </c>
      <c r="PC66" s="17">
        <f t="shared" si="130"/>
        <v>45</v>
      </c>
      <c r="PD66" s="17">
        <f t="shared" si="130"/>
        <v>45</v>
      </c>
      <c r="PE66" s="17">
        <f t="shared" si="130"/>
        <v>45</v>
      </c>
      <c r="PF66" s="17">
        <f t="shared" si="130"/>
        <v>45</v>
      </c>
      <c r="PG66" s="17">
        <f t="shared" si="130"/>
        <v>45</v>
      </c>
    </row>
    <row r="67" spans="1:423" x14ac:dyDescent="0.25">
      <c r="A67" s="8" t="s">
        <v>5454</v>
      </c>
      <c r="B67" s="9" t="s">
        <v>26</v>
      </c>
      <c r="C67" s="9" t="str">
        <f t="shared" si="72"/>
        <v>3N3</v>
      </c>
      <c r="D67" s="1" t="str">
        <f t="shared" si="73"/>
        <v>3 Bandes N3</v>
      </c>
      <c r="E67" s="1" t="s">
        <v>15</v>
      </c>
      <c r="F67" s="9" t="s">
        <v>5508</v>
      </c>
      <c r="G67" s="9">
        <v>15</v>
      </c>
      <c r="H67" s="9">
        <v>40</v>
      </c>
      <c r="I67" s="30">
        <v>2.8</v>
      </c>
      <c r="J67" s="30"/>
      <c r="K67" s="281"/>
      <c r="L67" s="8">
        <v>0.36</v>
      </c>
      <c r="M67" s="9">
        <v>0.36</v>
      </c>
      <c r="N67" s="10">
        <v>0.52290000000000003</v>
      </c>
      <c r="O67" s="269"/>
      <c r="P67" s="331"/>
      <c r="Q67" s="335"/>
      <c r="R67" s="128">
        <v>1</v>
      </c>
      <c r="S67" s="9">
        <v>1</v>
      </c>
      <c r="T67" s="10">
        <v>2</v>
      </c>
      <c r="U67" t="s">
        <v>5523</v>
      </c>
      <c r="V67" s="17">
        <v>0</v>
      </c>
      <c r="W67" s="17">
        <f>IF(Distances[[#This Row],[Colonne4]]=$G67,V67,Distances[[#This Row],[Colonne4]]+1)</f>
        <v>1</v>
      </c>
      <c r="X67" s="17">
        <f>IF(Distances[[#This Row],[Colonne5]]=$G67,W67,Distances[[#This Row],[Colonne5]]+1)</f>
        <v>2</v>
      </c>
      <c r="Y67" s="17">
        <f>IF(Distances[[#This Row],[Colonne6]]=$G67,X67,Distances[[#This Row],[Colonne6]]+1)</f>
        <v>3</v>
      </c>
      <c r="Z67" s="17">
        <f>IF(Distances[[#This Row],[Colonne7]]=$G67,Y67,Distances[[#This Row],[Colonne7]]+1)</f>
        <v>4</v>
      </c>
      <c r="AA67" s="17">
        <f>IF(Distances[[#This Row],[Colonne8]]=$G67,Z67,Distances[[#This Row],[Colonne8]]+1)</f>
        <v>5</v>
      </c>
      <c r="AB67" s="17">
        <f>IF(Distances[[#This Row],[Colonne9]]=$G67,AA67,Distances[[#This Row],[Colonne9]]+1)</f>
        <v>6</v>
      </c>
      <c r="AC67" s="17">
        <f>IF(Distances[[#This Row],[Colonne10]]=$G67,AB67,Distances[[#This Row],[Colonne10]]+1)</f>
        <v>7</v>
      </c>
      <c r="AD67" s="17">
        <f>IF(Distances[[#This Row],[Colonne11]]=$G67,AC67,Distances[[#This Row],[Colonne11]]+1)</f>
        <v>8</v>
      </c>
      <c r="AE67" s="17">
        <f>IF(Distances[[#This Row],[Colonne12]]=$G67,AD67,Distances[[#This Row],[Colonne12]]+1)</f>
        <v>9</v>
      </c>
      <c r="AF67" s="17">
        <f>IF(Distances[[#This Row],[Colonne13]]=$G67,AE67,Distances[[#This Row],[Colonne13]]+1)</f>
        <v>10</v>
      </c>
      <c r="AG67" s="17">
        <f>IF(Distances[[#This Row],[Colonne14]]=$G67,AF67,Distances[[#This Row],[Colonne14]]+1)</f>
        <v>11</v>
      </c>
      <c r="AH67" s="17">
        <f>IF(Distances[[#This Row],[Colonne15]]=$G67,AG67,Distances[[#This Row],[Colonne15]]+1)</f>
        <v>12</v>
      </c>
      <c r="AI67" s="17">
        <f>IF(Distances[[#This Row],[Colonne16]]=$G67,AH67,Distances[[#This Row],[Colonne16]]+1)</f>
        <v>13</v>
      </c>
      <c r="AJ67" s="17">
        <f>IF(Distances[[#This Row],[Colonne17]]=$G67,AI67,Distances[[#This Row],[Colonne17]]+1)</f>
        <v>14</v>
      </c>
      <c r="AK67" s="17">
        <f>IF(Distances[[#This Row],[Colonne18]]=$G67,AJ67,Distances[[#This Row],[Colonne18]]+1)</f>
        <v>15</v>
      </c>
      <c r="AL67" s="17">
        <f>IF(Distances[[#This Row],[Colonne19]]=$G67,AK67,Distances[[#This Row],[Colonne19]]+1)</f>
        <v>15</v>
      </c>
      <c r="AM67" s="17">
        <f>IF(Distances[[#This Row],[Colonne20]]=$G67,AL67,Distances[[#This Row],[Colonne20]]+1)</f>
        <v>15</v>
      </c>
      <c r="AN67" s="17">
        <f>IF(Distances[[#This Row],[Colonne21]]=$G67,AM67,Distances[[#This Row],[Colonne21]]+1)</f>
        <v>15</v>
      </c>
      <c r="AO67" s="17">
        <f>IF(Distances[[#This Row],[Colonne22]]=$G67,AN67,Distances[[#This Row],[Colonne22]]+1)</f>
        <v>15</v>
      </c>
      <c r="AP67" s="17">
        <f>IF(Distances[[#This Row],[Colonne23]]=$G67,AO67,Distances[[#This Row],[Colonne23]]+1)</f>
        <v>15</v>
      </c>
      <c r="AQ67" s="17">
        <f>IF(Distances[[#This Row],[Colonne24]]=$G67,AP67,Distances[[#This Row],[Colonne24]]+1)</f>
        <v>15</v>
      </c>
      <c r="AR67" s="17">
        <f>IF(Distances[[#This Row],[Colonne25]]=$G67,AQ67,Distances[[#This Row],[Colonne25]]+1)</f>
        <v>15</v>
      </c>
      <c r="AS67" s="17">
        <f>IF(Distances[[#This Row],[Colonne26]]=$G67,AR67,Distances[[#This Row],[Colonne26]]+1)</f>
        <v>15</v>
      </c>
      <c r="AT67" s="17">
        <f>IF(Distances[[#This Row],[Colonne27]]=$G67,AS67,Distances[[#This Row],[Colonne27]]+1)</f>
        <v>15</v>
      </c>
      <c r="AU67" s="17">
        <f>IF(Distances[[#This Row],[Colonne28]]=$G67,AT67,Distances[[#This Row],[Colonne28]]+1)</f>
        <v>15</v>
      </c>
      <c r="AV67" s="17">
        <f>IF(Distances[[#This Row],[Colonne29]]=$G67,AU67,Distances[[#This Row],[Colonne29]]+1)</f>
        <v>15</v>
      </c>
      <c r="AW67" s="17">
        <f>IF(Distances[[#This Row],[Colonne30]]=$G67,AV67,Distances[[#This Row],[Colonne30]]+1)</f>
        <v>15</v>
      </c>
      <c r="AX67" s="17">
        <f>IF(Distances[[#This Row],[Colonne31]]=$G67,AW67,Distances[[#This Row],[Colonne31]]+1)</f>
        <v>15</v>
      </c>
      <c r="AY67" s="17">
        <f>IF(Distances[[#This Row],[Colonne32]]=$G67,AX67,Distances[[#This Row],[Colonne32]]+1)</f>
        <v>15</v>
      </c>
      <c r="AZ67" s="17">
        <f>IF(Distances[[#This Row],[Colonne33]]=$G67,AY67,Distances[[#This Row],[Colonne33]]+1)</f>
        <v>15</v>
      </c>
      <c r="BA67" s="17">
        <f>IF(Distances[[#This Row],[Colonne34]]=$G67,AZ67,Distances[[#This Row],[Colonne34]]+1)</f>
        <v>15</v>
      </c>
      <c r="BB67" s="17">
        <f>IF(Distances[[#This Row],[Colonne35]]=$G67,BA67,Distances[[#This Row],[Colonne35]]+1)</f>
        <v>15</v>
      </c>
      <c r="BC67" s="17">
        <f>IF(Distances[[#This Row],[Colonne36]]=$G67,BB67,Distances[[#This Row],[Colonne36]]+1)</f>
        <v>15</v>
      </c>
      <c r="BD67" s="17">
        <f>IF(Distances[[#This Row],[Colonne37]]=$G67,BC67,Distances[[#This Row],[Colonne37]]+1)</f>
        <v>15</v>
      </c>
      <c r="BE67" s="17">
        <f>IF(Distances[[#This Row],[Colonne38]]=$G67,BD67,Distances[[#This Row],[Colonne38]]+1)</f>
        <v>15</v>
      </c>
      <c r="BF67" s="17">
        <f>IF(Distances[[#This Row],[Colonne39]]=$G67,BE67,Distances[[#This Row],[Colonne39]]+1)</f>
        <v>15</v>
      </c>
      <c r="BG67" s="17">
        <f>IF(Distances[[#This Row],[Colonne40]]=$G67,BF67,Distances[[#This Row],[Colonne40]]+1)</f>
        <v>15</v>
      </c>
      <c r="BH67" s="17">
        <f>IF(Distances[[#This Row],[Colonne41]]=$G67,BG67,Distances[[#This Row],[Colonne41]]+1)</f>
        <v>15</v>
      </c>
      <c r="BI67" s="17">
        <f>IF(Distances[[#This Row],[Colonne42]]=$G67,BH67,Distances[[#This Row],[Colonne42]]+1)</f>
        <v>15</v>
      </c>
      <c r="BJ67" s="17">
        <f>IF(Distances[[#This Row],[Colonne43]]=$G67,BI67,Distances[[#This Row],[Colonne43]]+1)</f>
        <v>15</v>
      </c>
      <c r="BK67" s="17">
        <f>IF(Distances[[#This Row],[Colonne44]]=$G67,BJ67,Distances[[#This Row],[Colonne44]]+1)</f>
        <v>15</v>
      </c>
      <c r="BL67" s="17">
        <f>IF(Distances[[#This Row],[Colonne45]]=$G67,BK67,Distances[[#This Row],[Colonne45]]+1)</f>
        <v>15</v>
      </c>
      <c r="BM67" s="17">
        <f>IF(Distances[[#This Row],[Colonne46]]=$G67,BL67,Distances[[#This Row],[Colonne46]]+1)</f>
        <v>15</v>
      </c>
      <c r="BN67" s="17">
        <f>IF(Distances[[#This Row],[Colonne47]]=$G67,BM67,Distances[[#This Row],[Colonne47]]+1)</f>
        <v>15</v>
      </c>
      <c r="BO67" s="17">
        <f>IF(Distances[[#This Row],[Colonne48]]=$G67,BN67,Distances[[#This Row],[Colonne48]]+1)</f>
        <v>15</v>
      </c>
      <c r="BP67" s="17">
        <f>IF(Distances[[#This Row],[Colonne49]]=$G67,BO67,Distances[[#This Row],[Colonne49]]+1)</f>
        <v>15</v>
      </c>
      <c r="BQ67" s="17">
        <f>IF(Distances[[#This Row],[Colonne50]]=$G67,BP67,Distances[[#This Row],[Colonne50]]+1)</f>
        <v>15</v>
      </c>
      <c r="BR67" s="17">
        <f>IF(Distances[[#This Row],[Colonne51]]=$G67,BQ67,Distances[[#This Row],[Colonne51]]+1)</f>
        <v>15</v>
      </c>
      <c r="BS67" s="17">
        <f>IF(Distances[[#This Row],[Colonne52]]=$G67,BR67,Distances[[#This Row],[Colonne52]]+1)</f>
        <v>15</v>
      </c>
      <c r="BT67" s="17">
        <f>IF(Distances[[#This Row],[Colonne53]]=$G67,BS67,Distances[[#This Row],[Colonne53]]+1)</f>
        <v>15</v>
      </c>
      <c r="BU67" s="17">
        <f>IF(Distances[[#This Row],[Colonne54]]=$G67,BT67,Distances[[#This Row],[Colonne54]]+1)</f>
        <v>15</v>
      </c>
      <c r="BV67" s="17">
        <f>IF(Distances[[#This Row],[Colonne55]]=$G67,BU67,Distances[[#This Row],[Colonne55]]+1)</f>
        <v>15</v>
      </c>
      <c r="BW67" s="17">
        <f>IF(Distances[[#This Row],[Colonne56]]=$G67,BV67,Distances[[#This Row],[Colonne56]]+1)</f>
        <v>15</v>
      </c>
      <c r="BX67" s="17">
        <f>IF(Distances[[#This Row],[Colonne57]]=$G67,BW67,Distances[[#This Row],[Colonne57]]+1)</f>
        <v>15</v>
      </c>
      <c r="BY67" s="17">
        <f>IF(Distances[[#This Row],[Colonne58]]=$G67,BX67,Distances[[#This Row],[Colonne58]]+1)</f>
        <v>15</v>
      </c>
      <c r="BZ67" s="17">
        <f>IF(Distances[[#This Row],[Colonne59]]=$G67,BY67,Distances[[#This Row],[Colonne59]]+1)</f>
        <v>15</v>
      </c>
      <c r="CA67" s="17">
        <f>IF(Distances[[#This Row],[Colonne60]]=$G67,BZ67,Distances[[#This Row],[Colonne60]]+1)</f>
        <v>15</v>
      </c>
      <c r="CB67" s="17">
        <f>IF(Distances[[#This Row],[Colonne61]]=$G67,CA67,Distances[[#This Row],[Colonne61]]+1)</f>
        <v>15</v>
      </c>
      <c r="CC67" s="17">
        <f>IF(Distances[[#This Row],[Colonne62]]=$G67,CB67,Distances[[#This Row],[Colonne62]]+1)</f>
        <v>15</v>
      </c>
      <c r="CD67" s="17">
        <f>IF(Distances[[#This Row],[Colonne63]]=$G67,CC67,Distances[[#This Row],[Colonne63]]+1)</f>
        <v>15</v>
      </c>
      <c r="CE67" s="17">
        <f>IF(Distances[[#This Row],[Colonne64]]=$G67,CD67,Distances[[#This Row],[Colonne64]]+1)</f>
        <v>15</v>
      </c>
      <c r="CF67" s="17">
        <f>IF(Distances[[#This Row],[Colonne65]]=$G67,CE67,Distances[[#This Row],[Colonne65]]+1)</f>
        <v>15</v>
      </c>
      <c r="CG67" s="17">
        <f>IF(Distances[[#This Row],[Colonne66]]=$G67,CF67,Distances[[#This Row],[Colonne66]]+1)</f>
        <v>15</v>
      </c>
      <c r="CH67" s="17">
        <f>IF(Distances[[#This Row],[Colonne67]]=$G67,CG67,Distances[[#This Row],[Colonne67]]+1)</f>
        <v>15</v>
      </c>
      <c r="CI67" s="17">
        <f>IF(Distances[[#This Row],[Colonne68]]=$G67,CH67,Distances[[#This Row],[Colonne68]]+1)</f>
        <v>15</v>
      </c>
      <c r="CJ67" s="17">
        <f>IF(Distances[[#This Row],[Colonne69]]=$G67,CI67,Distances[[#This Row],[Colonne69]]+1)</f>
        <v>15</v>
      </c>
      <c r="CK67" s="17">
        <f>IF(Distances[[#This Row],[Colonne70]]=$G67,CJ67,Distances[[#This Row],[Colonne70]]+1)</f>
        <v>15</v>
      </c>
      <c r="CL67" s="17">
        <f>IF(Distances[[#This Row],[Colonne71]]=$G67,CK67,Distances[[#This Row],[Colonne71]]+1)</f>
        <v>15</v>
      </c>
      <c r="CM67" s="17">
        <f>IF(Distances[[#This Row],[Colonne72]]=$G67,CL67,Distances[[#This Row],[Colonne72]]+1)</f>
        <v>15</v>
      </c>
      <c r="CN67" s="17">
        <f>IF(Distances[[#This Row],[Colonne73]]=$G67,CM67,Distances[[#This Row],[Colonne73]]+1)</f>
        <v>15</v>
      </c>
      <c r="CO67" s="17">
        <f>IF(Distances[[#This Row],[Colonne74]]=$G67,CN67,Distances[[#This Row],[Colonne74]]+1)</f>
        <v>15</v>
      </c>
      <c r="CP67" s="17">
        <f>IF(Distances[[#This Row],[Colonne75]]=$G67,CO67,Distances[[#This Row],[Colonne75]]+1)</f>
        <v>15</v>
      </c>
      <c r="CQ67" s="17">
        <f>IF(Distances[[#This Row],[Colonne76]]=$G67,CP67,Distances[[#This Row],[Colonne76]]+1)</f>
        <v>15</v>
      </c>
      <c r="CR67" s="17">
        <f>IF(Distances[[#This Row],[Colonne77]]=$G67,CQ67,Distances[[#This Row],[Colonne77]]+1)</f>
        <v>15</v>
      </c>
      <c r="CS67" s="17">
        <f>IF(Distances[[#This Row],[Colonne78]]=$G67,CR67,Distances[[#This Row],[Colonne78]]+1)</f>
        <v>15</v>
      </c>
      <c r="CT67" s="17">
        <f>IF(Distances[[#This Row],[Colonne79]]=$G67,CS67,Distances[[#This Row],[Colonne79]]+1)</f>
        <v>15</v>
      </c>
      <c r="CU67" s="17">
        <f>IF(Distances[[#This Row],[Colonne80]]=$G67,CT67,Distances[[#This Row],[Colonne80]]+1)</f>
        <v>15</v>
      </c>
      <c r="CV67" s="17">
        <f>IF(Distances[[#This Row],[Colonne81]]=$G67,CU67,Distances[[#This Row],[Colonne81]]+1)</f>
        <v>15</v>
      </c>
      <c r="CW67" s="17">
        <f>IF(Distances[[#This Row],[Colonne82]]=$G67,CV67,Distances[[#This Row],[Colonne82]]+1)</f>
        <v>15</v>
      </c>
      <c r="CX67" s="17">
        <f>IF(Distances[[#This Row],[Colonne83]]=$G67,CW67,Distances[[#This Row],[Colonne83]]+1)</f>
        <v>15</v>
      </c>
      <c r="CY67" s="17">
        <f>IF(Distances[[#This Row],[Colonne84]]=$G67,CX67,Distances[[#This Row],[Colonne84]]+1)</f>
        <v>15</v>
      </c>
      <c r="CZ67" s="17">
        <f>IF(Distances[[#This Row],[Colonne85]]=$G67,CY67,Distances[[#This Row],[Colonne85]]+1)</f>
        <v>15</v>
      </c>
      <c r="DA67" s="17">
        <f>IF(Distances[[#This Row],[Colonne86]]=$G67,CZ67,Distances[[#This Row],[Colonne86]]+1)</f>
        <v>15</v>
      </c>
      <c r="DB67" s="17">
        <f>IF(Distances[[#This Row],[Colonne87]]=$G67,DA67,Distances[[#This Row],[Colonne87]]+1)</f>
        <v>15</v>
      </c>
      <c r="DC67" s="17">
        <f>IF(Distances[[#This Row],[Colonne88]]=$G67,DB67,Distances[[#This Row],[Colonne88]]+1)</f>
        <v>15</v>
      </c>
      <c r="DD67" s="17">
        <f>IF(Distances[[#This Row],[Colonne89]]=$G67,DC67,Distances[[#This Row],[Colonne89]]+1)</f>
        <v>15</v>
      </c>
      <c r="DE67" s="17">
        <f>IF(Distances[[#This Row],[Colonne90]]=$G67,DD67,Distances[[#This Row],[Colonne90]]+1)</f>
        <v>15</v>
      </c>
      <c r="DF67" s="17">
        <f>IF(Distances[[#This Row],[Colonne91]]=$G67,DE67,Distances[[#This Row],[Colonne91]]+1)</f>
        <v>15</v>
      </c>
      <c r="DG67" s="17">
        <f>IF(Distances[[#This Row],[Colonne92]]=$G67,DF67,Distances[[#This Row],[Colonne92]]+1)</f>
        <v>15</v>
      </c>
      <c r="DH67" s="17">
        <f>IF(Distances[[#This Row],[Colonne93]]=$G67,DG67,Distances[[#This Row],[Colonne93]]+1)</f>
        <v>15</v>
      </c>
      <c r="DI67" s="17">
        <f>IF(Distances[[#This Row],[Colonne94]]=$G67,DH67,Distances[[#This Row],[Colonne94]]+1)</f>
        <v>15</v>
      </c>
      <c r="DJ67" s="17">
        <f>IF(Distances[[#This Row],[Colonne95]]=$G67,DI67,Distances[[#This Row],[Colonne95]]+1)</f>
        <v>15</v>
      </c>
      <c r="DK67" s="17">
        <f>IF(Distances[[#This Row],[Colonne96]]=$G67,DJ67,Distances[[#This Row],[Colonne96]]+1)</f>
        <v>15</v>
      </c>
      <c r="DL67" s="17">
        <f>IF(Distances[[#This Row],[Colonne97]]=$G67,DK67,Distances[[#This Row],[Colonne97]]+1)</f>
        <v>15</v>
      </c>
      <c r="DM67" s="17">
        <f>IF(Distances[[#This Row],[Colonne98]]=$G67,DL67,Distances[[#This Row],[Colonne98]]+1)</f>
        <v>15</v>
      </c>
      <c r="DN67" s="17">
        <f>IF(Distances[[#This Row],[Colonne99]]=$G67,DM67,Distances[[#This Row],[Colonne99]]+1)</f>
        <v>15</v>
      </c>
      <c r="DO67" s="17">
        <f>IF(Distances[[#This Row],[Colonne100]]=$G67,DN67,Distances[[#This Row],[Colonne100]]+1)</f>
        <v>15</v>
      </c>
      <c r="DP67" s="17">
        <f>IF(Distances[[#This Row],[Colonne101]]=$G67,DO67,Distances[[#This Row],[Colonne101]]+1)</f>
        <v>15</v>
      </c>
      <c r="DQ67" s="17">
        <f>IF(Distances[[#This Row],[Colonne102]]=$G67,DP67,Distances[[#This Row],[Colonne102]]+1)</f>
        <v>15</v>
      </c>
      <c r="DR67" s="17">
        <f>IF(Distances[[#This Row],[Colonne103]]=$G67,DQ67,Distances[[#This Row],[Colonne103]]+1)</f>
        <v>15</v>
      </c>
      <c r="DS67" s="17">
        <f>IF(Distances[[#This Row],[Colonne104]]=$G67,DR67,Distances[[#This Row],[Colonne104]]+1)</f>
        <v>15</v>
      </c>
      <c r="DT67" s="17">
        <f>IF(Distances[[#This Row],[Colonne105]]=$G67,DS67,Distances[[#This Row],[Colonne105]]+1)</f>
        <v>15</v>
      </c>
      <c r="DU67" s="17">
        <f>IF(Distances[[#This Row],[Colonne106]]=$G67,DT67,Distances[[#This Row],[Colonne106]]+1)</f>
        <v>15</v>
      </c>
      <c r="DV67" s="17">
        <f>IF(Distances[[#This Row],[Colonne107]]=$G67,DU67,Distances[[#This Row],[Colonne107]]+1)</f>
        <v>15</v>
      </c>
      <c r="DW67" s="17">
        <f>IF(Distances[[#This Row],[Colonne108]]=$G67,DV67,Distances[[#This Row],[Colonne108]]+1)</f>
        <v>15</v>
      </c>
      <c r="DX67" s="17">
        <f>IF(Distances[[#This Row],[Colonne109]]=$G67,DW67,Distances[[#This Row],[Colonne109]]+1)</f>
        <v>15</v>
      </c>
      <c r="DY67" s="17">
        <f>IF(Distances[[#This Row],[Colonne110]]=$G67,DX67,Distances[[#This Row],[Colonne110]]+1)</f>
        <v>15</v>
      </c>
      <c r="DZ67" s="17">
        <f>IF(Distances[[#This Row],[Colonne111]]=$G67,DY67,Distances[[#This Row],[Colonne111]]+1)</f>
        <v>15</v>
      </c>
      <c r="EA67" s="17">
        <f>IF(Distances[[#This Row],[Colonne112]]=$G67,DZ67,Distances[[#This Row],[Colonne112]]+1)</f>
        <v>15</v>
      </c>
      <c r="EB67" s="17">
        <f>IF(Distances[[#This Row],[Colonne113]]=$G67,EA67,Distances[[#This Row],[Colonne113]]+1)</f>
        <v>15</v>
      </c>
      <c r="EC67" s="17">
        <f>IF(Distances[[#This Row],[Colonne114]]=$G67,EB67,Distances[[#This Row],[Colonne114]]+1)</f>
        <v>15</v>
      </c>
      <c r="ED67" s="17">
        <f>IF(Distances[[#This Row],[Colonne115]]=$G67,EC67,Distances[[#This Row],[Colonne115]]+1)</f>
        <v>15</v>
      </c>
      <c r="EE67" s="17">
        <f>IF(Distances[[#This Row],[Colonne116]]=$G67,ED67,Distances[[#This Row],[Colonne116]]+1)</f>
        <v>15</v>
      </c>
      <c r="EF67" s="17">
        <f>IF(Distances[[#This Row],[Colonne117]]=$G67,EE67,Distances[[#This Row],[Colonne117]]+1)</f>
        <v>15</v>
      </c>
      <c r="EG67" s="17">
        <f>IF(Distances[[#This Row],[Colonne118]]=$G67,EF67,Distances[[#This Row],[Colonne118]]+1)</f>
        <v>15</v>
      </c>
      <c r="EH67" s="17">
        <f>IF(Distances[[#This Row],[Colonne119]]=$G67,EG67,Distances[[#This Row],[Colonne119]]+1)</f>
        <v>15</v>
      </c>
      <c r="EI67" s="17">
        <f>IF(Distances[[#This Row],[Colonne120]]=$G67,EH67,Distances[[#This Row],[Colonne120]]+1)</f>
        <v>15</v>
      </c>
      <c r="EJ67" s="17">
        <f>IF(Distances[[#This Row],[Colonne121]]=$G67,EI67,Distances[[#This Row],[Colonne121]]+1)</f>
        <v>15</v>
      </c>
      <c r="EK67" s="17">
        <f>IF(Distances[[#This Row],[Colonne122]]=$G67,EJ67,Distances[[#This Row],[Colonne122]]+1)</f>
        <v>15</v>
      </c>
      <c r="EL67" s="17">
        <f>IF(Distances[[#This Row],[Colonne123]]=$G67,EK67,Distances[[#This Row],[Colonne123]]+1)</f>
        <v>15</v>
      </c>
      <c r="EM67" s="17">
        <f>IF(Distances[[#This Row],[Colonne124]]=$G67,EL67,Distances[[#This Row],[Colonne124]]+1)</f>
        <v>15</v>
      </c>
      <c r="EN67" s="17">
        <f>IF(Distances[[#This Row],[Colonne125]]=$G67,EM67,Distances[[#This Row],[Colonne125]]+1)</f>
        <v>15</v>
      </c>
      <c r="EO67" s="17">
        <f>IF(Distances[[#This Row],[Colonne126]]=$G67,EN67,Distances[[#This Row],[Colonne126]]+1)</f>
        <v>15</v>
      </c>
      <c r="EP67" s="17">
        <f>IF(Distances[[#This Row],[Colonne127]]=$G67,EO67,Distances[[#This Row],[Colonne127]]+1)</f>
        <v>15</v>
      </c>
      <c r="EQ67" s="17">
        <f>IF(Distances[[#This Row],[Colonne128]]=$G67,EP67,Distances[[#This Row],[Colonne128]]+1)</f>
        <v>15</v>
      </c>
      <c r="ER67" s="17">
        <f>IF(Distances[[#This Row],[Colonne129]]=$G67,EQ67,Distances[[#This Row],[Colonne129]]+1)</f>
        <v>15</v>
      </c>
      <c r="ES67" s="17">
        <f>IF(Distances[[#This Row],[Colonne130]]=$G67,ER67,Distances[[#This Row],[Colonne130]]+1)</f>
        <v>15</v>
      </c>
      <c r="ET67" s="17">
        <f>IF(Distances[[#This Row],[Colonne131]]=$G67,ES67,Distances[[#This Row],[Colonne131]]+1)</f>
        <v>15</v>
      </c>
      <c r="EU67" s="17">
        <f>IF(Distances[[#This Row],[Colonne132]]=$G67,ET67,Distances[[#This Row],[Colonne132]]+1)</f>
        <v>15</v>
      </c>
      <c r="EV67" s="17">
        <f>IF(Distances[[#This Row],[Colonne133]]=$G67,EU67,Distances[[#This Row],[Colonne133]]+1)</f>
        <v>15</v>
      </c>
      <c r="EW67" s="17">
        <f>IF(Distances[[#This Row],[Colonne134]]=$G67,EV67,Distances[[#This Row],[Colonne134]]+1)</f>
        <v>15</v>
      </c>
      <c r="EX67" s="17">
        <f>IF(Distances[[#This Row],[Colonne135]]=$G67,EW67,Distances[[#This Row],[Colonne135]]+1)</f>
        <v>15</v>
      </c>
      <c r="EY67" s="17">
        <f>IF(Distances[[#This Row],[Colonne136]]=$G67,EX67,Distances[[#This Row],[Colonne136]]+1)</f>
        <v>15</v>
      </c>
      <c r="EZ67" s="17">
        <f>IF(Distances[[#This Row],[Colonne137]]=$G67,EY67,Distances[[#This Row],[Colonne137]]+1)</f>
        <v>15</v>
      </c>
      <c r="FA67" s="17">
        <f>IF(Distances[[#This Row],[Colonne138]]=$G67,EZ67,Distances[[#This Row],[Colonne138]]+1)</f>
        <v>15</v>
      </c>
      <c r="FB67" s="17">
        <f>IF(Distances[[#This Row],[Colonne139]]=$G67,FA67,Distances[[#This Row],[Colonne139]]+1)</f>
        <v>15</v>
      </c>
      <c r="FC67" s="17">
        <f>IF(Distances[[#This Row],[Colonne140]]=$G67,FB67,Distances[[#This Row],[Colonne140]]+1)</f>
        <v>15</v>
      </c>
      <c r="FD67" s="17">
        <f>IF(Distances[[#This Row],[Colonne141]]=$G67,FC67,Distances[[#This Row],[Colonne141]]+1)</f>
        <v>15</v>
      </c>
      <c r="FE67" s="17">
        <f>IF(Distances[[#This Row],[Colonne142]]=$G67,FD67,Distances[[#This Row],[Colonne142]]+1)</f>
        <v>15</v>
      </c>
      <c r="FF67" s="17">
        <f>IF(Distances[[#This Row],[Colonne143]]=$G67,FE67,Distances[[#This Row],[Colonne143]]+1)</f>
        <v>15</v>
      </c>
      <c r="FG67" s="17">
        <f>IF(Distances[[#This Row],[Colonne144]]=$G67,FF67,Distances[[#This Row],[Colonne144]]+1)</f>
        <v>15</v>
      </c>
      <c r="FH67" s="17">
        <f>IF(Distances[[#This Row],[Colonne145]]=$G67,FG67,Distances[[#This Row],[Colonne145]]+1)</f>
        <v>15</v>
      </c>
      <c r="FI67" s="17">
        <f>IF(Distances[[#This Row],[Colonne146]]=$G67,FH67,Distances[[#This Row],[Colonne146]]+1)</f>
        <v>15</v>
      </c>
      <c r="FJ67" s="17">
        <f>IF(Distances[[#This Row],[Colonne147]]=$G67,FI67,Distances[[#This Row],[Colonne147]]+1)</f>
        <v>15</v>
      </c>
      <c r="FK67" s="17">
        <f>IF(Distances[[#This Row],[Colonne148]]=$G67,FJ67,Distances[[#This Row],[Colonne148]]+1)</f>
        <v>15</v>
      </c>
      <c r="FL67" s="17">
        <f>IF(Distances[[#This Row],[Colonne149]]=$G67,FK67,Distances[[#This Row],[Colonne149]]+1)</f>
        <v>15</v>
      </c>
      <c r="FM67" s="17">
        <f>IF(Distances[[#This Row],[Colonne150]]=$G67,FL67,Distances[[#This Row],[Colonne150]]+1)</f>
        <v>15</v>
      </c>
      <c r="FN67" s="17">
        <f>IF(Distances[[#This Row],[Colonne151]]=$G67,FM67,Distances[[#This Row],[Colonne151]]+1)</f>
        <v>15</v>
      </c>
      <c r="FO67" s="17">
        <f>IF(Distances[[#This Row],[Colonne152]]=$G67,FN67,Distances[[#This Row],[Colonne152]]+1)</f>
        <v>15</v>
      </c>
      <c r="FP67" s="17">
        <f>IF(Distances[[#This Row],[Colonne153]]=$G67,FO67,Distances[[#This Row],[Colonne153]]+1)</f>
        <v>15</v>
      </c>
      <c r="FQ67" s="17">
        <f>IF(Distances[[#This Row],[Colonne154]]=$G67,FP67,Distances[[#This Row],[Colonne154]]+1)</f>
        <v>15</v>
      </c>
      <c r="FR67" s="17">
        <f>IF(Distances[[#This Row],[Colonne155]]=$G67,FQ67,Distances[[#This Row],[Colonne155]]+1)</f>
        <v>15</v>
      </c>
      <c r="FS67" s="17">
        <f>IF(Distances[[#This Row],[Colonne156]]=$G67,FR67,Distances[[#This Row],[Colonne156]]+1)</f>
        <v>15</v>
      </c>
      <c r="FT67" s="17">
        <f>IF(Distances[[#This Row],[Colonne157]]=$G67,FS67,Distances[[#This Row],[Colonne157]]+1)</f>
        <v>15</v>
      </c>
      <c r="FU67" s="17">
        <f>IF(Distances[[#This Row],[Colonne158]]=$G67,FT67,Distances[[#This Row],[Colonne158]]+1)</f>
        <v>15</v>
      </c>
      <c r="FV67" s="17">
        <f>IF(Distances[[#This Row],[Colonne159]]=$G67,FU67,Distances[[#This Row],[Colonne159]]+1)</f>
        <v>15</v>
      </c>
      <c r="FW67" s="17">
        <f>IF(Distances[[#This Row],[Colonne160]]=$G67,FV67,Distances[[#This Row],[Colonne160]]+1)</f>
        <v>15</v>
      </c>
      <c r="FX67" s="17">
        <f>IF(Distances[[#This Row],[Colonne161]]=$G67,FW67,Distances[[#This Row],[Colonne161]]+1)</f>
        <v>15</v>
      </c>
      <c r="FY67" s="17">
        <f>IF(Distances[[#This Row],[Colonne162]]=$G67,FX67,Distances[[#This Row],[Colonne162]]+1)</f>
        <v>15</v>
      </c>
      <c r="FZ67" s="17">
        <f>IF(Distances[[#This Row],[Colonne163]]=$G67,FY67,Distances[[#This Row],[Colonne163]]+1)</f>
        <v>15</v>
      </c>
      <c r="GA67" s="17">
        <f>IF(Distances[[#This Row],[Colonne164]]=$G67,FZ67,Distances[[#This Row],[Colonne164]]+1)</f>
        <v>15</v>
      </c>
      <c r="GB67" s="17">
        <f>IF(Distances[[#This Row],[Colonne165]]=$G67,GA67,Distances[[#This Row],[Colonne165]]+1)</f>
        <v>15</v>
      </c>
      <c r="GC67" s="17">
        <f>IF(Distances[[#This Row],[Colonne166]]=$G67,GB67,Distances[[#This Row],[Colonne166]]+1)</f>
        <v>15</v>
      </c>
      <c r="GD67" s="17">
        <f>IF(Distances[[#This Row],[Colonne167]]=$G67,GC67,Distances[[#This Row],[Colonne167]]+1)</f>
        <v>15</v>
      </c>
      <c r="GE67" s="17">
        <f>IF(Distances[[#This Row],[Colonne168]]=$G67,GD67,Distances[[#This Row],[Colonne168]]+1)</f>
        <v>15</v>
      </c>
      <c r="GF67" s="17">
        <f>IF(Distances[[#This Row],[Colonne169]]=$G67,GE67,Distances[[#This Row],[Colonne169]]+1)</f>
        <v>15</v>
      </c>
      <c r="GG67" s="17">
        <f>IF(Distances[[#This Row],[Colonne170]]=$G67,GF67,Distances[[#This Row],[Colonne170]]+1)</f>
        <v>15</v>
      </c>
      <c r="GH67" s="17">
        <f>IF(Distances[[#This Row],[Colonne171]]=$G67,GG67,Distances[[#This Row],[Colonne171]]+1)</f>
        <v>15</v>
      </c>
      <c r="GI67" s="17">
        <f>IF(Distances[[#This Row],[Colonne172]]=$G67,GH67,Distances[[#This Row],[Colonne172]]+1)</f>
        <v>15</v>
      </c>
      <c r="GJ67" s="17">
        <f>IF(Distances[[#This Row],[Colonne173]]=$G67,GI67,Distances[[#This Row],[Colonne173]]+1)</f>
        <v>15</v>
      </c>
      <c r="GK67" s="17">
        <f>IF(Distances[[#This Row],[Colonne174]]=$G67,GJ67,Distances[[#This Row],[Colonne174]]+1)</f>
        <v>15</v>
      </c>
      <c r="GL67" s="17">
        <f>IF(Distances[[#This Row],[Colonne175]]=$G67,GK67,Distances[[#This Row],[Colonne175]]+1)</f>
        <v>15</v>
      </c>
      <c r="GM67" s="17">
        <f>IF(Distances[[#This Row],[Colonne176]]=$G67,GL67,Distances[[#This Row],[Colonne176]]+1)</f>
        <v>15</v>
      </c>
      <c r="GN67" s="17">
        <f>IF(Distances[[#This Row],[Colonne177]]=$G67,GM67,Distances[[#This Row],[Colonne177]]+1)</f>
        <v>15</v>
      </c>
      <c r="GO67" s="17">
        <f>IF(Distances[[#This Row],[Colonne178]]=$G67,GN67,Distances[[#This Row],[Colonne178]]+1)</f>
        <v>15</v>
      </c>
      <c r="GP67" s="17">
        <f>IF(Distances[[#This Row],[Colonne179]]=$G67,GO67,Distances[[#This Row],[Colonne179]]+1)</f>
        <v>15</v>
      </c>
      <c r="GQ67" s="17">
        <f>IF(Distances[[#This Row],[Colonne180]]=$G67,GP67,Distances[[#This Row],[Colonne180]]+1)</f>
        <v>15</v>
      </c>
      <c r="GR67" s="17">
        <f>IF(Distances[[#This Row],[Colonne181]]=$G67,GQ67,Distances[[#This Row],[Colonne181]]+1)</f>
        <v>15</v>
      </c>
      <c r="GS67" s="17">
        <f>IF(Distances[[#This Row],[Colonne182]]=$G67,GR67,Distances[[#This Row],[Colonne182]]+1)</f>
        <v>15</v>
      </c>
      <c r="GT67" s="17">
        <f>IF(Distances[[#This Row],[Colonne183]]=$G67,GS67,Distances[[#This Row],[Colonne183]]+1)</f>
        <v>15</v>
      </c>
      <c r="GU67" s="17">
        <f>IF(Distances[[#This Row],[Colonne184]]=$G67,GT67,Distances[[#This Row],[Colonne184]]+1)</f>
        <v>15</v>
      </c>
      <c r="GV67" s="17">
        <f>IF(Distances[[#This Row],[Colonne185]]=$G67,GU67,Distances[[#This Row],[Colonne185]]+1)</f>
        <v>15</v>
      </c>
      <c r="GW67" s="17">
        <f>IF(Distances[[#This Row],[Colonne186]]=$G67,GV67,Distances[[#This Row],[Colonne186]]+1)</f>
        <v>15</v>
      </c>
      <c r="GX67" s="17">
        <f>IF(Distances[[#This Row],[Colonne187]]=$G67,GW67,Distances[[#This Row],[Colonne187]]+1)</f>
        <v>15</v>
      </c>
      <c r="GY67" s="17">
        <f>IF(Distances[[#This Row],[Colonne188]]=$G67,GX67,Distances[[#This Row],[Colonne188]]+1)</f>
        <v>15</v>
      </c>
      <c r="GZ67" s="17">
        <f>IF(Distances[[#This Row],[Colonne189]]=$G67,GY67,Distances[[#This Row],[Colonne189]]+1)</f>
        <v>15</v>
      </c>
      <c r="HA67" s="17">
        <f>IF(Distances[[#This Row],[Colonne190]]=$G67,GZ67,Distances[[#This Row],[Colonne190]]+1)</f>
        <v>15</v>
      </c>
      <c r="HB67" s="17">
        <f>IF(Distances[[#This Row],[Colonne191]]=$G67,HA67,Distances[[#This Row],[Colonne191]]+1)</f>
        <v>15</v>
      </c>
      <c r="HC67" s="17">
        <f>IF(Distances[[#This Row],[Colonne192]]=$G67,HB67,Distances[[#This Row],[Colonne192]]+1)</f>
        <v>15</v>
      </c>
      <c r="HD67" s="17">
        <f>IF(Distances[[#This Row],[Colonne193]]=$G67,HC67,Distances[[#This Row],[Colonne193]]+1)</f>
        <v>15</v>
      </c>
      <c r="HE67" s="17">
        <f>IF(Distances[[#This Row],[Colonne194]]=$G67,HD67,Distances[[#This Row],[Colonne194]]+1)</f>
        <v>15</v>
      </c>
      <c r="HF67" s="17">
        <f>IF(Distances[[#This Row],[Colonne195]]=$G67,HE67,Distances[[#This Row],[Colonne195]]+1)</f>
        <v>15</v>
      </c>
      <c r="HG67" s="17">
        <f>IF(Distances[[#This Row],[Colonne196]]=$G67,HF67,Distances[[#This Row],[Colonne196]]+1)</f>
        <v>15</v>
      </c>
      <c r="HH67" s="17">
        <f>IF(Distances[[#This Row],[Colonne197]]=$G67,HG67,Distances[[#This Row],[Colonne197]]+1)</f>
        <v>15</v>
      </c>
      <c r="HI67" s="17">
        <f>IF(Distances[[#This Row],[Colonne198]]=$G67,HH67,Distances[[#This Row],[Colonne198]]+1)</f>
        <v>15</v>
      </c>
      <c r="HJ67" s="17">
        <f>IF(Distances[[#This Row],[Colonne199]]=$G67,HI67,Distances[[#This Row],[Colonne199]]+1)</f>
        <v>15</v>
      </c>
      <c r="HK67" s="17">
        <f>IF(Distances[[#This Row],[Colonne200]]=$G67,HJ67,Distances[[#This Row],[Colonne200]]+1)</f>
        <v>15</v>
      </c>
      <c r="HL67" s="17">
        <f>IF(Distances[[#This Row],[Colonne201]]=$G67,HK67,Distances[[#This Row],[Colonne201]]+1)</f>
        <v>15</v>
      </c>
      <c r="HM67" s="17">
        <f>IF(Distances[[#This Row],[Colonne202]]=$G67,HL67,Distances[[#This Row],[Colonne202]]+1)</f>
        <v>15</v>
      </c>
      <c r="HN67" s="17">
        <f>IF(Distances[[#This Row],[Colonne203]]=$G67,HM67,Distances[[#This Row],[Colonne203]]+1)</f>
        <v>15</v>
      </c>
      <c r="HO67" s="17">
        <f>IF(Distances[[#This Row],[Colonne204]]=$G67,HN67,Distances[[#This Row],[Colonne204]]+1)</f>
        <v>15</v>
      </c>
      <c r="HP67" s="17">
        <f>IF(Distances[[#This Row],[Colonne205]]=$G67,HO67,Distances[[#This Row],[Colonne205]]+1)</f>
        <v>15</v>
      </c>
      <c r="HQ67" s="17">
        <f>IF(Distances[[#This Row],[Colonne206]]=$G67,HP67,Distances[[#This Row],[Colonne206]]+1)</f>
        <v>15</v>
      </c>
      <c r="HR67" s="17">
        <f>IF(Distances[[#This Row],[Colonne207]]=$G67,HQ67,Distances[[#This Row],[Colonne207]]+1)</f>
        <v>15</v>
      </c>
      <c r="HS67" s="17">
        <f>IF(Distances[[#This Row],[Colonne208]]=$G67,HR67,Distances[[#This Row],[Colonne208]]+1)</f>
        <v>15</v>
      </c>
      <c r="HT67" s="17">
        <f>IF(Distances[[#This Row],[Colonne209]]=$G67,HS67,Distances[[#This Row],[Colonne209]]+1)</f>
        <v>15</v>
      </c>
      <c r="HU67" s="17">
        <f>IF(Distances[[#This Row],[Colonne210]]=$G67,HT67,Distances[[#This Row],[Colonne210]]+1)</f>
        <v>15</v>
      </c>
      <c r="HV67" s="17">
        <f>IF(Distances[[#This Row],[Colonne211]]=$G67,HU67,Distances[[#This Row],[Colonne211]]+1)</f>
        <v>15</v>
      </c>
      <c r="HW67" s="17">
        <f>IF(Distances[[#This Row],[Colonne212]]=$G67,HV67,Distances[[#This Row],[Colonne212]]+1)</f>
        <v>15</v>
      </c>
      <c r="HX67" s="17">
        <f>IF(Distances[[#This Row],[Colonne213]]=$G67,HW67,Distances[[#This Row],[Colonne213]]+1)</f>
        <v>15</v>
      </c>
      <c r="HY67" s="17">
        <f>IF(Distances[[#This Row],[Colonne214]]=$G67,HX67,Distances[[#This Row],[Colonne214]]+1)</f>
        <v>15</v>
      </c>
      <c r="HZ67" s="17">
        <f>IF(Distances[[#This Row],[Colonne215]]=$G67,HY67,Distances[[#This Row],[Colonne215]]+1)</f>
        <v>15</v>
      </c>
      <c r="IA67" s="17">
        <f>IF(Distances[[#This Row],[Colonne216]]=$G67,HZ67,Distances[[#This Row],[Colonne216]]+1)</f>
        <v>15</v>
      </c>
      <c r="IB67" s="17">
        <f>IF(Distances[[#This Row],[Colonne217]]=$G67,IA67,Distances[[#This Row],[Colonne217]]+1)</f>
        <v>15</v>
      </c>
      <c r="IC67" s="17">
        <f>IF(Distances[[#This Row],[Colonne218]]=$G67,IB67,Distances[[#This Row],[Colonne218]]+1)</f>
        <v>15</v>
      </c>
      <c r="ID67" s="17">
        <f>IF(Distances[[#This Row],[Colonne219]]=$G67,IC67,Distances[[#This Row],[Colonne219]]+1)</f>
        <v>15</v>
      </c>
      <c r="IE67" s="17">
        <f>IF(Distances[[#This Row],[Colonne220]]=$G67,ID67,Distances[[#This Row],[Colonne220]]+1)</f>
        <v>15</v>
      </c>
      <c r="IF67" s="17">
        <f>IF(Distances[[#This Row],[Colonne221]]=$G67,IE67,Distances[[#This Row],[Colonne221]]+1)</f>
        <v>15</v>
      </c>
      <c r="IG67" s="17">
        <f>IF(Distances[[#This Row],[Colonne222]]=$G67,IF67,Distances[[#This Row],[Colonne222]]+1)</f>
        <v>15</v>
      </c>
      <c r="IH67" s="17">
        <f>IF(Distances[[#This Row],[Colonne223]]=$G67,IG67,Distances[[#This Row],[Colonne223]]+1)</f>
        <v>15</v>
      </c>
      <c r="II67" s="17">
        <f>IF(Distances[[#This Row],[Colonne224]]=$G67,IH67,Distances[[#This Row],[Colonne224]]+1)</f>
        <v>15</v>
      </c>
      <c r="IJ67" s="17">
        <f>IF(Distances[[#This Row],[Colonne225]]=$G67,II67,Distances[[#This Row],[Colonne225]]+1)</f>
        <v>15</v>
      </c>
      <c r="IK67" s="17">
        <f>IF(Distances[[#This Row],[Colonne226]]=$G67,IJ67,Distances[[#This Row],[Colonne226]]+1)</f>
        <v>15</v>
      </c>
      <c r="IL67" s="17">
        <f>IF(Distances[[#This Row],[Colonne227]]=$G67,IK67,Distances[[#This Row],[Colonne227]]+1)</f>
        <v>15</v>
      </c>
      <c r="IM67" s="17">
        <f>IF(Distances[[#This Row],[Colonne228]]=$G67,IL67,Distances[[#This Row],[Colonne228]]+1)</f>
        <v>15</v>
      </c>
      <c r="IN67" s="17">
        <f>IF(Distances[[#This Row],[Colonne229]]=$G67,IM67,Distances[[#This Row],[Colonne229]]+1)</f>
        <v>15</v>
      </c>
      <c r="IO67" s="17">
        <f>IF(Distances[[#This Row],[Colonne230]]=$G67,IN67,Distances[[#This Row],[Colonne230]]+1)</f>
        <v>15</v>
      </c>
      <c r="IP67" s="17">
        <f>IF(Distances[[#This Row],[Colonne231]]=$G67,IO67,Distances[[#This Row],[Colonne231]]+1)</f>
        <v>15</v>
      </c>
      <c r="IQ67" s="17">
        <f>IF(Distances[[#This Row],[Colonne232]]=$G67,IP67,Distances[[#This Row],[Colonne232]]+1)</f>
        <v>15</v>
      </c>
      <c r="IR67" s="17">
        <f>IF(Distances[[#This Row],[Colonne233]]=$G67,IQ67,Distances[[#This Row],[Colonne233]]+1)</f>
        <v>15</v>
      </c>
      <c r="IS67" s="17">
        <f>IF(Distances[[#This Row],[Colonne234]]=$G67,IR67,Distances[[#This Row],[Colonne234]]+1)</f>
        <v>15</v>
      </c>
      <c r="IT67" s="17">
        <f>IF(Distances[[#This Row],[Colonne235]]=$G67,IS67,Distances[[#This Row],[Colonne235]]+1)</f>
        <v>15</v>
      </c>
      <c r="IU67" s="17">
        <f>IF(Distances[[#This Row],[Colonne236]]=$G67,IT67,Distances[[#This Row],[Colonne236]]+1)</f>
        <v>15</v>
      </c>
      <c r="IV67" s="17">
        <f>IF(Distances[[#This Row],[Colonne237]]=$G67,IU67,Distances[[#This Row],[Colonne237]]+1)</f>
        <v>15</v>
      </c>
      <c r="IW67" s="17">
        <f>IF(Distances[[#This Row],[Colonne238]]=$G67,IV67,Distances[[#This Row],[Colonne238]]+1)</f>
        <v>15</v>
      </c>
      <c r="IX67" s="17">
        <f>IF(Distances[[#This Row],[Colonne239]]=$G67,IW67,Distances[[#This Row],[Colonne239]]+1)</f>
        <v>15</v>
      </c>
      <c r="IY67" s="17">
        <f>IF(Distances[[#This Row],[Colonne240]]=$G67,IX67,Distances[[#This Row],[Colonne240]]+1)</f>
        <v>15</v>
      </c>
      <c r="IZ67" s="17">
        <f>IF(Distances[[#This Row],[Colonne241]]=$G67,IY67,Distances[[#This Row],[Colonne241]]+1)</f>
        <v>15</v>
      </c>
      <c r="JA67" s="17">
        <f>IF(Distances[[#This Row],[Colonne242]]=$G67,IZ67,Distances[[#This Row],[Colonne242]]+1)</f>
        <v>15</v>
      </c>
      <c r="JB67" s="17">
        <f>IF(Distances[[#This Row],[Colonne243]]=$G67,JA67,Distances[[#This Row],[Colonne243]]+1)</f>
        <v>15</v>
      </c>
      <c r="JC67" s="17">
        <f>IF(Distances[[#This Row],[Colonne244]]=$G67,JB67,Distances[[#This Row],[Colonne244]]+1)</f>
        <v>15</v>
      </c>
      <c r="JD67" s="17">
        <f>IF(Distances[[#This Row],[Colonne245]]=$G67,JC67,Distances[[#This Row],[Colonne245]]+1)</f>
        <v>15</v>
      </c>
      <c r="JE67" s="17">
        <f>IF(Distances[[#This Row],[Colonne246]]=$G67,JD67,Distances[[#This Row],[Colonne246]]+1)</f>
        <v>15</v>
      </c>
      <c r="JF67" s="17">
        <f>IF(Distances[[#This Row],[Colonne247]]=$G67,JE67,Distances[[#This Row],[Colonne247]]+1)</f>
        <v>15</v>
      </c>
      <c r="JG67" s="17">
        <f>IF(Distances[[#This Row],[Colonne248]]=$G67,JF67,Distances[[#This Row],[Colonne248]]+1)</f>
        <v>15</v>
      </c>
      <c r="JH67" s="17">
        <f>IF(Distances[[#This Row],[Colonne249]]=$G67,JG67,Distances[[#This Row],[Colonne249]]+1)</f>
        <v>15</v>
      </c>
      <c r="JI67" s="17">
        <f>IF(Distances[[#This Row],[Colonne250]]=$G67,JH67,Distances[[#This Row],[Colonne250]]+1)</f>
        <v>15</v>
      </c>
      <c r="JJ67" s="17">
        <f>IF(Distances[[#This Row],[Colonne251]]=$G67,JI67,Distances[[#This Row],[Colonne251]]+1)</f>
        <v>15</v>
      </c>
      <c r="JK67" s="17">
        <f>IF(Distances[[#This Row],[Colonne252]]=$G67,JJ67,Distances[[#This Row],[Colonne252]]+1)</f>
        <v>15</v>
      </c>
      <c r="JL67" s="17">
        <f>IF(Distances[[#This Row],[Colonne253]]=$G67,JK67,Distances[[#This Row],[Colonne253]]+1)</f>
        <v>15</v>
      </c>
      <c r="JM67" s="17">
        <f>IF(Distances[[#This Row],[Colonne254]]=$G67,JL67,Distances[[#This Row],[Colonne254]]+1)</f>
        <v>15</v>
      </c>
      <c r="JN67" s="17">
        <f>IF(Distances[[#This Row],[Colonne255]]=$G67,JM67,Distances[[#This Row],[Colonne255]]+1)</f>
        <v>15</v>
      </c>
      <c r="JO67" s="17">
        <f>IF(Distances[[#This Row],[Colonne256]]=$G67,JN67,Distances[[#This Row],[Colonne256]]+1)</f>
        <v>15</v>
      </c>
      <c r="JP67" s="17">
        <f>IF(Distances[[#This Row],[Colonne257]]=$G67,JO67,Distances[[#This Row],[Colonne257]]+1)</f>
        <v>15</v>
      </c>
      <c r="JQ67" s="17">
        <f>IF(Distances[[#This Row],[Colonne258]]=$G67,JP67,Distances[[#This Row],[Colonne258]]+1)</f>
        <v>15</v>
      </c>
      <c r="JR67" s="17">
        <f>IF(Distances[[#This Row],[Colonne259]]=$G67,JQ67,Distances[[#This Row],[Colonne259]]+1)</f>
        <v>15</v>
      </c>
      <c r="JS67" s="17">
        <f>IF(Distances[[#This Row],[Colonne260]]=$G67,JR67,Distances[[#This Row],[Colonne260]]+1)</f>
        <v>15</v>
      </c>
      <c r="JT67" s="17">
        <f>IF(Distances[[#This Row],[Colonne261]]=$G67,JS67,Distances[[#This Row],[Colonne261]]+1)</f>
        <v>15</v>
      </c>
      <c r="JU67" s="17">
        <f>IF(Distances[[#This Row],[Colonne262]]=$G67,JT67,Distances[[#This Row],[Colonne262]]+1)</f>
        <v>15</v>
      </c>
      <c r="JV67" s="17">
        <f>IF(Distances[[#This Row],[Colonne263]]=$G67,JU67,Distances[[#This Row],[Colonne263]]+1)</f>
        <v>15</v>
      </c>
      <c r="JW67" s="17">
        <f>IF(Distances[[#This Row],[Colonne264]]=$G67,JV67,Distances[[#This Row],[Colonne264]]+1)</f>
        <v>15</v>
      </c>
      <c r="JX67" s="17">
        <f>IF(Distances[[#This Row],[Colonne265]]=$G67,JW67,Distances[[#This Row],[Colonne265]]+1)</f>
        <v>15</v>
      </c>
      <c r="JY67" s="17">
        <f>IF(Distances[[#This Row],[Colonne266]]=$G67,JX67,Distances[[#This Row],[Colonne266]]+1)</f>
        <v>15</v>
      </c>
      <c r="JZ67" s="17">
        <f>IF(Distances[[#This Row],[Colonne267]]=$G67,JY67,Distances[[#This Row],[Colonne267]]+1)</f>
        <v>15</v>
      </c>
      <c r="KA67" s="17">
        <f>IF(Distances[[#This Row],[Colonne268]]=$G67,JZ67,Distances[[#This Row],[Colonne268]]+1)</f>
        <v>15</v>
      </c>
      <c r="KB67" s="17">
        <f>IF(Distances[[#This Row],[Colonne269]]=$G67,KA67,Distances[[#This Row],[Colonne269]]+1)</f>
        <v>15</v>
      </c>
      <c r="KC67" s="17">
        <f>IF(Distances[[#This Row],[Colonne270]]=$G67,KB67,Distances[[#This Row],[Colonne270]]+1)</f>
        <v>15</v>
      </c>
      <c r="KD67" s="17">
        <f>IF(Distances[[#This Row],[Colonne271]]=$G67,KC67,Distances[[#This Row],[Colonne271]]+1)</f>
        <v>15</v>
      </c>
      <c r="KE67" s="17">
        <f>IF(Distances[[#This Row],[Colonne272]]=$G67,KD67,Distances[[#This Row],[Colonne272]]+1)</f>
        <v>15</v>
      </c>
      <c r="KF67" s="17">
        <f>IF(Distances[[#This Row],[Colonne273]]=$G67,KE67,Distances[[#This Row],[Colonne273]]+1)</f>
        <v>15</v>
      </c>
      <c r="KG67" s="17">
        <f>IF(Distances[[#This Row],[Colonne274]]=$G67,KF67,Distances[[#This Row],[Colonne274]]+1)</f>
        <v>15</v>
      </c>
      <c r="KH67" s="17">
        <f>IF(Distances[[#This Row],[Colonne275]]=$G67,KG67,Distances[[#This Row],[Colonne275]]+1)</f>
        <v>15</v>
      </c>
      <c r="KI67" s="17">
        <f>IF(Distances[[#This Row],[Colonne276]]=$G67,KH67,Distances[[#This Row],[Colonne276]]+1)</f>
        <v>15</v>
      </c>
      <c r="KJ67" s="17">
        <f>IF(Distances[[#This Row],[Colonne277]]=$G67,KI67,Distances[[#This Row],[Colonne277]]+1)</f>
        <v>15</v>
      </c>
      <c r="KK67" s="17">
        <f>IF(Distances[[#This Row],[Colonne278]]=$G67,KJ67,Distances[[#This Row],[Colonne278]]+1)</f>
        <v>15</v>
      </c>
      <c r="KL67" s="17">
        <f>IF(Distances[[#This Row],[Colonne279]]=$G67,KK67,Distances[[#This Row],[Colonne279]]+1)</f>
        <v>15</v>
      </c>
      <c r="KM67" s="17">
        <f>IF(Distances[[#This Row],[Colonne280]]=$G67,KL67,Distances[[#This Row],[Colonne280]]+1)</f>
        <v>15</v>
      </c>
      <c r="KN67" s="17">
        <f>IF(Distances[[#This Row],[Colonne281]]=$G67,KM67,Distances[[#This Row],[Colonne281]]+1)</f>
        <v>15</v>
      </c>
      <c r="KO67" s="17">
        <f>IF(Distances[[#This Row],[Colonne282]]=$G67,KN67,Distances[[#This Row],[Colonne282]]+1)</f>
        <v>15</v>
      </c>
      <c r="KP67" s="17">
        <f>IF(Distances[[#This Row],[Colonne283]]=$G67,KO67,Distances[[#This Row],[Colonne283]]+1)</f>
        <v>15</v>
      </c>
      <c r="KQ67" s="17">
        <f>IF(Distances[[#This Row],[Colonne284]]=$G67,KP67,Distances[[#This Row],[Colonne284]]+1)</f>
        <v>15</v>
      </c>
      <c r="KR67" s="17">
        <f>IF(Distances[[#This Row],[Colonne285]]=$G67,KQ67,Distances[[#This Row],[Colonne285]]+1)</f>
        <v>15</v>
      </c>
      <c r="KS67" s="17">
        <f>IF(Distances[[#This Row],[Colonne286]]=$G67,KR67,Distances[[#This Row],[Colonne286]]+1)</f>
        <v>15</v>
      </c>
      <c r="KT67" s="17">
        <f>IF(Distances[[#This Row],[Colonne287]]=$G67,KS67,Distances[[#This Row],[Colonne287]]+1)</f>
        <v>15</v>
      </c>
      <c r="KU67" s="17">
        <f>IF(Distances[[#This Row],[Colonne288]]=$G67,KT67,Distances[[#This Row],[Colonne288]]+1)</f>
        <v>15</v>
      </c>
      <c r="KV67" s="17">
        <f>IF(Distances[[#This Row],[Colonne289]]=$G67,KU67,Distances[[#This Row],[Colonne289]]+1)</f>
        <v>15</v>
      </c>
      <c r="KW67" s="17">
        <f>IF(Distances[[#This Row],[Colonne290]]=$G67,KV67,Distances[[#This Row],[Colonne290]]+1)</f>
        <v>15</v>
      </c>
      <c r="KX67" s="17">
        <f>IF(Distances[[#This Row],[Colonne291]]=$G67,KW67,Distances[[#This Row],[Colonne291]]+1)</f>
        <v>15</v>
      </c>
      <c r="KY67" s="17">
        <f>IF(Distances[[#This Row],[Colonne292]]=$G67,KX67,Distances[[#This Row],[Colonne292]]+1)</f>
        <v>15</v>
      </c>
      <c r="KZ67" s="17">
        <f>IF(Distances[[#This Row],[Colonne293]]=$G67,KY67,Distances[[#This Row],[Colonne293]]+1)</f>
        <v>15</v>
      </c>
      <c r="LA67" s="17">
        <f>IF(Distances[[#This Row],[Colonne294]]=$G67,KZ67,Distances[[#This Row],[Colonne294]]+1)</f>
        <v>15</v>
      </c>
      <c r="LB67" s="17">
        <f>IF(Distances[[#This Row],[Colonne295]]=$G67,LA67,Distances[[#This Row],[Colonne295]]+1)</f>
        <v>15</v>
      </c>
      <c r="LC67" s="17">
        <f>IF(Distances[[#This Row],[Colonne296]]=$G67,LB67,Distances[[#This Row],[Colonne296]]+1)</f>
        <v>15</v>
      </c>
      <c r="LD67" s="17">
        <f>IF(Distances[[#This Row],[Colonne297]]=$G67,LC67,Distances[[#This Row],[Colonne297]]+1)</f>
        <v>15</v>
      </c>
      <c r="LE67" s="17">
        <f>IF(Distances[[#This Row],[Colonne298]]=$G67,LD67,Distances[[#This Row],[Colonne298]]+1)</f>
        <v>15</v>
      </c>
      <c r="LF67" s="17">
        <f>IF(Distances[[#This Row],[Colonne299]]=$G67,LE67,Distances[[#This Row],[Colonne299]]+1)</f>
        <v>15</v>
      </c>
      <c r="LG67" s="17">
        <f>IF(Distances[[#This Row],[Colonne300]]=$G67,LF67,Distances[[#This Row],[Colonne300]]+1)</f>
        <v>15</v>
      </c>
      <c r="LH67" s="17">
        <f>IF(Distances[[#This Row],[Colonne301]]=$G67,LG67,Distances[[#This Row],[Colonne301]]+1)</f>
        <v>15</v>
      </c>
      <c r="LI67" s="17">
        <f>IF(Distances[[#This Row],[Colonne302]]=$G67,LH67,Distances[[#This Row],[Colonne302]]+1)</f>
        <v>15</v>
      </c>
      <c r="LJ67" s="17">
        <f>IF(Distances[[#This Row],[Colonne303]]=$G67,LI67,Distances[[#This Row],[Colonne303]]+1)</f>
        <v>15</v>
      </c>
      <c r="LK67" s="51"/>
      <c r="LL67" s="17">
        <f t="shared" ref="LL67:NW67" si="131">IF(LK67=$H67,LK67,LK67+1)</f>
        <v>1</v>
      </c>
      <c r="LM67" s="17">
        <f t="shared" si="131"/>
        <v>2</v>
      </c>
      <c r="LN67" s="17">
        <f t="shared" si="131"/>
        <v>3</v>
      </c>
      <c r="LO67" s="17">
        <f t="shared" si="131"/>
        <v>4</v>
      </c>
      <c r="LP67" s="17">
        <f t="shared" si="131"/>
        <v>5</v>
      </c>
      <c r="LQ67" s="17">
        <f t="shared" si="131"/>
        <v>6</v>
      </c>
      <c r="LR67" s="17">
        <f t="shared" si="131"/>
        <v>7</v>
      </c>
      <c r="LS67" s="17">
        <f t="shared" si="131"/>
        <v>8</v>
      </c>
      <c r="LT67" s="17">
        <f t="shared" si="131"/>
        <v>9</v>
      </c>
      <c r="LU67" s="17">
        <f t="shared" si="131"/>
        <v>10</v>
      </c>
      <c r="LV67" s="17">
        <f t="shared" si="131"/>
        <v>11</v>
      </c>
      <c r="LW67" s="17">
        <f t="shared" si="131"/>
        <v>12</v>
      </c>
      <c r="LX67" s="17">
        <f t="shared" si="131"/>
        <v>13</v>
      </c>
      <c r="LY67" s="17">
        <f t="shared" si="131"/>
        <v>14</v>
      </c>
      <c r="LZ67" s="17">
        <f t="shared" si="131"/>
        <v>15</v>
      </c>
      <c r="MA67" s="17">
        <f t="shared" si="131"/>
        <v>16</v>
      </c>
      <c r="MB67" s="17">
        <f t="shared" si="131"/>
        <v>17</v>
      </c>
      <c r="MC67" s="17">
        <f t="shared" si="131"/>
        <v>18</v>
      </c>
      <c r="MD67" s="17">
        <f t="shared" si="131"/>
        <v>19</v>
      </c>
      <c r="ME67" s="17">
        <f t="shared" si="131"/>
        <v>20</v>
      </c>
      <c r="MF67" s="17">
        <f t="shared" si="131"/>
        <v>21</v>
      </c>
      <c r="MG67" s="17">
        <f t="shared" si="131"/>
        <v>22</v>
      </c>
      <c r="MH67" s="17">
        <f t="shared" si="131"/>
        <v>23</v>
      </c>
      <c r="MI67" s="17">
        <f t="shared" si="131"/>
        <v>24</v>
      </c>
      <c r="MJ67" s="17">
        <f t="shared" si="131"/>
        <v>25</v>
      </c>
      <c r="MK67" s="17">
        <f t="shared" si="131"/>
        <v>26</v>
      </c>
      <c r="ML67" s="17">
        <f t="shared" si="131"/>
        <v>27</v>
      </c>
      <c r="MM67" s="17">
        <f t="shared" si="131"/>
        <v>28</v>
      </c>
      <c r="MN67" s="17">
        <f t="shared" si="131"/>
        <v>29</v>
      </c>
      <c r="MO67" s="17">
        <f t="shared" si="131"/>
        <v>30</v>
      </c>
      <c r="MP67" s="17">
        <f t="shared" si="131"/>
        <v>31</v>
      </c>
      <c r="MQ67" s="17">
        <f t="shared" si="131"/>
        <v>32</v>
      </c>
      <c r="MR67" s="17">
        <f t="shared" si="131"/>
        <v>33</v>
      </c>
      <c r="MS67" s="17">
        <f t="shared" si="131"/>
        <v>34</v>
      </c>
      <c r="MT67" s="17">
        <f t="shared" si="131"/>
        <v>35</v>
      </c>
      <c r="MU67" s="17">
        <f t="shared" si="131"/>
        <v>36</v>
      </c>
      <c r="MV67" s="17">
        <f t="shared" si="131"/>
        <v>37</v>
      </c>
      <c r="MW67" s="17">
        <f t="shared" si="131"/>
        <v>38</v>
      </c>
      <c r="MX67" s="17">
        <f t="shared" si="131"/>
        <v>39</v>
      </c>
      <c r="MY67" s="17">
        <f t="shared" si="131"/>
        <v>40</v>
      </c>
      <c r="MZ67" s="17">
        <f t="shared" si="131"/>
        <v>40</v>
      </c>
      <c r="NA67" s="17">
        <f t="shared" si="131"/>
        <v>40</v>
      </c>
      <c r="NB67" s="17">
        <f t="shared" si="131"/>
        <v>40</v>
      </c>
      <c r="NC67" s="17">
        <f t="shared" si="131"/>
        <v>40</v>
      </c>
      <c r="ND67" s="17">
        <f t="shared" si="131"/>
        <v>40</v>
      </c>
      <c r="NE67" s="17">
        <f t="shared" si="131"/>
        <v>40</v>
      </c>
      <c r="NF67" s="17">
        <f t="shared" si="131"/>
        <v>40</v>
      </c>
      <c r="NG67" s="17">
        <f t="shared" si="131"/>
        <v>40</v>
      </c>
      <c r="NH67" s="17">
        <f t="shared" si="131"/>
        <v>40</v>
      </c>
      <c r="NI67" s="17">
        <f t="shared" si="131"/>
        <v>40</v>
      </c>
      <c r="NJ67" s="17">
        <f t="shared" si="131"/>
        <v>40</v>
      </c>
      <c r="NK67" s="17">
        <f t="shared" si="131"/>
        <v>40</v>
      </c>
      <c r="NL67" s="17">
        <f t="shared" si="131"/>
        <v>40</v>
      </c>
      <c r="NM67" s="17">
        <f t="shared" si="131"/>
        <v>40</v>
      </c>
      <c r="NN67" s="17">
        <f t="shared" si="131"/>
        <v>40</v>
      </c>
      <c r="NO67" s="17">
        <f t="shared" si="131"/>
        <v>40</v>
      </c>
      <c r="NP67" s="17">
        <f t="shared" si="131"/>
        <v>40</v>
      </c>
      <c r="NQ67" s="17">
        <f t="shared" si="131"/>
        <v>40</v>
      </c>
      <c r="NR67" s="17">
        <f t="shared" si="131"/>
        <v>40</v>
      </c>
      <c r="NS67" s="17">
        <f t="shared" si="131"/>
        <v>40</v>
      </c>
      <c r="NT67" s="17">
        <f t="shared" si="131"/>
        <v>40</v>
      </c>
      <c r="NU67" s="17">
        <f t="shared" si="131"/>
        <v>40</v>
      </c>
      <c r="NV67" s="17">
        <f t="shared" si="131"/>
        <v>40</v>
      </c>
      <c r="NW67" s="17">
        <f t="shared" si="131"/>
        <v>40</v>
      </c>
      <c r="NX67" s="17">
        <f t="shared" ref="NX67:PG67" si="132">IF(NW67=$H67,NW67,NW67+1)</f>
        <v>40</v>
      </c>
      <c r="NY67" s="17">
        <f t="shared" si="132"/>
        <v>40</v>
      </c>
      <c r="NZ67" s="17">
        <f t="shared" si="132"/>
        <v>40</v>
      </c>
      <c r="OA67" s="17">
        <f t="shared" si="132"/>
        <v>40</v>
      </c>
      <c r="OB67" s="17">
        <f t="shared" si="132"/>
        <v>40</v>
      </c>
      <c r="OC67" s="17">
        <f t="shared" si="132"/>
        <v>40</v>
      </c>
      <c r="OD67" s="17">
        <f t="shared" si="132"/>
        <v>40</v>
      </c>
      <c r="OE67" s="17">
        <f t="shared" si="132"/>
        <v>40</v>
      </c>
      <c r="OF67" s="17">
        <f t="shared" si="132"/>
        <v>40</v>
      </c>
      <c r="OG67" s="17">
        <f t="shared" si="132"/>
        <v>40</v>
      </c>
      <c r="OH67" s="17">
        <f t="shared" si="132"/>
        <v>40</v>
      </c>
      <c r="OI67" s="17">
        <f t="shared" si="132"/>
        <v>40</v>
      </c>
      <c r="OJ67" s="17">
        <f t="shared" si="132"/>
        <v>40</v>
      </c>
      <c r="OK67" s="17">
        <f t="shared" si="132"/>
        <v>40</v>
      </c>
      <c r="OL67" s="17">
        <f t="shared" si="132"/>
        <v>40</v>
      </c>
      <c r="OM67" s="17">
        <f t="shared" si="132"/>
        <v>40</v>
      </c>
      <c r="ON67" s="17">
        <f t="shared" si="132"/>
        <v>40</v>
      </c>
      <c r="OO67" s="17">
        <f t="shared" si="132"/>
        <v>40</v>
      </c>
      <c r="OP67" s="17">
        <f t="shared" si="132"/>
        <v>40</v>
      </c>
      <c r="OQ67" s="17">
        <f t="shared" si="132"/>
        <v>40</v>
      </c>
      <c r="OR67" s="17">
        <f t="shared" si="132"/>
        <v>40</v>
      </c>
      <c r="OS67" s="17">
        <f t="shared" si="132"/>
        <v>40</v>
      </c>
      <c r="OT67" s="17">
        <f t="shared" si="132"/>
        <v>40</v>
      </c>
      <c r="OU67" s="17">
        <f t="shared" si="132"/>
        <v>40</v>
      </c>
      <c r="OV67" s="17">
        <f t="shared" si="132"/>
        <v>40</v>
      </c>
      <c r="OW67" s="17">
        <f t="shared" si="132"/>
        <v>40</v>
      </c>
      <c r="OX67" s="17">
        <f t="shared" si="132"/>
        <v>40</v>
      </c>
      <c r="OY67" s="17">
        <f t="shared" si="132"/>
        <v>40</v>
      </c>
      <c r="OZ67" s="17">
        <f t="shared" si="132"/>
        <v>40</v>
      </c>
      <c r="PA67" s="17">
        <f t="shared" si="132"/>
        <v>40</v>
      </c>
      <c r="PB67" s="17">
        <f t="shared" si="132"/>
        <v>40</v>
      </c>
      <c r="PC67" s="17">
        <f t="shared" si="132"/>
        <v>40</v>
      </c>
      <c r="PD67" s="17">
        <f t="shared" si="132"/>
        <v>40</v>
      </c>
      <c r="PE67" s="17">
        <f t="shared" si="132"/>
        <v>40</v>
      </c>
      <c r="PF67" s="17">
        <f t="shared" si="132"/>
        <v>40</v>
      </c>
      <c r="PG67" s="17">
        <f t="shared" si="132"/>
        <v>40</v>
      </c>
    </row>
    <row r="68" spans="1:423" x14ac:dyDescent="0.25">
      <c r="A68" s="8" t="s">
        <v>5454</v>
      </c>
      <c r="B68" s="9" t="s">
        <v>5503</v>
      </c>
      <c r="C68" s="9" t="str">
        <f t="shared" si="72"/>
        <v>3R1</v>
      </c>
      <c r="D68" s="1" t="str">
        <f t="shared" si="73"/>
        <v>3 Bandes R1</v>
      </c>
      <c r="E68" s="1" t="s">
        <v>15</v>
      </c>
      <c r="F68" s="9" t="s">
        <v>5508</v>
      </c>
      <c r="G68" s="9">
        <v>10</v>
      </c>
      <c r="H68" s="9">
        <v>40</v>
      </c>
      <c r="I68" s="30">
        <v>2.8</v>
      </c>
      <c r="J68" s="30"/>
      <c r="K68" s="281"/>
      <c r="L68" s="8">
        <v>0.25</v>
      </c>
      <c r="M68" s="9">
        <v>0.25</v>
      </c>
      <c r="N68" s="10">
        <v>0.3599</v>
      </c>
      <c r="O68" s="269"/>
      <c r="P68" s="331"/>
      <c r="Q68" s="335"/>
      <c r="R68" s="128">
        <v>1</v>
      </c>
      <c r="S68" s="9">
        <v>1</v>
      </c>
      <c r="T68" s="10">
        <v>2</v>
      </c>
      <c r="U68" t="s">
        <v>5523</v>
      </c>
      <c r="V68" s="17">
        <v>0</v>
      </c>
      <c r="W68" s="17">
        <f>IF(Distances[[#This Row],[Colonne4]]=$G68,V68,Distances[[#This Row],[Colonne4]]+1)</f>
        <v>1</v>
      </c>
      <c r="X68" s="17">
        <f>IF(Distances[[#This Row],[Colonne5]]=$G68,W68,Distances[[#This Row],[Colonne5]]+1)</f>
        <v>2</v>
      </c>
      <c r="Y68" s="17">
        <f>IF(Distances[[#This Row],[Colonne6]]=$G68,X68,Distances[[#This Row],[Colonne6]]+1)</f>
        <v>3</v>
      </c>
      <c r="Z68" s="17">
        <f>IF(Distances[[#This Row],[Colonne7]]=$G68,Y68,Distances[[#This Row],[Colonne7]]+1)</f>
        <v>4</v>
      </c>
      <c r="AA68" s="17">
        <f>IF(Distances[[#This Row],[Colonne8]]=$G68,Z68,Distances[[#This Row],[Colonne8]]+1)</f>
        <v>5</v>
      </c>
      <c r="AB68" s="17">
        <f>IF(Distances[[#This Row],[Colonne9]]=$G68,AA68,Distances[[#This Row],[Colonne9]]+1)</f>
        <v>6</v>
      </c>
      <c r="AC68" s="17">
        <f>IF(Distances[[#This Row],[Colonne10]]=$G68,AB68,Distances[[#This Row],[Colonne10]]+1)</f>
        <v>7</v>
      </c>
      <c r="AD68" s="17">
        <f>IF(Distances[[#This Row],[Colonne11]]=$G68,AC68,Distances[[#This Row],[Colonne11]]+1)</f>
        <v>8</v>
      </c>
      <c r="AE68" s="17">
        <f>IF(Distances[[#This Row],[Colonne12]]=$G68,AD68,Distances[[#This Row],[Colonne12]]+1)</f>
        <v>9</v>
      </c>
      <c r="AF68" s="17">
        <f>IF(Distances[[#This Row],[Colonne13]]=$G68,AE68,Distances[[#This Row],[Colonne13]]+1)</f>
        <v>10</v>
      </c>
      <c r="AG68" s="17">
        <f>IF(Distances[[#This Row],[Colonne14]]=$G68,AF68,Distances[[#This Row],[Colonne14]]+1)</f>
        <v>10</v>
      </c>
      <c r="AH68" s="17">
        <f>IF(Distances[[#This Row],[Colonne15]]=$G68,AG68,Distances[[#This Row],[Colonne15]]+1)</f>
        <v>10</v>
      </c>
      <c r="AI68" s="17">
        <f>IF(Distances[[#This Row],[Colonne16]]=$G68,AH68,Distances[[#This Row],[Colonne16]]+1)</f>
        <v>10</v>
      </c>
      <c r="AJ68" s="17">
        <f>IF(Distances[[#This Row],[Colonne17]]=$G68,AI68,Distances[[#This Row],[Colonne17]]+1)</f>
        <v>10</v>
      </c>
      <c r="AK68" s="17">
        <f>IF(Distances[[#This Row],[Colonne18]]=$G68,AJ68,Distances[[#This Row],[Colonne18]]+1)</f>
        <v>10</v>
      </c>
      <c r="AL68" s="17">
        <f>IF(Distances[[#This Row],[Colonne19]]=$G68,AK68,Distances[[#This Row],[Colonne19]]+1)</f>
        <v>10</v>
      </c>
      <c r="AM68" s="17">
        <f>IF(Distances[[#This Row],[Colonne20]]=$G68,AL68,Distances[[#This Row],[Colonne20]]+1)</f>
        <v>10</v>
      </c>
      <c r="AN68" s="17">
        <f>IF(Distances[[#This Row],[Colonne21]]=$G68,AM68,Distances[[#This Row],[Colonne21]]+1)</f>
        <v>10</v>
      </c>
      <c r="AO68" s="17">
        <f>IF(Distances[[#This Row],[Colonne22]]=$G68,AN68,Distances[[#This Row],[Colonne22]]+1)</f>
        <v>10</v>
      </c>
      <c r="AP68" s="17">
        <f>IF(Distances[[#This Row],[Colonne23]]=$G68,AO68,Distances[[#This Row],[Colonne23]]+1)</f>
        <v>10</v>
      </c>
      <c r="AQ68" s="17">
        <f>IF(Distances[[#This Row],[Colonne24]]=$G68,AP68,Distances[[#This Row],[Colonne24]]+1)</f>
        <v>10</v>
      </c>
      <c r="AR68" s="17">
        <f>IF(Distances[[#This Row],[Colonne25]]=$G68,AQ68,Distances[[#This Row],[Colonne25]]+1)</f>
        <v>10</v>
      </c>
      <c r="AS68" s="17">
        <f>IF(Distances[[#This Row],[Colonne26]]=$G68,AR68,Distances[[#This Row],[Colonne26]]+1)</f>
        <v>10</v>
      </c>
      <c r="AT68" s="17">
        <f>IF(Distances[[#This Row],[Colonne27]]=$G68,AS68,Distances[[#This Row],[Colonne27]]+1)</f>
        <v>10</v>
      </c>
      <c r="AU68" s="17">
        <f>IF(Distances[[#This Row],[Colonne28]]=$G68,AT68,Distances[[#This Row],[Colonne28]]+1)</f>
        <v>10</v>
      </c>
      <c r="AV68" s="17">
        <f>IF(Distances[[#This Row],[Colonne29]]=$G68,AU68,Distances[[#This Row],[Colonne29]]+1)</f>
        <v>10</v>
      </c>
      <c r="AW68" s="17">
        <f>IF(Distances[[#This Row],[Colonne30]]=$G68,AV68,Distances[[#This Row],[Colonne30]]+1)</f>
        <v>10</v>
      </c>
      <c r="AX68" s="17">
        <f>IF(Distances[[#This Row],[Colonne31]]=$G68,AW68,Distances[[#This Row],[Colonne31]]+1)</f>
        <v>10</v>
      </c>
      <c r="AY68" s="17">
        <f>IF(Distances[[#This Row],[Colonne32]]=$G68,AX68,Distances[[#This Row],[Colonne32]]+1)</f>
        <v>10</v>
      </c>
      <c r="AZ68" s="17">
        <f>IF(Distances[[#This Row],[Colonne33]]=$G68,AY68,Distances[[#This Row],[Colonne33]]+1)</f>
        <v>10</v>
      </c>
      <c r="BA68" s="17">
        <f>IF(Distances[[#This Row],[Colonne34]]=$G68,AZ68,Distances[[#This Row],[Colonne34]]+1)</f>
        <v>10</v>
      </c>
      <c r="BB68" s="17">
        <f>IF(Distances[[#This Row],[Colonne35]]=$G68,BA68,Distances[[#This Row],[Colonne35]]+1)</f>
        <v>10</v>
      </c>
      <c r="BC68" s="17">
        <f>IF(Distances[[#This Row],[Colonne36]]=$G68,BB68,Distances[[#This Row],[Colonne36]]+1)</f>
        <v>10</v>
      </c>
      <c r="BD68" s="17">
        <f>IF(Distances[[#This Row],[Colonne37]]=$G68,BC68,Distances[[#This Row],[Colonne37]]+1)</f>
        <v>10</v>
      </c>
      <c r="BE68" s="17">
        <f>IF(Distances[[#This Row],[Colonne38]]=$G68,BD68,Distances[[#This Row],[Colonne38]]+1)</f>
        <v>10</v>
      </c>
      <c r="BF68" s="17">
        <f>IF(Distances[[#This Row],[Colonne39]]=$G68,BE68,Distances[[#This Row],[Colonne39]]+1)</f>
        <v>10</v>
      </c>
      <c r="BG68" s="17">
        <f>IF(Distances[[#This Row],[Colonne40]]=$G68,BF68,Distances[[#This Row],[Colonne40]]+1)</f>
        <v>10</v>
      </c>
      <c r="BH68" s="17">
        <f>IF(Distances[[#This Row],[Colonne41]]=$G68,BG68,Distances[[#This Row],[Colonne41]]+1)</f>
        <v>10</v>
      </c>
      <c r="BI68" s="17">
        <f>IF(Distances[[#This Row],[Colonne42]]=$G68,BH68,Distances[[#This Row],[Colonne42]]+1)</f>
        <v>10</v>
      </c>
      <c r="BJ68" s="17">
        <f>IF(Distances[[#This Row],[Colonne43]]=$G68,BI68,Distances[[#This Row],[Colonne43]]+1)</f>
        <v>10</v>
      </c>
      <c r="BK68" s="17">
        <f>IF(Distances[[#This Row],[Colonne44]]=$G68,BJ68,Distances[[#This Row],[Colonne44]]+1)</f>
        <v>10</v>
      </c>
      <c r="BL68" s="17">
        <f>IF(Distances[[#This Row],[Colonne45]]=$G68,BK68,Distances[[#This Row],[Colonne45]]+1)</f>
        <v>10</v>
      </c>
      <c r="BM68" s="17">
        <f>IF(Distances[[#This Row],[Colonne46]]=$G68,BL68,Distances[[#This Row],[Colonne46]]+1)</f>
        <v>10</v>
      </c>
      <c r="BN68" s="17">
        <f>IF(Distances[[#This Row],[Colonne47]]=$G68,BM68,Distances[[#This Row],[Colonne47]]+1)</f>
        <v>10</v>
      </c>
      <c r="BO68" s="17">
        <f>IF(Distances[[#This Row],[Colonne48]]=$G68,BN68,Distances[[#This Row],[Colonne48]]+1)</f>
        <v>10</v>
      </c>
      <c r="BP68" s="17">
        <f>IF(Distances[[#This Row],[Colonne49]]=$G68,BO68,Distances[[#This Row],[Colonne49]]+1)</f>
        <v>10</v>
      </c>
      <c r="BQ68" s="17">
        <f>IF(Distances[[#This Row],[Colonne50]]=$G68,BP68,Distances[[#This Row],[Colonne50]]+1)</f>
        <v>10</v>
      </c>
      <c r="BR68" s="17">
        <f>IF(Distances[[#This Row],[Colonne51]]=$G68,BQ68,Distances[[#This Row],[Colonne51]]+1)</f>
        <v>10</v>
      </c>
      <c r="BS68" s="17">
        <f>IF(Distances[[#This Row],[Colonne52]]=$G68,BR68,Distances[[#This Row],[Colonne52]]+1)</f>
        <v>10</v>
      </c>
      <c r="BT68" s="17">
        <f>IF(Distances[[#This Row],[Colonne53]]=$G68,BS68,Distances[[#This Row],[Colonne53]]+1)</f>
        <v>10</v>
      </c>
      <c r="BU68" s="17">
        <f>IF(Distances[[#This Row],[Colonne54]]=$G68,BT68,Distances[[#This Row],[Colonne54]]+1)</f>
        <v>10</v>
      </c>
      <c r="BV68" s="17">
        <f>IF(Distances[[#This Row],[Colonne55]]=$G68,BU68,Distances[[#This Row],[Colonne55]]+1)</f>
        <v>10</v>
      </c>
      <c r="BW68" s="17">
        <f>IF(Distances[[#This Row],[Colonne56]]=$G68,BV68,Distances[[#This Row],[Colonne56]]+1)</f>
        <v>10</v>
      </c>
      <c r="BX68" s="17">
        <f>IF(Distances[[#This Row],[Colonne57]]=$G68,BW68,Distances[[#This Row],[Colonne57]]+1)</f>
        <v>10</v>
      </c>
      <c r="BY68" s="17">
        <f>IF(Distances[[#This Row],[Colonne58]]=$G68,BX68,Distances[[#This Row],[Colonne58]]+1)</f>
        <v>10</v>
      </c>
      <c r="BZ68" s="17">
        <f>IF(Distances[[#This Row],[Colonne59]]=$G68,BY68,Distances[[#This Row],[Colonne59]]+1)</f>
        <v>10</v>
      </c>
      <c r="CA68" s="17">
        <f>IF(Distances[[#This Row],[Colonne60]]=$G68,BZ68,Distances[[#This Row],[Colonne60]]+1)</f>
        <v>10</v>
      </c>
      <c r="CB68" s="17">
        <f>IF(Distances[[#This Row],[Colonne61]]=$G68,CA68,Distances[[#This Row],[Colonne61]]+1)</f>
        <v>10</v>
      </c>
      <c r="CC68" s="17">
        <f>IF(Distances[[#This Row],[Colonne62]]=$G68,CB68,Distances[[#This Row],[Colonne62]]+1)</f>
        <v>10</v>
      </c>
      <c r="CD68" s="17">
        <f>IF(Distances[[#This Row],[Colonne63]]=$G68,CC68,Distances[[#This Row],[Colonne63]]+1)</f>
        <v>10</v>
      </c>
      <c r="CE68" s="17">
        <f>IF(Distances[[#This Row],[Colonne64]]=$G68,CD68,Distances[[#This Row],[Colonne64]]+1)</f>
        <v>10</v>
      </c>
      <c r="CF68" s="17">
        <f>IF(Distances[[#This Row],[Colonne65]]=$G68,CE68,Distances[[#This Row],[Colonne65]]+1)</f>
        <v>10</v>
      </c>
      <c r="CG68" s="17">
        <f>IF(Distances[[#This Row],[Colonne66]]=$G68,CF68,Distances[[#This Row],[Colonne66]]+1)</f>
        <v>10</v>
      </c>
      <c r="CH68" s="17">
        <f>IF(Distances[[#This Row],[Colonne67]]=$G68,CG68,Distances[[#This Row],[Colonne67]]+1)</f>
        <v>10</v>
      </c>
      <c r="CI68" s="17">
        <f>IF(Distances[[#This Row],[Colonne68]]=$G68,CH68,Distances[[#This Row],[Colonne68]]+1)</f>
        <v>10</v>
      </c>
      <c r="CJ68" s="17">
        <f>IF(Distances[[#This Row],[Colonne69]]=$G68,CI68,Distances[[#This Row],[Colonne69]]+1)</f>
        <v>10</v>
      </c>
      <c r="CK68" s="17">
        <f>IF(Distances[[#This Row],[Colonne70]]=$G68,CJ68,Distances[[#This Row],[Colonne70]]+1)</f>
        <v>10</v>
      </c>
      <c r="CL68" s="17">
        <f>IF(Distances[[#This Row],[Colonne71]]=$G68,CK68,Distances[[#This Row],[Colonne71]]+1)</f>
        <v>10</v>
      </c>
      <c r="CM68" s="17">
        <f>IF(Distances[[#This Row],[Colonne72]]=$G68,CL68,Distances[[#This Row],[Colonne72]]+1)</f>
        <v>10</v>
      </c>
      <c r="CN68" s="17">
        <f>IF(Distances[[#This Row],[Colonne73]]=$G68,CM68,Distances[[#This Row],[Colonne73]]+1)</f>
        <v>10</v>
      </c>
      <c r="CO68" s="17">
        <f>IF(Distances[[#This Row],[Colonne74]]=$G68,CN68,Distances[[#This Row],[Colonne74]]+1)</f>
        <v>10</v>
      </c>
      <c r="CP68" s="17">
        <f>IF(Distances[[#This Row],[Colonne75]]=$G68,CO68,Distances[[#This Row],[Colonne75]]+1)</f>
        <v>10</v>
      </c>
      <c r="CQ68" s="17">
        <f>IF(Distances[[#This Row],[Colonne76]]=$G68,CP68,Distances[[#This Row],[Colonne76]]+1)</f>
        <v>10</v>
      </c>
      <c r="CR68" s="17">
        <f>IF(Distances[[#This Row],[Colonne77]]=$G68,CQ68,Distances[[#This Row],[Colonne77]]+1)</f>
        <v>10</v>
      </c>
      <c r="CS68" s="17">
        <f>IF(Distances[[#This Row],[Colonne78]]=$G68,CR68,Distances[[#This Row],[Colonne78]]+1)</f>
        <v>10</v>
      </c>
      <c r="CT68" s="17">
        <f>IF(Distances[[#This Row],[Colonne79]]=$G68,CS68,Distances[[#This Row],[Colonne79]]+1)</f>
        <v>10</v>
      </c>
      <c r="CU68" s="17">
        <f>IF(Distances[[#This Row],[Colonne80]]=$G68,CT68,Distances[[#This Row],[Colonne80]]+1)</f>
        <v>10</v>
      </c>
      <c r="CV68" s="17">
        <f>IF(Distances[[#This Row],[Colonne81]]=$G68,CU68,Distances[[#This Row],[Colonne81]]+1)</f>
        <v>10</v>
      </c>
      <c r="CW68" s="17">
        <f>IF(Distances[[#This Row],[Colonne82]]=$G68,CV68,Distances[[#This Row],[Colonne82]]+1)</f>
        <v>10</v>
      </c>
      <c r="CX68" s="17">
        <f>IF(Distances[[#This Row],[Colonne83]]=$G68,CW68,Distances[[#This Row],[Colonne83]]+1)</f>
        <v>10</v>
      </c>
      <c r="CY68" s="17">
        <f>IF(Distances[[#This Row],[Colonne84]]=$G68,CX68,Distances[[#This Row],[Colonne84]]+1)</f>
        <v>10</v>
      </c>
      <c r="CZ68" s="17">
        <f>IF(Distances[[#This Row],[Colonne85]]=$G68,CY68,Distances[[#This Row],[Colonne85]]+1)</f>
        <v>10</v>
      </c>
      <c r="DA68" s="17">
        <f>IF(Distances[[#This Row],[Colonne86]]=$G68,CZ68,Distances[[#This Row],[Colonne86]]+1)</f>
        <v>10</v>
      </c>
      <c r="DB68" s="17">
        <f>IF(Distances[[#This Row],[Colonne87]]=$G68,DA68,Distances[[#This Row],[Colonne87]]+1)</f>
        <v>10</v>
      </c>
      <c r="DC68" s="17">
        <f>IF(Distances[[#This Row],[Colonne88]]=$G68,DB68,Distances[[#This Row],[Colonne88]]+1)</f>
        <v>10</v>
      </c>
      <c r="DD68" s="17">
        <f>IF(Distances[[#This Row],[Colonne89]]=$G68,DC68,Distances[[#This Row],[Colonne89]]+1)</f>
        <v>10</v>
      </c>
      <c r="DE68" s="17">
        <f>IF(Distances[[#This Row],[Colonne90]]=$G68,DD68,Distances[[#This Row],[Colonne90]]+1)</f>
        <v>10</v>
      </c>
      <c r="DF68" s="17">
        <f>IF(Distances[[#This Row],[Colonne91]]=$G68,DE68,Distances[[#This Row],[Colonne91]]+1)</f>
        <v>10</v>
      </c>
      <c r="DG68" s="17">
        <f>IF(Distances[[#This Row],[Colonne92]]=$G68,DF68,Distances[[#This Row],[Colonne92]]+1)</f>
        <v>10</v>
      </c>
      <c r="DH68" s="17">
        <f>IF(Distances[[#This Row],[Colonne93]]=$G68,DG68,Distances[[#This Row],[Colonne93]]+1)</f>
        <v>10</v>
      </c>
      <c r="DI68" s="17">
        <f>IF(Distances[[#This Row],[Colonne94]]=$G68,DH68,Distances[[#This Row],[Colonne94]]+1)</f>
        <v>10</v>
      </c>
      <c r="DJ68" s="17">
        <f>IF(Distances[[#This Row],[Colonne95]]=$G68,DI68,Distances[[#This Row],[Colonne95]]+1)</f>
        <v>10</v>
      </c>
      <c r="DK68" s="17">
        <f>IF(Distances[[#This Row],[Colonne96]]=$G68,DJ68,Distances[[#This Row],[Colonne96]]+1)</f>
        <v>10</v>
      </c>
      <c r="DL68" s="17">
        <f>IF(Distances[[#This Row],[Colonne97]]=$G68,DK68,Distances[[#This Row],[Colonne97]]+1)</f>
        <v>10</v>
      </c>
      <c r="DM68" s="17">
        <f>IF(Distances[[#This Row],[Colonne98]]=$G68,DL68,Distances[[#This Row],[Colonne98]]+1)</f>
        <v>10</v>
      </c>
      <c r="DN68" s="17">
        <f>IF(Distances[[#This Row],[Colonne99]]=$G68,DM68,Distances[[#This Row],[Colonne99]]+1)</f>
        <v>10</v>
      </c>
      <c r="DO68" s="17">
        <f>IF(Distances[[#This Row],[Colonne100]]=$G68,DN68,Distances[[#This Row],[Colonne100]]+1)</f>
        <v>10</v>
      </c>
      <c r="DP68" s="17">
        <f>IF(Distances[[#This Row],[Colonne101]]=$G68,DO68,Distances[[#This Row],[Colonne101]]+1)</f>
        <v>10</v>
      </c>
      <c r="DQ68" s="17">
        <f>IF(Distances[[#This Row],[Colonne102]]=$G68,DP68,Distances[[#This Row],[Colonne102]]+1)</f>
        <v>10</v>
      </c>
      <c r="DR68" s="17">
        <f>IF(Distances[[#This Row],[Colonne103]]=$G68,DQ68,Distances[[#This Row],[Colonne103]]+1)</f>
        <v>10</v>
      </c>
      <c r="DS68" s="17">
        <f>IF(Distances[[#This Row],[Colonne104]]=$G68,DR68,Distances[[#This Row],[Colonne104]]+1)</f>
        <v>10</v>
      </c>
      <c r="DT68" s="17">
        <f>IF(Distances[[#This Row],[Colonne105]]=$G68,DS68,Distances[[#This Row],[Colonne105]]+1)</f>
        <v>10</v>
      </c>
      <c r="DU68" s="17">
        <f>IF(Distances[[#This Row],[Colonne106]]=$G68,DT68,Distances[[#This Row],[Colonne106]]+1)</f>
        <v>10</v>
      </c>
      <c r="DV68" s="17">
        <f>IF(Distances[[#This Row],[Colonne107]]=$G68,DU68,Distances[[#This Row],[Colonne107]]+1)</f>
        <v>10</v>
      </c>
      <c r="DW68" s="17">
        <f>IF(Distances[[#This Row],[Colonne108]]=$G68,DV68,Distances[[#This Row],[Colonne108]]+1)</f>
        <v>10</v>
      </c>
      <c r="DX68" s="17">
        <f>IF(Distances[[#This Row],[Colonne109]]=$G68,DW68,Distances[[#This Row],[Colonne109]]+1)</f>
        <v>10</v>
      </c>
      <c r="DY68" s="17">
        <f>IF(Distances[[#This Row],[Colonne110]]=$G68,DX68,Distances[[#This Row],[Colonne110]]+1)</f>
        <v>10</v>
      </c>
      <c r="DZ68" s="17">
        <f>IF(Distances[[#This Row],[Colonne111]]=$G68,DY68,Distances[[#This Row],[Colonne111]]+1)</f>
        <v>10</v>
      </c>
      <c r="EA68" s="17">
        <f>IF(Distances[[#This Row],[Colonne112]]=$G68,DZ68,Distances[[#This Row],[Colonne112]]+1)</f>
        <v>10</v>
      </c>
      <c r="EB68" s="17">
        <f>IF(Distances[[#This Row],[Colonne113]]=$G68,EA68,Distances[[#This Row],[Colonne113]]+1)</f>
        <v>10</v>
      </c>
      <c r="EC68" s="17">
        <f>IF(Distances[[#This Row],[Colonne114]]=$G68,EB68,Distances[[#This Row],[Colonne114]]+1)</f>
        <v>10</v>
      </c>
      <c r="ED68" s="17">
        <f>IF(Distances[[#This Row],[Colonne115]]=$G68,EC68,Distances[[#This Row],[Colonne115]]+1)</f>
        <v>10</v>
      </c>
      <c r="EE68" s="17">
        <f>IF(Distances[[#This Row],[Colonne116]]=$G68,ED68,Distances[[#This Row],[Colonne116]]+1)</f>
        <v>10</v>
      </c>
      <c r="EF68" s="17">
        <f>IF(Distances[[#This Row],[Colonne117]]=$G68,EE68,Distances[[#This Row],[Colonne117]]+1)</f>
        <v>10</v>
      </c>
      <c r="EG68" s="17">
        <f>IF(Distances[[#This Row],[Colonne118]]=$G68,EF68,Distances[[#This Row],[Colonne118]]+1)</f>
        <v>10</v>
      </c>
      <c r="EH68" s="17">
        <f>IF(Distances[[#This Row],[Colonne119]]=$G68,EG68,Distances[[#This Row],[Colonne119]]+1)</f>
        <v>10</v>
      </c>
      <c r="EI68" s="17">
        <f>IF(Distances[[#This Row],[Colonne120]]=$G68,EH68,Distances[[#This Row],[Colonne120]]+1)</f>
        <v>10</v>
      </c>
      <c r="EJ68" s="17">
        <f>IF(Distances[[#This Row],[Colonne121]]=$G68,EI68,Distances[[#This Row],[Colonne121]]+1)</f>
        <v>10</v>
      </c>
      <c r="EK68" s="17">
        <f>IF(Distances[[#This Row],[Colonne122]]=$G68,EJ68,Distances[[#This Row],[Colonne122]]+1)</f>
        <v>10</v>
      </c>
      <c r="EL68" s="17">
        <f>IF(Distances[[#This Row],[Colonne123]]=$G68,EK68,Distances[[#This Row],[Colonne123]]+1)</f>
        <v>10</v>
      </c>
      <c r="EM68" s="17">
        <f>IF(Distances[[#This Row],[Colonne124]]=$G68,EL68,Distances[[#This Row],[Colonne124]]+1)</f>
        <v>10</v>
      </c>
      <c r="EN68" s="17">
        <f>IF(Distances[[#This Row],[Colonne125]]=$G68,EM68,Distances[[#This Row],[Colonne125]]+1)</f>
        <v>10</v>
      </c>
      <c r="EO68" s="17">
        <f>IF(Distances[[#This Row],[Colonne126]]=$G68,EN68,Distances[[#This Row],[Colonne126]]+1)</f>
        <v>10</v>
      </c>
      <c r="EP68" s="17">
        <f>IF(Distances[[#This Row],[Colonne127]]=$G68,EO68,Distances[[#This Row],[Colonne127]]+1)</f>
        <v>10</v>
      </c>
      <c r="EQ68" s="17">
        <f>IF(Distances[[#This Row],[Colonne128]]=$G68,EP68,Distances[[#This Row],[Colonne128]]+1)</f>
        <v>10</v>
      </c>
      <c r="ER68" s="17">
        <f>IF(Distances[[#This Row],[Colonne129]]=$G68,EQ68,Distances[[#This Row],[Colonne129]]+1)</f>
        <v>10</v>
      </c>
      <c r="ES68" s="17">
        <f>IF(Distances[[#This Row],[Colonne130]]=$G68,ER68,Distances[[#This Row],[Colonne130]]+1)</f>
        <v>10</v>
      </c>
      <c r="ET68" s="17">
        <f>IF(Distances[[#This Row],[Colonne131]]=$G68,ES68,Distances[[#This Row],[Colonne131]]+1)</f>
        <v>10</v>
      </c>
      <c r="EU68" s="17">
        <f>IF(Distances[[#This Row],[Colonne132]]=$G68,ET68,Distances[[#This Row],[Colonne132]]+1)</f>
        <v>10</v>
      </c>
      <c r="EV68" s="17">
        <f>IF(Distances[[#This Row],[Colonne133]]=$G68,EU68,Distances[[#This Row],[Colonne133]]+1)</f>
        <v>10</v>
      </c>
      <c r="EW68" s="17">
        <f>IF(Distances[[#This Row],[Colonne134]]=$G68,EV68,Distances[[#This Row],[Colonne134]]+1)</f>
        <v>10</v>
      </c>
      <c r="EX68" s="17">
        <f>IF(Distances[[#This Row],[Colonne135]]=$G68,EW68,Distances[[#This Row],[Colonne135]]+1)</f>
        <v>10</v>
      </c>
      <c r="EY68" s="17">
        <f>IF(Distances[[#This Row],[Colonne136]]=$G68,EX68,Distances[[#This Row],[Colonne136]]+1)</f>
        <v>10</v>
      </c>
      <c r="EZ68" s="17">
        <f>IF(Distances[[#This Row],[Colonne137]]=$G68,EY68,Distances[[#This Row],[Colonne137]]+1)</f>
        <v>10</v>
      </c>
      <c r="FA68" s="17">
        <f>IF(Distances[[#This Row],[Colonne138]]=$G68,EZ68,Distances[[#This Row],[Colonne138]]+1)</f>
        <v>10</v>
      </c>
      <c r="FB68" s="17">
        <f>IF(Distances[[#This Row],[Colonne139]]=$G68,FA68,Distances[[#This Row],[Colonne139]]+1)</f>
        <v>10</v>
      </c>
      <c r="FC68" s="17">
        <f>IF(Distances[[#This Row],[Colonne140]]=$G68,FB68,Distances[[#This Row],[Colonne140]]+1)</f>
        <v>10</v>
      </c>
      <c r="FD68" s="17">
        <f>IF(Distances[[#This Row],[Colonne141]]=$G68,FC68,Distances[[#This Row],[Colonne141]]+1)</f>
        <v>10</v>
      </c>
      <c r="FE68" s="17">
        <f>IF(Distances[[#This Row],[Colonne142]]=$G68,FD68,Distances[[#This Row],[Colonne142]]+1)</f>
        <v>10</v>
      </c>
      <c r="FF68" s="17">
        <f>IF(Distances[[#This Row],[Colonne143]]=$G68,FE68,Distances[[#This Row],[Colonne143]]+1)</f>
        <v>10</v>
      </c>
      <c r="FG68" s="17">
        <f>IF(Distances[[#This Row],[Colonne144]]=$G68,FF68,Distances[[#This Row],[Colonne144]]+1)</f>
        <v>10</v>
      </c>
      <c r="FH68" s="17">
        <f>IF(Distances[[#This Row],[Colonne145]]=$G68,FG68,Distances[[#This Row],[Colonne145]]+1)</f>
        <v>10</v>
      </c>
      <c r="FI68" s="17">
        <f>IF(Distances[[#This Row],[Colonne146]]=$G68,FH68,Distances[[#This Row],[Colonne146]]+1)</f>
        <v>10</v>
      </c>
      <c r="FJ68" s="17">
        <f>IF(Distances[[#This Row],[Colonne147]]=$G68,FI68,Distances[[#This Row],[Colonne147]]+1)</f>
        <v>10</v>
      </c>
      <c r="FK68" s="17">
        <f>IF(Distances[[#This Row],[Colonne148]]=$G68,FJ68,Distances[[#This Row],[Colonne148]]+1)</f>
        <v>10</v>
      </c>
      <c r="FL68" s="17">
        <f>IF(Distances[[#This Row],[Colonne149]]=$G68,FK68,Distances[[#This Row],[Colonne149]]+1)</f>
        <v>10</v>
      </c>
      <c r="FM68" s="17">
        <f>IF(Distances[[#This Row],[Colonne150]]=$G68,FL68,Distances[[#This Row],[Colonne150]]+1)</f>
        <v>10</v>
      </c>
      <c r="FN68" s="17">
        <f>IF(Distances[[#This Row],[Colonne151]]=$G68,FM68,Distances[[#This Row],[Colonne151]]+1)</f>
        <v>10</v>
      </c>
      <c r="FO68" s="17">
        <f>IF(Distances[[#This Row],[Colonne152]]=$G68,FN68,Distances[[#This Row],[Colonne152]]+1)</f>
        <v>10</v>
      </c>
      <c r="FP68" s="17">
        <f>IF(Distances[[#This Row],[Colonne153]]=$G68,FO68,Distances[[#This Row],[Colonne153]]+1)</f>
        <v>10</v>
      </c>
      <c r="FQ68" s="17">
        <f>IF(Distances[[#This Row],[Colonne154]]=$G68,FP68,Distances[[#This Row],[Colonne154]]+1)</f>
        <v>10</v>
      </c>
      <c r="FR68" s="17">
        <f>IF(Distances[[#This Row],[Colonne155]]=$G68,FQ68,Distances[[#This Row],[Colonne155]]+1)</f>
        <v>10</v>
      </c>
      <c r="FS68" s="17">
        <f>IF(Distances[[#This Row],[Colonne156]]=$G68,FR68,Distances[[#This Row],[Colonne156]]+1)</f>
        <v>10</v>
      </c>
      <c r="FT68" s="17">
        <f>IF(Distances[[#This Row],[Colonne157]]=$G68,FS68,Distances[[#This Row],[Colonne157]]+1)</f>
        <v>10</v>
      </c>
      <c r="FU68" s="17">
        <f>IF(Distances[[#This Row],[Colonne158]]=$G68,FT68,Distances[[#This Row],[Colonne158]]+1)</f>
        <v>10</v>
      </c>
      <c r="FV68" s="17">
        <f>IF(Distances[[#This Row],[Colonne159]]=$G68,FU68,Distances[[#This Row],[Colonne159]]+1)</f>
        <v>10</v>
      </c>
      <c r="FW68" s="17">
        <f>IF(Distances[[#This Row],[Colonne160]]=$G68,FV68,Distances[[#This Row],[Colonne160]]+1)</f>
        <v>10</v>
      </c>
      <c r="FX68" s="17">
        <f>IF(Distances[[#This Row],[Colonne161]]=$G68,FW68,Distances[[#This Row],[Colonne161]]+1)</f>
        <v>10</v>
      </c>
      <c r="FY68" s="17">
        <f>IF(Distances[[#This Row],[Colonne162]]=$G68,FX68,Distances[[#This Row],[Colonne162]]+1)</f>
        <v>10</v>
      </c>
      <c r="FZ68" s="17">
        <f>IF(Distances[[#This Row],[Colonne163]]=$G68,FY68,Distances[[#This Row],[Colonne163]]+1)</f>
        <v>10</v>
      </c>
      <c r="GA68" s="17">
        <f>IF(Distances[[#This Row],[Colonne164]]=$G68,FZ68,Distances[[#This Row],[Colonne164]]+1)</f>
        <v>10</v>
      </c>
      <c r="GB68" s="17">
        <f>IF(Distances[[#This Row],[Colonne165]]=$G68,GA68,Distances[[#This Row],[Colonne165]]+1)</f>
        <v>10</v>
      </c>
      <c r="GC68" s="17">
        <f>IF(Distances[[#This Row],[Colonne166]]=$G68,GB68,Distances[[#This Row],[Colonne166]]+1)</f>
        <v>10</v>
      </c>
      <c r="GD68" s="17">
        <f>IF(Distances[[#This Row],[Colonne167]]=$G68,GC68,Distances[[#This Row],[Colonne167]]+1)</f>
        <v>10</v>
      </c>
      <c r="GE68" s="17">
        <f>IF(Distances[[#This Row],[Colonne168]]=$G68,GD68,Distances[[#This Row],[Colonne168]]+1)</f>
        <v>10</v>
      </c>
      <c r="GF68" s="17">
        <f>IF(Distances[[#This Row],[Colonne169]]=$G68,GE68,Distances[[#This Row],[Colonne169]]+1)</f>
        <v>10</v>
      </c>
      <c r="GG68" s="17">
        <f>IF(Distances[[#This Row],[Colonne170]]=$G68,GF68,Distances[[#This Row],[Colonne170]]+1)</f>
        <v>10</v>
      </c>
      <c r="GH68" s="17">
        <f>IF(Distances[[#This Row],[Colonne171]]=$G68,GG68,Distances[[#This Row],[Colonne171]]+1)</f>
        <v>10</v>
      </c>
      <c r="GI68" s="17">
        <f>IF(Distances[[#This Row],[Colonne172]]=$G68,GH68,Distances[[#This Row],[Colonne172]]+1)</f>
        <v>10</v>
      </c>
      <c r="GJ68" s="17">
        <f>IF(Distances[[#This Row],[Colonne173]]=$G68,GI68,Distances[[#This Row],[Colonne173]]+1)</f>
        <v>10</v>
      </c>
      <c r="GK68" s="17">
        <f>IF(Distances[[#This Row],[Colonne174]]=$G68,GJ68,Distances[[#This Row],[Colonne174]]+1)</f>
        <v>10</v>
      </c>
      <c r="GL68" s="17">
        <f>IF(Distances[[#This Row],[Colonne175]]=$G68,GK68,Distances[[#This Row],[Colonne175]]+1)</f>
        <v>10</v>
      </c>
      <c r="GM68" s="17">
        <f>IF(Distances[[#This Row],[Colonne176]]=$G68,GL68,Distances[[#This Row],[Colonne176]]+1)</f>
        <v>10</v>
      </c>
      <c r="GN68" s="17">
        <f>IF(Distances[[#This Row],[Colonne177]]=$G68,GM68,Distances[[#This Row],[Colonne177]]+1)</f>
        <v>10</v>
      </c>
      <c r="GO68" s="17">
        <f>IF(Distances[[#This Row],[Colonne178]]=$G68,GN68,Distances[[#This Row],[Colonne178]]+1)</f>
        <v>10</v>
      </c>
      <c r="GP68" s="17">
        <f>IF(Distances[[#This Row],[Colonne179]]=$G68,GO68,Distances[[#This Row],[Colonne179]]+1)</f>
        <v>10</v>
      </c>
      <c r="GQ68" s="17">
        <f>IF(Distances[[#This Row],[Colonne180]]=$G68,GP68,Distances[[#This Row],[Colonne180]]+1)</f>
        <v>10</v>
      </c>
      <c r="GR68" s="17">
        <f>IF(Distances[[#This Row],[Colonne181]]=$G68,GQ68,Distances[[#This Row],[Colonne181]]+1)</f>
        <v>10</v>
      </c>
      <c r="GS68" s="17">
        <f>IF(Distances[[#This Row],[Colonne182]]=$G68,GR68,Distances[[#This Row],[Colonne182]]+1)</f>
        <v>10</v>
      </c>
      <c r="GT68" s="17">
        <f>IF(Distances[[#This Row],[Colonne183]]=$G68,GS68,Distances[[#This Row],[Colonne183]]+1)</f>
        <v>10</v>
      </c>
      <c r="GU68" s="17">
        <f>IF(Distances[[#This Row],[Colonne184]]=$G68,GT68,Distances[[#This Row],[Colonne184]]+1)</f>
        <v>10</v>
      </c>
      <c r="GV68" s="17">
        <f>IF(Distances[[#This Row],[Colonne185]]=$G68,GU68,Distances[[#This Row],[Colonne185]]+1)</f>
        <v>10</v>
      </c>
      <c r="GW68" s="17">
        <f>IF(Distances[[#This Row],[Colonne186]]=$G68,GV68,Distances[[#This Row],[Colonne186]]+1)</f>
        <v>10</v>
      </c>
      <c r="GX68" s="17">
        <f>IF(Distances[[#This Row],[Colonne187]]=$G68,GW68,Distances[[#This Row],[Colonne187]]+1)</f>
        <v>10</v>
      </c>
      <c r="GY68" s="17">
        <f>IF(Distances[[#This Row],[Colonne188]]=$G68,GX68,Distances[[#This Row],[Colonne188]]+1)</f>
        <v>10</v>
      </c>
      <c r="GZ68" s="17">
        <f>IF(Distances[[#This Row],[Colonne189]]=$G68,GY68,Distances[[#This Row],[Colonne189]]+1)</f>
        <v>10</v>
      </c>
      <c r="HA68" s="17">
        <f>IF(Distances[[#This Row],[Colonne190]]=$G68,GZ68,Distances[[#This Row],[Colonne190]]+1)</f>
        <v>10</v>
      </c>
      <c r="HB68" s="17">
        <f>IF(Distances[[#This Row],[Colonne191]]=$G68,HA68,Distances[[#This Row],[Colonne191]]+1)</f>
        <v>10</v>
      </c>
      <c r="HC68" s="17">
        <f>IF(Distances[[#This Row],[Colonne192]]=$G68,HB68,Distances[[#This Row],[Colonne192]]+1)</f>
        <v>10</v>
      </c>
      <c r="HD68" s="17">
        <f>IF(Distances[[#This Row],[Colonne193]]=$G68,HC68,Distances[[#This Row],[Colonne193]]+1)</f>
        <v>10</v>
      </c>
      <c r="HE68" s="17">
        <f>IF(Distances[[#This Row],[Colonne194]]=$G68,HD68,Distances[[#This Row],[Colonne194]]+1)</f>
        <v>10</v>
      </c>
      <c r="HF68" s="17">
        <f>IF(Distances[[#This Row],[Colonne195]]=$G68,HE68,Distances[[#This Row],[Colonne195]]+1)</f>
        <v>10</v>
      </c>
      <c r="HG68" s="17">
        <f>IF(Distances[[#This Row],[Colonne196]]=$G68,HF68,Distances[[#This Row],[Colonne196]]+1)</f>
        <v>10</v>
      </c>
      <c r="HH68" s="17">
        <f>IF(Distances[[#This Row],[Colonne197]]=$G68,HG68,Distances[[#This Row],[Colonne197]]+1)</f>
        <v>10</v>
      </c>
      <c r="HI68" s="17">
        <f>IF(Distances[[#This Row],[Colonne198]]=$G68,HH68,Distances[[#This Row],[Colonne198]]+1)</f>
        <v>10</v>
      </c>
      <c r="HJ68" s="17">
        <f>IF(Distances[[#This Row],[Colonne199]]=$G68,HI68,Distances[[#This Row],[Colonne199]]+1)</f>
        <v>10</v>
      </c>
      <c r="HK68" s="17">
        <f>IF(Distances[[#This Row],[Colonne200]]=$G68,HJ68,Distances[[#This Row],[Colonne200]]+1)</f>
        <v>10</v>
      </c>
      <c r="HL68" s="17">
        <f>IF(Distances[[#This Row],[Colonne201]]=$G68,HK68,Distances[[#This Row],[Colonne201]]+1)</f>
        <v>10</v>
      </c>
      <c r="HM68" s="17">
        <f>IF(Distances[[#This Row],[Colonne202]]=$G68,HL68,Distances[[#This Row],[Colonne202]]+1)</f>
        <v>10</v>
      </c>
      <c r="HN68" s="17">
        <f>IF(Distances[[#This Row],[Colonne203]]=$G68,HM68,Distances[[#This Row],[Colonne203]]+1)</f>
        <v>10</v>
      </c>
      <c r="HO68" s="17">
        <f>IF(Distances[[#This Row],[Colonne204]]=$G68,HN68,Distances[[#This Row],[Colonne204]]+1)</f>
        <v>10</v>
      </c>
      <c r="HP68" s="17">
        <f>IF(Distances[[#This Row],[Colonne205]]=$G68,HO68,Distances[[#This Row],[Colonne205]]+1)</f>
        <v>10</v>
      </c>
      <c r="HQ68" s="17">
        <f>IF(Distances[[#This Row],[Colonne206]]=$G68,HP68,Distances[[#This Row],[Colonne206]]+1)</f>
        <v>10</v>
      </c>
      <c r="HR68" s="17">
        <f>IF(Distances[[#This Row],[Colonne207]]=$G68,HQ68,Distances[[#This Row],[Colonne207]]+1)</f>
        <v>10</v>
      </c>
      <c r="HS68" s="17">
        <f>IF(Distances[[#This Row],[Colonne208]]=$G68,HR68,Distances[[#This Row],[Colonne208]]+1)</f>
        <v>10</v>
      </c>
      <c r="HT68" s="17">
        <f>IF(Distances[[#This Row],[Colonne209]]=$G68,HS68,Distances[[#This Row],[Colonne209]]+1)</f>
        <v>10</v>
      </c>
      <c r="HU68" s="17">
        <f>IF(Distances[[#This Row],[Colonne210]]=$G68,HT68,Distances[[#This Row],[Colonne210]]+1)</f>
        <v>10</v>
      </c>
      <c r="HV68" s="17">
        <f>IF(Distances[[#This Row],[Colonne211]]=$G68,HU68,Distances[[#This Row],[Colonne211]]+1)</f>
        <v>10</v>
      </c>
      <c r="HW68" s="17">
        <f>IF(Distances[[#This Row],[Colonne212]]=$G68,HV68,Distances[[#This Row],[Colonne212]]+1)</f>
        <v>10</v>
      </c>
      <c r="HX68" s="17">
        <f>IF(Distances[[#This Row],[Colonne213]]=$G68,HW68,Distances[[#This Row],[Colonne213]]+1)</f>
        <v>10</v>
      </c>
      <c r="HY68" s="17">
        <f>IF(Distances[[#This Row],[Colonne214]]=$G68,HX68,Distances[[#This Row],[Colonne214]]+1)</f>
        <v>10</v>
      </c>
      <c r="HZ68" s="17">
        <f>IF(Distances[[#This Row],[Colonne215]]=$G68,HY68,Distances[[#This Row],[Colonne215]]+1)</f>
        <v>10</v>
      </c>
      <c r="IA68" s="17">
        <f>IF(Distances[[#This Row],[Colonne216]]=$G68,HZ68,Distances[[#This Row],[Colonne216]]+1)</f>
        <v>10</v>
      </c>
      <c r="IB68" s="17">
        <f>IF(Distances[[#This Row],[Colonne217]]=$G68,IA68,Distances[[#This Row],[Colonne217]]+1)</f>
        <v>10</v>
      </c>
      <c r="IC68" s="17">
        <f>IF(Distances[[#This Row],[Colonne218]]=$G68,IB68,Distances[[#This Row],[Colonne218]]+1)</f>
        <v>10</v>
      </c>
      <c r="ID68" s="17">
        <f>IF(Distances[[#This Row],[Colonne219]]=$G68,IC68,Distances[[#This Row],[Colonne219]]+1)</f>
        <v>10</v>
      </c>
      <c r="IE68" s="17">
        <f>IF(Distances[[#This Row],[Colonne220]]=$G68,ID68,Distances[[#This Row],[Colonne220]]+1)</f>
        <v>10</v>
      </c>
      <c r="IF68" s="17">
        <f>IF(Distances[[#This Row],[Colonne221]]=$G68,IE68,Distances[[#This Row],[Colonne221]]+1)</f>
        <v>10</v>
      </c>
      <c r="IG68" s="17">
        <f>IF(Distances[[#This Row],[Colonne222]]=$G68,IF68,Distances[[#This Row],[Colonne222]]+1)</f>
        <v>10</v>
      </c>
      <c r="IH68" s="17">
        <f>IF(Distances[[#This Row],[Colonne223]]=$G68,IG68,Distances[[#This Row],[Colonne223]]+1)</f>
        <v>10</v>
      </c>
      <c r="II68" s="17">
        <f>IF(Distances[[#This Row],[Colonne224]]=$G68,IH68,Distances[[#This Row],[Colonne224]]+1)</f>
        <v>10</v>
      </c>
      <c r="IJ68" s="17">
        <f>IF(Distances[[#This Row],[Colonne225]]=$G68,II68,Distances[[#This Row],[Colonne225]]+1)</f>
        <v>10</v>
      </c>
      <c r="IK68" s="17">
        <f>IF(Distances[[#This Row],[Colonne226]]=$G68,IJ68,Distances[[#This Row],[Colonne226]]+1)</f>
        <v>10</v>
      </c>
      <c r="IL68" s="17">
        <f>IF(Distances[[#This Row],[Colonne227]]=$G68,IK68,Distances[[#This Row],[Colonne227]]+1)</f>
        <v>10</v>
      </c>
      <c r="IM68" s="17">
        <f>IF(Distances[[#This Row],[Colonne228]]=$G68,IL68,Distances[[#This Row],[Colonne228]]+1)</f>
        <v>10</v>
      </c>
      <c r="IN68" s="17">
        <f>IF(Distances[[#This Row],[Colonne229]]=$G68,IM68,Distances[[#This Row],[Colonne229]]+1)</f>
        <v>10</v>
      </c>
      <c r="IO68" s="17">
        <f>IF(Distances[[#This Row],[Colonne230]]=$G68,IN68,Distances[[#This Row],[Colonne230]]+1)</f>
        <v>10</v>
      </c>
      <c r="IP68" s="17">
        <f>IF(Distances[[#This Row],[Colonne231]]=$G68,IO68,Distances[[#This Row],[Colonne231]]+1)</f>
        <v>10</v>
      </c>
      <c r="IQ68" s="17">
        <f>IF(Distances[[#This Row],[Colonne232]]=$G68,IP68,Distances[[#This Row],[Colonne232]]+1)</f>
        <v>10</v>
      </c>
      <c r="IR68" s="17">
        <f>IF(Distances[[#This Row],[Colonne233]]=$G68,IQ68,Distances[[#This Row],[Colonne233]]+1)</f>
        <v>10</v>
      </c>
      <c r="IS68" s="17">
        <f>IF(Distances[[#This Row],[Colonne234]]=$G68,IR68,Distances[[#This Row],[Colonne234]]+1)</f>
        <v>10</v>
      </c>
      <c r="IT68" s="17">
        <f>IF(Distances[[#This Row],[Colonne235]]=$G68,IS68,Distances[[#This Row],[Colonne235]]+1)</f>
        <v>10</v>
      </c>
      <c r="IU68" s="17">
        <f>IF(Distances[[#This Row],[Colonne236]]=$G68,IT68,Distances[[#This Row],[Colonne236]]+1)</f>
        <v>10</v>
      </c>
      <c r="IV68" s="17">
        <f>IF(Distances[[#This Row],[Colonne237]]=$G68,IU68,Distances[[#This Row],[Colonne237]]+1)</f>
        <v>10</v>
      </c>
      <c r="IW68" s="17">
        <f>IF(Distances[[#This Row],[Colonne238]]=$G68,IV68,Distances[[#This Row],[Colonne238]]+1)</f>
        <v>10</v>
      </c>
      <c r="IX68" s="17">
        <f>IF(Distances[[#This Row],[Colonne239]]=$G68,IW68,Distances[[#This Row],[Colonne239]]+1)</f>
        <v>10</v>
      </c>
      <c r="IY68" s="17">
        <f>IF(Distances[[#This Row],[Colonne240]]=$G68,IX68,Distances[[#This Row],[Colonne240]]+1)</f>
        <v>10</v>
      </c>
      <c r="IZ68" s="17">
        <f>IF(Distances[[#This Row],[Colonne241]]=$G68,IY68,Distances[[#This Row],[Colonne241]]+1)</f>
        <v>10</v>
      </c>
      <c r="JA68" s="17">
        <f>IF(Distances[[#This Row],[Colonne242]]=$G68,IZ68,Distances[[#This Row],[Colonne242]]+1)</f>
        <v>10</v>
      </c>
      <c r="JB68" s="17">
        <f>IF(Distances[[#This Row],[Colonne243]]=$G68,JA68,Distances[[#This Row],[Colonne243]]+1)</f>
        <v>10</v>
      </c>
      <c r="JC68" s="17">
        <f>IF(Distances[[#This Row],[Colonne244]]=$G68,JB68,Distances[[#This Row],[Colonne244]]+1)</f>
        <v>10</v>
      </c>
      <c r="JD68" s="17">
        <f>IF(Distances[[#This Row],[Colonne245]]=$G68,JC68,Distances[[#This Row],[Colonne245]]+1)</f>
        <v>10</v>
      </c>
      <c r="JE68" s="17">
        <f>IF(Distances[[#This Row],[Colonne246]]=$G68,JD68,Distances[[#This Row],[Colonne246]]+1)</f>
        <v>10</v>
      </c>
      <c r="JF68" s="17">
        <f>IF(Distances[[#This Row],[Colonne247]]=$G68,JE68,Distances[[#This Row],[Colonne247]]+1)</f>
        <v>10</v>
      </c>
      <c r="JG68" s="17">
        <f>IF(Distances[[#This Row],[Colonne248]]=$G68,JF68,Distances[[#This Row],[Colonne248]]+1)</f>
        <v>10</v>
      </c>
      <c r="JH68" s="17">
        <f>IF(Distances[[#This Row],[Colonne249]]=$G68,JG68,Distances[[#This Row],[Colonne249]]+1)</f>
        <v>10</v>
      </c>
      <c r="JI68" s="17">
        <f>IF(Distances[[#This Row],[Colonne250]]=$G68,JH68,Distances[[#This Row],[Colonne250]]+1)</f>
        <v>10</v>
      </c>
      <c r="JJ68" s="17">
        <f>IF(Distances[[#This Row],[Colonne251]]=$G68,JI68,Distances[[#This Row],[Colonne251]]+1)</f>
        <v>10</v>
      </c>
      <c r="JK68" s="17">
        <f>IF(Distances[[#This Row],[Colonne252]]=$G68,JJ68,Distances[[#This Row],[Colonne252]]+1)</f>
        <v>10</v>
      </c>
      <c r="JL68" s="17">
        <f>IF(Distances[[#This Row],[Colonne253]]=$G68,JK68,Distances[[#This Row],[Colonne253]]+1)</f>
        <v>10</v>
      </c>
      <c r="JM68" s="17">
        <f>IF(Distances[[#This Row],[Colonne254]]=$G68,JL68,Distances[[#This Row],[Colonne254]]+1)</f>
        <v>10</v>
      </c>
      <c r="JN68" s="17">
        <f>IF(Distances[[#This Row],[Colonne255]]=$G68,JM68,Distances[[#This Row],[Colonne255]]+1)</f>
        <v>10</v>
      </c>
      <c r="JO68" s="17">
        <f>IF(Distances[[#This Row],[Colonne256]]=$G68,JN68,Distances[[#This Row],[Colonne256]]+1)</f>
        <v>10</v>
      </c>
      <c r="JP68" s="17">
        <f>IF(Distances[[#This Row],[Colonne257]]=$G68,JO68,Distances[[#This Row],[Colonne257]]+1)</f>
        <v>10</v>
      </c>
      <c r="JQ68" s="17">
        <f>IF(Distances[[#This Row],[Colonne258]]=$G68,JP68,Distances[[#This Row],[Colonne258]]+1)</f>
        <v>10</v>
      </c>
      <c r="JR68" s="17">
        <f>IF(Distances[[#This Row],[Colonne259]]=$G68,JQ68,Distances[[#This Row],[Colonne259]]+1)</f>
        <v>10</v>
      </c>
      <c r="JS68" s="17">
        <f>IF(Distances[[#This Row],[Colonne260]]=$G68,JR68,Distances[[#This Row],[Colonne260]]+1)</f>
        <v>10</v>
      </c>
      <c r="JT68" s="17">
        <f>IF(Distances[[#This Row],[Colonne261]]=$G68,JS68,Distances[[#This Row],[Colonne261]]+1)</f>
        <v>10</v>
      </c>
      <c r="JU68" s="17">
        <f>IF(Distances[[#This Row],[Colonne262]]=$G68,JT68,Distances[[#This Row],[Colonne262]]+1)</f>
        <v>10</v>
      </c>
      <c r="JV68" s="17">
        <f>IF(Distances[[#This Row],[Colonne263]]=$G68,JU68,Distances[[#This Row],[Colonne263]]+1)</f>
        <v>10</v>
      </c>
      <c r="JW68" s="17">
        <f>IF(Distances[[#This Row],[Colonne264]]=$G68,JV68,Distances[[#This Row],[Colonne264]]+1)</f>
        <v>10</v>
      </c>
      <c r="JX68" s="17">
        <f>IF(Distances[[#This Row],[Colonne265]]=$G68,JW68,Distances[[#This Row],[Colonne265]]+1)</f>
        <v>10</v>
      </c>
      <c r="JY68" s="17">
        <f>IF(Distances[[#This Row],[Colonne266]]=$G68,JX68,Distances[[#This Row],[Colonne266]]+1)</f>
        <v>10</v>
      </c>
      <c r="JZ68" s="17">
        <f>IF(Distances[[#This Row],[Colonne267]]=$G68,JY68,Distances[[#This Row],[Colonne267]]+1)</f>
        <v>10</v>
      </c>
      <c r="KA68" s="17">
        <f>IF(Distances[[#This Row],[Colonne268]]=$G68,JZ68,Distances[[#This Row],[Colonne268]]+1)</f>
        <v>10</v>
      </c>
      <c r="KB68" s="17">
        <f>IF(Distances[[#This Row],[Colonne269]]=$G68,KA68,Distances[[#This Row],[Colonne269]]+1)</f>
        <v>10</v>
      </c>
      <c r="KC68" s="17">
        <f>IF(Distances[[#This Row],[Colonne270]]=$G68,KB68,Distances[[#This Row],[Colonne270]]+1)</f>
        <v>10</v>
      </c>
      <c r="KD68" s="17">
        <f>IF(Distances[[#This Row],[Colonne271]]=$G68,KC68,Distances[[#This Row],[Colonne271]]+1)</f>
        <v>10</v>
      </c>
      <c r="KE68" s="17">
        <f>IF(Distances[[#This Row],[Colonne272]]=$G68,KD68,Distances[[#This Row],[Colonne272]]+1)</f>
        <v>10</v>
      </c>
      <c r="KF68" s="17">
        <f>IF(Distances[[#This Row],[Colonne273]]=$G68,KE68,Distances[[#This Row],[Colonne273]]+1)</f>
        <v>10</v>
      </c>
      <c r="KG68" s="17">
        <f>IF(Distances[[#This Row],[Colonne274]]=$G68,KF68,Distances[[#This Row],[Colonne274]]+1)</f>
        <v>10</v>
      </c>
      <c r="KH68" s="17">
        <f>IF(Distances[[#This Row],[Colonne275]]=$G68,KG68,Distances[[#This Row],[Colonne275]]+1)</f>
        <v>10</v>
      </c>
      <c r="KI68" s="17">
        <f>IF(Distances[[#This Row],[Colonne276]]=$G68,KH68,Distances[[#This Row],[Colonne276]]+1)</f>
        <v>10</v>
      </c>
      <c r="KJ68" s="17">
        <f>IF(Distances[[#This Row],[Colonne277]]=$G68,KI68,Distances[[#This Row],[Colonne277]]+1)</f>
        <v>10</v>
      </c>
      <c r="KK68" s="17">
        <f>IF(Distances[[#This Row],[Colonne278]]=$G68,KJ68,Distances[[#This Row],[Colonne278]]+1)</f>
        <v>10</v>
      </c>
      <c r="KL68" s="17">
        <f>IF(Distances[[#This Row],[Colonne279]]=$G68,KK68,Distances[[#This Row],[Colonne279]]+1)</f>
        <v>10</v>
      </c>
      <c r="KM68" s="17">
        <f>IF(Distances[[#This Row],[Colonne280]]=$G68,KL68,Distances[[#This Row],[Colonne280]]+1)</f>
        <v>10</v>
      </c>
      <c r="KN68" s="17">
        <f>IF(Distances[[#This Row],[Colonne281]]=$G68,KM68,Distances[[#This Row],[Colonne281]]+1)</f>
        <v>10</v>
      </c>
      <c r="KO68" s="17">
        <f>IF(Distances[[#This Row],[Colonne282]]=$G68,KN68,Distances[[#This Row],[Colonne282]]+1)</f>
        <v>10</v>
      </c>
      <c r="KP68" s="17">
        <f>IF(Distances[[#This Row],[Colonne283]]=$G68,KO68,Distances[[#This Row],[Colonne283]]+1)</f>
        <v>10</v>
      </c>
      <c r="KQ68" s="17">
        <f>IF(Distances[[#This Row],[Colonne284]]=$G68,KP68,Distances[[#This Row],[Colonne284]]+1)</f>
        <v>10</v>
      </c>
      <c r="KR68" s="17">
        <f>IF(Distances[[#This Row],[Colonne285]]=$G68,KQ68,Distances[[#This Row],[Colonne285]]+1)</f>
        <v>10</v>
      </c>
      <c r="KS68" s="17">
        <f>IF(Distances[[#This Row],[Colonne286]]=$G68,KR68,Distances[[#This Row],[Colonne286]]+1)</f>
        <v>10</v>
      </c>
      <c r="KT68" s="17">
        <f>IF(Distances[[#This Row],[Colonne287]]=$G68,KS68,Distances[[#This Row],[Colonne287]]+1)</f>
        <v>10</v>
      </c>
      <c r="KU68" s="17">
        <f>IF(Distances[[#This Row],[Colonne288]]=$G68,KT68,Distances[[#This Row],[Colonne288]]+1)</f>
        <v>10</v>
      </c>
      <c r="KV68" s="17">
        <f>IF(Distances[[#This Row],[Colonne289]]=$G68,KU68,Distances[[#This Row],[Colonne289]]+1)</f>
        <v>10</v>
      </c>
      <c r="KW68" s="17">
        <f>IF(Distances[[#This Row],[Colonne290]]=$G68,KV68,Distances[[#This Row],[Colonne290]]+1)</f>
        <v>10</v>
      </c>
      <c r="KX68" s="17">
        <f>IF(Distances[[#This Row],[Colonne291]]=$G68,KW68,Distances[[#This Row],[Colonne291]]+1)</f>
        <v>10</v>
      </c>
      <c r="KY68" s="17">
        <f>IF(Distances[[#This Row],[Colonne292]]=$G68,KX68,Distances[[#This Row],[Colonne292]]+1)</f>
        <v>10</v>
      </c>
      <c r="KZ68" s="17">
        <f>IF(Distances[[#This Row],[Colonne293]]=$G68,KY68,Distances[[#This Row],[Colonne293]]+1)</f>
        <v>10</v>
      </c>
      <c r="LA68" s="17">
        <f>IF(Distances[[#This Row],[Colonne294]]=$G68,KZ68,Distances[[#This Row],[Colonne294]]+1)</f>
        <v>10</v>
      </c>
      <c r="LB68" s="17">
        <f>IF(Distances[[#This Row],[Colonne295]]=$G68,LA68,Distances[[#This Row],[Colonne295]]+1)</f>
        <v>10</v>
      </c>
      <c r="LC68" s="17">
        <f>IF(Distances[[#This Row],[Colonne296]]=$G68,LB68,Distances[[#This Row],[Colonne296]]+1)</f>
        <v>10</v>
      </c>
      <c r="LD68" s="17">
        <f>IF(Distances[[#This Row],[Colonne297]]=$G68,LC68,Distances[[#This Row],[Colonne297]]+1)</f>
        <v>10</v>
      </c>
      <c r="LE68" s="17">
        <f>IF(Distances[[#This Row],[Colonne298]]=$G68,LD68,Distances[[#This Row],[Colonne298]]+1)</f>
        <v>10</v>
      </c>
      <c r="LF68" s="17">
        <f>IF(Distances[[#This Row],[Colonne299]]=$G68,LE68,Distances[[#This Row],[Colonne299]]+1)</f>
        <v>10</v>
      </c>
      <c r="LG68" s="17">
        <f>IF(Distances[[#This Row],[Colonne300]]=$G68,LF68,Distances[[#This Row],[Colonne300]]+1)</f>
        <v>10</v>
      </c>
      <c r="LH68" s="17">
        <f>IF(Distances[[#This Row],[Colonne301]]=$G68,LG68,Distances[[#This Row],[Colonne301]]+1)</f>
        <v>10</v>
      </c>
      <c r="LI68" s="17">
        <f>IF(Distances[[#This Row],[Colonne302]]=$G68,LH68,Distances[[#This Row],[Colonne302]]+1)</f>
        <v>10</v>
      </c>
      <c r="LJ68" s="17">
        <f>IF(Distances[[#This Row],[Colonne303]]=$G68,LI68,Distances[[#This Row],[Colonne303]]+1)</f>
        <v>10</v>
      </c>
      <c r="LK68" s="51"/>
      <c r="LL68" s="17">
        <f t="shared" ref="LL68:NW68" si="133">IF(LK68=$H68,LK68,LK68+1)</f>
        <v>1</v>
      </c>
      <c r="LM68" s="17">
        <f t="shared" si="133"/>
        <v>2</v>
      </c>
      <c r="LN68" s="17">
        <f t="shared" si="133"/>
        <v>3</v>
      </c>
      <c r="LO68" s="17">
        <f t="shared" si="133"/>
        <v>4</v>
      </c>
      <c r="LP68" s="17">
        <f t="shared" si="133"/>
        <v>5</v>
      </c>
      <c r="LQ68" s="17">
        <f t="shared" si="133"/>
        <v>6</v>
      </c>
      <c r="LR68" s="17">
        <f t="shared" si="133"/>
        <v>7</v>
      </c>
      <c r="LS68" s="17">
        <f t="shared" si="133"/>
        <v>8</v>
      </c>
      <c r="LT68" s="17">
        <f t="shared" si="133"/>
        <v>9</v>
      </c>
      <c r="LU68" s="17">
        <f t="shared" si="133"/>
        <v>10</v>
      </c>
      <c r="LV68" s="17">
        <f t="shared" si="133"/>
        <v>11</v>
      </c>
      <c r="LW68" s="17">
        <f t="shared" si="133"/>
        <v>12</v>
      </c>
      <c r="LX68" s="17">
        <f t="shared" si="133"/>
        <v>13</v>
      </c>
      <c r="LY68" s="17">
        <f t="shared" si="133"/>
        <v>14</v>
      </c>
      <c r="LZ68" s="17">
        <f t="shared" si="133"/>
        <v>15</v>
      </c>
      <c r="MA68" s="17">
        <f t="shared" si="133"/>
        <v>16</v>
      </c>
      <c r="MB68" s="17">
        <f t="shared" si="133"/>
        <v>17</v>
      </c>
      <c r="MC68" s="17">
        <f t="shared" si="133"/>
        <v>18</v>
      </c>
      <c r="MD68" s="17">
        <f t="shared" si="133"/>
        <v>19</v>
      </c>
      <c r="ME68" s="17">
        <f t="shared" si="133"/>
        <v>20</v>
      </c>
      <c r="MF68" s="17">
        <f t="shared" si="133"/>
        <v>21</v>
      </c>
      <c r="MG68" s="17">
        <f t="shared" si="133"/>
        <v>22</v>
      </c>
      <c r="MH68" s="17">
        <f t="shared" si="133"/>
        <v>23</v>
      </c>
      <c r="MI68" s="17">
        <f t="shared" si="133"/>
        <v>24</v>
      </c>
      <c r="MJ68" s="17">
        <f t="shared" si="133"/>
        <v>25</v>
      </c>
      <c r="MK68" s="17">
        <f t="shared" si="133"/>
        <v>26</v>
      </c>
      <c r="ML68" s="17">
        <f t="shared" si="133"/>
        <v>27</v>
      </c>
      <c r="MM68" s="17">
        <f t="shared" si="133"/>
        <v>28</v>
      </c>
      <c r="MN68" s="17">
        <f t="shared" si="133"/>
        <v>29</v>
      </c>
      <c r="MO68" s="17">
        <f t="shared" si="133"/>
        <v>30</v>
      </c>
      <c r="MP68" s="17">
        <f t="shared" si="133"/>
        <v>31</v>
      </c>
      <c r="MQ68" s="17">
        <f t="shared" si="133"/>
        <v>32</v>
      </c>
      <c r="MR68" s="17">
        <f t="shared" si="133"/>
        <v>33</v>
      </c>
      <c r="MS68" s="17">
        <f t="shared" si="133"/>
        <v>34</v>
      </c>
      <c r="MT68" s="17">
        <f t="shared" si="133"/>
        <v>35</v>
      </c>
      <c r="MU68" s="17">
        <f t="shared" si="133"/>
        <v>36</v>
      </c>
      <c r="MV68" s="17">
        <f t="shared" si="133"/>
        <v>37</v>
      </c>
      <c r="MW68" s="17">
        <f t="shared" si="133"/>
        <v>38</v>
      </c>
      <c r="MX68" s="17">
        <f t="shared" si="133"/>
        <v>39</v>
      </c>
      <c r="MY68" s="17">
        <f t="shared" si="133"/>
        <v>40</v>
      </c>
      <c r="MZ68" s="17">
        <f t="shared" si="133"/>
        <v>40</v>
      </c>
      <c r="NA68" s="17">
        <f t="shared" si="133"/>
        <v>40</v>
      </c>
      <c r="NB68" s="17">
        <f t="shared" si="133"/>
        <v>40</v>
      </c>
      <c r="NC68" s="17">
        <f t="shared" si="133"/>
        <v>40</v>
      </c>
      <c r="ND68" s="17">
        <f t="shared" si="133"/>
        <v>40</v>
      </c>
      <c r="NE68" s="17">
        <f t="shared" si="133"/>
        <v>40</v>
      </c>
      <c r="NF68" s="17">
        <f t="shared" si="133"/>
        <v>40</v>
      </c>
      <c r="NG68" s="17">
        <f t="shared" si="133"/>
        <v>40</v>
      </c>
      <c r="NH68" s="17">
        <f t="shared" si="133"/>
        <v>40</v>
      </c>
      <c r="NI68" s="17">
        <f t="shared" si="133"/>
        <v>40</v>
      </c>
      <c r="NJ68" s="17">
        <f t="shared" si="133"/>
        <v>40</v>
      </c>
      <c r="NK68" s="17">
        <f t="shared" si="133"/>
        <v>40</v>
      </c>
      <c r="NL68" s="17">
        <f t="shared" si="133"/>
        <v>40</v>
      </c>
      <c r="NM68" s="17">
        <f t="shared" si="133"/>
        <v>40</v>
      </c>
      <c r="NN68" s="17">
        <f t="shared" si="133"/>
        <v>40</v>
      </c>
      <c r="NO68" s="17">
        <f t="shared" si="133"/>
        <v>40</v>
      </c>
      <c r="NP68" s="17">
        <f t="shared" si="133"/>
        <v>40</v>
      </c>
      <c r="NQ68" s="17">
        <f t="shared" si="133"/>
        <v>40</v>
      </c>
      <c r="NR68" s="17">
        <f t="shared" si="133"/>
        <v>40</v>
      </c>
      <c r="NS68" s="17">
        <f t="shared" si="133"/>
        <v>40</v>
      </c>
      <c r="NT68" s="17">
        <f t="shared" si="133"/>
        <v>40</v>
      </c>
      <c r="NU68" s="17">
        <f t="shared" si="133"/>
        <v>40</v>
      </c>
      <c r="NV68" s="17">
        <f t="shared" si="133"/>
        <v>40</v>
      </c>
      <c r="NW68" s="17">
        <f t="shared" si="133"/>
        <v>40</v>
      </c>
      <c r="NX68" s="17">
        <f t="shared" ref="NX68:PG68" si="134">IF(NW68=$H68,NW68,NW68+1)</f>
        <v>40</v>
      </c>
      <c r="NY68" s="17">
        <f t="shared" si="134"/>
        <v>40</v>
      </c>
      <c r="NZ68" s="17">
        <f t="shared" si="134"/>
        <v>40</v>
      </c>
      <c r="OA68" s="17">
        <f t="shared" si="134"/>
        <v>40</v>
      </c>
      <c r="OB68" s="17">
        <f t="shared" si="134"/>
        <v>40</v>
      </c>
      <c r="OC68" s="17">
        <f t="shared" si="134"/>
        <v>40</v>
      </c>
      <c r="OD68" s="17">
        <f t="shared" si="134"/>
        <v>40</v>
      </c>
      <c r="OE68" s="17">
        <f t="shared" si="134"/>
        <v>40</v>
      </c>
      <c r="OF68" s="17">
        <f t="shared" si="134"/>
        <v>40</v>
      </c>
      <c r="OG68" s="17">
        <f t="shared" si="134"/>
        <v>40</v>
      </c>
      <c r="OH68" s="17">
        <f t="shared" si="134"/>
        <v>40</v>
      </c>
      <c r="OI68" s="17">
        <f t="shared" si="134"/>
        <v>40</v>
      </c>
      <c r="OJ68" s="17">
        <f t="shared" si="134"/>
        <v>40</v>
      </c>
      <c r="OK68" s="17">
        <f t="shared" si="134"/>
        <v>40</v>
      </c>
      <c r="OL68" s="17">
        <f t="shared" si="134"/>
        <v>40</v>
      </c>
      <c r="OM68" s="17">
        <f t="shared" si="134"/>
        <v>40</v>
      </c>
      <c r="ON68" s="17">
        <f t="shared" si="134"/>
        <v>40</v>
      </c>
      <c r="OO68" s="17">
        <f t="shared" si="134"/>
        <v>40</v>
      </c>
      <c r="OP68" s="17">
        <f t="shared" si="134"/>
        <v>40</v>
      </c>
      <c r="OQ68" s="17">
        <f t="shared" si="134"/>
        <v>40</v>
      </c>
      <c r="OR68" s="17">
        <f t="shared" si="134"/>
        <v>40</v>
      </c>
      <c r="OS68" s="17">
        <f t="shared" si="134"/>
        <v>40</v>
      </c>
      <c r="OT68" s="17">
        <f t="shared" si="134"/>
        <v>40</v>
      </c>
      <c r="OU68" s="17">
        <f t="shared" si="134"/>
        <v>40</v>
      </c>
      <c r="OV68" s="17">
        <f t="shared" si="134"/>
        <v>40</v>
      </c>
      <c r="OW68" s="17">
        <f t="shared" si="134"/>
        <v>40</v>
      </c>
      <c r="OX68" s="17">
        <f t="shared" si="134"/>
        <v>40</v>
      </c>
      <c r="OY68" s="17">
        <f t="shared" si="134"/>
        <v>40</v>
      </c>
      <c r="OZ68" s="17">
        <f t="shared" si="134"/>
        <v>40</v>
      </c>
      <c r="PA68" s="17">
        <f t="shared" si="134"/>
        <v>40</v>
      </c>
      <c r="PB68" s="17">
        <f t="shared" si="134"/>
        <v>40</v>
      </c>
      <c r="PC68" s="17">
        <f t="shared" si="134"/>
        <v>40</v>
      </c>
      <c r="PD68" s="17">
        <f t="shared" si="134"/>
        <v>40</v>
      </c>
      <c r="PE68" s="17">
        <f t="shared" si="134"/>
        <v>40</v>
      </c>
      <c r="PF68" s="17">
        <f t="shared" si="134"/>
        <v>40</v>
      </c>
      <c r="PG68" s="17">
        <f t="shared" si="134"/>
        <v>40</v>
      </c>
    </row>
    <row r="69" spans="1:423" x14ac:dyDescent="0.25">
      <c r="A69" s="8" t="s">
        <v>5454</v>
      </c>
      <c r="B69" s="9" t="s">
        <v>5504</v>
      </c>
      <c r="C69" s="9" t="str">
        <f t="shared" si="72"/>
        <v>3R2</v>
      </c>
      <c r="D69" s="1" t="str">
        <f t="shared" si="73"/>
        <v>3 Bandes R2</v>
      </c>
      <c r="E69" s="1" t="s">
        <v>15</v>
      </c>
      <c r="F69" s="9" t="s">
        <v>5508</v>
      </c>
      <c r="G69" s="9">
        <v>10</v>
      </c>
      <c r="H69" s="9">
        <v>40</v>
      </c>
      <c r="I69" s="30">
        <v>2.8</v>
      </c>
      <c r="J69" s="30"/>
      <c r="K69" s="281"/>
      <c r="L69" s="8">
        <v>0</v>
      </c>
      <c r="M69" s="9">
        <v>0</v>
      </c>
      <c r="N69" s="10">
        <v>0.24990000000000001</v>
      </c>
      <c r="O69" s="269"/>
      <c r="P69" s="331"/>
      <c r="Q69" s="335"/>
      <c r="R69" s="128">
        <v>1</v>
      </c>
      <c r="S69" s="9">
        <v>1</v>
      </c>
      <c r="T69" s="10">
        <v>2</v>
      </c>
      <c r="U69" t="s">
        <v>5523</v>
      </c>
      <c r="V69" s="17">
        <v>0</v>
      </c>
      <c r="W69" s="17">
        <f>IF(Distances[[#This Row],[Colonne4]]=$G69,V69,Distances[[#This Row],[Colonne4]]+1)</f>
        <v>1</v>
      </c>
      <c r="X69" s="17">
        <f>IF(Distances[[#This Row],[Colonne5]]=$G69,W69,Distances[[#This Row],[Colonne5]]+1)</f>
        <v>2</v>
      </c>
      <c r="Y69" s="17">
        <f>IF(Distances[[#This Row],[Colonne6]]=$G69,X69,Distances[[#This Row],[Colonne6]]+1)</f>
        <v>3</v>
      </c>
      <c r="Z69" s="17">
        <f>IF(Distances[[#This Row],[Colonne7]]=$G69,Y69,Distances[[#This Row],[Colonne7]]+1)</f>
        <v>4</v>
      </c>
      <c r="AA69" s="17">
        <f>IF(Distances[[#This Row],[Colonne8]]=$G69,Z69,Distances[[#This Row],[Colonne8]]+1)</f>
        <v>5</v>
      </c>
      <c r="AB69" s="17">
        <f>IF(Distances[[#This Row],[Colonne9]]=$G69,AA69,Distances[[#This Row],[Colonne9]]+1)</f>
        <v>6</v>
      </c>
      <c r="AC69" s="17">
        <f>IF(Distances[[#This Row],[Colonne10]]=$G69,AB69,Distances[[#This Row],[Colonne10]]+1)</f>
        <v>7</v>
      </c>
      <c r="AD69" s="17">
        <f>IF(Distances[[#This Row],[Colonne11]]=$G69,AC69,Distances[[#This Row],[Colonne11]]+1)</f>
        <v>8</v>
      </c>
      <c r="AE69" s="17">
        <f>IF(Distances[[#This Row],[Colonne12]]=$G69,AD69,Distances[[#This Row],[Colonne12]]+1)</f>
        <v>9</v>
      </c>
      <c r="AF69" s="17">
        <f>IF(Distances[[#This Row],[Colonne13]]=$G69,AE69,Distances[[#This Row],[Colonne13]]+1)</f>
        <v>10</v>
      </c>
      <c r="AG69" s="17">
        <f>IF(Distances[[#This Row],[Colonne14]]=$G69,AF69,Distances[[#This Row],[Colonne14]]+1)</f>
        <v>10</v>
      </c>
      <c r="AH69" s="17">
        <f>IF(Distances[[#This Row],[Colonne15]]=$G69,AG69,Distances[[#This Row],[Colonne15]]+1)</f>
        <v>10</v>
      </c>
      <c r="AI69" s="17">
        <f>IF(Distances[[#This Row],[Colonne16]]=$G69,AH69,Distances[[#This Row],[Colonne16]]+1)</f>
        <v>10</v>
      </c>
      <c r="AJ69" s="17">
        <f>IF(Distances[[#This Row],[Colonne17]]=$G69,AI69,Distances[[#This Row],[Colonne17]]+1)</f>
        <v>10</v>
      </c>
      <c r="AK69" s="17">
        <f>IF(Distances[[#This Row],[Colonne18]]=$G69,AJ69,Distances[[#This Row],[Colonne18]]+1)</f>
        <v>10</v>
      </c>
      <c r="AL69" s="17">
        <f>IF(Distances[[#This Row],[Colonne19]]=$G69,AK69,Distances[[#This Row],[Colonne19]]+1)</f>
        <v>10</v>
      </c>
      <c r="AM69" s="17">
        <f>IF(Distances[[#This Row],[Colonne20]]=$G69,AL69,Distances[[#This Row],[Colonne20]]+1)</f>
        <v>10</v>
      </c>
      <c r="AN69" s="17">
        <f>IF(Distances[[#This Row],[Colonne21]]=$G69,AM69,Distances[[#This Row],[Colonne21]]+1)</f>
        <v>10</v>
      </c>
      <c r="AO69" s="17">
        <f>IF(Distances[[#This Row],[Colonne22]]=$G69,AN69,Distances[[#This Row],[Colonne22]]+1)</f>
        <v>10</v>
      </c>
      <c r="AP69" s="17">
        <f>IF(Distances[[#This Row],[Colonne23]]=$G69,AO69,Distances[[#This Row],[Colonne23]]+1)</f>
        <v>10</v>
      </c>
      <c r="AQ69" s="17">
        <f>IF(Distances[[#This Row],[Colonne24]]=$G69,AP69,Distances[[#This Row],[Colonne24]]+1)</f>
        <v>10</v>
      </c>
      <c r="AR69" s="17">
        <f>IF(Distances[[#This Row],[Colonne25]]=$G69,AQ69,Distances[[#This Row],[Colonne25]]+1)</f>
        <v>10</v>
      </c>
      <c r="AS69" s="17">
        <f>IF(Distances[[#This Row],[Colonne26]]=$G69,AR69,Distances[[#This Row],[Colonne26]]+1)</f>
        <v>10</v>
      </c>
      <c r="AT69" s="17">
        <f>IF(Distances[[#This Row],[Colonne27]]=$G69,AS69,Distances[[#This Row],[Colonne27]]+1)</f>
        <v>10</v>
      </c>
      <c r="AU69" s="17">
        <f>IF(Distances[[#This Row],[Colonne28]]=$G69,AT69,Distances[[#This Row],[Colonne28]]+1)</f>
        <v>10</v>
      </c>
      <c r="AV69" s="17">
        <f>IF(Distances[[#This Row],[Colonne29]]=$G69,AU69,Distances[[#This Row],[Colonne29]]+1)</f>
        <v>10</v>
      </c>
      <c r="AW69" s="17">
        <f>IF(Distances[[#This Row],[Colonne30]]=$G69,AV69,Distances[[#This Row],[Colonne30]]+1)</f>
        <v>10</v>
      </c>
      <c r="AX69" s="17">
        <f>IF(Distances[[#This Row],[Colonne31]]=$G69,AW69,Distances[[#This Row],[Colonne31]]+1)</f>
        <v>10</v>
      </c>
      <c r="AY69" s="17">
        <f>IF(Distances[[#This Row],[Colonne32]]=$G69,AX69,Distances[[#This Row],[Colonne32]]+1)</f>
        <v>10</v>
      </c>
      <c r="AZ69" s="17">
        <f>IF(Distances[[#This Row],[Colonne33]]=$G69,AY69,Distances[[#This Row],[Colonne33]]+1)</f>
        <v>10</v>
      </c>
      <c r="BA69" s="17">
        <f>IF(Distances[[#This Row],[Colonne34]]=$G69,AZ69,Distances[[#This Row],[Colonne34]]+1)</f>
        <v>10</v>
      </c>
      <c r="BB69" s="17">
        <f>IF(Distances[[#This Row],[Colonne35]]=$G69,BA69,Distances[[#This Row],[Colonne35]]+1)</f>
        <v>10</v>
      </c>
      <c r="BC69" s="17">
        <f>IF(Distances[[#This Row],[Colonne36]]=$G69,BB69,Distances[[#This Row],[Colonne36]]+1)</f>
        <v>10</v>
      </c>
      <c r="BD69" s="17">
        <f>IF(Distances[[#This Row],[Colonne37]]=$G69,BC69,Distances[[#This Row],[Colonne37]]+1)</f>
        <v>10</v>
      </c>
      <c r="BE69" s="17">
        <f>IF(Distances[[#This Row],[Colonne38]]=$G69,BD69,Distances[[#This Row],[Colonne38]]+1)</f>
        <v>10</v>
      </c>
      <c r="BF69" s="17">
        <f>IF(Distances[[#This Row],[Colonne39]]=$G69,BE69,Distances[[#This Row],[Colonne39]]+1)</f>
        <v>10</v>
      </c>
      <c r="BG69" s="17">
        <f>IF(Distances[[#This Row],[Colonne40]]=$G69,BF69,Distances[[#This Row],[Colonne40]]+1)</f>
        <v>10</v>
      </c>
      <c r="BH69" s="17">
        <f>IF(Distances[[#This Row],[Colonne41]]=$G69,BG69,Distances[[#This Row],[Colonne41]]+1)</f>
        <v>10</v>
      </c>
      <c r="BI69" s="17">
        <f>IF(Distances[[#This Row],[Colonne42]]=$G69,BH69,Distances[[#This Row],[Colonne42]]+1)</f>
        <v>10</v>
      </c>
      <c r="BJ69" s="17">
        <f>IF(Distances[[#This Row],[Colonne43]]=$G69,BI69,Distances[[#This Row],[Colonne43]]+1)</f>
        <v>10</v>
      </c>
      <c r="BK69" s="17">
        <f>IF(Distances[[#This Row],[Colonne44]]=$G69,BJ69,Distances[[#This Row],[Colonne44]]+1)</f>
        <v>10</v>
      </c>
      <c r="BL69" s="17">
        <f>IF(Distances[[#This Row],[Colonne45]]=$G69,BK69,Distances[[#This Row],[Colonne45]]+1)</f>
        <v>10</v>
      </c>
      <c r="BM69" s="17">
        <f>IF(Distances[[#This Row],[Colonne46]]=$G69,BL69,Distances[[#This Row],[Colonne46]]+1)</f>
        <v>10</v>
      </c>
      <c r="BN69" s="17">
        <f>IF(Distances[[#This Row],[Colonne47]]=$G69,BM69,Distances[[#This Row],[Colonne47]]+1)</f>
        <v>10</v>
      </c>
      <c r="BO69" s="17">
        <f>IF(Distances[[#This Row],[Colonne48]]=$G69,BN69,Distances[[#This Row],[Colonne48]]+1)</f>
        <v>10</v>
      </c>
      <c r="BP69" s="17">
        <f>IF(Distances[[#This Row],[Colonne49]]=$G69,BO69,Distances[[#This Row],[Colonne49]]+1)</f>
        <v>10</v>
      </c>
      <c r="BQ69" s="17">
        <f>IF(Distances[[#This Row],[Colonne50]]=$G69,BP69,Distances[[#This Row],[Colonne50]]+1)</f>
        <v>10</v>
      </c>
      <c r="BR69" s="17">
        <f>IF(Distances[[#This Row],[Colonne51]]=$G69,BQ69,Distances[[#This Row],[Colonne51]]+1)</f>
        <v>10</v>
      </c>
      <c r="BS69" s="17">
        <f>IF(Distances[[#This Row],[Colonne52]]=$G69,BR69,Distances[[#This Row],[Colonne52]]+1)</f>
        <v>10</v>
      </c>
      <c r="BT69" s="17">
        <f>IF(Distances[[#This Row],[Colonne53]]=$G69,BS69,Distances[[#This Row],[Colonne53]]+1)</f>
        <v>10</v>
      </c>
      <c r="BU69" s="17">
        <f>IF(Distances[[#This Row],[Colonne54]]=$G69,BT69,Distances[[#This Row],[Colonne54]]+1)</f>
        <v>10</v>
      </c>
      <c r="BV69" s="17">
        <f>IF(Distances[[#This Row],[Colonne55]]=$G69,BU69,Distances[[#This Row],[Colonne55]]+1)</f>
        <v>10</v>
      </c>
      <c r="BW69" s="17">
        <f>IF(Distances[[#This Row],[Colonne56]]=$G69,BV69,Distances[[#This Row],[Colonne56]]+1)</f>
        <v>10</v>
      </c>
      <c r="BX69" s="17">
        <f>IF(Distances[[#This Row],[Colonne57]]=$G69,BW69,Distances[[#This Row],[Colonne57]]+1)</f>
        <v>10</v>
      </c>
      <c r="BY69" s="17">
        <f>IF(Distances[[#This Row],[Colonne58]]=$G69,BX69,Distances[[#This Row],[Colonne58]]+1)</f>
        <v>10</v>
      </c>
      <c r="BZ69" s="17">
        <f>IF(Distances[[#This Row],[Colonne59]]=$G69,BY69,Distances[[#This Row],[Colonne59]]+1)</f>
        <v>10</v>
      </c>
      <c r="CA69" s="17">
        <f>IF(Distances[[#This Row],[Colonne60]]=$G69,BZ69,Distances[[#This Row],[Colonne60]]+1)</f>
        <v>10</v>
      </c>
      <c r="CB69" s="17">
        <f>IF(Distances[[#This Row],[Colonne61]]=$G69,CA69,Distances[[#This Row],[Colonne61]]+1)</f>
        <v>10</v>
      </c>
      <c r="CC69" s="17">
        <f>IF(Distances[[#This Row],[Colonne62]]=$G69,CB69,Distances[[#This Row],[Colonne62]]+1)</f>
        <v>10</v>
      </c>
      <c r="CD69" s="17">
        <f>IF(Distances[[#This Row],[Colonne63]]=$G69,CC69,Distances[[#This Row],[Colonne63]]+1)</f>
        <v>10</v>
      </c>
      <c r="CE69" s="17">
        <f>IF(Distances[[#This Row],[Colonne64]]=$G69,CD69,Distances[[#This Row],[Colonne64]]+1)</f>
        <v>10</v>
      </c>
      <c r="CF69" s="17">
        <f>IF(Distances[[#This Row],[Colonne65]]=$G69,CE69,Distances[[#This Row],[Colonne65]]+1)</f>
        <v>10</v>
      </c>
      <c r="CG69" s="17">
        <f>IF(Distances[[#This Row],[Colonne66]]=$G69,CF69,Distances[[#This Row],[Colonne66]]+1)</f>
        <v>10</v>
      </c>
      <c r="CH69" s="17">
        <f>IF(Distances[[#This Row],[Colonne67]]=$G69,CG69,Distances[[#This Row],[Colonne67]]+1)</f>
        <v>10</v>
      </c>
      <c r="CI69" s="17">
        <f>IF(Distances[[#This Row],[Colonne68]]=$G69,CH69,Distances[[#This Row],[Colonne68]]+1)</f>
        <v>10</v>
      </c>
      <c r="CJ69" s="17">
        <f>IF(Distances[[#This Row],[Colonne69]]=$G69,CI69,Distances[[#This Row],[Colonne69]]+1)</f>
        <v>10</v>
      </c>
      <c r="CK69" s="17">
        <f>IF(Distances[[#This Row],[Colonne70]]=$G69,CJ69,Distances[[#This Row],[Colonne70]]+1)</f>
        <v>10</v>
      </c>
      <c r="CL69" s="17">
        <f>IF(Distances[[#This Row],[Colonne71]]=$G69,CK69,Distances[[#This Row],[Colonne71]]+1)</f>
        <v>10</v>
      </c>
      <c r="CM69" s="17">
        <f>IF(Distances[[#This Row],[Colonne72]]=$G69,CL69,Distances[[#This Row],[Colonne72]]+1)</f>
        <v>10</v>
      </c>
      <c r="CN69" s="17">
        <f>IF(Distances[[#This Row],[Colonne73]]=$G69,CM69,Distances[[#This Row],[Colonne73]]+1)</f>
        <v>10</v>
      </c>
      <c r="CO69" s="17">
        <f>IF(Distances[[#This Row],[Colonne74]]=$G69,CN69,Distances[[#This Row],[Colonne74]]+1)</f>
        <v>10</v>
      </c>
      <c r="CP69" s="17">
        <f>IF(Distances[[#This Row],[Colonne75]]=$G69,CO69,Distances[[#This Row],[Colonne75]]+1)</f>
        <v>10</v>
      </c>
      <c r="CQ69" s="17">
        <f>IF(Distances[[#This Row],[Colonne76]]=$G69,CP69,Distances[[#This Row],[Colonne76]]+1)</f>
        <v>10</v>
      </c>
      <c r="CR69" s="17">
        <f>IF(Distances[[#This Row],[Colonne77]]=$G69,CQ69,Distances[[#This Row],[Colonne77]]+1)</f>
        <v>10</v>
      </c>
      <c r="CS69" s="17">
        <f>IF(Distances[[#This Row],[Colonne78]]=$G69,CR69,Distances[[#This Row],[Colonne78]]+1)</f>
        <v>10</v>
      </c>
      <c r="CT69" s="17">
        <f>IF(Distances[[#This Row],[Colonne79]]=$G69,CS69,Distances[[#This Row],[Colonne79]]+1)</f>
        <v>10</v>
      </c>
      <c r="CU69" s="17">
        <f>IF(Distances[[#This Row],[Colonne80]]=$G69,CT69,Distances[[#This Row],[Colonne80]]+1)</f>
        <v>10</v>
      </c>
      <c r="CV69" s="17">
        <f>IF(Distances[[#This Row],[Colonne81]]=$G69,CU69,Distances[[#This Row],[Colonne81]]+1)</f>
        <v>10</v>
      </c>
      <c r="CW69" s="17">
        <f>IF(Distances[[#This Row],[Colonne82]]=$G69,CV69,Distances[[#This Row],[Colonne82]]+1)</f>
        <v>10</v>
      </c>
      <c r="CX69" s="17">
        <f>IF(Distances[[#This Row],[Colonne83]]=$G69,CW69,Distances[[#This Row],[Colonne83]]+1)</f>
        <v>10</v>
      </c>
      <c r="CY69" s="17">
        <f>IF(Distances[[#This Row],[Colonne84]]=$G69,CX69,Distances[[#This Row],[Colonne84]]+1)</f>
        <v>10</v>
      </c>
      <c r="CZ69" s="17">
        <f>IF(Distances[[#This Row],[Colonne85]]=$G69,CY69,Distances[[#This Row],[Colonne85]]+1)</f>
        <v>10</v>
      </c>
      <c r="DA69" s="17">
        <f>IF(Distances[[#This Row],[Colonne86]]=$G69,CZ69,Distances[[#This Row],[Colonne86]]+1)</f>
        <v>10</v>
      </c>
      <c r="DB69" s="17">
        <f>IF(Distances[[#This Row],[Colonne87]]=$G69,DA69,Distances[[#This Row],[Colonne87]]+1)</f>
        <v>10</v>
      </c>
      <c r="DC69" s="17">
        <f>IF(Distances[[#This Row],[Colonne88]]=$G69,DB69,Distances[[#This Row],[Colonne88]]+1)</f>
        <v>10</v>
      </c>
      <c r="DD69" s="17">
        <f>IF(Distances[[#This Row],[Colonne89]]=$G69,DC69,Distances[[#This Row],[Colonne89]]+1)</f>
        <v>10</v>
      </c>
      <c r="DE69" s="17">
        <f>IF(Distances[[#This Row],[Colonne90]]=$G69,DD69,Distances[[#This Row],[Colonne90]]+1)</f>
        <v>10</v>
      </c>
      <c r="DF69" s="17">
        <f>IF(Distances[[#This Row],[Colonne91]]=$G69,DE69,Distances[[#This Row],[Colonne91]]+1)</f>
        <v>10</v>
      </c>
      <c r="DG69" s="17">
        <f>IF(Distances[[#This Row],[Colonne92]]=$G69,DF69,Distances[[#This Row],[Colonne92]]+1)</f>
        <v>10</v>
      </c>
      <c r="DH69" s="17">
        <f>IF(Distances[[#This Row],[Colonne93]]=$G69,DG69,Distances[[#This Row],[Colonne93]]+1)</f>
        <v>10</v>
      </c>
      <c r="DI69" s="17">
        <f>IF(Distances[[#This Row],[Colonne94]]=$G69,DH69,Distances[[#This Row],[Colonne94]]+1)</f>
        <v>10</v>
      </c>
      <c r="DJ69" s="17">
        <f>IF(Distances[[#This Row],[Colonne95]]=$G69,DI69,Distances[[#This Row],[Colonne95]]+1)</f>
        <v>10</v>
      </c>
      <c r="DK69" s="17">
        <f>IF(Distances[[#This Row],[Colonne96]]=$G69,DJ69,Distances[[#This Row],[Colonne96]]+1)</f>
        <v>10</v>
      </c>
      <c r="DL69" s="17">
        <f>IF(Distances[[#This Row],[Colonne97]]=$G69,DK69,Distances[[#This Row],[Colonne97]]+1)</f>
        <v>10</v>
      </c>
      <c r="DM69" s="17">
        <f>IF(Distances[[#This Row],[Colonne98]]=$G69,DL69,Distances[[#This Row],[Colonne98]]+1)</f>
        <v>10</v>
      </c>
      <c r="DN69" s="17">
        <f>IF(Distances[[#This Row],[Colonne99]]=$G69,DM69,Distances[[#This Row],[Colonne99]]+1)</f>
        <v>10</v>
      </c>
      <c r="DO69" s="17">
        <f>IF(Distances[[#This Row],[Colonne100]]=$G69,DN69,Distances[[#This Row],[Colonne100]]+1)</f>
        <v>10</v>
      </c>
      <c r="DP69" s="17">
        <f>IF(Distances[[#This Row],[Colonne101]]=$G69,DO69,Distances[[#This Row],[Colonne101]]+1)</f>
        <v>10</v>
      </c>
      <c r="DQ69" s="17">
        <f>IF(Distances[[#This Row],[Colonne102]]=$G69,DP69,Distances[[#This Row],[Colonne102]]+1)</f>
        <v>10</v>
      </c>
      <c r="DR69" s="17">
        <f>IF(Distances[[#This Row],[Colonne103]]=$G69,DQ69,Distances[[#This Row],[Colonne103]]+1)</f>
        <v>10</v>
      </c>
      <c r="DS69" s="17">
        <f>IF(Distances[[#This Row],[Colonne104]]=$G69,DR69,Distances[[#This Row],[Colonne104]]+1)</f>
        <v>10</v>
      </c>
      <c r="DT69" s="17">
        <f>IF(Distances[[#This Row],[Colonne105]]=$G69,DS69,Distances[[#This Row],[Colonne105]]+1)</f>
        <v>10</v>
      </c>
      <c r="DU69" s="17">
        <f>IF(Distances[[#This Row],[Colonne106]]=$G69,DT69,Distances[[#This Row],[Colonne106]]+1)</f>
        <v>10</v>
      </c>
      <c r="DV69" s="17">
        <f>IF(Distances[[#This Row],[Colonne107]]=$G69,DU69,Distances[[#This Row],[Colonne107]]+1)</f>
        <v>10</v>
      </c>
      <c r="DW69" s="17">
        <f>IF(Distances[[#This Row],[Colonne108]]=$G69,DV69,Distances[[#This Row],[Colonne108]]+1)</f>
        <v>10</v>
      </c>
      <c r="DX69" s="17">
        <f>IF(Distances[[#This Row],[Colonne109]]=$G69,DW69,Distances[[#This Row],[Colonne109]]+1)</f>
        <v>10</v>
      </c>
      <c r="DY69" s="17">
        <f>IF(Distances[[#This Row],[Colonne110]]=$G69,DX69,Distances[[#This Row],[Colonne110]]+1)</f>
        <v>10</v>
      </c>
      <c r="DZ69" s="17">
        <f>IF(Distances[[#This Row],[Colonne111]]=$G69,DY69,Distances[[#This Row],[Colonne111]]+1)</f>
        <v>10</v>
      </c>
      <c r="EA69" s="17">
        <f>IF(Distances[[#This Row],[Colonne112]]=$G69,DZ69,Distances[[#This Row],[Colonne112]]+1)</f>
        <v>10</v>
      </c>
      <c r="EB69" s="17">
        <f>IF(Distances[[#This Row],[Colonne113]]=$G69,EA69,Distances[[#This Row],[Colonne113]]+1)</f>
        <v>10</v>
      </c>
      <c r="EC69" s="17">
        <f>IF(Distances[[#This Row],[Colonne114]]=$G69,EB69,Distances[[#This Row],[Colonne114]]+1)</f>
        <v>10</v>
      </c>
      <c r="ED69" s="17">
        <f>IF(Distances[[#This Row],[Colonne115]]=$G69,EC69,Distances[[#This Row],[Colonne115]]+1)</f>
        <v>10</v>
      </c>
      <c r="EE69" s="17">
        <f>IF(Distances[[#This Row],[Colonne116]]=$G69,ED69,Distances[[#This Row],[Colonne116]]+1)</f>
        <v>10</v>
      </c>
      <c r="EF69" s="17">
        <f>IF(Distances[[#This Row],[Colonne117]]=$G69,EE69,Distances[[#This Row],[Colonne117]]+1)</f>
        <v>10</v>
      </c>
      <c r="EG69" s="17">
        <f>IF(Distances[[#This Row],[Colonne118]]=$G69,EF69,Distances[[#This Row],[Colonne118]]+1)</f>
        <v>10</v>
      </c>
      <c r="EH69" s="17">
        <f>IF(Distances[[#This Row],[Colonne119]]=$G69,EG69,Distances[[#This Row],[Colonne119]]+1)</f>
        <v>10</v>
      </c>
      <c r="EI69" s="17">
        <f>IF(Distances[[#This Row],[Colonne120]]=$G69,EH69,Distances[[#This Row],[Colonne120]]+1)</f>
        <v>10</v>
      </c>
      <c r="EJ69" s="17">
        <f>IF(Distances[[#This Row],[Colonne121]]=$G69,EI69,Distances[[#This Row],[Colonne121]]+1)</f>
        <v>10</v>
      </c>
      <c r="EK69" s="17">
        <f>IF(Distances[[#This Row],[Colonne122]]=$G69,EJ69,Distances[[#This Row],[Colonne122]]+1)</f>
        <v>10</v>
      </c>
      <c r="EL69" s="17">
        <f>IF(Distances[[#This Row],[Colonne123]]=$G69,EK69,Distances[[#This Row],[Colonne123]]+1)</f>
        <v>10</v>
      </c>
      <c r="EM69" s="17">
        <f>IF(Distances[[#This Row],[Colonne124]]=$G69,EL69,Distances[[#This Row],[Colonne124]]+1)</f>
        <v>10</v>
      </c>
      <c r="EN69" s="17">
        <f>IF(Distances[[#This Row],[Colonne125]]=$G69,EM69,Distances[[#This Row],[Colonne125]]+1)</f>
        <v>10</v>
      </c>
      <c r="EO69" s="17">
        <f>IF(Distances[[#This Row],[Colonne126]]=$G69,EN69,Distances[[#This Row],[Colonne126]]+1)</f>
        <v>10</v>
      </c>
      <c r="EP69" s="17">
        <f>IF(Distances[[#This Row],[Colonne127]]=$G69,EO69,Distances[[#This Row],[Colonne127]]+1)</f>
        <v>10</v>
      </c>
      <c r="EQ69" s="17">
        <f>IF(Distances[[#This Row],[Colonne128]]=$G69,EP69,Distances[[#This Row],[Colonne128]]+1)</f>
        <v>10</v>
      </c>
      <c r="ER69" s="17">
        <f>IF(Distances[[#This Row],[Colonne129]]=$G69,EQ69,Distances[[#This Row],[Colonne129]]+1)</f>
        <v>10</v>
      </c>
      <c r="ES69" s="17">
        <f>IF(Distances[[#This Row],[Colonne130]]=$G69,ER69,Distances[[#This Row],[Colonne130]]+1)</f>
        <v>10</v>
      </c>
      <c r="ET69" s="17">
        <f>IF(Distances[[#This Row],[Colonne131]]=$G69,ES69,Distances[[#This Row],[Colonne131]]+1)</f>
        <v>10</v>
      </c>
      <c r="EU69" s="17">
        <f>IF(Distances[[#This Row],[Colonne132]]=$G69,ET69,Distances[[#This Row],[Colonne132]]+1)</f>
        <v>10</v>
      </c>
      <c r="EV69" s="17">
        <f>IF(Distances[[#This Row],[Colonne133]]=$G69,EU69,Distances[[#This Row],[Colonne133]]+1)</f>
        <v>10</v>
      </c>
      <c r="EW69" s="17">
        <f>IF(Distances[[#This Row],[Colonne134]]=$G69,EV69,Distances[[#This Row],[Colonne134]]+1)</f>
        <v>10</v>
      </c>
      <c r="EX69" s="17">
        <f>IF(Distances[[#This Row],[Colonne135]]=$G69,EW69,Distances[[#This Row],[Colonne135]]+1)</f>
        <v>10</v>
      </c>
      <c r="EY69" s="17">
        <f>IF(Distances[[#This Row],[Colonne136]]=$G69,EX69,Distances[[#This Row],[Colonne136]]+1)</f>
        <v>10</v>
      </c>
      <c r="EZ69" s="17">
        <f>IF(Distances[[#This Row],[Colonne137]]=$G69,EY69,Distances[[#This Row],[Colonne137]]+1)</f>
        <v>10</v>
      </c>
      <c r="FA69" s="17">
        <f>IF(Distances[[#This Row],[Colonne138]]=$G69,EZ69,Distances[[#This Row],[Colonne138]]+1)</f>
        <v>10</v>
      </c>
      <c r="FB69" s="17">
        <f>IF(Distances[[#This Row],[Colonne139]]=$G69,FA69,Distances[[#This Row],[Colonne139]]+1)</f>
        <v>10</v>
      </c>
      <c r="FC69" s="17">
        <f>IF(Distances[[#This Row],[Colonne140]]=$G69,FB69,Distances[[#This Row],[Colonne140]]+1)</f>
        <v>10</v>
      </c>
      <c r="FD69" s="17">
        <f>IF(Distances[[#This Row],[Colonne141]]=$G69,FC69,Distances[[#This Row],[Colonne141]]+1)</f>
        <v>10</v>
      </c>
      <c r="FE69" s="17">
        <f>IF(Distances[[#This Row],[Colonne142]]=$G69,FD69,Distances[[#This Row],[Colonne142]]+1)</f>
        <v>10</v>
      </c>
      <c r="FF69" s="17">
        <f>IF(Distances[[#This Row],[Colonne143]]=$G69,FE69,Distances[[#This Row],[Colonne143]]+1)</f>
        <v>10</v>
      </c>
      <c r="FG69" s="17">
        <f>IF(Distances[[#This Row],[Colonne144]]=$G69,FF69,Distances[[#This Row],[Colonne144]]+1)</f>
        <v>10</v>
      </c>
      <c r="FH69" s="17">
        <f>IF(Distances[[#This Row],[Colonne145]]=$G69,FG69,Distances[[#This Row],[Colonne145]]+1)</f>
        <v>10</v>
      </c>
      <c r="FI69" s="17">
        <f>IF(Distances[[#This Row],[Colonne146]]=$G69,FH69,Distances[[#This Row],[Colonne146]]+1)</f>
        <v>10</v>
      </c>
      <c r="FJ69" s="17">
        <f>IF(Distances[[#This Row],[Colonne147]]=$G69,FI69,Distances[[#This Row],[Colonne147]]+1)</f>
        <v>10</v>
      </c>
      <c r="FK69" s="17">
        <f>IF(Distances[[#This Row],[Colonne148]]=$G69,FJ69,Distances[[#This Row],[Colonne148]]+1)</f>
        <v>10</v>
      </c>
      <c r="FL69" s="17">
        <f>IF(Distances[[#This Row],[Colonne149]]=$G69,FK69,Distances[[#This Row],[Colonne149]]+1)</f>
        <v>10</v>
      </c>
      <c r="FM69" s="17">
        <f>IF(Distances[[#This Row],[Colonne150]]=$G69,FL69,Distances[[#This Row],[Colonne150]]+1)</f>
        <v>10</v>
      </c>
      <c r="FN69" s="17">
        <f>IF(Distances[[#This Row],[Colonne151]]=$G69,FM69,Distances[[#This Row],[Colonne151]]+1)</f>
        <v>10</v>
      </c>
      <c r="FO69" s="17">
        <f>IF(Distances[[#This Row],[Colonne152]]=$G69,FN69,Distances[[#This Row],[Colonne152]]+1)</f>
        <v>10</v>
      </c>
      <c r="FP69" s="17">
        <f>IF(Distances[[#This Row],[Colonne153]]=$G69,FO69,Distances[[#This Row],[Colonne153]]+1)</f>
        <v>10</v>
      </c>
      <c r="FQ69" s="17">
        <f>IF(Distances[[#This Row],[Colonne154]]=$G69,FP69,Distances[[#This Row],[Colonne154]]+1)</f>
        <v>10</v>
      </c>
      <c r="FR69" s="17">
        <f>IF(Distances[[#This Row],[Colonne155]]=$G69,FQ69,Distances[[#This Row],[Colonne155]]+1)</f>
        <v>10</v>
      </c>
      <c r="FS69" s="17">
        <f>IF(Distances[[#This Row],[Colonne156]]=$G69,FR69,Distances[[#This Row],[Colonne156]]+1)</f>
        <v>10</v>
      </c>
      <c r="FT69" s="17">
        <f>IF(Distances[[#This Row],[Colonne157]]=$G69,FS69,Distances[[#This Row],[Colonne157]]+1)</f>
        <v>10</v>
      </c>
      <c r="FU69" s="17">
        <f>IF(Distances[[#This Row],[Colonne158]]=$G69,FT69,Distances[[#This Row],[Colonne158]]+1)</f>
        <v>10</v>
      </c>
      <c r="FV69" s="17">
        <f>IF(Distances[[#This Row],[Colonne159]]=$G69,FU69,Distances[[#This Row],[Colonne159]]+1)</f>
        <v>10</v>
      </c>
      <c r="FW69" s="17">
        <f>IF(Distances[[#This Row],[Colonne160]]=$G69,FV69,Distances[[#This Row],[Colonne160]]+1)</f>
        <v>10</v>
      </c>
      <c r="FX69" s="17">
        <f>IF(Distances[[#This Row],[Colonne161]]=$G69,FW69,Distances[[#This Row],[Colonne161]]+1)</f>
        <v>10</v>
      </c>
      <c r="FY69" s="17">
        <f>IF(Distances[[#This Row],[Colonne162]]=$G69,FX69,Distances[[#This Row],[Colonne162]]+1)</f>
        <v>10</v>
      </c>
      <c r="FZ69" s="17">
        <f>IF(Distances[[#This Row],[Colonne163]]=$G69,FY69,Distances[[#This Row],[Colonne163]]+1)</f>
        <v>10</v>
      </c>
      <c r="GA69" s="17">
        <f>IF(Distances[[#This Row],[Colonne164]]=$G69,FZ69,Distances[[#This Row],[Colonne164]]+1)</f>
        <v>10</v>
      </c>
      <c r="GB69" s="17">
        <f>IF(Distances[[#This Row],[Colonne165]]=$G69,GA69,Distances[[#This Row],[Colonne165]]+1)</f>
        <v>10</v>
      </c>
      <c r="GC69" s="17">
        <f>IF(Distances[[#This Row],[Colonne166]]=$G69,GB69,Distances[[#This Row],[Colonne166]]+1)</f>
        <v>10</v>
      </c>
      <c r="GD69" s="17">
        <f>IF(Distances[[#This Row],[Colonne167]]=$G69,GC69,Distances[[#This Row],[Colonne167]]+1)</f>
        <v>10</v>
      </c>
      <c r="GE69" s="17">
        <f>IF(Distances[[#This Row],[Colonne168]]=$G69,GD69,Distances[[#This Row],[Colonne168]]+1)</f>
        <v>10</v>
      </c>
      <c r="GF69" s="17">
        <f>IF(Distances[[#This Row],[Colonne169]]=$G69,GE69,Distances[[#This Row],[Colonne169]]+1)</f>
        <v>10</v>
      </c>
      <c r="GG69" s="17">
        <f>IF(Distances[[#This Row],[Colonne170]]=$G69,GF69,Distances[[#This Row],[Colonne170]]+1)</f>
        <v>10</v>
      </c>
      <c r="GH69" s="17">
        <f>IF(Distances[[#This Row],[Colonne171]]=$G69,GG69,Distances[[#This Row],[Colonne171]]+1)</f>
        <v>10</v>
      </c>
      <c r="GI69" s="17">
        <f>IF(Distances[[#This Row],[Colonne172]]=$G69,GH69,Distances[[#This Row],[Colonne172]]+1)</f>
        <v>10</v>
      </c>
      <c r="GJ69" s="17">
        <f>IF(Distances[[#This Row],[Colonne173]]=$G69,GI69,Distances[[#This Row],[Colonne173]]+1)</f>
        <v>10</v>
      </c>
      <c r="GK69" s="17">
        <f>IF(Distances[[#This Row],[Colonne174]]=$G69,GJ69,Distances[[#This Row],[Colonne174]]+1)</f>
        <v>10</v>
      </c>
      <c r="GL69" s="17">
        <f>IF(Distances[[#This Row],[Colonne175]]=$G69,GK69,Distances[[#This Row],[Colonne175]]+1)</f>
        <v>10</v>
      </c>
      <c r="GM69" s="17">
        <f>IF(Distances[[#This Row],[Colonne176]]=$G69,GL69,Distances[[#This Row],[Colonne176]]+1)</f>
        <v>10</v>
      </c>
      <c r="GN69" s="17">
        <f>IF(Distances[[#This Row],[Colonne177]]=$G69,GM69,Distances[[#This Row],[Colonne177]]+1)</f>
        <v>10</v>
      </c>
      <c r="GO69" s="17">
        <f>IF(Distances[[#This Row],[Colonne178]]=$G69,GN69,Distances[[#This Row],[Colonne178]]+1)</f>
        <v>10</v>
      </c>
      <c r="GP69" s="17">
        <f>IF(Distances[[#This Row],[Colonne179]]=$G69,GO69,Distances[[#This Row],[Colonne179]]+1)</f>
        <v>10</v>
      </c>
      <c r="GQ69" s="17">
        <f>IF(Distances[[#This Row],[Colonne180]]=$G69,GP69,Distances[[#This Row],[Colonne180]]+1)</f>
        <v>10</v>
      </c>
      <c r="GR69" s="17">
        <f>IF(Distances[[#This Row],[Colonne181]]=$G69,GQ69,Distances[[#This Row],[Colonne181]]+1)</f>
        <v>10</v>
      </c>
      <c r="GS69" s="17">
        <f>IF(Distances[[#This Row],[Colonne182]]=$G69,GR69,Distances[[#This Row],[Colonne182]]+1)</f>
        <v>10</v>
      </c>
      <c r="GT69" s="17">
        <f>IF(Distances[[#This Row],[Colonne183]]=$G69,GS69,Distances[[#This Row],[Colonne183]]+1)</f>
        <v>10</v>
      </c>
      <c r="GU69" s="17">
        <f>IF(Distances[[#This Row],[Colonne184]]=$G69,GT69,Distances[[#This Row],[Colonne184]]+1)</f>
        <v>10</v>
      </c>
      <c r="GV69" s="17">
        <f>IF(Distances[[#This Row],[Colonne185]]=$G69,GU69,Distances[[#This Row],[Colonne185]]+1)</f>
        <v>10</v>
      </c>
      <c r="GW69" s="17">
        <f>IF(Distances[[#This Row],[Colonne186]]=$G69,GV69,Distances[[#This Row],[Colonne186]]+1)</f>
        <v>10</v>
      </c>
      <c r="GX69" s="17">
        <f>IF(Distances[[#This Row],[Colonne187]]=$G69,GW69,Distances[[#This Row],[Colonne187]]+1)</f>
        <v>10</v>
      </c>
      <c r="GY69" s="17">
        <f>IF(Distances[[#This Row],[Colonne188]]=$G69,GX69,Distances[[#This Row],[Colonne188]]+1)</f>
        <v>10</v>
      </c>
      <c r="GZ69" s="17">
        <f>IF(Distances[[#This Row],[Colonne189]]=$G69,GY69,Distances[[#This Row],[Colonne189]]+1)</f>
        <v>10</v>
      </c>
      <c r="HA69" s="17">
        <f>IF(Distances[[#This Row],[Colonne190]]=$G69,GZ69,Distances[[#This Row],[Colonne190]]+1)</f>
        <v>10</v>
      </c>
      <c r="HB69" s="17">
        <f>IF(Distances[[#This Row],[Colonne191]]=$G69,HA69,Distances[[#This Row],[Colonne191]]+1)</f>
        <v>10</v>
      </c>
      <c r="HC69" s="17">
        <f>IF(Distances[[#This Row],[Colonne192]]=$G69,HB69,Distances[[#This Row],[Colonne192]]+1)</f>
        <v>10</v>
      </c>
      <c r="HD69" s="17">
        <f>IF(Distances[[#This Row],[Colonne193]]=$G69,HC69,Distances[[#This Row],[Colonne193]]+1)</f>
        <v>10</v>
      </c>
      <c r="HE69" s="17">
        <f>IF(Distances[[#This Row],[Colonne194]]=$G69,HD69,Distances[[#This Row],[Colonne194]]+1)</f>
        <v>10</v>
      </c>
      <c r="HF69" s="17">
        <f>IF(Distances[[#This Row],[Colonne195]]=$G69,HE69,Distances[[#This Row],[Colonne195]]+1)</f>
        <v>10</v>
      </c>
      <c r="HG69" s="17">
        <f>IF(Distances[[#This Row],[Colonne196]]=$G69,HF69,Distances[[#This Row],[Colonne196]]+1)</f>
        <v>10</v>
      </c>
      <c r="HH69" s="17">
        <f>IF(Distances[[#This Row],[Colonne197]]=$G69,HG69,Distances[[#This Row],[Colonne197]]+1)</f>
        <v>10</v>
      </c>
      <c r="HI69" s="17">
        <f>IF(Distances[[#This Row],[Colonne198]]=$G69,HH69,Distances[[#This Row],[Colonne198]]+1)</f>
        <v>10</v>
      </c>
      <c r="HJ69" s="17">
        <f>IF(Distances[[#This Row],[Colonne199]]=$G69,HI69,Distances[[#This Row],[Colonne199]]+1)</f>
        <v>10</v>
      </c>
      <c r="HK69" s="17">
        <f>IF(Distances[[#This Row],[Colonne200]]=$G69,HJ69,Distances[[#This Row],[Colonne200]]+1)</f>
        <v>10</v>
      </c>
      <c r="HL69" s="17">
        <f>IF(Distances[[#This Row],[Colonne201]]=$G69,HK69,Distances[[#This Row],[Colonne201]]+1)</f>
        <v>10</v>
      </c>
      <c r="HM69" s="17">
        <f>IF(Distances[[#This Row],[Colonne202]]=$G69,HL69,Distances[[#This Row],[Colonne202]]+1)</f>
        <v>10</v>
      </c>
      <c r="HN69" s="17">
        <f>IF(Distances[[#This Row],[Colonne203]]=$G69,HM69,Distances[[#This Row],[Colonne203]]+1)</f>
        <v>10</v>
      </c>
      <c r="HO69" s="17">
        <f>IF(Distances[[#This Row],[Colonne204]]=$G69,HN69,Distances[[#This Row],[Colonne204]]+1)</f>
        <v>10</v>
      </c>
      <c r="HP69" s="17">
        <f>IF(Distances[[#This Row],[Colonne205]]=$G69,HO69,Distances[[#This Row],[Colonne205]]+1)</f>
        <v>10</v>
      </c>
      <c r="HQ69" s="17">
        <f>IF(Distances[[#This Row],[Colonne206]]=$G69,HP69,Distances[[#This Row],[Colonne206]]+1)</f>
        <v>10</v>
      </c>
      <c r="HR69" s="17">
        <f>IF(Distances[[#This Row],[Colonne207]]=$G69,HQ69,Distances[[#This Row],[Colonne207]]+1)</f>
        <v>10</v>
      </c>
      <c r="HS69" s="17">
        <f>IF(Distances[[#This Row],[Colonne208]]=$G69,HR69,Distances[[#This Row],[Colonne208]]+1)</f>
        <v>10</v>
      </c>
      <c r="HT69" s="17">
        <f>IF(Distances[[#This Row],[Colonne209]]=$G69,HS69,Distances[[#This Row],[Colonne209]]+1)</f>
        <v>10</v>
      </c>
      <c r="HU69" s="17">
        <f>IF(Distances[[#This Row],[Colonne210]]=$G69,HT69,Distances[[#This Row],[Colonne210]]+1)</f>
        <v>10</v>
      </c>
      <c r="HV69" s="17">
        <f>IF(Distances[[#This Row],[Colonne211]]=$G69,HU69,Distances[[#This Row],[Colonne211]]+1)</f>
        <v>10</v>
      </c>
      <c r="HW69" s="17">
        <f>IF(Distances[[#This Row],[Colonne212]]=$G69,HV69,Distances[[#This Row],[Colonne212]]+1)</f>
        <v>10</v>
      </c>
      <c r="HX69" s="17">
        <f>IF(Distances[[#This Row],[Colonne213]]=$G69,HW69,Distances[[#This Row],[Colonne213]]+1)</f>
        <v>10</v>
      </c>
      <c r="HY69" s="17">
        <f>IF(Distances[[#This Row],[Colonne214]]=$G69,HX69,Distances[[#This Row],[Colonne214]]+1)</f>
        <v>10</v>
      </c>
      <c r="HZ69" s="17">
        <f>IF(Distances[[#This Row],[Colonne215]]=$G69,HY69,Distances[[#This Row],[Colonne215]]+1)</f>
        <v>10</v>
      </c>
      <c r="IA69" s="17">
        <f>IF(Distances[[#This Row],[Colonne216]]=$G69,HZ69,Distances[[#This Row],[Colonne216]]+1)</f>
        <v>10</v>
      </c>
      <c r="IB69" s="17">
        <f>IF(Distances[[#This Row],[Colonne217]]=$G69,IA69,Distances[[#This Row],[Colonne217]]+1)</f>
        <v>10</v>
      </c>
      <c r="IC69" s="17">
        <f>IF(Distances[[#This Row],[Colonne218]]=$G69,IB69,Distances[[#This Row],[Colonne218]]+1)</f>
        <v>10</v>
      </c>
      <c r="ID69" s="17">
        <f>IF(Distances[[#This Row],[Colonne219]]=$G69,IC69,Distances[[#This Row],[Colonne219]]+1)</f>
        <v>10</v>
      </c>
      <c r="IE69" s="17">
        <f>IF(Distances[[#This Row],[Colonne220]]=$G69,ID69,Distances[[#This Row],[Colonne220]]+1)</f>
        <v>10</v>
      </c>
      <c r="IF69" s="17">
        <f>IF(Distances[[#This Row],[Colonne221]]=$G69,IE69,Distances[[#This Row],[Colonne221]]+1)</f>
        <v>10</v>
      </c>
      <c r="IG69" s="17">
        <f>IF(Distances[[#This Row],[Colonne222]]=$G69,IF69,Distances[[#This Row],[Colonne222]]+1)</f>
        <v>10</v>
      </c>
      <c r="IH69" s="17">
        <f>IF(Distances[[#This Row],[Colonne223]]=$G69,IG69,Distances[[#This Row],[Colonne223]]+1)</f>
        <v>10</v>
      </c>
      <c r="II69" s="17">
        <f>IF(Distances[[#This Row],[Colonne224]]=$G69,IH69,Distances[[#This Row],[Colonne224]]+1)</f>
        <v>10</v>
      </c>
      <c r="IJ69" s="17">
        <f>IF(Distances[[#This Row],[Colonne225]]=$G69,II69,Distances[[#This Row],[Colonne225]]+1)</f>
        <v>10</v>
      </c>
      <c r="IK69" s="17">
        <f>IF(Distances[[#This Row],[Colonne226]]=$G69,IJ69,Distances[[#This Row],[Colonne226]]+1)</f>
        <v>10</v>
      </c>
      <c r="IL69" s="17">
        <f>IF(Distances[[#This Row],[Colonne227]]=$G69,IK69,Distances[[#This Row],[Colonne227]]+1)</f>
        <v>10</v>
      </c>
      <c r="IM69" s="17">
        <f>IF(Distances[[#This Row],[Colonne228]]=$G69,IL69,Distances[[#This Row],[Colonne228]]+1)</f>
        <v>10</v>
      </c>
      <c r="IN69" s="17">
        <f>IF(Distances[[#This Row],[Colonne229]]=$G69,IM69,Distances[[#This Row],[Colonne229]]+1)</f>
        <v>10</v>
      </c>
      <c r="IO69" s="17">
        <f>IF(Distances[[#This Row],[Colonne230]]=$G69,IN69,Distances[[#This Row],[Colonne230]]+1)</f>
        <v>10</v>
      </c>
      <c r="IP69" s="17">
        <f>IF(Distances[[#This Row],[Colonne231]]=$G69,IO69,Distances[[#This Row],[Colonne231]]+1)</f>
        <v>10</v>
      </c>
      <c r="IQ69" s="17">
        <f>IF(Distances[[#This Row],[Colonne232]]=$G69,IP69,Distances[[#This Row],[Colonne232]]+1)</f>
        <v>10</v>
      </c>
      <c r="IR69" s="17">
        <f>IF(Distances[[#This Row],[Colonne233]]=$G69,IQ69,Distances[[#This Row],[Colonne233]]+1)</f>
        <v>10</v>
      </c>
      <c r="IS69" s="17">
        <f>IF(Distances[[#This Row],[Colonne234]]=$G69,IR69,Distances[[#This Row],[Colonne234]]+1)</f>
        <v>10</v>
      </c>
      <c r="IT69" s="17">
        <f>IF(Distances[[#This Row],[Colonne235]]=$G69,IS69,Distances[[#This Row],[Colonne235]]+1)</f>
        <v>10</v>
      </c>
      <c r="IU69" s="17">
        <f>IF(Distances[[#This Row],[Colonne236]]=$G69,IT69,Distances[[#This Row],[Colonne236]]+1)</f>
        <v>10</v>
      </c>
      <c r="IV69" s="17">
        <f>IF(Distances[[#This Row],[Colonne237]]=$G69,IU69,Distances[[#This Row],[Colonne237]]+1)</f>
        <v>10</v>
      </c>
      <c r="IW69" s="17">
        <f>IF(Distances[[#This Row],[Colonne238]]=$G69,IV69,Distances[[#This Row],[Colonne238]]+1)</f>
        <v>10</v>
      </c>
      <c r="IX69" s="17">
        <f>IF(Distances[[#This Row],[Colonne239]]=$G69,IW69,Distances[[#This Row],[Colonne239]]+1)</f>
        <v>10</v>
      </c>
      <c r="IY69" s="17">
        <f>IF(Distances[[#This Row],[Colonne240]]=$G69,IX69,Distances[[#This Row],[Colonne240]]+1)</f>
        <v>10</v>
      </c>
      <c r="IZ69" s="17">
        <f>IF(Distances[[#This Row],[Colonne241]]=$G69,IY69,Distances[[#This Row],[Colonne241]]+1)</f>
        <v>10</v>
      </c>
      <c r="JA69" s="17">
        <f>IF(Distances[[#This Row],[Colonne242]]=$G69,IZ69,Distances[[#This Row],[Colonne242]]+1)</f>
        <v>10</v>
      </c>
      <c r="JB69" s="17">
        <f>IF(Distances[[#This Row],[Colonne243]]=$G69,JA69,Distances[[#This Row],[Colonne243]]+1)</f>
        <v>10</v>
      </c>
      <c r="JC69" s="17">
        <f>IF(Distances[[#This Row],[Colonne244]]=$G69,JB69,Distances[[#This Row],[Colonne244]]+1)</f>
        <v>10</v>
      </c>
      <c r="JD69" s="17">
        <f>IF(Distances[[#This Row],[Colonne245]]=$G69,JC69,Distances[[#This Row],[Colonne245]]+1)</f>
        <v>10</v>
      </c>
      <c r="JE69" s="17">
        <f>IF(Distances[[#This Row],[Colonne246]]=$G69,JD69,Distances[[#This Row],[Colonne246]]+1)</f>
        <v>10</v>
      </c>
      <c r="JF69" s="17">
        <f>IF(Distances[[#This Row],[Colonne247]]=$G69,JE69,Distances[[#This Row],[Colonne247]]+1)</f>
        <v>10</v>
      </c>
      <c r="JG69" s="17">
        <f>IF(Distances[[#This Row],[Colonne248]]=$G69,JF69,Distances[[#This Row],[Colonne248]]+1)</f>
        <v>10</v>
      </c>
      <c r="JH69" s="17">
        <f>IF(Distances[[#This Row],[Colonne249]]=$G69,JG69,Distances[[#This Row],[Colonne249]]+1)</f>
        <v>10</v>
      </c>
      <c r="JI69" s="17">
        <f>IF(Distances[[#This Row],[Colonne250]]=$G69,JH69,Distances[[#This Row],[Colonne250]]+1)</f>
        <v>10</v>
      </c>
      <c r="JJ69" s="17">
        <f>IF(Distances[[#This Row],[Colonne251]]=$G69,JI69,Distances[[#This Row],[Colonne251]]+1)</f>
        <v>10</v>
      </c>
      <c r="JK69" s="17">
        <f>IF(Distances[[#This Row],[Colonne252]]=$G69,JJ69,Distances[[#This Row],[Colonne252]]+1)</f>
        <v>10</v>
      </c>
      <c r="JL69" s="17">
        <f>IF(Distances[[#This Row],[Colonne253]]=$G69,JK69,Distances[[#This Row],[Colonne253]]+1)</f>
        <v>10</v>
      </c>
      <c r="JM69" s="17">
        <f>IF(Distances[[#This Row],[Colonne254]]=$G69,JL69,Distances[[#This Row],[Colonne254]]+1)</f>
        <v>10</v>
      </c>
      <c r="JN69" s="17">
        <f>IF(Distances[[#This Row],[Colonne255]]=$G69,JM69,Distances[[#This Row],[Colonne255]]+1)</f>
        <v>10</v>
      </c>
      <c r="JO69" s="17">
        <f>IF(Distances[[#This Row],[Colonne256]]=$G69,JN69,Distances[[#This Row],[Colonne256]]+1)</f>
        <v>10</v>
      </c>
      <c r="JP69" s="17">
        <f>IF(Distances[[#This Row],[Colonne257]]=$G69,JO69,Distances[[#This Row],[Colonne257]]+1)</f>
        <v>10</v>
      </c>
      <c r="JQ69" s="17">
        <f>IF(Distances[[#This Row],[Colonne258]]=$G69,JP69,Distances[[#This Row],[Colonne258]]+1)</f>
        <v>10</v>
      </c>
      <c r="JR69" s="17">
        <f>IF(Distances[[#This Row],[Colonne259]]=$G69,JQ69,Distances[[#This Row],[Colonne259]]+1)</f>
        <v>10</v>
      </c>
      <c r="JS69" s="17">
        <f>IF(Distances[[#This Row],[Colonne260]]=$G69,JR69,Distances[[#This Row],[Colonne260]]+1)</f>
        <v>10</v>
      </c>
      <c r="JT69" s="17">
        <f>IF(Distances[[#This Row],[Colonne261]]=$G69,JS69,Distances[[#This Row],[Colonne261]]+1)</f>
        <v>10</v>
      </c>
      <c r="JU69" s="17">
        <f>IF(Distances[[#This Row],[Colonne262]]=$G69,JT69,Distances[[#This Row],[Colonne262]]+1)</f>
        <v>10</v>
      </c>
      <c r="JV69" s="17">
        <f>IF(Distances[[#This Row],[Colonne263]]=$G69,JU69,Distances[[#This Row],[Colonne263]]+1)</f>
        <v>10</v>
      </c>
      <c r="JW69" s="17">
        <f>IF(Distances[[#This Row],[Colonne264]]=$G69,JV69,Distances[[#This Row],[Colonne264]]+1)</f>
        <v>10</v>
      </c>
      <c r="JX69" s="17">
        <f>IF(Distances[[#This Row],[Colonne265]]=$G69,JW69,Distances[[#This Row],[Colonne265]]+1)</f>
        <v>10</v>
      </c>
      <c r="JY69" s="17">
        <f>IF(Distances[[#This Row],[Colonne266]]=$G69,JX69,Distances[[#This Row],[Colonne266]]+1)</f>
        <v>10</v>
      </c>
      <c r="JZ69" s="17">
        <f>IF(Distances[[#This Row],[Colonne267]]=$G69,JY69,Distances[[#This Row],[Colonne267]]+1)</f>
        <v>10</v>
      </c>
      <c r="KA69" s="17">
        <f>IF(Distances[[#This Row],[Colonne268]]=$G69,JZ69,Distances[[#This Row],[Colonne268]]+1)</f>
        <v>10</v>
      </c>
      <c r="KB69" s="17">
        <f>IF(Distances[[#This Row],[Colonne269]]=$G69,KA69,Distances[[#This Row],[Colonne269]]+1)</f>
        <v>10</v>
      </c>
      <c r="KC69" s="17">
        <f>IF(Distances[[#This Row],[Colonne270]]=$G69,KB69,Distances[[#This Row],[Colonne270]]+1)</f>
        <v>10</v>
      </c>
      <c r="KD69" s="17">
        <f>IF(Distances[[#This Row],[Colonne271]]=$G69,KC69,Distances[[#This Row],[Colonne271]]+1)</f>
        <v>10</v>
      </c>
      <c r="KE69" s="17">
        <f>IF(Distances[[#This Row],[Colonne272]]=$G69,KD69,Distances[[#This Row],[Colonne272]]+1)</f>
        <v>10</v>
      </c>
      <c r="KF69" s="17">
        <f>IF(Distances[[#This Row],[Colonne273]]=$G69,KE69,Distances[[#This Row],[Colonne273]]+1)</f>
        <v>10</v>
      </c>
      <c r="KG69" s="17">
        <f>IF(Distances[[#This Row],[Colonne274]]=$G69,KF69,Distances[[#This Row],[Colonne274]]+1)</f>
        <v>10</v>
      </c>
      <c r="KH69" s="17">
        <f>IF(Distances[[#This Row],[Colonne275]]=$G69,KG69,Distances[[#This Row],[Colonne275]]+1)</f>
        <v>10</v>
      </c>
      <c r="KI69" s="17">
        <f>IF(Distances[[#This Row],[Colonne276]]=$G69,KH69,Distances[[#This Row],[Colonne276]]+1)</f>
        <v>10</v>
      </c>
      <c r="KJ69" s="17">
        <f>IF(Distances[[#This Row],[Colonne277]]=$G69,KI69,Distances[[#This Row],[Colonne277]]+1)</f>
        <v>10</v>
      </c>
      <c r="KK69" s="17">
        <f>IF(Distances[[#This Row],[Colonne278]]=$G69,KJ69,Distances[[#This Row],[Colonne278]]+1)</f>
        <v>10</v>
      </c>
      <c r="KL69" s="17">
        <f>IF(Distances[[#This Row],[Colonne279]]=$G69,KK69,Distances[[#This Row],[Colonne279]]+1)</f>
        <v>10</v>
      </c>
      <c r="KM69" s="17">
        <f>IF(Distances[[#This Row],[Colonne280]]=$G69,KL69,Distances[[#This Row],[Colonne280]]+1)</f>
        <v>10</v>
      </c>
      <c r="KN69" s="17">
        <f>IF(Distances[[#This Row],[Colonne281]]=$G69,KM69,Distances[[#This Row],[Colonne281]]+1)</f>
        <v>10</v>
      </c>
      <c r="KO69" s="17">
        <f>IF(Distances[[#This Row],[Colonne282]]=$G69,KN69,Distances[[#This Row],[Colonne282]]+1)</f>
        <v>10</v>
      </c>
      <c r="KP69" s="17">
        <f>IF(Distances[[#This Row],[Colonne283]]=$G69,KO69,Distances[[#This Row],[Colonne283]]+1)</f>
        <v>10</v>
      </c>
      <c r="KQ69" s="17">
        <f>IF(Distances[[#This Row],[Colonne284]]=$G69,KP69,Distances[[#This Row],[Colonne284]]+1)</f>
        <v>10</v>
      </c>
      <c r="KR69" s="17">
        <f>IF(Distances[[#This Row],[Colonne285]]=$G69,KQ69,Distances[[#This Row],[Colonne285]]+1)</f>
        <v>10</v>
      </c>
      <c r="KS69" s="17">
        <f>IF(Distances[[#This Row],[Colonne286]]=$G69,KR69,Distances[[#This Row],[Colonne286]]+1)</f>
        <v>10</v>
      </c>
      <c r="KT69" s="17">
        <f>IF(Distances[[#This Row],[Colonne287]]=$G69,KS69,Distances[[#This Row],[Colonne287]]+1)</f>
        <v>10</v>
      </c>
      <c r="KU69" s="17">
        <f>IF(Distances[[#This Row],[Colonne288]]=$G69,KT69,Distances[[#This Row],[Colonne288]]+1)</f>
        <v>10</v>
      </c>
      <c r="KV69" s="17">
        <f>IF(Distances[[#This Row],[Colonne289]]=$G69,KU69,Distances[[#This Row],[Colonne289]]+1)</f>
        <v>10</v>
      </c>
      <c r="KW69" s="17">
        <f>IF(Distances[[#This Row],[Colonne290]]=$G69,KV69,Distances[[#This Row],[Colonne290]]+1)</f>
        <v>10</v>
      </c>
      <c r="KX69" s="17">
        <f>IF(Distances[[#This Row],[Colonne291]]=$G69,KW69,Distances[[#This Row],[Colonne291]]+1)</f>
        <v>10</v>
      </c>
      <c r="KY69" s="17">
        <f>IF(Distances[[#This Row],[Colonne292]]=$G69,KX69,Distances[[#This Row],[Colonne292]]+1)</f>
        <v>10</v>
      </c>
      <c r="KZ69" s="17">
        <f>IF(Distances[[#This Row],[Colonne293]]=$G69,KY69,Distances[[#This Row],[Colonne293]]+1)</f>
        <v>10</v>
      </c>
      <c r="LA69" s="17">
        <f>IF(Distances[[#This Row],[Colonne294]]=$G69,KZ69,Distances[[#This Row],[Colonne294]]+1)</f>
        <v>10</v>
      </c>
      <c r="LB69" s="17">
        <f>IF(Distances[[#This Row],[Colonne295]]=$G69,LA69,Distances[[#This Row],[Colonne295]]+1)</f>
        <v>10</v>
      </c>
      <c r="LC69" s="17">
        <f>IF(Distances[[#This Row],[Colonne296]]=$G69,LB69,Distances[[#This Row],[Colonne296]]+1)</f>
        <v>10</v>
      </c>
      <c r="LD69" s="17">
        <f>IF(Distances[[#This Row],[Colonne297]]=$G69,LC69,Distances[[#This Row],[Colonne297]]+1)</f>
        <v>10</v>
      </c>
      <c r="LE69" s="17">
        <f>IF(Distances[[#This Row],[Colonne298]]=$G69,LD69,Distances[[#This Row],[Colonne298]]+1)</f>
        <v>10</v>
      </c>
      <c r="LF69" s="17">
        <f>IF(Distances[[#This Row],[Colonne299]]=$G69,LE69,Distances[[#This Row],[Colonne299]]+1)</f>
        <v>10</v>
      </c>
      <c r="LG69" s="17">
        <f>IF(Distances[[#This Row],[Colonne300]]=$G69,LF69,Distances[[#This Row],[Colonne300]]+1)</f>
        <v>10</v>
      </c>
      <c r="LH69" s="17">
        <f>IF(Distances[[#This Row],[Colonne301]]=$G69,LG69,Distances[[#This Row],[Colonne301]]+1)</f>
        <v>10</v>
      </c>
      <c r="LI69" s="17">
        <f>IF(Distances[[#This Row],[Colonne302]]=$G69,LH69,Distances[[#This Row],[Colonne302]]+1)</f>
        <v>10</v>
      </c>
      <c r="LJ69" s="17">
        <f>IF(Distances[[#This Row],[Colonne303]]=$G69,LI69,Distances[[#This Row],[Colonne303]]+1)</f>
        <v>10</v>
      </c>
      <c r="LK69" s="51"/>
      <c r="LL69" s="17">
        <f t="shared" ref="LL69:NW69" si="135">IF(LK69=$H69,LK69,LK69+1)</f>
        <v>1</v>
      </c>
      <c r="LM69" s="17">
        <f t="shared" si="135"/>
        <v>2</v>
      </c>
      <c r="LN69" s="17">
        <f t="shared" si="135"/>
        <v>3</v>
      </c>
      <c r="LO69" s="17">
        <f t="shared" si="135"/>
        <v>4</v>
      </c>
      <c r="LP69" s="17">
        <f t="shared" si="135"/>
        <v>5</v>
      </c>
      <c r="LQ69" s="17">
        <f t="shared" si="135"/>
        <v>6</v>
      </c>
      <c r="LR69" s="17">
        <f t="shared" si="135"/>
        <v>7</v>
      </c>
      <c r="LS69" s="17">
        <f t="shared" si="135"/>
        <v>8</v>
      </c>
      <c r="LT69" s="17">
        <f t="shared" si="135"/>
        <v>9</v>
      </c>
      <c r="LU69" s="17">
        <f t="shared" si="135"/>
        <v>10</v>
      </c>
      <c r="LV69" s="17">
        <f t="shared" si="135"/>
        <v>11</v>
      </c>
      <c r="LW69" s="17">
        <f t="shared" si="135"/>
        <v>12</v>
      </c>
      <c r="LX69" s="17">
        <f t="shared" si="135"/>
        <v>13</v>
      </c>
      <c r="LY69" s="17">
        <f t="shared" si="135"/>
        <v>14</v>
      </c>
      <c r="LZ69" s="17">
        <f t="shared" si="135"/>
        <v>15</v>
      </c>
      <c r="MA69" s="17">
        <f t="shared" si="135"/>
        <v>16</v>
      </c>
      <c r="MB69" s="17">
        <f t="shared" si="135"/>
        <v>17</v>
      </c>
      <c r="MC69" s="17">
        <f t="shared" si="135"/>
        <v>18</v>
      </c>
      <c r="MD69" s="17">
        <f t="shared" si="135"/>
        <v>19</v>
      </c>
      <c r="ME69" s="17">
        <f t="shared" si="135"/>
        <v>20</v>
      </c>
      <c r="MF69" s="17">
        <f t="shared" si="135"/>
        <v>21</v>
      </c>
      <c r="MG69" s="17">
        <f t="shared" si="135"/>
        <v>22</v>
      </c>
      <c r="MH69" s="17">
        <f t="shared" si="135"/>
        <v>23</v>
      </c>
      <c r="MI69" s="17">
        <f t="shared" si="135"/>
        <v>24</v>
      </c>
      <c r="MJ69" s="17">
        <f t="shared" si="135"/>
        <v>25</v>
      </c>
      <c r="MK69" s="17">
        <f t="shared" si="135"/>
        <v>26</v>
      </c>
      <c r="ML69" s="17">
        <f t="shared" si="135"/>
        <v>27</v>
      </c>
      <c r="MM69" s="17">
        <f t="shared" si="135"/>
        <v>28</v>
      </c>
      <c r="MN69" s="17">
        <f t="shared" si="135"/>
        <v>29</v>
      </c>
      <c r="MO69" s="17">
        <f t="shared" si="135"/>
        <v>30</v>
      </c>
      <c r="MP69" s="17">
        <f t="shared" si="135"/>
        <v>31</v>
      </c>
      <c r="MQ69" s="17">
        <f t="shared" si="135"/>
        <v>32</v>
      </c>
      <c r="MR69" s="17">
        <f t="shared" si="135"/>
        <v>33</v>
      </c>
      <c r="MS69" s="17">
        <f t="shared" si="135"/>
        <v>34</v>
      </c>
      <c r="MT69" s="17">
        <f t="shared" si="135"/>
        <v>35</v>
      </c>
      <c r="MU69" s="17">
        <f t="shared" si="135"/>
        <v>36</v>
      </c>
      <c r="MV69" s="17">
        <f t="shared" si="135"/>
        <v>37</v>
      </c>
      <c r="MW69" s="17">
        <f t="shared" si="135"/>
        <v>38</v>
      </c>
      <c r="MX69" s="17">
        <f t="shared" si="135"/>
        <v>39</v>
      </c>
      <c r="MY69" s="17">
        <f t="shared" si="135"/>
        <v>40</v>
      </c>
      <c r="MZ69" s="17">
        <f t="shared" si="135"/>
        <v>40</v>
      </c>
      <c r="NA69" s="17">
        <f t="shared" si="135"/>
        <v>40</v>
      </c>
      <c r="NB69" s="17">
        <f t="shared" si="135"/>
        <v>40</v>
      </c>
      <c r="NC69" s="17">
        <f t="shared" si="135"/>
        <v>40</v>
      </c>
      <c r="ND69" s="17">
        <f t="shared" si="135"/>
        <v>40</v>
      </c>
      <c r="NE69" s="17">
        <f t="shared" si="135"/>
        <v>40</v>
      </c>
      <c r="NF69" s="17">
        <f t="shared" si="135"/>
        <v>40</v>
      </c>
      <c r="NG69" s="17">
        <f t="shared" si="135"/>
        <v>40</v>
      </c>
      <c r="NH69" s="17">
        <f t="shared" si="135"/>
        <v>40</v>
      </c>
      <c r="NI69" s="17">
        <f t="shared" si="135"/>
        <v>40</v>
      </c>
      <c r="NJ69" s="17">
        <f t="shared" si="135"/>
        <v>40</v>
      </c>
      <c r="NK69" s="17">
        <f t="shared" si="135"/>
        <v>40</v>
      </c>
      <c r="NL69" s="17">
        <f t="shared" si="135"/>
        <v>40</v>
      </c>
      <c r="NM69" s="17">
        <f t="shared" si="135"/>
        <v>40</v>
      </c>
      <c r="NN69" s="17">
        <f t="shared" si="135"/>
        <v>40</v>
      </c>
      <c r="NO69" s="17">
        <f t="shared" si="135"/>
        <v>40</v>
      </c>
      <c r="NP69" s="17">
        <f t="shared" si="135"/>
        <v>40</v>
      </c>
      <c r="NQ69" s="17">
        <f t="shared" si="135"/>
        <v>40</v>
      </c>
      <c r="NR69" s="17">
        <f t="shared" si="135"/>
        <v>40</v>
      </c>
      <c r="NS69" s="17">
        <f t="shared" si="135"/>
        <v>40</v>
      </c>
      <c r="NT69" s="17">
        <f t="shared" si="135"/>
        <v>40</v>
      </c>
      <c r="NU69" s="17">
        <f t="shared" si="135"/>
        <v>40</v>
      </c>
      <c r="NV69" s="17">
        <f t="shared" si="135"/>
        <v>40</v>
      </c>
      <c r="NW69" s="17">
        <f t="shared" si="135"/>
        <v>40</v>
      </c>
      <c r="NX69" s="17">
        <f t="shared" ref="NX69:PG69" si="136">IF(NW69=$H69,NW69,NW69+1)</f>
        <v>40</v>
      </c>
      <c r="NY69" s="17">
        <f t="shared" si="136"/>
        <v>40</v>
      </c>
      <c r="NZ69" s="17">
        <f t="shared" si="136"/>
        <v>40</v>
      </c>
      <c r="OA69" s="17">
        <f t="shared" si="136"/>
        <v>40</v>
      </c>
      <c r="OB69" s="17">
        <f t="shared" si="136"/>
        <v>40</v>
      </c>
      <c r="OC69" s="17">
        <f t="shared" si="136"/>
        <v>40</v>
      </c>
      <c r="OD69" s="17">
        <f t="shared" si="136"/>
        <v>40</v>
      </c>
      <c r="OE69" s="17">
        <f t="shared" si="136"/>
        <v>40</v>
      </c>
      <c r="OF69" s="17">
        <f t="shared" si="136"/>
        <v>40</v>
      </c>
      <c r="OG69" s="17">
        <f t="shared" si="136"/>
        <v>40</v>
      </c>
      <c r="OH69" s="17">
        <f t="shared" si="136"/>
        <v>40</v>
      </c>
      <c r="OI69" s="17">
        <f t="shared" si="136"/>
        <v>40</v>
      </c>
      <c r="OJ69" s="17">
        <f t="shared" si="136"/>
        <v>40</v>
      </c>
      <c r="OK69" s="17">
        <f t="shared" si="136"/>
        <v>40</v>
      </c>
      <c r="OL69" s="17">
        <f t="shared" si="136"/>
        <v>40</v>
      </c>
      <c r="OM69" s="17">
        <f t="shared" si="136"/>
        <v>40</v>
      </c>
      <c r="ON69" s="17">
        <f t="shared" si="136"/>
        <v>40</v>
      </c>
      <c r="OO69" s="17">
        <f t="shared" si="136"/>
        <v>40</v>
      </c>
      <c r="OP69" s="17">
        <f t="shared" si="136"/>
        <v>40</v>
      </c>
      <c r="OQ69" s="17">
        <f t="shared" si="136"/>
        <v>40</v>
      </c>
      <c r="OR69" s="17">
        <f t="shared" si="136"/>
        <v>40</v>
      </c>
      <c r="OS69" s="17">
        <f t="shared" si="136"/>
        <v>40</v>
      </c>
      <c r="OT69" s="17">
        <f t="shared" si="136"/>
        <v>40</v>
      </c>
      <c r="OU69" s="17">
        <f t="shared" si="136"/>
        <v>40</v>
      </c>
      <c r="OV69" s="17">
        <f t="shared" si="136"/>
        <v>40</v>
      </c>
      <c r="OW69" s="17">
        <f t="shared" si="136"/>
        <v>40</v>
      </c>
      <c r="OX69" s="17">
        <f t="shared" si="136"/>
        <v>40</v>
      </c>
      <c r="OY69" s="17">
        <f t="shared" si="136"/>
        <v>40</v>
      </c>
      <c r="OZ69" s="17">
        <f t="shared" si="136"/>
        <v>40</v>
      </c>
      <c r="PA69" s="17">
        <f t="shared" si="136"/>
        <v>40</v>
      </c>
      <c r="PB69" s="17">
        <f t="shared" si="136"/>
        <v>40</v>
      </c>
      <c r="PC69" s="17">
        <f t="shared" si="136"/>
        <v>40</v>
      </c>
      <c r="PD69" s="17">
        <f t="shared" si="136"/>
        <v>40</v>
      </c>
      <c r="PE69" s="17">
        <f t="shared" si="136"/>
        <v>40</v>
      </c>
      <c r="PF69" s="17">
        <f t="shared" si="136"/>
        <v>40</v>
      </c>
      <c r="PG69" s="17">
        <f t="shared" si="136"/>
        <v>40</v>
      </c>
    </row>
    <row r="70" spans="1:423" x14ac:dyDescent="0.25">
      <c r="A70" s="8" t="s">
        <v>5454</v>
      </c>
      <c r="B70" s="9" t="s">
        <v>8497</v>
      </c>
      <c r="C70" s="9" t="str">
        <f t="shared" si="72"/>
        <v>3R1/R2</v>
      </c>
      <c r="D70" s="1" t="str">
        <f t="shared" si="73"/>
        <v>3 Bandes R1/R2</v>
      </c>
      <c r="E70" s="1" t="s">
        <v>15</v>
      </c>
      <c r="F70" s="9" t="s">
        <v>5508</v>
      </c>
      <c r="G70" s="9">
        <v>10</v>
      </c>
      <c r="H70" s="9">
        <v>40</v>
      </c>
      <c r="I70" s="30">
        <v>2.8</v>
      </c>
      <c r="J70" s="30"/>
      <c r="K70" s="281"/>
      <c r="L70" s="8">
        <v>0.25</v>
      </c>
      <c r="M70" s="9">
        <v>0.25</v>
      </c>
      <c r="N70" s="10">
        <v>0.3599</v>
      </c>
      <c r="O70" s="269"/>
      <c r="P70" s="331"/>
      <c r="Q70" s="335"/>
      <c r="R70" s="128">
        <v>1</v>
      </c>
      <c r="S70" s="9">
        <v>1</v>
      </c>
      <c r="T70" s="10">
        <v>2</v>
      </c>
      <c r="U70" t="s">
        <v>5523</v>
      </c>
      <c r="V70" s="17">
        <v>0</v>
      </c>
      <c r="W70" s="17">
        <f>IF(Distances[[#This Row],[Colonne4]]=$G70,V70,Distances[[#This Row],[Colonne4]]+1)</f>
        <v>1</v>
      </c>
      <c r="X70" s="17">
        <f>IF(Distances[[#This Row],[Colonne5]]=$G70,W70,Distances[[#This Row],[Colonne5]]+1)</f>
        <v>2</v>
      </c>
      <c r="Y70" s="17">
        <f>IF(Distances[[#This Row],[Colonne6]]=$G70,X70,Distances[[#This Row],[Colonne6]]+1)</f>
        <v>3</v>
      </c>
      <c r="Z70" s="17">
        <f>IF(Distances[[#This Row],[Colonne7]]=$G70,Y70,Distances[[#This Row],[Colonne7]]+1)</f>
        <v>4</v>
      </c>
      <c r="AA70" s="17">
        <f>IF(Distances[[#This Row],[Colonne8]]=$G70,Z70,Distances[[#This Row],[Colonne8]]+1)</f>
        <v>5</v>
      </c>
      <c r="AB70" s="17">
        <f>IF(Distances[[#This Row],[Colonne9]]=$G70,AA70,Distances[[#This Row],[Colonne9]]+1)</f>
        <v>6</v>
      </c>
      <c r="AC70" s="17">
        <f>IF(Distances[[#This Row],[Colonne10]]=$G70,AB70,Distances[[#This Row],[Colonne10]]+1)</f>
        <v>7</v>
      </c>
      <c r="AD70" s="17">
        <f>IF(Distances[[#This Row],[Colonne11]]=$G70,AC70,Distances[[#This Row],[Colonne11]]+1)</f>
        <v>8</v>
      </c>
      <c r="AE70" s="17">
        <f>IF(Distances[[#This Row],[Colonne12]]=$G70,AD70,Distances[[#This Row],[Colonne12]]+1)</f>
        <v>9</v>
      </c>
      <c r="AF70" s="17">
        <f>IF(Distances[[#This Row],[Colonne13]]=$G70,AE70,Distances[[#This Row],[Colonne13]]+1)</f>
        <v>10</v>
      </c>
      <c r="AG70" s="17">
        <f>IF(Distances[[#This Row],[Colonne14]]=$G70,AF70,Distances[[#This Row],[Colonne14]]+1)</f>
        <v>10</v>
      </c>
      <c r="AH70" s="17">
        <f>IF(Distances[[#This Row],[Colonne15]]=$G70,AG70,Distances[[#This Row],[Colonne15]]+1)</f>
        <v>10</v>
      </c>
      <c r="AI70" s="17">
        <f>IF(Distances[[#This Row],[Colonne16]]=$G70,AH70,Distances[[#This Row],[Colonne16]]+1)</f>
        <v>10</v>
      </c>
      <c r="AJ70" s="17">
        <f>IF(Distances[[#This Row],[Colonne17]]=$G70,AI70,Distances[[#This Row],[Colonne17]]+1)</f>
        <v>10</v>
      </c>
      <c r="AK70" s="17">
        <f>IF(Distances[[#This Row],[Colonne18]]=$G70,AJ70,Distances[[#This Row],[Colonne18]]+1)</f>
        <v>10</v>
      </c>
      <c r="AL70" s="17">
        <f>IF(Distances[[#This Row],[Colonne19]]=$G70,AK70,Distances[[#This Row],[Colonne19]]+1)</f>
        <v>10</v>
      </c>
      <c r="AM70" s="17">
        <f>IF(Distances[[#This Row],[Colonne20]]=$G70,AL70,Distances[[#This Row],[Colonne20]]+1)</f>
        <v>10</v>
      </c>
      <c r="AN70" s="17">
        <f>IF(Distances[[#This Row],[Colonne21]]=$G70,AM70,Distances[[#This Row],[Colonne21]]+1)</f>
        <v>10</v>
      </c>
      <c r="AO70" s="17">
        <f>IF(Distances[[#This Row],[Colonne22]]=$G70,AN70,Distances[[#This Row],[Colonne22]]+1)</f>
        <v>10</v>
      </c>
      <c r="AP70" s="17">
        <f>IF(Distances[[#This Row],[Colonne23]]=$G70,AO70,Distances[[#This Row],[Colonne23]]+1)</f>
        <v>10</v>
      </c>
      <c r="AQ70" s="17">
        <f>IF(Distances[[#This Row],[Colonne24]]=$G70,AP70,Distances[[#This Row],[Colonne24]]+1)</f>
        <v>10</v>
      </c>
      <c r="AR70" s="17">
        <f>IF(Distances[[#This Row],[Colonne25]]=$G70,AQ70,Distances[[#This Row],[Colonne25]]+1)</f>
        <v>10</v>
      </c>
      <c r="AS70" s="17">
        <f>IF(Distances[[#This Row],[Colonne26]]=$G70,AR70,Distances[[#This Row],[Colonne26]]+1)</f>
        <v>10</v>
      </c>
      <c r="AT70" s="17">
        <f>IF(Distances[[#This Row],[Colonne27]]=$G70,AS70,Distances[[#This Row],[Colonne27]]+1)</f>
        <v>10</v>
      </c>
      <c r="AU70" s="17">
        <f>IF(Distances[[#This Row],[Colonne28]]=$G70,AT70,Distances[[#This Row],[Colonne28]]+1)</f>
        <v>10</v>
      </c>
      <c r="AV70" s="17">
        <f>IF(Distances[[#This Row],[Colonne29]]=$G70,AU70,Distances[[#This Row],[Colonne29]]+1)</f>
        <v>10</v>
      </c>
      <c r="AW70" s="17">
        <f>IF(Distances[[#This Row],[Colonne30]]=$G70,AV70,Distances[[#This Row],[Colonne30]]+1)</f>
        <v>10</v>
      </c>
      <c r="AX70" s="17">
        <f>IF(Distances[[#This Row],[Colonne31]]=$G70,AW70,Distances[[#This Row],[Colonne31]]+1)</f>
        <v>10</v>
      </c>
      <c r="AY70" s="17">
        <f>IF(Distances[[#This Row],[Colonne32]]=$G70,AX70,Distances[[#This Row],[Colonne32]]+1)</f>
        <v>10</v>
      </c>
      <c r="AZ70" s="17">
        <f>IF(Distances[[#This Row],[Colonne33]]=$G70,AY70,Distances[[#This Row],[Colonne33]]+1)</f>
        <v>10</v>
      </c>
      <c r="BA70" s="17">
        <f>IF(Distances[[#This Row],[Colonne34]]=$G70,AZ70,Distances[[#This Row],[Colonne34]]+1)</f>
        <v>10</v>
      </c>
      <c r="BB70" s="17">
        <f>IF(Distances[[#This Row],[Colonne35]]=$G70,BA70,Distances[[#This Row],[Colonne35]]+1)</f>
        <v>10</v>
      </c>
      <c r="BC70" s="17">
        <f>IF(Distances[[#This Row],[Colonne36]]=$G70,BB70,Distances[[#This Row],[Colonne36]]+1)</f>
        <v>10</v>
      </c>
      <c r="BD70" s="17">
        <f>IF(Distances[[#This Row],[Colonne37]]=$G70,BC70,Distances[[#This Row],[Colonne37]]+1)</f>
        <v>10</v>
      </c>
      <c r="BE70" s="17">
        <f>IF(Distances[[#This Row],[Colonne38]]=$G70,BD70,Distances[[#This Row],[Colonne38]]+1)</f>
        <v>10</v>
      </c>
      <c r="BF70" s="17">
        <f>IF(Distances[[#This Row],[Colonne39]]=$G70,BE70,Distances[[#This Row],[Colonne39]]+1)</f>
        <v>10</v>
      </c>
      <c r="BG70" s="17">
        <f>IF(Distances[[#This Row],[Colonne40]]=$G70,BF70,Distances[[#This Row],[Colonne40]]+1)</f>
        <v>10</v>
      </c>
      <c r="BH70" s="17">
        <f>IF(Distances[[#This Row],[Colonne41]]=$G70,BG70,Distances[[#This Row],[Colonne41]]+1)</f>
        <v>10</v>
      </c>
      <c r="BI70" s="17">
        <f>IF(Distances[[#This Row],[Colonne42]]=$G70,BH70,Distances[[#This Row],[Colonne42]]+1)</f>
        <v>10</v>
      </c>
      <c r="BJ70" s="17">
        <f>IF(Distances[[#This Row],[Colonne43]]=$G70,BI70,Distances[[#This Row],[Colonne43]]+1)</f>
        <v>10</v>
      </c>
      <c r="BK70" s="17">
        <f>IF(Distances[[#This Row],[Colonne44]]=$G70,BJ70,Distances[[#This Row],[Colonne44]]+1)</f>
        <v>10</v>
      </c>
      <c r="BL70" s="17">
        <f>IF(Distances[[#This Row],[Colonne45]]=$G70,BK70,Distances[[#This Row],[Colonne45]]+1)</f>
        <v>10</v>
      </c>
      <c r="BM70" s="17">
        <f>IF(Distances[[#This Row],[Colonne46]]=$G70,BL70,Distances[[#This Row],[Colonne46]]+1)</f>
        <v>10</v>
      </c>
      <c r="BN70" s="17">
        <f>IF(Distances[[#This Row],[Colonne47]]=$G70,BM70,Distances[[#This Row],[Colonne47]]+1)</f>
        <v>10</v>
      </c>
      <c r="BO70" s="17">
        <f>IF(Distances[[#This Row],[Colonne48]]=$G70,BN70,Distances[[#This Row],[Colonne48]]+1)</f>
        <v>10</v>
      </c>
      <c r="BP70" s="17">
        <f>IF(Distances[[#This Row],[Colonne49]]=$G70,BO70,Distances[[#This Row],[Colonne49]]+1)</f>
        <v>10</v>
      </c>
      <c r="BQ70" s="17">
        <f>IF(Distances[[#This Row],[Colonne50]]=$G70,BP70,Distances[[#This Row],[Colonne50]]+1)</f>
        <v>10</v>
      </c>
      <c r="BR70" s="17">
        <f>IF(Distances[[#This Row],[Colonne51]]=$G70,BQ70,Distances[[#This Row],[Colonne51]]+1)</f>
        <v>10</v>
      </c>
      <c r="BS70" s="17">
        <f>IF(Distances[[#This Row],[Colonne52]]=$G70,BR70,Distances[[#This Row],[Colonne52]]+1)</f>
        <v>10</v>
      </c>
      <c r="BT70" s="17">
        <f>IF(Distances[[#This Row],[Colonne53]]=$G70,BS70,Distances[[#This Row],[Colonne53]]+1)</f>
        <v>10</v>
      </c>
      <c r="BU70" s="17">
        <f>IF(Distances[[#This Row],[Colonne54]]=$G70,BT70,Distances[[#This Row],[Colonne54]]+1)</f>
        <v>10</v>
      </c>
      <c r="BV70" s="17">
        <f>IF(Distances[[#This Row],[Colonne55]]=$G70,BU70,Distances[[#This Row],[Colonne55]]+1)</f>
        <v>10</v>
      </c>
      <c r="BW70" s="17">
        <f>IF(Distances[[#This Row],[Colonne56]]=$G70,BV70,Distances[[#This Row],[Colonne56]]+1)</f>
        <v>10</v>
      </c>
      <c r="BX70" s="17">
        <f>IF(Distances[[#This Row],[Colonne57]]=$G70,BW70,Distances[[#This Row],[Colonne57]]+1)</f>
        <v>10</v>
      </c>
      <c r="BY70" s="17">
        <f>IF(Distances[[#This Row],[Colonne58]]=$G70,BX70,Distances[[#This Row],[Colonne58]]+1)</f>
        <v>10</v>
      </c>
      <c r="BZ70" s="17">
        <f>IF(Distances[[#This Row],[Colonne59]]=$G70,BY70,Distances[[#This Row],[Colonne59]]+1)</f>
        <v>10</v>
      </c>
      <c r="CA70" s="17">
        <f>IF(Distances[[#This Row],[Colonne60]]=$G70,BZ70,Distances[[#This Row],[Colonne60]]+1)</f>
        <v>10</v>
      </c>
      <c r="CB70" s="17">
        <f>IF(Distances[[#This Row],[Colonne61]]=$G70,CA70,Distances[[#This Row],[Colonne61]]+1)</f>
        <v>10</v>
      </c>
      <c r="CC70" s="17">
        <f>IF(Distances[[#This Row],[Colonne62]]=$G70,CB70,Distances[[#This Row],[Colonne62]]+1)</f>
        <v>10</v>
      </c>
      <c r="CD70" s="17">
        <f>IF(Distances[[#This Row],[Colonne63]]=$G70,CC70,Distances[[#This Row],[Colonne63]]+1)</f>
        <v>10</v>
      </c>
      <c r="CE70" s="17">
        <f>IF(Distances[[#This Row],[Colonne64]]=$G70,CD70,Distances[[#This Row],[Colonne64]]+1)</f>
        <v>10</v>
      </c>
      <c r="CF70" s="17">
        <f>IF(Distances[[#This Row],[Colonne65]]=$G70,CE70,Distances[[#This Row],[Colonne65]]+1)</f>
        <v>10</v>
      </c>
      <c r="CG70" s="17">
        <f>IF(Distances[[#This Row],[Colonne66]]=$G70,CF70,Distances[[#This Row],[Colonne66]]+1)</f>
        <v>10</v>
      </c>
      <c r="CH70" s="17">
        <f>IF(Distances[[#This Row],[Colonne67]]=$G70,CG70,Distances[[#This Row],[Colonne67]]+1)</f>
        <v>10</v>
      </c>
      <c r="CI70" s="17">
        <f>IF(Distances[[#This Row],[Colonne68]]=$G70,CH70,Distances[[#This Row],[Colonne68]]+1)</f>
        <v>10</v>
      </c>
      <c r="CJ70" s="17">
        <f>IF(Distances[[#This Row],[Colonne69]]=$G70,CI70,Distances[[#This Row],[Colonne69]]+1)</f>
        <v>10</v>
      </c>
      <c r="CK70" s="17">
        <f>IF(Distances[[#This Row],[Colonne70]]=$G70,CJ70,Distances[[#This Row],[Colonne70]]+1)</f>
        <v>10</v>
      </c>
      <c r="CL70" s="17">
        <f>IF(Distances[[#This Row],[Colonne71]]=$G70,CK70,Distances[[#This Row],[Colonne71]]+1)</f>
        <v>10</v>
      </c>
      <c r="CM70" s="17">
        <f>IF(Distances[[#This Row],[Colonne72]]=$G70,CL70,Distances[[#This Row],[Colonne72]]+1)</f>
        <v>10</v>
      </c>
      <c r="CN70" s="17">
        <f>IF(Distances[[#This Row],[Colonne73]]=$G70,CM70,Distances[[#This Row],[Colonne73]]+1)</f>
        <v>10</v>
      </c>
      <c r="CO70" s="17">
        <f>IF(Distances[[#This Row],[Colonne74]]=$G70,CN70,Distances[[#This Row],[Colonne74]]+1)</f>
        <v>10</v>
      </c>
      <c r="CP70" s="17">
        <f>IF(Distances[[#This Row],[Colonne75]]=$G70,CO70,Distances[[#This Row],[Colonne75]]+1)</f>
        <v>10</v>
      </c>
      <c r="CQ70" s="17">
        <f>IF(Distances[[#This Row],[Colonne76]]=$G70,CP70,Distances[[#This Row],[Colonne76]]+1)</f>
        <v>10</v>
      </c>
      <c r="CR70" s="17">
        <f>IF(Distances[[#This Row],[Colonne77]]=$G70,CQ70,Distances[[#This Row],[Colonne77]]+1)</f>
        <v>10</v>
      </c>
      <c r="CS70" s="17">
        <f>IF(Distances[[#This Row],[Colonne78]]=$G70,CR70,Distances[[#This Row],[Colonne78]]+1)</f>
        <v>10</v>
      </c>
      <c r="CT70" s="17">
        <f>IF(Distances[[#This Row],[Colonne79]]=$G70,CS70,Distances[[#This Row],[Colonne79]]+1)</f>
        <v>10</v>
      </c>
      <c r="CU70" s="17">
        <f>IF(Distances[[#This Row],[Colonne80]]=$G70,CT70,Distances[[#This Row],[Colonne80]]+1)</f>
        <v>10</v>
      </c>
      <c r="CV70" s="17">
        <f>IF(Distances[[#This Row],[Colonne81]]=$G70,CU70,Distances[[#This Row],[Colonne81]]+1)</f>
        <v>10</v>
      </c>
      <c r="CW70" s="17">
        <f>IF(Distances[[#This Row],[Colonne82]]=$G70,CV70,Distances[[#This Row],[Colonne82]]+1)</f>
        <v>10</v>
      </c>
      <c r="CX70" s="17">
        <f>IF(Distances[[#This Row],[Colonne83]]=$G70,CW70,Distances[[#This Row],[Colonne83]]+1)</f>
        <v>10</v>
      </c>
      <c r="CY70" s="17">
        <f>IF(Distances[[#This Row],[Colonne84]]=$G70,CX70,Distances[[#This Row],[Colonne84]]+1)</f>
        <v>10</v>
      </c>
      <c r="CZ70" s="17">
        <f>IF(Distances[[#This Row],[Colonne85]]=$G70,CY70,Distances[[#This Row],[Colonne85]]+1)</f>
        <v>10</v>
      </c>
      <c r="DA70" s="17">
        <f>IF(Distances[[#This Row],[Colonne86]]=$G70,CZ70,Distances[[#This Row],[Colonne86]]+1)</f>
        <v>10</v>
      </c>
      <c r="DB70" s="17">
        <f>IF(Distances[[#This Row],[Colonne87]]=$G70,DA70,Distances[[#This Row],[Colonne87]]+1)</f>
        <v>10</v>
      </c>
      <c r="DC70" s="17">
        <f>IF(Distances[[#This Row],[Colonne88]]=$G70,DB70,Distances[[#This Row],[Colonne88]]+1)</f>
        <v>10</v>
      </c>
      <c r="DD70" s="17">
        <f>IF(Distances[[#This Row],[Colonne89]]=$G70,DC70,Distances[[#This Row],[Colonne89]]+1)</f>
        <v>10</v>
      </c>
      <c r="DE70" s="17">
        <f>IF(Distances[[#This Row],[Colonne90]]=$G70,DD70,Distances[[#This Row],[Colonne90]]+1)</f>
        <v>10</v>
      </c>
      <c r="DF70" s="17">
        <f>IF(Distances[[#This Row],[Colonne91]]=$G70,DE70,Distances[[#This Row],[Colonne91]]+1)</f>
        <v>10</v>
      </c>
      <c r="DG70" s="17">
        <f>IF(Distances[[#This Row],[Colonne92]]=$G70,DF70,Distances[[#This Row],[Colonne92]]+1)</f>
        <v>10</v>
      </c>
      <c r="DH70" s="17">
        <f>IF(Distances[[#This Row],[Colonne93]]=$G70,DG70,Distances[[#This Row],[Colonne93]]+1)</f>
        <v>10</v>
      </c>
      <c r="DI70" s="17">
        <f>IF(Distances[[#This Row],[Colonne94]]=$G70,DH70,Distances[[#This Row],[Colonne94]]+1)</f>
        <v>10</v>
      </c>
      <c r="DJ70" s="17">
        <f>IF(Distances[[#This Row],[Colonne95]]=$G70,DI70,Distances[[#This Row],[Colonne95]]+1)</f>
        <v>10</v>
      </c>
      <c r="DK70" s="17">
        <f>IF(Distances[[#This Row],[Colonne96]]=$G70,DJ70,Distances[[#This Row],[Colonne96]]+1)</f>
        <v>10</v>
      </c>
      <c r="DL70" s="17">
        <f>IF(Distances[[#This Row],[Colonne97]]=$G70,DK70,Distances[[#This Row],[Colonne97]]+1)</f>
        <v>10</v>
      </c>
      <c r="DM70" s="17">
        <f>IF(Distances[[#This Row],[Colonne98]]=$G70,DL70,Distances[[#This Row],[Colonne98]]+1)</f>
        <v>10</v>
      </c>
      <c r="DN70" s="17">
        <f>IF(Distances[[#This Row],[Colonne99]]=$G70,DM70,Distances[[#This Row],[Colonne99]]+1)</f>
        <v>10</v>
      </c>
      <c r="DO70" s="17">
        <f>IF(Distances[[#This Row],[Colonne100]]=$G70,DN70,Distances[[#This Row],[Colonne100]]+1)</f>
        <v>10</v>
      </c>
      <c r="DP70" s="17">
        <f>IF(Distances[[#This Row],[Colonne101]]=$G70,DO70,Distances[[#This Row],[Colonne101]]+1)</f>
        <v>10</v>
      </c>
      <c r="DQ70" s="17">
        <f>IF(Distances[[#This Row],[Colonne102]]=$G70,DP70,Distances[[#This Row],[Colonne102]]+1)</f>
        <v>10</v>
      </c>
      <c r="DR70" s="17">
        <f>IF(Distances[[#This Row],[Colonne103]]=$G70,DQ70,Distances[[#This Row],[Colonne103]]+1)</f>
        <v>10</v>
      </c>
      <c r="DS70" s="17">
        <f>IF(Distances[[#This Row],[Colonne104]]=$G70,DR70,Distances[[#This Row],[Colonne104]]+1)</f>
        <v>10</v>
      </c>
      <c r="DT70" s="17">
        <f>IF(Distances[[#This Row],[Colonne105]]=$G70,DS70,Distances[[#This Row],[Colonne105]]+1)</f>
        <v>10</v>
      </c>
      <c r="DU70" s="17">
        <f>IF(Distances[[#This Row],[Colonne106]]=$G70,DT70,Distances[[#This Row],[Colonne106]]+1)</f>
        <v>10</v>
      </c>
      <c r="DV70" s="17">
        <f>IF(Distances[[#This Row],[Colonne107]]=$G70,DU70,Distances[[#This Row],[Colonne107]]+1)</f>
        <v>10</v>
      </c>
      <c r="DW70" s="17">
        <f>IF(Distances[[#This Row],[Colonne108]]=$G70,DV70,Distances[[#This Row],[Colonne108]]+1)</f>
        <v>10</v>
      </c>
      <c r="DX70" s="17">
        <f>IF(Distances[[#This Row],[Colonne109]]=$G70,DW70,Distances[[#This Row],[Colonne109]]+1)</f>
        <v>10</v>
      </c>
      <c r="DY70" s="17">
        <f>IF(Distances[[#This Row],[Colonne110]]=$G70,DX70,Distances[[#This Row],[Colonne110]]+1)</f>
        <v>10</v>
      </c>
      <c r="DZ70" s="17">
        <f>IF(Distances[[#This Row],[Colonne111]]=$G70,DY70,Distances[[#This Row],[Colonne111]]+1)</f>
        <v>10</v>
      </c>
      <c r="EA70" s="17">
        <f>IF(Distances[[#This Row],[Colonne112]]=$G70,DZ70,Distances[[#This Row],[Colonne112]]+1)</f>
        <v>10</v>
      </c>
      <c r="EB70" s="17">
        <f>IF(Distances[[#This Row],[Colonne113]]=$G70,EA70,Distances[[#This Row],[Colonne113]]+1)</f>
        <v>10</v>
      </c>
      <c r="EC70" s="17">
        <f>IF(Distances[[#This Row],[Colonne114]]=$G70,EB70,Distances[[#This Row],[Colonne114]]+1)</f>
        <v>10</v>
      </c>
      <c r="ED70" s="17">
        <f>IF(Distances[[#This Row],[Colonne115]]=$G70,EC70,Distances[[#This Row],[Colonne115]]+1)</f>
        <v>10</v>
      </c>
      <c r="EE70" s="17">
        <f>IF(Distances[[#This Row],[Colonne116]]=$G70,ED70,Distances[[#This Row],[Colonne116]]+1)</f>
        <v>10</v>
      </c>
      <c r="EF70" s="17">
        <f>IF(Distances[[#This Row],[Colonne117]]=$G70,EE70,Distances[[#This Row],[Colonne117]]+1)</f>
        <v>10</v>
      </c>
      <c r="EG70" s="17">
        <f>IF(Distances[[#This Row],[Colonne118]]=$G70,EF70,Distances[[#This Row],[Colonne118]]+1)</f>
        <v>10</v>
      </c>
      <c r="EH70" s="17">
        <f>IF(Distances[[#This Row],[Colonne119]]=$G70,EG70,Distances[[#This Row],[Colonne119]]+1)</f>
        <v>10</v>
      </c>
      <c r="EI70" s="17">
        <f>IF(Distances[[#This Row],[Colonne120]]=$G70,EH70,Distances[[#This Row],[Colonne120]]+1)</f>
        <v>10</v>
      </c>
      <c r="EJ70" s="17">
        <f>IF(Distances[[#This Row],[Colonne121]]=$G70,EI70,Distances[[#This Row],[Colonne121]]+1)</f>
        <v>10</v>
      </c>
      <c r="EK70" s="17">
        <f>IF(Distances[[#This Row],[Colonne122]]=$G70,EJ70,Distances[[#This Row],[Colonne122]]+1)</f>
        <v>10</v>
      </c>
      <c r="EL70" s="17">
        <f>IF(Distances[[#This Row],[Colonne123]]=$G70,EK70,Distances[[#This Row],[Colonne123]]+1)</f>
        <v>10</v>
      </c>
      <c r="EM70" s="17">
        <f>IF(Distances[[#This Row],[Colonne124]]=$G70,EL70,Distances[[#This Row],[Colonne124]]+1)</f>
        <v>10</v>
      </c>
      <c r="EN70" s="17">
        <f>IF(Distances[[#This Row],[Colonne125]]=$G70,EM70,Distances[[#This Row],[Colonne125]]+1)</f>
        <v>10</v>
      </c>
      <c r="EO70" s="17">
        <f>IF(Distances[[#This Row],[Colonne126]]=$G70,EN70,Distances[[#This Row],[Colonne126]]+1)</f>
        <v>10</v>
      </c>
      <c r="EP70" s="17">
        <f>IF(Distances[[#This Row],[Colonne127]]=$G70,EO70,Distances[[#This Row],[Colonne127]]+1)</f>
        <v>10</v>
      </c>
      <c r="EQ70" s="17">
        <f>IF(Distances[[#This Row],[Colonne128]]=$G70,EP70,Distances[[#This Row],[Colonne128]]+1)</f>
        <v>10</v>
      </c>
      <c r="ER70" s="17">
        <f>IF(Distances[[#This Row],[Colonne129]]=$G70,EQ70,Distances[[#This Row],[Colonne129]]+1)</f>
        <v>10</v>
      </c>
      <c r="ES70" s="17">
        <f>IF(Distances[[#This Row],[Colonne130]]=$G70,ER70,Distances[[#This Row],[Colonne130]]+1)</f>
        <v>10</v>
      </c>
      <c r="ET70" s="17">
        <f>IF(Distances[[#This Row],[Colonne131]]=$G70,ES70,Distances[[#This Row],[Colonne131]]+1)</f>
        <v>10</v>
      </c>
      <c r="EU70" s="17">
        <f>IF(Distances[[#This Row],[Colonne132]]=$G70,ET70,Distances[[#This Row],[Colonne132]]+1)</f>
        <v>10</v>
      </c>
      <c r="EV70" s="17">
        <f>IF(Distances[[#This Row],[Colonne133]]=$G70,EU70,Distances[[#This Row],[Colonne133]]+1)</f>
        <v>10</v>
      </c>
      <c r="EW70" s="17">
        <f>IF(Distances[[#This Row],[Colonne134]]=$G70,EV70,Distances[[#This Row],[Colonne134]]+1)</f>
        <v>10</v>
      </c>
      <c r="EX70" s="17">
        <f>IF(Distances[[#This Row],[Colonne135]]=$G70,EW70,Distances[[#This Row],[Colonne135]]+1)</f>
        <v>10</v>
      </c>
      <c r="EY70" s="17">
        <f>IF(Distances[[#This Row],[Colonne136]]=$G70,EX70,Distances[[#This Row],[Colonne136]]+1)</f>
        <v>10</v>
      </c>
      <c r="EZ70" s="17">
        <f>IF(Distances[[#This Row],[Colonne137]]=$G70,EY70,Distances[[#This Row],[Colonne137]]+1)</f>
        <v>10</v>
      </c>
      <c r="FA70" s="17">
        <f>IF(Distances[[#This Row],[Colonne138]]=$G70,EZ70,Distances[[#This Row],[Colonne138]]+1)</f>
        <v>10</v>
      </c>
      <c r="FB70" s="17">
        <f>IF(Distances[[#This Row],[Colonne139]]=$G70,FA70,Distances[[#This Row],[Colonne139]]+1)</f>
        <v>10</v>
      </c>
      <c r="FC70" s="17">
        <f>IF(Distances[[#This Row],[Colonne140]]=$G70,FB70,Distances[[#This Row],[Colonne140]]+1)</f>
        <v>10</v>
      </c>
      <c r="FD70" s="17">
        <f>IF(Distances[[#This Row],[Colonne141]]=$G70,FC70,Distances[[#This Row],[Colonne141]]+1)</f>
        <v>10</v>
      </c>
      <c r="FE70" s="17">
        <f>IF(Distances[[#This Row],[Colonne142]]=$G70,FD70,Distances[[#This Row],[Colonne142]]+1)</f>
        <v>10</v>
      </c>
      <c r="FF70" s="17">
        <f>IF(Distances[[#This Row],[Colonne143]]=$G70,FE70,Distances[[#This Row],[Colonne143]]+1)</f>
        <v>10</v>
      </c>
      <c r="FG70" s="17">
        <f>IF(Distances[[#This Row],[Colonne144]]=$G70,FF70,Distances[[#This Row],[Colonne144]]+1)</f>
        <v>10</v>
      </c>
      <c r="FH70" s="17">
        <f>IF(Distances[[#This Row],[Colonne145]]=$G70,FG70,Distances[[#This Row],[Colonne145]]+1)</f>
        <v>10</v>
      </c>
      <c r="FI70" s="17">
        <f>IF(Distances[[#This Row],[Colonne146]]=$G70,FH70,Distances[[#This Row],[Colonne146]]+1)</f>
        <v>10</v>
      </c>
      <c r="FJ70" s="17">
        <f>IF(Distances[[#This Row],[Colonne147]]=$G70,FI70,Distances[[#This Row],[Colonne147]]+1)</f>
        <v>10</v>
      </c>
      <c r="FK70" s="17">
        <f>IF(Distances[[#This Row],[Colonne148]]=$G70,FJ70,Distances[[#This Row],[Colonne148]]+1)</f>
        <v>10</v>
      </c>
      <c r="FL70" s="17">
        <f>IF(Distances[[#This Row],[Colonne149]]=$G70,FK70,Distances[[#This Row],[Colonne149]]+1)</f>
        <v>10</v>
      </c>
      <c r="FM70" s="17">
        <f>IF(Distances[[#This Row],[Colonne150]]=$G70,FL70,Distances[[#This Row],[Colonne150]]+1)</f>
        <v>10</v>
      </c>
      <c r="FN70" s="17">
        <f>IF(Distances[[#This Row],[Colonne151]]=$G70,FM70,Distances[[#This Row],[Colonne151]]+1)</f>
        <v>10</v>
      </c>
      <c r="FO70" s="17">
        <f>IF(Distances[[#This Row],[Colonne152]]=$G70,FN70,Distances[[#This Row],[Colonne152]]+1)</f>
        <v>10</v>
      </c>
      <c r="FP70" s="17">
        <f>IF(Distances[[#This Row],[Colonne153]]=$G70,FO70,Distances[[#This Row],[Colonne153]]+1)</f>
        <v>10</v>
      </c>
      <c r="FQ70" s="17">
        <f>IF(Distances[[#This Row],[Colonne154]]=$G70,FP70,Distances[[#This Row],[Colonne154]]+1)</f>
        <v>10</v>
      </c>
      <c r="FR70" s="17">
        <f>IF(Distances[[#This Row],[Colonne155]]=$G70,FQ70,Distances[[#This Row],[Colonne155]]+1)</f>
        <v>10</v>
      </c>
      <c r="FS70" s="17">
        <f>IF(Distances[[#This Row],[Colonne156]]=$G70,FR70,Distances[[#This Row],[Colonne156]]+1)</f>
        <v>10</v>
      </c>
      <c r="FT70" s="17">
        <f>IF(Distances[[#This Row],[Colonne157]]=$G70,FS70,Distances[[#This Row],[Colonne157]]+1)</f>
        <v>10</v>
      </c>
      <c r="FU70" s="17">
        <f>IF(Distances[[#This Row],[Colonne158]]=$G70,FT70,Distances[[#This Row],[Colonne158]]+1)</f>
        <v>10</v>
      </c>
      <c r="FV70" s="17">
        <f>IF(Distances[[#This Row],[Colonne159]]=$G70,FU70,Distances[[#This Row],[Colonne159]]+1)</f>
        <v>10</v>
      </c>
      <c r="FW70" s="17">
        <f>IF(Distances[[#This Row],[Colonne160]]=$G70,FV70,Distances[[#This Row],[Colonne160]]+1)</f>
        <v>10</v>
      </c>
      <c r="FX70" s="17">
        <f>IF(Distances[[#This Row],[Colonne161]]=$G70,FW70,Distances[[#This Row],[Colonne161]]+1)</f>
        <v>10</v>
      </c>
      <c r="FY70" s="17">
        <f>IF(Distances[[#This Row],[Colonne162]]=$G70,FX70,Distances[[#This Row],[Colonne162]]+1)</f>
        <v>10</v>
      </c>
      <c r="FZ70" s="17">
        <f>IF(Distances[[#This Row],[Colonne163]]=$G70,FY70,Distances[[#This Row],[Colonne163]]+1)</f>
        <v>10</v>
      </c>
      <c r="GA70" s="17">
        <f>IF(Distances[[#This Row],[Colonne164]]=$G70,FZ70,Distances[[#This Row],[Colonne164]]+1)</f>
        <v>10</v>
      </c>
      <c r="GB70" s="17">
        <f>IF(Distances[[#This Row],[Colonne165]]=$G70,GA70,Distances[[#This Row],[Colonne165]]+1)</f>
        <v>10</v>
      </c>
      <c r="GC70" s="17">
        <f>IF(Distances[[#This Row],[Colonne166]]=$G70,GB70,Distances[[#This Row],[Colonne166]]+1)</f>
        <v>10</v>
      </c>
      <c r="GD70" s="17">
        <f>IF(Distances[[#This Row],[Colonne167]]=$G70,GC70,Distances[[#This Row],[Colonne167]]+1)</f>
        <v>10</v>
      </c>
      <c r="GE70" s="17">
        <f>IF(Distances[[#This Row],[Colonne168]]=$G70,GD70,Distances[[#This Row],[Colonne168]]+1)</f>
        <v>10</v>
      </c>
      <c r="GF70" s="17">
        <f>IF(Distances[[#This Row],[Colonne169]]=$G70,GE70,Distances[[#This Row],[Colonne169]]+1)</f>
        <v>10</v>
      </c>
      <c r="GG70" s="17">
        <f>IF(Distances[[#This Row],[Colonne170]]=$G70,GF70,Distances[[#This Row],[Colonne170]]+1)</f>
        <v>10</v>
      </c>
      <c r="GH70" s="17">
        <f>IF(Distances[[#This Row],[Colonne171]]=$G70,GG70,Distances[[#This Row],[Colonne171]]+1)</f>
        <v>10</v>
      </c>
      <c r="GI70" s="17">
        <f>IF(Distances[[#This Row],[Colonne172]]=$G70,GH70,Distances[[#This Row],[Colonne172]]+1)</f>
        <v>10</v>
      </c>
      <c r="GJ70" s="17">
        <f>IF(Distances[[#This Row],[Colonne173]]=$G70,GI70,Distances[[#This Row],[Colonne173]]+1)</f>
        <v>10</v>
      </c>
      <c r="GK70" s="17">
        <f>IF(Distances[[#This Row],[Colonne174]]=$G70,GJ70,Distances[[#This Row],[Colonne174]]+1)</f>
        <v>10</v>
      </c>
      <c r="GL70" s="17">
        <f>IF(Distances[[#This Row],[Colonne175]]=$G70,GK70,Distances[[#This Row],[Colonne175]]+1)</f>
        <v>10</v>
      </c>
      <c r="GM70" s="17">
        <f>IF(Distances[[#This Row],[Colonne176]]=$G70,GL70,Distances[[#This Row],[Colonne176]]+1)</f>
        <v>10</v>
      </c>
      <c r="GN70" s="17">
        <f>IF(Distances[[#This Row],[Colonne177]]=$G70,GM70,Distances[[#This Row],[Colonne177]]+1)</f>
        <v>10</v>
      </c>
      <c r="GO70" s="17">
        <f>IF(Distances[[#This Row],[Colonne178]]=$G70,GN70,Distances[[#This Row],[Colonne178]]+1)</f>
        <v>10</v>
      </c>
      <c r="GP70" s="17">
        <f>IF(Distances[[#This Row],[Colonne179]]=$G70,GO70,Distances[[#This Row],[Colonne179]]+1)</f>
        <v>10</v>
      </c>
      <c r="GQ70" s="17">
        <f>IF(Distances[[#This Row],[Colonne180]]=$G70,GP70,Distances[[#This Row],[Colonne180]]+1)</f>
        <v>10</v>
      </c>
      <c r="GR70" s="17">
        <f>IF(Distances[[#This Row],[Colonne181]]=$G70,GQ70,Distances[[#This Row],[Colonne181]]+1)</f>
        <v>10</v>
      </c>
      <c r="GS70" s="17">
        <f>IF(Distances[[#This Row],[Colonne182]]=$G70,GR70,Distances[[#This Row],[Colonne182]]+1)</f>
        <v>10</v>
      </c>
      <c r="GT70" s="17">
        <f>IF(Distances[[#This Row],[Colonne183]]=$G70,GS70,Distances[[#This Row],[Colonne183]]+1)</f>
        <v>10</v>
      </c>
      <c r="GU70" s="17">
        <f>IF(Distances[[#This Row],[Colonne184]]=$G70,GT70,Distances[[#This Row],[Colonne184]]+1)</f>
        <v>10</v>
      </c>
      <c r="GV70" s="17">
        <f>IF(Distances[[#This Row],[Colonne185]]=$G70,GU70,Distances[[#This Row],[Colonne185]]+1)</f>
        <v>10</v>
      </c>
      <c r="GW70" s="17">
        <f>IF(Distances[[#This Row],[Colonne186]]=$G70,GV70,Distances[[#This Row],[Colonne186]]+1)</f>
        <v>10</v>
      </c>
      <c r="GX70" s="17">
        <f>IF(Distances[[#This Row],[Colonne187]]=$G70,GW70,Distances[[#This Row],[Colonne187]]+1)</f>
        <v>10</v>
      </c>
      <c r="GY70" s="17">
        <f>IF(Distances[[#This Row],[Colonne188]]=$G70,GX70,Distances[[#This Row],[Colonne188]]+1)</f>
        <v>10</v>
      </c>
      <c r="GZ70" s="17">
        <f>IF(Distances[[#This Row],[Colonne189]]=$G70,GY70,Distances[[#This Row],[Colonne189]]+1)</f>
        <v>10</v>
      </c>
      <c r="HA70" s="17">
        <f>IF(Distances[[#This Row],[Colonne190]]=$G70,GZ70,Distances[[#This Row],[Colonne190]]+1)</f>
        <v>10</v>
      </c>
      <c r="HB70" s="17">
        <f>IF(Distances[[#This Row],[Colonne191]]=$G70,HA70,Distances[[#This Row],[Colonne191]]+1)</f>
        <v>10</v>
      </c>
      <c r="HC70" s="17">
        <f>IF(Distances[[#This Row],[Colonne192]]=$G70,HB70,Distances[[#This Row],[Colonne192]]+1)</f>
        <v>10</v>
      </c>
      <c r="HD70" s="17">
        <f>IF(Distances[[#This Row],[Colonne193]]=$G70,HC70,Distances[[#This Row],[Colonne193]]+1)</f>
        <v>10</v>
      </c>
      <c r="HE70" s="17">
        <f>IF(Distances[[#This Row],[Colonne194]]=$G70,HD70,Distances[[#This Row],[Colonne194]]+1)</f>
        <v>10</v>
      </c>
      <c r="HF70" s="17">
        <f>IF(Distances[[#This Row],[Colonne195]]=$G70,HE70,Distances[[#This Row],[Colonne195]]+1)</f>
        <v>10</v>
      </c>
      <c r="HG70" s="17">
        <f>IF(Distances[[#This Row],[Colonne196]]=$G70,HF70,Distances[[#This Row],[Colonne196]]+1)</f>
        <v>10</v>
      </c>
      <c r="HH70" s="17">
        <f>IF(Distances[[#This Row],[Colonne197]]=$G70,HG70,Distances[[#This Row],[Colonne197]]+1)</f>
        <v>10</v>
      </c>
      <c r="HI70" s="17">
        <f>IF(Distances[[#This Row],[Colonne198]]=$G70,HH70,Distances[[#This Row],[Colonne198]]+1)</f>
        <v>10</v>
      </c>
      <c r="HJ70" s="17">
        <f>IF(Distances[[#This Row],[Colonne199]]=$G70,HI70,Distances[[#This Row],[Colonne199]]+1)</f>
        <v>10</v>
      </c>
      <c r="HK70" s="17">
        <f>IF(Distances[[#This Row],[Colonne200]]=$G70,HJ70,Distances[[#This Row],[Colonne200]]+1)</f>
        <v>10</v>
      </c>
      <c r="HL70" s="17">
        <f>IF(Distances[[#This Row],[Colonne201]]=$G70,HK70,Distances[[#This Row],[Colonne201]]+1)</f>
        <v>10</v>
      </c>
      <c r="HM70" s="17">
        <f>IF(Distances[[#This Row],[Colonne202]]=$G70,HL70,Distances[[#This Row],[Colonne202]]+1)</f>
        <v>10</v>
      </c>
      <c r="HN70" s="17">
        <f>IF(Distances[[#This Row],[Colonne203]]=$G70,HM70,Distances[[#This Row],[Colonne203]]+1)</f>
        <v>10</v>
      </c>
      <c r="HO70" s="17">
        <f>IF(Distances[[#This Row],[Colonne204]]=$G70,HN70,Distances[[#This Row],[Colonne204]]+1)</f>
        <v>10</v>
      </c>
      <c r="HP70" s="17">
        <f>IF(Distances[[#This Row],[Colonne205]]=$G70,HO70,Distances[[#This Row],[Colonne205]]+1)</f>
        <v>10</v>
      </c>
      <c r="HQ70" s="17">
        <f>IF(Distances[[#This Row],[Colonne206]]=$G70,HP70,Distances[[#This Row],[Colonne206]]+1)</f>
        <v>10</v>
      </c>
      <c r="HR70" s="17">
        <f>IF(Distances[[#This Row],[Colonne207]]=$G70,HQ70,Distances[[#This Row],[Colonne207]]+1)</f>
        <v>10</v>
      </c>
      <c r="HS70" s="17">
        <f>IF(Distances[[#This Row],[Colonne208]]=$G70,HR70,Distances[[#This Row],[Colonne208]]+1)</f>
        <v>10</v>
      </c>
      <c r="HT70" s="17">
        <f>IF(Distances[[#This Row],[Colonne209]]=$G70,HS70,Distances[[#This Row],[Colonne209]]+1)</f>
        <v>10</v>
      </c>
      <c r="HU70" s="17">
        <f>IF(Distances[[#This Row],[Colonne210]]=$G70,HT70,Distances[[#This Row],[Colonne210]]+1)</f>
        <v>10</v>
      </c>
      <c r="HV70" s="17">
        <f>IF(Distances[[#This Row],[Colonne211]]=$G70,HU70,Distances[[#This Row],[Colonne211]]+1)</f>
        <v>10</v>
      </c>
      <c r="HW70" s="17">
        <f>IF(Distances[[#This Row],[Colonne212]]=$G70,HV70,Distances[[#This Row],[Colonne212]]+1)</f>
        <v>10</v>
      </c>
      <c r="HX70" s="17">
        <f>IF(Distances[[#This Row],[Colonne213]]=$G70,HW70,Distances[[#This Row],[Colonne213]]+1)</f>
        <v>10</v>
      </c>
      <c r="HY70" s="17">
        <f>IF(Distances[[#This Row],[Colonne214]]=$G70,HX70,Distances[[#This Row],[Colonne214]]+1)</f>
        <v>10</v>
      </c>
      <c r="HZ70" s="17">
        <f>IF(Distances[[#This Row],[Colonne215]]=$G70,HY70,Distances[[#This Row],[Colonne215]]+1)</f>
        <v>10</v>
      </c>
      <c r="IA70" s="17">
        <f>IF(Distances[[#This Row],[Colonne216]]=$G70,HZ70,Distances[[#This Row],[Colonne216]]+1)</f>
        <v>10</v>
      </c>
      <c r="IB70" s="17">
        <f>IF(Distances[[#This Row],[Colonne217]]=$G70,IA70,Distances[[#This Row],[Colonne217]]+1)</f>
        <v>10</v>
      </c>
      <c r="IC70" s="17">
        <f>IF(Distances[[#This Row],[Colonne218]]=$G70,IB70,Distances[[#This Row],[Colonne218]]+1)</f>
        <v>10</v>
      </c>
      <c r="ID70" s="17">
        <f>IF(Distances[[#This Row],[Colonne219]]=$G70,IC70,Distances[[#This Row],[Colonne219]]+1)</f>
        <v>10</v>
      </c>
      <c r="IE70" s="17">
        <f>IF(Distances[[#This Row],[Colonne220]]=$G70,ID70,Distances[[#This Row],[Colonne220]]+1)</f>
        <v>10</v>
      </c>
      <c r="IF70" s="17">
        <f>IF(Distances[[#This Row],[Colonne221]]=$G70,IE70,Distances[[#This Row],[Colonne221]]+1)</f>
        <v>10</v>
      </c>
      <c r="IG70" s="17">
        <f>IF(Distances[[#This Row],[Colonne222]]=$G70,IF70,Distances[[#This Row],[Colonne222]]+1)</f>
        <v>10</v>
      </c>
      <c r="IH70" s="17">
        <f>IF(Distances[[#This Row],[Colonne223]]=$G70,IG70,Distances[[#This Row],[Colonne223]]+1)</f>
        <v>10</v>
      </c>
      <c r="II70" s="17">
        <f>IF(Distances[[#This Row],[Colonne224]]=$G70,IH70,Distances[[#This Row],[Colonne224]]+1)</f>
        <v>10</v>
      </c>
      <c r="IJ70" s="17">
        <f>IF(Distances[[#This Row],[Colonne225]]=$G70,II70,Distances[[#This Row],[Colonne225]]+1)</f>
        <v>10</v>
      </c>
      <c r="IK70" s="17">
        <f>IF(Distances[[#This Row],[Colonne226]]=$G70,IJ70,Distances[[#This Row],[Colonne226]]+1)</f>
        <v>10</v>
      </c>
      <c r="IL70" s="17">
        <f>IF(Distances[[#This Row],[Colonne227]]=$G70,IK70,Distances[[#This Row],[Colonne227]]+1)</f>
        <v>10</v>
      </c>
      <c r="IM70" s="17">
        <f>IF(Distances[[#This Row],[Colonne228]]=$G70,IL70,Distances[[#This Row],[Colonne228]]+1)</f>
        <v>10</v>
      </c>
      <c r="IN70" s="17">
        <f>IF(Distances[[#This Row],[Colonne229]]=$G70,IM70,Distances[[#This Row],[Colonne229]]+1)</f>
        <v>10</v>
      </c>
      <c r="IO70" s="17">
        <f>IF(Distances[[#This Row],[Colonne230]]=$G70,IN70,Distances[[#This Row],[Colonne230]]+1)</f>
        <v>10</v>
      </c>
      <c r="IP70" s="17">
        <f>IF(Distances[[#This Row],[Colonne231]]=$G70,IO70,Distances[[#This Row],[Colonne231]]+1)</f>
        <v>10</v>
      </c>
      <c r="IQ70" s="17">
        <f>IF(Distances[[#This Row],[Colonne232]]=$G70,IP70,Distances[[#This Row],[Colonne232]]+1)</f>
        <v>10</v>
      </c>
      <c r="IR70" s="17">
        <f>IF(Distances[[#This Row],[Colonne233]]=$G70,IQ70,Distances[[#This Row],[Colonne233]]+1)</f>
        <v>10</v>
      </c>
      <c r="IS70" s="17">
        <f>IF(Distances[[#This Row],[Colonne234]]=$G70,IR70,Distances[[#This Row],[Colonne234]]+1)</f>
        <v>10</v>
      </c>
      <c r="IT70" s="17">
        <f>IF(Distances[[#This Row],[Colonne235]]=$G70,IS70,Distances[[#This Row],[Colonne235]]+1)</f>
        <v>10</v>
      </c>
      <c r="IU70" s="17">
        <f>IF(Distances[[#This Row],[Colonne236]]=$G70,IT70,Distances[[#This Row],[Colonne236]]+1)</f>
        <v>10</v>
      </c>
      <c r="IV70" s="17">
        <f>IF(Distances[[#This Row],[Colonne237]]=$G70,IU70,Distances[[#This Row],[Colonne237]]+1)</f>
        <v>10</v>
      </c>
      <c r="IW70" s="17">
        <f>IF(Distances[[#This Row],[Colonne238]]=$G70,IV70,Distances[[#This Row],[Colonne238]]+1)</f>
        <v>10</v>
      </c>
      <c r="IX70" s="17">
        <f>IF(Distances[[#This Row],[Colonne239]]=$G70,IW70,Distances[[#This Row],[Colonne239]]+1)</f>
        <v>10</v>
      </c>
      <c r="IY70" s="17">
        <f>IF(Distances[[#This Row],[Colonne240]]=$G70,IX70,Distances[[#This Row],[Colonne240]]+1)</f>
        <v>10</v>
      </c>
      <c r="IZ70" s="17">
        <f>IF(Distances[[#This Row],[Colonne241]]=$G70,IY70,Distances[[#This Row],[Colonne241]]+1)</f>
        <v>10</v>
      </c>
      <c r="JA70" s="17">
        <f>IF(Distances[[#This Row],[Colonne242]]=$G70,IZ70,Distances[[#This Row],[Colonne242]]+1)</f>
        <v>10</v>
      </c>
      <c r="JB70" s="17">
        <f>IF(Distances[[#This Row],[Colonne243]]=$G70,JA70,Distances[[#This Row],[Colonne243]]+1)</f>
        <v>10</v>
      </c>
      <c r="JC70" s="17">
        <f>IF(Distances[[#This Row],[Colonne244]]=$G70,JB70,Distances[[#This Row],[Colonne244]]+1)</f>
        <v>10</v>
      </c>
      <c r="JD70" s="17">
        <f>IF(Distances[[#This Row],[Colonne245]]=$G70,JC70,Distances[[#This Row],[Colonne245]]+1)</f>
        <v>10</v>
      </c>
      <c r="JE70" s="17">
        <f>IF(Distances[[#This Row],[Colonne246]]=$G70,JD70,Distances[[#This Row],[Colonne246]]+1)</f>
        <v>10</v>
      </c>
      <c r="JF70" s="17">
        <f>IF(Distances[[#This Row],[Colonne247]]=$G70,JE70,Distances[[#This Row],[Colonne247]]+1)</f>
        <v>10</v>
      </c>
      <c r="JG70" s="17">
        <f>IF(Distances[[#This Row],[Colonne248]]=$G70,JF70,Distances[[#This Row],[Colonne248]]+1)</f>
        <v>10</v>
      </c>
      <c r="JH70" s="17">
        <f>IF(Distances[[#This Row],[Colonne249]]=$G70,JG70,Distances[[#This Row],[Colonne249]]+1)</f>
        <v>10</v>
      </c>
      <c r="JI70" s="17">
        <f>IF(Distances[[#This Row],[Colonne250]]=$G70,JH70,Distances[[#This Row],[Colonne250]]+1)</f>
        <v>10</v>
      </c>
      <c r="JJ70" s="17">
        <f>IF(Distances[[#This Row],[Colonne251]]=$G70,JI70,Distances[[#This Row],[Colonne251]]+1)</f>
        <v>10</v>
      </c>
      <c r="JK70" s="17">
        <f>IF(Distances[[#This Row],[Colonne252]]=$G70,JJ70,Distances[[#This Row],[Colonne252]]+1)</f>
        <v>10</v>
      </c>
      <c r="JL70" s="17">
        <f>IF(Distances[[#This Row],[Colonne253]]=$G70,JK70,Distances[[#This Row],[Colonne253]]+1)</f>
        <v>10</v>
      </c>
      <c r="JM70" s="17">
        <f>IF(Distances[[#This Row],[Colonne254]]=$G70,JL70,Distances[[#This Row],[Colonne254]]+1)</f>
        <v>10</v>
      </c>
      <c r="JN70" s="17">
        <f>IF(Distances[[#This Row],[Colonne255]]=$G70,JM70,Distances[[#This Row],[Colonne255]]+1)</f>
        <v>10</v>
      </c>
      <c r="JO70" s="17">
        <f>IF(Distances[[#This Row],[Colonne256]]=$G70,JN70,Distances[[#This Row],[Colonne256]]+1)</f>
        <v>10</v>
      </c>
      <c r="JP70" s="17">
        <f>IF(Distances[[#This Row],[Colonne257]]=$G70,JO70,Distances[[#This Row],[Colonne257]]+1)</f>
        <v>10</v>
      </c>
      <c r="JQ70" s="17">
        <f>IF(Distances[[#This Row],[Colonne258]]=$G70,JP70,Distances[[#This Row],[Colonne258]]+1)</f>
        <v>10</v>
      </c>
      <c r="JR70" s="17">
        <f>IF(Distances[[#This Row],[Colonne259]]=$G70,JQ70,Distances[[#This Row],[Colonne259]]+1)</f>
        <v>10</v>
      </c>
      <c r="JS70" s="17">
        <f>IF(Distances[[#This Row],[Colonne260]]=$G70,JR70,Distances[[#This Row],[Colonne260]]+1)</f>
        <v>10</v>
      </c>
      <c r="JT70" s="17">
        <f>IF(Distances[[#This Row],[Colonne261]]=$G70,JS70,Distances[[#This Row],[Colonne261]]+1)</f>
        <v>10</v>
      </c>
      <c r="JU70" s="17">
        <f>IF(Distances[[#This Row],[Colonne262]]=$G70,JT70,Distances[[#This Row],[Colonne262]]+1)</f>
        <v>10</v>
      </c>
      <c r="JV70" s="17">
        <f>IF(Distances[[#This Row],[Colonne263]]=$G70,JU70,Distances[[#This Row],[Colonne263]]+1)</f>
        <v>10</v>
      </c>
      <c r="JW70" s="17">
        <f>IF(Distances[[#This Row],[Colonne264]]=$G70,JV70,Distances[[#This Row],[Colonne264]]+1)</f>
        <v>10</v>
      </c>
      <c r="JX70" s="17">
        <f>IF(Distances[[#This Row],[Colonne265]]=$G70,JW70,Distances[[#This Row],[Colonne265]]+1)</f>
        <v>10</v>
      </c>
      <c r="JY70" s="17">
        <f>IF(Distances[[#This Row],[Colonne266]]=$G70,JX70,Distances[[#This Row],[Colonne266]]+1)</f>
        <v>10</v>
      </c>
      <c r="JZ70" s="17">
        <f>IF(Distances[[#This Row],[Colonne267]]=$G70,JY70,Distances[[#This Row],[Colonne267]]+1)</f>
        <v>10</v>
      </c>
      <c r="KA70" s="17">
        <f>IF(Distances[[#This Row],[Colonne268]]=$G70,JZ70,Distances[[#This Row],[Colonne268]]+1)</f>
        <v>10</v>
      </c>
      <c r="KB70" s="17">
        <f>IF(Distances[[#This Row],[Colonne269]]=$G70,KA70,Distances[[#This Row],[Colonne269]]+1)</f>
        <v>10</v>
      </c>
      <c r="KC70" s="17">
        <f>IF(Distances[[#This Row],[Colonne270]]=$G70,KB70,Distances[[#This Row],[Colonne270]]+1)</f>
        <v>10</v>
      </c>
      <c r="KD70" s="17">
        <f>IF(Distances[[#This Row],[Colonne271]]=$G70,KC70,Distances[[#This Row],[Colonne271]]+1)</f>
        <v>10</v>
      </c>
      <c r="KE70" s="17">
        <f>IF(Distances[[#This Row],[Colonne272]]=$G70,KD70,Distances[[#This Row],[Colonne272]]+1)</f>
        <v>10</v>
      </c>
      <c r="KF70" s="17">
        <f>IF(Distances[[#This Row],[Colonne273]]=$G70,KE70,Distances[[#This Row],[Colonne273]]+1)</f>
        <v>10</v>
      </c>
      <c r="KG70" s="17">
        <f>IF(Distances[[#This Row],[Colonne274]]=$G70,KF70,Distances[[#This Row],[Colonne274]]+1)</f>
        <v>10</v>
      </c>
      <c r="KH70" s="17">
        <f>IF(Distances[[#This Row],[Colonne275]]=$G70,KG70,Distances[[#This Row],[Colonne275]]+1)</f>
        <v>10</v>
      </c>
      <c r="KI70" s="17">
        <f>IF(Distances[[#This Row],[Colonne276]]=$G70,KH70,Distances[[#This Row],[Colonne276]]+1)</f>
        <v>10</v>
      </c>
      <c r="KJ70" s="17">
        <f>IF(Distances[[#This Row],[Colonne277]]=$G70,KI70,Distances[[#This Row],[Colonne277]]+1)</f>
        <v>10</v>
      </c>
      <c r="KK70" s="17">
        <f>IF(Distances[[#This Row],[Colonne278]]=$G70,KJ70,Distances[[#This Row],[Colonne278]]+1)</f>
        <v>10</v>
      </c>
      <c r="KL70" s="17">
        <f>IF(Distances[[#This Row],[Colonne279]]=$G70,KK70,Distances[[#This Row],[Colonne279]]+1)</f>
        <v>10</v>
      </c>
      <c r="KM70" s="17">
        <f>IF(Distances[[#This Row],[Colonne280]]=$G70,KL70,Distances[[#This Row],[Colonne280]]+1)</f>
        <v>10</v>
      </c>
      <c r="KN70" s="17">
        <f>IF(Distances[[#This Row],[Colonne281]]=$G70,KM70,Distances[[#This Row],[Colonne281]]+1)</f>
        <v>10</v>
      </c>
      <c r="KO70" s="17">
        <f>IF(Distances[[#This Row],[Colonne282]]=$G70,KN70,Distances[[#This Row],[Colonne282]]+1)</f>
        <v>10</v>
      </c>
      <c r="KP70" s="17">
        <f>IF(Distances[[#This Row],[Colonne283]]=$G70,KO70,Distances[[#This Row],[Colonne283]]+1)</f>
        <v>10</v>
      </c>
      <c r="KQ70" s="17">
        <f>IF(Distances[[#This Row],[Colonne284]]=$G70,KP70,Distances[[#This Row],[Colonne284]]+1)</f>
        <v>10</v>
      </c>
      <c r="KR70" s="17">
        <f>IF(Distances[[#This Row],[Colonne285]]=$G70,KQ70,Distances[[#This Row],[Colonne285]]+1)</f>
        <v>10</v>
      </c>
      <c r="KS70" s="17">
        <f>IF(Distances[[#This Row],[Colonne286]]=$G70,KR70,Distances[[#This Row],[Colonne286]]+1)</f>
        <v>10</v>
      </c>
      <c r="KT70" s="17">
        <f>IF(Distances[[#This Row],[Colonne287]]=$G70,KS70,Distances[[#This Row],[Colonne287]]+1)</f>
        <v>10</v>
      </c>
      <c r="KU70" s="17">
        <f>IF(Distances[[#This Row],[Colonne288]]=$G70,KT70,Distances[[#This Row],[Colonne288]]+1)</f>
        <v>10</v>
      </c>
      <c r="KV70" s="17">
        <f>IF(Distances[[#This Row],[Colonne289]]=$G70,KU70,Distances[[#This Row],[Colonne289]]+1)</f>
        <v>10</v>
      </c>
      <c r="KW70" s="17">
        <f>IF(Distances[[#This Row],[Colonne290]]=$G70,KV70,Distances[[#This Row],[Colonne290]]+1)</f>
        <v>10</v>
      </c>
      <c r="KX70" s="17">
        <f>IF(Distances[[#This Row],[Colonne291]]=$G70,KW70,Distances[[#This Row],[Colonne291]]+1)</f>
        <v>10</v>
      </c>
      <c r="KY70" s="17">
        <f>IF(Distances[[#This Row],[Colonne292]]=$G70,KX70,Distances[[#This Row],[Colonne292]]+1)</f>
        <v>10</v>
      </c>
      <c r="KZ70" s="17">
        <f>IF(Distances[[#This Row],[Colonne293]]=$G70,KY70,Distances[[#This Row],[Colonne293]]+1)</f>
        <v>10</v>
      </c>
      <c r="LA70" s="17">
        <f>IF(Distances[[#This Row],[Colonne294]]=$G70,KZ70,Distances[[#This Row],[Colonne294]]+1)</f>
        <v>10</v>
      </c>
      <c r="LB70" s="17">
        <f>IF(Distances[[#This Row],[Colonne295]]=$G70,LA70,Distances[[#This Row],[Colonne295]]+1)</f>
        <v>10</v>
      </c>
      <c r="LC70" s="17">
        <f>IF(Distances[[#This Row],[Colonne296]]=$G70,LB70,Distances[[#This Row],[Colonne296]]+1)</f>
        <v>10</v>
      </c>
      <c r="LD70" s="17">
        <f>IF(Distances[[#This Row],[Colonne297]]=$G70,LC70,Distances[[#This Row],[Colonne297]]+1)</f>
        <v>10</v>
      </c>
      <c r="LE70" s="17">
        <f>IF(Distances[[#This Row],[Colonne298]]=$G70,LD70,Distances[[#This Row],[Colonne298]]+1)</f>
        <v>10</v>
      </c>
      <c r="LF70" s="17">
        <f>IF(Distances[[#This Row],[Colonne299]]=$G70,LE70,Distances[[#This Row],[Colonne299]]+1)</f>
        <v>10</v>
      </c>
      <c r="LG70" s="17">
        <f>IF(Distances[[#This Row],[Colonne300]]=$G70,LF70,Distances[[#This Row],[Colonne300]]+1)</f>
        <v>10</v>
      </c>
      <c r="LH70" s="17">
        <f>IF(Distances[[#This Row],[Colonne301]]=$G70,LG70,Distances[[#This Row],[Colonne301]]+1)</f>
        <v>10</v>
      </c>
      <c r="LI70" s="17">
        <f>IF(Distances[[#This Row],[Colonne302]]=$G70,LH70,Distances[[#This Row],[Colonne302]]+1)</f>
        <v>10</v>
      </c>
      <c r="LJ70" s="17">
        <f>IF(Distances[[#This Row],[Colonne303]]=$G70,LI70,Distances[[#This Row],[Colonne303]]+1)</f>
        <v>10</v>
      </c>
      <c r="LK70" s="51"/>
      <c r="LL70" s="17">
        <f t="shared" ref="LL70:NW70" si="137">IF(LK70=$H70,LK70,LK70+1)</f>
        <v>1</v>
      </c>
      <c r="LM70" s="17">
        <f t="shared" si="137"/>
        <v>2</v>
      </c>
      <c r="LN70" s="17">
        <f t="shared" si="137"/>
        <v>3</v>
      </c>
      <c r="LO70" s="17">
        <f t="shared" si="137"/>
        <v>4</v>
      </c>
      <c r="LP70" s="17">
        <f t="shared" si="137"/>
        <v>5</v>
      </c>
      <c r="LQ70" s="17">
        <f t="shared" si="137"/>
        <v>6</v>
      </c>
      <c r="LR70" s="17">
        <f t="shared" si="137"/>
        <v>7</v>
      </c>
      <c r="LS70" s="17">
        <f t="shared" si="137"/>
        <v>8</v>
      </c>
      <c r="LT70" s="17">
        <f t="shared" si="137"/>
        <v>9</v>
      </c>
      <c r="LU70" s="17">
        <f t="shared" si="137"/>
        <v>10</v>
      </c>
      <c r="LV70" s="17">
        <f t="shared" si="137"/>
        <v>11</v>
      </c>
      <c r="LW70" s="17">
        <f t="shared" si="137"/>
        <v>12</v>
      </c>
      <c r="LX70" s="17">
        <f t="shared" si="137"/>
        <v>13</v>
      </c>
      <c r="LY70" s="17">
        <f t="shared" si="137"/>
        <v>14</v>
      </c>
      <c r="LZ70" s="17">
        <f t="shared" si="137"/>
        <v>15</v>
      </c>
      <c r="MA70" s="17">
        <f t="shared" si="137"/>
        <v>16</v>
      </c>
      <c r="MB70" s="17">
        <f t="shared" si="137"/>
        <v>17</v>
      </c>
      <c r="MC70" s="17">
        <f t="shared" si="137"/>
        <v>18</v>
      </c>
      <c r="MD70" s="17">
        <f t="shared" si="137"/>
        <v>19</v>
      </c>
      <c r="ME70" s="17">
        <f t="shared" si="137"/>
        <v>20</v>
      </c>
      <c r="MF70" s="17">
        <f t="shared" si="137"/>
        <v>21</v>
      </c>
      <c r="MG70" s="17">
        <f t="shared" si="137"/>
        <v>22</v>
      </c>
      <c r="MH70" s="17">
        <f t="shared" si="137"/>
        <v>23</v>
      </c>
      <c r="MI70" s="17">
        <f t="shared" si="137"/>
        <v>24</v>
      </c>
      <c r="MJ70" s="17">
        <f t="shared" si="137"/>
        <v>25</v>
      </c>
      <c r="MK70" s="17">
        <f t="shared" si="137"/>
        <v>26</v>
      </c>
      <c r="ML70" s="17">
        <f t="shared" si="137"/>
        <v>27</v>
      </c>
      <c r="MM70" s="17">
        <f t="shared" si="137"/>
        <v>28</v>
      </c>
      <c r="MN70" s="17">
        <f t="shared" si="137"/>
        <v>29</v>
      </c>
      <c r="MO70" s="17">
        <f t="shared" si="137"/>
        <v>30</v>
      </c>
      <c r="MP70" s="17">
        <f t="shared" si="137"/>
        <v>31</v>
      </c>
      <c r="MQ70" s="17">
        <f t="shared" si="137"/>
        <v>32</v>
      </c>
      <c r="MR70" s="17">
        <f t="shared" si="137"/>
        <v>33</v>
      </c>
      <c r="MS70" s="17">
        <f t="shared" si="137"/>
        <v>34</v>
      </c>
      <c r="MT70" s="17">
        <f t="shared" si="137"/>
        <v>35</v>
      </c>
      <c r="MU70" s="17">
        <f t="shared" si="137"/>
        <v>36</v>
      </c>
      <c r="MV70" s="17">
        <f t="shared" si="137"/>
        <v>37</v>
      </c>
      <c r="MW70" s="17">
        <f t="shared" si="137"/>
        <v>38</v>
      </c>
      <c r="MX70" s="17">
        <f t="shared" si="137"/>
        <v>39</v>
      </c>
      <c r="MY70" s="17">
        <f t="shared" si="137"/>
        <v>40</v>
      </c>
      <c r="MZ70" s="17">
        <f t="shared" si="137"/>
        <v>40</v>
      </c>
      <c r="NA70" s="17">
        <f t="shared" si="137"/>
        <v>40</v>
      </c>
      <c r="NB70" s="17">
        <f t="shared" si="137"/>
        <v>40</v>
      </c>
      <c r="NC70" s="17">
        <f t="shared" si="137"/>
        <v>40</v>
      </c>
      <c r="ND70" s="17">
        <f t="shared" si="137"/>
        <v>40</v>
      </c>
      <c r="NE70" s="17">
        <f t="shared" si="137"/>
        <v>40</v>
      </c>
      <c r="NF70" s="17">
        <f t="shared" si="137"/>
        <v>40</v>
      </c>
      <c r="NG70" s="17">
        <f t="shared" si="137"/>
        <v>40</v>
      </c>
      <c r="NH70" s="17">
        <f t="shared" si="137"/>
        <v>40</v>
      </c>
      <c r="NI70" s="17">
        <f t="shared" si="137"/>
        <v>40</v>
      </c>
      <c r="NJ70" s="17">
        <f t="shared" si="137"/>
        <v>40</v>
      </c>
      <c r="NK70" s="17">
        <f t="shared" si="137"/>
        <v>40</v>
      </c>
      <c r="NL70" s="17">
        <f t="shared" si="137"/>
        <v>40</v>
      </c>
      <c r="NM70" s="17">
        <f t="shared" si="137"/>
        <v>40</v>
      </c>
      <c r="NN70" s="17">
        <f t="shared" si="137"/>
        <v>40</v>
      </c>
      <c r="NO70" s="17">
        <f t="shared" si="137"/>
        <v>40</v>
      </c>
      <c r="NP70" s="17">
        <f t="shared" si="137"/>
        <v>40</v>
      </c>
      <c r="NQ70" s="17">
        <f t="shared" si="137"/>
        <v>40</v>
      </c>
      <c r="NR70" s="17">
        <f t="shared" si="137"/>
        <v>40</v>
      </c>
      <c r="NS70" s="17">
        <f t="shared" si="137"/>
        <v>40</v>
      </c>
      <c r="NT70" s="17">
        <f t="shared" si="137"/>
        <v>40</v>
      </c>
      <c r="NU70" s="17">
        <f t="shared" si="137"/>
        <v>40</v>
      </c>
      <c r="NV70" s="17">
        <f t="shared" si="137"/>
        <v>40</v>
      </c>
      <c r="NW70" s="17">
        <f t="shared" si="137"/>
        <v>40</v>
      </c>
      <c r="NX70" s="17">
        <f t="shared" ref="NX70:PG70" si="138">IF(NW70=$H70,NW70,NW70+1)</f>
        <v>40</v>
      </c>
      <c r="NY70" s="17">
        <f t="shared" si="138"/>
        <v>40</v>
      </c>
      <c r="NZ70" s="17">
        <f t="shared" si="138"/>
        <v>40</v>
      </c>
      <c r="OA70" s="17">
        <f t="shared" si="138"/>
        <v>40</v>
      </c>
      <c r="OB70" s="17">
        <f t="shared" si="138"/>
        <v>40</v>
      </c>
      <c r="OC70" s="17">
        <f t="shared" si="138"/>
        <v>40</v>
      </c>
      <c r="OD70" s="17">
        <f t="shared" si="138"/>
        <v>40</v>
      </c>
      <c r="OE70" s="17">
        <f t="shared" si="138"/>
        <v>40</v>
      </c>
      <c r="OF70" s="17">
        <f t="shared" si="138"/>
        <v>40</v>
      </c>
      <c r="OG70" s="17">
        <f t="shared" si="138"/>
        <v>40</v>
      </c>
      <c r="OH70" s="17">
        <f t="shared" si="138"/>
        <v>40</v>
      </c>
      <c r="OI70" s="17">
        <f t="shared" si="138"/>
        <v>40</v>
      </c>
      <c r="OJ70" s="17">
        <f t="shared" si="138"/>
        <v>40</v>
      </c>
      <c r="OK70" s="17">
        <f t="shared" si="138"/>
        <v>40</v>
      </c>
      <c r="OL70" s="17">
        <f t="shared" si="138"/>
        <v>40</v>
      </c>
      <c r="OM70" s="17">
        <f t="shared" si="138"/>
        <v>40</v>
      </c>
      <c r="ON70" s="17">
        <f t="shared" si="138"/>
        <v>40</v>
      </c>
      <c r="OO70" s="17">
        <f t="shared" si="138"/>
        <v>40</v>
      </c>
      <c r="OP70" s="17">
        <f t="shared" si="138"/>
        <v>40</v>
      </c>
      <c r="OQ70" s="17">
        <f t="shared" si="138"/>
        <v>40</v>
      </c>
      <c r="OR70" s="17">
        <f t="shared" si="138"/>
        <v>40</v>
      </c>
      <c r="OS70" s="17">
        <f t="shared" si="138"/>
        <v>40</v>
      </c>
      <c r="OT70" s="17">
        <f t="shared" si="138"/>
        <v>40</v>
      </c>
      <c r="OU70" s="17">
        <f t="shared" si="138"/>
        <v>40</v>
      </c>
      <c r="OV70" s="17">
        <f t="shared" si="138"/>
        <v>40</v>
      </c>
      <c r="OW70" s="17">
        <f t="shared" si="138"/>
        <v>40</v>
      </c>
      <c r="OX70" s="17">
        <f t="shared" si="138"/>
        <v>40</v>
      </c>
      <c r="OY70" s="17">
        <f t="shared" si="138"/>
        <v>40</v>
      </c>
      <c r="OZ70" s="17">
        <f t="shared" si="138"/>
        <v>40</v>
      </c>
      <c r="PA70" s="17">
        <f t="shared" si="138"/>
        <v>40</v>
      </c>
      <c r="PB70" s="17">
        <f t="shared" si="138"/>
        <v>40</v>
      </c>
      <c r="PC70" s="17">
        <f t="shared" si="138"/>
        <v>40</v>
      </c>
      <c r="PD70" s="17">
        <f t="shared" si="138"/>
        <v>40</v>
      </c>
      <c r="PE70" s="17">
        <f t="shared" si="138"/>
        <v>40</v>
      </c>
      <c r="PF70" s="17">
        <f t="shared" si="138"/>
        <v>40</v>
      </c>
      <c r="PG70" s="17">
        <f t="shared" si="138"/>
        <v>40</v>
      </c>
    </row>
    <row r="71" spans="1:423" x14ac:dyDescent="0.25">
      <c r="A71" s="8" t="s">
        <v>5454</v>
      </c>
      <c r="B71" s="9" t="s">
        <v>8505</v>
      </c>
      <c r="C71" s="9" t="str">
        <f t="shared" si="72"/>
        <v>3Dames LBIF 1</v>
      </c>
      <c r="D71" s="1" t="str">
        <f t="shared" si="73"/>
        <v>3 Bandes Dames LBIF 1</v>
      </c>
      <c r="E71" s="1" t="s">
        <v>8498</v>
      </c>
      <c r="F71" s="9" t="s">
        <v>5508</v>
      </c>
      <c r="G71" s="9">
        <v>15</v>
      </c>
      <c r="H71" s="9">
        <v>40</v>
      </c>
      <c r="I71" s="127">
        <v>2.8</v>
      </c>
      <c r="J71" s="30"/>
      <c r="K71" s="10"/>
      <c r="L71" s="8">
        <v>0.25</v>
      </c>
      <c r="M71" s="9"/>
      <c r="N71" s="10">
        <v>0.35899999999999999</v>
      </c>
      <c r="O71" s="269"/>
      <c r="P71" s="331"/>
      <c r="Q71" s="335"/>
      <c r="R71" s="128"/>
      <c r="S71" s="9"/>
      <c r="T71" s="10"/>
      <c r="U71" t="s">
        <v>5523</v>
      </c>
      <c r="V71" s="17">
        <v>0</v>
      </c>
      <c r="W71" s="17">
        <f>IF(Distances[[#This Row],[Colonne4]]=$G71,V71,Distances[[#This Row],[Colonne4]]+1)</f>
        <v>1</v>
      </c>
      <c r="X71" s="17">
        <f>IF(Distances[[#This Row],[Colonne5]]=$G71,W71,Distances[[#This Row],[Colonne5]]+1)</f>
        <v>2</v>
      </c>
      <c r="Y71" s="17">
        <f>IF(Distances[[#This Row],[Colonne6]]=$G71,X71,Distances[[#This Row],[Colonne6]]+1)</f>
        <v>3</v>
      </c>
      <c r="Z71" s="17">
        <f>IF(Distances[[#This Row],[Colonne7]]=$G71,Y71,Distances[[#This Row],[Colonne7]]+1)</f>
        <v>4</v>
      </c>
      <c r="AA71" s="17">
        <f>IF(Distances[[#This Row],[Colonne8]]=$G71,Z71,Distances[[#This Row],[Colonne8]]+1)</f>
        <v>5</v>
      </c>
      <c r="AB71" s="17">
        <f>IF(Distances[[#This Row],[Colonne9]]=$G71,AA71,Distances[[#This Row],[Colonne9]]+1)</f>
        <v>6</v>
      </c>
      <c r="AC71" s="17">
        <f>IF(Distances[[#This Row],[Colonne10]]=$G71,AB71,Distances[[#This Row],[Colonne10]]+1)</f>
        <v>7</v>
      </c>
      <c r="AD71" s="17">
        <f>IF(Distances[[#This Row],[Colonne11]]=$G71,AC71,Distances[[#This Row],[Colonne11]]+1)</f>
        <v>8</v>
      </c>
      <c r="AE71" s="17">
        <f>IF(Distances[[#This Row],[Colonne12]]=$G71,AD71,Distances[[#This Row],[Colonne12]]+1)</f>
        <v>9</v>
      </c>
      <c r="AF71" s="17">
        <f>IF(Distances[[#This Row],[Colonne13]]=$G71,AE71,Distances[[#This Row],[Colonne13]]+1)</f>
        <v>10</v>
      </c>
      <c r="AG71" s="17">
        <f>IF(Distances[[#This Row],[Colonne14]]=$G71,AF71,Distances[[#This Row],[Colonne14]]+1)</f>
        <v>11</v>
      </c>
      <c r="AH71" s="17">
        <f>IF(Distances[[#This Row],[Colonne15]]=$G71,AG71,Distances[[#This Row],[Colonne15]]+1)</f>
        <v>12</v>
      </c>
      <c r="AI71" s="17">
        <f>IF(Distances[[#This Row],[Colonne16]]=$G71,AH71,Distances[[#This Row],[Colonne16]]+1)</f>
        <v>13</v>
      </c>
      <c r="AJ71" s="17">
        <f>IF(Distances[[#This Row],[Colonne17]]=$G71,AI71,Distances[[#This Row],[Colonne17]]+1)</f>
        <v>14</v>
      </c>
      <c r="AK71" s="17">
        <f>IF(Distances[[#This Row],[Colonne18]]=$G71,AJ71,Distances[[#This Row],[Colonne18]]+1)</f>
        <v>15</v>
      </c>
      <c r="AL71" s="17">
        <f>IF(Distances[[#This Row],[Colonne19]]=$G71,AK71,Distances[[#This Row],[Colonne19]]+1)</f>
        <v>15</v>
      </c>
      <c r="AM71" s="17">
        <f>IF(Distances[[#This Row],[Colonne20]]=$G71,AL71,Distances[[#This Row],[Colonne20]]+1)</f>
        <v>15</v>
      </c>
      <c r="AN71" s="17">
        <f>IF(Distances[[#This Row],[Colonne21]]=$G71,AM71,Distances[[#This Row],[Colonne21]]+1)</f>
        <v>15</v>
      </c>
      <c r="AO71" s="17">
        <f>IF(Distances[[#This Row],[Colonne22]]=$G71,AN71,Distances[[#This Row],[Colonne22]]+1)</f>
        <v>15</v>
      </c>
      <c r="AP71" s="17">
        <f>IF(Distances[[#This Row],[Colonne23]]=$G71,AO71,Distances[[#This Row],[Colonne23]]+1)</f>
        <v>15</v>
      </c>
      <c r="AQ71" s="17">
        <f>IF(Distances[[#This Row],[Colonne24]]=$G71,AP71,Distances[[#This Row],[Colonne24]]+1)</f>
        <v>15</v>
      </c>
      <c r="AR71" s="17">
        <f>IF(Distances[[#This Row],[Colonne25]]=$G71,AQ71,Distances[[#This Row],[Colonne25]]+1)</f>
        <v>15</v>
      </c>
      <c r="AS71" s="17">
        <f>IF(Distances[[#This Row],[Colonne26]]=$G71,AR71,Distances[[#This Row],[Colonne26]]+1)</f>
        <v>15</v>
      </c>
      <c r="AT71" s="17">
        <f>IF(Distances[[#This Row],[Colonne27]]=$G71,AS71,Distances[[#This Row],[Colonne27]]+1)</f>
        <v>15</v>
      </c>
      <c r="AU71" s="17">
        <f>IF(Distances[[#This Row],[Colonne28]]=$G71,AT71,Distances[[#This Row],[Colonne28]]+1)</f>
        <v>15</v>
      </c>
      <c r="AV71" s="17">
        <f>IF(Distances[[#This Row],[Colonne29]]=$G71,AU71,Distances[[#This Row],[Colonne29]]+1)</f>
        <v>15</v>
      </c>
      <c r="AW71" s="17">
        <f>IF(Distances[[#This Row],[Colonne30]]=$G71,AV71,Distances[[#This Row],[Colonne30]]+1)</f>
        <v>15</v>
      </c>
      <c r="AX71" s="17">
        <f>IF(Distances[[#This Row],[Colonne31]]=$G71,AW71,Distances[[#This Row],[Colonne31]]+1)</f>
        <v>15</v>
      </c>
      <c r="AY71" s="17">
        <f>IF(Distances[[#This Row],[Colonne32]]=$G71,AX71,Distances[[#This Row],[Colonne32]]+1)</f>
        <v>15</v>
      </c>
      <c r="AZ71" s="17">
        <f>IF(Distances[[#This Row],[Colonne33]]=$G71,AY71,Distances[[#This Row],[Colonne33]]+1)</f>
        <v>15</v>
      </c>
      <c r="BA71" s="17">
        <f>IF(Distances[[#This Row],[Colonne34]]=$G71,AZ71,Distances[[#This Row],[Colonne34]]+1)</f>
        <v>15</v>
      </c>
      <c r="BB71" s="17">
        <f>IF(Distances[[#This Row],[Colonne35]]=$G71,BA71,Distances[[#This Row],[Colonne35]]+1)</f>
        <v>15</v>
      </c>
      <c r="BC71" s="17">
        <f>IF(Distances[[#This Row],[Colonne36]]=$G71,BB71,Distances[[#This Row],[Colonne36]]+1)</f>
        <v>15</v>
      </c>
      <c r="BD71" s="17">
        <f>IF(Distances[[#This Row],[Colonne37]]=$G71,BC71,Distances[[#This Row],[Colonne37]]+1)</f>
        <v>15</v>
      </c>
      <c r="BE71" s="17">
        <f>IF(Distances[[#This Row],[Colonne38]]=$G71,BD71,Distances[[#This Row],[Colonne38]]+1)</f>
        <v>15</v>
      </c>
      <c r="BF71" s="17">
        <f>IF(Distances[[#This Row],[Colonne39]]=$G71,BE71,Distances[[#This Row],[Colonne39]]+1)</f>
        <v>15</v>
      </c>
      <c r="BG71" s="17">
        <f>IF(Distances[[#This Row],[Colonne40]]=$G71,BF71,Distances[[#This Row],[Colonne40]]+1)</f>
        <v>15</v>
      </c>
      <c r="BH71" s="17">
        <f>IF(Distances[[#This Row],[Colonne41]]=$G71,BG71,Distances[[#This Row],[Colonne41]]+1)</f>
        <v>15</v>
      </c>
      <c r="BI71" s="17">
        <f>IF(Distances[[#This Row],[Colonne42]]=$G71,BH71,Distances[[#This Row],[Colonne42]]+1)</f>
        <v>15</v>
      </c>
      <c r="BJ71" s="17">
        <f>IF(Distances[[#This Row],[Colonne43]]=$G71,BI71,Distances[[#This Row],[Colonne43]]+1)</f>
        <v>15</v>
      </c>
      <c r="BK71" s="17">
        <f>IF(Distances[[#This Row],[Colonne44]]=$G71,BJ71,Distances[[#This Row],[Colonne44]]+1)</f>
        <v>15</v>
      </c>
      <c r="BL71" s="17">
        <f>IF(Distances[[#This Row],[Colonne45]]=$G71,BK71,Distances[[#This Row],[Colonne45]]+1)</f>
        <v>15</v>
      </c>
      <c r="BM71" s="17">
        <f>IF(Distances[[#This Row],[Colonne46]]=$G71,BL71,Distances[[#This Row],[Colonne46]]+1)</f>
        <v>15</v>
      </c>
      <c r="BN71" s="17">
        <f>IF(Distances[[#This Row],[Colonne47]]=$G71,BM71,Distances[[#This Row],[Colonne47]]+1)</f>
        <v>15</v>
      </c>
      <c r="BO71" s="17">
        <f>IF(Distances[[#This Row],[Colonne48]]=$G71,BN71,Distances[[#This Row],[Colonne48]]+1)</f>
        <v>15</v>
      </c>
      <c r="BP71" s="17">
        <f>IF(Distances[[#This Row],[Colonne49]]=$G71,BO71,Distances[[#This Row],[Colonne49]]+1)</f>
        <v>15</v>
      </c>
      <c r="BQ71" s="17">
        <f>IF(Distances[[#This Row],[Colonne50]]=$G71,BP71,Distances[[#This Row],[Colonne50]]+1)</f>
        <v>15</v>
      </c>
      <c r="BR71" s="17">
        <f>IF(Distances[[#This Row],[Colonne51]]=$G71,BQ71,Distances[[#This Row],[Colonne51]]+1)</f>
        <v>15</v>
      </c>
      <c r="BS71" s="17">
        <f>IF(Distances[[#This Row],[Colonne52]]=$G71,BR71,Distances[[#This Row],[Colonne52]]+1)</f>
        <v>15</v>
      </c>
      <c r="BT71" s="17">
        <f>IF(Distances[[#This Row],[Colonne53]]=$G71,BS71,Distances[[#This Row],[Colonne53]]+1)</f>
        <v>15</v>
      </c>
      <c r="BU71" s="17">
        <f>IF(Distances[[#This Row],[Colonne54]]=$G71,BT71,Distances[[#This Row],[Colonne54]]+1)</f>
        <v>15</v>
      </c>
      <c r="BV71" s="17">
        <f>IF(Distances[[#This Row],[Colonne55]]=$G71,BU71,Distances[[#This Row],[Colonne55]]+1)</f>
        <v>15</v>
      </c>
      <c r="BW71" s="17">
        <f>IF(Distances[[#This Row],[Colonne56]]=$G71,BV71,Distances[[#This Row],[Colonne56]]+1)</f>
        <v>15</v>
      </c>
      <c r="BX71" s="17">
        <f>IF(Distances[[#This Row],[Colonne57]]=$G71,BW71,Distances[[#This Row],[Colonne57]]+1)</f>
        <v>15</v>
      </c>
      <c r="BY71" s="17">
        <f>IF(Distances[[#This Row],[Colonne58]]=$G71,BX71,Distances[[#This Row],[Colonne58]]+1)</f>
        <v>15</v>
      </c>
      <c r="BZ71" s="17">
        <f>IF(Distances[[#This Row],[Colonne59]]=$G71,BY71,Distances[[#This Row],[Colonne59]]+1)</f>
        <v>15</v>
      </c>
      <c r="CA71" s="17">
        <f>IF(Distances[[#This Row],[Colonne60]]=$G71,BZ71,Distances[[#This Row],[Colonne60]]+1)</f>
        <v>15</v>
      </c>
      <c r="CB71" s="17">
        <f>IF(Distances[[#This Row],[Colonne61]]=$G71,CA71,Distances[[#This Row],[Colonne61]]+1)</f>
        <v>15</v>
      </c>
      <c r="CC71" s="17">
        <f>IF(Distances[[#This Row],[Colonne62]]=$G71,CB71,Distances[[#This Row],[Colonne62]]+1)</f>
        <v>15</v>
      </c>
      <c r="CD71" s="17">
        <f>IF(Distances[[#This Row],[Colonne63]]=$G71,CC71,Distances[[#This Row],[Colonne63]]+1)</f>
        <v>15</v>
      </c>
      <c r="CE71" s="17">
        <f>IF(Distances[[#This Row],[Colonne64]]=$G71,CD71,Distances[[#This Row],[Colonne64]]+1)</f>
        <v>15</v>
      </c>
      <c r="CF71" s="17">
        <f>IF(Distances[[#This Row],[Colonne65]]=$G71,CE71,Distances[[#This Row],[Colonne65]]+1)</f>
        <v>15</v>
      </c>
      <c r="CG71" s="17">
        <f>IF(Distances[[#This Row],[Colonne66]]=$G71,CF71,Distances[[#This Row],[Colonne66]]+1)</f>
        <v>15</v>
      </c>
      <c r="CH71" s="17">
        <f>IF(Distances[[#This Row],[Colonne67]]=$G71,CG71,Distances[[#This Row],[Colonne67]]+1)</f>
        <v>15</v>
      </c>
      <c r="CI71" s="17">
        <f>IF(Distances[[#This Row],[Colonne68]]=$G71,CH71,Distances[[#This Row],[Colonne68]]+1)</f>
        <v>15</v>
      </c>
      <c r="CJ71" s="17">
        <f>IF(Distances[[#This Row],[Colonne69]]=$G71,CI71,Distances[[#This Row],[Colonne69]]+1)</f>
        <v>15</v>
      </c>
      <c r="CK71" s="17">
        <f>IF(Distances[[#This Row],[Colonne70]]=$G71,CJ71,Distances[[#This Row],[Colonne70]]+1)</f>
        <v>15</v>
      </c>
      <c r="CL71" s="17">
        <f>IF(Distances[[#This Row],[Colonne71]]=$G71,CK71,Distances[[#This Row],[Colonne71]]+1)</f>
        <v>15</v>
      </c>
      <c r="CM71" s="17">
        <f>IF(Distances[[#This Row],[Colonne72]]=$G71,CL71,Distances[[#This Row],[Colonne72]]+1)</f>
        <v>15</v>
      </c>
      <c r="CN71" s="17">
        <f>IF(Distances[[#This Row],[Colonne73]]=$G71,CM71,Distances[[#This Row],[Colonne73]]+1)</f>
        <v>15</v>
      </c>
      <c r="CO71" s="17">
        <f>IF(Distances[[#This Row],[Colonne74]]=$G71,CN71,Distances[[#This Row],[Colonne74]]+1)</f>
        <v>15</v>
      </c>
      <c r="CP71" s="17">
        <f>IF(Distances[[#This Row],[Colonne75]]=$G71,CO71,Distances[[#This Row],[Colonne75]]+1)</f>
        <v>15</v>
      </c>
      <c r="CQ71" s="17">
        <f>IF(Distances[[#This Row],[Colonne76]]=$G71,CP71,Distances[[#This Row],[Colonne76]]+1)</f>
        <v>15</v>
      </c>
      <c r="CR71" s="17">
        <f>IF(Distances[[#This Row],[Colonne77]]=$G71,CQ71,Distances[[#This Row],[Colonne77]]+1)</f>
        <v>15</v>
      </c>
      <c r="CS71" s="17">
        <f>IF(Distances[[#This Row],[Colonne78]]=$G71,CR71,Distances[[#This Row],[Colonne78]]+1)</f>
        <v>15</v>
      </c>
      <c r="CT71" s="17">
        <f>IF(Distances[[#This Row],[Colonne79]]=$G71,CS71,Distances[[#This Row],[Colonne79]]+1)</f>
        <v>15</v>
      </c>
      <c r="CU71" s="17">
        <f>IF(Distances[[#This Row],[Colonne80]]=$G71,CT71,Distances[[#This Row],[Colonne80]]+1)</f>
        <v>15</v>
      </c>
      <c r="CV71" s="17">
        <f>IF(Distances[[#This Row],[Colonne81]]=$G71,CU71,Distances[[#This Row],[Colonne81]]+1)</f>
        <v>15</v>
      </c>
      <c r="CW71" s="17">
        <f>IF(Distances[[#This Row],[Colonne82]]=$G71,CV71,Distances[[#This Row],[Colonne82]]+1)</f>
        <v>15</v>
      </c>
      <c r="CX71" s="17">
        <f>IF(Distances[[#This Row],[Colonne83]]=$G71,CW71,Distances[[#This Row],[Colonne83]]+1)</f>
        <v>15</v>
      </c>
      <c r="CY71" s="17">
        <f>IF(Distances[[#This Row],[Colonne84]]=$G71,CX71,Distances[[#This Row],[Colonne84]]+1)</f>
        <v>15</v>
      </c>
      <c r="CZ71" s="17">
        <f>IF(Distances[[#This Row],[Colonne85]]=$G71,CY71,Distances[[#This Row],[Colonne85]]+1)</f>
        <v>15</v>
      </c>
      <c r="DA71" s="17">
        <f>IF(Distances[[#This Row],[Colonne86]]=$G71,CZ71,Distances[[#This Row],[Colonne86]]+1)</f>
        <v>15</v>
      </c>
      <c r="DB71" s="17">
        <f>IF(Distances[[#This Row],[Colonne87]]=$G71,DA71,Distances[[#This Row],[Colonne87]]+1)</f>
        <v>15</v>
      </c>
      <c r="DC71" s="17">
        <f>IF(Distances[[#This Row],[Colonne88]]=$G71,DB71,Distances[[#This Row],[Colonne88]]+1)</f>
        <v>15</v>
      </c>
      <c r="DD71" s="17">
        <f>IF(Distances[[#This Row],[Colonne89]]=$G71,DC71,Distances[[#This Row],[Colonne89]]+1)</f>
        <v>15</v>
      </c>
      <c r="DE71" s="17">
        <f>IF(Distances[[#This Row],[Colonne90]]=$G71,DD71,Distances[[#This Row],[Colonne90]]+1)</f>
        <v>15</v>
      </c>
      <c r="DF71" s="17">
        <f>IF(Distances[[#This Row],[Colonne91]]=$G71,DE71,Distances[[#This Row],[Colonne91]]+1)</f>
        <v>15</v>
      </c>
      <c r="DG71" s="17">
        <f>IF(Distances[[#This Row],[Colonne92]]=$G71,DF71,Distances[[#This Row],[Colonne92]]+1)</f>
        <v>15</v>
      </c>
      <c r="DH71" s="17">
        <f>IF(Distances[[#This Row],[Colonne93]]=$G71,DG71,Distances[[#This Row],[Colonne93]]+1)</f>
        <v>15</v>
      </c>
      <c r="DI71" s="17">
        <f>IF(Distances[[#This Row],[Colonne94]]=$G71,DH71,Distances[[#This Row],[Colonne94]]+1)</f>
        <v>15</v>
      </c>
      <c r="DJ71" s="17">
        <f>IF(Distances[[#This Row],[Colonne95]]=$G71,DI71,Distances[[#This Row],[Colonne95]]+1)</f>
        <v>15</v>
      </c>
      <c r="DK71" s="17">
        <f>IF(Distances[[#This Row],[Colonne96]]=$G71,DJ71,Distances[[#This Row],[Colonne96]]+1)</f>
        <v>15</v>
      </c>
      <c r="DL71" s="17">
        <f>IF(Distances[[#This Row],[Colonne97]]=$G71,DK71,Distances[[#This Row],[Colonne97]]+1)</f>
        <v>15</v>
      </c>
      <c r="DM71" s="17">
        <f>IF(Distances[[#This Row],[Colonne98]]=$G71,DL71,Distances[[#This Row],[Colonne98]]+1)</f>
        <v>15</v>
      </c>
      <c r="DN71" s="17">
        <f>IF(Distances[[#This Row],[Colonne99]]=$G71,DM71,Distances[[#This Row],[Colonne99]]+1)</f>
        <v>15</v>
      </c>
      <c r="DO71" s="17">
        <f>IF(Distances[[#This Row],[Colonne100]]=$G71,DN71,Distances[[#This Row],[Colonne100]]+1)</f>
        <v>15</v>
      </c>
      <c r="DP71" s="17">
        <f>IF(Distances[[#This Row],[Colonne101]]=$G71,DO71,Distances[[#This Row],[Colonne101]]+1)</f>
        <v>15</v>
      </c>
      <c r="DQ71" s="17">
        <f>IF(Distances[[#This Row],[Colonne102]]=$G71,DP71,Distances[[#This Row],[Colonne102]]+1)</f>
        <v>15</v>
      </c>
      <c r="DR71" s="17">
        <f>IF(Distances[[#This Row],[Colonne103]]=$G71,DQ71,Distances[[#This Row],[Colonne103]]+1)</f>
        <v>15</v>
      </c>
      <c r="DS71" s="17">
        <f>IF(Distances[[#This Row],[Colonne104]]=$G71,DR71,Distances[[#This Row],[Colonne104]]+1)</f>
        <v>15</v>
      </c>
      <c r="DT71" s="17">
        <f>IF(Distances[[#This Row],[Colonne105]]=$G71,DS71,Distances[[#This Row],[Colonne105]]+1)</f>
        <v>15</v>
      </c>
      <c r="DU71" s="17">
        <f>IF(Distances[[#This Row],[Colonne106]]=$G71,DT71,Distances[[#This Row],[Colonne106]]+1)</f>
        <v>15</v>
      </c>
      <c r="DV71" s="17">
        <f>IF(Distances[[#This Row],[Colonne107]]=$G71,DU71,Distances[[#This Row],[Colonne107]]+1)</f>
        <v>15</v>
      </c>
      <c r="DW71" s="17">
        <f>IF(Distances[[#This Row],[Colonne108]]=$G71,DV71,Distances[[#This Row],[Colonne108]]+1)</f>
        <v>15</v>
      </c>
      <c r="DX71" s="17">
        <f>IF(Distances[[#This Row],[Colonne109]]=$G71,DW71,Distances[[#This Row],[Colonne109]]+1)</f>
        <v>15</v>
      </c>
      <c r="DY71" s="17">
        <f>IF(Distances[[#This Row],[Colonne110]]=$G71,DX71,Distances[[#This Row],[Colonne110]]+1)</f>
        <v>15</v>
      </c>
      <c r="DZ71" s="17">
        <f>IF(Distances[[#This Row],[Colonne111]]=$G71,DY71,Distances[[#This Row],[Colonne111]]+1)</f>
        <v>15</v>
      </c>
      <c r="EA71" s="17">
        <f>IF(Distances[[#This Row],[Colonne112]]=$G71,DZ71,Distances[[#This Row],[Colonne112]]+1)</f>
        <v>15</v>
      </c>
      <c r="EB71" s="17">
        <f>IF(Distances[[#This Row],[Colonne113]]=$G71,EA71,Distances[[#This Row],[Colonne113]]+1)</f>
        <v>15</v>
      </c>
      <c r="EC71" s="17">
        <f>IF(Distances[[#This Row],[Colonne114]]=$G71,EB71,Distances[[#This Row],[Colonne114]]+1)</f>
        <v>15</v>
      </c>
      <c r="ED71" s="17">
        <f>IF(Distances[[#This Row],[Colonne115]]=$G71,EC71,Distances[[#This Row],[Colonne115]]+1)</f>
        <v>15</v>
      </c>
      <c r="EE71" s="17">
        <f>IF(Distances[[#This Row],[Colonne116]]=$G71,ED71,Distances[[#This Row],[Colonne116]]+1)</f>
        <v>15</v>
      </c>
      <c r="EF71" s="17">
        <f>IF(Distances[[#This Row],[Colonne117]]=$G71,EE71,Distances[[#This Row],[Colonne117]]+1)</f>
        <v>15</v>
      </c>
      <c r="EG71" s="17">
        <f>IF(Distances[[#This Row],[Colonne118]]=$G71,EF71,Distances[[#This Row],[Colonne118]]+1)</f>
        <v>15</v>
      </c>
      <c r="EH71" s="17">
        <f>IF(Distances[[#This Row],[Colonne119]]=$G71,EG71,Distances[[#This Row],[Colonne119]]+1)</f>
        <v>15</v>
      </c>
      <c r="EI71" s="17">
        <f>IF(Distances[[#This Row],[Colonne120]]=$G71,EH71,Distances[[#This Row],[Colonne120]]+1)</f>
        <v>15</v>
      </c>
      <c r="EJ71" s="17">
        <f>IF(Distances[[#This Row],[Colonne121]]=$G71,EI71,Distances[[#This Row],[Colonne121]]+1)</f>
        <v>15</v>
      </c>
      <c r="EK71" s="17">
        <f>IF(Distances[[#This Row],[Colonne122]]=$G71,EJ71,Distances[[#This Row],[Colonne122]]+1)</f>
        <v>15</v>
      </c>
      <c r="EL71" s="17">
        <f>IF(Distances[[#This Row],[Colonne123]]=$G71,EK71,Distances[[#This Row],[Colonne123]]+1)</f>
        <v>15</v>
      </c>
      <c r="EM71" s="17">
        <f>IF(Distances[[#This Row],[Colonne124]]=$G71,EL71,Distances[[#This Row],[Colonne124]]+1)</f>
        <v>15</v>
      </c>
      <c r="EN71" s="17">
        <f>IF(Distances[[#This Row],[Colonne125]]=$G71,EM71,Distances[[#This Row],[Colonne125]]+1)</f>
        <v>15</v>
      </c>
      <c r="EO71" s="17">
        <f>IF(Distances[[#This Row],[Colonne126]]=$G71,EN71,Distances[[#This Row],[Colonne126]]+1)</f>
        <v>15</v>
      </c>
      <c r="EP71" s="17">
        <f>IF(Distances[[#This Row],[Colonne127]]=$G71,EO71,Distances[[#This Row],[Colonne127]]+1)</f>
        <v>15</v>
      </c>
      <c r="EQ71" s="17">
        <f>IF(Distances[[#This Row],[Colonne128]]=$G71,EP71,Distances[[#This Row],[Colonne128]]+1)</f>
        <v>15</v>
      </c>
      <c r="ER71" s="17">
        <f>IF(Distances[[#This Row],[Colonne129]]=$G71,EQ71,Distances[[#This Row],[Colonne129]]+1)</f>
        <v>15</v>
      </c>
      <c r="ES71" s="17">
        <f>IF(Distances[[#This Row],[Colonne130]]=$G71,ER71,Distances[[#This Row],[Colonne130]]+1)</f>
        <v>15</v>
      </c>
      <c r="ET71" s="17">
        <f>IF(Distances[[#This Row],[Colonne131]]=$G71,ES71,Distances[[#This Row],[Colonne131]]+1)</f>
        <v>15</v>
      </c>
      <c r="EU71" s="17">
        <f>IF(Distances[[#This Row],[Colonne132]]=$G71,ET71,Distances[[#This Row],[Colonne132]]+1)</f>
        <v>15</v>
      </c>
      <c r="EV71" s="17">
        <f>IF(Distances[[#This Row],[Colonne133]]=$G71,EU71,Distances[[#This Row],[Colonne133]]+1)</f>
        <v>15</v>
      </c>
      <c r="EW71" s="17">
        <f>IF(Distances[[#This Row],[Colonne134]]=$G71,EV71,Distances[[#This Row],[Colonne134]]+1)</f>
        <v>15</v>
      </c>
      <c r="EX71" s="17">
        <f>IF(Distances[[#This Row],[Colonne135]]=$G71,EW71,Distances[[#This Row],[Colonne135]]+1)</f>
        <v>15</v>
      </c>
      <c r="EY71" s="17">
        <f>IF(Distances[[#This Row],[Colonne136]]=$G71,EX71,Distances[[#This Row],[Colonne136]]+1)</f>
        <v>15</v>
      </c>
      <c r="EZ71" s="17">
        <f>IF(Distances[[#This Row],[Colonne137]]=$G71,EY71,Distances[[#This Row],[Colonne137]]+1)</f>
        <v>15</v>
      </c>
      <c r="FA71" s="17">
        <f>IF(Distances[[#This Row],[Colonne138]]=$G71,EZ71,Distances[[#This Row],[Colonne138]]+1)</f>
        <v>15</v>
      </c>
      <c r="FB71" s="17">
        <f>IF(Distances[[#This Row],[Colonne139]]=$G71,FA71,Distances[[#This Row],[Colonne139]]+1)</f>
        <v>15</v>
      </c>
      <c r="FC71" s="17">
        <f>IF(Distances[[#This Row],[Colonne140]]=$G71,FB71,Distances[[#This Row],[Colonne140]]+1)</f>
        <v>15</v>
      </c>
      <c r="FD71" s="17">
        <f>IF(Distances[[#This Row],[Colonne141]]=$G71,FC71,Distances[[#This Row],[Colonne141]]+1)</f>
        <v>15</v>
      </c>
      <c r="FE71" s="17">
        <f>IF(Distances[[#This Row],[Colonne142]]=$G71,FD71,Distances[[#This Row],[Colonne142]]+1)</f>
        <v>15</v>
      </c>
      <c r="FF71" s="17">
        <f>IF(Distances[[#This Row],[Colonne143]]=$G71,FE71,Distances[[#This Row],[Colonne143]]+1)</f>
        <v>15</v>
      </c>
      <c r="FG71" s="17">
        <f>IF(Distances[[#This Row],[Colonne144]]=$G71,FF71,Distances[[#This Row],[Colonne144]]+1)</f>
        <v>15</v>
      </c>
      <c r="FH71" s="17">
        <f>IF(Distances[[#This Row],[Colonne145]]=$G71,FG71,Distances[[#This Row],[Colonne145]]+1)</f>
        <v>15</v>
      </c>
      <c r="FI71" s="17">
        <f>IF(Distances[[#This Row],[Colonne146]]=$G71,FH71,Distances[[#This Row],[Colonne146]]+1)</f>
        <v>15</v>
      </c>
      <c r="FJ71" s="17">
        <f>IF(Distances[[#This Row],[Colonne147]]=$G71,FI71,Distances[[#This Row],[Colonne147]]+1)</f>
        <v>15</v>
      </c>
      <c r="FK71" s="17">
        <f>IF(Distances[[#This Row],[Colonne148]]=$G71,FJ71,Distances[[#This Row],[Colonne148]]+1)</f>
        <v>15</v>
      </c>
      <c r="FL71" s="17">
        <f>IF(Distances[[#This Row],[Colonne149]]=$G71,FK71,Distances[[#This Row],[Colonne149]]+1)</f>
        <v>15</v>
      </c>
      <c r="FM71" s="17">
        <f>IF(Distances[[#This Row],[Colonne150]]=$G71,FL71,Distances[[#This Row],[Colonne150]]+1)</f>
        <v>15</v>
      </c>
      <c r="FN71" s="17">
        <f>IF(Distances[[#This Row],[Colonne151]]=$G71,FM71,Distances[[#This Row],[Colonne151]]+1)</f>
        <v>15</v>
      </c>
      <c r="FO71" s="17">
        <f>IF(Distances[[#This Row],[Colonne152]]=$G71,FN71,Distances[[#This Row],[Colonne152]]+1)</f>
        <v>15</v>
      </c>
      <c r="FP71" s="17">
        <f>IF(Distances[[#This Row],[Colonne153]]=$G71,FO71,Distances[[#This Row],[Colonne153]]+1)</f>
        <v>15</v>
      </c>
      <c r="FQ71" s="17">
        <f>IF(Distances[[#This Row],[Colonne154]]=$G71,FP71,Distances[[#This Row],[Colonne154]]+1)</f>
        <v>15</v>
      </c>
      <c r="FR71" s="17">
        <f>IF(Distances[[#This Row],[Colonne155]]=$G71,FQ71,Distances[[#This Row],[Colonne155]]+1)</f>
        <v>15</v>
      </c>
      <c r="FS71" s="17">
        <f>IF(Distances[[#This Row],[Colonne156]]=$G71,FR71,Distances[[#This Row],[Colonne156]]+1)</f>
        <v>15</v>
      </c>
      <c r="FT71" s="17">
        <f>IF(Distances[[#This Row],[Colonne157]]=$G71,FS71,Distances[[#This Row],[Colonne157]]+1)</f>
        <v>15</v>
      </c>
      <c r="FU71" s="17">
        <f>IF(Distances[[#This Row],[Colonne158]]=$G71,FT71,Distances[[#This Row],[Colonne158]]+1)</f>
        <v>15</v>
      </c>
      <c r="FV71" s="17">
        <f>IF(Distances[[#This Row],[Colonne159]]=$G71,FU71,Distances[[#This Row],[Colonne159]]+1)</f>
        <v>15</v>
      </c>
      <c r="FW71" s="17">
        <f>IF(Distances[[#This Row],[Colonne160]]=$G71,FV71,Distances[[#This Row],[Colonne160]]+1)</f>
        <v>15</v>
      </c>
      <c r="FX71" s="17">
        <f>IF(Distances[[#This Row],[Colonne161]]=$G71,FW71,Distances[[#This Row],[Colonne161]]+1)</f>
        <v>15</v>
      </c>
      <c r="FY71" s="17">
        <f>IF(Distances[[#This Row],[Colonne162]]=$G71,FX71,Distances[[#This Row],[Colonne162]]+1)</f>
        <v>15</v>
      </c>
      <c r="FZ71" s="17">
        <f>IF(Distances[[#This Row],[Colonne163]]=$G71,FY71,Distances[[#This Row],[Colonne163]]+1)</f>
        <v>15</v>
      </c>
      <c r="GA71" s="17">
        <f>IF(Distances[[#This Row],[Colonne164]]=$G71,FZ71,Distances[[#This Row],[Colonne164]]+1)</f>
        <v>15</v>
      </c>
      <c r="GB71" s="17">
        <f>IF(Distances[[#This Row],[Colonne165]]=$G71,GA71,Distances[[#This Row],[Colonne165]]+1)</f>
        <v>15</v>
      </c>
      <c r="GC71" s="17">
        <f>IF(Distances[[#This Row],[Colonne166]]=$G71,GB71,Distances[[#This Row],[Colonne166]]+1)</f>
        <v>15</v>
      </c>
      <c r="GD71" s="17">
        <f>IF(Distances[[#This Row],[Colonne167]]=$G71,GC71,Distances[[#This Row],[Colonne167]]+1)</f>
        <v>15</v>
      </c>
      <c r="GE71" s="17">
        <f>IF(Distances[[#This Row],[Colonne168]]=$G71,GD71,Distances[[#This Row],[Colonne168]]+1)</f>
        <v>15</v>
      </c>
      <c r="GF71" s="17">
        <f>IF(Distances[[#This Row],[Colonne169]]=$G71,GE71,Distances[[#This Row],[Colonne169]]+1)</f>
        <v>15</v>
      </c>
      <c r="GG71" s="17">
        <f>IF(Distances[[#This Row],[Colonne170]]=$G71,GF71,Distances[[#This Row],[Colonne170]]+1)</f>
        <v>15</v>
      </c>
      <c r="GH71" s="17">
        <f>IF(Distances[[#This Row],[Colonne171]]=$G71,GG71,Distances[[#This Row],[Colonne171]]+1)</f>
        <v>15</v>
      </c>
      <c r="GI71" s="17">
        <f>IF(Distances[[#This Row],[Colonne172]]=$G71,GH71,Distances[[#This Row],[Colonne172]]+1)</f>
        <v>15</v>
      </c>
      <c r="GJ71" s="17">
        <f>IF(Distances[[#This Row],[Colonne173]]=$G71,GI71,Distances[[#This Row],[Colonne173]]+1)</f>
        <v>15</v>
      </c>
      <c r="GK71" s="17">
        <f>IF(Distances[[#This Row],[Colonne174]]=$G71,GJ71,Distances[[#This Row],[Colonne174]]+1)</f>
        <v>15</v>
      </c>
      <c r="GL71" s="17">
        <f>IF(Distances[[#This Row],[Colonne175]]=$G71,GK71,Distances[[#This Row],[Colonne175]]+1)</f>
        <v>15</v>
      </c>
      <c r="GM71" s="17">
        <f>IF(Distances[[#This Row],[Colonne176]]=$G71,GL71,Distances[[#This Row],[Colonne176]]+1)</f>
        <v>15</v>
      </c>
      <c r="GN71" s="17">
        <f>IF(Distances[[#This Row],[Colonne177]]=$G71,GM71,Distances[[#This Row],[Colonne177]]+1)</f>
        <v>15</v>
      </c>
      <c r="GO71" s="17">
        <f>IF(Distances[[#This Row],[Colonne178]]=$G71,GN71,Distances[[#This Row],[Colonne178]]+1)</f>
        <v>15</v>
      </c>
      <c r="GP71" s="17">
        <f>IF(Distances[[#This Row],[Colonne179]]=$G71,GO71,Distances[[#This Row],[Colonne179]]+1)</f>
        <v>15</v>
      </c>
      <c r="GQ71" s="17">
        <f>IF(Distances[[#This Row],[Colonne180]]=$G71,GP71,Distances[[#This Row],[Colonne180]]+1)</f>
        <v>15</v>
      </c>
      <c r="GR71" s="17">
        <f>IF(Distances[[#This Row],[Colonne181]]=$G71,GQ71,Distances[[#This Row],[Colonne181]]+1)</f>
        <v>15</v>
      </c>
      <c r="GS71" s="17">
        <f>IF(Distances[[#This Row],[Colonne182]]=$G71,GR71,Distances[[#This Row],[Colonne182]]+1)</f>
        <v>15</v>
      </c>
      <c r="GT71" s="17">
        <f>IF(Distances[[#This Row],[Colonne183]]=$G71,GS71,Distances[[#This Row],[Colonne183]]+1)</f>
        <v>15</v>
      </c>
      <c r="GU71" s="17">
        <f>IF(Distances[[#This Row],[Colonne184]]=$G71,GT71,Distances[[#This Row],[Colonne184]]+1)</f>
        <v>15</v>
      </c>
      <c r="GV71" s="17">
        <f>IF(Distances[[#This Row],[Colonne185]]=$G71,GU71,Distances[[#This Row],[Colonne185]]+1)</f>
        <v>15</v>
      </c>
      <c r="GW71" s="17">
        <f>IF(Distances[[#This Row],[Colonne186]]=$G71,GV71,Distances[[#This Row],[Colonne186]]+1)</f>
        <v>15</v>
      </c>
      <c r="GX71" s="17">
        <f>IF(Distances[[#This Row],[Colonne187]]=$G71,GW71,Distances[[#This Row],[Colonne187]]+1)</f>
        <v>15</v>
      </c>
      <c r="GY71" s="17">
        <f>IF(Distances[[#This Row],[Colonne188]]=$G71,GX71,Distances[[#This Row],[Colonne188]]+1)</f>
        <v>15</v>
      </c>
      <c r="GZ71" s="17">
        <f>IF(Distances[[#This Row],[Colonne189]]=$G71,GY71,Distances[[#This Row],[Colonne189]]+1)</f>
        <v>15</v>
      </c>
      <c r="HA71" s="17">
        <f>IF(Distances[[#This Row],[Colonne190]]=$G71,GZ71,Distances[[#This Row],[Colonne190]]+1)</f>
        <v>15</v>
      </c>
      <c r="HB71" s="17">
        <f>IF(Distances[[#This Row],[Colonne191]]=$G71,HA71,Distances[[#This Row],[Colonne191]]+1)</f>
        <v>15</v>
      </c>
      <c r="HC71" s="17">
        <f>IF(Distances[[#This Row],[Colonne192]]=$G71,HB71,Distances[[#This Row],[Colonne192]]+1)</f>
        <v>15</v>
      </c>
      <c r="HD71" s="17">
        <f>IF(Distances[[#This Row],[Colonne193]]=$G71,HC71,Distances[[#This Row],[Colonne193]]+1)</f>
        <v>15</v>
      </c>
      <c r="HE71" s="17">
        <f>IF(Distances[[#This Row],[Colonne194]]=$G71,HD71,Distances[[#This Row],[Colonne194]]+1)</f>
        <v>15</v>
      </c>
      <c r="HF71" s="17">
        <f>IF(Distances[[#This Row],[Colonne195]]=$G71,HE71,Distances[[#This Row],[Colonne195]]+1)</f>
        <v>15</v>
      </c>
      <c r="HG71" s="17">
        <f>IF(Distances[[#This Row],[Colonne196]]=$G71,HF71,Distances[[#This Row],[Colonne196]]+1)</f>
        <v>15</v>
      </c>
      <c r="HH71" s="17">
        <f>IF(Distances[[#This Row],[Colonne197]]=$G71,HG71,Distances[[#This Row],[Colonne197]]+1)</f>
        <v>15</v>
      </c>
      <c r="HI71" s="17">
        <f>IF(Distances[[#This Row],[Colonne198]]=$G71,HH71,Distances[[#This Row],[Colonne198]]+1)</f>
        <v>15</v>
      </c>
      <c r="HJ71" s="17">
        <f>IF(Distances[[#This Row],[Colonne199]]=$G71,HI71,Distances[[#This Row],[Colonne199]]+1)</f>
        <v>15</v>
      </c>
      <c r="HK71" s="17">
        <f>IF(Distances[[#This Row],[Colonne200]]=$G71,HJ71,Distances[[#This Row],[Colonne200]]+1)</f>
        <v>15</v>
      </c>
      <c r="HL71" s="17">
        <f>IF(Distances[[#This Row],[Colonne201]]=$G71,HK71,Distances[[#This Row],[Colonne201]]+1)</f>
        <v>15</v>
      </c>
      <c r="HM71" s="17">
        <f>IF(Distances[[#This Row],[Colonne202]]=$G71,HL71,Distances[[#This Row],[Colonne202]]+1)</f>
        <v>15</v>
      </c>
      <c r="HN71" s="17">
        <f>IF(Distances[[#This Row],[Colonne203]]=$G71,HM71,Distances[[#This Row],[Colonne203]]+1)</f>
        <v>15</v>
      </c>
      <c r="HO71" s="17">
        <f>IF(Distances[[#This Row],[Colonne204]]=$G71,HN71,Distances[[#This Row],[Colonne204]]+1)</f>
        <v>15</v>
      </c>
      <c r="HP71" s="17">
        <f>IF(Distances[[#This Row],[Colonne205]]=$G71,HO71,Distances[[#This Row],[Colonne205]]+1)</f>
        <v>15</v>
      </c>
      <c r="HQ71" s="17">
        <f>IF(Distances[[#This Row],[Colonne206]]=$G71,HP71,Distances[[#This Row],[Colonne206]]+1)</f>
        <v>15</v>
      </c>
      <c r="HR71" s="17">
        <f>IF(Distances[[#This Row],[Colonne207]]=$G71,HQ71,Distances[[#This Row],[Colonne207]]+1)</f>
        <v>15</v>
      </c>
      <c r="HS71" s="17">
        <f>IF(Distances[[#This Row],[Colonne208]]=$G71,HR71,Distances[[#This Row],[Colonne208]]+1)</f>
        <v>15</v>
      </c>
      <c r="HT71" s="17">
        <f>IF(Distances[[#This Row],[Colonne209]]=$G71,HS71,Distances[[#This Row],[Colonne209]]+1)</f>
        <v>15</v>
      </c>
      <c r="HU71" s="17">
        <f>IF(Distances[[#This Row],[Colonne210]]=$G71,HT71,Distances[[#This Row],[Colonne210]]+1)</f>
        <v>15</v>
      </c>
      <c r="HV71" s="17">
        <f>IF(Distances[[#This Row],[Colonne211]]=$G71,HU71,Distances[[#This Row],[Colonne211]]+1)</f>
        <v>15</v>
      </c>
      <c r="HW71" s="17">
        <f>IF(Distances[[#This Row],[Colonne212]]=$G71,HV71,Distances[[#This Row],[Colonne212]]+1)</f>
        <v>15</v>
      </c>
      <c r="HX71" s="17">
        <f>IF(Distances[[#This Row],[Colonne213]]=$G71,HW71,Distances[[#This Row],[Colonne213]]+1)</f>
        <v>15</v>
      </c>
      <c r="HY71" s="17">
        <f>IF(Distances[[#This Row],[Colonne214]]=$G71,HX71,Distances[[#This Row],[Colonne214]]+1)</f>
        <v>15</v>
      </c>
      <c r="HZ71" s="17">
        <f>IF(Distances[[#This Row],[Colonne215]]=$G71,HY71,Distances[[#This Row],[Colonne215]]+1)</f>
        <v>15</v>
      </c>
      <c r="IA71" s="17">
        <f>IF(Distances[[#This Row],[Colonne216]]=$G71,HZ71,Distances[[#This Row],[Colonne216]]+1)</f>
        <v>15</v>
      </c>
      <c r="IB71" s="17">
        <f>IF(Distances[[#This Row],[Colonne217]]=$G71,IA71,Distances[[#This Row],[Colonne217]]+1)</f>
        <v>15</v>
      </c>
      <c r="IC71" s="17">
        <f>IF(Distances[[#This Row],[Colonne218]]=$G71,IB71,Distances[[#This Row],[Colonne218]]+1)</f>
        <v>15</v>
      </c>
      <c r="ID71" s="17">
        <f>IF(Distances[[#This Row],[Colonne219]]=$G71,IC71,Distances[[#This Row],[Colonne219]]+1)</f>
        <v>15</v>
      </c>
      <c r="IE71" s="17">
        <f>IF(Distances[[#This Row],[Colonne220]]=$G71,ID71,Distances[[#This Row],[Colonne220]]+1)</f>
        <v>15</v>
      </c>
      <c r="IF71" s="17">
        <f>IF(Distances[[#This Row],[Colonne221]]=$G71,IE71,Distances[[#This Row],[Colonne221]]+1)</f>
        <v>15</v>
      </c>
      <c r="IG71" s="17">
        <f>IF(Distances[[#This Row],[Colonne222]]=$G71,IF71,Distances[[#This Row],[Colonne222]]+1)</f>
        <v>15</v>
      </c>
      <c r="IH71" s="17">
        <f>IF(Distances[[#This Row],[Colonne223]]=$G71,IG71,Distances[[#This Row],[Colonne223]]+1)</f>
        <v>15</v>
      </c>
      <c r="II71" s="17">
        <f>IF(Distances[[#This Row],[Colonne224]]=$G71,IH71,Distances[[#This Row],[Colonne224]]+1)</f>
        <v>15</v>
      </c>
      <c r="IJ71" s="17">
        <f>IF(Distances[[#This Row],[Colonne225]]=$G71,II71,Distances[[#This Row],[Colonne225]]+1)</f>
        <v>15</v>
      </c>
      <c r="IK71" s="17">
        <f>IF(Distances[[#This Row],[Colonne226]]=$G71,IJ71,Distances[[#This Row],[Colonne226]]+1)</f>
        <v>15</v>
      </c>
      <c r="IL71" s="17">
        <f>IF(Distances[[#This Row],[Colonne227]]=$G71,IK71,Distances[[#This Row],[Colonne227]]+1)</f>
        <v>15</v>
      </c>
      <c r="IM71" s="17">
        <f>IF(Distances[[#This Row],[Colonne228]]=$G71,IL71,Distances[[#This Row],[Colonne228]]+1)</f>
        <v>15</v>
      </c>
      <c r="IN71" s="17">
        <f>IF(Distances[[#This Row],[Colonne229]]=$G71,IM71,Distances[[#This Row],[Colonne229]]+1)</f>
        <v>15</v>
      </c>
      <c r="IO71" s="17">
        <f>IF(Distances[[#This Row],[Colonne230]]=$G71,IN71,Distances[[#This Row],[Colonne230]]+1)</f>
        <v>15</v>
      </c>
      <c r="IP71" s="17">
        <f>IF(Distances[[#This Row],[Colonne231]]=$G71,IO71,Distances[[#This Row],[Colonne231]]+1)</f>
        <v>15</v>
      </c>
      <c r="IQ71" s="17">
        <f>IF(Distances[[#This Row],[Colonne232]]=$G71,IP71,Distances[[#This Row],[Colonne232]]+1)</f>
        <v>15</v>
      </c>
      <c r="IR71" s="17">
        <f>IF(Distances[[#This Row],[Colonne233]]=$G71,IQ71,Distances[[#This Row],[Colonne233]]+1)</f>
        <v>15</v>
      </c>
      <c r="IS71" s="17">
        <f>IF(Distances[[#This Row],[Colonne234]]=$G71,IR71,Distances[[#This Row],[Colonne234]]+1)</f>
        <v>15</v>
      </c>
      <c r="IT71" s="17">
        <f>IF(Distances[[#This Row],[Colonne235]]=$G71,IS71,Distances[[#This Row],[Colonne235]]+1)</f>
        <v>15</v>
      </c>
      <c r="IU71" s="17">
        <f>IF(Distances[[#This Row],[Colonne236]]=$G71,IT71,Distances[[#This Row],[Colonne236]]+1)</f>
        <v>15</v>
      </c>
      <c r="IV71" s="17">
        <f>IF(Distances[[#This Row],[Colonne237]]=$G71,IU71,Distances[[#This Row],[Colonne237]]+1)</f>
        <v>15</v>
      </c>
      <c r="IW71" s="17">
        <f>IF(Distances[[#This Row],[Colonne238]]=$G71,IV71,Distances[[#This Row],[Colonne238]]+1)</f>
        <v>15</v>
      </c>
      <c r="IX71" s="17">
        <f>IF(Distances[[#This Row],[Colonne239]]=$G71,IW71,Distances[[#This Row],[Colonne239]]+1)</f>
        <v>15</v>
      </c>
      <c r="IY71" s="17">
        <f>IF(Distances[[#This Row],[Colonne240]]=$G71,IX71,Distances[[#This Row],[Colonne240]]+1)</f>
        <v>15</v>
      </c>
      <c r="IZ71" s="17">
        <f>IF(Distances[[#This Row],[Colonne241]]=$G71,IY71,Distances[[#This Row],[Colonne241]]+1)</f>
        <v>15</v>
      </c>
      <c r="JA71" s="17">
        <f>IF(Distances[[#This Row],[Colonne242]]=$G71,IZ71,Distances[[#This Row],[Colonne242]]+1)</f>
        <v>15</v>
      </c>
      <c r="JB71" s="17">
        <f>IF(Distances[[#This Row],[Colonne243]]=$G71,JA71,Distances[[#This Row],[Colonne243]]+1)</f>
        <v>15</v>
      </c>
      <c r="JC71" s="17">
        <f>IF(Distances[[#This Row],[Colonne244]]=$G71,JB71,Distances[[#This Row],[Colonne244]]+1)</f>
        <v>15</v>
      </c>
      <c r="JD71" s="17">
        <f>IF(Distances[[#This Row],[Colonne245]]=$G71,JC71,Distances[[#This Row],[Colonne245]]+1)</f>
        <v>15</v>
      </c>
      <c r="JE71" s="17">
        <f>IF(Distances[[#This Row],[Colonne246]]=$G71,JD71,Distances[[#This Row],[Colonne246]]+1)</f>
        <v>15</v>
      </c>
      <c r="JF71" s="17">
        <f>IF(Distances[[#This Row],[Colonne247]]=$G71,JE71,Distances[[#This Row],[Colonne247]]+1)</f>
        <v>15</v>
      </c>
      <c r="JG71" s="17">
        <f>IF(Distances[[#This Row],[Colonne248]]=$G71,JF71,Distances[[#This Row],[Colonne248]]+1)</f>
        <v>15</v>
      </c>
      <c r="JH71" s="17">
        <f>IF(Distances[[#This Row],[Colonne249]]=$G71,JG71,Distances[[#This Row],[Colonne249]]+1)</f>
        <v>15</v>
      </c>
      <c r="JI71" s="17">
        <f>IF(Distances[[#This Row],[Colonne250]]=$G71,JH71,Distances[[#This Row],[Colonne250]]+1)</f>
        <v>15</v>
      </c>
      <c r="JJ71" s="17">
        <f>IF(Distances[[#This Row],[Colonne251]]=$G71,JI71,Distances[[#This Row],[Colonne251]]+1)</f>
        <v>15</v>
      </c>
      <c r="JK71" s="17">
        <f>IF(Distances[[#This Row],[Colonne252]]=$G71,JJ71,Distances[[#This Row],[Colonne252]]+1)</f>
        <v>15</v>
      </c>
      <c r="JL71" s="17">
        <f>IF(Distances[[#This Row],[Colonne253]]=$G71,JK71,Distances[[#This Row],[Colonne253]]+1)</f>
        <v>15</v>
      </c>
      <c r="JM71" s="17">
        <f>IF(Distances[[#This Row],[Colonne254]]=$G71,JL71,Distances[[#This Row],[Colonne254]]+1)</f>
        <v>15</v>
      </c>
      <c r="JN71" s="17">
        <f>IF(Distances[[#This Row],[Colonne255]]=$G71,JM71,Distances[[#This Row],[Colonne255]]+1)</f>
        <v>15</v>
      </c>
      <c r="JO71" s="17">
        <f>IF(Distances[[#This Row],[Colonne256]]=$G71,JN71,Distances[[#This Row],[Colonne256]]+1)</f>
        <v>15</v>
      </c>
      <c r="JP71" s="17">
        <f>IF(Distances[[#This Row],[Colonne257]]=$G71,JO71,Distances[[#This Row],[Colonne257]]+1)</f>
        <v>15</v>
      </c>
      <c r="JQ71" s="17">
        <f>IF(Distances[[#This Row],[Colonne258]]=$G71,JP71,Distances[[#This Row],[Colonne258]]+1)</f>
        <v>15</v>
      </c>
      <c r="JR71" s="17">
        <f>IF(Distances[[#This Row],[Colonne259]]=$G71,JQ71,Distances[[#This Row],[Colonne259]]+1)</f>
        <v>15</v>
      </c>
      <c r="JS71" s="17">
        <f>IF(Distances[[#This Row],[Colonne260]]=$G71,JR71,Distances[[#This Row],[Colonne260]]+1)</f>
        <v>15</v>
      </c>
      <c r="JT71" s="17">
        <f>IF(Distances[[#This Row],[Colonne261]]=$G71,JS71,Distances[[#This Row],[Colonne261]]+1)</f>
        <v>15</v>
      </c>
      <c r="JU71" s="17">
        <f>IF(Distances[[#This Row],[Colonne262]]=$G71,JT71,Distances[[#This Row],[Colonne262]]+1)</f>
        <v>15</v>
      </c>
      <c r="JV71" s="17">
        <f>IF(Distances[[#This Row],[Colonne263]]=$G71,JU71,Distances[[#This Row],[Colonne263]]+1)</f>
        <v>15</v>
      </c>
      <c r="JW71" s="17">
        <f>IF(Distances[[#This Row],[Colonne264]]=$G71,JV71,Distances[[#This Row],[Colonne264]]+1)</f>
        <v>15</v>
      </c>
      <c r="JX71" s="17">
        <f>IF(Distances[[#This Row],[Colonne265]]=$G71,JW71,Distances[[#This Row],[Colonne265]]+1)</f>
        <v>15</v>
      </c>
      <c r="JY71" s="17">
        <f>IF(Distances[[#This Row],[Colonne266]]=$G71,JX71,Distances[[#This Row],[Colonne266]]+1)</f>
        <v>15</v>
      </c>
      <c r="JZ71" s="17">
        <f>IF(Distances[[#This Row],[Colonne267]]=$G71,JY71,Distances[[#This Row],[Colonne267]]+1)</f>
        <v>15</v>
      </c>
      <c r="KA71" s="17">
        <f>IF(Distances[[#This Row],[Colonne268]]=$G71,JZ71,Distances[[#This Row],[Colonne268]]+1)</f>
        <v>15</v>
      </c>
      <c r="KB71" s="17">
        <f>IF(Distances[[#This Row],[Colonne269]]=$G71,KA71,Distances[[#This Row],[Colonne269]]+1)</f>
        <v>15</v>
      </c>
      <c r="KC71" s="17">
        <f>IF(Distances[[#This Row],[Colonne270]]=$G71,KB71,Distances[[#This Row],[Colonne270]]+1)</f>
        <v>15</v>
      </c>
      <c r="KD71" s="17">
        <f>IF(Distances[[#This Row],[Colonne271]]=$G71,KC71,Distances[[#This Row],[Colonne271]]+1)</f>
        <v>15</v>
      </c>
      <c r="KE71" s="17">
        <f>IF(Distances[[#This Row],[Colonne272]]=$G71,KD71,Distances[[#This Row],[Colonne272]]+1)</f>
        <v>15</v>
      </c>
      <c r="KF71" s="17">
        <f>IF(Distances[[#This Row],[Colonne273]]=$G71,KE71,Distances[[#This Row],[Colonne273]]+1)</f>
        <v>15</v>
      </c>
      <c r="KG71" s="17">
        <f>IF(Distances[[#This Row],[Colonne274]]=$G71,KF71,Distances[[#This Row],[Colonne274]]+1)</f>
        <v>15</v>
      </c>
      <c r="KH71" s="17">
        <f>IF(Distances[[#This Row],[Colonne275]]=$G71,KG71,Distances[[#This Row],[Colonne275]]+1)</f>
        <v>15</v>
      </c>
      <c r="KI71" s="17">
        <f>IF(Distances[[#This Row],[Colonne276]]=$G71,KH71,Distances[[#This Row],[Colonne276]]+1)</f>
        <v>15</v>
      </c>
      <c r="KJ71" s="17">
        <f>IF(Distances[[#This Row],[Colonne277]]=$G71,KI71,Distances[[#This Row],[Colonne277]]+1)</f>
        <v>15</v>
      </c>
      <c r="KK71" s="17">
        <f>IF(Distances[[#This Row],[Colonne278]]=$G71,KJ71,Distances[[#This Row],[Colonne278]]+1)</f>
        <v>15</v>
      </c>
      <c r="KL71" s="17">
        <f>IF(Distances[[#This Row],[Colonne279]]=$G71,KK71,Distances[[#This Row],[Colonne279]]+1)</f>
        <v>15</v>
      </c>
      <c r="KM71" s="17">
        <f>IF(Distances[[#This Row],[Colonne280]]=$G71,KL71,Distances[[#This Row],[Colonne280]]+1)</f>
        <v>15</v>
      </c>
      <c r="KN71" s="17">
        <f>IF(Distances[[#This Row],[Colonne281]]=$G71,KM71,Distances[[#This Row],[Colonne281]]+1)</f>
        <v>15</v>
      </c>
      <c r="KO71" s="17">
        <f>IF(Distances[[#This Row],[Colonne282]]=$G71,KN71,Distances[[#This Row],[Colonne282]]+1)</f>
        <v>15</v>
      </c>
      <c r="KP71" s="17">
        <f>IF(Distances[[#This Row],[Colonne283]]=$G71,KO71,Distances[[#This Row],[Colonne283]]+1)</f>
        <v>15</v>
      </c>
      <c r="KQ71" s="17">
        <f>IF(Distances[[#This Row],[Colonne284]]=$G71,KP71,Distances[[#This Row],[Colonne284]]+1)</f>
        <v>15</v>
      </c>
      <c r="KR71" s="17">
        <f>IF(Distances[[#This Row],[Colonne285]]=$G71,KQ71,Distances[[#This Row],[Colonne285]]+1)</f>
        <v>15</v>
      </c>
      <c r="KS71" s="17">
        <f>IF(Distances[[#This Row],[Colonne286]]=$G71,KR71,Distances[[#This Row],[Colonne286]]+1)</f>
        <v>15</v>
      </c>
      <c r="KT71" s="17">
        <f>IF(Distances[[#This Row],[Colonne287]]=$G71,KS71,Distances[[#This Row],[Colonne287]]+1)</f>
        <v>15</v>
      </c>
      <c r="KU71" s="17">
        <f>IF(Distances[[#This Row],[Colonne288]]=$G71,KT71,Distances[[#This Row],[Colonne288]]+1)</f>
        <v>15</v>
      </c>
      <c r="KV71" s="17">
        <f>IF(Distances[[#This Row],[Colonne289]]=$G71,KU71,Distances[[#This Row],[Colonne289]]+1)</f>
        <v>15</v>
      </c>
      <c r="KW71" s="17">
        <f>IF(Distances[[#This Row],[Colonne290]]=$G71,KV71,Distances[[#This Row],[Colonne290]]+1)</f>
        <v>15</v>
      </c>
      <c r="KX71" s="17">
        <f>IF(Distances[[#This Row],[Colonne291]]=$G71,KW71,Distances[[#This Row],[Colonne291]]+1)</f>
        <v>15</v>
      </c>
      <c r="KY71" s="17">
        <f>IF(Distances[[#This Row],[Colonne292]]=$G71,KX71,Distances[[#This Row],[Colonne292]]+1)</f>
        <v>15</v>
      </c>
      <c r="KZ71" s="17">
        <f>IF(Distances[[#This Row],[Colonne293]]=$G71,KY71,Distances[[#This Row],[Colonne293]]+1)</f>
        <v>15</v>
      </c>
      <c r="LA71" s="17">
        <f>IF(Distances[[#This Row],[Colonne294]]=$G71,KZ71,Distances[[#This Row],[Colonne294]]+1)</f>
        <v>15</v>
      </c>
      <c r="LB71" s="17">
        <f>IF(Distances[[#This Row],[Colonne295]]=$G71,LA71,Distances[[#This Row],[Colonne295]]+1)</f>
        <v>15</v>
      </c>
      <c r="LC71" s="17">
        <f>IF(Distances[[#This Row],[Colonne296]]=$G71,LB71,Distances[[#This Row],[Colonne296]]+1)</f>
        <v>15</v>
      </c>
      <c r="LD71" s="17">
        <f>IF(Distances[[#This Row],[Colonne297]]=$G71,LC71,Distances[[#This Row],[Colonne297]]+1)</f>
        <v>15</v>
      </c>
      <c r="LE71" s="17">
        <f>IF(Distances[[#This Row],[Colonne298]]=$G71,LD71,Distances[[#This Row],[Colonne298]]+1)</f>
        <v>15</v>
      </c>
      <c r="LF71" s="17">
        <f>IF(Distances[[#This Row],[Colonne299]]=$G71,LE71,Distances[[#This Row],[Colonne299]]+1)</f>
        <v>15</v>
      </c>
      <c r="LG71" s="17">
        <f>IF(Distances[[#This Row],[Colonne300]]=$G71,LF71,Distances[[#This Row],[Colonne300]]+1)</f>
        <v>15</v>
      </c>
      <c r="LH71" s="17">
        <f>IF(Distances[[#This Row],[Colonne301]]=$G71,LG71,Distances[[#This Row],[Colonne301]]+1)</f>
        <v>15</v>
      </c>
      <c r="LI71" s="17">
        <f>IF(Distances[[#This Row],[Colonne302]]=$G71,LH71,Distances[[#This Row],[Colonne302]]+1)</f>
        <v>15</v>
      </c>
      <c r="LJ71" s="17">
        <f>IF(Distances[[#This Row],[Colonne303]]=$G71,LI71,Distances[[#This Row],[Colonne303]]+1)</f>
        <v>15</v>
      </c>
      <c r="LK71" s="51"/>
      <c r="LL71" s="17">
        <f t="shared" ref="LL71:NW71" si="139">IF(LK71=$H71,LK71,LK71+1)</f>
        <v>1</v>
      </c>
      <c r="LM71" s="17">
        <f t="shared" si="139"/>
        <v>2</v>
      </c>
      <c r="LN71" s="17">
        <f t="shared" si="139"/>
        <v>3</v>
      </c>
      <c r="LO71" s="17">
        <f t="shared" si="139"/>
        <v>4</v>
      </c>
      <c r="LP71" s="17">
        <f t="shared" si="139"/>
        <v>5</v>
      </c>
      <c r="LQ71" s="17">
        <f t="shared" si="139"/>
        <v>6</v>
      </c>
      <c r="LR71" s="17">
        <f t="shared" si="139"/>
        <v>7</v>
      </c>
      <c r="LS71" s="17">
        <f t="shared" si="139"/>
        <v>8</v>
      </c>
      <c r="LT71" s="17">
        <f t="shared" si="139"/>
        <v>9</v>
      </c>
      <c r="LU71" s="17">
        <f t="shared" si="139"/>
        <v>10</v>
      </c>
      <c r="LV71" s="17">
        <f t="shared" si="139"/>
        <v>11</v>
      </c>
      <c r="LW71" s="17">
        <f t="shared" si="139"/>
        <v>12</v>
      </c>
      <c r="LX71" s="17">
        <f t="shared" si="139"/>
        <v>13</v>
      </c>
      <c r="LY71" s="17">
        <f t="shared" si="139"/>
        <v>14</v>
      </c>
      <c r="LZ71" s="17">
        <f t="shared" si="139"/>
        <v>15</v>
      </c>
      <c r="MA71" s="17">
        <f t="shared" si="139"/>
        <v>16</v>
      </c>
      <c r="MB71" s="17">
        <f t="shared" si="139"/>
        <v>17</v>
      </c>
      <c r="MC71" s="17">
        <f t="shared" si="139"/>
        <v>18</v>
      </c>
      <c r="MD71" s="17">
        <f t="shared" si="139"/>
        <v>19</v>
      </c>
      <c r="ME71" s="17">
        <f t="shared" si="139"/>
        <v>20</v>
      </c>
      <c r="MF71" s="17">
        <f t="shared" si="139"/>
        <v>21</v>
      </c>
      <c r="MG71" s="17">
        <f t="shared" si="139"/>
        <v>22</v>
      </c>
      <c r="MH71" s="17">
        <f t="shared" si="139"/>
        <v>23</v>
      </c>
      <c r="MI71" s="17">
        <f t="shared" si="139"/>
        <v>24</v>
      </c>
      <c r="MJ71" s="17">
        <f t="shared" si="139"/>
        <v>25</v>
      </c>
      <c r="MK71" s="17">
        <f t="shared" si="139"/>
        <v>26</v>
      </c>
      <c r="ML71" s="17">
        <f t="shared" si="139"/>
        <v>27</v>
      </c>
      <c r="MM71" s="17">
        <f t="shared" si="139"/>
        <v>28</v>
      </c>
      <c r="MN71" s="17">
        <f t="shared" si="139"/>
        <v>29</v>
      </c>
      <c r="MO71" s="17">
        <f t="shared" si="139"/>
        <v>30</v>
      </c>
      <c r="MP71" s="17">
        <f t="shared" si="139"/>
        <v>31</v>
      </c>
      <c r="MQ71" s="17">
        <f t="shared" si="139"/>
        <v>32</v>
      </c>
      <c r="MR71" s="17">
        <f t="shared" si="139"/>
        <v>33</v>
      </c>
      <c r="MS71" s="17">
        <f t="shared" si="139"/>
        <v>34</v>
      </c>
      <c r="MT71" s="17">
        <f t="shared" si="139"/>
        <v>35</v>
      </c>
      <c r="MU71" s="17">
        <f t="shared" si="139"/>
        <v>36</v>
      </c>
      <c r="MV71" s="17">
        <f t="shared" si="139"/>
        <v>37</v>
      </c>
      <c r="MW71" s="17">
        <f t="shared" si="139"/>
        <v>38</v>
      </c>
      <c r="MX71" s="17">
        <f t="shared" si="139"/>
        <v>39</v>
      </c>
      <c r="MY71" s="17">
        <f t="shared" si="139"/>
        <v>40</v>
      </c>
      <c r="MZ71" s="17">
        <f t="shared" si="139"/>
        <v>40</v>
      </c>
      <c r="NA71" s="17">
        <f t="shared" si="139"/>
        <v>40</v>
      </c>
      <c r="NB71" s="17">
        <f t="shared" si="139"/>
        <v>40</v>
      </c>
      <c r="NC71" s="17">
        <f t="shared" si="139"/>
        <v>40</v>
      </c>
      <c r="ND71" s="17">
        <f t="shared" si="139"/>
        <v>40</v>
      </c>
      <c r="NE71" s="17">
        <f t="shared" si="139"/>
        <v>40</v>
      </c>
      <c r="NF71" s="17">
        <f t="shared" si="139"/>
        <v>40</v>
      </c>
      <c r="NG71" s="17">
        <f t="shared" si="139"/>
        <v>40</v>
      </c>
      <c r="NH71" s="17">
        <f t="shared" si="139"/>
        <v>40</v>
      </c>
      <c r="NI71" s="17">
        <f t="shared" si="139"/>
        <v>40</v>
      </c>
      <c r="NJ71" s="17">
        <f t="shared" si="139"/>
        <v>40</v>
      </c>
      <c r="NK71" s="17">
        <f t="shared" si="139"/>
        <v>40</v>
      </c>
      <c r="NL71" s="17">
        <f t="shared" si="139"/>
        <v>40</v>
      </c>
      <c r="NM71" s="17">
        <f t="shared" si="139"/>
        <v>40</v>
      </c>
      <c r="NN71" s="17">
        <f t="shared" si="139"/>
        <v>40</v>
      </c>
      <c r="NO71" s="17">
        <f t="shared" si="139"/>
        <v>40</v>
      </c>
      <c r="NP71" s="17">
        <f t="shared" si="139"/>
        <v>40</v>
      </c>
      <c r="NQ71" s="17">
        <f t="shared" si="139"/>
        <v>40</v>
      </c>
      <c r="NR71" s="17">
        <f t="shared" si="139"/>
        <v>40</v>
      </c>
      <c r="NS71" s="17">
        <f t="shared" si="139"/>
        <v>40</v>
      </c>
      <c r="NT71" s="17">
        <f t="shared" si="139"/>
        <v>40</v>
      </c>
      <c r="NU71" s="17">
        <f t="shared" si="139"/>
        <v>40</v>
      </c>
      <c r="NV71" s="17">
        <f t="shared" si="139"/>
        <v>40</v>
      </c>
      <c r="NW71" s="17">
        <f t="shared" si="139"/>
        <v>40</v>
      </c>
      <c r="NX71" s="17">
        <f t="shared" ref="NX71:PG71" si="140">IF(NW71=$H71,NW71,NW71+1)</f>
        <v>40</v>
      </c>
      <c r="NY71" s="17">
        <f t="shared" si="140"/>
        <v>40</v>
      </c>
      <c r="NZ71" s="17">
        <f t="shared" si="140"/>
        <v>40</v>
      </c>
      <c r="OA71" s="17">
        <f t="shared" si="140"/>
        <v>40</v>
      </c>
      <c r="OB71" s="17">
        <f t="shared" si="140"/>
        <v>40</v>
      </c>
      <c r="OC71" s="17">
        <f t="shared" si="140"/>
        <v>40</v>
      </c>
      <c r="OD71" s="17">
        <f t="shared" si="140"/>
        <v>40</v>
      </c>
      <c r="OE71" s="17">
        <f t="shared" si="140"/>
        <v>40</v>
      </c>
      <c r="OF71" s="17">
        <f t="shared" si="140"/>
        <v>40</v>
      </c>
      <c r="OG71" s="17">
        <f t="shared" si="140"/>
        <v>40</v>
      </c>
      <c r="OH71" s="17">
        <f t="shared" si="140"/>
        <v>40</v>
      </c>
      <c r="OI71" s="17">
        <f t="shared" si="140"/>
        <v>40</v>
      </c>
      <c r="OJ71" s="17">
        <f t="shared" si="140"/>
        <v>40</v>
      </c>
      <c r="OK71" s="17">
        <f t="shared" si="140"/>
        <v>40</v>
      </c>
      <c r="OL71" s="17">
        <f t="shared" si="140"/>
        <v>40</v>
      </c>
      <c r="OM71" s="17">
        <f t="shared" si="140"/>
        <v>40</v>
      </c>
      <c r="ON71" s="17">
        <f t="shared" si="140"/>
        <v>40</v>
      </c>
      <c r="OO71" s="17">
        <f t="shared" si="140"/>
        <v>40</v>
      </c>
      <c r="OP71" s="17">
        <f t="shared" si="140"/>
        <v>40</v>
      </c>
      <c r="OQ71" s="17">
        <f t="shared" si="140"/>
        <v>40</v>
      </c>
      <c r="OR71" s="17">
        <f t="shared" si="140"/>
        <v>40</v>
      </c>
      <c r="OS71" s="17">
        <f t="shared" si="140"/>
        <v>40</v>
      </c>
      <c r="OT71" s="17">
        <f t="shared" si="140"/>
        <v>40</v>
      </c>
      <c r="OU71" s="17">
        <f t="shared" si="140"/>
        <v>40</v>
      </c>
      <c r="OV71" s="17">
        <f t="shared" si="140"/>
        <v>40</v>
      </c>
      <c r="OW71" s="17">
        <f t="shared" si="140"/>
        <v>40</v>
      </c>
      <c r="OX71" s="17">
        <f t="shared" si="140"/>
        <v>40</v>
      </c>
      <c r="OY71" s="17">
        <f t="shared" si="140"/>
        <v>40</v>
      </c>
      <c r="OZ71" s="17">
        <f t="shared" si="140"/>
        <v>40</v>
      </c>
      <c r="PA71" s="17">
        <f t="shared" si="140"/>
        <v>40</v>
      </c>
      <c r="PB71" s="17">
        <f t="shared" si="140"/>
        <v>40</v>
      </c>
      <c r="PC71" s="17">
        <f t="shared" si="140"/>
        <v>40</v>
      </c>
      <c r="PD71" s="17">
        <f t="shared" si="140"/>
        <v>40</v>
      </c>
      <c r="PE71" s="17">
        <f t="shared" si="140"/>
        <v>40</v>
      </c>
      <c r="PF71" s="17">
        <f t="shared" si="140"/>
        <v>40</v>
      </c>
      <c r="PG71" s="17">
        <f t="shared" si="140"/>
        <v>40</v>
      </c>
    </row>
    <row r="72" spans="1:423" x14ac:dyDescent="0.25">
      <c r="A72" s="8" t="s">
        <v>5454</v>
      </c>
      <c r="B72" s="9" t="s">
        <v>8506</v>
      </c>
      <c r="C72" s="9" t="str">
        <f t="shared" si="72"/>
        <v>3Dames LBIF 2</v>
      </c>
      <c r="D72" s="1" t="str">
        <f t="shared" si="73"/>
        <v>3 Bandes Dames LBIF 2</v>
      </c>
      <c r="E72" s="1" t="s">
        <v>8498</v>
      </c>
      <c r="F72" s="9" t="s">
        <v>5508</v>
      </c>
      <c r="G72" s="9">
        <v>10</v>
      </c>
      <c r="H72" s="9">
        <v>30</v>
      </c>
      <c r="I72" s="127">
        <v>2.8</v>
      </c>
      <c r="J72" s="30"/>
      <c r="K72" s="10"/>
      <c r="L72" s="8">
        <v>0</v>
      </c>
      <c r="M72" s="9"/>
      <c r="N72" s="10">
        <v>0.249</v>
      </c>
      <c r="O72" s="269"/>
      <c r="P72" s="331"/>
      <c r="Q72" s="335"/>
      <c r="R72" s="128"/>
      <c r="S72" s="9"/>
      <c r="T72" s="10"/>
      <c r="U72" t="s">
        <v>5523</v>
      </c>
      <c r="V72" s="17">
        <v>0</v>
      </c>
      <c r="W72" s="17">
        <f>IF(Distances[[#This Row],[Colonne4]]=$G72,V72,Distances[[#This Row],[Colonne4]]+1)</f>
        <v>1</v>
      </c>
      <c r="X72" s="17">
        <f>IF(Distances[[#This Row],[Colonne5]]=$G72,W72,Distances[[#This Row],[Colonne5]]+1)</f>
        <v>2</v>
      </c>
      <c r="Y72" s="17">
        <f>IF(Distances[[#This Row],[Colonne6]]=$G72,X72,Distances[[#This Row],[Colonne6]]+1)</f>
        <v>3</v>
      </c>
      <c r="Z72" s="17">
        <f>IF(Distances[[#This Row],[Colonne7]]=$G72,Y72,Distances[[#This Row],[Colonne7]]+1)</f>
        <v>4</v>
      </c>
      <c r="AA72" s="17">
        <f>IF(Distances[[#This Row],[Colonne8]]=$G72,Z72,Distances[[#This Row],[Colonne8]]+1)</f>
        <v>5</v>
      </c>
      <c r="AB72" s="17">
        <f>IF(Distances[[#This Row],[Colonne9]]=$G72,AA72,Distances[[#This Row],[Colonne9]]+1)</f>
        <v>6</v>
      </c>
      <c r="AC72" s="17">
        <f>IF(Distances[[#This Row],[Colonne10]]=$G72,AB72,Distances[[#This Row],[Colonne10]]+1)</f>
        <v>7</v>
      </c>
      <c r="AD72" s="17">
        <f>IF(Distances[[#This Row],[Colonne11]]=$G72,AC72,Distances[[#This Row],[Colonne11]]+1)</f>
        <v>8</v>
      </c>
      <c r="AE72" s="17">
        <f>IF(Distances[[#This Row],[Colonne12]]=$G72,AD72,Distances[[#This Row],[Colonne12]]+1)</f>
        <v>9</v>
      </c>
      <c r="AF72" s="17">
        <f>IF(Distances[[#This Row],[Colonne13]]=$G72,AE72,Distances[[#This Row],[Colonne13]]+1)</f>
        <v>10</v>
      </c>
      <c r="AG72" s="17">
        <f>IF(Distances[[#This Row],[Colonne14]]=$G72,AF72,Distances[[#This Row],[Colonne14]]+1)</f>
        <v>10</v>
      </c>
      <c r="AH72" s="17">
        <f>IF(Distances[[#This Row],[Colonne15]]=$G72,AG72,Distances[[#This Row],[Colonne15]]+1)</f>
        <v>10</v>
      </c>
      <c r="AI72" s="17">
        <f>IF(Distances[[#This Row],[Colonne16]]=$G72,AH72,Distances[[#This Row],[Colonne16]]+1)</f>
        <v>10</v>
      </c>
      <c r="AJ72" s="17">
        <f>IF(Distances[[#This Row],[Colonne17]]=$G72,AI72,Distances[[#This Row],[Colonne17]]+1)</f>
        <v>10</v>
      </c>
      <c r="AK72" s="17">
        <f>IF(Distances[[#This Row],[Colonne18]]=$G72,AJ72,Distances[[#This Row],[Colonne18]]+1)</f>
        <v>10</v>
      </c>
      <c r="AL72" s="17">
        <f>IF(Distances[[#This Row],[Colonne19]]=$G72,AK72,Distances[[#This Row],[Colonne19]]+1)</f>
        <v>10</v>
      </c>
      <c r="AM72" s="17">
        <f>IF(Distances[[#This Row],[Colonne20]]=$G72,AL72,Distances[[#This Row],[Colonne20]]+1)</f>
        <v>10</v>
      </c>
      <c r="AN72" s="17">
        <f>IF(Distances[[#This Row],[Colonne21]]=$G72,AM72,Distances[[#This Row],[Colonne21]]+1)</f>
        <v>10</v>
      </c>
      <c r="AO72" s="17">
        <f>IF(Distances[[#This Row],[Colonne22]]=$G72,AN72,Distances[[#This Row],[Colonne22]]+1)</f>
        <v>10</v>
      </c>
      <c r="AP72" s="17">
        <f>IF(Distances[[#This Row],[Colonne23]]=$G72,AO72,Distances[[#This Row],[Colonne23]]+1)</f>
        <v>10</v>
      </c>
      <c r="AQ72" s="17">
        <f>IF(Distances[[#This Row],[Colonne24]]=$G72,AP72,Distances[[#This Row],[Colonne24]]+1)</f>
        <v>10</v>
      </c>
      <c r="AR72" s="17">
        <f>IF(Distances[[#This Row],[Colonne25]]=$G72,AQ72,Distances[[#This Row],[Colonne25]]+1)</f>
        <v>10</v>
      </c>
      <c r="AS72" s="17">
        <f>IF(Distances[[#This Row],[Colonne26]]=$G72,AR72,Distances[[#This Row],[Colonne26]]+1)</f>
        <v>10</v>
      </c>
      <c r="AT72" s="17">
        <f>IF(Distances[[#This Row],[Colonne27]]=$G72,AS72,Distances[[#This Row],[Colonne27]]+1)</f>
        <v>10</v>
      </c>
      <c r="AU72" s="17">
        <f>IF(Distances[[#This Row],[Colonne28]]=$G72,AT72,Distances[[#This Row],[Colonne28]]+1)</f>
        <v>10</v>
      </c>
      <c r="AV72" s="17">
        <f>IF(Distances[[#This Row],[Colonne29]]=$G72,AU72,Distances[[#This Row],[Colonne29]]+1)</f>
        <v>10</v>
      </c>
      <c r="AW72" s="17">
        <f>IF(Distances[[#This Row],[Colonne30]]=$G72,AV72,Distances[[#This Row],[Colonne30]]+1)</f>
        <v>10</v>
      </c>
      <c r="AX72" s="17">
        <f>IF(Distances[[#This Row],[Colonne31]]=$G72,AW72,Distances[[#This Row],[Colonne31]]+1)</f>
        <v>10</v>
      </c>
      <c r="AY72" s="17">
        <f>IF(Distances[[#This Row],[Colonne32]]=$G72,AX72,Distances[[#This Row],[Colonne32]]+1)</f>
        <v>10</v>
      </c>
      <c r="AZ72" s="17">
        <f>IF(Distances[[#This Row],[Colonne33]]=$G72,AY72,Distances[[#This Row],[Colonne33]]+1)</f>
        <v>10</v>
      </c>
      <c r="BA72" s="17">
        <f>IF(Distances[[#This Row],[Colonne34]]=$G72,AZ72,Distances[[#This Row],[Colonne34]]+1)</f>
        <v>10</v>
      </c>
      <c r="BB72" s="17">
        <f>IF(Distances[[#This Row],[Colonne35]]=$G72,BA72,Distances[[#This Row],[Colonne35]]+1)</f>
        <v>10</v>
      </c>
      <c r="BC72" s="17">
        <f>IF(Distances[[#This Row],[Colonne36]]=$G72,BB72,Distances[[#This Row],[Colonne36]]+1)</f>
        <v>10</v>
      </c>
      <c r="BD72" s="17">
        <f>IF(Distances[[#This Row],[Colonne37]]=$G72,BC72,Distances[[#This Row],[Colonne37]]+1)</f>
        <v>10</v>
      </c>
      <c r="BE72" s="17">
        <f>IF(Distances[[#This Row],[Colonne38]]=$G72,BD72,Distances[[#This Row],[Colonne38]]+1)</f>
        <v>10</v>
      </c>
      <c r="BF72" s="17">
        <f>IF(Distances[[#This Row],[Colonne39]]=$G72,BE72,Distances[[#This Row],[Colonne39]]+1)</f>
        <v>10</v>
      </c>
      <c r="BG72" s="17">
        <f>IF(Distances[[#This Row],[Colonne40]]=$G72,BF72,Distances[[#This Row],[Colonne40]]+1)</f>
        <v>10</v>
      </c>
      <c r="BH72" s="17">
        <f>IF(Distances[[#This Row],[Colonne41]]=$G72,BG72,Distances[[#This Row],[Colonne41]]+1)</f>
        <v>10</v>
      </c>
      <c r="BI72" s="17">
        <f>IF(Distances[[#This Row],[Colonne42]]=$G72,BH72,Distances[[#This Row],[Colonne42]]+1)</f>
        <v>10</v>
      </c>
      <c r="BJ72" s="17">
        <f>IF(Distances[[#This Row],[Colonne43]]=$G72,BI72,Distances[[#This Row],[Colonne43]]+1)</f>
        <v>10</v>
      </c>
      <c r="BK72" s="17">
        <f>IF(Distances[[#This Row],[Colonne44]]=$G72,BJ72,Distances[[#This Row],[Colonne44]]+1)</f>
        <v>10</v>
      </c>
      <c r="BL72" s="17">
        <f>IF(Distances[[#This Row],[Colonne45]]=$G72,BK72,Distances[[#This Row],[Colonne45]]+1)</f>
        <v>10</v>
      </c>
      <c r="BM72" s="17">
        <f>IF(Distances[[#This Row],[Colonne46]]=$G72,BL72,Distances[[#This Row],[Colonne46]]+1)</f>
        <v>10</v>
      </c>
      <c r="BN72" s="17">
        <f>IF(Distances[[#This Row],[Colonne47]]=$G72,BM72,Distances[[#This Row],[Colonne47]]+1)</f>
        <v>10</v>
      </c>
      <c r="BO72" s="17">
        <f>IF(Distances[[#This Row],[Colonne48]]=$G72,BN72,Distances[[#This Row],[Colonne48]]+1)</f>
        <v>10</v>
      </c>
      <c r="BP72" s="17">
        <f>IF(Distances[[#This Row],[Colonne49]]=$G72,BO72,Distances[[#This Row],[Colonne49]]+1)</f>
        <v>10</v>
      </c>
      <c r="BQ72" s="17">
        <f>IF(Distances[[#This Row],[Colonne50]]=$G72,BP72,Distances[[#This Row],[Colonne50]]+1)</f>
        <v>10</v>
      </c>
      <c r="BR72" s="17">
        <f>IF(Distances[[#This Row],[Colonne51]]=$G72,BQ72,Distances[[#This Row],[Colonne51]]+1)</f>
        <v>10</v>
      </c>
      <c r="BS72" s="17">
        <f>IF(Distances[[#This Row],[Colonne52]]=$G72,BR72,Distances[[#This Row],[Colonne52]]+1)</f>
        <v>10</v>
      </c>
      <c r="BT72" s="17">
        <f>IF(Distances[[#This Row],[Colonne53]]=$G72,BS72,Distances[[#This Row],[Colonne53]]+1)</f>
        <v>10</v>
      </c>
      <c r="BU72" s="17">
        <f>IF(Distances[[#This Row],[Colonne54]]=$G72,BT72,Distances[[#This Row],[Colonne54]]+1)</f>
        <v>10</v>
      </c>
      <c r="BV72" s="17">
        <f>IF(Distances[[#This Row],[Colonne55]]=$G72,BU72,Distances[[#This Row],[Colonne55]]+1)</f>
        <v>10</v>
      </c>
      <c r="BW72" s="17">
        <f>IF(Distances[[#This Row],[Colonne56]]=$G72,BV72,Distances[[#This Row],[Colonne56]]+1)</f>
        <v>10</v>
      </c>
      <c r="BX72" s="17">
        <f>IF(Distances[[#This Row],[Colonne57]]=$G72,BW72,Distances[[#This Row],[Colonne57]]+1)</f>
        <v>10</v>
      </c>
      <c r="BY72" s="17">
        <f>IF(Distances[[#This Row],[Colonne58]]=$G72,BX72,Distances[[#This Row],[Colonne58]]+1)</f>
        <v>10</v>
      </c>
      <c r="BZ72" s="17">
        <f>IF(Distances[[#This Row],[Colonne59]]=$G72,BY72,Distances[[#This Row],[Colonne59]]+1)</f>
        <v>10</v>
      </c>
      <c r="CA72" s="17">
        <f>IF(Distances[[#This Row],[Colonne60]]=$G72,BZ72,Distances[[#This Row],[Colonne60]]+1)</f>
        <v>10</v>
      </c>
      <c r="CB72" s="17">
        <f>IF(Distances[[#This Row],[Colonne61]]=$G72,CA72,Distances[[#This Row],[Colonne61]]+1)</f>
        <v>10</v>
      </c>
      <c r="CC72" s="17">
        <f>IF(Distances[[#This Row],[Colonne62]]=$G72,CB72,Distances[[#This Row],[Colonne62]]+1)</f>
        <v>10</v>
      </c>
      <c r="CD72" s="17">
        <f>IF(Distances[[#This Row],[Colonne63]]=$G72,CC72,Distances[[#This Row],[Colonne63]]+1)</f>
        <v>10</v>
      </c>
      <c r="CE72" s="17">
        <f>IF(Distances[[#This Row],[Colonne64]]=$G72,CD72,Distances[[#This Row],[Colonne64]]+1)</f>
        <v>10</v>
      </c>
      <c r="CF72" s="17">
        <f>IF(Distances[[#This Row],[Colonne65]]=$G72,CE72,Distances[[#This Row],[Colonne65]]+1)</f>
        <v>10</v>
      </c>
      <c r="CG72" s="17">
        <f>IF(Distances[[#This Row],[Colonne66]]=$G72,CF72,Distances[[#This Row],[Colonne66]]+1)</f>
        <v>10</v>
      </c>
      <c r="CH72" s="17">
        <f>IF(Distances[[#This Row],[Colonne67]]=$G72,CG72,Distances[[#This Row],[Colonne67]]+1)</f>
        <v>10</v>
      </c>
      <c r="CI72" s="17">
        <f>IF(Distances[[#This Row],[Colonne68]]=$G72,CH72,Distances[[#This Row],[Colonne68]]+1)</f>
        <v>10</v>
      </c>
      <c r="CJ72" s="17">
        <f>IF(Distances[[#This Row],[Colonne69]]=$G72,CI72,Distances[[#This Row],[Colonne69]]+1)</f>
        <v>10</v>
      </c>
      <c r="CK72" s="17">
        <f>IF(Distances[[#This Row],[Colonne70]]=$G72,CJ72,Distances[[#This Row],[Colonne70]]+1)</f>
        <v>10</v>
      </c>
      <c r="CL72" s="17">
        <f>IF(Distances[[#This Row],[Colonne71]]=$G72,CK72,Distances[[#This Row],[Colonne71]]+1)</f>
        <v>10</v>
      </c>
      <c r="CM72" s="17">
        <f>IF(Distances[[#This Row],[Colonne72]]=$G72,CL72,Distances[[#This Row],[Colonne72]]+1)</f>
        <v>10</v>
      </c>
      <c r="CN72" s="17">
        <f>IF(Distances[[#This Row],[Colonne73]]=$G72,CM72,Distances[[#This Row],[Colonne73]]+1)</f>
        <v>10</v>
      </c>
      <c r="CO72" s="17">
        <f>IF(Distances[[#This Row],[Colonne74]]=$G72,CN72,Distances[[#This Row],[Colonne74]]+1)</f>
        <v>10</v>
      </c>
      <c r="CP72" s="17">
        <f>IF(Distances[[#This Row],[Colonne75]]=$G72,CO72,Distances[[#This Row],[Colonne75]]+1)</f>
        <v>10</v>
      </c>
      <c r="CQ72" s="17">
        <f>IF(Distances[[#This Row],[Colonne76]]=$G72,CP72,Distances[[#This Row],[Colonne76]]+1)</f>
        <v>10</v>
      </c>
      <c r="CR72" s="17">
        <f>IF(Distances[[#This Row],[Colonne77]]=$G72,CQ72,Distances[[#This Row],[Colonne77]]+1)</f>
        <v>10</v>
      </c>
      <c r="CS72" s="17">
        <f>IF(Distances[[#This Row],[Colonne78]]=$G72,CR72,Distances[[#This Row],[Colonne78]]+1)</f>
        <v>10</v>
      </c>
      <c r="CT72" s="17">
        <f>IF(Distances[[#This Row],[Colonne79]]=$G72,CS72,Distances[[#This Row],[Colonne79]]+1)</f>
        <v>10</v>
      </c>
      <c r="CU72" s="17">
        <f>IF(Distances[[#This Row],[Colonne80]]=$G72,CT72,Distances[[#This Row],[Colonne80]]+1)</f>
        <v>10</v>
      </c>
      <c r="CV72" s="17">
        <f>IF(Distances[[#This Row],[Colonne81]]=$G72,CU72,Distances[[#This Row],[Colonne81]]+1)</f>
        <v>10</v>
      </c>
      <c r="CW72" s="17">
        <f>IF(Distances[[#This Row],[Colonne82]]=$G72,CV72,Distances[[#This Row],[Colonne82]]+1)</f>
        <v>10</v>
      </c>
      <c r="CX72" s="17">
        <f>IF(Distances[[#This Row],[Colonne83]]=$G72,CW72,Distances[[#This Row],[Colonne83]]+1)</f>
        <v>10</v>
      </c>
      <c r="CY72" s="17">
        <f>IF(Distances[[#This Row],[Colonne84]]=$G72,CX72,Distances[[#This Row],[Colonne84]]+1)</f>
        <v>10</v>
      </c>
      <c r="CZ72" s="17">
        <f>IF(Distances[[#This Row],[Colonne85]]=$G72,CY72,Distances[[#This Row],[Colonne85]]+1)</f>
        <v>10</v>
      </c>
      <c r="DA72" s="17">
        <f>IF(Distances[[#This Row],[Colonne86]]=$G72,CZ72,Distances[[#This Row],[Colonne86]]+1)</f>
        <v>10</v>
      </c>
      <c r="DB72" s="17">
        <f>IF(Distances[[#This Row],[Colonne87]]=$G72,DA72,Distances[[#This Row],[Colonne87]]+1)</f>
        <v>10</v>
      </c>
      <c r="DC72" s="17">
        <f>IF(Distances[[#This Row],[Colonne88]]=$G72,DB72,Distances[[#This Row],[Colonne88]]+1)</f>
        <v>10</v>
      </c>
      <c r="DD72" s="17">
        <f>IF(Distances[[#This Row],[Colonne89]]=$G72,DC72,Distances[[#This Row],[Colonne89]]+1)</f>
        <v>10</v>
      </c>
      <c r="DE72" s="17">
        <f>IF(Distances[[#This Row],[Colonne90]]=$G72,DD72,Distances[[#This Row],[Colonne90]]+1)</f>
        <v>10</v>
      </c>
      <c r="DF72" s="17">
        <f>IF(Distances[[#This Row],[Colonne91]]=$G72,DE72,Distances[[#This Row],[Colonne91]]+1)</f>
        <v>10</v>
      </c>
      <c r="DG72" s="17">
        <f>IF(Distances[[#This Row],[Colonne92]]=$G72,DF72,Distances[[#This Row],[Colonne92]]+1)</f>
        <v>10</v>
      </c>
      <c r="DH72" s="17">
        <f>IF(Distances[[#This Row],[Colonne93]]=$G72,DG72,Distances[[#This Row],[Colonne93]]+1)</f>
        <v>10</v>
      </c>
      <c r="DI72" s="17">
        <f>IF(Distances[[#This Row],[Colonne94]]=$G72,DH72,Distances[[#This Row],[Colonne94]]+1)</f>
        <v>10</v>
      </c>
      <c r="DJ72" s="17">
        <f>IF(Distances[[#This Row],[Colonne95]]=$G72,DI72,Distances[[#This Row],[Colonne95]]+1)</f>
        <v>10</v>
      </c>
      <c r="DK72" s="17">
        <f>IF(Distances[[#This Row],[Colonne96]]=$G72,DJ72,Distances[[#This Row],[Colonne96]]+1)</f>
        <v>10</v>
      </c>
      <c r="DL72" s="17">
        <f>IF(Distances[[#This Row],[Colonne97]]=$G72,DK72,Distances[[#This Row],[Colonne97]]+1)</f>
        <v>10</v>
      </c>
      <c r="DM72" s="17">
        <f>IF(Distances[[#This Row],[Colonne98]]=$G72,DL72,Distances[[#This Row],[Colonne98]]+1)</f>
        <v>10</v>
      </c>
      <c r="DN72" s="17">
        <f>IF(Distances[[#This Row],[Colonne99]]=$G72,DM72,Distances[[#This Row],[Colonne99]]+1)</f>
        <v>10</v>
      </c>
      <c r="DO72" s="17">
        <f>IF(Distances[[#This Row],[Colonne100]]=$G72,DN72,Distances[[#This Row],[Colonne100]]+1)</f>
        <v>10</v>
      </c>
      <c r="DP72" s="17">
        <f>IF(Distances[[#This Row],[Colonne101]]=$G72,DO72,Distances[[#This Row],[Colonne101]]+1)</f>
        <v>10</v>
      </c>
      <c r="DQ72" s="17">
        <f>IF(Distances[[#This Row],[Colonne102]]=$G72,DP72,Distances[[#This Row],[Colonne102]]+1)</f>
        <v>10</v>
      </c>
      <c r="DR72" s="17">
        <f>IF(Distances[[#This Row],[Colonne103]]=$G72,DQ72,Distances[[#This Row],[Colonne103]]+1)</f>
        <v>10</v>
      </c>
      <c r="DS72" s="17">
        <f>IF(Distances[[#This Row],[Colonne104]]=$G72,DR72,Distances[[#This Row],[Colonne104]]+1)</f>
        <v>10</v>
      </c>
      <c r="DT72" s="17">
        <f>IF(Distances[[#This Row],[Colonne105]]=$G72,DS72,Distances[[#This Row],[Colonne105]]+1)</f>
        <v>10</v>
      </c>
      <c r="DU72" s="17">
        <f>IF(Distances[[#This Row],[Colonne106]]=$G72,DT72,Distances[[#This Row],[Colonne106]]+1)</f>
        <v>10</v>
      </c>
      <c r="DV72" s="17">
        <f>IF(Distances[[#This Row],[Colonne107]]=$G72,DU72,Distances[[#This Row],[Colonne107]]+1)</f>
        <v>10</v>
      </c>
      <c r="DW72" s="17">
        <f>IF(Distances[[#This Row],[Colonne108]]=$G72,DV72,Distances[[#This Row],[Colonne108]]+1)</f>
        <v>10</v>
      </c>
      <c r="DX72" s="17">
        <f>IF(Distances[[#This Row],[Colonne109]]=$G72,DW72,Distances[[#This Row],[Colonne109]]+1)</f>
        <v>10</v>
      </c>
      <c r="DY72" s="17">
        <f>IF(Distances[[#This Row],[Colonne110]]=$G72,DX72,Distances[[#This Row],[Colonne110]]+1)</f>
        <v>10</v>
      </c>
      <c r="DZ72" s="17">
        <f>IF(Distances[[#This Row],[Colonne111]]=$G72,DY72,Distances[[#This Row],[Colonne111]]+1)</f>
        <v>10</v>
      </c>
      <c r="EA72" s="17">
        <f>IF(Distances[[#This Row],[Colonne112]]=$G72,DZ72,Distances[[#This Row],[Colonne112]]+1)</f>
        <v>10</v>
      </c>
      <c r="EB72" s="17">
        <f>IF(Distances[[#This Row],[Colonne113]]=$G72,EA72,Distances[[#This Row],[Colonne113]]+1)</f>
        <v>10</v>
      </c>
      <c r="EC72" s="17">
        <f>IF(Distances[[#This Row],[Colonne114]]=$G72,EB72,Distances[[#This Row],[Colonne114]]+1)</f>
        <v>10</v>
      </c>
      <c r="ED72" s="17">
        <f>IF(Distances[[#This Row],[Colonne115]]=$G72,EC72,Distances[[#This Row],[Colonne115]]+1)</f>
        <v>10</v>
      </c>
      <c r="EE72" s="17">
        <f>IF(Distances[[#This Row],[Colonne116]]=$G72,ED72,Distances[[#This Row],[Colonne116]]+1)</f>
        <v>10</v>
      </c>
      <c r="EF72" s="17">
        <f>IF(Distances[[#This Row],[Colonne117]]=$G72,EE72,Distances[[#This Row],[Colonne117]]+1)</f>
        <v>10</v>
      </c>
      <c r="EG72" s="17">
        <f>IF(Distances[[#This Row],[Colonne118]]=$G72,EF72,Distances[[#This Row],[Colonne118]]+1)</f>
        <v>10</v>
      </c>
      <c r="EH72" s="17">
        <f>IF(Distances[[#This Row],[Colonne119]]=$G72,EG72,Distances[[#This Row],[Colonne119]]+1)</f>
        <v>10</v>
      </c>
      <c r="EI72" s="17">
        <f>IF(Distances[[#This Row],[Colonne120]]=$G72,EH72,Distances[[#This Row],[Colonne120]]+1)</f>
        <v>10</v>
      </c>
      <c r="EJ72" s="17">
        <f>IF(Distances[[#This Row],[Colonne121]]=$G72,EI72,Distances[[#This Row],[Colonne121]]+1)</f>
        <v>10</v>
      </c>
      <c r="EK72" s="17">
        <f>IF(Distances[[#This Row],[Colonne122]]=$G72,EJ72,Distances[[#This Row],[Colonne122]]+1)</f>
        <v>10</v>
      </c>
      <c r="EL72" s="17">
        <f>IF(Distances[[#This Row],[Colonne123]]=$G72,EK72,Distances[[#This Row],[Colonne123]]+1)</f>
        <v>10</v>
      </c>
      <c r="EM72" s="17">
        <f>IF(Distances[[#This Row],[Colonne124]]=$G72,EL72,Distances[[#This Row],[Colonne124]]+1)</f>
        <v>10</v>
      </c>
      <c r="EN72" s="17">
        <f>IF(Distances[[#This Row],[Colonne125]]=$G72,EM72,Distances[[#This Row],[Colonne125]]+1)</f>
        <v>10</v>
      </c>
      <c r="EO72" s="17">
        <f>IF(Distances[[#This Row],[Colonne126]]=$G72,EN72,Distances[[#This Row],[Colonne126]]+1)</f>
        <v>10</v>
      </c>
      <c r="EP72" s="17">
        <f>IF(Distances[[#This Row],[Colonne127]]=$G72,EO72,Distances[[#This Row],[Colonne127]]+1)</f>
        <v>10</v>
      </c>
      <c r="EQ72" s="17">
        <f>IF(Distances[[#This Row],[Colonne128]]=$G72,EP72,Distances[[#This Row],[Colonne128]]+1)</f>
        <v>10</v>
      </c>
      <c r="ER72" s="17">
        <f>IF(Distances[[#This Row],[Colonne129]]=$G72,EQ72,Distances[[#This Row],[Colonne129]]+1)</f>
        <v>10</v>
      </c>
      <c r="ES72" s="17">
        <f>IF(Distances[[#This Row],[Colonne130]]=$G72,ER72,Distances[[#This Row],[Colonne130]]+1)</f>
        <v>10</v>
      </c>
      <c r="ET72" s="17">
        <f>IF(Distances[[#This Row],[Colonne131]]=$G72,ES72,Distances[[#This Row],[Colonne131]]+1)</f>
        <v>10</v>
      </c>
      <c r="EU72" s="17">
        <f>IF(Distances[[#This Row],[Colonne132]]=$G72,ET72,Distances[[#This Row],[Colonne132]]+1)</f>
        <v>10</v>
      </c>
      <c r="EV72" s="17">
        <f>IF(Distances[[#This Row],[Colonne133]]=$G72,EU72,Distances[[#This Row],[Colonne133]]+1)</f>
        <v>10</v>
      </c>
      <c r="EW72" s="17">
        <f>IF(Distances[[#This Row],[Colonne134]]=$G72,EV72,Distances[[#This Row],[Colonne134]]+1)</f>
        <v>10</v>
      </c>
      <c r="EX72" s="17">
        <f>IF(Distances[[#This Row],[Colonne135]]=$G72,EW72,Distances[[#This Row],[Colonne135]]+1)</f>
        <v>10</v>
      </c>
      <c r="EY72" s="17">
        <f>IF(Distances[[#This Row],[Colonne136]]=$G72,EX72,Distances[[#This Row],[Colonne136]]+1)</f>
        <v>10</v>
      </c>
      <c r="EZ72" s="17">
        <f>IF(Distances[[#This Row],[Colonne137]]=$G72,EY72,Distances[[#This Row],[Colonne137]]+1)</f>
        <v>10</v>
      </c>
      <c r="FA72" s="17">
        <f>IF(Distances[[#This Row],[Colonne138]]=$G72,EZ72,Distances[[#This Row],[Colonne138]]+1)</f>
        <v>10</v>
      </c>
      <c r="FB72" s="17">
        <f>IF(Distances[[#This Row],[Colonne139]]=$G72,FA72,Distances[[#This Row],[Colonne139]]+1)</f>
        <v>10</v>
      </c>
      <c r="FC72" s="17">
        <f>IF(Distances[[#This Row],[Colonne140]]=$G72,FB72,Distances[[#This Row],[Colonne140]]+1)</f>
        <v>10</v>
      </c>
      <c r="FD72" s="17">
        <f>IF(Distances[[#This Row],[Colonne141]]=$G72,FC72,Distances[[#This Row],[Colonne141]]+1)</f>
        <v>10</v>
      </c>
      <c r="FE72" s="17">
        <f>IF(Distances[[#This Row],[Colonne142]]=$G72,FD72,Distances[[#This Row],[Colonne142]]+1)</f>
        <v>10</v>
      </c>
      <c r="FF72" s="17">
        <f>IF(Distances[[#This Row],[Colonne143]]=$G72,FE72,Distances[[#This Row],[Colonne143]]+1)</f>
        <v>10</v>
      </c>
      <c r="FG72" s="17">
        <f>IF(Distances[[#This Row],[Colonne144]]=$G72,FF72,Distances[[#This Row],[Colonne144]]+1)</f>
        <v>10</v>
      </c>
      <c r="FH72" s="17">
        <f>IF(Distances[[#This Row],[Colonne145]]=$G72,FG72,Distances[[#This Row],[Colonne145]]+1)</f>
        <v>10</v>
      </c>
      <c r="FI72" s="17">
        <f>IF(Distances[[#This Row],[Colonne146]]=$G72,FH72,Distances[[#This Row],[Colonne146]]+1)</f>
        <v>10</v>
      </c>
      <c r="FJ72" s="17">
        <f>IF(Distances[[#This Row],[Colonne147]]=$G72,FI72,Distances[[#This Row],[Colonne147]]+1)</f>
        <v>10</v>
      </c>
      <c r="FK72" s="17">
        <f>IF(Distances[[#This Row],[Colonne148]]=$G72,FJ72,Distances[[#This Row],[Colonne148]]+1)</f>
        <v>10</v>
      </c>
      <c r="FL72" s="17">
        <f>IF(Distances[[#This Row],[Colonne149]]=$G72,FK72,Distances[[#This Row],[Colonne149]]+1)</f>
        <v>10</v>
      </c>
      <c r="FM72" s="17">
        <f>IF(Distances[[#This Row],[Colonne150]]=$G72,FL72,Distances[[#This Row],[Colonne150]]+1)</f>
        <v>10</v>
      </c>
      <c r="FN72" s="17">
        <f>IF(Distances[[#This Row],[Colonne151]]=$G72,FM72,Distances[[#This Row],[Colonne151]]+1)</f>
        <v>10</v>
      </c>
      <c r="FO72" s="17">
        <f>IF(Distances[[#This Row],[Colonne152]]=$G72,FN72,Distances[[#This Row],[Colonne152]]+1)</f>
        <v>10</v>
      </c>
      <c r="FP72" s="17">
        <f>IF(Distances[[#This Row],[Colonne153]]=$G72,FO72,Distances[[#This Row],[Colonne153]]+1)</f>
        <v>10</v>
      </c>
      <c r="FQ72" s="17">
        <f>IF(Distances[[#This Row],[Colonne154]]=$G72,FP72,Distances[[#This Row],[Colonne154]]+1)</f>
        <v>10</v>
      </c>
      <c r="FR72" s="17">
        <f>IF(Distances[[#This Row],[Colonne155]]=$G72,FQ72,Distances[[#This Row],[Colonne155]]+1)</f>
        <v>10</v>
      </c>
      <c r="FS72" s="17">
        <f>IF(Distances[[#This Row],[Colonne156]]=$G72,FR72,Distances[[#This Row],[Colonne156]]+1)</f>
        <v>10</v>
      </c>
      <c r="FT72" s="17">
        <f>IF(Distances[[#This Row],[Colonne157]]=$G72,FS72,Distances[[#This Row],[Colonne157]]+1)</f>
        <v>10</v>
      </c>
      <c r="FU72" s="17">
        <f>IF(Distances[[#This Row],[Colonne158]]=$G72,FT72,Distances[[#This Row],[Colonne158]]+1)</f>
        <v>10</v>
      </c>
      <c r="FV72" s="17">
        <f>IF(Distances[[#This Row],[Colonne159]]=$G72,FU72,Distances[[#This Row],[Colonne159]]+1)</f>
        <v>10</v>
      </c>
      <c r="FW72" s="17">
        <f>IF(Distances[[#This Row],[Colonne160]]=$G72,FV72,Distances[[#This Row],[Colonne160]]+1)</f>
        <v>10</v>
      </c>
      <c r="FX72" s="17">
        <f>IF(Distances[[#This Row],[Colonne161]]=$G72,FW72,Distances[[#This Row],[Colonne161]]+1)</f>
        <v>10</v>
      </c>
      <c r="FY72" s="17">
        <f>IF(Distances[[#This Row],[Colonne162]]=$G72,FX72,Distances[[#This Row],[Colonne162]]+1)</f>
        <v>10</v>
      </c>
      <c r="FZ72" s="17">
        <f>IF(Distances[[#This Row],[Colonne163]]=$G72,FY72,Distances[[#This Row],[Colonne163]]+1)</f>
        <v>10</v>
      </c>
      <c r="GA72" s="17">
        <f>IF(Distances[[#This Row],[Colonne164]]=$G72,FZ72,Distances[[#This Row],[Colonne164]]+1)</f>
        <v>10</v>
      </c>
      <c r="GB72" s="17">
        <f>IF(Distances[[#This Row],[Colonne165]]=$G72,GA72,Distances[[#This Row],[Colonne165]]+1)</f>
        <v>10</v>
      </c>
      <c r="GC72" s="17">
        <f>IF(Distances[[#This Row],[Colonne166]]=$G72,GB72,Distances[[#This Row],[Colonne166]]+1)</f>
        <v>10</v>
      </c>
      <c r="GD72" s="17">
        <f>IF(Distances[[#This Row],[Colonne167]]=$G72,GC72,Distances[[#This Row],[Colonne167]]+1)</f>
        <v>10</v>
      </c>
      <c r="GE72" s="17">
        <f>IF(Distances[[#This Row],[Colonne168]]=$G72,GD72,Distances[[#This Row],[Colonne168]]+1)</f>
        <v>10</v>
      </c>
      <c r="GF72" s="17">
        <f>IF(Distances[[#This Row],[Colonne169]]=$G72,GE72,Distances[[#This Row],[Colonne169]]+1)</f>
        <v>10</v>
      </c>
      <c r="GG72" s="17">
        <f>IF(Distances[[#This Row],[Colonne170]]=$G72,GF72,Distances[[#This Row],[Colonne170]]+1)</f>
        <v>10</v>
      </c>
      <c r="GH72" s="17">
        <f>IF(Distances[[#This Row],[Colonne171]]=$G72,GG72,Distances[[#This Row],[Colonne171]]+1)</f>
        <v>10</v>
      </c>
      <c r="GI72" s="17">
        <f>IF(Distances[[#This Row],[Colonne172]]=$G72,GH72,Distances[[#This Row],[Colonne172]]+1)</f>
        <v>10</v>
      </c>
      <c r="GJ72" s="17">
        <f>IF(Distances[[#This Row],[Colonne173]]=$G72,GI72,Distances[[#This Row],[Colonne173]]+1)</f>
        <v>10</v>
      </c>
      <c r="GK72" s="17">
        <f>IF(Distances[[#This Row],[Colonne174]]=$G72,GJ72,Distances[[#This Row],[Colonne174]]+1)</f>
        <v>10</v>
      </c>
      <c r="GL72" s="17">
        <f>IF(Distances[[#This Row],[Colonne175]]=$G72,GK72,Distances[[#This Row],[Colonne175]]+1)</f>
        <v>10</v>
      </c>
      <c r="GM72" s="17">
        <f>IF(Distances[[#This Row],[Colonne176]]=$G72,GL72,Distances[[#This Row],[Colonne176]]+1)</f>
        <v>10</v>
      </c>
      <c r="GN72" s="17">
        <f>IF(Distances[[#This Row],[Colonne177]]=$G72,GM72,Distances[[#This Row],[Colonne177]]+1)</f>
        <v>10</v>
      </c>
      <c r="GO72" s="17">
        <f>IF(Distances[[#This Row],[Colonne178]]=$G72,GN72,Distances[[#This Row],[Colonne178]]+1)</f>
        <v>10</v>
      </c>
      <c r="GP72" s="17">
        <f>IF(Distances[[#This Row],[Colonne179]]=$G72,GO72,Distances[[#This Row],[Colonne179]]+1)</f>
        <v>10</v>
      </c>
      <c r="GQ72" s="17">
        <f>IF(Distances[[#This Row],[Colonne180]]=$G72,GP72,Distances[[#This Row],[Colonne180]]+1)</f>
        <v>10</v>
      </c>
      <c r="GR72" s="17">
        <f>IF(Distances[[#This Row],[Colonne181]]=$G72,GQ72,Distances[[#This Row],[Colonne181]]+1)</f>
        <v>10</v>
      </c>
      <c r="GS72" s="17">
        <f>IF(Distances[[#This Row],[Colonne182]]=$G72,GR72,Distances[[#This Row],[Colonne182]]+1)</f>
        <v>10</v>
      </c>
      <c r="GT72" s="17">
        <f>IF(Distances[[#This Row],[Colonne183]]=$G72,GS72,Distances[[#This Row],[Colonne183]]+1)</f>
        <v>10</v>
      </c>
      <c r="GU72" s="17">
        <f>IF(Distances[[#This Row],[Colonne184]]=$G72,GT72,Distances[[#This Row],[Colonne184]]+1)</f>
        <v>10</v>
      </c>
      <c r="GV72" s="17">
        <f>IF(Distances[[#This Row],[Colonne185]]=$G72,GU72,Distances[[#This Row],[Colonne185]]+1)</f>
        <v>10</v>
      </c>
      <c r="GW72" s="17">
        <f>IF(Distances[[#This Row],[Colonne186]]=$G72,GV72,Distances[[#This Row],[Colonne186]]+1)</f>
        <v>10</v>
      </c>
      <c r="GX72" s="17">
        <f>IF(Distances[[#This Row],[Colonne187]]=$G72,GW72,Distances[[#This Row],[Colonne187]]+1)</f>
        <v>10</v>
      </c>
      <c r="GY72" s="17">
        <f>IF(Distances[[#This Row],[Colonne188]]=$G72,GX72,Distances[[#This Row],[Colonne188]]+1)</f>
        <v>10</v>
      </c>
      <c r="GZ72" s="17">
        <f>IF(Distances[[#This Row],[Colonne189]]=$G72,GY72,Distances[[#This Row],[Colonne189]]+1)</f>
        <v>10</v>
      </c>
      <c r="HA72" s="17">
        <f>IF(Distances[[#This Row],[Colonne190]]=$G72,GZ72,Distances[[#This Row],[Colonne190]]+1)</f>
        <v>10</v>
      </c>
      <c r="HB72" s="17">
        <f>IF(Distances[[#This Row],[Colonne191]]=$G72,HA72,Distances[[#This Row],[Colonne191]]+1)</f>
        <v>10</v>
      </c>
      <c r="HC72" s="17">
        <f>IF(Distances[[#This Row],[Colonne192]]=$G72,HB72,Distances[[#This Row],[Colonne192]]+1)</f>
        <v>10</v>
      </c>
      <c r="HD72" s="17">
        <f>IF(Distances[[#This Row],[Colonne193]]=$G72,HC72,Distances[[#This Row],[Colonne193]]+1)</f>
        <v>10</v>
      </c>
      <c r="HE72" s="17">
        <f>IF(Distances[[#This Row],[Colonne194]]=$G72,HD72,Distances[[#This Row],[Colonne194]]+1)</f>
        <v>10</v>
      </c>
      <c r="HF72" s="17">
        <f>IF(Distances[[#This Row],[Colonne195]]=$G72,HE72,Distances[[#This Row],[Colonne195]]+1)</f>
        <v>10</v>
      </c>
      <c r="HG72" s="17">
        <f>IF(Distances[[#This Row],[Colonne196]]=$G72,HF72,Distances[[#This Row],[Colonne196]]+1)</f>
        <v>10</v>
      </c>
      <c r="HH72" s="17">
        <f>IF(Distances[[#This Row],[Colonne197]]=$G72,HG72,Distances[[#This Row],[Colonne197]]+1)</f>
        <v>10</v>
      </c>
      <c r="HI72" s="17">
        <f>IF(Distances[[#This Row],[Colonne198]]=$G72,HH72,Distances[[#This Row],[Colonne198]]+1)</f>
        <v>10</v>
      </c>
      <c r="HJ72" s="17">
        <f>IF(Distances[[#This Row],[Colonne199]]=$G72,HI72,Distances[[#This Row],[Colonne199]]+1)</f>
        <v>10</v>
      </c>
      <c r="HK72" s="17">
        <f>IF(Distances[[#This Row],[Colonne200]]=$G72,HJ72,Distances[[#This Row],[Colonne200]]+1)</f>
        <v>10</v>
      </c>
      <c r="HL72" s="17">
        <f>IF(Distances[[#This Row],[Colonne201]]=$G72,HK72,Distances[[#This Row],[Colonne201]]+1)</f>
        <v>10</v>
      </c>
      <c r="HM72" s="17">
        <f>IF(Distances[[#This Row],[Colonne202]]=$G72,HL72,Distances[[#This Row],[Colonne202]]+1)</f>
        <v>10</v>
      </c>
      <c r="HN72" s="17">
        <f>IF(Distances[[#This Row],[Colonne203]]=$G72,HM72,Distances[[#This Row],[Colonne203]]+1)</f>
        <v>10</v>
      </c>
      <c r="HO72" s="17">
        <f>IF(Distances[[#This Row],[Colonne204]]=$G72,HN72,Distances[[#This Row],[Colonne204]]+1)</f>
        <v>10</v>
      </c>
      <c r="HP72" s="17">
        <f>IF(Distances[[#This Row],[Colonne205]]=$G72,HO72,Distances[[#This Row],[Colonne205]]+1)</f>
        <v>10</v>
      </c>
      <c r="HQ72" s="17">
        <f>IF(Distances[[#This Row],[Colonne206]]=$G72,HP72,Distances[[#This Row],[Colonne206]]+1)</f>
        <v>10</v>
      </c>
      <c r="HR72" s="17">
        <f>IF(Distances[[#This Row],[Colonne207]]=$G72,HQ72,Distances[[#This Row],[Colonne207]]+1)</f>
        <v>10</v>
      </c>
      <c r="HS72" s="17">
        <f>IF(Distances[[#This Row],[Colonne208]]=$G72,HR72,Distances[[#This Row],[Colonne208]]+1)</f>
        <v>10</v>
      </c>
      <c r="HT72" s="17">
        <f>IF(Distances[[#This Row],[Colonne209]]=$G72,HS72,Distances[[#This Row],[Colonne209]]+1)</f>
        <v>10</v>
      </c>
      <c r="HU72" s="17">
        <f>IF(Distances[[#This Row],[Colonne210]]=$G72,HT72,Distances[[#This Row],[Colonne210]]+1)</f>
        <v>10</v>
      </c>
      <c r="HV72" s="17">
        <f>IF(Distances[[#This Row],[Colonne211]]=$G72,HU72,Distances[[#This Row],[Colonne211]]+1)</f>
        <v>10</v>
      </c>
      <c r="HW72" s="17">
        <f>IF(Distances[[#This Row],[Colonne212]]=$G72,HV72,Distances[[#This Row],[Colonne212]]+1)</f>
        <v>10</v>
      </c>
      <c r="HX72" s="17">
        <f>IF(Distances[[#This Row],[Colonne213]]=$G72,HW72,Distances[[#This Row],[Colonne213]]+1)</f>
        <v>10</v>
      </c>
      <c r="HY72" s="17">
        <f>IF(Distances[[#This Row],[Colonne214]]=$G72,HX72,Distances[[#This Row],[Colonne214]]+1)</f>
        <v>10</v>
      </c>
      <c r="HZ72" s="17">
        <f>IF(Distances[[#This Row],[Colonne215]]=$G72,HY72,Distances[[#This Row],[Colonne215]]+1)</f>
        <v>10</v>
      </c>
      <c r="IA72" s="17">
        <f>IF(Distances[[#This Row],[Colonne216]]=$G72,HZ72,Distances[[#This Row],[Colonne216]]+1)</f>
        <v>10</v>
      </c>
      <c r="IB72" s="17">
        <f>IF(Distances[[#This Row],[Colonne217]]=$G72,IA72,Distances[[#This Row],[Colonne217]]+1)</f>
        <v>10</v>
      </c>
      <c r="IC72" s="17">
        <f>IF(Distances[[#This Row],[Colonne218]]=$G72,IB72,Distances[[#This Row],[Colonne218]]+1)</f>
        <v>10</v>
      </c>
      <c r="ID72" s="17">
        <f>IF(Distances[[#This Row],[Colonne219]]=$G72,IC72,Distances[[#This Row],[Colonne219]]+1)</f>
        <v>10</v>
      </c>
      <c r="IE72" s="17">
        <f>IF(Distances[[#This Row],[Colonne220]]=$G72,ID72,Distances[[#This Row],[Colonne220]]+1)</f>
        <v>10</v>
      </c>
      <c r="IF72" s="17">
        <f>IF(Distances[[#This Row],[Colonne221]]=$G72,IE72,Distances[[#This Row],[Colonne221]]+1)</f>
        <v>10</v>
      </c>
      <c r="IG72" s="17">
        <f>IF(Distances[[#This Row],[Colonne222]]=$G72,IF72,Distances[[#This Row],[Colonne222]]+1)</f>
        <v>10</v>
      </c>
      <c r="IH72" s="17">
        <f>IF(Distances[[#This Row],[Colonne223]]=$G72,IG72,Distances[[#This Row],[Colonne223]]+1)</f>
        <v>10</v>
      </c>
      <c r="II72" s="17">
        <f>IF(Distances[[#This Row],[Colonne224]]=$G72,IH72,Distances[[#This Row],[Colonne224]]+1)</f>
        <v>10</v>
      </c>
      <c r="IJ72" s="17">
        <f>IF(Distances[[#This Row],[Colonne225]]=$G72,II72,Distances[[#This Row],[Colonne225]]+1)</f>
        <v>10</v>
      </c>
      <c r="IK72" s="17">
        <f>IF(Distances[[#This Row],[Colonne226]]=$G72,IJ72,Distances[[#This Row],[Colonne226]]+1)</f>
        <v>10</v>
      </c>
      <c r="IL72" s="17">
        <f>IF(Distances[[#This Row],[Colonne227]]=$G72,IK72,Distances[[#This Row],[Colonne227]]+1)</f>
        <v>10</v>
      </c>
      <c r="IM72" s="17">
        <f>IF(Distances[[#This Row],[Colonne228]]=$G72,IL72,Distances[[#This Row],[Colonne228]]+1)</f>
        <v>10</v>
      </c>
      <c r="IN72" s="17">
        <f>IF(Distances[[#This Row],[Colonne229]]=$G72,IM72,Distances[[#This Row],[Colonne229]]+1)</f>
        <v>10</v>
      </c>
      <c r="IO72" s="17">
        <f>IF(Distances[[#This Row],[Colonne230]]=$G72,IN72,Distances[[#This Row],[Colonne230]]+1)</f>
        <v>10</v>
      </c>
      <c r="IP72" s="17">
        <f>IF(Distances[[#This Row],[Colonne231]]=$G72,IO72,Distances[[#This Row],[Colonne231]]+1)</f>
        <v>10</v>
      </c>
      <c r="IQ72" s="17">
        <f>IF(Distances[[#This Row],[Colonne232]]=$G72,IP72,Distances[[#This Row],[Colonne232]]+1)</f>
        <v>10</v>
      </c>
      <c r="IR72" s="17">
        <f>IF(Distances[[#This Row],[Colonne233]]=$G72,IQ72,Distances[[#This Row],[Colonne233]]+1)</f>
        <v>10</v>
      </c>
      <c r="IS72" s="17">
        <f>IF(Distances[[#This Row],[Colonne234]]=$G72,IR72,Distances[[#This Row],[Colonne234]]+1)</f>
        <v>10</v>
      </c>
      <c r="IT72" s="17">
        <f>IF(Distances[[#This Row],[Colonne235]]=$G72,IS72,Distances[[#This Row],[Colonne235]]+1)</f>
        <v>10</v>
      </c>
      <c r="IU72" s="17">
        <f>IF(Distances[[#This Row],[Colonne236]]=$G72,IT72,Distances[[#This Row],[Colonne236]]+1)</f>
        <v>10</v>
      </c>
      <c r="IV72" s="17">
        <f>IF(Distances[[#This Row],[Colonne237]]=$G72,IU72,Distances[[#This Row],[Colonne237]]+1)</f>
        <v>10</v>
      </c>
      <c r="IW72" s="17">
        <f>IF(Distances[[#This Row],[Colonne238]]=$G72,IV72,Distances[[#This Row],[Colonne238]]+1)</f>
        <v>10</v>
      </c>
      <c r="IX72" s="17">
        <f>IF(Distances[[#This Row],[Colonne239]]=$G72,IW72,Distances[[#This Row],[Colonne239]]+1)</f>
        <v>10</v>
      </c>
      <c r="IY72" s="17">
        <f>IF(Distances[[#This Row],[Colonne240]]=$G72,IX72,Distances[[#This Row],[Colonne240]]+1)</f>
        <v>10</v>
      </c>
      <c r="IZ72" s="17">
        <f>IF(Distances[[#This Row],[Colonne241]]=$G72,IY72,Distances[[#This Row],[Colonne241]]+1)</f>
        <v>10</v>
      </c>
      <c r="JA72" s="17">
        <f>IF(Distances[[#This Row],[Colonne242]]=$G72,IZ72,Distances[[#This Row],[Colonne242]]+1)</f>
        <v>10</v>
      </c>
      <c r="JB72" s="17">
        <f>IF(Distances[[#This Row],[Colonne243]]=$G72,JA72,Distances[[#This Row],[Colonne243]]+1)</f>
        <v>10</v>
      </c>
      <c r="JC72" s="17">
        <f>IF(Distances[[#This Row],[Colonne244]]=$G72,JB72,Distances[[#This Row],[Colonne244]]+1)</f>
        <v>10</v>
      </c>
      <c r="JD72" s="17">
        <f>IF(Distances[[#This Row],[Colonne245]]=$G72,JC72,Distances[[#This Row],[Colonne245]]+1)</f>
        <v>10</v>
      </c>
      <c r="JE72" s="17">
        <f>IF(Distances[[#This Row],[Colonne246]]=$G72,JD72,Distances[[#This Row],[Colonne246]]+1)</f>
        <v>10</v>
      </c>
      <c r="JF72" s="17">
        <f>IF(Distances[[#This Row],[Colonne247]]=$G72,JE72,Distances[[#This Row],[Colonne247]]+1)</f>
        <v>10</v>
      </c>
      <c r="JG72" s="17">
        <f>IF(Distances[[#This Row],[Colonne248]]=$G72,JF72,Distances[[#This Row],[Colonne248]]+1)</f>
        <v>10</v>
      </c>
      <c r="JH72" s="17">
        <f>IF(Distances[[#This Row],[Colonne249]]=$G72,JG72,Distances[[#This Row],[Colonne249]]+1)</f>
        <v>10</v>
      </c>
      <c r="JI72" s="17">
        <f>IF(Distances[[#This Row],[Colonne250]]=$G72,JH72,Distances[[#This Row],[Colonne250]]+1)</f>
        <v>10</v>
      </c>
      <c r="JJ72" s="17">
        <f>IF(Distances[[#This Row],[Colonne251]]=$G72,JI72,Distances[[#This Row],[Colonne251]]+1)</f>
        <v>10</v>
      </c>
      <c r="JK72" s="17">
        <f>IF(Distances[[#This Row],[Colonne252]]=$G72,JJ72,Distances[[#This Row],[Colonne252]]+1)</f>
        <v>10</v>
      </c>
      <c r="JL72" s="17">
        <f>IF(Distances[[#This Row],[Colonne253]]=$G72,JK72,Distances[[#This Row],[Colonne253]]+1)</f>
        <v>10</v>
      </c>
      <c r="JM72" s="17">
        <f>IF(Distances[[#This Row],[Colonne254]]=$G72,JL72,Distances[[#This Row],[Colonne254]]+1)</f>
        <v>10</v>
      </c>
      <c r="JN72" s="17">
        <f>IF(Distances[[#This Row],[Colonne255]]=$G72,JM72,Distances[[#This Row],[Colonne255]]+1)</f>
        <v>10</v>
      </c>
      <c r="JO72" s="17">
        <f>IF(Distances[[#This Row],[Colonne256]]=$G72,JN72,Distances[[#This Row],[Colonne256]]+1)</f>
        <v>10</v>
      </c>
      <c r="JP72" s="17">
        <f>IF(Distances[[#This Row],[Colonne257]]=$G72,JO72,Distances[[#This Row],[Colonne257]]+1)</f>
        <v>10</v>
      </c>
      <c r="JQ72" s="17">
        <f>IF(Distances[[#This Row],[Colonne258]]=$G72,JP72,Distances[[#This Row],[Colonne258]]+1)</f>
        <v>10</v>
      </c>
      <c r="JR72" s="17">
        <f>IF(Distances[[#This Row],[Colonne259]]=$G72,JQ72,Distances[[#This Row],[Colonne259]]+1)</f>
        <v>10</v>
      </c>
      <c r="JS72" s="17">
        <f>IF(Distances[[#This Row],[Colonne260]]=$G72,JR72,Distances[[#This Row],[Colonne260]]+1)</f>
        <v>10</v>
      </c>
      <c r="JT72" s="17">
        <f>IF(Distances[[#This Row],[Colonne261]]=$G72,JS72,Distances[[#This Row],[Colonne261]]+1)</f>
        <v>10</v>
      </c>
      <c r="JU72" s="17">
        <f>IF(Distances[[#This Row],[Colonne262]]=$G72,JT72,Distances[[#This Row],[Colonne262]]+1)</f>
        <v>10</v>
      </c>
      <c r="JV72" s="17">
        <f>IF(Distances[[#This Row],[Colonne263]]=$G72,JU72,Distances[[#This Row],[Colonne263]]+1)</f>
        <v>10</v>
      </c>
      <c r="JW72" s="17">
        <f>IF(Distances[[#This Row],[Colonne264]]=$G72,JV72,Distances[[#This Row],[Colonne264]]+1)</f>
        <v>10</v>
      </c>
      <c r="JX72" s="17">
        <f>IF(Distances[[#This Row],[Colonne265]]=$G72,JW72,Distances[[#This Row],[Colonne265]]+1)</f>
        <v>10</v>
      </c>
      <c r="JY72" s="17">
        <f>IF(Distances[[#This Row],[Colonne266]]=$G72,JX72,Distances[[#This Row],[Colonne266]]+1)</f>
        <v>10</v>
      </c>
      <c r="JZ72" s="17">
        <f>IF(Distances[[#This Row],[Colonne267]]=$G72,JY72,Distances[[#This Row],[Colonne267]]+1)</f>
        <v>10</v>
      </c>
      <c r="KA72" s="17">
        <f>IF(Distances[[#This Row],[Colonne268]]=$G72,JZ72,Distances[[#This Row],[Colonne268]]+1)</f>
        <v>10</v>
      </c>
      <c r="KB72" s="17">
        <f>IF(Distances[[#This Row],[Colonne269]]=$G72,KA72,Distances[[#This Row],[Colonne269]]+1)</f>
        <v>10</v>
      </c>
      <c r="KC72" s="17">
        <f>IF(Distances[[#This Row],[Colonne270]]=$G72,KB72,Distances[[#This Row],[Colonne270]]+1)</f>
        <v>10</v>
      </c>
      <c r="KD72" s="17">
        <f>IF(Distances[[#This Row],[Colonne271]]=$G72,KC72,Distances[[#This Row],[Colonne271]]+1)</f>
        <v>10</v>
      </c>
      <c r="KE72" s="17">
        <f>IF(Distances[[#This Row],[Colonne272]]=$G72,KD72,Distances[[#This Row],[Colonne272]]+1)</f>
        <v>10</v>
      </c>
      <c r="KF72" s="17">
        <f>IF(Distances[[#This Row],[Colonne273]]=$G72,KE72,Distances[[#This Row],[Colonne273]]+1)</f>
        <v>10</v>
      </c>
      <c r="KG72" s="17">
        <f>IF(Distances[[#This Row],[Colonne274]]=$G72,KF72,Distances[[#This Row],[Colonne274]]+1)</f>
        <v>10</v>
      </c>
      <c r="KH72" s="17">
        <f>IF(Distances[[#This Row],[Colonne275]]=$G72,KG72,Distances[[#This Row],[Colonne275]]+1)</f>
        <v>10</v>
      </c>
      <c r="KI72" s="17">
        <f>IF(Distances[[#This Row],[Colonne276]]=$G72,KH72,Distances[[#This Row],[Colonne276]]+1)</f>
        <v>10</v>
      </c>
      <c r="KJ72" s="17">
        <f>IF(Distances[[#This Row],[Colonne277]]=$G72,KI72,Distances[[#This Row],[Colonne277]]+1)</f>
        <v>10</v>
      </c>
      <c r="KK72" s="17">
        <f>IF(Distances[[#This Row],[Colonne278]]=$G72,KJ72,Distances[[#This Row],[Colonne278]]+1)</f>
        <v>10</v>
      </c>
      <c r="KL72" s="17">
        <f>IF(Distances[[#This Row],[Colonne279]]=$G72,KK72,Distances[[#This Row],[Colonne279]]+1)</f>
        <v>10</v>
      </c>
      <c r="KM72" s="17">
        <f>IF(Distances[[#This Row],[Colonne280]]=$G72,KL72,Distances[[#This Row],[Colonne280]]+1)</f>
        <v>10</v>
      </c>
      <c r="KN72" s="17">
        <f>IF(Distances[[#This Row],[Colonne281]]=$G72,KM72,Distances[[#This Row],[Colonne281]]+1)</f>
        <v>10</v>
      </c>
      <c r="KO72" s="17">
        <f>IF(Distances[[#This Row],[Colonne282]]=$G72,KN72,Distances[[#This Row],[Colonne282]]+1)</f>
        <v>10</v>
      </c>
      <c r="KP72" s="17">
        <f>IF(Distances[[#This Row],[Colonne283]]=$G72,KO72,Distances[[#This Row],[Colonne283]]+1)</f>
        <v>10</v>
      </c>
      <c r="KQ72" s="17">
        <f>IF(Distances[[#This Row],[Colonne284]]=$G72,KP72,Distances[[#This Row],[Colonne284]]+1)</f>
        <v>10</v>
      </c>
      <c r="KR72" s="17">
        <f>IF(Distances[[#This Row],[Colonne285]]=$G72,KQ72,Distances[[#This Row],[Colonne285]]+1)</f>
        <v>10</v>
      </c>
      <c r="KS72" s="17">
        <f>IF(Distances[[#This Row],[Colonne286]]=$G72,KR72,Distances[[#This Row],[Colonne286]]+1)</f>
        <v>10</v>
      </c>
      <c r="KT72" s="17">
        <f>IF(Distances[[#This Row],[Colonne287]]=$G72,KS72,Distances[[#This Row],[Colonne287]]+1)</f>
        <v>10</v>
      </c>
      <c r="KU72" s="17">
        <f>IF(Distances[[#This Row],[Colonne288]]=$G72,KT72,Distances[[#This Row],[Colonne288]]+1)</f>
        <v>10</v>
      </c>
      <c r="KV72" s="17">
        <f>IF(Distances[[#This Row],[Colonne289]]=$G72,KU72,Distances[[#This Row],[Colonne289]]+1)</f>
        <v>10</v>
      </c>
      <c r="KW72" s="17">
        <f>IF(Distances[[#This Row],[Colonne290]]=$G72,KV72,Distances[[#This Row],[Colonne290]]+1)</f>
        <v>10</v>
      </c>
      <c r="KX72" s="17">
        <f>IF(Distances[[#This Row],[Colonne291]]=$G72,KW72,Distances[[#This Row],[Colonne291]]+1)</f>
        <v>10</v>
      </c>
      <c r="KY72" s="17">
        <f>IF(Distances[[#This Row],[Colonne292]]=$G72,KX72,Distances[[#This Row],[Colonne292]]+1)</f>
        <v>10</v>
      </c>
      <c r="KZ72" s="17">
        <f>IF(Distances[[#This Row],[Colonne293]]=$G72,KY72,Distances[[#This Row],[Colonne293]]+1)</f>
        <v>10</v>
      </c>
      <c r="LA72" s="17">
        <f>IF(Distances[[#This Row],[Colonne294]]=$G72,KZ72,Distances[[#This Row],[Colonne294]]+1)</f>
        <v>10</v>
      </c>
      <c r="LB72" s="17">
        <f>IF(Distances[[#This Row],[Colonne295]]=$G72,LA72,Distances[[#This Row],[Colonne295]]+1)</f>
        <v>10</v>
      </c>
      <c r="LC72" s="17">
        <f>IF(Distances[[#This Row],[Colonne296]]=$G72,LB72,Distances[[#This Row],[Colonne296]]+1)</f>
        <v>10</v>
      </c>
      <c r="LD72" s="17">
        <f>IF(Distances[[#This Row],[Colonne297]]=$G72,LC72,Distances[[#This Row],[Colonne297]]+1)</f>
        <v>10</v>
      </c>
      <c r="LE72" s="17">
        <f>IF(Distances[[#This Row],[Colonne298]]=$G72,LD72,Distances[[#This Row],[Colonne298]]+1)</f>
        <v>10</v>
      </c>
      <c r="LF72" s="17">
        <f>IF(Distances[[#This Row],[Colonne299]]=$G72,LE72,Distances[[#This Row],[Colonne299]]+1)</f>
        <v>10</v>
      </c>
      <c r="LG72" s="17">
        <f>IF(Distances[[#This Row],[Colonne300]]=$G72,LF72,Distances[[#This Row],[Colonne300]]+1)</f>
        <v>10</v>
      </c>
      <c r="LH72" s="17">
        <f>IF(Distances[[#This Row],[Colonne301]]=$G72,LG72,Distances[[#This Row],[Colonne301]]+1)</f>
        <v>10</v>
      </c>
      <c r="LI72" s="17">
        <f>IF(Distances[[#This Row],[Colonne302]]=$G72,LH72,Distances[[#This Row],[Colonne302]]+1)</f>
        <v>10</v>
      </c>
      <c r="LJ72" s="17">
        <f>IF(Distances[[#This Row],[Colonne303]]=$G72,LI72,Distances[[#This Row],[Colonne303]]+1)</f>
        <v>10</v>
      </c>
      <c r="LK72" s="51"/>
      <c r="LL72" s="17">
        <f t="shared" ref="LL72:NW72" si="141">IF(LK72=$H72,LK72,LK72+1)</f>
        <v>1</v>
      </c>
      <c r="LM72" s="17">
        <f t="shared" si="141"/>
        <v>2</v>
      </c>
      <c r="LN72" s="17">
        <f t="shared" si="141"/>
        <v>3</v>
      </c>
      <c r="LO72" s="17">
        <f t="shared" si="141"/>
        <v>4</v>
      </c>
      <c r="LP72" s="17">
        <f t="shared" si="141"/>
        <v>5</v>
      </c>
      <c r="LQ72" s="17">
        <f t="shared" si="141"/>
        <v>6</v>
      </c>
      <c r="LR72" s="17">
        <f t="shared" si="141"/>
        <v>7</v>
      </c>
      <c r="LS72" s="17">
        <f t="shared" si="141"/>
        <v>8</v>
      </c>
      <c r="LT72" s="17">
        <f t="shared" si="141"/>
        <v>9</v>
      </c>
      <c r="LU72" s="17">
        <f t="shared" si="141"/>
        <v>10</v>
      </c>
      <c r="LV72" s="17">
        <f t="shared" si="141"/>
        <v>11</v>
      </c>
      <c r="LW72" s="17">
        <f t="shared" si="141"/>
        <v>12</v>
      </c>
      <c r="LX72" s="17">
        <f t="shared" si="141"/>
        <v>13</v>
      </c>
      <c r="LY72" s="17">
        <f t="shared" si="141"/>
        <v>14</v>
      </c>
      <c r="LZ72" s="17">
        <f t="shared" si="141"/>
        <v>15</v>
      </c>
      <c r="MA72" s="17">
        <f t="shared" si="141"/>
        <v>16</v>
      </c>
      <c r="MB72" s="17">
        <f t="shared" si="141"/>
        <v>17</v>
      </c>
      <c r="MC72" s="17">
        <f t="shared" si="141"/>
        <v>18</v>
      </c>
      <c r="MD72" s="17">
        <f t="shared" si="141"/>
        <v>19</v>
      </c>
      <c r="ME72" s="17">
        <f t="shared" si="141"/>
        <v>20</v>
      </c>
      <c r="MF72" s="17">
        <f t="shared" si="141"/>
        <v>21</v>
      </c>
      <c r="MG72" s="17">
        <f t="shared" si="141"/>
        <v>22</v>
      </c>
      <c r="MH72" s="17">
        <f t="shared" si="141"/>
        <v>23</v>
      </c>
      <c r="MI72" s="17">
        <f t="shared" si="141"/>
        <v>24</v>
      </c>
      <c r="MJ72" s="17">
        <f t="shared" si="141"/>
        <v>25</v>
      </c>
      <c r="MK72" s="17">
        <f t="shared" si="141"/>
        <v>26</v>
      </c>
      <c r="ML72" s="17">
        <f t="shared" si="141"/>
        <v>27</v>
      </c>
      <c r="MM72" s="17">
        <f t="shared" si="141"/>
        <v>28</v>
      </c>
      <c r="MN72" s="17">
        <f t="shared" si="141"/>
        <v>29</v>
      </c>
      <c r="MO72" s="17">
        <f t="shared" si="141"/>
        <v>30</v>
      </c>
      <c r="MP72" s="17">
        <f t="shared" si="141"/>
        <v>30</v>
      </c>
      <c r="MQ72" s="17">
        <f t="shared" si="141"/>
        <v>30</v>
      </c>
      <c r="MR72" s="17">
        <f t="shared" si="141"/>
        <v>30</v>
      </c>
      <c r="MS72" s="17">
        <f t="shared" si="141"/>
        <v>30</v>
      </c>
      <c r="MT72" s="17">
        <f t="shared" si="141"/>
        <v>30</v>
      </c>
      <c r="MU72" s="17">
        <f t="shared" si="141"/>
        <v>30</v>
      </c>
      <c r="MV72" s="17">
        <f t="shared" si="141"/>
        <v>30</v>
      </c>
      <c r="MW72" s="17">
        <f t="shared" si="141"/>
        <v>30</v>
      </c>
      <c r="MX72" s="17">
        <f t="shared" si="141"/>
        <v>30</v>
      </c>
      <c r="MY72" s="17">
        <f t="shared" si="141"/>
        <v>30</v>
      </c>
      <c r="MZ72" s="17">
        <f t="shared" si="141"/>
        <v>30</v>
      </c>
      <c r="NA72" s="17">
        <f t="shared" si="141"/>
        <v>30</v>
      </c>
      <c r="NB72" s="17">
        <f t="shared" si="141"/>
        <v>30</v>
      </c>
      <c r="NC72" s="17">
        <f t="shared" si="141"/>
        <v>30</v>
      </c>
      <c r="ND72" s="17">
        <f t="shared" si="141"/>
        <v>30</v>
      </c>
      <c r="NE72" s="17">
        <f t="shared" si="141"/>
        <v>30</v>
      </c>
      <c r="NF72" s="17">
        <f t="shared" si="141"/>
        <v>30</v>
      </c>
      <c r="NG72" s="17">
        <f t="shared" si="141"/>
        <v>30</v>
      </c>
      <c r="NH72" s="17">
        <f t="shared" si="141"/>
        <v>30</v>
      </c>
      <c r="NI72" s="17">
        <f t="shared" si="141"/>
        <v>30</v>
      </c>
      <c r="NJ72" s="17">
        <f t="shared" si="141"/>
        <v>30</v>
      </c>
      <c r="NK72" s="17">
        <f t="shared" si="141"/>
        <v>30</v>
      </c>
      <c r="NL72" s="17">
        <f t="shared" si="141"/>
        <v>30</v>
      </c>
      <c r="NM72" s="17">
        <f t="shared" si="141"/>
        <v>30</v>
      </c>
      <c r="NN72" s="17">
        <f t="shared" si="141"/>
        <v>30</v>
      </c>
      <c r="NO72" s="17">
        <f t="shared" si="141"/>
        <v>30</v>
      </c>
      <c r="NP72" s="17">
        <f t="shared" si="141"/>
        <v>30</v>
      </c>
      <c r="NQ72" s="17">
        <f t="shared" si="141"/>
        <v>30</v>
      </c>
      <c r="NR72" s="17">
        <f t="shared" si="141"/>
        <v>30</v>
      </c>
      <c r="NS72" s="17">
        <f t="shared" si="141"/>
        <v>30</v>
      </c>
      <c r="NT72" s="17">
        <f t="shared" si="141"/>
        <v>30</v>
      </c>
      <c r="NU72" s="17">
        <f t="shared" si="141"/>
        <v>30</v>
      </c>
      <c r="NV72" s="17">
        <f t="shared" si="141"/>
        <v>30</v>
      </c>
      <c r="NW72" s="17">
        <f t="shared" si="141"/>
        <v>30</v>
      </c>
      <c r="NX72" s="17">
        <f t="shared" ref="NX72:PG72" si="142">IF(NW72=$H72,NW72,NW72+1)</f>
        <v>30</v>
      </c>
      <c r="NY72" s="17">
        <f t="shared" si="142"/>
        <v>30</v>
      </c>
      <c r="NZ72" s="17">
        <f t="shared" si="142"/>
        <v>30</v>
      </c>
      <c r="OA72" s="17">
        <f t="shared" si="142"/>
        <v>30</v>
      </c>
      <c r="OB72" s="17">
        <f t="shared" si="142"/>
        <v>30</v>
      </c>
      <c r="OC72" s="17">
        <f t="shared" si="142"/>
        <v>30</v>
      </c>
      <c r="OD72" s="17">
        <f t="shared" si="142"/>
        <v>30</v>
      </c>
      <c r="OE72" s="17">
        <f t="shared" si="142"/>
        <v>30</v>
      </c>
      <c r="OF72" s="17">
        <f t="shared" si="142"/>
        <v>30</v>
      </c>
      <c r="OG72" s="17">
        <f t="shared" si="142"/>
        <v>30</v>
      </c>
      <c r="OH72" s="17">
        <f t="shared" si="142"/>
        <v>30</v>
      </c>
      <c r="OI72" s="17">
        <f t="shared" si="142"/>
        <v>30</v>
      </c>
      <c r="OJ72" s="17">
        <f t="shared" si="142"/>
        <v>30</v>
      </c>
      <c r="OK72" s="17">
        <f t="shared" si="142"/>
        <v>30</v>
      </c>
      <c r="OL72" s="17">
        <f t="shared" si="142"/>
        <v>30</v>
      </c>
      <c r="OM72" s="17">
        <f t="shared" si="142"/>
        <v>30</v>
      </c>
      <c r="ON72" s="17">
        <f t="shared" si="142"/>
        <v>30</v>
      </c>
      <c r="OO72" s="17">
        <f t="shared" si="142"/>
        <v>30</v>
      </c>
      <c r="OP72" s="17">
        <f t="shared" si="142"/>
        <v>30</v>
      </c>
      <c r="OQ72" s="17">
        <f t="shared" si="142"/>
        <v>30</v>
      </c>
      <c r="OR72" s="17">
        <f t="shared" si="142"/>
        <v>30</v>
      </c>
      <c r="OS72" s="17">
        <f t="shared" si="142"/>
        <v>30</v>
      </c>
      <c r="OT72" s="17">
        <f t="shared" si="142"/>
        <v>30</v>
      </c>
      <c r="OU72" s="17">
        <f t="shared" si="142"/>
        <v>30</v>
      </c>
      <c r="OV72" s="17">
        <f t="shared" si="142"/>
        <v>30</v>
      </c>
      <c r="OW72" s="17">
        <f t="shared" si="142"/>
        <v>30</v>
      </c>
      <c r="OX72" s="17">
        <f t="shared" si="142"/>
        <v>30</v>
      </c>
      <c r="OY72" s="17">
        <f t="shared" si="142"/>
        <v>30</v>
      </c>
      <c r="OZ72" s="17">
        <f t="shared" si="142"/>
        <v>30</v>
      </c>
      <c r="PA72" s="17">
        <f t="shared" si="142"/>
        <v>30</v>
      </c>
      <c r="PB72" s="17">
        <f t="shared" si="142"/>
        <v>30</v>
      </c>
      <c r="PC72" s="17">
        <f t="shared" si="142"/>
        <v>30</v>
      </c>
      <c r="PD72" s="17">
        <f t="shared" si="142"/>
        <v>30</v>
      </c>
      <c r="PE72" s="17">
        <f t="shared" si="142"/>
        <v>30</v>
      </c>
      <c r="PF72" s="17">
        <f t="shared" si="142"/>
        <v>30</v>
      </c>
      <c r="PG72" s="17">
        <f t="shared" si="142"/>
        <v>30</v>
      </c>
    </row>
    <row r="73" spans="1:423" x14ac:dyDescent="0.25">
      <c r="A73" s="9" t="s">
        <v>5509</v>
      </c>
      <c r="B73" s="9"/>
      <c r="C73" s="9" t="str">
        <f t="shared" si="72"/>
        <v>L</v>
      </c>
      <c r="D73" s="1" t="s">
        <v>5509</v>
      </c>
      <c r="E73" s="1" t="s">
        <v>9865</v>
      </c>
      <c r="F73" s="9" t="s">
        <v>5508</v>
      </c>
      <c r="G73" s="9" t="s">
        <v>8510</v>
      </c>
      <c r="H73" s="9" t="str">
        <f>"/"</f>
        <v>/</v>
      </c>
      <c r="I73" s="127">
        <v>3.1</v>
      </c>
      <c r="J73" s="30"/>
      <c r="K73" s="10"/>
      <c r="L73" s="8"/>
      <c r="M73" s="9"/>
      <c r="N73" s="10"/>
      <c r="O73" s="269"/>
      <c r="P73" s="331"/>
      <c r="Q73" s="335"/>
      <c r="R73" s="128"/>
      <c r="S73" s="9"/>
      <c r="T73" s="10"/>
      <c r="U73" t="s">
        <v>5523</v>
      </c>
      <c r="V73" s="17">
        <v>0</v>
      </c>
      <c r="W73" s="17">
        <f>IF(Distances[[#This Row],[Colonne4]]=$G73,V73,Distances[[#This Row],[Colonne4]]+1)</f>
        <v>1</v>
      </c>
      <c r="X73" s="17">
        <f>IF(Distances[[#This Row],[Colonne5]]=$G73,W73,Distances[[#This Row],[Colonne5]]+1)</f>
        <v>2</v>
      </c>
      <c r="Y73" s="17">
        <f>IF(Distances[[#This Row],[Colonne6]]=$G73,X73,Distances[[#This Row],[Colonne6]]+1)</f>
        <v>3</v>
      </c>
      <c r="Z73" s="17">
        <f>IF(Distances[[#This Row],[Colonne7]]=$G73,Y73,Distances[[#This Row],[Colonne7]]+1)</f>
        <v>4</v>
      </c>
      <c r="AA73" s="17">
        <f>IF(Distances[[#This Row],[Colonne8]]=$G73,Z73,Distances[[#This Row],[Colonne8]]+1)</f>
        <v>5</v>
      </c>
      <c r="AB73" s="17">
        <f>IF(Distances[[#This Row],[Colonne9]]=$G73,AA73,Distances[[#This Row],[Colonne9]]+1)</f>
        <v>6</v>
      </c>
      <c r="AC73" s="17">
        <f>IF(Distances[[#This Row],[Colonne10]]=$G73,AB73,Distances[[#This Row],[Colonne10]]+1)</f>
        <v>7</v>
      </c>
      <c r="AD73" s="17">
        <f>IF(Distances[[#This Row],[Colonne11]]=$G73,AC73,Distances[[#This Row],[Colonne11]]+1)</f>
        <v>8</v>
      </c>
      <c r="AE73" s="17">
        <f>IF(Distances[[#This Row],[Colonne12]]=$G73,AD73,Distances[[#This Row],[Colonne12]]+1)</f>
        <v>9</v>
      </c>
      <c r="AF73" s="17">
        <f>IF(Distances[[#This Row],[Colonne13]]=$G73,AE73,Distances[[#This Row],[Colonne13]]+1)</f>
        <v>10</v>
      </c>
      <c r="AG73" s="17">
        <f>IF(Distances[[#This Row],[Colonne14]]=$G73,AF73,Distances[[#This Row],[Colonne14]]+1)</f>
        <v>11</v>
      </c>
      <c r="AH73" s="17">
        <f>IF(Distances[[#This Row],[Colonne15]]=$G73,AG73,Distances[[#This Row],[Colonne15]]+1)</f>
        <v>12</v>
      </c>
      <c r="AI73" s="17">
        <f>IF(Distances[[#This Row],[Colonne16]]=$G73,AH73,Distances[[#This Row],[Colonne16]]+1)</f>
        <v>13</v>
      </c>
      <c r="AJ73" s="17">
        <f>IF(Distances[[#This Row],[Colonne17]]=$G73,AI73,Distances[[#This Row],[Colonne17]]+1)</f>
        <v>14</v>
      </c>
      <c r="AK73" s="17">
        <f>IF(Distances[[#This Row],[Colonne18]]=$G73,AJ73,Distances[[#This Row],[Colonne18]]+1)</f>
        <v>15</v>
      </c>
      <c r="AL73" s="17">
        <f>IF(Distances[[#This Row],[Colonne19]]=$G73,AK73,Distances[[#This Row],[Colonne19]]+1)</f>
        <v>16</v>
      </c>
      <c r="AM73" s="17">
        <f>IF(Distances[[#This Row],[Colonne20]]=$G73,AL73,Distances[[#This Row],[Colonne20]]+1)</f>
        <v>17</v>
      </c>
      <c r="AN73" s="17">
        <f>IF(Distances[[#This Row],[Colonne21]]=$G73,AM73,Distances[[#This Row],[Colonne21]]+1)</f>
        <v>18</v>
      </c>
      <c r="AO73" s="17">
        <f>IF(Distances[[#This Row],[Colonne22]]=$G73,AN73,Distances[[#This Row],[Colonne22]]+1)</f>
        <v>19</v>
      </c>
      <c r="AP73" s="17">
        <f>IF(Distances[[#This Row],[Colonne23]]=$G73,AO73,Distances[[#This Row],[Colonne23]]+1)</f>
        <v>20</v>
      </c>
      <c r="AQ73" s="17">
        <f>IF(Distances[[#This Row],[Colonne24]]=$G73,AP73,Distances[[#This Row],[Colonne24]]+1)</f>
        <v>21</v>
      </c>
      <c r="AR73" s="17">
        <f>IF(Distances[[#This Row],[Colonne25]]=$G73,AQ73,Distances[[#This Row],[Colonne25]]+1)</f>
        <v>22</v>
      </c>
      <c r="AS73" s="17">
        <f>IF(Distances[[#This Row],[Colonne26]]=$G73,AR73,Distances[[#This Row],[Colonne26]]+1)</f>
        <v>23</v>
      </c>
      <c r="AT73" s="17">
        <f>IF(Distances[[#This Row],[Colonne27]]=$G73,AS73,Distances[[#This Row],[Colonne27]]+1)</f>
        <v>24</v>
      </c>
      <c r="AU73" s="17">
        <f>IF(Distances[[#This Row],[Colonne28]]=$G73,AT73,Distances[[#This Row],[Colonne28]]+1)</f>
        <v>25</v>
      </c>
      <c r="AV73" s="17">
        <f>IF(Distances[[#This Row],[Colonne29]]=$G73,AU73,Distances[[#This Row],[Colonne29]]+1)</f>
        <v>26</v>
      </c>
      <c r="AW73" s="17">
        <f>IF(Distances[[#This Row],[Colonne30]]=$G73,AV73,Distances[[#This Row],[Colonne30]]+1)</f>
        <v>27</v>
      </c>
      <c r="AX73" s="17">
        <f>IF(Distances[[#This Row],[Colonne31]]=$G73,AW73,Distances[[#This Row],[Colonne31]]+1)</f>
        <v>28</v>
      </c>
      <c r="AY73" s="17">
        <f>IF(Distances[[#This Row],[Colonne32]]=$G73,AX73,Distances[[#This Row],[Colonne32]]+1)</f>
        <v>29</v>
      </c>
      <c r="AZ73" s="17">
        <f>IF(Distances[[#This Row],[Colonne33]]=$G73,AY73,Distances[[#This Row],[Colonne33]]+1)</f>
        <v>30</v>
      </c>
      <c r="BA73" s="17">
        <f>IF(Distances[[#This Row],[Colonne34]]=$G73,AZ73,Distances[[#This Row],[Colonne34]]+1)</f>
        <v>31</v>
      </c>
      <c r="BB73" s="17">
        <f>IF(Distances[[#This Row],[Colonne35]]=$G73,BA73,Distances[[#This Row],[Colonne35]]+1)</f>
        <v>32</v>
      </c>
      <c r="BC73" s="17">
        <f>IF(Distances[[#This Row],[Colonne36]]=$G73,BB73,Distances[[#This Row],[Colonne36]]+1)</f>
        <v>33</v>
      </c>
      <c r="BD73" s="17">
        <f>IF(Distances[[#This Row],[Colonne37]]=$G73,BC73,Distances[[#This Row],[Colonne37]]+1)</f>
        <v>34</v>
      </c>
      <c r="BE73" s="17">
        <f>IF(Distances[[#This Row],[Colonne38]]=$G73,BD73,Distances[[#This Row],[Colonne38]]+1)</f>
        <v>35</v>
      </c>
      <c r="BF73" s="17">
        <f>IF(Distances[[#This Row],[Colonne39]]=$G73,BE73,Distances[[#This Row],[Colonne39]]+1)</f>
        <v>36</v>
      </c>
      <c r="BG73" s="17">
        <f>IF(Distances[[#This Row],[Colonne40]]=$G73,BF73,Distances[[#This Row],[Colonne40]]+1)</f>
        <v>37</v>
      </c>
      <c r="BH73" s="17">
        <f>IF(Distances[[#This Row],[Colonne41]]=$G73,BG73,Distances[[#This Row],[Colonne41]]+1)</f>
        <v>38</v>
      </c>
      <c r="BI73" s="17">
        <f>IF(Distances[[#This Row],[Colonne42]]=$G73,BH73,Distances[[#This Row],[Colonne42]]+1)</f>
        <v>39</v>
      </c>
      <c r="BJ73" s="17">
        <f>IF(Distances[[#This Row],[Colonne43]]=$G73,BI73,Distances[[#This Row],[Colonne43]]+1)</f>
        <v>40</v>
      </c>
      <c r="BK73" s="17">
        <f>IF(Distances[[#This Row],[Colonne44]]=$G73,BJ73,Distances[[#This Row],[Colonne44]]+1)</f>
        <v>41</v>
      </c>
      <c r="BL73" s="17">
        <f>IF(Distances[[#This Row],[Colonne45]]=$G73,BK73,Distances[[#This Row],[Colonne45]]+1)</f>
        <v>42</v>
      </c>
      <c r="BM73" s="17">
        <f>IF(Distances[[#This Row],[Colonne46]]=$G73,BL73,Distances[[#This Row],[Colonne46]]+1)</f>
        <v>43</v>
      </c>
      <c r="BN73" s="17">
        <f>IF(Distances[[#This Row],[Colonne47]]=$G73,BM73,Distances[[#This Row],[Colonne47]]+1)</f>
        <v>44</v>
      </c>
      <c r="BO73" s="17">
        <f>IF(Distances[[#This Row],[Colonne48]]=$G73,BN73,Distances[[#This Row],[Colonne48]]+1)</f>
        <v>45</v>
      </c>
      <c r="BP73" s="17">
        <f>IF(Distances[[#This Row],[Colonne49]]=$G73,BO73,Distances[[#This Row],[Colonne49]]+1)</f>
        <v>46</v>
      </c>
      <c r="BQ73" s="17">
        <f>IF(Distances[[#This Row],[Colonne50]]=$G73,BP73,Distances[[#This Row],[Colonne50]]+1)</f>
        <v>47</v>
      </c>
      <c r="BR73" s="17">
        <f>IF(Distances[[#This Row],[Colonne51]]=$G73,BQ73,Distances[[#This Row],[Colonne51]]+1)</f>
        <v>48</v>
      </c>
      <c r="BS73" s="17">
        <f>IF(Distances[[#This Row],[Colonne52]]=$G73,BR73,Distances[[#This Row],[Colonne52]]+1)</f>
        <v>49</v>
      </c>
      <c r="BT73" s="17">
        <f>IF(Distances[[#This Row],[Colonne53]]=$G73,BS73,Distances[[#This Row],[Colonne53]]+1)</f>
        <v>50</v>
      </c>
      <c r="BU73" s="17">
        <f>IF(Distances[[#This Row],[Colonne54]]=$G73,BT73,Distances[[#This Row],[Colonne54]]+1)</f>
        <v>51</v>
      </c>
      <c r="BV73" s="17">
        <f>IF(Distances[[#This Row],[Colonne55]]=$G73,BU73,Distances[[#This Row],[Colonne55]]+1)</f>
        <v>52</v>
      </c>
      <c r="BW73" s="17">
        <f>IF(Distances[[#This Row],[Colonne56]]=$G73,BV73,Distances[[#This Row],[Colonne56]]+1)</f>
        <v>53</v>
      </c>
      <c r="BX73" s="17">
        <f>IF(Distances[[#This Row],[Colonne57]]=$G73,BW73,Distances[[#This Row],[Colonne57]]+1)</f>
        <v>54</v>
      </c>
      <c r="BY73" s="17">
        <f>IF(Distances[[#This Row],[Colonne58]]=$G73,BX73,Distances[[#This Row],[Colonne58]]+1)</f>
        <v>55</v>
      </c>
      <c r="BZ73" s="17">
        <f>IF(Distances[[#This Row],[Colonne59]]=$G73,BY73,Distances[[#This Row],[Colonne59]]+1)</f>
        <v>56</v>
      </c>
      <c r="CA73" s="17">
        <f>IF(Distances[[#This Row],[Colonne60]]=$G73,BZ73,Distances[[#This Row],[Colonne60]]+1)</f>
        <v>57</v>
      </c>
      <c r="CB73" s="17">
        <f>IF(Distances[[#This Row],[Colonne61]]=$G73,CA73,Distances[[#This Row],[Colonne61]]+1)</f>
        <v>58</v>
      </c>
      <c r="CC73" s="17">
        <f>IF(Distances[[#This Row],[Colonne62]]=$G73,CB73,Distances[[#This Row],[Colonne62]]+1)</f>
        <v>59</v>
      </c>
      <c r="CD73" s="17">
        <f>IF(Distances[[#This Row],[Colonne63]]=$G73,CC73,Distances[[#This Row],[Colonne63]]+1)</f>
        <v>60</v>
      </c>
      <c r="CE73" s="17">
        <f>IF(Distances[[#This Row],[Colonne64]]=$G73,CD73,Distances[[#This Row],[Colonne64]]+1)</f>
        <v>61</v>
      </c>
      <c r="CF73" s="17">
        <f>IF(Distances[[#This Row],[Colonne65]]=$G73,CE73,Distances[[#This Row],[Colonne65]]+1)</f>
        <v>62</v>
      </c>
      <c r="CG73" s="17">
        <f>IF(Distances[[#This Row],[Colonne66]]=$G73,CF73,Distances[[#This Row],[Colonne66]]+1)</f>
        <v>63</v>
      </c>
      <c r="CH73" s="17">
        <f>IF(Distances[[#This Row],[Colonne67]]=$G73,CG73,Distances[[#This Row],[Colonne67]]+1)</f>
        <v>64</v>
      </c>
      <c r="CI73" s="17">
        <f>IF(Distances[[#This Row],[Colonne68]]=$G73,CH73,Distances[[#This Row],[Colonne68]]+1)</f>
        <v>65</v>
      </c>
      <c r="CJ73" s="17">
        <f>IF(Distances[[#This Row],[Colonne69]]=$G73,CI73,Distances[[#This Row],[Colonne69]]+1)</f>
        <v>66</v>
      </c>
      <c r="CK73" s="17">
        <f>IF(Distances[[#This Row],[Colonne70]]=$G73,CJ73,Distances[[#This Row],[Colonne70]]+1)</f>
        <v>67</v>
      </c>
      <c r="CL73" s="17">
        <f>IF(Distances[[#This Row],[Colonne71]]=$G73,CK73,Distances[[#This Row],[Colonne71]]+1)</f>
        <v>68</v>
      </c>
      <c r="CM73" s="17">
        <f>IF(Distances[[#This Row],[Colonne72]]=$G73,CL73,Distances[[#This Row],[Colonne72]]+1)</f>
        <v>69</v>
      </c>
      <c r="CN73" s="17">
        <f>IF(Distances[[#This Row],[Colonne73]]=$G73,CM73,Distances[[#This Row],[Colonne73]]+1)</f>
        <v>70</v>
      </c>
      <c r="CO73" s="17">
        <f>IF(Distances[[#This Row],[Colonne74]]=$G73,CN73,Distances[[#This Row],[Colonne74]]+1)</f>
        <v>71</v>
      </c>
      <c r="CP73" s="17">
        <f>IF(Distances[[#This Row],[Colonne75]]=$G73,CO73,Distances[[#This Row],[Colonne75]]+1)</f>
        <v>72</v>
      </c>
      <c r="CQ73" s="17">
        <f>IF(Distances[[#This Row],[Colonne76]]=$G73,CP73,Distances[[#This Row],[Colonne76]]+1)</f>
        <v>73</v>
      </c>
      <c r="CR73" s="17">
        <f>IF(Distances[[#This Row],[Colonne77]]=$G73,CQ73,Distances[[#This Row],[Colonne77]]+1)</f>
        <v>74</v>
      </c>
      <c r="CS73" s="17">
        <f>IF(Distances[[#This Row],[Colonne78]]=$G73,CR73,Distances[[#This Row],[Colonne78]]+1)</f>
        <v>75</v>
      </c>
      <c r="CT73" s="17">
        <f>IF(Distances[[#This Row],[Colonne79]]=$G73,CS73,Distances[[#This Row],[Colonne79]]+1)</f>
        <v>76</v>
      </c>
      <c r="CU73" s="17">
        <f>IF(Distances[[#This Row],[Colonne80]]=$G73,CT73,Distances[[#This Row],[Colonne80]]+1)</f>
        <v>77</v>
      </c>
      <c r="CV73" s="17">
        <f>IF(Distances[[#This Row],[Colonne81]]=$G73,CU73,Distances[[#This Row],[Colonne81]]+1)</f>
        <v>78</v>
      </c>
      <c r="CW73" s="17">
        <f>IF(Distances[[#This Row],[Colonne82]]=$G73,CV73,Distances[[#This Row],[Colonne82]]+1)</f>
        <v>79</v>
      </c>
      <c r="CX73" s="17">
        <f>IF(Distances[[#This Row],[Colonne83]]=$G73,CW73,Distances[[#This Row],[Colonne83]]+1)</f>
        <v>80</v>
      </c>
      <c r="CY73" s="17">
        <f>IF(Distances[[#This Row],[Colonne84]]=$G73,CX73,Distances[[#This Row],[Colonne84]]+1)</f>
        <v>81</v>
      </c>
      <c r="CZ73" s="17">
        <f>IF(Distances[[#This Row],[Colonne85]]=$G73,CY73,Distances[[#This Row],[Colonne85]]+1)</f>
        <v>82</v>
      </c>
      <c r="DA73" s="17">
        <f>IF(Distances[[#This Row],[Colonne86]]=$G73,CZ73,Distances[[#This Row],[Colonne86]]+1)</f>
        <v>83</v>
      </c>
      <c r="DB73" s="17">
        <f>IF(Distances[[#This Row],[Colonne87]]=$G73,DA73,Distances[[#This Row],[Colonne87]]+1)</f>
        <v>84</v>
      </c>
      <c r="DC73" s="17">
        <f>IF(Distances[[#This Row],[Colonne88]]=$G73,DB73,Distances[[#This Row],[Colonne88]]+1)</f>
        <v>85</v>
      </c>
      <c r="DD73" s="17">
        <f>IF(Distances[[#This Row],[Colonne89]]=$G73,DC73,Distances[[#This Row],[Colonne89]]+1)</f>
        <v>86</v>
      </c>
      <c r="DE73" s="17">
        <f>IF(Distances[[#This Row],[Colonne90]]=$G73,DD73,Distances[[#This Row],[Colonne90]]+1)</f>
        <v>87</v>
      </c>
      <c r="DF73" s="17">
        <f>IF(Distances[[#This Row],[Colonne91]]=$G73,DE73,Distances[[#This Row],[Colonne91]]+1)</f>
        <v>88</v>
      </c>
      <c r="DG73" s="17">
        <f>IF(Distances[[#This Row],[Colonne92]]=$G73,DF73,Distances[[#This Row],[Colonne92]]+1)</f>
        <v>89</v>
      </c>
      <c r="DH73" s="17">
        <f>IF(Distances[[#This Row],[Colonne93]]=$G73,DG73,Distances[[#This Row],[Colonne93]]+1)</f>
        <v>90</v>
      </c>
      <c r="DI73" s="17">
        <f>IF(Distances[[#This Row],[Colonne94]]=$G73,DH73,Distances[[#This Row],[Colonne94]]+1)</f>
        <v>91</v>
      </c>
      <c r="DJ73" s="17">
        <f>IF(Distances[[#This Row],[Colonne95]]=$G73,DI73,Distances[[#This Row],[Colonne95]]+1)</f>
        <v>92</v>
      </c>
      <c r="DK73" s="17">
        <f>IF(Distances[[#This Row],[Colonne96]]=$G73,DJ73,Distances[[#This Row],[Colonne96]]+1)</f>
        <v>93</v>
      </c>
      <c r="DL73" s="17">
        <f>IF(Distances[[#This Row],[Colonne97]]=$G73,DK73,Distances[[#This Row],[Colonne97]]+1)</f>
        <v>94</v>
      </c>
      <c r="DM73" s="17">
        <f>IF(Distances[[#This Row],[Colonne98]]=$G73,DL73,Distances[[#This Row],[Colonne98]]+1)</f>
        <v>95</v>
      </c>
      <c r="DN73" s="17">
        <f>IF(Distances[[#This Row],[Colonne99]]=$G73,DM73,Distances[[#This Row],[Colonne99]]+1)</f>
        <v>96</v>
      </c>
      <c r="DO73" s="17">
        <f>IF(Distances[[#This Row],[Colonne100]]=$G73,DN73,Distances[[#This Row],[Colonne100]]+1)</f>
        <v>97</v>
      </c>
      <c r="DP73" s="17">
        <f>IF(Distances[[#This Row],[Colonne101]]=$G73,DO73,Distances[[#This Row],[Colonne101]]+1)</f>
        <v>98</v>
      </c>
      <c r="DQ73" s="17">
        <f>IF(Distances[[#This Row],[Colonne102]]=$G73,DP73,Distances[[#This Row],[Colonne102]]+1)</f>
        <v>99</v>
      </c>
      <c r="DR73" s="17">
        <f>IF(Distances[[#This Row],[Colonne103]]=$G73,DQ73,Distances[[#This Row],[Colonne103]]+1)</f>
        <v>100</v>
      </c>
      <c r="DS73" s="17">
        <f>IF(Distances[[#This Row],[Colonne104]]=$G73,DR73,Distances[[#This Row],[Colonne104]]+1)</f>
        <v>101</v>
      </c>
      <c r="DT73" s="17">
        <f>IF(Distances[[#This Row],[Colonne105]]=$G73,DS73,Distances[[#This Row],[Colonne105]]+1)</f>
        <v>102</v>
      </c>
      <c r="DU73" s="17">
        <f>IF(Distances[[#This Row],[Colonne106]]=$G73,DT73,Distances[[#This Row],[Colonne106]]+1)</f>
        <v>103</v>
      </c>
      <c r="DV73" s="17">
        <f>IF(Distances[[#This Row],[Colonne107]]=$G73,DU73,Distances[[#This Row],[Colonne107]]+1)</f>
        <v>104</v>
      </c>
      <c r="DW73" s="17">
        <f>IF(Distances[[#This Row],[Colonne108]]=$G73,DV73,Distances[[#This Row],[Colonne108]]+1)</f>
        <v>105</v>
      </c>
      <c r="DX73" s="17">
        <f>IF(Distances[[#This Row],[Colonne109]]=$G73,DW73,Distances[[#This Row],[Colonne109]]+1)</f>
        <v>106</v>
      </c>
      <c r="DY73" s="17">
        <f>IF(Distances[[#This Row],[Colonne110]]=$G73,DX73,Distances[[#This Row],[Colonne110]]+1)</f>
        <v>107</v>
      </c>
      <c r="DZ73" s="17">
        <f>IF(Distances[[#This Row],[Colonne111]]=$G73,DY73,Distances[[#This Row],[Colonne111]]+1)</f>
        <v>108</v>
      </c>
      <c r="EA73" s="17">
        <f>IF(Distances[[#This Row],[Colonne112]]=$G73,DZ73,Distances[[#This Row],[Colonne112]]+1)</f>
        <v>109</v>
      </c>
      <c r="EB73" s="17">
        <f>IF(Distances[[#This Row],[Colonne113]]=$G73,EA73,Distances[[#This Row],[Colonne113]]+1)</f>
        <v>110</v>
      </c>
      <c r="EC73" s="17">
        <f>IF(Distances[[#This Row],[Colonne114]]=$G73,EB73,Distances[[#This Row],[Colonne114]]+1)</f>
        <v>111</v>
      </c>
      <c r="ED73" s="17">
        <f>IF(Distances[[#This Row],[Colonne115]]=$G73,EC73,Distances[[#This Row],[Colonne115]]+1)</f>
        <v>112</v>
      </c>
      <c r="EE73" s="17">
        <f>IF(Distances[[#This Row],[Colonne116]]=$G73,ED73,Distances[[#This Row],[Colonne116]]+1)</f>
        <v>113</v>
      </c>
      <c r="EF73" s="17">
        <f>IF(Distances[[#This Row],[Colonne117]]=$G73,EE73,Distances[[#This Row],[Colonne117]]+1)</f>
        <v>114</v>
      </c>
      <c r="EG73" s="17">
        <f>IF(Distances[[#This Row],[Colonne118]]=$G73,EF73,Distances[[#This Row],[Colonne118]]+1)</f>
        <v>115</v>
      </c>
      <c r="EH73" s="17">
        <f>IF(Distances[[#This Row],[Colonne119]]=$G73,EG73,Distances[[#This Row],[Colonne119]]+1)</f>
        <v>116</v>
      </c>
      <c r="EI73" s="17">
        <f>IF(Distances[[#This Row],[Colonne120]]=$G73,EH73,Distances[[#This Row],[Colonne120]]+1)</f>
        <v>117</v>
      </c>
      <c r="EJ73" s="17">
        <f>IF(Distances[[#This Row],[Colonne121]]=$G73,EI73,Distances[[#This Row],[Colonne121]]+1)</f>
        <v>118</v>
      </c>
      <c r="EK73" s="17">
        <f>IF(Distances[[#This Row],[Colonne122]]=$G73,EJ73,Distances[[#This Row],[Colonne122]]+1)</f>
        <v>119</v>
      </c>
      <c r="EL73" s="17">
        <f>IF(Distances[[#This Row],[Colonne123]]=$G73,EK73,Distances[[#This Row],[Colonne123]]+1)</f>
        <v>120</v>
      </c>
      <c r="EM73" s="17">
        <f>IF(Distances[[#This Row],[Colonne124]]=$G73,EL73,Distances[[#This Row],[Colonne124]]+1)</f>
        <v>121</v>
      </c>
      <c r="EN73" s="17">
        <f>IF(Distances[[#This Row],[Colonne125]]=$G73,EM73,Distances[[#This Row],[Colonne125]]+1)</f>
        <v>122</v>
      </c>
      <c r="EO73" s="17">
        <f>IF(Distances[[#This Row],[Colonne126]]=$G73,EN73,Distances[[#This Row],[Colonne126]]+1)</f>
        <v>123</v>
      </c>
      <c r="EP73" s="17">
        <f>IF(Distances[[#This Row],[Colonne127]]=$G73,EO73,Distances[[#This Row],[Colonne127]]+1)</f>
        <v>124</v>
      </c>
      <c r="EQ73" s="17">
        <f>IF(Distances[[#This Row],[Colonne128]]=$G73,EP73,Distances[[#This Row],[Colonne128]]+1)</f>
        <v>125</v>
      </c>
      <c r="ER73" s="17">
        <f>IF(Distances[[#This Row],[Colonne129]]=$G73,EQ73,Distances[[#This Row],[Colonne129]]+1)</f>
        <v>126</v>
      </c>
      <c r="ES73" s="17">
        <f>IF(Distances[[#This Row],[Colonne130]]=$G73,ER73,Distances[[#This Row],[Colonne130]]+1)</f>
        <v>127</v>
      </c>
      <c r="ET73" s="17">
        <f>IF(Distances[[#This Row],[Colonne131]]=$G73,ES73,Distances[[#This Row],[Colonne131]]+1)</f>
        <v>128</v>
      </c>
      <c r="EU73" s="17">
        <f>IF(Distances[[#This Row],[Colonne132]]=$G73,ET73,Distances[[#This Row],[Colonne132]]+1)</f>
        <v>129</v>
      </c>
      <c r="EV73" s="17">
        <f>IF(Distances[[#This Row],[Colonne133]]=$G73,EU73,Distances[[#This Row],[Colonne133]]+1)</f>
        <v>130</v>
      </c>
      <c r="EW73" s="17">
        <f>IF(Distances[[#This Row],[Colonne134]]=$G73,EV73,Distances[[#This Row],[Colonne134]]+1)</f>
        <v>131</v>
      </c>
      <c r="EX73" s="17">
        <f>IF(Distances[[#This Row],[Colonne135]]=$G73,EW73,Distances[[#This Row],[Colonne135]]+1)</f>
        <v>132</v>
      </c>
      <c r="EY73" s="17">
        <f>IF(Distances[[#This Row],[Colonne136]]=$G73,EX73,Distances[[#This Row],[Colonne136]]+1)</f>
        <v>133</v>
      </c>
      <c r="EZ73" s="17">
        <f>IF(Distances[[#This Row],[Colonne137]]=$G73,EY73,Distances[[#This Row],[Colonne137]]+1)</f>
        <v>134</v>
      </c>
      <c r="FA73" s="17">
        <f>IF(Distances[[#This Row],[Colonne138]]=$G73,EZ73,Distances[[#This Row],[Colonne138]]+1)</f>
        <v>135</v>
      </c>
      <c r="FB73" s="17">
        <f>IF(Distances[[#This Row],[Colonne139]]=$G73,FA73,Distances[[#This Row],[Colonne139]]+1)</f>
        <v>136</v>
      </c>
      <c r="FC73" s="17">
        <f>IF(Distances[[#This Row],[Colonne140]]=$G73,FB73,Distances[[#This Row],[Colonne140]]+1)</f>
        <v>137</v>
      </c>
      <c r="FD73" s="17">
        <f>IF(Distances[[#This Row],[Colonne141]]=$G73,FC73,Distances[[#This Row],[Colonne141]]+1)</f>
        <v>138</v>
      </c>
      <c r="FE73" s="17">
        <f>IF(Distances[[#This Row],[Colonne142]]=$G73,FD73,Distances[[#This Row],[Colonne142]]+1)</f>
        <v>139</v>
      </c>
      <c r="FF73" s="17">
        <f>IF(Distances[[#This Row],[Colonne143]]=$G73,FE73,Distances[[#This Row],[Colonne143]]+1)</f>
        <v>140</v>
      </c>
      <c r="FG73" s="17">
        <f>IF(Distances[[#This Row],[Colonne144]]=$G73,FF73,Distances[[#This Row],[Colonne144]]+1)</f>
        <v>141</v>
      </c>
      <c r="FH73" s="17">
        <f>IF(Distances[[#This Row],[Colonne145]]=$G73,FG73,Distances[[#This Row],[Colonne145]]+1)</f>
        <v>142</v>
      </c>
      <c r="FI73" s="17">
        <f>IF(Distances[[#This Row],[Colonne146]]=$G73,FH73,Distances[[#This Row],[Colonne146]]+1)</f>
        <v>143</v>
      </c>
      <c r="FJ73" s="17">
        <f>IF(Distances[[#This Row],[Colonne147]]=$G73,FI73,Distances[[#This Row],[Colonne147]]+1)</f>
        <v>144</v>
      </c>
      <c r="FK73" s="17">
        <f>IF(Distances[[#This Row],[Colonne148]]=$G73,FJ73,Distances[[#This Row],[Colonne148]]+1)</f>
        <v>145</v>
      </c>
      <c r="FL73" s="17">
        <f>IF(Distances[[#This Row],[Colonne149]]=$G73,FK73,Distances[[#This Row],[Colonne149]]+1)</f>
        <v>146</v>
      </c>
      <c r="FM73" s="17">
        <f>IF(Distances[[#This Row],[Colonne150]]=$G73,FL73,Distances[[#This Row],[Colonne150]]+1)</f>
        <v>147</v>
      </c>
      <c r="FN73" s="17">
        <f>IF(Distances[[#This Row],[Colonne151]]=$G73,FM73,Distances[[#This Row],[Colonne151]]+1)</f>
        <v>148</v>
      </c>
      <c r="FO73" s="17">
        <f>IF(Distances[[#This Row],[Colonne152]]=$G73,FN73,Distances[[#This Row],[Colonne152]]+1)</f>
        <v>149</v>
      </c>
      <c r="FP73" s="17">
        <f>IF(Distances[[#This Row],[Colonne153]]=$G73,FO73,Distances[[#This Row],[Colonne153]]+1)</f>
        <v>150</v>
      </c>
      <c r="FQ73" s="17">
        <f>IF(Distances[[#This Row],[Colonne154]]=$G73,FP73,Distances[[#This Row],[Colonne154]]+1)</f>
        <v>151</v>
      </c>
      <c r="FR73" s="17">
        <f>IF(Distances[[#This Row],[Colonne155]]=$G73,FQ73,Distances[[#This Row],[Colonne155]]+1)</f>
        <v>152</v>
      </c>
      <c r="FS73" s="17">
        <f>IF(Distances[[#This Row],[Colonne156]]=$G73,FR73,Distances[[#This Row],[Colonne156]]+1)</f>
        <v>153</v>
      </c>
      <c r="FT73" s="17">
        <f>IF(Distances[[#This Row],[Colonne157]]=$G73,FS73,Distances[[#This Row],[Colonne157]]+1)</f>
        <v>154</v>
      </c>
      <c r="FU73" s="17">
        <f>IF(Distances[[#This Row],[Colonne158]]=$G73,FT73,Distances[[#This Row],[Colonne158]]+1)</f>
        <v>155</v>
      </c>
      <c r="FV73" s="17">
        <f>IF(Distances[[#This Row],[Colonne159]]=$G73,FU73,Distances[[#This Row],[Colonne159]]+1)</f>
        <v>156</v>
      </c>
      <c r="FW73" s="17">
        <f>IF(Distances[[#This Row],[Colonne160]]=$G73,FV73,Distances[[#This Row],[Colonne160]]+1)</f>
        <v>157</v>
      </c>
      <c r="FX73" s="17">
        <f>IF(Distances[[#This Row],[Colonne161]]=$G73,FW73,Distances[[#This Row],[Colonne161]]+1)</f>
        <v>158</v>
      </c>
      <c r="FY73" s="17">
        <f>IF(Distances[[#This Row],[Colonne162]]=$G73,FX73,Distances[[#This Row],[Colonne162]]+1)</f>
        <v>159</v>
      </c>
      <c r="FZ73" s="17">
        <f>IF(Distances[[#This Row],[Colonne163]]=$G73,FY73,Distances[[#This Row],[Colonne163]]+1)</f>
        <v>160</v>
      </c>
      <c r="GA73" s="17">
        <f>IF(Distances[[#This Row],[Colonne164]]=$G73,FZ73,Distances[[#This Row],[Colonne164]]+1)</f>
        <v>161</v>
      </c>
      <c r="GB73" s="17">
        <f>IF(Distances[[#This Row],[Colonne165]]=$G73,GA73,Distances[[#This Row],[Colonne165]]+1)</f>
        <v>162</v>
      </c>
      <c r="GC73" s="17">
        <f>IF(Distances[[#This Row],[Colonne166]]=$G73,GB73,Distances[[#This Row],[Colonne166]]+1)</f>
        <v>163</v>
      </c>
      <c r="GD73" s="17">
        <f>IF(Distances[[#This Row],[Colonne167]]=$G73,GC73,Distances[[#This Row],[Colonne167]]+1)</f>
        <v>164</v>
      </c>
      <c r="GE73" s="17">
        <f>IF(Distances[[#This Row],[Colonne168]]=$G73,GD73,Distances[[#This Row],[Colonne168]]+1)</f>
        <v>165</v>
      </c>
      <c r="GF73" s="17">
        <f>IF(Distances[[#This Row],[Colonne169]]=$G73,GE73,Distances[[#This Row],[Colonne169]]+1)</f>
        <v>166</v>
      </c>
      <c r="GG73" s="17">
        <f>IF(Distances[[#This Row],[Colonne170]]=$G73,GF73,Distances[[#This Row],[Colonne170]]+1)</f>
        <v>167</v>
      </c>
      <c r="GH73" s="17">
        <f>IF(Distances[[#This Row],[Colonne171]]=$G73,GG73,Distances[[#This Row],[Colonne171]]+1)</f>
        <v>168</v>
      </c>
      <c r="GI73" s="17">
        <f>IF(Distances[[#This Row],[Colonne172]]=$G73,GH73,Distances[[#This Row],[Colonne172]]+1)</f>
        <v>169</v>
      </c>
      <c r="GJ73" s="17">
        <f>IF(Distances[[#This Row],[Colonne173]]=$G73,GI73,Distances[[#This Row],[Colonne173]]+1)</f>
        <v>170</v>
      </c>
      <c r="GK73" s="17">
        <f>IF(Distances[[#This Row],[Colonne174]]=$G73,GJ73,Distances[[#This Row],[Colonne174]]+1)</f>
        <v>171</v>
      </c>
      <c r="GL73" s="17">
        <f>IF(Distances[[#This Row],[Colonne175]]=$G73,GK73,Distances[[#This Row],[Colonne175]]+1)</f>
        <v>172</v>
      </c>
      <c r="GM73" s="17">
        <f>IF(Distances[[#This Row],[Colonne176]]=$G73,GL73,Distances[[#This Row],[Colonne176]]+1)</f>
        <v>173</v>
      </c>
      <c r="GN73" s="17">
        <f>IF(Distances[[#This Row],[Colonne177]]=$G73,GM73,Distances[[#This Row],[Colonne177]]+1)</f>
        <v>174</v>
      </c>
      <c r="GO73" s="17">
        <f>IF(Distances[[#This Row],[Colonne178]]=$G73,GN73,Distances[[#This Row],[Colonne178]]+1)</f>
        <v>175</v>
      </c>
      <c r="GP73" s="17">
        <f>IF(Distances[[#This Row],[Colonne179]]=$G73,GO73,Distances[[#This Row],[Colonne179]]+1)</f>
        <v>176</v>
      </c>
      <c r="GQ73" s="17">
        <f>IF(Distances[[#This Row],[Colonne180]]=$G73,GP73,Distances[[#This Row],[Colonne180]]+1)</f>
        <v>177</v>
      </c>
      <c r="GR73" s="17">
        <f>IF(Distances[[#This Row],[Colonne181]]=$G73,GQ73,Distances[[#This Row],[Colonne181]]+1)</f>
        <v>178</v>
      </c>
      <c r="GS73" s="17">
        <f>IF(Distances[[#This Row],[Colonne182]]=$G73,GR73,Distances[[#This Row],[Colonne182]]+1)</f>
        <v>179</v>
      </c>
      <c r="GT73" s="17">
        <f>IF(Distances[[#This Row],[Colonne183]]=$G73,GS73,Distances[[#This Row],[Colonne183]]+1)</f>
        <v>180</v>
      </c>
      <c r="GU73" s="17">
        <f>IF(Distances[[#This Row],[Colonne184]]=$G73,GT73,Distances[[#This Row],[Colonne184]]+1)</f>
        <v>181</v>
      </c>
      <c r="GV73" s="17">
        <f>IF(Distances[[#This Row],[Colonne185]]=$G73,GU73,Distances[[#This Row],[Colonne185]]+1)</f>
        <v>182</v>
      </c>
      <c r="GW73" s="17">
        <f>IF(Distances[[#This Row],[Colonne186]]=$G73,GV73,Distances[[#This Row],[Colonne186]]+1)</f>
        <v>183</v>
      </c>
      <c r="GX73" s="17">
        <f>IF(Distances[[#This Row],[Colonne187]]=$G73,GW73,Distances[[#This Row],[Colonne187]]+1)</f>
        <v>184</v>
      </c>
      <c r="GY73" s="17">
        <f>IF(Distances[[#This Row],[Colonne188]]=$G73,GX73,Distances[[#This Row],[Colonne188]]+1)</f>
        <v>185</v>
      </c>
      <c r="GZ73" s="17">
        <f>IF(Distances[[#This Row],[Colonne189]]=$G73,GY73,Distances[[#This Row],[Colonne189]]+1)</f>
        <v>186</v>
      </c>
      <c r="HA73" s="17">
        <f>IF(Distances[[#This Row],[Colonne190]]=$G73,GZ73,Distances[[#This Row],[Colonne190]]+1)</f>
        <v>187</v>
      </c>
      <c r="HB73" s="17">
        <f>IF(Distances[[#This Row],[Colonne191]]=$G73,HA73,Distances[[#This Row],[Colonne191]]+1)</f>
        <v>188</v>
      </c>
      <c r="HC73" s="17">
        <f>IF(Distances[[#This Row],[Colonne192]]=$G73,HB73,Distances[[#This Row],[Colonne192]]+1)</f>
        <v>189</v>
      </c>
      <c r="HD73" s="17">
        <f>IF(Distances[[#This Row],[Colonne193]]=$G73,HC73,Distances[[#This Row],[Colonne193]]+1)</f>
        <v>190</v>
      </c>
      <c r="HE73" s="17">
        <f>IF(Distances[[#This Row],[Colonne194]]=$G73,HD73,Distances[[#This Row],[Colonne194]]+1)</f>
        <v>191</v>
      </c>
      <c r="HF73" s="17">
        <f>IF(Distances[[#This Row],[Colonne195]]=$G73,HE73,Distances[[#This Row],[Colonne195]]+1)</f>
        <v>192</v>
      </c>
      <c r="HG73" s="17">
        <f>IF(Distances[[#This Row],[Colonne196]]=$G73,HF73,Distances[[#This Row],[Colonne196]]+1)</f>
        <v>193</v>
      </c>
      <c r="HH73" s="17">
        <f>IF(Distances[[#This Row],[Colonne197]]=$G73,HG73,Distances[[#This Row],[Colonne197]]+1)</f>
        <v>194</v>
      </c>
      <c r="HI73" s="17">
        <f>IF(Distances[[#This Row],[Colonne198]]=$G73,HH73,Distances[[#This Row],[Colonne198]]+1)</f>
        <v>195</v>
      </c>
      <c r="HJ73" s="17">
        <f>IF(Distances[[#This Row],[Colonne199]]=$G73,HI73,Distances[[#This Row],[Colonne199]]+1)</f>
        <v>196</v>
      </c>
      <c r="HK73" s="17">
        <f>IF(Distances[[#This Row],[Colonne200]]=$G73,HJ73,Distances[[#This Row],[Colonne200]]+1)</f>
        <v>197</v>
      </c>
      <c r="HL73" s="17">
        <f>IF(Distances[[#This Row],[Colonne201]]=$G73,HK73,Distances[[#This Row],[Colonne201]]+1)</f>
        <v>198</v>
      </c>
      <c r="HM73" s="17">
        <f>IF(Distances[[#This Row],[Colonne202]]=$G73,HL73,Distances[[#This Row],[Colonne202]]+1)</f>
        <v>199</v>
      </c>
      <c r="HN73" s="17">
        <f>IF(Distances[[#This Row],[Colonne203]]=$G73,HM73,Distances[[#This Row],[Colonne203]]+1)</f>
        <v>200</v>
      </c>
      <c r="HO73" s="17">
        <f>IF(Distances[[#This Row],[Colonne204]]=$G73,HN73,Distances[[#This Row],[Colonne204]]+1)</f>
        <v>201</v>
      </c>
      <c r="HP73" s="17">
        <f>IF(Distances[[#This Row],[Colonne205]]=$G73,HO73,Distances[[#This Row],[Colonne205]]+1)</f>
        <v>202</v>
      </c>
      <c r="HQ73" s="17">
        <f>IF(Distances[[#This Row],[Colonne206]]=$G73,HP73,Distances[[#This Row],[Colonne206]]+1)</f>
        <v>203</v>
      </c>
      <c r="HR73" s="17">
        <f>IF(Distances[[#This Row],[Colonne207]]=$G73,HQ73,Distances[[#This Row],[Colonne207]]+1)</f>
        <v>204</v>
      </c>
      <c r="HS73" s="17">
        <f>IF(Distances[[#This Row],[Colonne208]]=$G73,HR73,Distances[[#This Row],[Colonne208]]+1)</f>
        <v>205</v>
      </c>
      <c r="HT73" s="17">
        <f>IF(Distances[[#This Row],[Colonne209]]=$G73,HS73,Distances[[#This Row],[Colonne209]]+1)</f>
        <v>206</v>
      </c>
      <c r="HU73" s="17">
        <f>IF(Distances[[#This Row],[Colonne210]]=$G73,HT73,Distances[[#This Row],[Colonne210]]+1)</f>
        <v>207</v>
      </c>
      <c r="HV73" s="17">
        <f>IF(Distances[[#This Row],[Colonne211]]=$G73,HU73,Distances[[#This Row],[Colonne211]]+1)</f>
        <v>208</v>
      </c>
      <c r="HW73" s="17">
        <f>IF(Distances[[#This Row],[Colonne212]]=$G73,HV73,Distances[[#This Row],[Colonne212]]+1)</f>
        <v>209</v>
      </c>
      <c r="HX73" s="17">
        <f>IF(Distances[[#This Row],[Colonne213]]=$G73,HW73,Distances[[#This Row],[Colonne213]]+1)</f>
        <v>210</v>
      </c>
      <c r="HY73" s="17">
        <f>IF(Distances[[#This Row],[Colonne214]]=$G73,HX73,Distances[[#This Row],[Colonne214]]+1)</f>
        <v>211</v>
      </c>
      <c r="HZ73" s="17">
        <f>IF(Distances[[#This Row],[Colonne215]]=$G73,HY73,Distances[[#This Row],[Colonne215]]+1)</f>
        <v>212</v>
      </c>
      <c r="IA73" s="17">
        <f>IF(Distances[[#This Row],[Colonne216]]=$G73,HZ73,Distances[[#This Row],[Colonne216]]+1)</f>
        <v>213</v>
      </c>
      <c r="IB73" s="17">
        <f>IF(Distances[[#This Row],[Colonne217]]=$G73,IA73,Distances[[#This Row],[Colonne217]]+1)</f>
        <v>214</v>
      </c>
      <c r="IC73" s="17">
        <f>IF(Distances[[#This Row],[Colonne218]]=$G73,IB73,Distances[[#This Row],[Colonne218]]+1)</f>
        <v>215</v>
      </c>
      <c r="ID73" s="17">
        <f>IF(Distances[[#This Row],[Colonne219]]=$G73,IC73,Distances[[#This Row],[Colonne219]]+1)</f>
        <v>216</v>
      </c>
      <c r="IE73" s="17">
        <f>IF(Distances[[#This Row],[Colonne220]]=$G73,ID73,Distances[[#This Row],[Colonne220]]+1)</f>
        <v>217</v>
      </c>
      <c r="IF73" s="17">
        <f>IF(Distances[[#This Row],[Colonne221]]=$G73,IE73,Distances[[#This Row],[Colonne221]]+1)</f>
        <v>218</v>
      </c>
      <c r="IG73" s="17">
        <f>IF(Distances[[#This Row],[Colonne222]]=$G73,IF73,Distances[[#This Row],[Colonne222]]+1)</f>
        <v>219</v>
      </c>
      <c r="IH73" s="17">
        <f>IF(Distances[[#This Row],[Colonne223]]=$G73,IG73,Distances[[#This Row],[Colonne223]]+1)</f>
        <v>220</v>
      </c>
      <c r="II73" s="17">
        <f>IF(Distances[[#This Row],[Colonne224]]=$G73,IH73,Distances[[#This Row],[Colonne224]]+1)</f>
        <v>221</v>
      </c>
      <c r="IJ73" s="17">
        <f>IF(Distances[[#This Row],[Colonne225]]=$G73,II73,Distances[[#This Row],[Colonne225]]+1)</f>
        <v>222</v>
      </c>
      <c r="IK73" s="17">
        <f>IF(Distances[[#This Row],[Colonne226]]=$G73,IJ73,Distances[[#This Row],[Colonne226]]+1)</f>
        <v>223</v>
      </c>
      <c r="IL73" s="17">
        <f>IF(Distances[[#This Row],[Colonne227]]=$G73,IK73,Distances[[#This Row],[Colonne227]]+1)</f>
        <v>224</v>
      </c>
      <c r="IM73" s="17">
        <f>IF(Distances[[#This Row],[Colonne228]]=$G73,IL73,Distances[[#This Row],[Colonne228]]+1)</f>
        <v>225</v>
      </c>
      <c r="IN73" s="17">
        <f>IF(Distances[[#This Row],[Colonne229]]=$G73,IM73,Distances[[#This Row],[Colonne229]]+1)</f>
        <v>226</v>
      </c>
      <c r="IO73" s="17">
        <f>IF(Distances[[#This Row],[Colonne230]]=$G73,IN73,Distances[[#This Row],[Colonne230]]+1)</f>
        <v>227</v>
      </c>
      <c r="IP73" s="17">
        <f>IF(Distances[[#This Row],[Colonne231]]=$G73,IO73,Distances[[#This Row],[Colonne231]]+1)</f>
        <v>228</v>
      </c>
      <c r="IQ73" s="17">
        <f>IF(Distances[[#This Row],[Colonne232]]=$G73,IP73,Distances[[#This Row],[Colonne232]]+1)</f>
        <v>229</v>
      </c>
      <c r="IR73" s="17">
        <f>IF(Distances[[#This Row],[Colonne233]]=$G73,IQ73,Distances[[#This Row],[Colonne233]]+1)</f>
        <v>230</v>
      </c>
      <c r="IS73" s="17">
        <f>IF(Distances[[#This Row],[Colonne234]]=$G73,IR73,Distances[[#This Row],[Colonne234]]+1)</f>
        <v>231</v>
      </c>
      <c r="IT73" s="17">
        <f>IF(Distances[[#This Row],[Colonne235]]=$G73,IS73,Distances[[#This Row],[Colonne235]]+1)</f>
        <v>232</v>
      </c>
      <c r="IU73" s="17">
        <f>IF(Distances[[#This Row],[Colonne236]]=$G73,IT73,Distances[[#This Row],[Colonne236]]+1)</f>
        <v>233</v>
      </c>
      <c r="IV73" s="17">
        <f>IF(Distances[[#This Row],[Colonne237]]=$G73,IU73,Distances[[#This Row],[Colonne237]]+1)</f>
        <v>234</v>
      </c>
      <c r="IW73" s="17">
        <f>IF(Distances[[#This Row],[Colonne238]]=$G73,IV73,Distances[[#This Row],[Colonne238]]+1)</f>
        <v>235</v>
      </c>
      <c r="IX73" s="17">
        <f>IF(Distances[[#This Row],[Colonne239]]=$G73,IW73,Distances[[#This Row],[Colonne239]]+1)</f>
        <v>236</v>
      </c>
      <c r="IY73" s="17">
        <f>IF(Distances[[#This Row],[Colonne240]]=$G73,IX73,Distances[[#This Row],[Colonne240]]+1)</f>
        <v>237</v>
      </c>
      <c r="IZ73" s="17">
        <f>IF(Distances[[#This Row],[Colonne241]]=$G73,IY73,Distances[[#This Row],[Colonne241]]+1)</f>
        <v>238</v>
      </c>
      <c r="JA73" s="17">
        <f>IF(Distances[[#This Row],[Colonne242]]=$G73,IZ73,Distances[[#This Row],[Colonne242]]+1)</f>
        <v>239</v>
      </c>
      <c r="JB73" s="17">
        <f>IF(Distances[[#This Row],[Colonne243]]=$G73,JA73,Distances[[#This Row],[Colonne243]]+1)</f>
        <v>240</v>
      </c>
      <c r="JC73" s="17">
        <f>IF(Distances[[#This Row],[Colonne244]]=$G73,JB73,Distances[[#This Row],[Colonne244]]+1)</f>
        <v>241</v>
      </c>
      <c r="JD73" s="17">
        <f>IF(Distances[[#This Row],[Colonne245]]=$G73,JC73,Distances[[#This Row],[Colonne245]]+1)</f>
        <v>242</v>
      </c>
      <c r="JE73" s="17">
        <f>IF(Distances[[#This Row],[Colonne246]]=$G73,JD73,Distances[[#This Row],[Colonne246]]+1)</f>
        <v>243</v>
      </c>
      <c r="JF73" s="17">
        <f>IF(Distances[[#This Row],[Colonne247]]=$G73,JE73,Distances[[#This Row],[Colonne247]]+1)</f>
        <v>244</v>
      </c>
      <c r="JG73" s="17">
        <f>IF(Distances[[#This Row],[Colonne248]]=$G73,JF73,Distances[[#This Row],[Colonne248]]+1)</f>
        <v>245</v>
      </c>
      <c r="JH73" s="17">
        <f>IF(Distances[[#This Row],[Colonne249]]=$G73,JG73,Distances[[#This Row],[Colonne249]]+1)</f>
        <v>246</v>
      </c>
      <c r="JI73" s="17">
        <f>IF(Distances[[#This Row],[Colonne250]]=$G73,JH73,Distances[[#This Row],[Colonne250]]+1)</f>
        <v>247</v>
      </c>
      <c r="JJ73" s="17">
        <f>IF(Distances[[#This Row],[Colonne251]]=$G73,JI73,Distances[[#This Row],[Colonne251]]+1)</f>
        <v>248</v>
      </c>
      <c r="JK73" s="17">
        <f>IF(Distances[[#This Row],[Colonne252]]=$G73,JJ73,Distances[[#This Row],[Colonne252]]+1)</f>
        <v>249</v>
      </c>
      <c r="JL73" s="17">
        <f>IF(Distances[[#This Row],[Colonne253]]=$G73,JK73,Distances[[#This Row],[Colonne253]]+1)</f>
        <v>250</v>
      </c>
      <c r="JM73" s="17">
        <f>IF(Distances[[#This Row],[Colonne254]]=$G73,JL73,Distances[[#This Row],[Colonne254]]+1)</f>
        <v>251</v>
      </c>
      <c r="JN73" s="17">
        <f>IF(Distances[[#This Row],[Colonne255]]=$G73,JM73,Distances[[#This Row],[Colonne255]]+1)</f>
        <v>252</v>
      </c>
      <c r="JO73" s="17">
        <f>IF(Distances[[#This Row],[Colonne256]]=$G73,JN73,Distances[[#This Row],[Colonne256]]+1)</f>
        <v>253</v>
      </c>
      <c r="JP73" s="17">
        <f>IF(Distances[[#This Row],[Colonne257]]=$G73,JO73,Distances[[#This Row],[Colonne257]]+1)</f>
        <v>254</v>
      </c>
      <c r="JQ73" s="17">
        <f>IF(Distances[[#This Row],[Colonne258]]=$G73,JP73,Distances[[#This Row],[Colonne258]]+1)</f>
        <v>255</v>
      </c>
      <c r="JR73" s="17">
        <f>IF(Distances[[#This Row],[Colonne259]]=$G73,JQ73,Distances[[#This Row],[Colonne259]]+1)</f>
        <v>256</v>
      </c>
      <c r="JS73" s="17">
        <f>IF(Distances[[#This Row],[Colonne260]]=$G73,JR73,Distances[[#This Row],[Colonne260]]+1)</f>
        <v>257</v>
      </c>
      <c r="JT73" s="17">
        <f>IF(Distances[[#This Row],[Colonne261]]=$G73,JS73,Distances[[#This Row],[Colonne261]]+1)</f>
        <v>258</v>
      </c>
      <c r="JU73" s="17">
        <f>IF(Distances[[#This Row],[Colonne262]]=$G73,JT73,Distances[[#This Row],[Colonne262]]+1)</f>
        <v>259</v>
      </c>
      <c r="JV73" s="17">
        <f>IF(Distances[[#This Row],[Colonne263]]=$G73,JU73,Distances[[#This Row],[Colonne263]]+1)</f>
        <v>260</v>
      </c>
      <c r="JW73" s="17">
        <f>IF(Distances[[#This Row],[Colonne264]]=$G73,JV73,Distances[[#This Row],[Colonne264]]+1)</f>
        <v>261</v>
      </c>
      <c r="JX73" s="17">
        <f>IF(Distances[[#This Row],[Colonne265]]=$G73,JW73,Distances[[#This Row],[Colonne265]]+1)</f>
        <v>262</v>
      </c>
      <c r="JY73" s="17">
        <f>IF(Distances[[#This Row],[Colonne266]]=$G73,JX73,Distances[[#This Row],[Colonne266]]+1)</f>
        <v>263</v>
      </c>
      <c r="JZ73" s="17">
        <f>IF(Distances[[#This Row],[Colonne267]]=$G73,JY73,Distances[[#This Row],[Colonne267]]+1)</f>
        <v>264</v>
      </c>
      <c r="KA73" s="17">
        <f>IF(Distances[[#This Row],[Colonne268]]=$G73,JZ73,Distances[[#This Row],[Colonne268]]+1)</f>
        <v>265</v>
      </c>
      <c r="KB73" s="17">
        <f>IF(Distances[[#This Row],[Colonne269]]=$G73,KA73,Distances[[#This Row],[Colonne269]]+1)</f>
        <v>266</v>
      </c>
      <c r="KC73" s="17">
        <f>IF(Distances[[#This Row],[Colonne270]]=$G73,KB73,Distances[[#This Row],[Colonne270]]+1)</f>
        <v>267</v>
      </c>
      <c r="KD73" s="17">
        <f>IF(Distances[[#This Row],[Colonne271]]=$G73,KC73,Distances[[#This Row],[Colonne271]]+1)</f>
        <v>268</v>
      </c>
      <c r="KE73" s="17">
        <f>IF(Distances[[#This Row],[Colonne272]]=$G73,KD73,Distances[[#This Row],[Colonne272]]+1)</f>
        <v>269</v>
      </c>
      <c r="KF73" s="17">
        <f>IF(Distances[[#This Row],[Colonne273]]=$G73,KE73,Distances[[#This Row],[Colonne273]]+1)</f>
        <v>270</v>
      </c>
      <c r="KG73" s="17">
        <f>IF(Distances[[#This Row],[Colonne274]]=$G73,KF73,Distances[[#This Row],[Colonne274]]+1)</f>
        <v>271</v>
      </c>
      <c r="KH73" s="17">
        <f>IF(Distances[[#This Row],[Colonne275]]=$G73,KG73,Distances[[#This Row],[Colonne275]]+1)</f>
        <v>272</v>
      </c>
      <c r="KI73" s="17">
        <f>IF(Distances[[#This Row],[Colonne276]]=$G73,KH73,Distances[[#This Row],[Colonne276]]+1)</f>
        <v>273</v>
      </c>
      <c r="KJ73" s="17">
        <f>IF(Distances[[#This Row],[Colonne277]]=$G73,KI73,Distances[[#This Row],[Colonne277]]+1)</f>
        <v>274</v>
      </c>
      <c r="KK73" s="17">
        <f>IF(Distances[[#This Row],[Colonne278]]=$G73,KJ73,Distances[[#This Row],[Colonne278]]+1)</f>
        <v>275</v>
      </c>
      <c r="KL73" s="17">
        <f>IF(Distances[[#This Row],[Colonne279]]=$G73,KK73,Distances[[#This Row],[Colonne279]]+1)</f>
        <v>276</v>
      </c>
      <c r="KM73" s="17">
        <f>IF(Distances[[#This Row],[Colonne280]]=$G73,KL73,Distances[[#This Row],[Colonne280]]+1)</f>
        <v>277</v>
      </c>
      <c r="KN73" s="17">
        <f>IF(Distances[[#This Row],[Colonne281]]=$G73,KM73,Distances[[#This Row],[Colonne281]]+1)</f>
        <v>278</v>
      </c>
      <c r="KO73" s="17">
        <f>IF(Distances[[#This Row],[Colonne282]]=$G73,KN73,Distances[[#This Row],[Colonne282]]+1)</f>
        <v>279</v>
      </c>
      <c r="KP73" s="17">
        <f>IF(Distances[[#This Row],[Colonne283]]=$G73,KO73,Distances[[#This Row],[Colonne283]]+1)</f>
        <v>280</v>
      </c>
      <c r="KQ73" s="17">
        <f>IF(Distances[[#This Row],[Colonne284]]=$G73,KP73,Distances[[#This Row],[Colonne284]]+1)</f>
        <v>281</v>
      </c>
      <c r="KR73" s="17">
        <f>IF(Distances[[#This Row],[Colonne285]]=$G73,KQ73,Distances[[#This Row],[Colonne285]]+1)</f>
        <v>282</v>
      </c>
      <c r="KS73" s="17">
        <f>IF(Distances[[#This Row],[Colonne286]]=$G73,KR73,Distances[[#This Row],[Colonne286]]+1)</f>
        <v>283</v>
      </c>
      <c r="KT73" s="17">
        <f>IF(Distances[[#This Row],[Colonne287]]=$G73,KS73,Distances[[#This Row],[Colonne287]]+1)</f>
        <v>284</v>
      </c>
      <c r="KU73" s="17">
        <f>IF(Distances[[#This Row],[Colonne288]]=$G73,KT73,Distances[[#This Row],[Colonne288]]+1)</f>
        <v>285</v>
      </c>
      <c r="KV73" s="17">
        <f>IF(Distances[[#This Row],[Colonne289]]=$G73,KU73,Distances[[#This Row],[Colonne289]]+1)</f>
        <v>286</v>
      </c>
      <c r="KW73" s="17">
        <f>IF(Distances[[#This Row],[Colonne290]]=$G73,KV73,Distances[[#This Row],[Colonne290]]+1)</f>
        <v>287</v>
      </c>
      <c r="KX73" s="17">
        <f>IF(Distances[[#This Row],[Colonne291]]=$G73,KW73,Distances[[#This Row],[Colonne291]]+1)</f>
        <v>288</v>
      </c>
      <c r="KY73" s="17">
        <f>IF(Distances[[#This Row],[Colonne292]]=$G73,KX73,Distances[[#This Row],[Colonne292]]+1)</f>
        <v>289</v>
      </c>
      <c r="KZ73" s="17">
        <f>IF(Distances[[#This Row],[Colonne293]]=$G73,KY73,Distances[[#This Row],[Colonne293]]+1)</f>
        <v>290</v>
      </c>
      <c r="LA73" s="17">
        <f>IF(Distances[[#This Row],[Colonne294]]=$G73,KZ73,Distances[[#This Row],[Colonne294]]+1)</f>
        <v>291</v>
      </c>
      <c r="LB73" s="17">
        <f>IF(Distances[[#This Row],[Colonne295]]=$G73,LA73,Distances[[#This Row],[Colonne295]]+1)</f>
        <v>292</v>
      </c>
      <c r="LC73" s="17">
        <f>IF(Distances[[#This Row],[Colonne296]]=$G73,LB73,Distances[[#This Row],[Colonne296]]+1)</f>
        <v>293</v>
      </c>
      <c r="LD73" s="17">
        <f>IF(Distances[[#This Row],[Colonne297]]=$G73,LC73,Distances[[#This Row],[Colonne297]]+1)</f>
        <v>294</v>
      </c>
      <c r="LE73" s="17">
        <f>IF(Distances[[#This Row],[Colonne298]]=$G73,LD73,Distances[[#This Row],[Colonne298]]+1)</f>
        <v>295</v>
      </c>
      <c r="LF73" s="17">
        <f>IF(Distances[[#This Row],[Colonne299]]=$G73,LE73,Distances[[#This Row],[Colonne299]]+1)</f>
        <v>296</v>
      </c>
      <c r="LG73" s="17">
        <f>IF(Distances[[#This Row],[Colonne300]]=$G73,LF73,Distances[[#This Row],[Colonne300]]+1)</f>
        <v>297</v>
      </c>
      <c r="LH73" s="17">
        <f>IF(Distances[[#This Row],[Colonne301]]=$G73,LG73,Distances[[#This Row],[Colonne301]]+1)</f>
        <v>298</v>
      </c>
      <c r="LI73" s="17">
        <f>IF(Distances[[#This Row],[Colonne302]]=$G73,LH73,Distances[[#This Row],[Colonne302]]+1)</f>
        <v>299</v>
      </c>
      <c r="LJ73" s="17">
        <f>IF(Distances[[#This Row],[Colonne303]]=$G73,LI73,Distances[[#This Row],[Colonne303]]+1)</f>
        <v>300</v>
      </c>
      <c r="LK73" s="51"/>
      <c r="LL73" s="17">
        <f t="shared" ref="LL73:NW73" si="143">IF(LK73=$H73,LK73,LK73+1)</f>
        <v>1</v>
      </c>
      <c r="LM73" s="17">
        <f t="shared" si="143"/>
        <v>2</v>
      </c>
      <c r="LN73" s="17">
        <f t="shared" si="143"/>
        <v>3</v>
      </c>
      <c r="LO73" s="17">
        <f t="shared" si="143"/>
        <v>4</v>
      </c>
      <c r="LP73" s="17">
        <f t="shared" si="143"/>
        <v>5</v>
      </c>
      <c r="LQ73" s="17">
        <f t="shared" si="143"/>
        <v>6</v>
      </c>
      <c r="LR73" s="17">
        <f t="shared" si="143"/>
        <v>7</v>
      </c>
      <c r="LS73" s="17">
        <f t="shared" si="143"/>
        <v>8</v>
      </c>
      <c r="LT73" s="17">
        <f t="shared" si="143"/>
        <v>9</v>
      </c>
      <c r="LU73" s="17">
        <f t="shared" si="143"/>
        <v>10</v>
      </c>
      <c r="LV73" s="17">
        <f t="shared" si="143"/>
        <v>11</v>
      </c>
      <c r="LW73" s="17">
        <f t="shared" si="143"/>
        <v>12</v>
      </c>
      <c r="LX73" s="17">
        <f t="shared" si="143"/>
        <v>13</v>
      </c>
      <c r="LY73" s="17">
        <f t="shared" si="143"/>
        <v>14</v>
      </c>
      <c r="LZ73" s="17">
        <f t="shared" si="143"/>
        <v>15</v>
      </c>
      <c r="MA73" s="17">
        <f t="shared" si="143"/>
        <v>16</v>
      </c>
      <c r="MB73" s="17">
        <f t="shared" si="143"/>
        <v>17</v>
      </c>
      <c r="MC73" s="17">
        <f t="shared" si="143"/>
        <v>18</v>
      </c>
      <c r="MD73" s="17">
        <f t="shared" si="143"/>
        <v>19</v>
      </c>
      <c r="ME73" s="17">
        <f t="shared" si="143"/>
        <v>20</v>
      </c>
      <c r="MF73" s="17">
        <f t="shared" si="143"/>
        <v>21</v>
      </c>
      <c r="MG73" s="17">
        <f t="shared" si="143"/>
        <v>22</v>
      </c>
      <c r="MH73" s="17">
        <f t="shared" si="143"/>
        <v>23</v>
      </c>
      <c r="MI73" s="17">
        <f t="shared" si="143"/>
        <v>24</v>
      </c>
      <c r="MJ73" s="17">
        <f t="shared" si="143"/>
        <v>25</v>
      </c>
      <c r="MK73" s="17">
        <f t="shared" si="143"/>
        <v>26</v>
      </c>
      <c r="ML73" s="17">
        <f t="shared" si="143"/>
        <v>27</v>
      </c>
      <c r="MM73" s="17">
        <f t="shared" si="143"/>
        <v>28</v>
      </c>
      <c r="MN73" s="17">
        <f t="shared" si="143"/>
        <v>29</v>
      </c>
      <c r="MO73" s="17">
        <f t="shared" si="143"/>
        <v>30</v>
      </c>
      <c r="MP73" s="17">
        <f t="shared" si="143"/>
        <v>31</v>
      </c>
      <c r="MQ73" s="17">
        <f t="shared" si="143"/>
        <v>32</v>
      </c>
      <c r="MR73" s="17">
        <f t="shared" si="143"/>
        <v>33</v>
      </c>
      <c r="MS73" s="17">
        <f t="shared" si="143"/>
        <v>34</v>
      </c>
      <c r="MT73" s="17">
        <f t="shared" si="143"/>
        <v>35</v>
      </c>
      <c r="MU73" s="17">
        <f t="shared" si="143"/>
        <v>36</v>
      </c>
      <c r="MV73" s="17">
        <f t="shared" si="143"/>
        <v>37</v>
      </c>
      <c r="MW73" s="17">
        <f t="shared" si="143"/>
        <v>38</v>
      </c>
      <c r="MX73" s="17">
        <f t="shared" si="143"/>
        <v>39</v>
      </c>
      <c r="MY73" s="17">
        <f t="shared" si="143"/>
        <v>40</v>
      </c>
      <c r="MZ73" s="17">
        <f t="shared" si="143"/>
        <v>41</v>
      </c>
      <c r="NA73" s="17">
        <f t="shared" si="143"/>
        <v>42</v>
      </c>
      <c r="NB73" s="17">
        <f t="shared" si="143"/>
        <v>43</v>
      </c>
      <c r="NC73" s="17">
        <f t="shared" si="143"/>
        <v>44</v>
      </c>
      <c r="ND73" s="17">
        <f t="shared" si="143"/>
        <v>45</v>
      </c>
      <c r="NE73" s="17">
        <f t="shared" si="143"/>
        <v>46</v>
      </c>
      <c r="NF73" s="17">
        <f t="shared" si="143"/>
        <v>47</v>
      </c>
      <c r="NG73" s="17">
        <f t="shared" si="143"/>
        <v>48</v>
      </c>
      <c r="NH73" s="17">
        <f t="shared" si="143"/>
        <v>49</v>
      </c>
      <c r="NI73" s="17">
        <f t="shared" si="143"/>
        <v>50</v>
      </c>
      <c r="NJ73" s="17">
        <f t="shared" si="143"/>
        <v>51</v>
      </c>
      <c r="NK73" s="17">
        <f t="shared" si="143"/>
        <v>52</v>
      </c>
      <c r="NL73" s="17">
        <f t="shared" si="143"/>
        <v>53</v>
      </c>
      <c r="NM73" s="17">
        <f t="shared" si="143"/>
        <v>54</v>
      </c>
      <c r="NN73" s="17">
        <f t="shared" si="143"/>
        <v>55</v>
      </c>
      <c r="NO73" s="17">
        <f t="shared" si="143"/>
        <v>56</v>
      </c>
      <c r="NP73" s="17">
        <f t="shared" si="143"/>
        <v>57</v>
      </c>
      <c r="NQ73" s="17">
        <f t="shared" si="143"/>
        <v>58</v>
      </c>
      <c r="NR73" s="17">
        <f t="shared" si="143"/>
        <v>59</v>
      </c>
      <c r="NS73" s="17">
        <f t="shared" si="143"/>
        <v>60</v>
      </c>
      <c r="NT73" s="17">
        <f t="shared" si="143"/>
        <v>61</v>
      </c>
      <c r="NU73" s="17">
        <f t="shared" si="143"/>
        <v>62</v>
      </c>
      <c r="NV73" s="17">
        <f t="shared" si="143"/>
        <v>63</v>
      </c>
      <c r="NW73" s="17">
        <f t="shared" si="143"/>
        <v>64</v>
      </c>
      <c r="NX73" s="17">
        <f t="shared" ref="NX73:PG73" si="144">IF(NW73=$H73,NW73,NW73+1)</f>
        <v>65</v>
      </c>
      <c r="NY73" s="17">
        <f t="shared" si="144"/>
        <v>66</v>
      </c>
      <c r="NZ73" s="17">
        <f t="shared" si="144"/>
        <v>67</v>
      </c>
      <c r="OA73" s="17">
        <f t="shared" si="144"/>
        <v>68</v>
      </c>
      <c r="OB73" s="17">
        <f t="shared" si="144"/>
        <v>69</v>
      </c>
      <c r="OC73" s="17">
        <f t="shared" si="144"/>
        <v>70</v>
      </c>
      <c r="OD73" s="17">
        <f t="shared" si="144"/>
        <v>71</v>
      </c>
      <c r="OE73" s="17">
        <f t="shared" si="144"/>
        <v>72</v>
      </c>
      <c r="OF73" s="17">
        <f t="shared" si="144"/>
        <v>73</v>
      </c>
      <c r="OG73" s="17">
        <f t="shared" si="144"/>
        <v>74</v>
      </c>
      <c r="OH73" s="17">
        <f t="shared" si="144"/>
        <v>75</v>
      </c>
      <c r="OI73" s="17">
        <f t="shared" si="144"/>
        <v>76</v>
      </c>
      <c r="OJ73" s="17">
        <f t="shared" si="144"/>
        <v>77</v>
      </c>
      <c r="OK73" s="17">
        <f t="shared" si="144"/>
        <v>78</v>
      </c>
      <c r="OL73" s="17">
        <f t="shared" si="144"/>
        <v>79</v>
      </c>
      <c r="OM73" s="17">
        <f t="shared" si="144"/>
        <v>80</v>
      </c>
      <c r="ON73" s="17">
        <f t="shared" si="144"/>
        <v>81</v>
      </c>
      <c r="OO73" s="17">
        <f t="shared" si="144"/>
        <v>82</v>
      </c>
      <c r="OP73" s="17">
        <f t="shared" si="144"/>
        <v>83</v>
      </c>
      <c r="OQ73" s="17">
        <f t="shared" si="144"/>
        <v>84</v>
      </c>
      <c r="OR73" s="17">
        <f t="shared" si="144"/>
        <v>85</v>
      </c>
      <c r="OS73" s="17">
        <f t="shared" si="144"/>
        <v>86</v>
      </c>
      <c r="OT73" s="17">
        <f t="shared" si="144"/>
        <v>87</v>
      </c>
      <c r="OU73" s="17">
        <f t="shared" si="144"/>
        <v>88</v>
      </c>
      <c r="OV73" s="17">
        <f t="shared" si="144"/>
        <v>89</v>
      </c>
      <c r="OW73" s="17">
        <f t="shared" si="144"/>
        <v>90</v>
      </c>
      <c r="OX73" s="17">
        <f t="shared" si="144"/>
        <v>91</v>
      </c>
      <c r="OY73" s="17">
        <f t="shared" si="144"/>
        <v>92</v>
      </c>
      <c r="OZ73" s="17">
        <f t="shared" si="144"/>
        <v>93</v>
      </c>
      <c r="PA73" s="17">
        <f t="shared" si="144"/>
        <v>94</v>
      </c>
      <c r="PB73" s="17">
        <f t="shared" si="144"/>
        <v>95</v>
      </c>
      <c r="PC73" s="17">
        <f t="shared" si="144"/>
        <v>96</v>
      </c>
      <c r="PD73" s="17">
        <f t="shared" si="144"/>
        <v>97</v>
      </c>
      <c r="PE73" s="17">
        <f t="shared" si="144"/>
        <v>98</v>
      </c>
      <c r="PF73" s="17">
        <f t="shared" si="144"/>
        <v>99</v>
      </c>
      <c r="PG73" s="17">
        <f t="shared" si="144"/>
        <v>100</v>
      </c>
    </row>
    <row r="74" spans="1:423" x14ac:dyDescent="0.25">
      <c r="A74" s="9" t="s">
        <v>5507</v>
      </c>
      <c r="B74" s="9"/>
      <c r="C74" s="9" t="str">
        <f t="shared" si="72"/>
        <v>B</v>
      </c>
      <c r="D74" s="1" t="s">
        <v>5507</v>
      </c>
      <c r="E74" s="1" t="s">
        <v>9865</v>
      </c>
      <c r="F74" s="9" t="s">
        <v>5508</v>
      </c>
      <c r="G74" s="9" t="s">
        <v>8510</v>
      </c>
      <c r="H74" s="9" t="str">
        <f>"/"</f>
        <v>/</v>
      </c>
      <c r="I74" s="127">
        <v>3.1</v>
      </c>
      <c r="J74" s="30"/>
      <c r="K74" s="10"/>
      <c r="L74" s="8"/>
      <c r="M74" s="9"/>
      <c r="N74" s="10"/>
      <c r="O74" s="269"/>
      <c r="P74" s="331"/>
      <c r="Q74" s="335"/>
      <c r="R74" s="128"/>
      <c r="S74" s="9"/>
      <c r="T74" s="10"/>
      <c r="U74" t="s">
        <v>5523</v>
      </c>
      <c r="V74" s="17">
        <v>0</v>
      </c>
      <c r="W74" s="17">
        <f>IF(Distances[[#This Row],[Colonne4]]=$G74,V74,Distances[[#This Row],[Colonne4]]+1)</f>
        <v>1</v>
      </c>
      <c r="X74" s="17">
        <f>IF(Distances[[#This Row],[Colonne5]]=$G74,W74,Distances[[#This Row],[Colonne5]]+1)</f>
        <v>2</v>
      </c>
      <c r="Y74" s="17">
        <f>IF(Distances[[#This Row],[Colonne6]]=$G74,X74,Distances[[#This Row],[Colonne6]]+1)</f>
        <v>3</v>
      </c>
      <c r="Z74" s="17">
        <f>IF(Distances[[#This Row],[Colonne7]]=$G74,Y74,Distances[[#This Row],[Colonne7]]+1)</f>
        <v>4</v>
      </c>
      <c r="AA74" s="17">
        <f>IF(Distances[[#This Row],[Colonne8]]=$G74,Z74,Distances[[#This Row],[Colonne8]]+1)</f>
        <v>5</v>
      </c>
      <c r="AB74" s="17">
        <f>IF(Distances[[#This Row],[Colonne9]]=$G74,AA74,Distances[[#This Row],[Colonne9]]+1)</f>
        <v>6</v>
      </c>
      <c r="AC74" s="17">
        <f>IF(Distances[[#This Row],[Colonne10]]=$G74,AB74,Distances[[#This Row],[Colonne10]]+1)</f>
        <v>7</v>
      </c>
      <c r="AD74" s="17">
        <f>IF(Distances[[#This Row],[Colonne11]]=$G74,AC74,Distances[[#This Row],[Colonne11]]+1)</f>
        <v>8</v>
      </c>
      <c r="AE74" s="17">
        <f>IF(Distances[[#This Row],[Colonne12]]=$G74,AD74,Distances[[#This Row],[Colonne12]]+1)</f>
        <v>9</v>
      </c>
      <c r="AF74" s="17">
        <f>IF(Distances[[#This Row],[Colonne13]]=$G74,AE74,Distances[[#This Row],[Colonne13]]+1)</f>
        <v>10</v>
      </c>
      <c r="AG74" s="17">
        <f>IF(Distances[[#This Row],[Colonne14]]=$G74,AF74,Distances[[#This Row],[Colonne14]]+1)</f>
        <v>11</v>
      </c>
      <c r="AH74" s="17">
        <f>IF(Distances[[#This Row],[Colonne15]]=$G74,AG74,Distances[[#This Row],[Colonne15]]+1)</f>
        <v>12</v>
      </c>
      <c r="AI74" s="17">
        <f>IF(Distances[[#This Row],[Colonne16]]=$G74,AH74,Distances[[#This Row],[Colonne16]]+1)</f>
        <v>13</v>
      </c>
      <c r="AJ74" s="17">
        <f>IF(Distances[[#This Row],[Colonne17]]=$G74,AI74,Distances[[#This Row],[Colonne17]]+1)</f>
        <v>14</v>
      </c>
      <c r="AK74" s="17">
        <f>IF(Distances[[#This Row],[Colonne18]]=$G74,AJ74,Distances[[#This Row],[Colonne18]]+1)</f>
        <v>15</v>
      </c>
      <c r="AL74" s="17">
        <f>IF(Distances[[#This Row],[Colonne19]]=$G74,AK74,Distances[[#This Row],[Colonne19]]+1)</f>
        <v>16</v>
      </c>
      <c r="AM74" s="17">
        <f>IF(Distances[[#This Row],[Colonne20]]=$G74,AL74,Distances[[#This Row],[Colonne20]]+1)</f>
        <v>17</v>
      </c>
      <c r="AN74" s="17">
        <f>IF(Distances[[#This Row],[Colonne21]]=$G74,AM74,Distances[[#This Row],[Colonne21]]+1)</f>
        <v>18</v>
      </c>
      <c r="AO74" s="17">
        <f>IF(Distances[[#This Row],[Colonne22]]=$G74,AN74,Distances[[#This Row],[Colonne22]]+1)</f>
        <v>19</v>
      </c>
      <c r="AP74" s="17">
        <f>IF(Distances[[#This Row],[Colonne23]]=$G74,AO74,Distances[[#This Row],[Colonne23]]+1)</f>
        <v>20</v>
      </c>
      <c r="AQ74" s="17">
        <f>IF(Distances[[#This Row],[Colonne24]]=$G74,AP74,Distances[[#This Row],[Colonne24]]+1)</f>
        <v>21</v>
      </c>
      <c r="AR74" s="17">
        <f>IF(Distances[[#This Row],[Colonne25]]=$G74,AQ74,Distances[[#This Row],[Colonne25]]+1)</f>
        <v>22</v>
      </c>
      <c r="AS74" s="17">
        <f>IF(Distances[[#This Row],[Colonne26]]=$G74,AR74,Distances[[#This Row],[Colonne26]]+1)</f>
        <v>23</v>
      </c>
      <c r="AT74" s="17">
        <f>IF(Distances[[#This Row],[Colonne27]]=$G74,AS74,Distances[[#This Row],[Colonne27]]+1)</f>
        <v>24</v>
      </c>
      <c r="AU74" s="17">
        <f>IF(Distances[[#This Row],[Colonne28]]=$G74,AT74,Distances[[#This Row],[Colonne28]]+1)</f>
        <v>25</v>
      </c>
      <c r="AV74" s="17">
        <f>IF(Distances[[#This Row],[Colonne29]]=$G74,AU74,Distances[[#This Row],[Colonne29]]+1)</f>
        <v>26</v>
      </c>
      <c r="AW74" s="17">
        <f>IF(Distances[[#This Row],[Colonne30]]=$G74,AV74,Distances[[#This Row],[Colonne30]]+1)</f>
        <v>27</v>
      </c>
      <c r="AX74" s="17">
        <f>IF(Distances[[#This Row],[Colonne31]]=$G74,AW74,Distances[[#This Row],[Colonne31]]+1)</f>
        <v>28</v>
      </c>
      <c r="AY74" s="17">
        <f>IF(Distances[[#This Row],[Colonne32]]=$G74,AX74,Distances[[#This Row],[Colonne32]]+1)</f>
        <v>29</v>
      </c>
      <c r="AZ74" s="17">
        <f>IF(Distances[[#This Row],[Colonne33]]=$G74,AY74,Distances[[#This Row],[Colonne33]]+1)</f>
        <v>30</v>
      </c>
      <c r="BA74" s="17">
        <f>IF(Distances[[#This Row],[Colonne34]]=$G74,AZ74,Distances[[#This Row],[Colonne34]]+1)</f>
        <v>31</v>
      </c>
      <c r="BB74" s="17">
        <f>IF(Distances[[#This Row],[Colonne35]]=$G74,BA74,Distances[[#This Row],[Colonne35]]+1)</f>
        <v>32</v>
      </c>
      <c r="BC74" s="17">
        <f>IF(Distances[[#This Row],[Colonne36]]=$G74,BB74,Distances[[#This Row],[Colonne36]]+1)</f>
        <v>33</v>
      </c>
      <c r="BD74" s="17">
        <f>IF(Distances[[#This Row],[Colonne37]]=$G74,BC74,Distances[[#This Row],[Colonne37]]+1)</f>
        <v>34</v>
      </c>
      <c r="BE74" s="17">
        <f>IF(Distances[[#This Row],[Colonne38]]=$G74,BD74,Distances[[#This Row],[Colonne38]]+1)</f>
        <v>35</v>
      </c>
      <c r="BF74" s="17">
        <f>IF(Distances[[#This Row],[Colonne39]]=$G74,BE74,Distances[[#This Row],[Colonne39]]+1)</f>
        <v>36</v>
      </c>
      <c r="BG74" s="17">
        <f>IF(Distances[[#This Row],[Colonne40]]=$G74,BF74,Distances[[#This Row],[Colonne40]]+1)</f>
        <v>37</v>
      </c>
      <c r="BH74" s="17">
        <f>IF(Distances[[#This Row],[Colonne41]]=$G74,BG74,Distances[[#This Row],[Colonne41]]+1)</f>
        <v>38</v>
      </c>
      <c r="BI74" s="17">
        <f>IF(Distances[[#This Row],[Colonne42]]=$G74,BH74,Distances[[#This Row],[Colonne42]]+1)</f>
        <v>39</v>
      </c>
      <c r="BJ74" s="17">
        <f>IF(Distances[[#This Row],[Colonne43]]=$G74,BI74,Distances[[#This Row],[Colonne43]]+1)</f>
        <v>40</v>
      </c>
      <c r="BK74" s="17">
        <f>IF(Distances[[#This Row],[Colonne44]]=$G74,BJ74,Distances[[#This Row],[Colonne44]]+1)</f>
        <v>41</v>
      </c>
      <c r="BL74" s="17">
        <f>IF(Distances[[#This Row],[Colonne45]]=$G74,BK74,Distances[[#This Row],[Colonne45]]+1)</f>
        <v>42</v>
      </c>
      <c r="BM74" s="17">
        <f>IF(Distances[[#This Row],[Colonne46]]=$G74,BL74,Distances[[#This Row],[Colonne46]]+1)</f>
        <v>43</v>
      </c>
      <c r="BN74" s="17">
        <f>IF(Distances[[#This Row],[Colonne47]]=$G74,BM74,Distances[[#This Row],[Colonne47]]+1)</f>
        <v>44</v>
      </c>
      <c r="BO74" s="17">
        <f>IF(Distances[[#This Row],[Colonne48]]=$G74,BN74,Distances[[#This Row],[Colonne48]]+1)</f>
        <v>45</v>
      </c>
      <c r="BP74" s="17">
        <f>IF(Distances[[#This Row],[Colonne49]]=$G74,BO74,Distances[[#This Row],[Colonne49]]+1)</f>
        <v>46</v>
      </c>
      <c r="BQ74" s="17">
        <f>IF(Distances[[#This Row],[Colonne50]]=$G74,BP74,Distances[[#This Row],[Colonne50]]+1)</f>
        <v>47</v>
      </c>
      <c r="BR74" s="17">
        <f>IF(Distances[[#This Row],[Colonne51]]=$G74,BQ74,Distances[[#This Row],[Colonne51]]+1)</f>
        <v>48</v>
      </c>
      <c r="BS74" s="17">
        <f>IF(Distances[[#This Row],[Colonne52]]=$G74,BR74,Distances[[#This Row],[Colonne52]]+1)</f>
        <v>49</v>
      </c>
      <c r="BT74" s="17">
        <f>IF(Distances[[#This Row],[Colonne53]]=$G74,BS74,Distances[[#This Row],[Colonne53]]+1)</f>
        <v>50</v>
      </c>
      <c r="BU74" s="17">
        <f>IF(Distances[[#This Row],[Colonne54]]=$G74,BT74,Distances[[#This Row],[Colonne54]]+1)</f>
        <v>51</v>
      </c>
      <c r="BV74" s="17">
        <f>IF(Distances[[#This Row],[Colonne55]]=$G74,BU74,Distances[[#This Row],[Colonne55]]+1)</f>
        <v>52</v>
      </c>
      <c r="BW74" s="17">
        <f>IF(Distances[[#This Row],[Colonne56]]=$G74,BV74,Distances[[#This Row],[Colonne56]]+1)</f>
        <v>53</v>
      </c>
      <c r="BX74" s="17">
        <f>IF(Distances[[#This Row],[Colonne57]]=$G74,BW74,Distances[[#This Row],[Colonne57]]+1)</f>
        <v>54</v>
      </c>
      <c r="BY74" s="17">
        <f>IF(Distances[[#This Row],[Colonne58]]=$G74,BX74,Distances[[#This Row],[Colonne58]]+1)</f>
        <v>55</v>
      </c>
      <c r="BZ74" s="17">
        <f>IF(Distances[[#This Row],[Colonne59]]=$G74,BY74,Distances[[#This Row],[Colonne59]]+1)</f>
        <v>56</v>
      </c>
      <c r="CA74" s="17">
        <f>IF(Distances[[#This Row],[Colonne60]]=$G74,BZ74,Distances[[#This Row],[Colonne60]]+1)</f>
        <v>57</v>
      </c>
      <c r="CB74" s="17">
        <f>IF(Distances[[#This Row],[Colonne61]]=$G74,CA74,Distances[[#This Row],[Colonne61]]+1)</f>
        <v>58</v>
      </c>
      <c r="CC74" s="17">
        <f>IF(Distances[[#This Row],[Colonne62]]=$G74,CB74,Distances[[#This Row],[Colonne62]]+1)</f>
        <v>59</v>
      </c>
      <c r="CD74" s="17">
        <f>IF(Distances[[#This Row],[Colonne63]]=$G74,CC74,Distances[[#This Row],[Colonne63]]+1)</f>
        <v>60</v>
      </c>
      <c r="CE74" s="17">
        <f>IF(Distances[[#This Row],[Colonne64]]=$G74,CD74,Distances[[#This Row],[Colonne64]]+1)</f>
        <v>61</v>
      </c>
      <c r="CF74" s="17">
        <f>IF(Distances[[#This Row],[Colonne65]]=$G74,CE74,Distances[[#This Row],[Colonne65]]+1)</f>
        <v>62</v>
      </c>
      <c r="CG74" s="17">
        <f>IF(Distances[[#This Row],[Colonne66]]=$G74,CF74,Distances[[#This Row],[Colonne66]]+1)</f>
        <v>63</v>
      </c>
      <c r="CH74" s="17">
        <f>IF(Distances[[#This Row],[Colonne67]]=$G74,CG74,Distances[[#This Row],[Colonne67]]+1)</f>
        <v>64</v>
      </c>
      <c r="CI74" s="17">
        <f>IF(Distances[[#This Row],[Colonne68]]=$G74,CH74,Distances[[#This Row],[Colonne68]]+1)</f>
        <v>65</v>
      </c>
      <c r="CJ74" s="17">
        <f>IF(Distances[[#This Row],[Colonne69]]=$G74,CI74,Distances[[#This Row],[Colonne69]]+1)</f>
        <v>66</v>
      </c>
      <c r="CK74" s="17">
        <f>IF(Distances[[#This Row],[Colonne70]]=$G74,CJ74,Distances[[#This Row],[Colonne70]]+1)</f>
        <v>67</v>
      </c>
      <c r="CL74" s="17">
        <f>IF(Distances[[#This Row],[Colonne71]]=$G74,CK74,Distances[[#This Row],[Colonne71]]+1)</f>
        <v>68</v>
      </c>
      <c r="CM74" s="17">
        <f>IF(Distances[[#This Row],[Colonne72]]=$G74,CL74,Distances[[#This Row],[Colonne72]]+1)</f>
        <v>69</v>
      </c>
      <c r="CN74" s="17">
        <f>IF(Distances[[#This Row],[Colonne73]]=$G74,CM74,Distances[[#This Row],[Colonne73]]+1)</f>
        <v>70</v>
      </c>
      <c r="CO74" s="17">
        <f>IF(Distances[[#This Row],[Colonne74]]=$G74,CN74,Distances[[#This Row],[Colonne74]]+1)</f>
        <v>71</v>
      </c>
      <c r="CP74" s="17">
        <f>IF(Distances[[#This Row],[Colonne75]]=$G74,CO74,Distances[[#This Row],[Colonne75]]+1)</f>
        <v>72</v>
      </c>
      <c r="CQ74" s="17">
        <f>IF(Distances[[#This Row],[Colonne76]]=$G74,CP74,Distances[[#This Row],[Colonne76]]+1)</f>
        <v>73</v>
      </c>
      <c r="CR74" s="17">
        <f>IF(Distances[[#This Row],[Colonne77]]=$G74,CQ74,Distances[[#This Row],[Colonne77]]+1)</f>
        <v>74</v>
      </c>
      <c r="CS74" s="17">
        <f>IF(Distances[[#This Row],[Colonne78]]=$G74,CR74,Distances[[#This Row],[Colonne78]]+1)</f>
        <v>75</v>
      </c>
      <c r="CT74" s="17">
        <f>IF(Distances[[#This Row],[Colonne79]]=$G74,CS74,Distances[[#This Row],[Colonne79]]+1)</f>
        <v>76</v>
      </c>
      <c r="CU74" s="17">
        <f>IF(Distances[[#This Row],[Colonne80]]=$G74,CT74,Distances[[#This Row],[Colonne80]]+1)</f>
        <v>77</v>
      </c>
      <c r="CV74" s="17">
        <f>IF(Distances[[#This Row],[Colonne81]]=$G74,CU74,Distances[[#This Row],[Colonne81]]+1)</f>
        <v>78</v>
      </c>
      <c r="CW74" s="17">
        <f>IF(Distances[[#This Row],[Colonne82]]=$G74,CV74,Distances[[#This Row],[Colonne82]]+1)</f>
        <v>79</v>
      </c>
      <c r="CX74" s="17">
        <f>IF(Distances[[#This Row],[Colonne83]]=$G74,CW74,Distances[[#This Row],[Colonne83]]+1)</f>
        <v>80</v>
      </c>
      <c r="CY74" s="17">
        <f>IF(Distances[[#This Row],[Colonne84]]=$G74,CX74,Distances[[#This Row],[Colonne84]]+1)</f>
        <v>81</v>
      </c>
      <c r="CZ74" s="17">
        <f>IF(Distances[[#This Row],[Colonne85]]=$G74,CY74,Distances[[#This Row],[Colonne85]]+1)</f>
        <v>82</v>
      </c>
      <c r="DA74" s="17">
        <f>IF(Distances[[#This Row],[Colonne86]]=$G74,CZ74,Distances[[#This Row],[Colonne86]]+1)</f>
        <v>83</v>
      </c>
      <c r="DB74" s="17">
        <f>IF(Distances[[#This Row],[Colonne87]]=$G74,DA74,Distances[[#This Row],[Colonne87]]+1)</f>
        <v>84</v>
      </c>
      <c r="DC74" s="17">
        <f>IF(Distances[[#This Row],[Colonne88]]=$G74,DB74,Distances[[#This Row],[Colonne88]]+1)</f>
        <v>85</v>
      </c>
      <c r="DD74" s="17">
        <f>IF(Distances[[#This Row],[Colonne89]]=$G74,DC74,Distances[[#This Row],[Colonne89]]+1)</f>
        <v>86</v>
      </c>
      <c r="DE74" s="17">
        <f>IF(Distances[[#This Row],[Colonne90]]=$G74,DD74,Distances[[#This Row],[Colonne90]]+1)</f>
        <v>87</v>
      </c>
      <c r="DF74" s="17">
        <f>IF(Distances[[#This Row],[Colonne91]]=$G74,DE74,Distances[[#This Row],[Colonne91]]+1)</f>
        <v>88</v>
      </c>
      <c r="DG74" s="17">
        <f>IF(Distances[[#This Row],[Colonne92]]=$G74,DF74,Distances[[#This Row],[Colonne92]]+1)</f>
        <v>89</v>
      </c>
      <c r="DH74" s="17">
        <f>IF(Distances[[#This Row],[Colonne93]]=$G74,DG74,Distances[[#This Row],[Colonne93]]+1)</f>
        <v>90</v>
      </c>
      <c r="DI74" s="17">
        <f>IF(Distances[[#This Row],[Colonne94]]=$G74,DH74,Distances[[#This Row],[Colonne94]]+1)</f>
        <v>91</v>
      </c>
      <c r="DJ74" s="17">
        <f>IF(Distances[[#This Row],[Colonne95]]=$G74,DI74,Distances[[#This Row],[Colonne95]]+1)</f>
        <v>92</v>
      </c>
      <c r="DK74" s="17">
        <f>IF(Distances[[#This Row],[Colonne96]]=$G74,DJ74,Distances[[#This Row],[Colonne96]]+1)</f>
        <v>93</v>
      </c>
      <c r="DL74" s="17">
        <f>IF(Distances[[#This Row],[Colonne97]]=$G74,DK74,Distances[[#This Row],[Colonne97]]+1)</f>
        <v>94</v>
      </c>
      <c r="DM74" s="17">
        <f>IF(Distances[[#This Row],[Colonne98]]=$G74,DL74,Distances[[#This Row],[Colonne98]]+1)</f>
        <v>95</v>
      </c>
      <c r="DN74" s="17">
        <f>IF(Distances[[#This Row],[Colonne99]]=$G74,DM74,Distances[[#This Row],[Colonne99]]+1)</f>
        <v>96</v>
      </c>
      <c r="DO74" s="17">
        <f>IF(Distances[[#This Row],[Colonne100]]=$G74,DN74,Distances[[#This Row],[Colonne100]]+1)</f>
        <v>97</v>
      </c>
      <c r="DP74" s="17">
        <f>IF(Distances[[#This Row],[Colonne101]]=$G74,DO74,Distances[[#This Row],[Colonne101]]+1)</f>
        <v>98</v>
      </c>
      <c r="DQ74" s="17">
        <f>IF(Distances[[#This Row],[Colonne102]]=$G74,DP74,Distances[[#This Row],[Colonne102]]+1)</f>
        <v>99</v>
      </c>
      <c r="DR74" s="17">
        <f>IF(Distances[[#This Row],[Colonne103]]=$G74,DQ74,Distances[[#This Row],[Colonne103]]+1)</f>
        <v>100</v>
      </c>
      <c r="DS74" s="17">
        <f>IF(Distances[[#This Row],[Colonne104]]=$G74,DR74,Distances[[#This Row],[Colonne104]]+1)</f>
        <v>101</v>
      </c>
      <c r="DT74" s="17">
        <f>IF(Distances[[#This Row],[Colonne105]]=$G74,DS74,Distances[[#This Row],[Colonne105]]+1)</f>
        <v>102</v>
      </c>
      <c r="DU74" s="17">
        <f>IF(Distances[[#This Row],[Colonne106]]=$G74,DT74,Distances[[#This Row],[Colonne106]]+1)</f>
        <v>103</v>
      </c>
      <c r="DV74" s="17">
        <f>IF(Distances[[#This Row],[Colonne107]]=$G74,DU74,Distances[[#This Row],[Colonne107]]+1)</f>
        <v>104</v>
      </c>
      <c r="DW74" s="17">
        <f>IF(Distances[[#This Row],[Colonne108]]=$G74,DV74,Distances[[#This Row],[Colonne108]]+1)</f>
        <v>105</v>
      </c>
      <c r="DX74" s="17">
        <f>IF(Distances[[#This Row],[Colonne109]]=$G74,DW74,Distances[[#This Row],[Colonne109]]+1)</f>
        <v>106</v>
      </c>
      <c r="DY74" s="17">
        <f>IF(Distances[[#This Row],[Colonne110]]=$G74,DX74,Distances[[#This Row],[Colonne110]]+1)</f>
        <v>107</v>
      </c>
      <c r="DZ74" s="17">
        <f>IF(Distances[[#This Row],[Colonne111]]=$G74,DY74,Distances[[#This Row],[Colonne111]]+1)</f>
        <v>108</v>
      </c>
      <c r="EA74" s="17">
        <f>IF(Distances[[#This Row],[Colonne112]]=$G74,DZ74,Distances[[#This Row],[Colonne112]]+1)</f>
        <v>109</v>
      </c>
      <c r="EB74" s="17">
        <f>IF(Distances[[#This Row],[Colonne113]]=$G74,EA74,Distances[[#This Row],[Colonne113]]+1)</f>
        <v>110</v>
      </c>
      <c r="EC74" s="17">
        <f>IF(Distances[[#This Row],[Colonne114]]=$G74,EB74,Distances[[#This Row],[Colonne114]]+1)</f>
        <v>111</v>
      </c>
      <c r="ED74" s="17">
        <f>IF(Distances[[#This Row],[Colonne115]]=$G74,EC74,Distances[[#This Row],[Colonne115]]+1)</f>
        <v>112</v>
      </c>
      <c r="EE74" s="17">
        <f>IF(Distances[[#This Row],[Colonne116]]=$G74,ED74,Distances[[#This Row],[Colonne116]]+1)</f>
        <v>113</v>
      </c>
      <c r="EF74" s="17">
        <f>IF(Distances[[#This Row],[Colonne117]]=$G74,EE74,Distances[[#This Row],[Colonne117]]+1)</f>
        <v>114</v>
      </c>
      <c r="EG74" s="17">
        <f>IF(Distances[[#This Row],[Colonne118]]=$G74,EF74,Distances[[#This Row],[Colonne118]]+1)</f>
        <v>115</v>
      </c>
      <c r="EH74" s="17">
        <f>IF(Distances[[#This Row],[Colonne119]]=$G74,EG74,Distances[[#This Row],[Colonne119]]+1)</f>
        <v>116</v>
      </c>
      <c r="EI74" s="17">
        <f>IF(Distances[[#This Row],[Colonne120]]=$G74,EH74,Distances[[#This Row],[Colonne120]]+1)</f>
        <v>117</v>
      </c>
      <c r="EJ74" s="17">
        <f>IF(Distances[[#This Row],[Colonne121]]=$G74,EI74,Distances[[#This Row],[Colonne121]]+1)</f>
        <v>118</v>
      </c>
      <c r="EK74" s="17">
        <f>IF(Distances[[#This Row],[Colonne122]]=$G74,EJ74,Distances[[#This Row],[Colonne122]]+1)</f>
        <v>119</v>
      </c>
      <c r="EL74" s="17">
        <f>IF(Distances[[#This Row],[Colonne123]]=$G74,EK74,Distances[[#This Row],[Colonne123]]+1)</f>
        <v>120</v>
      </c>
      <c r="EM74" s="17">
        <f>IF(Distances[[#This Row],[Colonne124]]=$G74,EL74,Distances[[#This Row],[Colonne124]]+1)</f>
        <v>121</v>
      </c>
      <c r="EN74" s="17">
        <f>IF(Distances[[#This Row],[Colonne125]]=$G74,EM74,Distances[[#This Row],[Colonne125]]+1)</f>
        <v>122</v>
      </c>
      <c r="EO74" s="17">
        <f>IF(Distances[[#This Row],[Colonne126]]=$G74,EN74,Distances[[#This Row],[Colonne126]]+1)</f>
        <v>123</v>
      </c>
      <c r="EP74" s="17">
        <f>IF(Distances[[#This Row],[Colonne127]]=$G74,EO74,Distances[[#This Row],[Colonne127]]+1)</f>
        <v>124</v>
      </c>
      <c r="EQ74" s="17">
        <f>IF(Distances[[#This Row],[Colonne128]]=$G74,EP74,Distances[[#This Row],[Colonne128]]+1)</f>
        <v>125</v>
      </c>
      <c r="ER74" s="17">
        <f>IF(Distances[[#This Row],[Colonne129]]=$G74,EQ74,Distances[[#This Row],[Colonne129]]+1)</f>
        <v>126</v>
      </c>
      <c r="ES74" s="17">
        <f>IF(Distances[[#This Row],[Colonne130]]=$G74,ER74,Distances[[#This Row],[Colonne130]]+1)</f>
        <v>127</v>
      </c>
      <c r="ET74" s="17">
        <f>IF(Distances[[#This Row],[Colonne131]]=$G74,ES74,Distances[[#This Row],[Colonne131]]+1)</f>
        <v>128</v>
      </c>
      <c r="EU74" s="17">
        <f>IF(Distances[[#This Row],[Colonne132]]=$G74,ET74,Distances[[#This Row],[Colonne132]]+1)</f>
        <v>129</v>
      </c>
      <c r="EV74" s="17">
        <f>IF(Distances[[#This Row],[Colonne133]]=$G74,EU74,Distances[[#This Row],[Colonne133]]+1)</f>
        <v>130</v>
      </c>
      <c r="EW74" s="17">
        <f>IF(Distances[[#This Row],[Colonne134]]=$G74,EV74,Distances[[#This Row],[Colonne134]]+1)</f>
        <v>131</v>
      </c>
      <c r="EX74" s="17">
        <f>IF(Distances[[#This Row],[Colonne135]]=$G74,EW74,Distances[[#This Row],[Colonne135]]+1)</f>
        <v>132</v>
      </c>
      <c r="EY74" s="17">
        <f>IF(Distances[[#This Row],[Colonne136]]=$G74,EX74,Distances[[#This Row],[Colonne136]]+1)</f>
        <v>133</v>
      </c>
      <c r="EZ74" s="17">
        <f>IF(Distances[[#This Row],[Colonne137]]=$G74,EY74,Distances[[#This Row],[Colonne137]]+1)</f>
        <v>134</v>
      </c>
      <c r="FA74" s="17">
        <f>IF(Distances[[#This Row],[Colonne138]]=$G74,EZ74,Distances[[#This Row],[Colonne138]]+1)</f>
        <v>135</v>
      </c>
      <c r="FB74" s="17">
        <f>IF(Distances[[#This Row],[Colonne139]]=$G74,FA74,Distances[[#This Row],[Colonne139]]+1)</f>
        <v>136</v>
      </c>
      <c r="FC74" s="17">
        <f>IF(Distances[[#This Row],[Colonne140]]=$G74,FB74,Distances[[#This Row],[Colonne140]]+1)</f>
        <v>137</v>
      </c>
      <c r="FD74" s="17">
        <f>IF(Distances[[#This Row],[Colonne141]]=$G74,FC74,Distances[[#This Row],[Colonne141]]+1)</f>
        <v>138</v>
      </c>
      <c r="FE74" s="17">
        <f>IF(Distances[[#This Row],[Colonne142]]=$G74,FD74,Distances[[#This Row],[Colonne142]]+1)</f>
        <v>139</v>
      </c>
      <c r="FF74" s="17">
        <f>IF(Distances[[#This Row],[Colonne143]]=$G74,FE74,Distances[[#This Row],[Colonne143]]+1)</f>
        <v>140</v>
      </c>
      <c r="FG74" s="17">
        <f>IF(Distances[[#This Row],[Colonne144]]=$G74,FF74,Distances[[#This Row],[Colonne144]]+1)</f>
        <v>141</v>
      </c>
      <c r="FH74" s="17">
        <f>IF(Distances[[#This Row],[Colonne145]]=$G74,FG74,Distances[[#This Row],[Colonne145]]+1)</f>
        <v>142</v>
      </c>
      <c r="FI74" s="17">
        <f>IF(Distances[[#This Row],[Colonne146]]=$G74,FH74,Distances[[#This Row],[Colonne146]]+1)</f>
        <v>143</v>
      </c>
      <c r="FJ74" s="17">
        <f>IF(Distances[[#This Row],[Colonne147]]=$G74,FI74,Distances[[#This Row],[Colonne147]]+1)</f>
        <v>144</v>
      </c>
      <c r="FK74" s="17">
        <f>IF(Distances[[#This Row],[Colonne148]]=$G74,FJ74,Distances[[#This Row],[Colonne148]]+1)</f>
        <v>145</v>
      </c>
      <c r="FL74" s="17">
        <f>IF(Distances[[#This Row],[Colonne149]]=$G74,FK74,Distances[[#This Row],[Colonne149]]+1)</f>
        <v>146</v>
      </c>
      <c r="FM74" s="17">
        <f>IF(Distances[[#This Row],[Colonne150]]=$G74,FL74,Distances[[#This Row],[Colonne150]]+1)</f>
        <v>147</v>
      </c>
      <c r="FN74" s="17">
        <f>IF(Distances[[#This Row],[Colonne151]]=$G74,FM74,Distances[[#This Row],[Colonne151]]+1)</f>
        <v>148</v>
      </c>
      <c r="FO74" s="17">
        <f>IF(Distances[[#This Row],[Colonne152]]=$G74,FN74,Distances[[#This Row],[Colonne152]]+1)</f>
        <v>149</v>
      </c>
      <c r="FP74" s="17">
        <f>IF(Distances[[#This Row],[Colonne153]]=$G74,FO74,Distances[[#This Row],[Colonne153]]+1)</f>
        <v>150</v>
      </c>
      <c r="FQ74" s="17">
        <f>IF(Distances[[#This Row],[Colonne154]]=$G74,FP74,Distances[[#This Row],[Colonne154]]+1)</f>
        <v>151</v>
      </c>
      <c r="FR74" s="17">
        <f>IF(Distances[[#This Row],[Colonne155]]=$G74,FQ74,Distances[[#This Row],[Colonne155]]+1)</f>
        <v>152</v>
      </c>
      <c r="FS74" s="17">
        <f>IF(Distances[[#This Row],[Colonne156]]=$G74,FR74,Distances[[#This Row],[Colonne156]]+1)</f>
        <v>153</v>
      </c>
      <c r="FT74" s="17">
        <f>IF(Distances[[#This Row],[Colonne157]]=$G74,FS74,Distances[[#This Row],[Colonne157]]+1)</f>
        <v>154</v>
      </c>
      <c r="FU74" s="17">
        <f>IF(Distances[[#This Row],[Colonne158]]=$G74,FT74,Distances[[#This Row],[Colonne158]]+1)</f>
        <v>155</v>
      </c>
      <c r="FV74" s="17">
        <f>IF(Distances[[#This Row],[Colonne159]]=$G74,FU74,Distances[[#This Row],[Colonne159]]+1)</f>
        <v>156</v>
      </c>
      <c r="FW74" s="17">
        <f>IF(Distances[[#This Row],[Colonne160]]=$G74,FV74,Distances[[#This Row],[Colonne160]]+1)</f>
        <v>157</v>
      </c>
      <c r="FX74" s="17">
        <f>IF(Distances[[#This Row],[Colonne161]]=$G74,FW74,Distances[[#This Row],[Colonne161]]+1)</f>
        <v>158</v>
      </c>
      <c r="FY74" s="17">
        <f>IF(Distances[[#This Row],[Colonne162]]=$G74,FX74,Distances[[#This Row],[Colonne162]]+1)</f>
        <v>159</v>
      </c>
      <c r="FZ74" s="17">
        <f>IF(Distances[[#This Row],[Colonne163]]=$G74,FY74,Distances[[#This Row],[Colonne163]]+1)</f>
        <v>160</v>
      </c>
      <c r="GA74" s="17">
        <f>IF(Distances[[#This Row],[Colonne164]]=$G74,FZ74,Distances[[#This Row],[Colonne164]]+1)</f>
        <v>161</v>
      </c>
      <c r="GB74" s="17">
        <f>IF(Distances[[#This Row],[Colonne165]]=$G74,GA74,Distances[[#This Row],[Colonne165]]+1)</f>
        <v>162</v>
      </c>
      <c r="GC74" s="17">
        <f>IF(Distances[[#This Row],[Colonne166]]=$G74,GB74,Distances[[#This Row],[Colonne166]]+1)</f>
        <v>163</v>
      </c>
      <c r="GD74" s="17">
        <f>IF(Distances[[#This Row],[Colonne167]]=$G74,GC74,Distances[[#This Row],[Colonne167]]+1)</f>
        <v>164</v>
      </c>
      <c r="GE74" s="17">
        <f>IF(Distances[[#This Row],[Colonne168]]=$G74,GD74,Distances[[#This Row],[Colonne168]]+1)</f>
        <v>165</v>
      </c>
      <c r="GF74" s="17">
        <f>IF(Distances[[#This Row],[Colonne169]]=$G74,GE74,Distances[[#This Row],[Colonne169]]+1)</f>
        <v>166</v>
      </c>
      <c r="GG74" s="17">
        <f>IF(Distances[[#This Row],[Colonne170]]=$G74,GF74,Distances[[#This Row],[Colonne170]]+1)</f>
        <v>167</v>
      </c>
      <c r="GH74" s="17">
        <f>IF(Distances[[#This Row],[Colonne171]]=$G74,GG74,Distances[[#This Row],[Colonne171]]+1)</f>
        <v>168</v>
      </c>
      <c r="GI74" s="17">
        <f>IF(Distances[[#This Row],[Colonne172]]=$G74,GH74,Distances[[#This Row],[Colonne172]]+1)</f>
        <v>169</v>
      </c>
      <c r="GJ74" s="17">
        <f>IF(Distances[[#This Row],[Colonne173]]=$G74,GI74,Distances[[#This Row],[Colonne173]]+1)</f>
        <v>170</v>
      </c>
      <c r="GK74" s="17">
        <f>IF(Distances[[#This Row],[Colonne174]]=$G74,GJ74,Distances[[#This Row],[Colonne174]]+1)</f>
        <v>171</v>
      </c>
      <c r="GL74" s="17">
        <f>IF(Distances[[#This Row],[Colonne175]]=$G74,GK74,Distances[[#This Row],[Colonne175]]+1)</f>
        <v>172</v>
      </c>
      <c r="GM74" s="17">
        <f>IF(Distances[[#This Row],[Colonne176]]=$G74,GL74,Distances[[#This Row],[Colonne176]]+1)</f>
        <v>173</v>
      </c>
      <c r="GN74" s="17">
        <f>IF(Distances[[#This Row],[Colonne177]]=$G74,GM74,Distances[[#This Row],[Colonne177]]+1)</f>
        <v>174</v>
      </c>
      <c r="GO74" s="17">
        <f>IF(Distances[[#This Row],[Colonne178]]=$G74,GN74,Distances[[#This Row],[Colonne178]]+1)</f>
        <v>175</v>
      </c>
      <c r="GP74" s="17">
        <f>IF(Distances[[#This Row],[Colonne179]]=$G74,GO74,Distances[[#This Row],[Colonne179]]+1)</f>
        <v>176</v>
      </c>
      <c r="GQ74" s="17">
        <f>IF(Distances[[#This Row],[Colonne180]]=$G74,GP74,Distances[[#This Row],[Colonne180]]+1)</f>
        <v>177</v>
      </c>
      <c r="GR74" s="17">
        <f>IF(Distances[[#This Row],[Colonne181]]=$G74,GQ74,Distances[[#This Row],[Colonne181]]+1)</f>
        <v>178</v>
      </c>
      <c r="GS74" s="17">
        <f>IF(Distances[[#This Row],[Colonne182]]=$G74,GR74,Distances[[#This Row],[Colonne182]]+1)</f>
        <v>179</v>
      </c>
      <c r="GT74" s="17">
        <f>IF(Distances[[#This Row],[Colonne183]]=$G74,GS74,Distances[[#This Row],[Colonne183]]+1)</f>
        <v>180</v>
      </c>
      <c r="GU74" s="17">
        <f>IF(Distances[[#This Row],[Colonne184]]=$G74,GT74,Distances[[#This Row],[Colonne184]]+1)</f>
        <v>181</v>
      </c>
      <c r="GV74" s="17">
        <f>IF(Distances[[#This Row],[Colonne185]]=$G74,GU74,Distances[[#This Row],[Colonne185]]+1)</f>
        <v>182</v>
      </c>
      <c r="GW74" s="17">
        <f>IF(Distances[[#This Row],[Colonne186]]=$G74,GV74,Distances[[#This Row],[Colonne186]]+1)</f>
        <v>183</v>
      </c>
      <c r="GX74" s="17">
        <f>IF(Distances[[#This Row],[Colonne187]]=$G74,GW74,Distances[[#This Row],[Colonne187]]+1)</f>
        <v>184</v>
      </c>
      <c r="GY74" s="17">
        <f>IF(Distances[[#This Row],[Colonne188]]=$G74,GX74,Distances[[#This Row],[Colonne188]]+1)</f>
        <v>185</v>
      </c>
      <c r="GZ74" s="17">
        <f>IF(Distances[[#This Row],[Colonne189]]=$G74,GY74,Distances[[#This Row],[Colonne189]]+1)</f>
        <v>186</v>
      </c>
      <c r="HA74" s="17">
        <f>IF(Distances[[#This Row],[Colonne190]]=$G74,GZ74,Distances[[#This Row],[Colonne190]]+1)</f>
        <v>187</v>
      </c>
      <c r="HB74" s="17">
        <f>IF(Distances[[#This Row],[Colonne191]]=$G74,HA74,Distances[[#This Row],[Colonne191]]+1)</f>
        <v>188</v>
      </c>
      <c r="HC74" s="17">
        <f>IF(Distances[[#This Row],[Colonne192]]=$G74,HB74,Distances[[#This Row],[Colonne192]]+1)</f>
        <v>189</v>
      </c>
      <c r="HD74" s="17">
        <f>IF(Distances[[#This Row],[Colonne193]]=$G74,HC74,Distances[[#This Row],[Colonne193]]+1)</f>
        <v>190</v>
      </c>
      <c r="HE74" s="17">
        <f>IF(Distances[[#This Row],[Colonne194]]=$G74,HD74,Distances[[#This Row],[Colonne194]]+1)</f>
        <v>191</v>
      </c>
      <c r="HF74" s="17">
        <f>IF(Distances[[#This Row],[Colonne195]]=$G74,HE74,Distances[[#This Row],[Colonne195]]+1)</f>
        <v>192</v>
      </c>
      <c r="HG74" s="17">
        <f>IF(Distances[[#This Row],[Colonne196]]=$G74,HF74,Distances[[#This Row],[Colonne196]]+1)</f>
        <v>193</v>
      </c>
      <c r="HH74" s="17">
        <f>IF(Distances[[#This Row],[Colonne197]]=$G74,HG74,Distances[[#This Row],[Colonne197]]+1)</f>
        <v>194</v>
      </c>
      <c r="HI74" s="17">
        <f>IF(Distances[[#This Row],[Colonne198]]=$G74,HH74,Distances[[#This Row],[Colonne198]]+1)</f>
        <v>195</v>
      </c>
      <c r="HJ74" s="17">
        <f>IF(Distances[[#This Row],[Colonne199]]=$G74,HI74,Distances[[#This Row],[Colonne199]]+1)</f>
        <v>196</v>
      </c>
      <c r="HK74" s="17">
        <f>IF(Distances[[#This Row],[Colonne200]]=$G74,HJ74,Distances[[#This Row],[Colonne200]]+1)</f>
        <v>197</v>
      </c>
      <c r="HL74" s="17">
        <f>IF(Distances[[#This Row],[Colonne201]]=$G74,HK74,Distances[[#This Row],[Colonne201]]+1)</f>
        <v>198</v>
      </c>
      <c r="HM74" s="17">
        <f>IF(Distances[[#This Row],[Colonne202]]=$G74,HL74,Distances[[#This Row],[Colonne202]]+1)</f>
        <v>199</v>
      </c>
      <c r="HN74" s="17">
        <f>IF(Distances[[#This Row],[Colonne203]]=$G74,HM74,Distances[[#This Row],[Colonne203]]+1)</f>
        <v>200</v>
      </c>
      <c r="HO74" s="17">
        <f>IF(Distances[[#This Row],[Colonne204]]=$G74,HN74,Distances[[#This Row],[Colonne204]]+1)</f>
        <v>201</v>
      </c>
      <c r="HP74" s="17">
        <f>IF(Distances[[#This Row],[Colonne205]]=$G74,HO74,Distances[[#This Row],[Colonne205]]+1)</f>
        <v>202</v>
      </c>
      <c r="HQ74" s="17">
        <f>IF(Distances[[#This Row],[Colonne206]]=$G74,HP74,Distances[[#This Row],[Colonne206]]+1)</f>
        <v>203</v>
      </c>
      <c r="HR74" s="17">
        <f>IF(Distances[[#This Row],[Colonne207]]=$G74,HQ74,Distances[[#This Row],[Colonne207]]+1)</f>
        <v>204</v>
      </c>
      <c r="HS74" s="17">
        <f>IF(Distances[[#This Row],[Colonne208]]=$G74,HR74,Distances[[#This Row],[Colonne208]]+1)</f>
        <v>205</v>
      </c>
      <c r="HT74" s="17">
        <f>IF(Distances[[#This Row],[Colonne209]]=$G74,HS74,Distances[[#This Row],[Colonne209]]+1)</f>
        <v>206</v>
      </c>
      <c r="HU74" s="17">
        <f>IF(Distances[[#This Row],[Colonne210]]=$G74,HT74,Distances[[#This Row],[Colonne210]]+1)</f>
        <v>207</v>
      </c>
      <c r="HV74" s="17">
        <f>IF(Distances[[#This Row],[Colonne211]]=$G74,HU74,Distances[[#This Row],[Colonne211]]+1)</f>
        <v>208</v>
      </c>
      <c r="HW74" s="17">
        <f>IF(Distances[[#This Row],[Colonne212]]=$G74,HV74,Distances[[#This Row],[Colonne212]]+1)</f>
        <v>209</v>
      </c>
      <c r="HX74" s="17">
        <f>IF(Distances[[#This Row],[Colonne213]]=$G74,HW74,Distances[[#This Row],[Colonne213]]+1)</f>
        <v>210</v>
      </c>
      <c r="HY74" s="17">
        <f>IF(Distances[[#This Row],[Colonne214]]=$G74,HX74,Distances[[#This Row],[Colonne214]]+1)</f>
        <v>211</v>
      </c>
      <c r="HZ74" s="17">
        <f>IF(Distances[[#This Row],[Colonne215]]=$G74,HY74,Distances[[#This Row],[Colonne215]]+1)</f>
        <v>212</v>
      </c>
      <c r="IA74" s="17">
        <f>IF(Distances[[#This Row],[Colonne216]]=$G74,HZ74,Distances[[#This Row],[Colonne216]]+1)</f>
        <v>213</v>
      </c>
      <c r="IB74" s="17">
        <f>IF(Distances[[#This Row],[Colonne217]]=$G74,IA74,Distances[[#This Row],[Colonne217]]+1)</f>
        <v>214</v>
      </c>
      <c r="IC74" s="17">
        <f>IF(Distances[[#This Row],[Colonne218]]=$G74,IB74,Distances[[#This Row],[Colonne218]]+1)</f>
        <v>215</v>
      </c>
      <c r="ID74" s="17">
        <f>IF(Distances[[#This Row],[Colonne219]]=$G74,IC74,Distances[[#This Row],[Colonne219]]+1)</f>
        <v>216</v>
      </c>
      <c r="IE74" s="17">
        <f>IF(Distances[[#This Row],[Colonne220]]=$G74,ID74,Distances[[#This Row],[Colonne220]]+1)</f>
        <v>217</v>
      </c>
      <c r="IF74" s="17">
        <f>IF(Distances[[#This Row],[Colonne221]]=$G74,IE74,Distances[[#This Row],[Colonne221]]+1)</f>
        <v>218</v>
      </c>
      <c r="IG74" s="17">
        <f>IF(Distances[[#This Row],[Colonne222]]=$G74,IF74,Distances[[#This Row],[Colonne222]]+1)</f>
        <v>219</v>
      </c>
      <c r="IH74" s="17">
        <f>IF(Distances[[#This Row],[Colonne223]]=$G74,IG74,Distances[[#This Row],[Colonne223]]+1)</f>
        <v>220</v>
      </c>
      <c r="II74" s="17">
        <f>IF(Distances[[#This Row],[Colonne224]]=$G74,IH74,Distances[[#This Row],[Colonne224]]+1)</f>
        <v>221</v>
      </c>
      <c r="IJ74" s="17">
        <f>IF(Distances[[#This Row],[Colonne225]]=$G74,II74,Distances[[#This Row],[Colonne225]]+1)</f>
        <v>222</v>
      </c>
      <c r="IK74" s="17">
        <f>IF(Distances[[#This Row],[Colonne226]]=$G74,IJ74,Distances[[#This Row],[Colonne226]]+1)</f>
        <v>223</v>
      </c>
      <c r="IL74" s="17">
        <f>IF(Distances[[#This Row],[Colonne227]]=$G74,IK74,Distances[[#This Row],[Colonne227]]+1)</f>
        <v>224</v>
      </c>
      <c r="IM74" s="17">
        <f>IF(Distances[[#This Row],[Colonne228]]=$G74,IL74,Distances[[#This Row],[Colonne228]]+1)</f>
        <v>225</v>
      </c>
      <c r="IN74" s="17">
        <f>IF(Distances[[#This Row],[Colonne229]]=$G74,IM74,Distances[[#This Row],[Colonne229]]+1)</f>
        <v>226</v>
      </c>
      <c r="IO74" s="17">
        <f>IF(Distances[[#This Row],[Colonne230]]=$G74,IN74,Distances[[#This Row],[Colonne230]]+1)</f>
        <v>227</v>
      </c>
      <c r="IP74" s="17">
        <f>IF(Distances[[#This Row],[Colonne231]]=$G74,IO74,Distances[[#This Row],[Colonne231]]+1)</f>
        <v>228</v>
      </c>
      <c r="IQ74" s="17">
        <f>IF(Distances[[#This Row],[Colonne232]]=$G74,IP74,Distances[[#This Row],[Colonne232]]+1)</f>
        <v>229</v>
      </c>
      <c r="IR74" s="17">
        <f>IF(Distances[[#This Row],[Colonne233]]=$G74,IQ74,Distances[[#This Row],[Colonne233]]+1)</f>
        <v>230</v>
      </c>
      <c r="IS74" s="17">
        <f>IF(Distances[[#This Row],[Colonne234]]=$G74,IR74,Distances[[#This Row],[Colonne234]]+1)</f>
        <v>231</v>
      </c>
      <c r="IT74" s="17">
        <f>IF(Distances[[#This Row],[Colonne235]]=$G74,IS74,Distances[[#This Row],[Colonne235]]+1)</f>
        <v>232</v>
      </c>
      <c r="IU74" s="17">
        <f>IF(Distances[[#This Row],[Colonne236]]=$G74,IT74,Distances[[#This Row],[Colonne236]]+1)</f>
        <v>233</v>
      </c>
      <c r="IV74" s="17">
        <f>IF(Distances[[#This Row],[Colonne237]]=$G74,IU74,Distances[[#This Row],[Colonne237]]+1)</f>
        <v>234</v>
      </c>
      <c r="IW74" s="17">
        <f>IF(Distances[[#This Row],[Colonne238]]=$G74,IV74,Distances[[#This Row],[Colonne238]]+1)</f>
        <v>235</v>
      </c>
      <c r="IX74" s="17">
        <f>IF(Distances[[#This Row],[Colonne239]]=$G74,IW74,Distances[[#This Row],[Colonne239]]+1)</f>
        <v>236</v>
      </c>
      <c r="IY74" s="17">
        <f>IF(Distances[[#This Row],[Colonne240]]=$G74,IX74,Distances[[#This Row],[Colonne240]]+1)</f>
        <v>237</v>
      </c>
      <c r="IZ74" s="17">
        <f>IF(Distances[[#This Row],[Colonne241]]=$G74,IY74,Distances[[#This Row],[Colonne241]]+1)</f>
        <v>238</v>
      </c>
      <c r="JA74" s="17">
        <f>IF(Distances[[#This Row],[Colonne242]]=$G74,IZ74,Distances[[#This Row],[Colonne242]]+1)</f>
        <v>239</v>
      </c>
      <c r="JB74" s="17">
        <f>IF(Distances[[#This Row],[Colonne243]]=$G74,JA74,Distances[[#This Row],[Colonne243]]+1)</f>
        <v>240</v>
      </c>
      <c r="JC74" s="17">
        <f>IF(Distances[[#This Row],[Colonne244]]=$G74,JB74,Distances[[#This Row],[Colonne244]]+1)</f>
        <v>241</v>
      </c>
      <c r="JD74" s="17">
        <f>IF(Distances[[#This Row],[Colonne245]]=$G74,JC74,Distances[[#This Row],[Colonne245]]+1)</f>
        <v>242</v>
      </c>
      <c r="JE74" s="17">
        <f>IF(Distances[[#This Row],[Colonne246]]=$G74,JD74,Distances[[#This Row],[Colonne246]]+1)</f>
        <v>243</v>
      </c>
      <c r="JF74" s="17">
        <f>IF(Distances[[#This Row],[Colonne247]]=$G74,JE74,Distances[[#This Row],[Colonne247]]+1)</f>
        <v>244</v>
      </c>
      <c r="JG74" s="17">
        <f>IF(Distances[[#This Row],[Colonne248]]=$G74,JF74,Distances[[#This Row],[Colonne248]]+1)</f>
        <v>245</v>
      </c>
      <c r="JH74" s="17">
        <f>IF(Distances[[#This Row],[Colonne249]]=$G74,JG74,Distances[[#This Row],[Colonne249]]+1)</f>
        <v>246</v>
      </c>
      <c r="JI74" s="17">
        <f>IF(Distances[[#This Row],[Colonne250]]=$G74,JH74,Distances[[#This Row],[Colonne250]]+1)</f>
        <v>247</v>
      </c>
      <c r="JJ74" s="17">
        <f>IF(Distances[[#This Row],[Colonne251]]=$G74,JI74,Distances[[#This Row],[Colonne251]]+1)</f>
        <v>248</v>
      </c>
      <c r="JK74" s="17">
        <f>IF(Distances[[#This Row],[Colonne252]]=$G74,JJ74,Distances[[#This Row],[Colonne252]]+1)</f>
        <v>249</v>
      </c>
      <c r="JL74" s="17">
        <f>IF(Distances[[#This Row],[Colonne253]]=$G74,JK74,Distances[[#This Row],[Colonne253]]+1)</f>
        <v>250</v>
      </c>
      <c r="JM74" s="17">
        <f>IF(Distances[[#This Row],[Colonne254]]=$G74,JL74,Distances[[#This Row],[Colonne254]]+1)</f>
        <v>251</v>
      </c>
      <c r="JN74" s="17">
        <f>IF(Distances[[#This Row],[Colonne255]]=$G74,JM74,Distances[[#This Row],[Colonne255]]+1)</f>
        <v>252</v>
      </c>
      <c r="JO74" s="17">
        <f>IF(Distances[[#This Row],[Colonne256]]=$G74,JN74,Distances[[#This Row],[Colonne256]]+1)</f>
        <v>253</v>
      </c>
      <c r="JP74" s="17">
        <f>IF(Distances[[#This Row],[Colonne257]]=$G74,JO74,Distances[[#This Row],[Colonne257]]+1)</f>
        <v>254</v>
      </c>
      <c r="JQ74" s="17">
        <f>IF(Distances[[#This Row],[Colonne258]]=$G74,JP74,Distances[[#This Row],[Colonne258]]+1)</f>
        <v>255</v>
      </c>
      <c r="JR74" s="17">
        <f>IF(Distances[[#This Row],[Colonne259]]=$G74,JQ74,Distances[[#This Row],[Colonne259]]+1)</f>
        <v>256</v>
      </c>
      <c r="JS74" s="17">
        <f>IF(Distances[[#This Row],[Colonne260]]=$G74,JR74,Distances[[#This Row],[Colonne260]]+1)</f>
        <v>257</v>
      </c>
      <c r="JT74" s="17">
        <f>IF(Distances[[#This Row],[Colonne261]]=$G74,JS74,Distances[[#This Row],[Colonne261]]+1)</f>
        <v>258</v>
      </c>
      <c r="JU74" s="17">
        <f>IF(Distances[[#This Row],[Colonne262]]=$G74,JT74,Distances[[#This Row],[Colonne262]]+1)</f>
        <v>259</v>
      </c>
      <c r="JV74" s="17">
        <f>IF(Distances[[#This Row],[Colonne263]]=$G74,JU74,Distances[[#This Row],[Colonne263]]+1)</f>
        <v>260</v>
      </c>
      <c r="JW74" s="17">
        <f>IF(Distances[[#This Row],[Colonne264]]=$G74,JV74,Distances[[#This Row],[Colonne264]]+1)</f>
        <v>261</v>
      </c>
      <c r="JX74" s="17">
        <f>IF(Distances[[#This Row],[Colonne265]]=$G74,JW74,Distances[[#This Row],[Colonne265]]+1)</f>
        <v>262</v>
      </c>
      <c r="JY74" s="17">
        <f>IF(Distances[[#This Row],[Colonne266]]=$G74,JX74,Distances[[#This Row],[Colonne266]]+1)</f>
        <v>263</v>
      </c>
      <c r="JZ74" s="17">
        <f>IF(Distances[[#This Row],[Colonne267]]=$G74,JY74,Distances[[#This Row],[Colonne267]]+1)</f>
        <v>264</v>
      </c>
      <c r="KA74" s="17">
        <f>IF(Distances[[#This Row],[Colonne268]]=$G74,JZ74,Distances[[#This Row],[Colonne268]]+1)</f>
        <v>265</v>
      </c>
      <c r="KB74" s="17">
        <f>IF(Distances[[#This Row],[Colonne269]]=$G74,KA74,Distances[[#This Row],[Colonne269]]+1)</f>
        <v>266</v>
      </c>
      <c r="KC74" s="17">
        <f>IF(Distances[[#This Row],[Colonne270]]=$G74,KB74,Distances[[#This Row],[Colonne270]]+1)</f>
        <v>267</v>
      </c>
      <c r="KD74" s="17">
        <f>IF(Distances[[#This Row],[Colonne271]]=$G74,KC74,Distances[[#This Row],[Colonne271]]+1)</f>
        <v>268</v>
      </c>
      <c r="KE74" s="17">
        <f>IF(Distances[[#This Row],[Colonne272]]=$G74,KD74,Distances[[#This Row],[Colonne272]]+1)</f>
        <v>269</v>
      </c>
      <c r="KF74" s="17">
        <f>IF(Distances[[#This Row],[Colonne273]]=$G74,KE74,Distances[[#This Row],[Colonne273]]+1)</f>
        <v>270</v>
      </c>
      <c r="KG74" s="17">
        <f>IF(Distances[[#This Row],[Colonne274]]=$G74,KF74,Distances[[#This Row],[Colonne274]]+1)</f>
        <v>271</v>
      </c>
      <c r="KH74" s="17">
        <f>IF(Distances[[#This Row],[Colonne275]]=$G74,KG74,Distances[[#This Row],[Colonne275]]+1)</f>
        <v>272</v>
      </c>
      <c r="KI74" s="17">
        <f>IF(Distances[[#This Row],[Colonne276]]=$G74,KH74,Distances[[#This Row],[Colonne276]]+1)</f>
        <v>273</v>
      </c>
      <c r="KJ74" s="17">
        <f>IF(Distances[[#This Row],[Colonne277]]=$G74,KI74,Distances[[#This Row],[Colonne277]]+1)</f>
        <v>274</v>
      </c>
      <c r="KK74" s="17">
        <f>IF(Distances[[#This Row],[Colonne278]]=$G74,KJ74,Distances[[#This Row],[Colonne278]]+1)</f>
        <v>275</v>
      </c>
      <c r="KL74" s="17">
        <f>IF(Distances[[#This Row],[Colonne279]]=$G74,KK74,Distances[[#This Row],[Colonne279]]+1)</f>
        <v>276</v>
      </c>
      <c r="KM74" s="17">
        <f>IF(Distances[[#This Row],[Colonne280]]=$G74,KL74,Distances[[#This Row],[Colonne280]]+1)</f>
        <v>277</v>
      </c>
      <c r="KN74" s="17">
        <f>IF(Distances[[#This Row],[Colonne281]]=$G74,KM74,Distances[[#This Row],[Colonne281]]+1)</f>
        <v>278</v>
      </c>
      <c r="KO74" s="17">
        <f>IF(Distances[[#This Row],[Colonne282]]=$G74,KN74,Distances[[#This Row],[Colonne282]]+1)</f>
        <v>279</v>
      </c>
      <c r="KP74" s="17">
        <f>IF(Distances[[#This Row],[Colonne283]]=$G74,KO74,Distances[[#This Row],[Colonne283]]+1)</f>
        <v>280</v>
      </c>
      <c r="KQ74" s="17">
        <f>IF(Distances[[#This Row],[Colonne284]]=$G74,KP74,Distances[[#This Row],[Colonne284]]+1)</f>
        <v>281</v>
      </c>
      <c r="KR74" s="17">
        <f>IF(Distances[[#This Row],[Colonne285]]=$G74,KQ74,Distances[[#This Row],[Colonne285]]+1)</f>
        <v>282</v>
      </c>
      <c r="KS74" s="17">
        <f>IF(Distances[[#This Row],[Colonne286]]=$G74,KR74,Distances[[#This Row],[Colonne286]]+1)</f>
        <v>283</v>
      </c>
      <c r="KT74" s="17">
        <f>IF(Distances[[#This Row],[Colonne287]]=$G74,KS74,Distances[[#This Row],[Colonne287]]+1)</f>
        <v>284</v>
      </c>
      <c r="KU74" s="17">
        <f>IF(Distances[[#This Row],[Colonne288]]=$G74,KT74,Distances[[#This Row],[Colonne288]]+1)</f>
        <v>285</v>
      </c>
      <c r="KV74" s="17">
        <f>IF(Distances[[#This Row],[Colonne289]]=$G74,KU74,Distances[[#This Row],[Colonne289]]+1)</f>
        <v>286</v>
      </c>
      <c r="KW74" s="17">
        <f>IF(Distances[[#This Row],[Colonne290]]=$G74,KV74,Distances[[#This Row],[Colonne290]]+1)</f>
        <v>287</v>
      </c>
      <c r="KX74" s="17">
        <f>IF(Distances[[#This Row],[Colonne291]]=$G74,KW74,Distances[[#This Row],[Colonne291]]+1)</f>
        <v>288</v>
      </c>
      <c r="KY74" s="17">
        <f>IF(Distances[[#This Row],[Colonne292]]=$G74,KX74,Distances[[#This Row],[Colonne292]]+1)</f>
        <v>289</v>
      </c>
      <c r="KZ74" s="17">
        <f>IF(Distances[[#This Row],[Colonne293]]=$G74,KY74,Distances[[#This Row],[Colonne293]]+1)</f>
        <v>290</v>
      </c>
      <c r="LA74" s="17">
        <f>IF(Distances[[#This Row],[Colonne294]]=$G74,KZ74,Distances[[#This Row],[Colonne294]]+1)</f>
        <v>291</v>
      </c>
      <c r="LB74" s="17">
        <f>IF(Distances[[#This Row],[Colonne295]]=$G74,LA74,Distances[[#This Row],[Colonne295]]+1)</f>
        <v>292</v>
      </c>
      <c r="LC74" s="17">
        <f>IF(Distances[[#This Row],[Colonne296]]=$G74,LB74,Distances[[#This Row],[Colonne296]]+1)</f>
        <v>293</v>
      </c>
      <c r="LD74" s="17">
        <f>IF(Distances[[#This Row],[Colonne297]]=$G74,LC74,Distances[[#This Row],[Colonne297]]+1)</f>
        <v>294</v>
      </c>
      <c r="LE74" s="17">
        <f>IF(Distances[[#This Row],[Colonne298]]=$G74,LD74,Distances[[#This Row],[Colonne298]]+1)</f>
        <v>295</v>
      </c>
      <c r="LF74" s="17">
        <f>IF(Distances[[#This Row],[Colonne299]]=$G74,LE74,Distances[[#This Row],[Colonne299]]+1)</f>
        <v>296</v>
      </c>
      <c r="LG74" s="17">
        <f>IF(Distances[[#This Row],[Colonne300]]=$G74,LF74,Distances[[#This Row],[Colonne300]]+1)</f>
        <v>297</v>
      </c>
      <c r="LH74" s="17">
        <f>IF(Distances[[#This Row],[Colonne301]]=$G74,LG74,Distances[[#This Row],[Colonne301]]+1)</f>
        <v>298</v>
      </c>
      <c r="LI74" s="17">
        <f>IF(Distances[[#This Row],[Colonne302]]=$G74,LH74,Distances[[#This Row],[Colonne302]]+1)</f>
        <v>299</v>
      </c>
      <c r="LJ74" s="17">
        <f>IF(Distances[[#This Row],[Colonne303]]=$G74,LI74,Distances[[#This Row],[Colonne303]]+1)</f>
        <v>300</v>
      </c>
      <c r="LK74" s="51"/>
      <c r="LL74" s="17">
        <f t="shared" ref="LL74:NW74" si="145">IF(LK74=$H74,LK74,LK74+1)</f>
        <v>1</v>
      </c>
      <c r="LM74" s="17">
        <f t="shared" si="145"/>
        <v>2</v>
      </c>
      <c r="LN74" s="17">
        <f t="shared" si="145"/>
        <v>3</v>
      </c>
      <c r="LO74" s="17">
        <f t="shared" si="145"/>
        <v>4</v>
      </c>
      <c r="LP74" s="17">
        <f t="shared" si="145"/>
        <v>5</v>
      </c>
      <c r="LQ74" s="17">
        <f t="shared" si="145"/>
        <v>6</v>
      </c>
      <c r="LR74" s="17">
        <f t="shared" si="145"/>
        <v>7</v>
      </c>
      <c r="LS74" s="17">
        <f t="shared" si="145"/>
        <v>8</v>
      </c>
      <c r="LT74" s="17">
        <f t="shared" si="145"/>
        <v>9</v>
      </c>
      <c r="LU74" s="17">
        <f t="shared" si="145"/>
        <v>10</v>
      </c>
      <c r="LV74" s="17">
        <f t="shared" si="145"/>
        <v>11</v>
      </c>
      <c r="LW74" s="17">
        <f t="shared" si="145"/>
        <v>12</v>
      </c>
      <c r="LX74" s="17">
        <f t="shared" si="145"/>
        <v>13</v>
      </c>
      <c r="LY74" s="17">
        <f t="shared" si="145"/>
        <v>14</v>
      </c>
      <c r="LZ74" s="17">
        <f t="shared" si="145"/>
        <v>15</v>
      </c>
      <c r="MA74" s="17">
        <f t="shared" si="145"/>
        <v>16</v>
      </c>
      <c r="MB74" s="17">
        <f t="shared" si="145"/>
        <v>17</v>
      </c>
      <c r="MC74" s="17">
        <f t="shared" si="145"/>
        <v>18</v>
      </c>
      <c r="MD74" s="17">
        <f t="shared" si="145"/>
        <v>19</v>
      </c>
      <c r="ME74" s="17">
        <f t="shared" si="145"/>
        <v>20</v>
      </c>
      <c r="MF74" s="17">
        <f t="shared" si="145"/>
        <v>21</v>
      </c>
      <c r="MG74" s="17">
        <f t="shared" si="145"/>
        <v>22</v>
      </c>
      <c r="MH74" s="17">
        <f t="shared" si="145"/>
        <v>23</v>
      </c>
      <c r="MI74" s="17">
        <f t="shared" si="145"/>
        <v>24</v>
      </c>
      <c r="MJ74" s="17">
        <f t="shared" si="145"/>
        <v>25</v>
      </c>
      <c r="MK74" s="17">
        <f t="shared" si="145"/>
        <v>26</v>
      </c>
      <c r="ML74" s="17">
        <f t="shared" si="145"/>
        <v>27</v>
      </c>
      <c r="MM74" s="17">
        <f t="shared" si="145"/>
        <v>28</v>
      </c>
      <c r="MN74" s="17">
        <f t="shared" si="145"/>
        <v>29</v>
      </c>
      <c r="MO74" s="17">
        <f t="shared" si="145"/>
        <v>30</v>
      </c>
      <c r="MP74" s="17">
        <f t="shared" si="145"/>
        <v>31</v>
      </c>
      <c r="MQ74" s="17">
        <f t="shared" si="145"/>
        <v>32</v>
      </c>
      <c r="MR74" s="17">
        <f t="shared" si="145"/>
        <v>33</v>
      </c>
      <c r="MS74" s="17">
        <f t="shared" si="145"/>
        <v>34</v>
      </c>
      <c r="MT74" s="17">
        <f t="shared" si="145"/>
        <v>35</v>
      </c>
      <c r="MU74" s="17">
        <f t="shared" si="145"/>
        <v>36</v>
      </c>
      <c r="MV74" s="17">
        <f t="shared" si="145"/>
        <v>37</v>
      </c>
      <c r="MW74" s="17">
        <f t="shared" si="145"/>
        <v>38</v>
      </c>
      <c r="MX74" s="17">
        <f t="shared" si="145"/>
        <v>39</v>
      </c>
      <c r="MY74" s="17">
        <f t="shared" si="145"/>
        <v>40</v>
      </c>
      <c r="MZ74" s="17">
        <f t="shared" si="145"/>
        <v>41</v>
      </c>
      <c r="NA74" s="17">
        <f t="shared" si="145"/>
        <v>42</v>
      </c>
      <c r="NB74" s="17">
        <f t="shared" si="145"/>
        <v>43</v>
      </c>
      <c r="NC74" s="17">
        <f t="shared" si="145"/>
        <v>44</v>
      </c>
      <c r="ND74" s="17">
        <f t="shared" si="145"/>
        <v>45</v>
      </c>
      <c r="NE74" s="17">
        <f t="shared" si="145"/>
        <v>46</v>
      </c>
      <c r="NF74" s="17">
        <f t="shared" si="145"/>
        <v>47</v>
      </c>
      <c r="NG74" s="17">
        <f t="shared" si="145"/>
        <v>48</v>
      </c>
      <c r="NH74" s="17">
        <f t="shared" si="145"/>
        <v>49</v>
      </c>
      <c r="NI74" s="17">
        <f t="shared" si="145"/>
        <v>50</v>
      </c>
      <c r="NJ74" s="17">
        <f t="shared" si="145"/>
        <v>51</v>
      </c>
      <c r="NK74" s="17">
        <f t="shared" si="145"/>
        <v>52</v>
      </c>
      <c r="NL74" s="17">
        <f t="shared" si="145"/>
        <v>53</v>
      </c>
      <c r="NM74" s="17">
        <f t="shared" si="145"/>
        <v>54</v>
      </c>
      <c r="NN74" s="17">
        <f t="shared" si="145"/>
        <v>55</v>
      </c>
      <c r="NO74" s="17">
        <f t="shared" si="145"/>
        <v>56</v>
      </c>
      <c r="NP74" s="17">
        <f t="shared" si="145"/>
        <v>57</v>
      </c>
      <c r="NQ74" s="17">
        <f t="shared" si="145"/>
        <v>58</v>
      </c>
      <c r="NR74" s="17">
        <f t="shared" si="145"/>
        <v>59</v>
      </c>
      <c r="NS74" s="17">
        <f t="shared" si="145"/>
        <v>60</v>
      </c>
      <c r="NT74" s="17">
        <f t="shared" si="145"/>
        <v>61</v>
      </c>
      <c r="NU74" s="17">
        <f t="shared" si="145"/>
        <v>62</v>
      </c>
      <c r="NV74" s="17">
        <f t="shared" si="145"/>
        <v>63</v>
      </c>
      <c r="NW74" s="17">
        <f t="shared" si="145"/>
        <v>64</v>
      </c>
      <c r="NX74" s="17">
        <f t="shared" ref="NX74:PG74" si="146">IF(NW74=$H74,NW74,NW74+1)</f>
        <v>65</v>
      </c>
      <c r="NY74" s="17">
        <f t="shared" si="146"/>
        <v>66</v>
      </c>
      <c r="NZ74" s="17">
        <f t="shared" si="146"/>
        <v>67</v>
      </c>
      <c r="OA74" s="17">
        <f t="shared" si="146"/>
        <v>68</v>
      </c>
      <c r="OB74" s="17">
        <f t="shared" si="146"/>
        <v>69</v>
      </c>
      <c r="OC74" s="17">
        <f t="shared" si="146"/>
        <v>70</v>
      </c>
      <c r="OD74" s="17">
        <f t="shared" si="146"/>
        <v>71</v>
      </c>
      <c r="OE74" s="17">
        <f t="shared" si="146"/>
        <v>72</v>
      </c>
      <c r="OF74" s="17">
        <f t="shared" si="146"/>
        <v>73</v>
      </c>
      <c r="OG74" s="17">
        <f t="shared" si="146"/>
        <v>74</v>
      </c>
      <c r="OH74" s="17">
        <f t="shared" si="146"/>
        <v>75</v>
      </c>
      <c r="OI74" s="17">
        <f t="shared" si="146"/>
        <v>76</v>
      </c>
      <c r="OJ74" s="17">
        <f t="shared" si="146"/>
        <v>77</v>
      </c>
      <c r="OK74" s="17">
        <f t="shared" si="146"/>
        <v>78</v>
      </c>
      <c r="OL74" s="17">
        <f t="shared" si="146"/>
        <v>79</v>
      </c>
      <c r="OM74" s="17">
        <f t="shared" si="146"/>
        <v>80</v>
      </c>
      <c r="ON74" s="17">
        <f t="shared" si="146"/>
        <v>81</v>
      </c>
      <c r="OO74" s="17">
        <f t="shared" si="146"/>
        <v>82</v>
      </c>
      <c r="OP74" s="17">
        <f t="shared" si="146"/>
        <v>83</v>
      </c>
      <c r="OQ74" s="17">
        <f t="shared" si="146"/>
        <v>84</v>
      </c>
      <c r="OR74" s="17">
        <f t="shared" si="146"/>
        <v>85</v>
      </c>
      <c r="OS74" s="17">
        <f t="shared" si="146"/>
        <v>86</v>
      </c>
      <c r="OT74" s="17">
        <f t="shared" si="146"/>
        <v>87</v>
      </c>
      <c r="OU74" s="17">
        <f t="shared" si="146"/>
        <v>88</v>
      </c>
      <c r="OV74" s="17">
        <f t="shared" si="146"/>
        <v>89</v>
      </c>
      <c r="OW74" s="17">
        <f t="shared" si="146"/>
        <v>90</v>
      </c>
      <c r="OX74" s="17">
        <f t="shared" si="146"/>
        <v>91</v>
      </c>
      <c r="OY74" s="17">
        <f t="shared" si="146"/>
        <v>92</v>
      </c>
      <c r="OZ74" s="17">
        <f t="shared" si="146"/>
        <v>93</v>
      </c>
      <c r="PA74" s="17">
        <f t="shared" si="146"/>
        <v>94</v>
      </c>
      <c r="PB74" s="17">
        <f t="shared" si="146"/>
        <v>95</v>
      </c>
      <c r="PC74" s="17">
        <f t="shared" si="146"/>
        <v>96</v>
      </c>
      <c r="PD74" s="17">
        <f t="shared" si="146"/>
        <v>97</v>
      </c>
      <c r="PE74" s="17">
        <f t="shared" si="146"/>
        <v>98</v>
      </c>
      <c r="PF74" s="17">
        <f t="shared" si="146"/>
        <v>99</v>
      </c>
      <c r="PG74" s="17">
        <f t="shared" si="146"/>
        <v>100</v>
      </c>
    </row>
    <row r="75" spans="1:423" x14ac:dyDescent="0.25">
      <c r="A75" s="9" t="s">
        <v>5506</v>
      </c>
      <c r="B75" s="9"/>
      <c r="C75" s="9" t="str">
        <f t="shared" si="72"/>
        <v>C</v>
      </c>
      <c r="D75" s="1" t="s">
        <v>5506</v>
      </c>
      <c r="E75" s="1" t="s">
        <v>9865</v>
      </c>
      <c r="F75" s="9" t="s">
        <v>5508</v>
      </c>
      <c r="G75" s="9" t="s">
        <v>8510</v>
      </c>
      <c r="H75" s="9" t="str">
        <f>"/"</f>
        <v>/</v>
      </c>
      <c r="I75" s="127">
        <v>3.1</v>
      </c>
      <c r="J75" s="30"/>
      <c r="K75" s="10"/>
      <c r="L75" s="8"/>
      <c r="M75" s="9"/>
      <c r="N75" s="10"/>
      <c r="O75" s="269"/>
      <c r="P75" s="331"/>
      <c r="Q75" s="335"/>
      <c r="R75" s="128"/>
      <c r="S75" s="9"/>
      <c r="T75" s="10"/>
      <c r="U75" t="s">
        <v>5523</v>
      </c>
      <c r="V75" s="17">
        <v>0</v>
      </c>
      <c r="W75" s="17">
        <f>IF(Distances[[#This Row],[Colonne4]]=$G75,V75,Distances[[#This Row],[Colonne4]]+1)</f>
        <v>1</v>
      </c>
      <c r="X75" s="17">
        <f>IF(Distances[[#This Row],[Colonne5]]=$G75,W75,Distances[[#This Row],[Colonne5]]+1)</f>
        <v>2</v>
      </c>
      <c r="Y75" s="17">
        <f>IF(Distances[[#This Row],[Colonne6]]=$G75,X75,Distances[[#This Row],[Colonne6]]+1)</f>
        <v>3</v>
      </c>
      <c r="Z75" s="17">
        <f>IF(Distances[[#This Row],[Colonne7]]=$G75,Y75,Distances[[#This Row],[Colonne7]]+1)</f>
        <v>4</v>
      </c>
      <c r="AA75" s="17">
        <f>IF(Distances[[#This Row],[Colonne8]]=$G75,Z75,Distances[[#This Row],[Colonne8]]+1)</f>
        <v>5</v>
      </c>
      <c r="AB75" s="17">
        <f>IF(Distances[[#This Row],[Colonne9]]=$G75,AA75,Distances[[#This Row],[Colonne9]]+1)</f>
        <v>6</v>
      </c>
      <c r="AC75" s="17">
        <f>IF(Distances[[#This Row],[Colonne10]]=$G75,AB75,Distances[[#This Row],[Colonne10]]+1)</f>
        <v>7</v>
      </c>
      <c r="AD75" s="17">
        <f>IF(Distances[[#This Row],[Colonne11]]=$G75,AC75,Distances[[#This Row],[Colonne11]]+1)</f>
        <v>8</v>
      </c>
      <c r="AE75" s="17">
        <f>IF(Distances[[#This Row],[Colonne12]]=$G75,AD75,Distances[[#This Row],[Colonne12]]+1)</f>
        <v>9</v>
      </c>
      <c r="AF75" s="17">
        <f>IF(Distances[[#This Row],[Colonne13]]=$G75,AE75,Distances[[#This Row],[Colonne13]]+1)</f>
        <v>10</v>
      </c>
      <c r="AG75" s="17">
        <f>IF(Distances[[#This Row],[Colonne14]]=$G75,AF75,Distances[[#This Row],[Colonne14]]+1)</f>
        <v>11</v>
      </c>
      <c r="AH75" s="17">
        <f>IF(Distances[[#This Row],[Colonne15]]=$G75,AG75,Distances[[#This Row],[Colonne15]]+1)</f>
        <v>12</v>
      </c>
      <c r="AI75" s="17">
        <f>IF(Distances[[#This Row],[Colonne16]]=$G75,AH75,Distances[[#This Row],[Colonne16]]+1)</f>
        <v>13</v>
      </c>
      <c r="AJ75" s="17">
        <f>IF(Distances[[#This Row],[Colonne17]]=$G75,AI75,Distances[[#This Row],[Colonne17]]+1)</f>
        <v>14</v>
      </c>
      <c r="AK75" s="17">
        <f>IF(Distances[[#This Row],[Colonne18]]=$G75,AJ75,Distances[[#This Row],[Colonne18]]+1)</f>
        <v>15</v>
      </c>
      <c r="AL75" s="17">
        <f>IF(Distances[[#This Row],[Colonne19]]=$G75,AK75,Distances[[#This Row],[Colonne19]]+1)</f>
        <v>16</v>
      </c>
      <c r="AM75" s="17">
        <f>IF(Distances[[#This Row],[Colonne20]]=$G75,AL75,Distances[[#This Row],[Colonne20]]+1)</f>
        <v>17</v>
      </c>
      <c r="AN75" s="17">
        <f>IF(Distances[[#This Row],[Colonne21]]=$G75,AM75,Distances[[#This Row],[Colonne21]]+1)</f>
        <v>18</v>
      </c>
      <c r="AO75" s="17">
        <f>IF(Distances[[#This Row],[Colonne22]]=$G75,AN75,Distances[[#This Row],[Colonne22]]+1)</f>
        <v>19</v>
      </c>
      <c r="AP75" s="17">
        <f>IF(Distances[[#This Row],[Colonne23]]=$G75,AO75,Distances[[#This Row],[Colonne23]]+1)</f>
        <v>20</v>
      </c>
      <c r="AQ75" s="17">
        <f>IF(Distances[[#This Row],[Colonne24]]=$G75,AP75,Distances[[#This Row],[Colonne24]]+1)</f>
        <v>21</v>
      </c>
      <c r="AR75" s="17">
        <f>IF(Distances[[#This Row],[Colonne25]]=$G75,AQ75,Distances[[#This Row],[Colonne25]]+1)</f>
        <v>22</v>
      </c>
      <c r="AS75" s="17">
        <f>IF(Distances[[#This Row],[Colonne26]]=$G75,AR75,Distances[[#This Row],[Colonne26]]+1)</f>
        <v>23</v>
      </c>
      <c r="AT75" s="17">
        <f>IF(Distances[[#This Row],[Colonne27]]=$G75,AS75,Distances[[#This Row],[Colonne27]]+1)</f>
        <v>24</v>
      </c>
      <c r="AU75" s="17">
        <f>IF(Distances[[#This Row],[Colonne28]]=$G75,AT75,Distances[[#This Row],[Colonne28]]+1)</f>
        <v>25</v>
      </c>
      <c r="AV75" s="17">
        <f>IF(Distances[[#This Row],[Colonne29]]=$G75,AU75,Distances[[#This Row],[Colonne29]]+1)</f>
        <v>26</v>
      </c>
      <c r="AW75" s="17">
        <f>IF(Distances[[#This Row],[Colonne30]]=$G75,AV75,Distances[[#This Row],[Colonne30]]+1)</f>
        <v>27</v>
      </c>
      <c r="AX75" s="17">
        <f>IF(Distances[[#This Row],[Colonne31]]=$G75,AW75,Distances[[#This Row],[Colonne31]]+1)</f>
        <v>28</v>
      </c>
      <c r="AY75" s="17">
        <f>IF(Distances[[#This Row],[Colonne32]]=$G75,AX75,Distances[[#This Row],[Colonne32]]+1)</f>
        <v>29</v>
      </c>
      <c r="AZ75" s="17">
        <f>IF(Distances[[#This Row],[Colonne33]]=$G75,AY75,Distances[[#This Row],[Colonne33]]+1)</f>
        <v>30</v>
      </c>
      <c r="BA75" s="17">
        <f>IF(Distances[[#This Row],[Colonne34]]=$G75,AZ75,Distances[[#This Row],[Colonne34]]+1)</f>
        <v>31</v>
      </c>
      <c r="BB75" s="17">
        <f>IF(Distances[[#This Row],[Colonne35]]=$G75,BA75,Distances[[#This Row],[Colonne35]]+1)</f>
        <v>32</v>
      </c>
      <c r="BC75" s="17">
        <f>IF(Distances[[#This Row],[Colonne36]]=$G75,BB75,Distances[[#This Row],[Colonne36]]+1)</f>
        <v>33</v>
      </c>
      <c r="BD75" s="17">
        <f>IF(Distances[[#This Row],[Colonne37]]=$G75,BC75,Distances[[#This Row],[Colonne37]]+1)</f>
        <v>34</v>
      </c>
      <c r="BE75" s="17">
        <f>IF(Distances[[#This Row],[Colonne38]]=$G75,BD75,Distances[[#This Row],[Colonne38]]+1)</f>
        <v>35</v>
      </c>
      <c r="BF75" s="17">
        <f>IF(Distances[[#This Row],[Colonne39]]=$G75,BE75,Distances[[#This Row],[Colonne39]]+1)</f>
        <v>36</v>
      </c>
      <c r="BG75" s="17">
        <f>IF(Distances[[#This Row],[Colonne40]]=$G75,BF75,Distances[[#This Row],[Colonne40]]+1)</f>
        <v>37</v>
      </c>
      <c r="BH75" s="17">
        <f>IF(Distances[[#This Row],[Colonne41]]=$G75,BG75,Distances[[#This Row],[Colonne41]]+1)</f>
        <v>38</v>
      </c>
      <c r="BI75" s="17">
        <f>IF(Distances[[#This Row],[Colonne42]]=$G75,BH75,Distances[[#This Row],[Colonne42]]+1)</f>
        <v>39</v>
      </c>
      <c r="BJ75" s="17">
        <f>IF(Distances[[#This Row],[Colonne43]]=$G75,BI75,Distances[[#This Row],[Colonne43]]+1)</f>
        <v>40</v>
      </c>
      <c r="BK75" s="17">
        <f>IF(Distances[[#This Row],[Colonne44]]=$G75,BJ75,Distances[[#This Row],[Colonne44]]+1)</f>
        <v>41</v>
      </c>
      <c r="BL75" s="17">
        <f>IF(Distances[[#This Row],[Colonne45]]=$G75,BK75,Distances[[#This Row],[Colonne45]]+1)</f>
        <v>42</v>
      </c>
      <c r="BM75" s="17">
        <f>IF(Distances[[#This Row],[Colonne46]]=$G75,BL75,Distances[[#This Row],[Colonne46]]+1)</f>
        <v>43</v>
      </c>
      <c r="BN75" s="17">
        <f>IF(Distances[[#This Row],[Colonne47]]=$G75,BM75,Distances[[#This Row],[Colonne47]]+1)</f>
        <v>44</v>
      </c>
      <c r="BO75" s="17">
        <f>IF(Distances[[#This Row],[Colonne48]]=$G75,BN75,Distances[[#This Row],[Colonne48]]+1)</f>
        <v>45</v>
      </c>
      <c r="BP75" s="17">
        <f>IF(Distances[[#This Row],[Colonne49]]=$G75,BO75,Distances[[#This Row],[Colonne49]]+1)</f>
        <v>46</v>
      </c>
      <c r="BQ75" s="17">
        <f>IF(Distances[[#This Row],[Colonne50]]=$G75,BP75,Distances[[#This Row],[Colonne50]]+1)</f>
        <v>47</v>
      </c>
      <c r="BR75" s="17">
        <f>IF(Distances[[#This Row],[Colonne51]]=$G75,BQ75,Distances[[#This Row],[Colonne51]]+1)</f>
        <v>48</v>
      </c>
      <c r="BS75" s="17">
        <f>IF(Distances[[#This Row],[Colonne52]]=$G75,BR75,Distances[[#This Row],[Colonne52]]+1)</f>
        <v>49</v>
      </c>
      <c r="BT75" s="17">
        <f>IF(Distances[[#This Row],[Colonne53]]=$G75,BS75,Distances[[#This Row],[Colonne53]]+1)</f>
        <v>50</v>
      </c>
      <c r="BU75" s="17">
        <f>IF(Distances[[#This Row],[Colonne54]]=$G75,BT75,Distances[[#This Row],[Colonne54]]+1)</f>
        <v>51</v>
      </c>
      <c r="BV75" s="17">
        <f>IF(Distances[[#This Row],[Colonne55]]=$G75,BU75,Distances[[#This Row],[Colonne55]]+1)</f>
        <v>52</v>
      </c>
      <c r="BW75" s="17">
        <f>IF(Distances[[#This Row],[Colonne56]]=$G75,BV75,Distances[[#This Row],[Colonne56]]+1)</f>
        <v>53</v>
      </c>
      <c r="BX75" s="17">
        <f>IF(Distances[[#This Row],[Colonne57]]=$G75,BW75,Distances[[#This Row],[Colonne57]]+1)</f>
        <v>54</v>
      </c>
      <c r="BY75" s="17">
        <f>IF(Distances[[#This Row],[Colonne58]]=$G75,BX75,Distances[[#This Row],[Colonne58]]+1)</f>
        <v>55</v>
      </c>
      <c r="BZ75" s="17">
        <f>IF(Distances[[#This Row],[Colonne59]]=$G75,BY75,Distances[[#This Row],[Colonne59]]+1)</f>
        <v>56</v>
      </c>
      <c r="CA75" s="17">
        <f>IF(Distances[[#This Row],[Colonne60]]=$G75,BZ75,Distances[[#This Row],[Colonne60]]+1)</f>
        <v>57</v>
      </c>
      <c r="CB75" s="17">
        <f>IF(Distances[[#This Row],[Colonne61]]=$G75,CA75,Distances[[#This Row],[Colonne61]]+1)</f>
        <v>58</v>
      </c>
      <c r="CC75" s="17">
        <f>IF(Distances[[#This Row],[Colonne62]]=$G75,CB75,Distances[[#This Row],[Colonne62]]+1)</f>
        <v>59</v>
      </c>
      <c r="CD75" s="17">
        <f>IF(Distances[[#This Row],[Colonne63]]=$G75,CC75,Distances[[#This Row],[Colonne63]]+1)</f>
        <v>60</v>
      </c>
      <c r="CE75" s="17">
        <f>IF(Distances[[#This Row],[Colonne64]]=$G75,CD75,Distances[[#This Row],[Colonne64]]+1)</f>
        <v>61</v>
      </c>
      <c r="CF75" s="17">
        <f>IF(Distances[[#This Row],[Colonne65]]=$G75,CE75,Distances[[#This Row],[Colonne65]]+1)</f>
        <v>62</v>
      </c>
      <c r="CG75" s="17">
        <f>IF(Distances[[#This Row],[Colonne66]]=$G75,CF75,Distances[[#This Row],[Colonne66]]+1)</f>
        <v>63</v>
      </c>
      <c r="CH75" s="17">
        <f>IF(Distances[[#This Row],[Colonne67]]=$G75,CG75,Distances[[#This Row],[Colonne67]]+1)</f>
        <v>64</v>
      </c>
      <c r="CI75" s="17">
        <f>IF(Distances[[#This Row],[Colonne68]]=$G75,CH75,Distances[[#This Row],[Colonne68]]+1)</f>
        <v>65</v>
      </c>
      <c r="CJ75" s="17">
        <f>IF(Distances[[#This Row],[Colonne69]]=$G75,CI75,Distances[[#This Row],[Colonne69]]+1)</f>
        <v>66</v>
      </c>
      <c r="CK75" s="17">
        <f>IF(Distances[[#This Row],[Colonne70]]=$G75,CJ75,Distances[[#This Row],[Colonne70]]+1)</f>
        <v>67</v>
      </c>
      <c r="CL75" s="17">
        <f>IF(Distances[[#This Row],[Colonne71]]=$G75,CK75,Distances[[#This Row],[Colonne71]]+1)</f>
        <v>68</v>
      </c>
      <c r="CM75" s="17">
        <f>IF(Distances[[#This Row],[Colonne72]]=$G75,CL75,Distances[[#This Row],[Colonne72]]+1)</f>
        <v>69</v>
      </c>
      <c r="CN75" s="17">
        <f>IF(Distances[[#This Row],[Colonne73]]=$G75,CM75,Distances[[#This Row],[Colonne73]]+1)</f>
        <v>70</v>
      </c>
      <c r="CO75" s="17">
        <f>IF(Distances[[#This Row],[Colonne74]]=$G75,CN75,Distances[[#This Row],[Colonne74]]+1)</f>
        <v>71</v>
      </c>
      <c r="CP75" s="17">
        <f>IF(Distances[[#This Row],[Colonne75]]=$G75,CO75,Distances[[#This Row],[Colonne75]]+1)</f>
        <v>72</v>
      </c>
      <c r="CQ75" s="17">
        <f>IF(Distances[[#This Row],[Colonne76]]=$G75,CP75,Distances[[#This Row],[Colonne76]]+1)</f>
        <v>73</v>
      </c>
      <c r="CR75" s="17">
        <f>IF(Distances[[#This Row],[Colonne77]]=$G75,CQ75,Distances[[#This Row],[Colonne77]]+1)</f>
        <v>74</v>
      </c>
      <c r="CS75" s="17">
        <f>IF(Distances[[#This Row],[Colonne78]]=$G75,CR75,Distances[[#This Row],[Colonne78]]+1)</f>
        <v>75</v>
      </c>
      <c r="CT75" s="17">
        <f>IF(Distances[[#This Row],[Colonne79]]=$G75,CS75,Distances[[#This Row],[Colonne79]]+1)</f>
        <v>76</v>
      </c>
      <c r="CU75" s="17">
        <f>IF(Distances[[#This Row],[Colonne80]]=$G75,CT75,Distances[[#This Row],[Colonne80]]+1)</f>
        <v>77</v>
      </c>
      <c r="CV75" s="17">
        <f>IF(Distances[[#This Row],[Colonne81]]=$G75,CU75,Distances[[#This Row],[Colonne81]]+1)</f>
        <v>78</v>
      </c>
      <c r="CW75" s="17">
        <f>IF(Distances[[#This Row],[Colonne82]]=$G75,CV75,Distances[[#This Row],[Colonne82]]+1)</f>
        <v>79</v>
      </c>
      <c r="CX75" s="17">
        <f>IF(Distances[[#This Row],[Colonne83]]=$G75,CW75,Distances[[#This Row],[Colonne83]]+1)</f>
        <v>80</v>
      </c>
      <c r="CY75" s="17">
        <f>IF(Distances[[#This Row],[Colonne84]]=$G75,CX75,Distances[[#This Row],[Colonne84]]+1)</f>
        <v>81</v>
      </c>
      <c r="CZ75" s="17">
        <f>IF(Distances[[#This Row],[Colonne85]]=$G75,CY75,Distances[[#This Row],[Colonne85]]+1)</f>
        <v>82</v>
      </c>
      <c r="DA75" s="17">
        <f>IF(Distances[[#This Row],[Colonne86]]=$G75,CZ75,Distances[[#This Row],[Colonne86]]+1)</f>
        <v>83</v>
      </c>
      <c r="DB75" s="17">
        <f>IF(Distances[[#This Row],[Colonne87]]=$G75,DA75,Distances[[#This Row],[Colonne87]]+1)</f>
        <v>84</v>
      </c>
      <c r="DC75" s="17">
        <f>IF(Distances[[#This Row],[Colonne88]]=$G75,DB75,Distances[[#This Row],[Colonne88]]+1)</f>
        <v>85</v>
      </c>
      <c r="DD75" s="17">
        <f>IF(Distances[[#This Row],[Colonne89]]=$G75,DC75,Distances[[#This Row],[Colonne89]]+1)</f>
        <v>86</v>
      </c>
      <c r="DE75" s="17">
        <f>IF(Distances[[#This Row],[Colonne90]]=$G75,DD75,Distances[[#This Row],[Colonne90]]+1)</f>
        <v>87</v>
      </c>
      <c r="DF75" s="17">
        <f>IF(Distances[[#This Row],[Colonne91]]=$G75,DE75,Distances[[#This Row],[Colonne91]]+1)</f>
        <v>88</v>
      </c>
      <c r="DG75" s="17">
        <f>IF(Distances[[#This Row],[Colonne92]]=$G75,DF75,Distances[[#This Row],[Colonne92]]+1)</f>
        <v>89</v>
      </c>
      <c r="DH75" s="17">
        <f>IF(Distances[[#This Row],[Colonne93]]=$G75,DG75,Distances[[#This Row],[Colonne93]]+1)</f>
        <v>90</v>
      </c>
      <c r="DI75" s="17">
        <f>IF(Distances[[#This Row],[Colonne94]]=$G75,DH75,Distances[[#This Row],[Colonne94]]+1)</f>
        <v>91</v>
      </c>
      <c r="DJ75" s="17">
        <f>IF(Distances[[#This Row],[Colonne95]]=$G75,DI75,Distances[[#This Row],[Colonne95]]+1)</f>
        <v>92</v>
      </c>
      <c r="DK75" s="17">
        <f>IF(Distances[[#This Row],[Colonne96]]=$G75,DJ75,Distances[[#This Row],[Colonne96]]+1)</f>
        <v>93</v>
      </c>
      <c r="DL75" s="17">
        <f>IF(Distances[[#This Row],[Colonne97]]=$G75,DK75,Distances[[#This Row],[Colonne97]]+1)</f>
        <v>94</v>
      </c>
      <c r="DM75" s="17">
        <f>IF(Distances[[#This Row],[Colonne98]]=$G75,DL75,Distances[[#This Row],[Colonne98]]+1)</f>
        <v>95</v>
      </c>
      <c r="DN75" s="17">
        <f>IF(Distances[[#This Row],[Colonne99]]=$G75,DM75,Distances[[#This Row],[Colonne99]]+1)</f>
        <v>96</v>
      </c>
      <c r="DO75" s="17">
        <f>IF(Distances[[#This Row],[Colonne100]]=$G75,DN75,Distances[[#This Row],[Colonne100]]+1)</f>
        <v>97</v>
      </c>
      <c r="DP75" s="17">
        <f>IF(Distances[[#This Row],[Colonne101]]=$G75,DO75,Distances[[#This Row],[Colonne101]]+1)</f>
        <v>98</v>
      </c>
      <c r="DQ75" s="17">
        <f>IF(Distances[[#This Row],[Colonne102]]=$G75,DP75,Distances[[#This Row],[Colonne102]]+1)</f>
        <v>99</v>
      </c>
      <c r="DR75" s="17">
        <f>IF(Distances[[#This Row],[Colonne103]]=$G75,DQ75,Distances[[#This Row],[Colonne103]]+1)</f>
        <v>100</v>
      </c>
      <c r="DS75" s="17">
        <f>IF(Distances[[#This Row],[Colonne104]]=$G75,DR75,Distances[[#This Row],[Colonne104]]+1)</f>
        <v>101</v>
      </c>
      <c r="DT75" s="17">
        <f>IF(Distances[[#This Row],[Colonne105]]=$G75,DS75,Distances[[#This Row],[Colonne105]]+1)</f>
        <v>102</v>
      </c>
      <c r="DU75" s="17">
        <f>IF(Distances[[#This Row],[Colonne106]]=$G75,DT75,Distances[[#This Row],[Colonne106]]+1)</f>
        <v>103</v>
      </c>
      <c r="DV75" s="17">
        <f>IF(Distances[[#This Row],[Colonne107]]=$G75,DU75,Distances[[#This Row],[Colonne107]]+1)</f>
        <v>104</v>
      </c>
      <c r="DW75" s="17">
        <f>IF(Distances[[#This Row],[Colonne108]]=$G75,DV75,Distances[[#This Row],[Colonne108]]+1)</f>
        <v>105</v>
      </c>
      <c r="DX75" s="17">
        <f>IF(Distances[[#This Row],[Colonne109]]=$G75,DW75,Distances[[#This Row],[Colonne109]]+1)</f>
        <v>106</v>
      </c>
      <c r="DY75" s="17">
        <f>IF(Distances[[#This Row],[Colonne110]]=$G75,DX75,Distances[[#This Row],[Colonne110]]+1)</f>
        <v>107</v>
      </c>
      <c r="DZ75" s="17">
        <f>IF(Distances[[#This Row],[Colonne111]]=$G75,DY75,Distances[[#This Row],[Colonne111]]+1)</f>
        <v>108</v>
      </c>
      <c r="EA75" s="17">
        <f>IF(Distances[[#This Row],[Colonne112]]=$G75,DZ75,Distances[[#This Row],[Colonne112]]+1)</f>
        <v>109</v>
      </c>
      <c r="EB75" s="17">
        <f>IF(Distances[[#This Row],[Colonne113]]=$G75,EA75,Distances[[#This Row],[Colonne113]]+1)</f>
        <v>110</v>
      </c>
      <c r="EC75" s="17">
        <f>IF(Distances[[#This Row],[Colonne114]]=$G75,EB75,Distances[[#This Row],[Colonne114]]+1)</f>
        <v>111</v>
      </c>
      <c r="ED75" s="17">
        <f>IF(Distances[[#This Row],[Colonne115]]=$G75,EC75,Distances[[#This Row],[Colonne115]]+1)</f>
        <v>112</v>
      </c>
      <c r="EE75" s="17">
        <f>IF(Distances[[#This Row],[Colonne116]]=$G75,ED75,Distances[[#This Row],[Colonne116]]+1)</f>
        <v>113</v>
      </c>
      <c r="EF75" s="17">
        <f>IF(Distances[[#This Row],[Colonne117]]=$G75,EE75,Distances[[#This Row],[Colonne117]]+1)</f>
        <v>114</v>
      </c>
      <c r="EG75" s="17">
        <f>IF(Distances[[#This Row],[Colonne118]]=$G75,EF75,Distances[[#This Row],[Colonne118]]+1)</f>
        <v>115</v>
      </c>
      <c r="EH75" s="17">
        <f>IF(Distances[[#This Row],[Colonne119]]=$G75,EG75,Distances[[#This Row],[Colonne119]]+1)</f>
        <v>116</v>
      </c>
      <c r="EI75" s="17">
        <f>IF(Distances[[#This Row],[Colonne120]]=$G75,EH75,Distances[[#This Row],[Colonne120]]+1)</f>
        <v>117</v>
      </c>
      <c r="EJ75" s="17">
        <f>IF(Distances[[#This Row],[Colonne121]]=$G75,EI75,Distances[[#This Row],[Colonne121]]+1)</f>
        <v>118</v>
      </c>
      <c r="EK75" s="17">
        <f>IF(Distances[[#This Row],[Colonne122]]=$G75,EJ75,Distances[[#This Row],[Colonne122]]+1)</f>
        <v>119</v>
      </c>
      <c r="EL75" s="17">
        <f>IF(Distances[[#This Row],[Colonne123]]=$G75,EK75,Distances[[#This Row],[Colonne123]]+1)</f>
        <v>120</v>
      </c>
      <c r="EM75" s="17">
        <f>IF(Distances[[#This Row],[Colonne124]]=$G75,EL75,Distances[[#This Row],[Colonne124]]+1)</f>
        <v>121</v>
      </c>
      <c r="EN75" s="17">
        <f>IF(Distances[[#This Row],[Colonne125]]=$G75,EM75,Distances[[#This Row],[Colonne125]]+1)</f>
        <v>122</v>
      </c>
      <c r="EO75" s="17">
        <f>IF(Distances[[#This Row],[Colonne126]]=$G75,EN75,Distances[[#This Row],[Colonne126]]+1)</f>
        <v>123</v>
      </c>
      <c r="EP75" s="17">
        <f>IF(Distances[[#This Row],[Colonne127]]=$G75,EO75,Distances[[#This Row],[Colonne127]]+1)</f>
        <v>124</v>
      </c>
      <c r="EQ75" s="17">
        <f>IF(Distances[[#This Row],[Colonne128]]=$G75,EP75,Distances[[#This Row],[Colonne128]]+1)</f>
        <v>125</v>
      </c>
      <c r="ER75" s="17">
        <f>IF(Distances[[#This Row],[Colonne129]]=$G75,EQ75,Distances[[#This Row],[Colonne129]]+1)</f>
        <v>126</v>
      </c>
      <c r="ES75" s="17">
        <f>IF(Distances[[#This Row],[Colonne130]]=$G75,ER75,Distances[[#This Row],[Colonne130]]+1)</f>
        <v>127</v>
      </c>
      <c r="ET75" s="17">
        <f>IF(Distances[[#This Row],[Colonne131]]=$G75,ES75,Distances[[#This Row],[Colonne131]]+1)</f>
        <v>128</v>
      </c>
      <c r="EU75" s="17">
        <f>IF(Distances[[#This Row],[Colonne132]]=$G75,ET75,Distances[[#This Row],[Colonne132]]+1)</f>
        <v>129</v>
      </c>
      <c r="EV75" s="17">
        <f>IF(Distances[[#This Row],[Colonne133]]=$G75,EU75,Distances[[#This Row],[Colonne133]]+1)</f>
        <v>130</v>
      </c>
      <c r="EW75" s="17">
        <f>IF(Distances[[#This Row],[Colonne134]]=$G75,EV75,Distances[[#This Row],[Colonne134]]+1)</f>
        <v>131</v>
      </c>
      <c r="EX75" s="17">
        <f>IF(Distances[[#This Row],[Colonne135]]=$G75,EW75,Distances[[#This Row],[Colonne135]]+1)</f>
        <v>132</v>
      </c>
      <c r="EY75" s="17">
        <f>IF(Distances[[#This Row],[Colonne136]]=$G75,EX75,Distances[[#This Row],[Colonne136]]+1)</f>
        <v>133</v>
      </c>
      <c r="EZ75" s="17">
        <f>IF(Distances[[#This Row],[Colonne137]]=$G75,EY75,Distances[[#This Row],[Colonne137]]+1)</f>
        <v>134</v>
      </c>
      <c r="FA75" s="17">
        <f>IF(Distances[[#This Row],[Colonne138]]=$G75,EZ75,Distances[[#This Row],[Colonne138]]+1)</f>
        <v>135</v>
      </c>
      <c r="FB75" s="17">
        <f>IF(Distances[[#This Row],[Colonne139]]=$G75,FA75,Distances[[#This Row],[Colonne139]]+1)</f>
        <v>136</v>
      </c>
      <c r="FC75" s="17">
        <f>IF(Distances[[#This Row],[Colonne140]]=$G75,FB75,Distances[[#This Row],[Colonne140]]+1)</f>
        <v>137</v>
      </c>
      <c r="FD75" s="17">
        <f>IF(Distances[[#This Row],[Colonne141]]=$G75,FC75,Distances[[#This Row],[Colonne141]]+1)</f>
        <v>138</v>
      </c>
      <c r="FE75" s="17">
        <f>IF(Distances[[#This Row],[Colonne142]]=$G75,FD75,Distances[[#This Row],[Colonne142]]+1)</f>
        <v>139</v>
      </c>
      <c r="FF75" s="17">
        <f>IF(Distances[[#This Row],[Colonne143]]=$G75,FE75,Distances[[#This Row],[Colonne143]]+1)</f>
        <v>140</v>
      </c>
      <c r="FG75" s="17">
        <f>IF(Distances[[#This Row],[Colonne144]]=$G75,FF75,Distances[[#This Row],[Colonne144]]+1)</f>
        <v>141</v>
      </c>
      <c r="FH75" s="17">
        <f>IF(Distances[[#This Row],[Colonne145]]=$G75,FG75,Distances[[#This Row],[Colonne145]]+1)</f>
        <v>142</v>
      </c>
      <c r="FI75" s="17">
        <f>IF(Distances[[#This Row],[Colonne146]]=$G75,FH75,Distances[[#This Row],[Colonne146]]+1)</f>
        <v>143</v>
      </c>
      <c r="FJ75" s="17">
        <f>IF(Distances[[#This Row],[Colonne147]]=$G75,FI75,Distances[[#This Row],[Colonne147]]+1)</f>
        <v>144</v>
      </c>
      <c r="FK75" s="17">
        <f>IF(Distances[[#This Row],[Colonne148]]=$G75,FJ75,Distances[[#This Row],[Colonne148]]+1)</f>
        <v>145</v>
      </c>
      <c r="FL75" s="17">
        <f>IF(Distances[[#This Row],[Colonne149]]=$G75,FK75,Distances[[#This Row],[Colonne149]]+1)</f>
        <v>146</v>
      </c>
      <c r="FM75" s="17">
        <f>IF(Distances[[#This Row],[Colonne150]]=$G75,FL75,Distances[[#This Row],[Colonne150]]+1)</f>
        <v>147</v>
      </c>
      <c r="FN75" s="17">
        <f>IF(Distances[[#This Row],[Colonne151]]=$G75,FM75,Distances[[#This Row],[Colonne151]]+1)</f>
        <v>148</v>
      </c>
      <c r="FO75" s="17">
        <f>IF(Distances[[#This Row],[Colonne152]]=$G75,FN75,Distances[[#This Row],[Colonne152]]+1)</f>
        <v>149</v>
      </c>
      <c r="FP75" s="17">
        <f>IF(Distances[[#This Row],[Colonne153]]=$G75,FO75,Distances[[#This Row],[Colonne153]]+1)</f>
        <v>150</v>
      </c>
      <c r="FQ75" s="17">
        <f>IF(Distances[[#This Row],[Colonne154]]=$G75,FP75,Distances[[#This Row],[Colonne154]]+1)</f>
        <v>151</v>
      </c>
      <c r="FR75" s="17">
        <f>IF(Distances[[#This Row],[Colonne155]]=$G75,FQ75,Distances[[#This Row],[Colonne155]]+1)</f>
        <v>152</v>
      </c>
      <c r="FS75" s="17">
        <f>IF(Distances[[#This Row],[Colonne156]]=$G75,FR75,Distances[[#This Row],[Colonne156]]+1)</f>
        <v>153</v>
      </c>
      <c r="FT75" s="17">
        <f>IF(Distances[[#This Row],[Colonne157]]=$G75,FS75,Distances[[#This Row],[Colonne157]]+1)</f>
        <v>154</v>
      </c>
      <c r="FU75" s="17">
        <f>IF(Distances[[#This Row],[Colonne158]]=$G75,FT75,Distances[[#This Row],[Colonne158]]+1)</f>
        <v>155</v>
      </c>
      <c r="FV75" s="17">
        <f>IF(Distances[[#This Row],[Colonne159]]=$G75,FU75,Distances[[#This Row],[Colonne159]]+1)</f>
        <v>156</v>
      </c>
      <c r="FW75" s="17">
        <f>IF(Distances[[#This Row],[Colonne160]]=$G75,FV75,Distances[[#This Row],[Colonne160]]+1)</f>
        <v>157</v>
      </c>
      <c r="FX75" s="17">
        <f>IF(Distances[[#This Row],[Colonne161]]=$G75,FW75,Distances[[#This Row],[Colonne161]]+1)</f>
        <v>158</v>
      </c>
      <c r="FY75" s="17">
        <f>IF(Distances[[#This Row],[Colonne162]]=$G75,FX75,Distances[[#This Row],[Colonne162]]+1)</f>
        <v>159</v>
      </c>
      <c r="FZ75" s="17">
        <f>IF(Distances[[#This Row],[Colonne163]]=$G75,FY75,Distances[[#This Row],[Colonne163]]+1)</f>
        <v>160</v>
      </c>
      <c r="GA75" s="17">
        <f>IF(Distances[[#This Row],[Colonne164]]=$G75,FZ75,Distances[[#This Row],[Colonne164]]+1)</f>
        <v>161</v>
      </c>
      <c r="GB75" s="17">
        <f>IF(Distances[[#This Row],[Colonne165]]=$G75,GA75,Distances[[#This Row],[Colonne165]]+1)</f>
        <v>162</v>
      </c>
      <c r="GC75" s="17">
        <f>IF(Distances[[#This Row],[Colonne166]]=$G75,GB75,Distances[[#This Row],[Colonne166]]+1)</f>
        <v>163</v>
      </c>
      <c r="GD75" s="17">
        <f>IF(Distances[[#This Row],[Colonne167]]=$G75,GC75,Distances[[#This Row],[Colonne167]]+1)</f>
        <v>164</v>
      </c>
      <c r="GE75" s="17">
        <f>IF(Distances[[#This Row],[Colonne168]]=$G75,GD75,Distances[[#This Row],[Colonne168]]+1)</f>
        <v>165</v>
      </c>
      <c r="GF75" s="17">
        <f>IF(Distances[[#This Row],[Colonne169]]=$G75,GE75,Distances[[#This Row],[Colonne169]]+1)</f>
        <v>166</v>
      </c>
      <c r="GG75" s="17">
        <f>IF(Distances[[#This Row],[Colonne170]]=$G75,GF75,Distances[[#This Row],[Colonne170]]+1)</f>
        <v>167</v>
      </c>
      <c r="GH75" s="17">
        <f>IF(Distances[[#This Row],[Colonne171]]=$G75,GG75,Distances[[#This Row],[Colonne171]]+1)</f>
        <v>168</v>
      </c>
      <c r="GI75" s="17">
        <f>IF(Distances[[#This Row],[Colonne172]]=$G75,GH75,Distances[[#This Row],[Colonne172]]+1)</f>
        <v>169</v>
      </c>
      <c r="GJ75" s="17">
        <f>IF(Distances[[#This Row],[Colonne173]]=$G75,GI75,Distances[[#This Row],[Colonne173]]+1)</f>
        <v>170</v>
      </c>
      <c r="GK75" s="17">
        <f>IF(Distances[[#This Row],[Colonne174]]=$G75,GJ75,Distances[[#This Row],[Colonne174]]+1)</f>
        <v>171</v>
      </c>
      <c r="GL75" s="17">
        <f>IF(Distances[[#This Row],[Colonne175]]=$G75,GK75,Distances[[#This Row],[Colonne175]]+1)</f>
        <v>172</v>
      </c>
      <c r="GM75" s="17">
        <f>IF(Distances[[#This Row],[Colonne176]]=$G75,GL75,Distances[[#This Row],[Colonne176]]+1)</f>
        <v>173</v>
      </c>
      <c r="GN75" s="17">
        <f>IF(Distances[[#This Row],[Colonne177]]=$G75,GM75,Distances[[#This Row],[Colonne177]]+1)</f>
        <v>174</v>
      </c>
      <c r="GO75" s="17">
        <f>IF(Distances[[#This Row],[Colonne178]]=$G75,GN75,Distances[[#This Row],[Colonne178]]+1)</f>
        <v>175</v>
      </c>
      <c r="GP75" s="17">
        <f>IF(Distances[[#This Row],[Colonne179]]=$G75,GO75,Distances[[#This Row],[Colonne179]]+1)</f>
        <v>176</v>
      </c>
      <c r="GQ75" s="17">
        <f>IF(Distances[[#This Row],[Colonne180]]=$G75,GP75,Distances[[#This Row],[Colonne180]]+1)</f>
        <v>177</v>
      </c>
      <c r="GR75" s="17">
        <f>IF(Distances[[#This Row],[Colonne181]]=$G75,GQ75,Distances[[#This Row],[Colonne181]]+1)</f>
        <v>178</v>
      </c>
      <c r="GS75" s="17">
        <f>IF(Distances[[#This Row],[Colonne182]]=$G75,GR75,Distances[[#This Row],[Colonne182]]+1)</f>
        <v>179</v>
      </c>
      <c r="GT75" s="17">
        <f>IF(Distances[[#This Row],[Colonne183]]=$G75,GS75,Distances[[#This Row],[Colonne183]]+1)</f>
        <v>180</v>
      </c>
      <c r="GU75" s="17">
        <f>IF(Distances[[#This Row],[Colonne184]]=$G75,GT75,Distances[[#This Row],[Colonne184]]+1)</f>
        <v>181</v>
      </c>
      <c r="GV75" s="17">
        <f>IF(Distances[[#This Row],[Colonne185]]=$G75,GU75,Distances[[#This Row],[Colonne185]]+1)</f>
        <v>182</v>
      </c>
      <c r="GW75" s="17">
        <f>IF(Distances[[#This Row],[Colonne186]]=$G75,GV75,Distances[[#This Row],[Colonne186]]+1)</f>
        <v>183</v>
      </c>
      <c r="GX75" s="17">
        <f>IF(Distances[[#This Row],[Colonne187]]=$G75,GW75,Distances[[#This Row],[Colonne187]]+1)</f>
        <v>184</v>
      </c>
      <c r="GY75" s="17">
        <f>IF(Distances[[#This Row],[Colonne188]]=$G75,GX75,Distances[[#This Row],[Colonne188]]+1)</f>
        <v>185</v>
      </c>
      <c r="GZ75" s="17">
        <f>IF(Distances[[#This Row],[Colonne189]]=$G75,GY75,Distances[[#This Row],[Colonne189]]+1)</f>
        <v>186</v>
      </c>
      <c r="HA75" s="17">
        <f>IF(Distances[[#This Row],[Colonne190]]=$G75,GZ75,Distances[[#This Row],[Colonne190]]+1)</f>
        <v>187</v>
      </c>
      <c r="HB75" s="17">
        <f>IF(Distances[[#This Row],[Colonne191]]=$G75,HA75,Distances[[#This Row],[Colonne191]]+1)</f>
        <v>188</v>
      </c>
      <c r="HC75" s="17">
        <f>IF(Distances[[#This Row],[Colonne192]]=$G75,HB75,Distances[[#This Row],[Colonne192]]+1)</f>
        <v>189</v>
      </c>
      <c r="HD75" s="17">
        <f>IF(Distances[[#This Row],[Colonne193]]=$G75,HC75,Distances[[#This Row],[Colonne193]]+1)</f>
        <v>190</v>
      </c>
      <c r="HE75" s="17">
        <f>IF(Distances[[#This Row],[Colonne194]]=$G75,HD75,Distances[[#This Row],[Colonne194]]+1)</f>
        <v>191</v>
      </c>
      <c r="HF75" s="17">
        <f>IF(Distances[[#This Row],[Colonne195]]=$G75,HE75,Distances[[#This Row],[Colonne195]]+1)</f>
        <v>192</v>
      </c>
      <c r="HG75" s="17">
        <f>IF(Distances[[#This Row],[Colonne196]]=$G75,HF75,Distances[[#This Row],[Colonne196]]+1)</f>
        <v>193</v>
      </c>
      <c r="HH75" s="17">
        <f>IF(Distances[[#This Row],[Colonne197]]=$G75,HG75,Distances[[#This Row],[Colonne197]]+1)</f>
        <v>194</v>
      </c>
      <c r="HI75" s="17">
        <f>IF(Distances[[#This Row],[Colonne198]]=$G75,HH75,Distances[[#This Row],[Colonne198]]+1)</f>
        <v>195</v>
      </c>
      <c r="HJ75" s="17">
        <f>IF(Distances[[#This Row],[Colonne199]]=$G75,HI75,Distances[[#This Row],[Colonne199]]+1)</f>
        <v>196</v>
      </c>
      <c r="HK75" s="17">
        <f>IF(Distances[[#This Row],[Colonne200]]=$G75,HJ75,Distances[[#This Row],[Colonne200]]+1)</f>
        <v>197</v>
      </c>
      <c r="HL75" s="17">
        <f>IF(Distances[[#This Row],[Colonne201]]=$G75,HK75,Distances[[#This Row],[Colonne201]]+1)</f>
        <v>198</v>
      </c>
      <c r="HM75" s="17">
        <f>IF(Distances[[#This Row],[Colonne202]]=$G75,HL75,Distances[[#This Row],[Colonne202]]+1)</f>
        <v>199</v>
      </c>
      <c r="HN75" s="17">
        <f>IF(Distances[[#This Row],[Colonne203]]=$G75,HM75,Distances[[#This Row],[Colonne203]]+1)</f>
        <v>200</v>
      </c>
      <c r="HO75" s="17">
        <f>IF(Distances[[#This Row],[Colonne204]]=$G75,HN75,Distances[[#This Row],[Colonne204]]+1)</f>
        <v>201</v>
      </c>
      <c r="HP75" s="17">
        <f>IF(Distances[[#This Row],[Colonne205]]=$G75,HO75,Distances[[#This Row],[Colonne205]]+1)</f>
        <v>202</v>
      </c>
      <c r="HQ75" s="17">
        <f>IF(Distances[[#This Row],[Colonne206]]=$G75,HP75,Distances[[#This Row],[Colonne206]]+1)</f>
        <v>203</v>
      </c>
      <c r="HR75" s="17">
        <f>IF(Distances[[#This Row],[Colonne207]]=$G75,HQ75,Distances[[#This Row],[Colonne207]]+1)</f>
        <v>204</v>
      </c>
      <c r="HS75" s="17">
        <f>IF(Distances[[#This Row],[Colonne208]]=$G75,HR75,Distances[[#This Row],[Colonne208]]+1)</f>
        <v>205</v>
      </c>
      <c r="HT75" s="17">
        <f>IF(Distances[[#This Row],[Colonne209]]=$G75,HS75,Distances[[#This Row],[Colonne209]]+1)</f>
        <v>206</v>
      </c>
      <c r="HU75" s="17">
        <f>IF(Distances[[#This Row],[Colonne210]]=$G75,HT75,Distances[[#This Row],[Colonne210]]+1)</f>
        <v>207</v>
      </c>
      <c r="HV75" s="17">
        <f>IF(Distances[[#This Row],[Colonne211]]=$G75,HU75,Distances[[#This Row],[Colonne211]]+1)</f>
        <v>208</v>
      </c>
      <c r="HW75" s="17">
        <f>IF(Distances[[#This Row],[Colonne212]]=$G75,HV75,Distances[[#This Row],[Colonne212]]+1)</f>
        <v>209</v>
      </c>
      <c r="HX75" s="17">
        <f>IF(Distances[[#This Row],[Colonne213]]=$G75,HW75,Distances[[#This Row],[Colonne213]]+1)</f>
        <v>210</v>
      </c>
      <c r="HY75" s="17">
        <f>IF(Distances[[#This Row],[Colonne214]]=$G75,HX75,Distances[[#This Row],[Colonne214]]+1)</f>
        <v>211</v>
      </c>
      <c r="HZ75" s="17">
        <f>IF(Distances[[#This Row],[Colonne215]]=$G75,HY75,Distances[[#This Row],[Colonne215]]+1)</f>
        <v>212</v>
      </c>
      <c r="IA75" s="17">
        <f>IF(Distances[[#This Row],[Colonne216]]=$G75,HZ75,Distances[[#This Row],[Colonne216]]+1)</f>
        <v>213</v>
      </c>
      <c r="IB75" s="17">
        <f>IF(Distances[[#This Row],[Colonne217]]=$G75,IA75,Distances[[#This Row],[Colonne217]]+1)</f>
        <v>214</v>
      </c>
      <c r="IC75" s="17">
        <f>IF(Distances[[#This Row],[Colonne218]]=$G75,IB75,Distances[[#This Row],[Colonne218]]+1)</f>
        <v>215</v>
      </c>
      <c r="ID75" s="17">
        <f>IF(Distances[[#This Row],[Colonne219]]=$G75,IC75,Distances[[#This Row],[Colonne219]]+1)</f>
        <v>216</v>
      </c>
      <c r="IE75" s="17">
        <f>IF(Distances[[#This Row],[Colonne220]]=$G75,ID75,Distances[[#This Row],[Colonne220]]+1)</f>
        <v>217</v>
      </c>
      <c r="IF75" s="17">
        <f>IF(Distances[[#This Row],[Colonne221]]=$G75,IE75,Distances[[#This Row],[Colonne221]]+1)</f>
        <v>218</v>
      </c>
      <c r="IG75" s="17">
        <f>IF(Distances[[#This Row],[Colonne222]]=$G75,IF75,Distances[[#This Row],[Colonne222]]+1)</f>
        <v>219</v>
      </c>
      <c r="IH75" s="17">
        <f>IF(Distances[[#This Row],[Colonne223]]=$G75,IG75,Distances[[#This Row],[Colonne223]]+1)</f>
        <v>220</v>
      </c>
      <c r="II75" s="17">
        <f>IF(Distances[[#This Row],[Colonne224]]=$G75,IH75,Distances[[#This Row],[Colonne224]]+1)</f>
        <v>221</v>
      </c>
      <c r="IJ75" s="17">
        <f>IF(Distances[[#This Row],[Colonne225]]=$G75,II75,Distances[[#This Row],[Colonne225]]+1)</f>
        <v>222</v>
      </c>
      <c r="IK75" s="17">
        <f>IF(Distances[[#This Row],[Colonne226]]=$G75,IJ75,Distances[[#This Row],[Colonne226]]+1)</f>
        <v>223</v>
      </c>
      <c r="IL75" s="17">
        <f>IF(Distances[[#This Row],[Colonne227]]=$G75,IK75,Distances[[#This Row],[Colonne227]]+1)</f>
        <v>224</v>
      </c>
      <c r="IM75" s="17">
        <f>IF(Distances[[#This Row],[Colonne228]]=$G75,IL75,Distances[[#This Row],[Colonne228]]+1)</f>
        <v>225</v>
      </c>
      <c r="IN75" s="17">
        <f>IF(Distances[[#This Row],[Colonne229]]=$G75,IM75,Distances[[#This Row],[Colonne229]]+1)</f>
        <v>226</v>
      </c>
      <c r="IO75" s="17">
        <f>IF(Distances[[#This Row],[Colonne230]]=$G75,IN75,Distances[[#This Row],[Colonne230]]+1)</f>
        <v>227</v>
      </c>
      <c r="IP75" s="17">
        <f>IF(Distances[[#This Row],[Colonne231]]=$G75,IO75,Distances[[#This Row],[Colonne231]]+1)</f>
        <v>228</v>
      </c>
      <c r="IQ75" s="17">
        <f>IF(Distances[[#This Row],[Colonne232]]=$G75,IP75,Distances[[#This Row],[Colonne232]]+1)</f>
        <v>229</v>
      </c>
      <c r="IR75" s="17">
        <f>IF(Distances[[#This Row],[Colonne233]]=$G75,IQ75,Distances[[#This Row],[Colonne233]]+1)</f>
        <v>230</v>
      </c>
      <c r="IS75" s="17">
        <f>IF(Distances[[#This Row],[Colonne234]]=$G75,IR75,Distances[[#This Row],[Colonne234]]+1)</f>
        <v>231</v>
      </c>
      <c r="IT75" s="17">
        <f>IF(Distances[[#This Row],[Colonne235]]=$G75,IS75,Distances[[#This Row],[Colonne235]]+1)</f>
        <v>232</v>
      </c>
      <c r="IU75" s="17">
        <f>IF(Distances[[#This Row],[Colonne236]]=$G75,IT75,Distances[[#This Row],[Colonne236]]+1)</f>
        <v>233</v>
      </c>
      <c r="IV75" s="17">
        <f>IF(Distances[[#This Row],[Colonne237]]=$G75,IU75,Distances[[#This Row],[Colonne237]]+1)</f>
        <v>234</v>
      </c>
      <c r="IW75" s="17">
        <f>IF(Distances[[#This Row],[Colonne238]]=$G75,IV75,Distances[[#This Row],[Colonne238]]+1)</f>
        <v>235</v>
      </c>
      <c r="IX75" s="17">
        <f>IF(Distances[[#This Row],[Colonne239]]=$G75,IW75,Distances[[#This Row],[Colonne239]]+1)</f>
        <v>236</v>
      </c>
      <c r="IY75" s="17">
        <f>IF(Distances[[#This Row],[Colonne240]]=$G75,IX75,Distances[[#This Row],[Colonne240]]+1)</f>
        <v>237</v>
      </c>
      <c r="IZ75" s="17">
        <f>IF(Distances[[#This Row],[Colonne241]]=$G75,IY75,Distances[[#This Row],[Colonne241]]+1)</f>
        <v>238</v>
      </c>
      <c r="JA75" s="17">
        <f>IF(Distances[[#This Row],[Colonne242]]=$G75,IZ75,Distances[[#This Row],[Colonne242]]+1)</f>
        <v>239</v>
      </c>
      <c r="JB75" s="17">
        <f>IF(Distances[[#This Row],[Colonne243]]=$G75,JA75,Distances[[#This Row],[Colonne243]]+1)</f>
        <v>240</v>
      </c>
      <c r="JC75" s="17">
        <f>IF(Distances[[#This Row],[Colonne244]]=$G75,JB75,Distances[[#This Row],[Colonne244]]+1)</f>
        <v>241</v>
      </c>
      <c r="JD75" s="17">
        <f>IF(Distances[[#This Row],[Colonne245]]=$G75,JC75,Distances[[#This Row],[Colonne245]]+1)</f>
        <v>242</v>
      </c>
      <c r="JE75" s="17">
        <f>IF(Distances[[#This Row],[Colonne246]]=$G75,JD75,Distances[[#This Row],[Colonne246]]+1)</f>
        <v>243</v>
      </c>
      <c r="JF75" s="17">
        <f>IF(Distances[[#This Row],[Colonne247]]=$G75,JE75,Distances[[#This Row],[Colonne247]]+1)</f>
        <v>244</v>
      </c>
      <c r="JG75" s="17">
        <f>IF(Distances[[#This Row],[Colonne248]]=$G75,JF75,Distances[[#This Row],[Colonne248]]+1)</f>
        <v>245</v>
      </c>
      <c r="JH75" s="17">
        <f>IF(Distances[[#This Row],[Colonne249]]=$G75,JG75,Distances[[#This Row],[Colonne249]]+1)</f>
        <v>246</v>
      </c>
      <c r="JI75" s="17">
        <f>IF(Distances[[#This Row],[Colonne250]]=$G75,JH75,Distances[[#This Row],[Colonne250]]+1)</f>
        <v>247</v>
      </c>
      <c r="JJ75" s="17">
        <f>IF(Distances[[#This Row],[Colonne251]]=$G75,JI75,Distances[[#This Row],[Colonne251]]+1)</f>
        <v>248</v>
      </c>
      <c r="JK75" s="17">
        <f>IF(Distances[[#This Row],[Colonne252]]=$G75,JJ75,Distances[[#This Row],[Colonne252]]+1)</f>
        <v>249</v>
      </c>
      <c r="JL75" s="17">
        <f>IF(Distances[[#This Row],[Colonne253]]=$G75,JK75,Distances[[#This Row],[Colonne253]]+1)</f>
        <v>250</v>
      </c>
      <c r="JM75" s="17">
        <f>IF(Distances[[#This Row],[Colonne254]]=$G75,JL75,Distances[[#This Row],[Colonne254]]+1)</f>
        <v>251</v>
      </c>
      <c r="JN75" s="17">
        <f>IF(Distances[[#This Row],[Colonne255]]=$G75,JM75,Distances[[#This Row],[Colonne255]]+1)</f>
        <v>252</v>
      </c>
      <c r="JO75" s="17">
        <f>IF(Distances[[#This Row],[Colonne256]]=$G75,JN75,Distances[[#This Row],[Colonne256]]+1)</f>
        <v>253</v>
      </c>
      <c r="JP75" s="17">
        <f>IF(Distances[[#This Row],[Colonne257]]=$G75,JO75,Distances[[#This Row],[Colonne257]]+1)</f>
        <v>254</v>
      </c>
      <c r="JQ75" s="17">
        <f>IF(Distances[[#This Row],[Colonne258]]=$G75,JP75,Distances[[#This Row],[Colonne258]]+1)</f>
        <v>255</v>
      </c>
      <c r="JR75" s="17">
        <f>IF(Distances[[#This Row],[Colonne259]]=$G75,JQ75,Distances[[#This Row],[Colonne259]]+1)</f>
        <v>256</v>
      </c>
      <c r="JS75" s="17">
        <f>IF(Distances[[#This Row],[Colonne260]]=$G75,JR75,Distances[[#This Row],[Colonne260]]+1)</f>
        <v>257</v>
      </c>
      <c r="JT75" s="17">
        <f>IF(Distances[[#This Row],[Colonne261]]=$G75,JS75,Distances[[#This Row],[Colonne261]]+1)</f>
        <v>258</v>
      </c>
      <c r="JU75" s="17">
        <f>IF(Distances[[#This Row],[Colonne262]]=$G75,JT75,Distances[[#This Row],[Colonne262]]+1)</f>
        <v>259</v>
      </c>
      <c r="JV75" s="17">
        <f>IF(Distances[[#This Row],[Colonne263]]=$G75,JU75,Distances[[#This Row],[Colonne263]]+1)</f>
        <v>260</v>
      </c>
      <c r="JW75" s="17">
        <f>IF(Distances[[#This Row],[Colonne264]]=$G75,JV75,Distances[[#This Row],[Colonne264]]+1)</f>
        <v>261</v>
      </c>
      <c r="JX75" s="17">
        <f>IF(Distances[[#This Row],[Colonne265]]=$G75,JW75,Distances[[#This Row],[Colonne265]]+1)</f>
        <v>262</v>
      </c>
      <c r="JY75" s="17">
        <f>IF(Distances[[#This Row],[Colonne266]]=$G75,JX75,Distances[[#This Row],[Colonne266]]+1)</f>
        <v>263</v>
      </c>
      <c r="JZ75" s="17">
        <f>IF(Distances[[#This Row],[Colonne267]]=$G75,JY75,Distances[[#This Row],[Colonne267]]+1)</f>
        <v>264</v>
      </c>
      <c r="KA75" s="17">
        <f>IF(Distances[[#This Row],[Colonne268]]=$G75,JZ75,Distances[[#This Row],[Colonne268]]+1)</f>
        <v>265</v>
      </c>
      <c r="KB75" s="17">
        <f>IF(Distances[[#This Row],[Colonne269]]=$G75,KA75,Distances[[#This Row],[Colonne269]]+1)</f>
        <v>266</v>
      </c>
      <c r="KC75" s="17">
        <f>IF(Distances[[#This Row],[Colonne270]]=$G75,KB75,Distances[[#This Row],[Colonne270]]+1)</f>
        <v>267</v>
      </c>
      <c r="KD75" s="17">
        <f>IF(Distances[[#This Row],[Colonne271]]=$G75,KC75,Distances[[#This Row],[Colonne271]]+1)</f>
        <v>268</v>
      </c>
      <c r="KE75" s="17">
        <f>IF(Distances[[#This Row],[Colonne272]]=$G75,KD75,Distances[[#This Row],[Colonne272]]+1)</f>
        <v>269</v>
      </c>
      <c r="KF75" s="17">
        <f>IF(Distances[[#This Row],[Colonne273]]=$G75,KE75,Distances[[#This Row],[Colonne273]]+1)</f>
        <v>270</v>
      </c>
      <c r="KG75" s="17">
        <f>IF(Distances[[#This Row],[Colonne274]]=$G75,KF75,Distances[[#This Row],[Colonne274]]+1)</f>
        <v>271</v>
      </c>
      <c r="KH75" s="17">
        <f>IF(Distances[[#This Row],[Colonne275]]=$G75,KG75,Distances[[#This Row],[Colonne275]]+1)</f>
        <v>272</v>
      </c>
      <c r="KI75" s="17">
        <f>IF(Distances[[#This Row],[Colonne276]]=$G75,KH75,Distances[[#This Row],[Colonne276]]+1)</f>
        <v>273</v>
      </c>
      <c r="KJ75" s="17">
        <f>IF(Distances[[#This Row],[Colonne277]]=$G75,KI75,Distances[[#This Row],[Colonne277]]+1)</f>
        <v>274</v>
      </c>
      <c r="KK75" s="17">
        <f>IF(Distances[[#This Row],[Colonne278]]=$G75,KJ75,Distances[[#This Row],[Colonne278]]+1)</f>
        <v>275</v>
      </c>
      <c r="KL75" s="17">
        <f>IF(Distances[[#This Row],[Colonne279]]=$G75,KK75,Distances[[#This Row],[Colonne279]]+1)</f>
        <v>276</v>
      </c>
      <c r="KM75" s="17">
        <f>IF(Distances[[#This Row],[Colonne280]]=$G75,KL75,Distances[[#This Row],[Colonne280]]+1)</f>
        <v>277</v>
      </c>
      <c r="KN75" s="17">
        <f>IF(Distances[[#This Row],[Colonne281]]=$G75,KM75,Distances[[#This Row],[Colonne281]]+1)</f>
        <v>278</v>
      </c>
      <c r="KO75" s="17">
        <f>IF(Distances[[#This Row],[Colonne282]]=$G75,KN75,Distances[[#This Row],[Colonne282]]+1)</f>
        <v>279</v>
      </c>
      <c r="KP75" s="17">
        <f>IF(Distances[[#This Row],[Colonne283]]=$G75,KO75,Distances[[#This Row],[Colonne283]]+1)</f>
        <v>280</v>
      </c>
      <c r="KQ75" s="17">
        <f>IF(Distances[[#This Row],[Colonne284]]=$G75,KP75,Distances[[#This Row],[Colonne284]]+1)</f>
        <v>281</v>
      </c>
      <c r="KR75" s="17">
        <f>IF(Distances[[#This Row],[Colonne285]]=$G75,KQ75,Distances[[#This Row],[Colonne285]]+1)</f>
        <v>282</v>
      </c>
      <c r="KS75" s="17">
        <f>IF(Distances[[#This Row],[Colonne286]]=$G75,KR75,Distances[[#This Row],[Colonne286]]+1)</f>
        <v>283</v>
      </c>
      <c r="KT75" s="17">
        <f>IF(Distances[[#This Row],[Colonne287]]=$G75,KS75,Distances[[#This Row],[Colonne287]]+1)</f>
        <v>284</v>
      </c>
      <c r="KU75" s="17">
        <f>IF(Distances[[#This Row],[Colonne288]]=$G75,KT75,Distances[[#This Row],[Colonne288]]+1)</f>
        <v>285</v>
      </c>
      <c r="KV75" s="17">
        <f>IF(Distances[[#This Row],[Colonne289]]=$G75,KU75,Distances[[#This Row],[Colonne289]]+1)</f>
        <v>286</v>
      </c>
      <c r="KW75" s="17">
        <f>IF(Distances[[#This Row],[Colonne290]]=$G75,KV75,Distances[[#This Row],[Colonne290]]+1)</f>
        <v>287</v>
      </c>
      <c r="KX75" s="17">
        <f>IF(Distances[[#This Row],[Colonne291]]=$G75,KW75,Distances[[#This Row],[Colonne291]]+1)</f>
        <v>288</v>
      </c>
      <c r="KY75" s="17">
        <f>IF(Distances[[#This Row],[Colonne292]]=$G75,KX75,Distances[[#This Row],[Colonne292]]+1)</f>
        <v>289</v>
      </c>
      <c r="KZ75" s="17">
        <f>IF(Distances[[#This Row],[Colonne293]]=$G75,KY75,Distances[[#This Row],[Colonne293]]+1)</f>
        <v>290</v>
      </c>
      <c r="LA75" s="17">
        <f>IF(Distances[[#This Row],[Colonne294]]=$G75,KZ75,Distances[[#This Row],[Colonne294]]+1)</f>
        <v>291</v>
      </c>
      <c r="LB75" s="17">
        <f>IF(Distances[[#This Row],[Colonne295]]=$G75,LA75,Distances[[#This Row],[Colonne295]]+1)</f>
        <v>292</v>
      </c>
      <c r="LC75" s="17">
        <f>IF(Distances[[#This Row],[Colonne296]]=$G75,LB75,Distances[[#This Row],[Colonne296]]+1)</f>
        <v>293</v>
      </c>
      <c r="LD75" s="17">
        <f>IF(Distances[[#This Row],[Colonne297]]=$G75,LC75,Distances[[#This Row],[Colonne297]]+1)</f>
        <v>294</v>
      </c>
      <c r="LE75" s="17">
        <f>IF(Distances[[#This Row],[Colonne298]]=$G75,LD75,Distances[[#This Row],[Colonne298]]+1)</f>
        <v>295</v>
      </c>
      <c r="LF75" s="17">
        <f>IF(Distances[[#This Row],[Colonne299]]=$G75,LE75,Distances[[#This Row],[Colonne299]]+1)</f>
        <v>296</v>
      </c>
      <c r="LG75" s="17">
        <f>IF(Distances[[#This Row],[Colonne300]]=$G75,LF75,Distances[[#This Row],[Colonne300]]+1)</f>
        <v>297</v>
      </c>
      <c r="LH75" s="17">
        <f>IF(Distances[[#This Row],[Colonne301]]=$G75,LG75,Distances[[#This Row],[Colonne301]]+1)</f>
        <v>298</v>
      </c>
      <c r="LI75" s="17">
        <f>IF(Distances[[#This Row],[Colonne302]]=$G75,LH75,Distances[[#This Row],[Colonne302]]+1)</f>
        <v>299</v>
      </c>
      <c r="LJ75" s="17">
        <f>IF(Distances[[#This Row],[Colonne303]]=$G75,LI75,Distances[[#This Row],[Colonne303]]+1)</f>
        <v>300</v>
      </c>
      <c r="LK75" s="51"/>
      <c r="LL75" s="17">
        <f t="shared" ref="LL75:NW75" si="147">IF(LK75=$H75,LK75,LK75+1)</f>
        <v>1</v>
      </c>
      <c r="LM75" s="17">
        <f t="shared" si="147"/>
        <v>2</v>
      </c>
      <c r="LN75" s="17">
        <f t="shared" si="147"/>
        <v>3</v>
      </c>
      <c r="LO75" s="17">
        <f t="shared" si="147"/>
        <v>4</v>
      </c>
      <c r="LP75" s="17">
        <f t="shared" si="147"/>
        <v>5</v>
      </c>
      <c r="LQ75" s="17">
        <f t="shared" si="147"/>
        <v>6</v>
      </c>
      <c r="LR75" s="17">
        <f t="shared" si="147"/>
        <v>7</v>
      </c>
      <c r="LS75" s="17">
        <f t="shared" si="147"/>
        <v>8</v>
      </c>
      <c r="LT75" s="17">
        <f t="shared" si="147"/>
        <v>9</v>
      </c>
      <c r="LU75" s="17">
        <f t="shared" si="147"/>
        <v>10</v>
      </c>
      <c r="LV75" s="17">
        <f t="shared" si="147"/>
        <v>11</v>
      </c>
      <c r="LW75" s="17">
        <f t="shared" si="147"/>
        <v>12</v>
      </c>
      <c r="LX75" s="17">
        <f t="shared" si="147"/>
        <v>13</v>
      </c>
      <c r="LY75" s="17">
        <f t="shared" si="147"/>
        <v>14</v>
      </c>
      <c r="LZ75" s="17">
        <f t="shared" si="147"/>
        <v>15</v>
      </c>
      <c r="MA75" s="17">
        <f t="shared" si="147"/>
        <v>16</v>
      </c>
      <c r="MB75" s="17">
        <f t="shared" si="147"/>
        <v>17</v>
      </c>
      <c r="MC75" s="17">
        <f t="shared" si="147"/>
        <v>18</v>
      </c>
      <c r="MD75" s="17">
        <f t="shared" si="147"/>
        <v>19</v>
      </c>
      <c r="ME75" s="17">
        <f t="shared" si="147"/>
        <v>20</v>
      </c>
      <c r="MF75" s="17">
        <f t="shared" si="147"/>
        <v>21</v>
      </c>
      <c r="MG75" s="17">
        <f t="shared" si="147"/>
        <v>22</v>
      </c>
      <c r="MH75" s="17">
        <f t="shared" si="147"/>
        <v>23</v>
      </c>
      <c r="MI75" s="17">
        <f t="shared" si="147"/>
        <v>24</v>
      </c>
      <c r="MJ75" s="17">
        <f t="shared" si="147"/>
        <v>25</v>
      </c>
      <c r="MK75" s="17">
        <f t="shared" si="147"/>
        <v>26</v>
      </c>
      <c r="ML75" s="17">
        <f t="shared" si="147"/>
        <v>27</v>
      </c>
      <c r="MM75" s="17">
        <f t="shared" si="147"/>
        <v>28</v>
      </c>
      <c r="MN75" s="17">
        <f t="shared" si="147"/>
        <v>29</v>
      </c>
      <c r="MO75" s="17">
        <f t="shared" si="147"/>
        <v>30</v>
      </c>
      <c r="MP75" s="17">
        <f t="shared" si="147"/>
        <v>31</v>
      </c>
      <c r="MQ75" s="17">
        <f t="shared" si="147"/>
        <v>32</v>
      </c>
      <c r="MR75" s="17">
        <f t="shared" si="147"/>
        <v>33</v>
      </c>
      <c r="MS75" s="17">
        <f t="shared" si="147"/>
        <v>34</v>
      </c>
      <c r="MT75" s="17">
        <f t="shared" si="147"/>
        <v>35</v>
      </c>
      <c r="MU75" s="17">
        <f t="shared" si="147"/>
        <v>36</v>
      </c>
      <c r="MV75" s="17">
        <f t="shared" si="147"/>
        <v>37</v>
      </c>
      <c r="MW75" s="17">
        <f t="shared" si="147"/>
        <v>38</v>
      </c>
      <c r="MX75" s="17">
        <f t="shared" si="147"/>
        <v>39</v>
      </c>
      <c r="MY75" s="17">
        <f t="shared" si="147"/>
        <v>40</v>
      </c>
      <c r="MZ75" s="17">
        <f t="shared" si="147"/>
        <v>41</v>
      </c>
      <c r="NA75" s="17">
        <f t="shared" si="147"/>
        <v>42</v>
      </c>
      <c r="NB75" s="17">
        <f t="shared" si="147"/>
        <v>43</v>
      </c>
      <c r="NC75" s="17">
        <f t="shared" si="147"/>
        <v>44</v>
      </c>
      <c r="ND75" s="17">
        <f t="shared" si="147"/>
        <v>45</v>
      </c>
      <c r="NE75" s="17">
        <f t="shared" si="147"/>
        <v>46</v>
      </c>
      <c r="NF75" s="17">
        <f t="shared" si="147"/>
        <v>47</v>
      </c>
      <c r="NG75" s="17">
        <f t="shared" si="147"/>
        <v>48</v>
      </c>
      <c r="NH75" s="17">
        <f t="shared" si="147"/>
        <v>49</v>
      </c>
      <c r="NI75" s="17">
        <f t="shared" si="147"/>
        <v>50</v>
      </c>
      <c r="NJ75" s="17">
        <f t="shared" si="147"/>
        <v>51</v>
      </c>
      <c r="NK75" s="17">
        <f t="shared" si="147"/>
        <v>52</v>
      </c>
      <c r="NL75" s="17">
        <f t="shared" si="147"/>
        <v>53</v>
      </c>
      <c r="NM75" s="17">
        <f t="shared" si="147"/>
        <v>54</v>
      </c>
      <c r="NN75" s="17">
        <f t="shared" si="147"/>
        <v>55</v>
      </c>
      <c r="NO75" s="17">
        <f t="shared" si="147"/>
        <v>56</v>
      </c>
      <c r="NP75" s="17">
        <f t="shared" si="147"/>
        <v>57</v>
      </c>
      <c r="NQ75" s="17">
        <f t="shared" si="147"/>
        <v>58</v>
      </c>
      <c r="NR75" s="17">
        <f t="shared" si="147"/>
        <v>59</v>
      </c>
      <c r="NS75" s="17">
        <f t="shared" si="147"/>
        <v>60</v>
      </c>
      <c r="NT75" s="17">
        <f t="shared" si="147"/>
        <v>61</v>
      </c>
      <c r="NU75" s="17">
        <f t="shared" si="147"/>
        <v>62</v>
      </c>
      <c r="NV75" s="17">
        <f t="shared" si="147"/>
        <v>63</v>
      </c>
      <c r="NW75" s="17">
        <f t="shared" si="147"/>
        <v>64</v>
      </c>
      <c r="NX75" s="17">
        <f t="shared" ref="NX75:PG75" si="148">IF(NW75=$H75,NW75,NW75+1)</f>
        <v>65</v>
      </c>
      <c r="NY75" s="17">
        <f t="shared" si="148"/>
        <v>66</v>
      </c>
      <c r="NZ75" s="17">
        <f t="shared" si="148"/>
        <v>67</v>
      </c>
      <c r="OA75" s="17">
        <f t="shared" si="148"/>
        <v>68</v>
      </c>
      <c r="OB75" s="17">
        <f t="shared" si="148"/>
        <v>69</v>
      </c>
      <c r="OC75" s="17">
        <f t="shared" si="148"/>
        <v>70</v>
      </c>
      <c r="OD75" s="17">
        <f t="shared" si="148"/>
        <v>71</v>
      </c>
      <c r="OE75" s="17">
        <f t="shared" si="148"/>
        <v>72</v>
      </c>
      <c r="OF75" s="17">
        <f t="shared" si="148"/>
        <v>73</v>
      </c>
      <c r="OG75" s="17">
        <f t="shared" si="148"/>
        <v>74</v>
      </c>
      <c r="OH75" s="17">
        <f t="shared" si="148"/>
        <v>75</v>
      </c>
      <c r="OI75" s="17">
        <f t="shared" si="148"/>
        <v>76</v>
      </c>
      <c r="OJ75" s="17">
        <f t="shared" si="148"/>
        <v>77</v>
      </c>
      <c r="OK75" s="17">
        <f t="shared" si="148"/>
        <v>78</v>
      </c>
      <c r="OL75" s="17">
        <f t="shared" si="148"/>
        <v>79</v>
      </c>
      <c r="OM75" s="17">
        <f t="shared" si="148"/>
        <v>80</v>
      </c>
      <c r="ON75" s="17">
        <f t="shared" si="148"/>
        <v>81</v>
      </c>
      <c r="OO75" s="17">
        <f t="shared" si="148"/>
        <v>82</v>
      </c>
      <c r="OP75" s="17">
        <f t="shared" si="148"/>
        <v>83</v>
      </c>
      <c r="OQ75" s="17">
        <f t="shared" si="148"/>
        <v>84</v>
      </c>
      <c r="OR75" s="17">
        <f t="shared" si="148"/>
        <v>85</v>
      </c>
      <c r="OS75" s="17">
        <f t="shared" si="148"/>
        <v>86</v>
      </c>
      <c r="OT75" s="17">
        <f t="shared" si="148"/>
        <v>87</v>
      </c>
      <c r="OU75" s="17">
        <f t="shared" si="148"/>
        <v>88</v>
      </c>
      <c r="OV75" s="17">
        <f t="shared" si="148"/>
        <v>89</v>
      </c>
      <c r="OW75" s="17">
        <f t="shared" si="148"/>
        <v>90</v>
      </c>
      <c r="OX75" s="17">
        <f t="shared" si="148"/>
        <v>91</v>
      </c>
      <c r="OY75" s="17">
        <f t="shared" si="148"/>
        <v>92</v>
      </c>
      <c r="OZ75" s="17">
        <f t="shared" si="148"/>
        <v>93</v>
      </c>
      <c r="PA75" s="17">
        <f t="shared" si="148"/>
        <v>94</v>
      </c>
      <c r="PB75" s="17">
        <f t="shared" si="148"/>
        <v>95</v>
      </c>
      <c r="PC75" s="17">
        <f t="shared" si="148"/>
        <v>96</v>
      </c>
      <c r="PD75" s="17">
        <f t="shared" si="148"/>
        <v>97</v>
      </c>
      <c r="PE75" s="17">
        <f t="shared" si="148"/>
        <v>98</v>
      </c>
      <c r="PF75" s="17">
        <f t="shared" si="148"/>
        <v>99</v>
      </c>
      <c r="PG75" s="17">
        <f t="shared" si="148"/>
        <v>100</v>
      </c>
    </row>
    <row r="76" spans="1:423" x14ac:dyDescent="0.25">
      <c r="A76" s="9" t="s">
        <v>5454</v>
      </c>
      <c r="B76" s="9"/>
      <c r="C76" s="9" t="str">
        <f>LEFT(A76)&amp;B76</f>
        <v>3</v>
      </c>
      <c r="D76" s="1" t="s">
        <v>5454</v>
      </c>
      <c r="E76" s="1" t="s">
        <v>18</v>
      </c>
      <c r="F76" s="9" t="s">
        <v>5508</v>
      </c>
      <c r="G76" s="9" t="s">
        <v>8510</v>
      </c>
      <c r="H76" s="9" t="str">
        <f>"/"</f>
        <v>/</v>
      </c>
      <c r="I76" s="127">
        <v>3.1</v>
      </c>
      <c r="J76" s="30"/>
      <c r="K76" s="10"/>
      <c r="L76" s="8"/>
      <c r="M76" s="9"/>
      <c r="N76" s="10"/>
      <c r="O76" s="269"/>
      <c r="P76" s="331"/>
      <c r="Q76" s="335"/>
      <c r="R76" s="128"/>
      <c r="S76" s="9"/>
      <c r="T76" s="10"/>
      <c r="U76" t="s">
        <v>5523</v>
      </c>
      <c r="V76" s="17">
        <v>0</v>
      </c>
      <c r="W76" s="17">
        <f>IF(Distances[[#This Row],[Colonne4]]=$G76,V76,Distances[[#This Row],[Colonne4]]+1)</f>
        <v>1</v>
      </c>
      <c r="X76" s="17">
        <f>IF(Distances[[#This Row],[Colonne5]]=$G76,W76,Distances[[#This Row],[Colonne5]]+1)</f>
        <v>2</v>
      </c>
      <c r="Y76" s="17">
        <f>IF(Distances[[#This Row],[Colonne6]]=$G76,X76,Distances[[#This Row],[Colonne6]]+1)</f>
        <v>3</v>
      </c>
      <c r="Z76" s="17">
        <f>IF(Distances[[#This Row],[Colonne7]]=$G76,Y76,Distances[[#This Row],[Colonne7]]+1)</f>
        <v>4</v>
      </c>
      <c r="AA76" s="17">
        <f>IF(Distances[[#This Row],[Colonne8]]=$G76,Z76,Distances[[#This Row],[Colonne8]]+1)</f>
        <v>5</v>
      </c>
      <c r="AB76" s="17">
        <f>IF(Distances[[#This Row],[Colonne9]]=$G76,AA76,Distances[[#This Row],[Colonne9]]+1)</f>
        <v>6</v>
      </c>
      <c r="AC76" s="17">
        <f>IF(Distances[[#This Row],[Colonne10]]=$G76,AB76,Distances[[#This Row],[Colonne10]]+1)</f>
        <v>7</v>
      </c>
      <c r="AD76" s="17">
        <f>IF(Distances[[#This Row],[Colonne11]]=$G76,AC76,Distances[[#This Row],[Colonne11]]+1)</f>
        <v>8</v>
      </c>
      <c r="AE76" s="17">
        <f>IF(Distances[[#This Row],[Colonne12]]=$G76,AD76,Distances[[#This Row],[Colonne12]]+1)</f>
        <v>9</v>
      </c>
      <c r="AF76" s="17">
        <f>IF(Distances[[#This Row],[Colonne13]]=$G76,AE76,Distances[[#This Row],[Colonne13]]+1)</f>
        <v>10</v>
      </c>
      <c r="AG76" s="17">
        <f>IF(Distances[[#This Row],[Colonne14]]=$G76,AF76,Distances[[#This Row],[Colonne14]]+1)</f>
        <v>11</v>
      </c>
      <c r="AH76" s="17">
        <f>IF(Distances[[#This Row],[Colonne15]]=$G76,AG76,Distances[[#This Row],[Colonne15]]+1)</f>
        <v>12</v>
      </c>
      <c r="AI76" s="17">
        <f>IF(Distances[[#This Row],[Colonne16]]=$G76,AH76,Distances[[#This Row],[Colonne16]]+1)</f>
        <v>13</v>
      </c>
      <c r="AJ76" s="17">
        <f>IF(Distances[[#This Row],[Colonne17]]=$G76,AI76,Distances[[#This Row],[Colonne17]]+1)</f>
        <v>14</v>
      </c>
      <c r="AK76" s="17">
        <f>IF(Distances[[#This Row],[Colonne18]]=$G76,AJ76,Distances[[#This Row],[Colonne18]]+1)</f>
        <v>15</v>
      </c>
      <c r="AL76" s="17">
        <f>IF(Distances[[#This Row],[Colonne19]]=$G76,AK76,Distances[[#This Row],[Colonne19]]+1)</f>
        <v>16</v>
      </c>
      <c r="AM76" s="17">
        <f>IF(Distances[[#This Row],[Colonne20]]=$G76,AL76,Distances[[#This Row],[Colonne20]]+1)</f>
        <v>17</v>
      </c>
      <c r="AN76" s="17">
        <f>IF(Distances[[#This Row],[Colonne21]]=$G76,AM76,Distances[[#This Row],[Colonne21]]+1)</f>
        <v>18</v>
      </c>
      <c r="AO76" s="17">
        <f>IF(Distances[[#This Row],[Colonne22]]=$G76,AN76,Distances[[#This Row],[Colonne22]]+1)</f>
        <v>19</v>
      </c>
      <c r="AP76" s="17">
        <f>IF(Distances[[#This Row],[Colonne23]]=$G76,AO76,Distances[[#This Row],[Colonne23]]+1)</f>
        <v>20</v>
      </c>
      <c r="AQ76" s="17">
        <f>IF(Distances[[#This Row],[Colonne24]]=$G76,AP76,Distances[[#This Row],[Colonne24]]+1)</f>
        <v>21</v>
      </c>
      <c r="AR76" s="17">
        <f>IF(Distances[[#This Row],[Colonne25]]=$G76,AQ76,Distances[[#This Row],[Colonne25]]+1)</f>
        <v>22</v>
      </c>
      <c r="AS76" s="17">
        <f>IF(Distances[[#This Row],[Colonne26]]=$G76,AR76,Distances[[#This Row],[Colonne26]]+1)</f>
        <v>23</v>
      </c>
      <c r="AT76" s="17">
        <f>IF(Distances[[#This Row],[Colonne27]]=$G76,AS76,Distances[[#This Row],[Colonne27]]+1)</f>
        <v>24</v>
      </c>
      <c r="AU76" s="17">
        <f>IF(Distances[[#This Row],[Colonne28]]=$G76,AT76,Distances[[#This Row],[Colonne28]]+1)</f>
        <v>25</v>
      </c>
      <c r="AV76" s="17">
        <f>IF(Distances[[#This Row],[Colonne29]]=$G76,AU76,Distances[[#This Row],[Colonne29]]+1)</f>
        <v>26</v>
      </c>
      <c r="AW76" s="17">
        <f>IF(Distances[[#This Row],[Colonne30]]=$G76,AV76,Distances[[#This Row],[Colonne30]]+1)</f>
        <v>27</v>
      </c>
      <c r="AX76" s="17">
        <f>IF(Distances[[#This Row],[Colonne31]]=$G76,AW76,Distances[[#This Row],[Colonne31]]+1)</f>
        <v>28</v>
      </c>
      <c r="AY76" s="17">
        <f>IF(Distances[[#This Row],[Colonne32]]=$G76,AX76,Distances[[#This Row],[Colonne32]]+1)</f>
        <v>29</v>
      </c>
      <c r="AZ76" s="17">
        <f>IF(Distances[[#This Row],[Colonne33]]=$G76,AY76,Distances[[#This Row],[Colonne33]]+1)</f>
        <v>30</v>
      </c>
      <c r="BA76" s="17">
        <f>IF(Distances[[#This Row],[Colonne34]]=$G76,AZ76,Distances[[#This Row],[Colonne34]]+1)</f>
        <v>31</v>
      </c>
      <c r="BB76" s="17">
        <f>IF(Distances[[#This Row],[Colonne35]]=$G76,BA76,Distances[[#This Row],[Colonne35]]+1)</f>
        <v>32</v>
      </c>
      <c r="BC76" s="17">
        <f>IF(Distances[[#This Row],[Colonne36]]=$G76,BB76,Distances[[#This Row],[Colonne36]]+1)</f>
        <v>33</v>
      </c>
      <c r="BD76" s="17">
        <f>IF(Distances[[#This Row],[Colonne37]]=$G76,BC76,Distances[[#This Row],[Colonne37]]+1)</f>
        <v>34</v>
      </c>
      <c r="BE76" s="17">
        <f>IF(Distances[[#This Row],[Colonne38]]=$G76,BD76,Distances[[#This Row],[Colonne38]]+1)</f>
        <v>35</v>
      </c>
      <c r="BF76" s="17">
        <f>IF(Distances[[#This Row],[Colonne39]]=$G76,BE76,Distances[[#This Row],[Colonne39]]+1)</f>
        <v>36</v>
      </c>
      <c r="BG76" s="17">
        <f>IF(Distances[[#This Row],[Colonne40]]=$G76,BF76,Distances[[#This Row],[Colonne40]]+1)</f>
        <v>37</v>
      </c>
      <c r="BH76" s="17">
        <f>IF(Distances[[#This Row],[Colonne41]]=$G76,BG76,Distances[[#This Row],[Colonne41]]+1)</f>
        <v>38</v>
      </c>
      <c r="BI76" s="17">
        <f>IF(Distances[[#This Row],[Colonne42]]=$G76,BH76,Distances[[#This Row],[Colonne42]]+1)</f>
        <v>39</v>
      </c>
      <c r="BJ76" s="17">
        <f>IF(Distances[[#This Row],[Colonne43]]=$G76,BI76,Distances[[#This Row],[Colonne43]]+1)</f>
        <v>40</v>
      </c>
      <c r="BK76" s="17">
        <f>IF(Distances[[#This Row],[Colonne44]]=$G76,BJ76,Distances[[#This Row],[Colonne44]]+1)</f>
        <v>41</v>
      </c>
      <c r="BL76" s="17">
        <f>IF(Distances[[#This Row],[Colonne45]]=$G76,BK76,Distances[[#This Row],[Colonne45]]+1)</f>
        <v>42</v>
      </c>
      <c r="BM76" s="17">
        <f>IF(Distances[[#This Row],[Colonne46]]=$G76,BL76,Distances[[#This Row],[Colonne46]]+1)</f>
        <v>43</v>
      </c>
      <c r="BN76" s="17">
        <f>IF(Distances[[#This Row],[Colonne47]]=$G76,BM76,Distances[[#This Row],[Colonne47]]+1)</f>
        <v>44</v>
      </c>
      <c r="BO76" s="17">
        <f>IF(Distances[[#This Row],[Colonne48]]=$G76,BN76,Distances[[#This Row],[Colonne48]]+1)</f>
        <v>45</v>
      </c>
      <c r="BP76" s="17">
        <f>IF(Distances[[#This Row],[Colonne49]]=$G76,BO76,Distances[[#This Row],[Colonne49]]+1)</f>
        <v>46</v>
      </c>
      <c r="BQ76" s="17">
        <f>IF(Distances[[#This Row],[Colonne50]]=$G76,BP76,Distances[[#This Row],[Colonne50]]+1)</f>
        <v>47</v>
      </c>
      <c r="BR76" s="17">
        <f>IF(Distances[[#This Row],[Colonne51]]=$G76,BQ76,Distances[[#This Row],[Colonne51]]+1)</f>
        <v>48</v>
      </c>
      <c r="BS76" s="17">
        <f>IF(Distances[[#This Row],[Colonne52]]=$G76,BR76,Distances[[#This Row],[Colonne52]]+1)</f>
        <v>49</v>
      </c>
      <c r="BT76" s="17">
        <f>IF(Distances[[#This Row],[Colonne53]]=$G76,BS76,Distances[[#This Row],[Colonne53]]+1)</f>
        <v>50</v>
      </c>
      <c r="BU76" s="17">
        <f>IF(Distances[[#This Row],[Colonne54]]=$G76,BT76,Distances[[#This Row],[Colonne54]]+1)</f>
        <v>51</v>
      </c>
      <c r="BV76" s="17">
        <f>IF(Distances[[#This Row],[Colonne55]]=$G76,BU76,Distances[[#This Row],[Colonne55]]+1)</f>
        <v>52</v>
      </c>
      <c r="BW76" s="17">
        <f>IF(Distances[[#This Row],[Colonne56]]=$G76,BV76,Distances[[#This Row],[Colonne56]]+1)</f>
        <v>53</v>
      </c>
      <c r="BX76" s="17">
        <f>IF(Distances[[#This Row],[Colonne57]]=$G76,BW76,Distances[[#This Row],[Colonne57]]+1)</f>
        <v>54</v>
      </c>
      <c r="BY76" s="17">
        <f>IF(Distances[[#This Row],[Colonne58]]=$G76,BX76,Distances[[#This Row],[Colonne58]]+1)</f>
        <v>55</v>
      </c>
      <c r="BZ76" s="17">
        <f>IF(Distances[[#This Row],[Colonne59]]=$G76,BY76,Distances[[#This Row],[Colonne59]]+1)</f>
        <v>56</v>
      </c>
      <c r="CA76" s="17">
        <f>IF(Distances[[#This Row],[Colonne60]]=$G76,BZ76,Distances[[#This Row],[Colonne60]]+1)</f>
        <v>57</v>
      </c>
      <c r="CB76" s="17">
        <f>IF(Distances[[#This Row],[Colonne61]]=$G76,CA76,Distances[[#This Row],[Colonne61]]+1)</f>
        <v>58</v>
      </c>
      <c r="CC76" s="17">
        <f>IF(Distances[[#This Row],[Colonne62]]=$G76,CB76,Distances[[#This Row],[Colonne62]]+1)</f>
        <v>59</v>
      </c>
      <c r="CD76" s="17">
        <f>IF(Distances[[#This Row],[Colonne63]]=$G76,CC76,Distances[[#This Row],[Colonne63]]+1)</f>
        <v>60</v>
      </c>
      <c r="CE76" s="17">
        <f>IF(Distances[[#This Row],[Colonne64]]=$G76,CD76,Distances[[#This Row],[Colonne64]]+1)</f>
        <v>61</v>
      </c>
      <c r="CF76" s="17">
        <f>IF(Distances[[#This Row],[Colonne65]]=$G76,CE76,Distances[[#This Row],[Colonne65]]+1)</f>
        <v>62</v>
      </c>
      <c r="CG76" s="17">
        <f>IF(Distances[[#This Row],[Colonne66]]=$G76,CF76,Distances[[#This Row],[Colonne66]]+1)</f>
        <v>63</v>
      </c>
      <c r="CH76" s="17">
        <f>IF(Distances[[#This Row],[Colonne67]]=$G76,CG76,Distances[[#This Row],[Colonne67]]+1)</f>
        <v>64</v>
      </c>
      <c r="CI76" s="17">
        <f>IF(Distances[[#This Row],[Colonne68]]=$G76,CH76,Distances[[#This Row],[Colonne68]]+1)</f>
        <v>65</v>
      </c>
      <c r="CJ76" s="17">
        <f>IF(Distances[[#This Row],[Colonne69]]=$G76,CI76,Distances[[#This Row],[Colonne69]]+1)</f>
        <v>66</v>
      </c>
      <c r="CK76" s="17">
        <f>IF(Distances[[#This Row],[Colonne70]]=$G76,CJ76,Distances[[#This Row],[Colonne70]]+1)</f>
        <v>67</v>
      </c>
      <c r="CL76" s="17">
        <f>IF(Distances[[#This Row],[Colonne71]]=$G76,CK76,Distances[[#This Row],[Colonne71]]+1)</f>
        <v>68</v>
      </c>
      <c r="CM76" s="17">
        <f>IF(Distances[[#This Row],[Colonne72]]=$G76,CL76,Distances[[#This Row],[Colonne72]]+1)</f>
        <v>69</v>
      </c>
      <c r="CN76" s="17">
        <f>IF(Distances[[#This Row],[Colonne73]]=$G76,CM76,Distances[[#This Row],[Colonne73]]+1)</f>
        <v>70</v>
      </c>
      <c r="CO76" s="17">
        <f>IF(Distances[[#This Row],[Colonne74]]=$G76,CN76,Distances[[#This Row],[Colonne74]]+1)</f>
        <v>71</v>
      </c>
      <c r="CP76" s="17">
        <f>IF(Distances[[#This Row],[Colonne75]]=$G76,CO76,Distances[[#This Row],[Colonne75]]+1)</f>
        <v>72</v>
      </c>
      <c r="CQ76" s="17">
        <f>IF(Distances[[#This Row],[Colonne76]]=$G76,CP76,Distances[[#This Row],[Colonne76]]+1)</f>
        <v>73</v>
      </c>
      <c r="CR76" s="17">
        <f>IF(Distances[[#This Row],[Colonne77]]=$G76,CQ76,Distances[[#This Row],[Colonne77]]+1)</f>
        <v>74</v>
      </c>
      <c r="CS76" s="17">
        <f>IF(Distances[[#This Row],[Colonne78]]=$G76,CR76,Distances[[#This Row],[Colonne78]]+1)</f>
        <v>75</v>
      </c>
      <c r="CT76" s="17">
        <f>IF(Distances[[#This Row],[Colonne79]]=$G76,CS76,Distances[[#This Row],[Colonne79]]+1)</f>
        <v>76</v>
      </c>
      <c r="CU76" s="17">
        <f>IF(Distances[[#This Row],[Colonne80]]=$G76,CT76,Distances[[#This Row],[Colonne80]]+1)</f>
        <v>77</v>
      </c>
      <c r="CV76" s="17">
        <f>IF(Distances[[#This Row],[Colonne81]]=$G76,CU76,Distances[[#This Row],[Colonne81]]+1)</f>
        <v>78</v>
      </c>
      <c r="CW76" s="17">
        <f>IF(Distances[[#This Row],[Colonne82]]=$G76,CV76,Distances[[#This Row],[Colonne82]]+1)</f>
        <v>79</v>
      </c>
      <c r="CX76" s="17">
        <f>IF(Distances[[#This Row],[Colonne83]]=$G76,CW76,Distances[[#This Row],[Colonne83]]+1)</f>
        <v>80</v>
      </c>
      <c r="CY76" s="17">
        <f>IF(Distances[[#This Row],[Colonne84]]=$G76,CX76,Distances[[#This Row],[Colonne84]]+1)</f>
        <v>81</v>
      </c>
      <c r="CZ76" s="17">
        <f>IF(Distances[[#This Row],[Colonne85]]=$G76,CY76,Distances[[#This Row],[Colonne85]]+1)</f>
        <v>82</v>
      </c>
      <c r="DA76" s="17">
        <f>IF(Distances[[#This Row],[Colonne86]]=$G76,CZ76,Distances[[#This Row],[Colonne86]]+1)</f>
        <v>83</v>
      </c>
      <c r="DB76" s="17">
        <f>IF(Distances[[#This Row],[Colonne87]]=$G76,DA76,Distances[[#This Row],[Colonne87]]+1)</f>
        <v>84</v>
      </c>
      <c r="DC76" s="17">
        <f>IF(Distances[[#This Row],[Colonne88]]=$G76,DB76,Distances[[#This Row],[Colonne88]]+1)</f>
        <v>85</v>
      </c>
      <c r="DD76" s="17">
        <f>IF(Distances[[#This Row],[Colonne89]]=$G76,DC76,Distances[[#This Row],[Colonne89]]+1)</f>
        <v>86</v>
      </c>
      <c r="DE76" s="17">
        <f>IF(Distances[[#This Row],[Colonne90]]=$G76,DD76,Distances[[#This Row],[Colonne90]]+1)</f>
        <v>87</v>
      </c>
      <c r="DF76" s="17">
        <f>IF(Distances[[#This Row],[Colonne91]]=$G76,DE76,Distances[[#This Row],[Colonne91]]+1)</f>
        <v>88</v>
      </c>
      <c r="DG76" s="17">
        <f>IF(Distances[[#This Row],[Colonne92]]=$G76,DF76,Distances[[#This Row],[Colonne92]]+1)</f>
        <v>89</v>
      </c>
      <c r="DH76" s="17">
        <f>IF(Distances[[#This Row],[Colonne93]]=$G76,DG76,Distances[[#This Row],[Colonne93]]+1)</f>
        <v>90</v>
      </c>
      <c r="DI76" s="17">
        <f>IF(Distances[[#This Row],[Colonne94]]=$G76,DH76,Distances[[#This Row],[Colonne94]]+1)</f>
        <v>91</v>
      </c>
      <c r="DJ76" s="17">
        <f>IF(Distances[[#This Row],[Colonne95]]=$G76,DI76,Distances[[#This Row],[Colonne95]]+1)</f>
        <v>92</v>
      </c>
      <c r="DK76" s="17">
        <f>IF(Distances[[#This Row],[Colonne96]]=$G76,DJ76,Distances[[#This Row],[Colonne96]]+1)</f>
        <v>93</v>
      </c>
      <c r="DL76" s="17">
        <f>IF(Distances[[#This Row],[Colonne97]]=$G76,DK76,Distances[[#This Row],[Colonne97]]+1)</f>
        <v>94</v>
      </c>
      <c r="DM76" s="17">
        <f>IF(Distances[[#This Row],[Colonne98]]=$G76,DL76,Distances[[#This Row],[Colonne98]]+1)</f>
        <v>95</v>
      </c>
      <c r="DN76" s="17">
        <f>IF(Distances[[#This Row],[Colonne99]]=$G76,DM76,Distances[[#This Row],[Colonne99]]+1)</f>
        <v>96</v>
      </c>
      <c r="DO76" s="17">
        <f>IF(Distances[[#This Row],[Colonne100]]=$G76,DN76,Distances[[#This Row],[Colonne100]]+1)</f>
        <v>97</v>
      </c>
      <c r="DP76" s="17">
        <f>IF(Distances[[#This Row],[Colonne101]]=$G76,DO76,Distances[[#This Row],[Colonne101]]+1)</f>
        <v>98</v>
      </c>
      <c r="DQ76" s="17">
        <f>IF(Distances[[#This Row],[Colonne102]]=$G76,DP76,Distances[[#This Row],[Colonne102]]+1)</f>
        <v>99</v>
      </c>
      <c r="DR76" s="17">
        <f>IF(Distances[[#This Row],[Colonne103]]=$G76,DQ76,Distances[[#This Row],[Colonne103]]+1)</f>
        <v>100</v>
      </c>
      <c r="DS76" s="17">
        <f>IF(Distances[[#This Row],[Colonne104]]=$G76,DR76,Distances[[#This Row],[Colonne104]]+1)</f>
        <v>101</v>
      </c>
      <c r="DT76" s="17">
        <f>IF(Distances[[#This Row],[Colonne105]]=$G76,DS76,Distances[[#This Row],[Colonne105]]+1)</f>
        <v>102</v>
      </c>
      <c r="DU76" s="17">
        <f>IF(Distances[[#This Row],[Colonne106]]=$G76,DT76,Distances[[#This Row],[Colonne106]]+1)</f>
        <v>103</v>
      </c>
      <c r="DV76" s="17">
        <f>IF(Distances[[#This Row],[Colonne107]]=$G76,DU76,Distances[[#This Row],[Colonne107]]+1)</f>
        <v>104</v>
      </c>
      <c r="DW76" s="17">
        <f>IF(Distances[[#This Row],[Colonne108]]=$G76,DV76,Distances[[#This Row],[Colonne108]]+1)</f>
        <v>105</v>
      </c>
      <c r="DX76" s="17">
        <f>IF(Distances[[#This Row],[Colonne109]]=$G76,DW76,Distances[[#This Row],[Colonne109]]+1)</f>
        <v>106</v>
      </c>
      <c r="DY76" s="17">
        <f>IF(Distances[[#This Row],[Colonne110]]=$G76,DX76,Distances[[#This Row],[Colonne110]]+1)</f>
        <v>107</v>
      </c>
      <c r="DZ76" s="17">
        <f>IF(Distances[[#This Row],[Colonne111]]=$G76,DY76,Distances[[#This Row],[Colonne111]]+1)</f>
        <v>108</v>
      </c>
      <c r="EA76" s="17">
        <f>IF(Distances[[#This Row],[Colonne112]]=$G76,DZ76,Distances[[#This Row],[Colonne112]]+1)</f>
        <v>109</v>
      </c>
      <c r="EB76" s="17">
        <f>IF(Distances[[#This Row],[Colonne113]]=$G76,EA76,Distances[[#This Row],[Colonne113]]+1)</f>
        <v>110</v>
      </c>
      <c r="EC76" s="17">
        <f>IF(Distances[[#This Row],[Colonne114]]=$G76,EB76,Distances[[#This Row],[Colonne114]]+1)</f>
        <v>111</v>
      </c>
      <c r="ED76" s="17">
        <f>IF(Distances[[#This Row],[Colonne115]]=$G76,EC76,Distances[[#This Row],[Colonne115]]+1)</f>
        <v>112</v>
      </c>
      <c r="EE76" s="17">
        <f>IF(Distances[[#This Row],[Colonne116]]=$G76,ED76,Distances[[#This Row],[Colonne116]]+1)</f>
        <v>113</v>
      </c>
      <c r="EF76" s="17">
        <f>IF(Distances[[#This Row],[Colonne117]]=$G76,EE76,Distances[[#This Row],[Colonne117]]+1)</f>
        <v>114</v>
      </c>
      <c r="EG76" s="17">
        <f>IF(Distances[[#This Row],[Colonne118]]=$G76,EF76,Distances[[#This Row],[Colonne118]]+1)</f>
        <v>115</v>
      </c>
      <c r="EH76" s="17">
        <f>IF(Distances[[#This Row],[Colonne119]]=$G76,EG76,Distances[[#This Row],[Colonne119]]+1)</f>
        <v>116</v>
      </c>
      <c r="EI76" s="17">
        <f>IF(Distances[[#This Row],[Colonne120]]=$G76,EH76,Distances[[#This Row],[Colonne120]]+1)</f>
        <v>117</v>
      </c>
      <c r="EJ76" s="17">
        <f>IF(Distances[[#This Row],[Colonne121]]=$G76,EI76,Distances[[#This Row],[Colonne121]]+1)</f>
        <v>118</v>
      </c>
      <c r="EK76" s="17">
        <f>IF(Distances[[#This Row],[Colonne122]]=$G76,EJ76,Distances[[#This Row],[Colonne122]]+1)</f>
        <v>119</v>
      </c>
      <c r="EL76" s="17">
        <f>IF(Distances[[#This Row],[Colonne123]]=$G76,EK76,Distances[[#This Row],[Colonne123]]+1)</f>
        <v>120</v>
      </c>
      <c r="EM76" s="17">
        <f>IF(Distances[[#This Row],[Colonne124]]=$G76,EL76,Distances[[#This Row],[Colonne124]]+1)</f>
        <v>121</v>
      </c>
      <c r="EN76" s="17">
        <f>IF(Distances[[#This Row],[Colonne125]]=$G76,EM76,Distances[[#This Row],[Colonne125]]+1)</f>
        <v>122</v>
      </c>
      <c r="EO76" s="17">
        <f>IF(Distances[[#This Row],[Colonne126]]=$G76,EN76,Distances[[#This Row],[Colonne126]]+1)</f>
        <v>123</v>
      </c>
      <c r="EP76" s="17">
        <f>IF(Distances[[#This Row],[Colonne127]]=$G76,EO76,Distances[[#This Row],[Colonne127]]+1)</f>
        <v>124</v>
      </c>
      <c r="EQ76" s="17">
        <f>IF(Distances[[#This Row],[Colonne128]]=$G76,EP76,Distances[[#This Row],[Colonne128]]+1)</f>
        <v>125</v>
      </c>
      <c r="ER76" s="17">
        <f>IF(Distances[[#This Row],[Colonne129]]=$G76,EQ76,Distances[[#This Row],[Colonne129]]+1)</f>
        <v>126</v>
      </c>
      <c r="ES76" s="17">
        <f>IF(Distances[[#This Row],[Colonne130]]=$G76,ER76,Distances[[#This Row],[Colonne130]]+1)</f>
        <v>127</v>
      </c>
      <c r="ET76" s="17">
        <f>IF(Distances[[#This Row],[Colonne131]]=$G76,ES76,Distances[[#This Row],[Colonne131]]+1)</f>
        <v>128</v>
      </c>
      <c r="EU76" s="17">
        <f>IF(Distances[[#This Row],[Colonne132]]=$G76,ET76,Distances[[#This Row],[Colonne132]]+1)</f>
        <v>129</v>
      </c>
      <c r="EV76" s="17">
        <f>IF(Distances[[#This Row],[Colonne133]]=$G76,EU76,Distances[[#This Row],[Colonne133]]+1)</f>
        <v>130</v>
      </c>
      <c r="EW76" s="17">
        <f>IF(Distances[[#This Row],[Colonne134]]=$G76,EV76,Distances[[#This Row],[Colonne134]]+1)</f>
        <v>131</v>
      </c>
      <c r="EX76" s="17">
        <f>IF(Distances[[#This Row],[Colonne135]]=$G76,EW76,Distances[[#This Row],[Colonne135]]+1)</f>
        <v>132</v>
      </c>
      <c r="EY76" s="17">
        <f>IF(Distances[[#This Row],[Colonne136]]=$G76,EX76,Distances[[#This Row],[Colonne136]]+1)</f>
        <v>133</v>
      </c>
      <c r="EZ76" s="17">
        <f>IF(Distances[[#This Row],[Colonne137]]=$G76,EY76,Distances[[#This Row],[Colonne137]]+1)</f>
        <v>134</v>
      </c>
      <c r="FA76" s="17">
        <f>IF(Distances[[#This Row],[Colonne138]]=$G76,EZ76,Distances[[#This Row],[Colonne138]]+1)</f>
        <v>135</v>
      </c>
      <c r="FB76" s="17">
        <f>IF(Distances[[#This Row],[Colonne139]]=$G76,FA76,Distances[[#This Row],[Colonne139]]+1)</f>
        <v>136</v>
      </c>
      <c r="FC76" s="17">
        <f>IF(Distances[[#This Row],[Colonne140]]=$G76,FB76,Distances[[#This Row],[Colonne140]]+1)</f>
        <v>137</v>
      </c>
      <c r="FD76" s="17">
        <f>IF(Distances[[#This Row],[Colonne141]]=$G76,FC76,Distances[[#This Row],[Colonne141]]+1)</f>
        <v>138</v>
      </c>
      <c r="FE76" s="17">
        <f>IF(Distances[[#This Row],[Colonne142]]=$G76,FD76,Distances[[#This Row],[Colonne142]]+1)</f>
        <v>139</v>
      </c>
      <c r="FF76" s="17">
        <f>IF(Distances[[#This Row],[Colonne143]]=$G76,FE76,Distances[[#This Row],[Colonne143]]+1)</f>
        <v>140</v>
      </c>
      <c r="FG76" s="17">
        <f>IF(Distances[[#This Row],[Colonne144]]=$G76,FF76,Distances[[#This Row],[Colonne144]]+1)</f>
        <v>141</v>
      </c>
      <c r="FH76" s="17">
        <f>IF(Distances[[#This Row],[Colonne145]]=$G76,FG76,Distances[[#This Row],[Colonne145]]+1)</f>
        <v>142</v>
      </c>
      <c r="FI76" s="17">
        <f>IF(Distances[[#This Row],[Colonne146]]=$G76,FH76,Distances[[#This Row],[Colonne146]]+1)</f>
        <v>143</v>
      </c>
      <c r="FJ76" s="17">
        <f>IF(Distances[[#This Row],[Colonne147]]=$G76,FI76,Distances[[#This Row],[Colonne147]]+1)</f>
        <v>144</v>
      </c>
      <c r="FK76" s="17">
        <f>IF(Distances[[#This Row],[Colonne148]]=$G76,FJ76,Distances[[#This Row],[Colonne148]]+1)</f>
        <v>145</v>
      </c>
      <c r="FL76" s="17">
        <f>IF(Distances[[#This Row],[Colonne149]]=$G76,FK76,Distances[[#This Row],[Colonne149]]+1)</f>
        <v>146</v>
      </c>
      <c r="FM76" s="17">
        <f>IF(Distances[[#This Row],[Colonne150]]=$G76,FL76,Distances[[#This Row],[Colonne150]]+1)</f>
        <v>147</v>
      </c>
      <c r="FN76" s="17">
        <f>IF(Distances[[#This Row],[Colonne151]]=$G76,FM76,Distances[[#This Row],[Colonne151]]+1)</f>
        <v>148</v>
      </c>
      <c r="FO76" s="17">
        <f>IF(Distances[[#This Row],[Colonne152]]=$G76,FN76,Distances[[#This Row],[Colonne152]]+1)</f>
        <v>149</v>
      </c>
      <c r="FP76" s="17">
        <f>IF(Distances[[#This Row],[Colonne153]]=$G76,FO76,Distances[[#This Row],[Colonne153]]+1)</f>
        <v>150</v>
      </c>
      <c r="FQ76" s="17">
        <f>IF(Distances[[#This Row],[Colonne154]]=$G76,FP76,Distances[[#This Row],[Colonne154]]+1)</f>
        <v>151</v>
      </c>
      <c r="FR76" s="17">
        <f>IF(Distances[[#This Row],[Colonne155]]=$G76,FQ76,Distances[[#This Row],[Colonne155]]+1)</f>
        <v>152</v>
      </c>
      <c r="FS76" s="17">
        <f>IF(Distances[[#This Row],[Colonne156]]=$G76,FR76,Distances[[#This Row],[Colonne156]]+1)</f>
        <v>153</v>
      </c>
      <c r="FT76" s="17">
        <f>IF(Distances[[#This Row],[Colonne157]]=$G76,FS76,Distances[[#This Row],[Colonne157]]+1)</f>
        <v>154</v>
      </c>
      <c r="FU76" s="17">
        <f>IF(Distances[[#This Row],[Colonne158]]=$G76,FT76,Distances[[#This Row],[Colonne158]]+1)</f>
        <v>155</v>
      </c>
      <c r="FV76" s="17">
        <f>IF(Distances[[#This Row],[Colonne159]]=$G76,FU76,Distances[[#This Row],[Colonne159]]+1)</f>
        <v>156</v>
      </c>
      <c r="FW76" s="17">
        <f>IF(Distances[[#This Row],[Colonne160]]=$G76,FV76,Distances[[#This Row],[Colonne160]]+1)</f>
        <v>157</v>
      </c>
      <c r="FX76" s="17">
        <f>IF(Distances[[#This Row],[Colonne161]]=$G76,FW76,Distances[[#This Row],[Colonne161]]+1)</f>
        <v>158</v>
      </c>
      <c r="FY76" s="17">
        <f>IF(Distances[[#This Row],[Colonne162]]=$G76,FX76,Distances[[#This Row],[Colonne162]]+1)</f>
        <v>159</v>
      </c>
      <c r="FZ76" s="17">
        <f>IF(Distances[[#This Row],[Colonne163]]=$G76,FY76,Distances[[#This Row],[Colonne163]]+1)</f>
        <v>160</v>
      </c>
      <c r="GA76" s="17">
        <f>IF(Distances[[#This Row],[Colonne164]]=$G76,FZ76,Distances[[#This Row],[Colonne164]]+1)</f>
        <v>161</v>
      </c>
      <c r="GB76" s="17">
        <f>IF(Distances[[#This Row],[Colonne165]]=$G76,GA76,Distances[[#This Row],[Colonne165]]+1)</f>
        <v>162</v>
      </c>
      <c r="GC76" s="17">
        <f>IF(Distances[[#This Row],[Colonne166]]=$G76,GB76,Distances[[#This Row],[Colonne166]]+1)</f>
        <v>163</v>
      </c>
      <c r="GD76" s="17">
        <f>IF(Distances[[#This Row],[Colonne167]]=$G76,GC76,Distances[[#This Row],[Colonne167]]+1)</f>
        <v>164</v>
      </c>
      <c r="GE76" s="17">
        <f>IF(Distances[[#This Row],[Colonne168]]=$G76,GD76,Distances[[#This Row],[Colonne168]]+1)</f>
        <v>165</v>
      </c>
      <c r="GF76" s="17">
        <f>IF(Distances[[#This Row],[Colonne169]]=$G76,GE76,Distances[[#This Row],[Colonne169]]+1)</f>
        <v>166</v>
      </c>
      <c r="GG76" s="17">
        <f>IF(Distances[[#This Row],[Colonne170]]=$G76,GF76,Distances[[#This Row],[Colonne170]]+1)</f>
        <v>167</v>
      </c>
      <c r="GH76" s="17">
        <f>IF(Distances[[#This Row],[Colonne171]]=$G76,GG76,Distances[[#This Row],[Colonne171]]+1)</f>
        <v>168</v>
      </c>
      <c r="GI76" s="17">
        <f>IF(Distances[[#This Row],[Colonne172]]=$G76,GH76,Distances[[#This Row],[Colonne172]]+1)</f>
        <v>169</v>
      </c>
      <c r="GJ76" s="17">
        <f>IF(Distances[[#This Row],[Colonne173]]=$G76,GI76,Distances[[#This Row],[Colonne173]]+1)</f>
        <v>170</v>
      </c>
      <c r="GK76" s="17">
        <f>IF(Distances[[#This Row],[Colonne174]]=$G76,GJ76,Distances[[#This Row],[Colonne174]]+1)</f>
        <v>171</v>
      </c>
      <c r="GL76" s="17">
        <f>IF(Distances[[#This Row],[Colonne175]]=$G76,GK76,Distances[[#This Row],[Colonne175]]+1)</f>
        <v>172</v>
      </c>
      <c r="GM76" s="17">
        <f>IF(Distances[[#This Row],[Colonne176]]=$G76,GL76,Distances[[#This Row],[Colonne176]]+1)</f>
        <v>173</v>
      </c>
      <c r="GN76" s="17">
        <f>IF(Distances[[#This Row],[Colonne177]]=$G76,GM76,Distances[[#This Row],[Colonne177]]+1)</f>
        <v>174</v>
      </c>
      <c r="GO76" s="17">
        <f>IF(Distances[[#This Row],[Colonne178]]=$G76,GN76,Distances[[#This Row],[Colonne178]]+1)</f>
        <v>175</v>
      </c>
      <c r="GP76" s="17">
        <f>IF(Distances[[#This Row],[Colonne179]]=$G76,GO76,Distances[[#This Row],[Colonne179]]+1)</f>
        <v>176</v>
      </c>
      <c r="GQ76" s="17">
        <f>IF(Distances[[#This Row],[Colonne180]]=$G76,GP76,Distances[[#This Row],[Colonne180]]+1)</f>
        <v>177</v>
      </c>
      <c r="GR76" s="17">
        <f>IF(Distances[[#This Row],[Colonne181]]=$G76,GQ76,Distances[[#This Row],[Colonne181]]+1)</f>
        <v>178</v>
      </c>
      <c r="GS76" s="17">
        <f>IF(Distances[[#This Row],[Colonne182]]=$G76,GR76,Distances[[#This Row],[Colonne182]]+1)</f>
        <v>179</v>
      </c>
      <c r="GT76" s="17">
        <f>IF(Distances[[#This Row],[Colonne183]]=$G76,GS76,Distances[[#This Row],[Colonne183]]+1)</f>
        <v>180</v>
      </c>
      <c r="GU76" s="17">
        <f>IF(Distances[[#This Row],[Colonne184]]=$G76,GT76,Distances[[#This Row],[Colonne184]]+1)</f>
        <v>181</v>
      </c>
      <c r="GV76" s="17">
        <f>IF(Distances[[#This Row],[Colonne185]]=$G76,GU76,Distances[[#This Row],[Colonne185]]+1)</f>
        <v>182</v>
      </c>
      <c r="GW76" s="17">
        <f>IF(Distances[[#This Row],[Colonne186]]=$G76,GV76,Distances[[#This Row],[Colonne186]]+1)</f>
        <v>183</v>
      </c>
      <c r="GX76" s="17">
        <f>IF(Distances[[#This Row],[Colonne187]]=$G76,GW76,Distances[[#This Row],[Colonne187]]+1)</f>
        <v>184</v>
      </c>
      <c r="GY76" s="17">
        <f>IF(Distances[[#This Row],[Colonne188]]=$G76,GX76,Distances[[#This Row],[Colonne188]]+1)</f>
        <v>185</v>
      </c>
      <c r="GZ76" s="17">
        <f>IF(Distances[[#This Row],[Colonne189]]=$G76,GY76,Distances[[#This Row],[Colonne189]]+1)</f>
        <v>186</v>
      </c>
      <c r="HA76" s="17">
        <f>IF(Distances[[#This Row],[Colonne190]]=$G76,GZ76,Distances[[#This Row],[Colonne190]]+1)</f>
        <v>187</v>
      </c>
      <c r="HB76" s="17">
        <f>IF(Distances[[#This Row],[Colonne191]]=$G76,HA76,Distances[[#This Row],[Colonne191]]+1)</f>
        <v>188</v>
      </c>
      <c r="HC76" s="17">
        <f>IF(Distances[[#This Row],[Colonne192]]=$G76,HB76,Distances[[#This Row],[Colonne192]]+1)</f>
        <v>189</v>
      </c>
      <c r="HD76" s="17">
        <f>IF(Distances[[#This Row],[Colonne193]]=$G76,HC76,Distances[[#This Row],[Colonne193]]+1)</f>
        <v>190</v>
      </c>
      <c r="HE76" s="17">
        <f>IF(Distances[[#This Row],[Colonne194]]=$G76,HD76,Distances[[#This Row],[Colonne194]]+1)</f>
        <v>191</v>
      </c>
      <c r="HF76" s="17">
        <f>IF(Distances[[#This Row],[Colonne195]]=$G76,HE76,Distances[[#This Row],[Colonne195]]+1)</f>
        <v>192</v>
      </c>
      <c r="HG76" s="17">
        <f>IF(Distances[[#This Row],[Colonne196]]=$G76,HF76,Distances[[#This Row],[Colonne196]]+1)</f>
        <v>193</v>
      </c>
      <c r="HH76" s="17">
        <f>IF(Distances[[#This Row],[Colonne197]]=$G76,HG76,Distances[[#This Row],[Colonne197]]+1)</f>
        <v>194</v>
      </c>
      <c r="HI76" s="17">
        <f>IF(Distances[[#This Row],[Colonne198]]=$G76,HH76,Distances[[#This Row],[Colonne198]]+1)</f>
        <v>195</v>
      </c>
      <c r="HJ76" s="17">
        <f>IF(Distances[[#This Row],[Colonne199]]=$G76,HI76,Distances[[#This Row],[Colonne199]]+1)</f>
        <v>196</v>
      </c>
      <c r="HK76" s="17">
        <f>IF(Distances[[#This Row],[Colonne200]]=$G76,HJ76,Distances[[#This Row],[Colonne200]]+1)</f>
        <v>197</v>
      </c>
      <c r="HL76" s="17">
        <f>IF(Distances[[#This Row],[Colonne201]]=$G76,HK76,Distances[[#This Row],[Colonne201]]+1)</f>
        <v>198</v>
      </c>
      <c r="HM76" s="17">
        <f>IF(Distances[[#This Row],[Colonne202]]=$G76,HL76,Distances[[#This Row],[Colonne202]]+1)</f>
        <v>199</v>
      </c>
      <c r="HN76" s="17">
        <f>IF(Distances[[#This Row],[Colonne203]]=$G76,HM76,Distances[[#This Row],[Colonne203]]+1)</f>
        <v>200</v>
      </c>
      <c r="HO76" s="17">
        <f>IF(Distances[[#This Row],[Colonne204]]=$G76,HN76,Distances[[#This Row],[Colonne204]]+1)</f>
        <v>201</v>
      </c>
      <c r="HP76" s="17">
        <f>IF(Distances[[#This Row],[Colonne205]]=$G76,HO76,Distances[[#This Row],[Colonne205]]+1)</f>
        <v>202</v>
      </c>
      <c r="HQ76" s="17">
        <f>IF(Distances[[#This Row],[Colonne206]]=$G76,HP76,Distances[[#This Row],[Colonne206]]+1)</f>
        <v>203</v>
      </c>
      <c r="HR76" s="17">
        <f>IF(Distances[[#This Row],[Colonne207]]=$G76,HQ76,Distances[[#This Row],[Colonne207]]+1)</f>
        <v>204</v>
      </c>
      <c r="HS76" s="17">
        <f>IF(Distances[[#This Row],[Colonne208]]=$G76,HR76,Distances[[#This Row],[Colonne208]]+1)</f>
        <v>205</v>
      </c>
      <c r="HT76" s="17">
        <f>IF(Distances[[#This Row],[Colonne209]]=$G76,HS76,Distances[[#This Row],[Colonne209]]+1)</f>
        <v>206</v>
      </c>
      <c r="HU76" s="17">
        <f>IF(Distances[[#This Row],[Colonne210]]=$G76,HT76,Distances[[#This Row],[Colonne210]]+1)</f>
        <v>207</v>
      </c>
      <c r="HV76" s="17">
        <f>IF(Distances[[#This Row],[Colonne211]]=$G76,HU76,Distances[[#This Row],[Colonne211]]+1)</f>
        <v>208</v>
      </c>
      <c r="HW76" s="17">
        <f>IF(Distances[[#This Row],[Colonne212]]=$G76,HV76,Distances[[#This Row],[Colonne212]]+1)</f>
        <v>209</v>
      </c>
      <c r="HX76" s="17">
        <f>IF(Distances[[#This Row],[Colonne213]]=$G76,HW76,Distances[[#This Row],[Colonne213]]+1)</f>
        <v>210</v>
      </c>
      <c r="HY76" s="17">
        <f>IF(Distances[[#This Row],[Colonne214]]=$G76,HX76,Distances[[#This Row],[Colonne214]]+1)</f>
        <v>211</v>
      </c>
      <c r="HZ76" s="17">
        <f>IF(Distances[[#This Row],[Colonne215]]=$G76,HY76,Distances[[#This Row],[Colonne215]]+1)</f>
        <v>212</v>
      </c>
      <c r="IA76" s="17">
        <f>IF(Distances[[#This Row],[Colonne216]]=$G76,HZ76,Distances[[#This Row],[Colonne216]]+1)</f>
        <v>213</v>
      </c>
      <c r="IB76" s="17">
        <f>IF(Distances[[#This Row],[Colonne217]]=$G76,IA76,Distances[[#This Row],[Colonne217]]+1)</f>
        <v>214</v>
      </c>
      <c r="IC76" s="17">
        <f>IF(Distances[[#This Row],[Colonne218]]=$G76,IB76,Distances[[#This Row],[Colonne218]]+1)</f>
        <v>215</v>
      </c>
      <c r="ID76" s="17">
        <f>IF(Distances[[#This Row],[Colonne219]]=$G76,IC76,Distances[[#This Row],[Colonne219]]+1)</f>
        <v>216</v>
      </c>
      <c r="IE76" s="17">
        <f>IF(Distances[[#This Row],[Colonne220]]=$G76,ID76,Distances[[#This Row],[Colonne220]]+1)</f>
        <v>217</v>
      </c>
      <c r="IF76" s="17">
        <f>IF(Distances[[#This Row],[Colonne221]]=$G76,IE76,Distances[[#This Row],[Colonne221]]+1)</f>
        <v>218</v>
      </c>
      <c r="IG76" s="17">
        <f>IF(Distances[[#This Row],[Colonne222]]=$G76,IF76,Distances[[#This Row],[Colonne222]]+1)</f>
        <v>219</v>
      </c>
      <c r="IH76" s="17">
        <f>IF(Distances[[#This Row],[Colonne223]]=$G76,IG76,Distances[[#This Row],[Colonne223]]+1)</f>
        <v>220</v>
      </c>
      <c r="II76" s="17">
        <f>IF(Distances[[#This Row],[Colonne224]]=$G76,IH76,Distances[[#This Row],[Colonne224]]+1)</f>
        <v>221</v>
      </c>
      <c r="IJ76" s="17">
        <f>IF(Distances[[#This Row],[Colonne225]]=$G76,II76,Distances[[#This Row],[Colonne225]]+1)</f>
        <v>222</v>
      </c>
      <c r="IK76" s="17">
        <f>IF(Distances[[#This Row],[Colonne226]]=$G76,IJ76,Distances[[#This Row],[Colonne226]]+1)</f>
        <v>223</v>
      </c>
      <c r="IL76" s="17">
        <f>IF(Distances[[#This Row],[Colonne227]]=$G76,IK76,Distances[[#This Row],[Colonne227]]+1)</f>
        <v>224</v>
      </c>
      <c r="IM76" s="17">
        <f>IF(Distances[[#This Row],[Colonne228]]=$G76,IL76,Distances[[#This Row],[Colonne228]]+1)</f>
        <v>225</v>
      </c>
      <c r="IN76" s="17">
        <f>IF(Distances[[#This Row],[Colonne229]]=$G76,IM76,Distances[[#This Row],[Colonne229]]+1)</f>
        <v>226</v>
      </c>
      <c r="IO76" s="17">
        <f>IF(Distances[[#This Row],[Colonne230]]=$G76,IN76,Distances[[#This Row],[Colonne230]]+1)</f>
        <v>227</v>
      </c>
      <c r="IP76" s="17">
        <f>IF(Distances[[#This Row],[Colonne231]]=$G76,IO76,Distances[[#This Row],[Colonne231]]+1)</f>
        <v>228</v>
      </c>
      <c r="IQ76" s="17">
        <f>IF(Distances[[#This Row],[Colonne232]]=$G76,IP76,Distances[[#This Row],[Colonne232]]+1)</f>
        <v>229</v>
      </c>
      <c r="IR76" s="17">
        <f>IF(Distances[[#This Row],[Colonne233]]=$G76,IQ76,Distances[[#This Row],[Colonne233]]+1)</f>
        <v>230</v>
      </c>
      <c r="IS76" s="17">
        <f>IF(Distances[[#This Row],[Colonne234]]=$G76,IR76,Distances[[#This Row],[Colonne234]]+1)</f>
        <v>231</v>
      </c>
      <c r="IT76" s="17">
        <f>IF(Distances[[#This Row],[Colonne235]]=$G76,IS76,Distances[[#This Row],[Colonne235]]+1)</f>
        <v>232</v>
      </c>
      <c r="IU76" s="17">
        <f>IF(Distances[[#This Row],[Colonne236]]=$G76,IT76,Distances[[#This Row],[Colonne236]]+1)</f>
        <v>233</v>
      </c>
      <c r="IV76" s="17">
        <f>IF(Distances[[#This Row],[Colonne237]]=$G76,IU76,Distances[[#This Row],[Colonne237]]+1)</f>
        <v>234</v>
      </c>
      <c r="IW76" s="17">
        <f>IF(Distances[[#This Row],[Colonne238]]=$G76,IV76,Distances[[#This Row],[Colonne238]]+1)</f>
        <v>235</v>
      </c>
      <c r="IX76" s="17">
        <f>IF(Distances[[#This Row],[Colonne239]]=$G76,IW76,Distances[[#This Row],[Colonne239]]+1)</f>
        <v>236</v>
      </c>
      <c r="IY76" s="17">
        <f>IF(Distances[[#This Row],[Colonne240]]=$G76,IX76,Distances[[#This Row],[Colonne240]]+1)</f>
        <v>237</v>
      </c>
      <c r="IZ76" s="17">
        <f>IF(Distances[[#This Row],[Colonne241]]=$G76,IY76,Distances[[#This Row],[Colonne241]]+1)</f>
        <v>238</v>
      </c>
      <c r="JA76" s="17">
        <f>IF(Distances[[#This Row],[Colonne242]]=$G76,IZ76,Distances[[#This Row],[Colonne242]]+1)</f>
        <v>239</v>
      </c>
      <c r="JB76" s="17">
        <f>IF(Distances[[#This Row],[Colonne243]]=$G76,JA76,Distances[[#This Row],[Colonne243]]+1)</f>
        <v>240</v>
      </c>
      <c r="JC76" s="17">
        <f>IF(Distances[[#This Row],[Colonne244]]=$G76,JB76,Distances[[#This Row],[Colonne244]]+1)</f>
        <v>241</v>
      </c>
      <c r="JD76" s="17">
        <f>IF(Distances[[#This Row],[Colonne245]]=$G76,JC76,Distances[[#This Row],[Colonne245]]+1)</f>
        <v>242</v>
      </c>
      <c r="JE76" s="17">
        <f>IF(Distances[[#This Row],[Colonne246]]=$G76,JD76,Distances[[#This Row],[Colonne246]]+1)</f>
        <v>243</v>
      </c>
      <c r="JF76" s="17">
        <f>IF(Distances[[#This Row],[Colonne247]]=$G76,JE76,Distances[[#This Row],[Colonne247]]+1)</f>
        <v>244</v>
      </c>
      <c r="JG76" s="17">
        <f>IF(Distances[[#This Row],[Colonne248]]=$G76,JF76,Distances[[#This Row],[Colonne248]]+1)</f>
        <v>245</v>
      </c>
      <c r="JH76" s="17">
        <f>IF(Distances[[#This Row],[Colonne249]]=$G76,JG76,Distances[[#This Row],[Colonne249]]+1)</f>
        <v>246</v>
      </c>
      <c r="JI76" s="17">
        <f>IF(Distances[[#This Row],[Colonne250]]=$G76,JH76,Distances[[#This Row],[Colonne250]]+1)</f>
        <v>247</v>
      </c>
      <c r="JJ76" s="17">
        <f>IF(Distances[[#This Row],[Colonne251]]=$G76,JI76,Distances[[#This Row],[Colonne251]]+1)</f>
        <v>248</v>
      </c>
      <c r="JK76" s="17">
        <f>IF(Distances[[#This Row],[Colonne252]]=$G76,JJ76,Distances[[#This Row],[Colonne252]]+1)</f>
        <v>249</v>
      </c>
      <c r="JL76" s="17">
        <f>IF(Distances[[#This Row],[Colonne253]]=$G76,JK76,Distances[[#This Row],[Colonne253]]+1)</f>
        <v>250</v>
      </c>
      <c r="JM76" s="17">
        <f>IF(Distances[[#This Row],[Colonne254]]=$G76,JL76,Distances[[#This Row],[Colonne254]]+1)</f>
        <v>251</v>
      </c>
      <c r="JN76" s="17">
        <f>IF(Distances[[#This Row],[Colonne255]]=$G76,JM76,Distances[[#This Row],[Colonne255]]+1)</f>
        <v>252</v>
      </c>
      <c r="JO76" s="17">
        <f>IF(Distances[[#This Row],[Colonne256]]=$G76,JN76,Distances[[#This Row],[Colonne256]]+1)</f>
        <v>253</v>
      </c>
      <c r="JP76" s="17">
        <f>IF(Distances[[#This Row],[Colonne257]]=$G76,JO76,Distances[[#This Row],[Colonne257]]+1)</f>
        <v>254</v>
      </c>
      <c r="JQ76" s="17">
        <f>IF(Distances[[#This Row],[Colonne258]]=$G76,JP76,Distances[[#This Row],[Colonne258]]+1)</f>
        <v>255</v>
      </c>
      <c r="JR76" s="17">
        <f>IF(Distances[[#This Row],[Colonne259]]=$G76,JQ76,Distances[[#This Row],[Colonne259]]+1)</f>
        <v>256</v>
      </c>
      <c r="JS76" s="17">
        <f>IF(Distances[[#This Row],[Colonne260]]=$G76,JR76,Distances[[#This Row],[Colonne260]]+1)</f>
        <v>257</v>
      </c>
      <c r="JT76" s="17">
        <f>IF(Distances[[#This Row],[Colonne261]]=$G76,JS76,Distances[[#This Row],[Colonne261]]+1)</f>
        <v>258</v>
      </c>
      <c r="JU76" s="17">
        <f>IF(Distances[[#This Row],[Colonne262]]=$G76,JT76,Distances[[#This Row],[Colonne262]]+1)</f>
        <v>259</v>
      </c>
      <c r="JV76" s="17">
        <f>IF(Distances[[#This Row],[Colonne263]]=$G76,JU76,Distances[[#This Row],[Colonne263]]+1)</f>
        <v>260</v>
      </c>
      <c r="JW76" s="17">
        <f>IF(Distances[[#This Row],[Colonne264]]=$G76,JV76,Distances[[#This Row],[Colonne264]]+1)</f>
        <v>261</v>
      </c>
      <c r="JX76" s="17">
        <f>IF(Distances[[#This Row],[Colonne265]]=$G76,JW76,Distances[[#This Row],[Colonne265]]+1)</f>
        <v>262</v>
      </c>
      <c r="JY76" s="17">
        <f>IF(Distances[[#This Row],[Colonne266]]=$G76,JX76,Distances[[#This Row],[Colonne266]]+1)</f>
        <v>263</v>
      </c>
      <c r="JZ76" s="17">
        <f>IF(Distances[[#This Row],[Colonne267]]=$G76,JY76,Distances[[#This Row],[Colonne267]]+1)</f>
        <v>264</v>
      </c>
      <c r="KA76" s="17">
        <f>IF(Distances[[#This Row],[Colonne268]]=$G76,JZ76,Distances[[#This Row],[Colonne268]]+1)</f>
        <v>265</v>
      </c>
      <c r="KB76" s="17">
        <f>IF(Distances[[#This Row],[Colonne269]]=$G76,KA76,Distances[[#This Row],[Colonne269]]+1)</f>
        <v>266</v>
      </c>
      <c r="KC76" s="17">
        <f>IF(Distances[[#This Row],[Colonne270]]=$G76,KB76,Distances[[#This Row],[Colonne270]]+1)</f>
        <v>267</v>
      </c>
      <c r="KD76" s="17">
        <f>IF(Distances[[#This Row],[Colonne271]]=$G76,KC76,Distances[[#This Row],[Colonne271]]+1)</f>
        <v>268</v>
      </c>
      <c r="KE76" s="17">
        <f>IF(Distances[[#This Row],[Colonne272]]=$G76,KD76,Distances[[#This Row],[Colonne272]]+1)</f>
        <v>269</v>
      </c>
      <c r="KF76" s="17">
        <f>IF(Distances[[#This Row],[Colonne273]]=$G76,KE76,Distances[[#This Row],[Colonne273]]+1)</f>
        <v>270</v>
      </c>
      <c r="KG76" s="17">
        <f>IF(Distances[[#This Row],[Colonne274]]=$G76,KF76,Distances[[#This Row],[Colonne274]]+1)</f>
        <v>271</v>
      </c>
      <c r="KH76" s="17">
        <f>IF(Distances[[#This Row],[Colonne275]]=$G76,KG76,Distances[[#This Row],[Colonne275]]+1)</f>
        <v>272</v>
      </c>
      <c r="KI76" s="17">
        <f>IF(Distances[[#This Row],[Colonne276]]=$G76,KH76,Distances[[#This Row],[Colonne276]]+1)</f>
        <v>273</v>
      </c>
      <c r="KJ76" s="17">
        <f>IF(Distances[[#This Row],[Colonne277]]=$G76,KI76,Distances[[#This Row],[Colonne277]]+1)</f>
        <v>274</v>
      </c>
      <c r="KK76" s="17">
        <f>IF(Distances[[#This Row],[Colonne278]]=$G76,KJ76,Distances[[#This Row],[Colonne278]]+1)</f>
        <v>275</v>
      </c>
      <c r="KL76" s="17">
        <f>IF(Distances[[#This Row],[Colonne279]]=$G76,KK76,Distances[[#This Row],[Colonne279]]+1)</f>
        <v>276</v>
      </c>
      <c r="KM76" s="17">
        <f>IF(Distances[[#This Row],[Colonne280]]=$G76,KL76,Distances[[#This Row],[Colonne280]]+1)</f>
        <v>277</v>
      </c>
      <c r="KN76" s="17">
        <f>IF(Distances[[#This Row],[Colonne281]]=$G76,KM76,Distances[[#This Row],[Colonne281]]+1)</f>
        <v>278</v>
      </c>
      <c r="KO76" s="17">
        <f>IF(Distances[[#This Row],[Colonne282]]=$G76,KN76,Distances[[#This Row],[Colonne282]]+1)</f>
        <v>279</v>
      </c>
      <c r="KP76" s="17">
        <f>IF(Distances[[#This Row],[Colonne283]]=$G76,KO76,Distances[[#This Row],[Colonne283]]+1)</f>
        <v>280</v>
      </c>
      <c r="KQ76" s="17">
        <f>IF(Distances[[#This Row],[Colonne284]]=$G76,KP76,Distances[[#This Row],[Colonne284]]+1)</f>
        <v>281</v>
      </c>
      <c r="KR76" s="17">
        <f>IF(Distances[[#This Row],[Colonne285]]=$G76,KQ76,Distances[[#This Row],[Colonne285]]+1)</f>
        <v>282</v>
      </c>
      <c r="KS76" s="17">
        <f>IF(Distances[[#This Row],[Colonne286]]=$G76,KR76,Distances[[#This Row],[Colonne286]]+1)</f>
        <v>283</v>
      </c>
      <c r="KT76" s="17">
        <f>IF(Distances[[#This Row],[Colonne287]]=$G76,KS76,Distances[[#This Row],[Colonne287]]+1)</f>
        <v>284</v>
      </c>
      <c r="KU76" s="17">
        <f>IF(Distances[[#This Row],[Colonne288]]=$G76,KT76,Distances[[#This Row],[Colonne288]]+1)</f>
        <v>285</v>
      </c>
      <c r="KV76" s="17">
        <f>IF(Distances[[#This Row],[Colonne289]]=$G76,KU76,Distances[[#This Row],[Colonne289]]+1)</f>
        <v>286</v>
      </c>
      <c r="KW76" s="17">
        <f>IF(Distances[[#This Row],[Colonne290]]=$G76,KV76,Distances[[#This Row],[Colonne290]]+1)</f>
        <v>287</v>
      </c>
      <c r="KX76" s="17">
        <f>IF(Distances[[#This Row],[Colonne291]]=$G76,KW76,Distances[[#This Row],[Colonne291]]+1)</f>
        <v>288</v>
      </c>
      <c r="KY76" s="17">
        <f>IF(Distances[[#This Row],[Colonne292]]=$G76,KX76,Distances[[#This Row],[Colonne292]]+1)</f>
        <v>289</v>
      </c>
      <c r="KZ76" s="17">
        <f>IF(Distances[[#This Row],[Colonne293]]=$G76,KY76,Distances[[#This Row],[Colonne293]]+1)</f>
        <v>290</v>
      </c>
      <c r="LA76" s="17">
        <f>IF(Distances[[#This Row],[Colonne294]]=$G76,KZ76,Distances[[#This Row],[Colonne294]]+1)</f>
        <v>291</v>
      </c>
      <c r="LB76" s="17">
        <f>IF(Distances[[#This Row],[Colonne295]]=$G76,LA76,Distances[[#This Row],[Colonne295]]+1)</f>
        <v>292</v>
      </c>
      <c r="LC76" s="17">
        <f>IF(Distances[[#This Row],[Colonne296]]=$G76,LB76,Distances[[#This Row],[Colonne296]]+1)</f>
        <v>293</v>
      </c>
      <c r="LD76" s="17">
        <f>IF(Distances[[#This Row],[Colonne297]]=$G76,LC76,Distances[[#This Row],[Colonne297]]+1)</f>
        <v>294</v>
      </c>
      <c r="LE76" s="17">
        <f>IF(Distances[[#This Row],[Colonne298]]=$G76,LD76,Distances[[#This Row],[Colonne298]]+1)</f>
        <v>295</v>
      </c>
      <c r="LF76" s="17">
        <f>IF(Distances[[#This Row],[Colonne299]]=$G76,LE76,Distances[[#This Row],[Colonne299]]+1)</f>
        <v>296</v>
      </c>
      <c r="LG76" s="17">
        <f>IF(Distances[[#This Row],[Colonne300]]=$G76,LF76,Distances[[#This Row],[Colonne300]]+1)</f>
        <v>297</v>
      </c>
      <c r="LH76" s="17">
        <f>IF(Distances[[#This Row],[Colonne301]]=$G76,LG76,Distances[[#This Row],[Colonne301]]+1)</f>
        <v>298</v>
      </c>
      <c r="LI76" s="17">
        <f>IF(Distances[[#This Row],[Colonne302]]=$G76,LH76,Distances[[#This Row],[Colonne302]]+1)</f>
        <v>299</v>
      </c>
      <c r="LJ76" s="17">
        <f>IF(Distances[[#This Row],[Colonne303]]=$G76,LI76,Distances[[#This Row],[Colonne303]]+1)</f>
        <v>300</v>
      </c>
      <c r="LK76" s="51"/>
      <c r="LL76" s="17">
        <f t="shared" ref="LL76:NW76" si="149">IF(LK76=$H76,LK76,LK76+1)</f>
        <v>1</v>
      </c>
      <c r="LM76" s="17">
        <f t="shared" si="149"/>
        <v>2</v>
      </c>
      <c r="LN76" s="17">
        <f t="shared" si="149"/>
        <v>3</v>
      </c>
      <c r="LO76" s="17">
        <f t="shared" si="149"/>
        <v>4</v>
      </c>
      <c r="LP76" s="17">
        <f t="shared" si="149"/>
        <v>5</v>
      </c>
      <c r="LQ76" s="17">
        <f t="shared" si="149"/>
        <v>6</v>
      </c>
      <c r="LR76" s="17">
        <f t="shared" si="149"/>
        <v>7</v>
      </c>
      <c r="LS76" s="17">
        <f t="shared" si="149"/>
        <v>8</v>
      </c>
      <c r="LT76" s="17">
        <f t="shared" si="149"/>
        <v>9</v>
      </c>
      <c r="LU76" s="17">
        <f t="shared" si="149"/>
        <v>10</v>
      </c>
      <c r="LV76" s="17">
        <f t="shared" si="149"/>
        <v>11</v>
      </c>
      <c r="LW76" s="17">
        <f t="shared" si="149"/>
        <v>12</v>
      </c>
      <c r="LX76" s="17">
        <f t="shared" si="149"/>
        <v>13</v>
      </c>
      <c r="LY76" s="17">
        <f t="shared" si="149"/>
        <v>14</v>
      </c>
      <c r="LZ76" s="17">
        <f t="shared" si="149"/>
        <v>15</v>
      </c>
      <c r="MA76" s="17">
        <f t="shared" si="149"/>
        <v>16</v>
      </c>
      <c r="MB76" s="17">
        <f t="shared" si="149"/>
        <v>17</v>
      </c>
      <c r="MC76" s="17">
        <f t="shared" si="149"/>
        <v>18</v>
      </c>
      <c r="MD76" s="17">
        <f t="shared" si="149"/>
        <v>19</v>
      </c>
      <c r="ME76" s="17">
        <f t="shared" si="149"/>
        <v>20</v>
      </c>
      <c r="MF76" s="17">
        <f t="shared" si="149"/>
        <v>21</v>
      </c>
      <c r="MG76" s="17">
        <f t="shared" si="149"/>
        <v>22</v>
      </c>
      <c r="MH76" s="17">
        <f t="shared" si="149"/>
        <v>23</v>
      </c>
      <c r="MI76" s="17">
        <f t="shared" si="149"/>
        <v>24</v>
      </c>
      <c r="MJ76" s="17">
        <f t="shared" si="149"/>
        <v>25</v>
      </c>
      <c r="MK76" s="17">
        <f t="shared" si="149"/>
        <v>26</v>
      </c>
      <c r="ML76" s="17">
        <f t="shared" si="149"/>
        <v>27</v>
      </c>
      <c r="MM76" s="17">
        <f t="shared" si="149"/>
        <v>28</v>
      </c>
      <c r="MN76" s="17">
        <f t="shared" si="149"/>
        <v>29</v>
      </c>
      <c r="MO76" s="17">
        <f t="shared" si="149"/>
        <v>30</v>
      </c>
      <c r="MP76" s="17">
        <f t="shared" si="149"/>
        <v>31</v>
      </c>
      <c r="MQ76" s="17">
        <f t="shared" si="149"/>
        <v>32</v>
      </c>
      <c r="MR76" s="17">
        <f t="shared" si="149"/>
        <v>33</v>
      </c>
      <c r="MS76" s="17">
        <f t="shared" si="149"/>
        <v>34</v>
      </c>
      <c r="MT76" s="17">
        <f t="shared" si="149"/>
        <v>35</v>
      </c>
      <c r="MU76" s="17">
        <f t="shared" si="149"/>
        <v>36</v>
      </c>
      <c r="MV76" s="17">
        <f t="shared" si="149"/>
        <v>37</v>
      </c>
      <c r="MW76" s="17">
        <f t="shared" si="149"/>
        <v>38</v>
      </c>
      <c r="MX76" s="17">
        <f t="shared" si="149"/>
        <v>39</v>
      </c>
      <c r="MY76" s="17">
        <f t="shared" si="149"/>
        <v>40</v>
      </c>
      <c r="MZ76" s="17">
        <f t="shared" si="149"/>
        <v>41</v>
      </c>
      <c r="NA76" s="17">
        <f t="shared" si="149"/>
        <v>42</v>
      </c>
      <c r="NB76" s="17">
        <f t="shared" si="149"/>
        <v>43</v>
      </c>
      <c r="NC76" s="17">
        <f t="shared" si="149"/>
        <v>44</v>
      </c>
      <c r="ND76" s="17">
        <f t="shared" si="149"/>
        <v>45</v>
      </c>
      <c r="NE76" s="17">
        <f t="shared" si="149"/>
        <v>46</v>
      </c>
      <c r="NF76" s="17">
        <f t="shared" si="149"/>
        <v>47</v>
      </c>
      <c r="NG76" s="17">
        <f t="shared" si="149"/>
        <v>48</v>
      </c>
      <c r="NH76" s="17">
        <f t="shared" si="149"/>
        <v>49</v>
      </c>
      <c r="NI76" s="17">
        <f t="shared" si="149"/>
        <v>50</v>
      </c>
      <c r="NJ76" s="17">
        <f t="shared" si="149"/>
        <v>51</v>
      </c>
      <c r="NK76" s="17">
        <f t="shared" si="149"/>
        <v>52</v>
      </c>
      <c r="NL76" s="17">
        <f t="shared" si="149"/>
        <v>53</v>
      </c>
      <c r="NM76" s="17">
        <f t="shared" si="149"/>
        <v>54</v>
      </c>
      <c r="NN76" s="17">
        <f t="shared" si="149"/>
        <v>55</v>
      </c>
      <c r="NO76" s="17">
        <f t="shared" si="149"/>
        <v>56</v>
      </c>
      <c r="NP76" s="17">
        <f t="shared" si="149"/>
        <v>57</v>
      </c>
      <c r="NQ76" s="17">
        <f t="shared" si="149"/>
        <v>58</v>
      </c>
      <c r="NR76" s="17">
        <f t="shared" si="149"/>
        <v>59</v>
      </c>
      <c r="NS76" s="17">
        <f t="shared" si="149"/>
        <v>60</v>
      </c>
      <c r="NT76" s="17">
        <f t="shared" si="149"/>
        <v>61</v>
      </c>
      <c r="NU76" s="17">
        <f t="shared" si="149"/>
        <v>62</v>
      </c>
      <c r="NV76" s="17">
        <f t="shared" si="149"/>
        <v>63</v>
      </c>
      <c r="NW76" s="17">
        <f t="shared" si="149"/>
        <v>64</v>
      </c>
      <c r="NX76" s="17">
        <f t="shared" ref="NX76:PG76" si="150">IF(NW76=$H76,NW76,NW76+1)</f>
        <v>65</v>
      </c>
      <c r="NY76" s="17">
        <f t="shared" si="150"/>
        <v>66</v>
      </c>
      <c r="NZ76" s="17">
        <f t="shared" si="150"/>
        <v>67</v>
      </c>
      <c r="OA76" s="17">
        <f t="shared" si="150"/>
        <v>68</v>
      </c>
      <c r="OB76" s="17">
        <f t="shared" si="150"/>
        <v>69</v>
      </c>
      <c r="OC76" s="17">
        <f t="shared" si="150"/>
        <v>70</v>
      </c>
      <c r="OD76" s="17">
        <f t="shared" si="150"/>
        <v>71</v>
      </c>
      <c r="OE76" s="17">
        <f t="shared" si="150"/>
        <v>72</v>
      </c>
      <c r="OF76" s="17">
        <f t="shared" si="150"/>
        <v>73</v>
      </c>
      <c r="OG76" s="17">
        <f t="shared" si="150"/>
        <v>74</v>
      </c>
      <c r="OH76" s="17">
        <f t="shared" si="150"/>
        <v>75</v>
      </c>
      <c r="OI76" s="17">
        <f t="shared" si="150"/>
        <v>76</v>
      </c>
      <c r="OJ76" s="17">
        <f t="shared" si="150"/>
        <v>77</v>
      </c>
      <c r="OK76" s="17">
        <f t="shared" si="150"/>
        <v>78</v>
      </c>
      <c r="OL76" s="17">
        <f t="shared" si="150"/>
        <v>79</v>
      </c>
      <c r="OM76" s="17">
        <f t="shared" si="150"/>
        <v>80</v>
      </c>
      <c r="ON76" s="17">
        <f t="shared" si="150"/>
        <v>81</v>
      </c>
      <c r="OO76" s="17">
        <f t="shared" si="150"/>
        <v>82</v>
      </c>
      <c r="OP76" s="17">
        <f t="shared" si="150"/>
        <v>83</v>
      </c>
      <c r="OQ76" s="17">
        <f t="shared" si="150"/>
        <v>84</v>
      </c>
      <c r="OR76" s="17">
        <f t="shared" si="150"/>
        <v>85</v>
      </c>
      <c r="OS76" s="17">
        <f t="shared" si="150"/>
        <v>86</v>
      </c>
      <c r="OT76" s="17">
        <f t="shared" si="150"/>
        <v>87</v>
      </c>
      <c r="OU76" s="17">
        <f t="shared" si="150"/>
        <v>88</v>
      </c>
      <c r="OV76" s="17">
        <f t="shared" si="150"/>
        <v>89</v>
      </c>
      <c r="OW76" s="17">
        <f t="shared" si="150"/>
        <v>90</v>
      </c>
      <c r="OX76" s="17">
        <f t="shared" si="150"/>
        <v>91</v>
      </c>
      <c r="OY76" s="17">
        <f t="shared" si="150"/>
        <v>92</v>
      </c>
      <c r="OZ76" s="17">
        <f t="shared" si="150"/>
        <v>93</v>
      </c>
      <c r="PA76" s="17">
        <f t="shared" si="150"/>
        <v>94</v>
      </c>
      <c r="PB76" s="17">
        <f t="shared" si="150"/>
        <v>95</v>
      </c>
      <c r="PC76" s="17">
        <f t="shared" si="150"/>
        <v>96</v>
      </c>
      <c r="PD76" s="17">
        <f t="shared" si="150"/>
        <v>97</v>
      </c>
      <c r="PE76" s="17">
        <f t="shared" si="150"/>
        <v>98</v>
      </c>
      <c r="PF76" s="17">
        <f t="shared" si="150"/>
        <v>99</v>
      </c>
      <c r="PG76" s="17">
        <f t="shared" si="150"/>
        <v>100</v>
      </c>
    </row>
    <row r="77" spans="1:423" ht="15.75" thickBot="1" x14ac:dyDescent="0.3">
      <c r="A77" s="11"/>
      <c r="B77" s="12"/>
      <c r="C77" s="12" t="str">
        <f>LEFT(A77)&amp;B77</f>
        <v/>
      </c>
      <c r="D77" s="4"/>
      <c r="E77" s="4"/>
      <c r="F77" s="12"/>
      <c r="G77" s="12"/>
      <c r="H77" s="12"/>
      <c r="I77" s="31"/>
      <c r="J77" s="31"/>
      <c r="K77" s="283"/>
      <c r="L77" s="11"/>
      <c r="M77" s="12"/>
      <c r="N77" s="13"/>
      <c r="O77" s="270"/>
      <c r="P77" s="333"/>
      <c r="Q77" s="338"/>
      <c r="R77" s="129"/>
      <c r="S77" s="12"/>
      <c r="T77" s="13"/>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LK77" s="51"/>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row>
    <row r="79" spans="1:423" x14ac:dyDescent="0.25">
      <c r="A79" s="542" t="str">
        <f>IF('GESTION DES JOUEURS'!$D$4="Cadre N1/N2","Cadre N1"&amp;'Phase finale'!$B$5,'GESTION DES JOUEURS'!$D$4&amp;'Phase finale'!$B$5)</f>
        <v>Libre R2Distance réduite :</v>
      </c>
      <c r="B79" s="542" t="str" cm="1">
        <f t="array" ref="B79:KQ79">_xlfn.XLOOKUP(A79,$D$2:$D$77&amp;$F$2:$F$77,$U$2:$LJ$77)</f>
        <v>Ab.</v>
      </c>
      <c r="C79" s="542">
        <v>0</v>
      </c>
      <c r="D79" s="542">
        <v>1</v>
      </c>
      <c r="E79" s="542">
        <v>2</v>
      </c>
      <c r="F79" s="542">
        <v>3</v>
      </c>
      <c r="G79" s="542">
        <v>4</v>
      </c>
      <c r="H79" s="542">
        <v>5</v>
      </c>
      <c r="I79" s="542">
        <v>6</v>
      </c>
      <c r="J79" s="542">
        <v>7</v>
      </c>
      <c r="K79" s="542">
        <v>8</v>
      </c>
      <c r="L79" s="542">
        <v>9</v>
      </c>
      <c r="M79" s="542">
        <v>10</v>
      </c>
      <c r="N79" s="542">
        <v>11</v>
      </c>
      <c r="O79" s="542">
        <v>12</v>
      </c>
      <c r="P79" s="542">
        <v>13</v>
      </c>
      <c r="Q79" s="542">
        <v>14</v>
      </c>
      <c r="R79" s="542">
        <v>15</v>
      </c>
      <c r="S79" s="542">
        <v>16</v>
      </c>
      <c r="T79" s="542">
        <v>17</v>
      </c>
      <c r="U79" s="542">
        <v>18</v>
      </c>
      <c r="V79" s="542">
        <v>19</v>
      </c>
      <c r="W79" s="542">
        <v>20</v>
      </c>
      <c r="X79" s="542">
        <v>21</v>
      </c>
      <c r="Y79" s="542">
        <v>22</v>
      </c>
      <c r="Z79" s="542">
        <v>23</v>
      </c>
      <c r="AA79" s="542">
        <v>24</v>
      </c>
      <c r="AB79" s="542">
        <v>25</v>
      </c>
      <c r="AC79" s="542">
        <v>26</v>
      </c>
      <c r="AD79" s="542">
        <v>27</v>
      </c>
      <c r="AE79" s="542">
        <v>28</v>
      </c>
      <c r="AF79" s="542">
        <v>29</v>
      </c>
      <c r="AG79" s="542">
        <v>30</v>
      </c>
      <c r="AH79" s="542">
        <v>31</v>
      </c>
      <c r="AI79" s="542">
        <v>32</v>
      </c>
      <c r="AJ79" s="542">
        <v>33</v>
      </c>
      <c r="AK79" s="542">
        <v>34</v>
      </c>
      <c r="AL79" s="542">
        <v>35</v>
      </c>
      <c r="AM79" s="542">
        <v>36</v>
      </c>
      <c r="AN79" s="542">
        <v>37</v>
      </c>
      <c r="AO79" s="542">
        <v>38</v>
      </c>
      <c r="AP79" s="542">
        <v>39</v>
      </c>
      <c r="AQ79" s="542">
        <v>40</v>
      </c>
      <c r="AR79" s="542">
        <v>41</v>
      </c>
      <c r="AS79" s="542">
        <v>42</v>
      </c>
      <c r="AT79" s="542">
        <v>43</v>
      </c>
      <c r="AU79" s="542">
        <v>44</v>
      </c>
      <c r="AV79" s="542">
        <v>45</v>
      </c>
      <c r="AW79" s="542">
        <v>46</v>
      </c>
      <c r="AX79" s="542">
        <v>47</v>
      </c>
      <c r="AY79" s="542">
        <v>48</v>
      </c>
      <c r="AZ79" s="542">
        <v>49</v>
      </c>
      <c r="BA79" s="542">
        <v>50</v>
      </c>
      <c r="BB79" s="542">
        <v>51</v>
      </c>
      <c r="BC79" s="542">
        <v>52</v>
      </c>
      <c r="BD79" s="542">
        <v>53</v>
      </c>
      <c r="BE79" s="542">
        <v>54</v>
      </c>
      <c r="BF79" s="542">
        <v>55</v>
      </c>
      <c r="BG79" s="542">
        <v>56</v>
      </c>
      <c r="BH79" s="542">
        <v>57</v>
      </c>
      <c r="BI79" s="542">
        <v>58</v>
      </c>
      <c r="BJ79" s="542">
        <v>59</v>
      </c>
      <c r="BK79" s="542">
        <v>60</v>
      </c>
      <c r="BL79" s="542">
        <v>61</v>
      </c>
      <c r="BM79" s="542">
        <v>62</v>
      </c>
      <c r="BN79" s="542">
        <v>63</v>
      </c>
      <c r="BO79" s="542">
        <v>64</v>
      </c>
      <c r="BP79" s="542">
        <v>65</v>
      </c>
      <c r="BQ79" s="542">
        <v>66</v>
      </c>
      <c r="BR79" s="542">
        <v>67</v>
      </c>
      <c r="BS79" s="542">
        <v>68</v>
      </c>
      <c r="BT79" s="542">
        <v>69</v>
      </c>
      <c r="BU79" s="542">
        <v>70</v>
      </c>
      <c r="BV79" s="542">
        <v>71</v>
      </c>
      <c r="BW79" s="542">
        <v>72</v>
      </c>
      <c r="BX79" s="542">
        <v>73</v>
      </c>
      <c r="BY79" s="542">
        <v>74</v>
      </c>
      <c r="BZ79" s="542">
        <v>75</v>
      </c>
      <c r="CA79" s="542">
        <v>76</v>
      </c>
      <c r="CB79" s="542">
        <v>77</v>
      </c>
      <c r="CC79" s="542">
        <v>78</v>
      </c>
      <c r="CD79" s="542">
        <v>79</v>
      </c>
      <c r="CE79" s="542">
        <v>80</v>
      </c>
      <c r="CF79" s="542">
        <v>80</v>
      </c>
      <c r="CG79" s="542">
        <v>80</v>
      </c>
      <c r="CH79" s="542">
        <v>80</v>
      </c>
      <c r="CI79" s="542">
        <v>80</v>
      </c>
      <c r="CJ79" s="542">
        <v>80</v>
      </c>
      <c r="CK79" s="542">
        <v>80</v>
      </c>
      <c r="CL79" s="542">
        <v>80</v>
      </c>
      <c r="CM79" s="542">
        <v>80</v>
      </c>
      <c r="CN79" s="542">
        <v>80</v>
      </c>
      <c r="CO79" s="542">
        <v>80</v>
      </c>
      <c r="CP79" s="542">
        <v>80</v>
      </c>
      <c r="CQ79" s="542">
        <v>80</v>
      </c>
      <c r="CR79" s="542">
        <v>80</v>
      </c>
      <c r="CS79" s="542">
        <v>80</v>
      </c>
      <c r="CT79" s="542">
        <v>80</v>
      </c>
      <c r="CU79" s="542">
        <v>80</v>
      </c>
      <c r="CV79" s="542">
        <v>80</v>
      </c>
      <c r="CW79" s="542">
        <v>80</v>
      </c>
      <c r="CX79" s="542">
        <v>80</v>
      </c>
      <c r="CY79" s="542">
        <v>80</v>
      </c>
      <c r="CZ79" s="542">
        <v>80</v>
      </c>
      <c r="DA79" s="542">
        <v>80</v>
      </c>
      <c r="DB79" s="542">
        <v>80</v>
      </c>
      <c r="DC79" s="542">
        <v>80</v>
      </c>
      <c r="DD79" s="542">
        <v>80</v>
      </c>
      <c r="DE79" s="542">
        <v>80</v>
      </c>
      <c r="DF79" s="542">
        <v>80</v>
      </c>
      <c r="DG79" s="542">
        <v>80</v>
      </c>
      <c r="DH79" s="542">
        <v>80</v>
      </c>
      <c r="DI79" s="542">
        <v>80</v>
      </c>
      <c r="DJ79" s="542">
        <v>80</v>
      </c>
      <c r="DK79" s="542">
        <v>80</v>
      </c>
      <c r="DL79" s="542">
        <v>80</v>
      </c>
      <c r="DM79" s="542">
        <v>80</v>
      </c>
      <c r="DN79" s="542">
        <v>80</v>
      </c>
      <c r="DO79" s="542">
        <v>80</v>
      </c>
      <c r="DP79" s="542">
        <v>80</v>
      </c>
      <c r="DQ79" s="542">
        <v>80</v>
      </c>
      <c r="DR79" s="542">
        <v>80</v>
      </c>
      <c r="DS79" s="542">
        <v>80</v>
      </c>
      <c r="DT79" s="542">
        <v>80</v>
      </c>
      <c r="DU79" s="542">
        <v>80</v>
      </c>
      <c r="DV79" s="542">
        <v>80</v>
      </c>
      <c r="DW79" s="542">
        <v>80</v>
      </c>
      <c r="DX79" s="542">
        <v>80</v>
      </c>
      <c r="DY79" s="542">
        <v>80</v>
      </c>
      <c r="DZ79" s="542">
        <v>80</v>
      </c>
      <c r="EA79" s="542">
        <v>80</v>
      </c>
      <c r="EB79" s="542">
        <v>80</v>
      </c>
      <c r="EC79" s="542">
        <v>80</v>
      </c>
      <c r="ED79" s="542">
        <v>80</v>
      </c>
      <c r="EE79" s="542">
        <v>80</v>
      </c>
      <c r="EF79" s="542">
        <v>80</v>
      </c>
      <c r="EG79" s="542">
        <v>80</v>
      </c>
      <c r="EH79" s="542">
        <v>80</v>
      </c>
      <c r="EI79" s="542">
        <v>80</v>
      </c>
      <c r="EJ79" s="542">
        <v>80</v>
      </c>
      <c r="EK79" s="542">
        <v>80</v>
      </c>
      <c r="EL79" s="542">
        <v>80</v>
      </c>
      <c r="EM79" s="542">
        <v>80</v>
      </c>
      <c r="EN79" s="542">
        <v>80</v>
      </c>
      <c r="EO79" s="542">
        <v>80</v>
      </c>
      <c r="EP79" s="542">
        <v>80</v>
      </c>
      <c r="EQ79" s="542">
        <v>80</v>
      </c>
      <c r="ER79" s="542">
        <v>80</v>
      </c>
      <c r="ES79" s="542">
        <v>80</v>
      </c>
      <c r="ET79" s="542">
        <v>80</v>
      </c>
      <c r="EU79" s="542">
        <v>80</v>
      </c>
      <c r="EV79" s="542">
        <v>80</v>
      </c>
      <c r="EW79" s="542">
        <v>80</v>
      </c>
      <c r="EX79" s="542">
        <v>80</v>
      </c>
      <c r="EY79" s="542">
        <v>80</v>
      </c>
      <c r="EZ79" s="542">
        <v>80</v>
      </c>
      <c r="FA79" s="542">
        <v>80</v>
      </c>
      <c r="FB79" s="542">
        <v>80</v>
      </c>
      <c r="FC79" s="542">
        <v>80</v>
      </c>
      <c r="FD79" s="542">
        <v>80</v>
      </c>
      <c r="FE79" s="542">
        <v>80</v>
      </c>
      <c r="FF79" s="542">
        <v>80</v>
      </c>
      <c r="FG79" s="542">
        <v>80</v>
      </c>
      <c r="FH79" s="542">
        <v>80</v>
      </c>
      <c r="FI79" s="542">
        <v>80</v>
      </c>
      <c r="FJ79" s="542">
        <v>80</v>
      </c>
      <c r="FK79" s="542">
        <v>80</v>
      </c>
      <c r="FL79" s="542">
        <v>80</v>
      </c>
      <c r="FM79" s="542">
        <v>80</v>
      </c>
      <c r="FN79" s="542">
        <v>80</v>
      </c>
      <c r="FO79" s="542">
        <v>80</v>
      </c>
      <c r="FP79" s="542">
        <v>80</v>
      </c>
      <c r="FQ79" s="542">
        <v>80</v>
      </c>
      <c r="FR79" s="542">
        <v>80</v>
      </c>
      <c r="FS79" s="542">
        <v>80</v>
      </c>
      <c r="FT79" s="542">
        <v>80</v>
      </c>
      <c r="FU79" s="542">
        <v>80</v>
      </c>
      <c r="FV79" s="542">
        <v>80</v>
      </c>
      <c r="FW79" s="542">
        <v>80</v>
      </c>
      <c r="FX79" s="542">
        <v>80</v>
      </c>
      <c r="FY79" s="542">
        <v>80</v>
      </c>
      <c r="FZ79" s="542">
        <v>80</v>
      </c>
      <c r="GA79" s="542">
        <v>80</v>
      </c>
      <c r="GB79" s="542">
        <v>80</v>
      </c>
      <c r="GC79" s="542">
        <v>80</v>
      </c>
      <c r="GD79" s="542">
        <v>80</v>
      </c>
      <c r="GE79" s="542">
        <v>80</v>
      </c>
      <c r="GF79" s="542">
        <v>80</v>
      </c>
      <c r="GG79" s="542">
        <v>80</v>
      </c>
      <c r="GH79" s="542">
        <v>80</v>
      </c>
      <c r="GI79" s="542">
        <v>80</v>
      </c>
      <c r="GJ79" s="542">
        <v>80</v>
      </c>
      <c r="GK79" s="542">
        <v>80</v>
      </c>
      <c r="GL79" s="542">
        <v>80</v>
      </c>
      <c r="GM79" s="542">
        <v>80</v>
      </c>
      <c r="GN79" s="542">
        <v>80</v>
      </c>
      <c r="GO79" s="542">
        <v>80</v>
      </c>
      <c r="GP79" s="542">
        <v>80</v>
      </c>
      <c r="GQ79" s="542">
        <v>80</v>
      </c>
      <c r="GR79" s="542">
        <v>80</v>
      </c>
      <c r="GS79" s="542">
        <v>80</v>
      </c>
      <c r="GT79" s="542">
        <v>80</v>
      </c>
      <c r="GU79" s="542">
        <v>80</v>
      </c>
      <c r="GV79" s="542">
        <v>80</v>
      </c>
      <c r="GW79" s="542">
        <v>80</v>
      </c>
      <c r="GX79" s="542">
        <v>80</v>
      </c>
      <c r="GY79" s="542">
        <v>80</v>
      </c>
      <c r="GZ79" s="542">
        <v>80</v>
      </c>
      <c r="HA79" s="542">
        <v>80</v>
      </c>
      <c r="HB79" s="542">
        <v>80</v>
      </c>
      <c r="HC79" s="542">
        <v>80</v>
      </c>
      <c r="HD79" s="542">
        <v>80</v>
      </c>
      <c r="HE79" s="542">
        <v>80</v>
      </c>
      <c r="HF79" s="542">
        <v>80</v>
      </c>
      <c r="HG79" s="542">
        <v>80</v>
      </c>
      <c r="HH79" s="542">
        <v>80</v>
      </c>
      <c r="HI79" s="542">
        <v>80</v>
      </c>
      <c r="HJ79" s="542">
        <v>80</v>
      </c>
      <c r="HK79" s="542">
        <v>80</v>
      </c>
      <c r="HL79" s="542">
        <v>80</v>
      </c>
      <c r="HM79" s="542">
        <v>80</v>
      </c>
      <c r="HN79" s="542">
        <v>80</v>
      </c>
      <c r="HO79" s="542">
        <v>80</v>
      </c>
      <c r="HP79" s="542">
        <v>80</v>
      </c>
      <c r="HQ79" s="542">
        <v>80</v>
      </c>
      <c r="HR79" s="542">
        <v>80</v>
      </c>
      <c r="HS79" s="542">
        <v>80</v>
      </c>
      <c r="HT79" s="542">
        <v>80</v>
      </c>
      <c r="HU79" s="542">
        <v>80</v>
      </c>
      <c r="HV79" s="542">
        <v>80</v>
      </c>
      <c r="HW79" s="542">
        <v>80</v>
      </c>
      <c r="HX79" s="542">
        <v>80</v>
      </c>
      <c r="HY79" s="542">
        <v>80</v>
      </c>
      <c r="HZ79" s="542">
        <v>80</v>
      </c>
      <c r="IA79" s="542">
        <v>80</v>
      </c>
      <c r="IB79" s="542">
        <v>80</v>
      </c>
      <c r="IC79" s="542">
        <v>80</v>
      </c>
      <c r="ID79" s="542">
        <v>80</v>
      </c>
      <c r="IE79" s="542">
        <v>80</v>
      </c>
      <c r="IF79" s="542">
        <v>80</v>
      </c>
      <c r="IG79" s="542">
        <v>80</v>
      </c>
      <c r="IH79" s="542">
        <v>80</v>
      </c>
      <c r="II79" s="542">
        <v>80</v>
      </c>
      <c r="IJ79" s="542">
        <v>80</v>
      </c>
      <c r="IK79" s="542">
        <v>80</v>
      </c>
      <c r="IL79" s="542">
        <v>80</v>
      </c>
      <c r="IM79" s="542">
        <v>80</v>
      </c>
      <c r="IN79" s="542">
        <v>80</v>
      </c>
      <c r="IO79" s="542">
        <v>80</v>
      </c>
      <c r="IP79" s="542">
        <v>80</v>
      </c>
      <c r="IQ79" s="542">
        <v>80</v>
      </c>
      <c r="IR79" s="542">
        <v>80</v>
      </c>
      <c r="IS79" s="542">
        <v>80</v>
      </c>
      <c r="IT79" s="542">
        <v>80</v>
      </c>
      <c r="IU79" s="542">
        <v>80</v>
      </c>
      <c r="IV79" s="542">
        <v>80</v>
      </c>
      <c r="IW79" s="542">
        <v>80</v>
      </c>
      <c r="IX79" s="542">
        <v>80</v>
      </c>
      <c r="IY79" s="542">
        <v>80</v>
      </c>
      <c r="IZ79" s="542">
        <v>80</v>
      </c>
      <c r="JA79" s="542">
        <v>80</v>
      </c>
      <c r="JB79" s="542">
        <v>80</v>
      </c>
      <c r="JC79" s="542">
        <v>80</v>
      </c>
      <c r="JD79" s="542">
        <v>80</v>
      </c>
      <c r="JE79" s="542">
        <v>80</v>
      </c>
      <c r="JF79" s="542">
        <v>80</v>
      </c>
      <c r="JG79" s="542">
        <v>80</v>
      </c>
      <c r="JH79" s="542">
        <v>80</v>
      </c>
      <c r="JI79" s="542">
        <v>80</v>
      </c>
      <c r="JJ79" s="542">
        <v>80</v>
      </c>
      <c r="JK79" s="542">
        <v>80</v>
      </c>
      <c r="JL79" s="542">
        <v>80</v>
      </c>
      <c r="JM79" s="542">
        <v>80</v>
      </c>
      <c r="JN79" s="542">
        <v>80</v>
      </c>
      <c r="JO79" s="542">
        <v>80</v>
      </c>
      <c r="JP79" s="542">
        <v>80</v>
      </c>
      <c r="JQ79" s="542">
        <v>80</v>
      </c>
      <c r="JR79" s="542">
        <v>80</v>
      </c>
      <c r="JS79" s="542">
        <v>80</v>
      </c>
      <c r="JT79" s="542">
        <v>80</v>
      </c>
      <c r="JU79" s="542">
        <v>80</v>
      </c>
      <c r="JV79" s="542">
        <v>80</v>
      </c>
      <c r="JW79" s="542">
        <v>80</v>
      </c>
      <c r="JX79" s="542">
        <v>80</v>
      </c>
      <c r="JY79" s="542">
        <v>80</v>
      </c>
      <c r="JZ79" s="542">
        <v>80</v>
      </c>
      <c r="KA79" s="542">
        <v>80</v>
      </c>
      <c r="KB79" s="542">
        <v>80</v>
      </c>
      <c r="KC79" s="542">
        <v>80</v>
      </c>
      <c r="KD79" s="542">
        <v>80</v>
      </c>
      <c r="KE79" s="542">
        <v>80</v>
      </c>
      <c r="KF79" s="542">
        <v>80</v>
      </c>
      <c r="KG79" s="542">
        <v>80</v>
      </c>
      <c r="KH79" s="542">
        <v>80</v>
      </c>
      <c r="KI79" s="542">
        <v>80</v>
      </c>
      <c r="KJ79" s="542">
        <v>80</v>
      </c>
      <c r="KK79" s="542">
        <v>80</v>
      </c>
      <c r="KL79" s="542">
        <v>80</v>
      </c>
      <c r="KM79" s="542">
        <v>80</v>
      </c>
      <c r="KN79" s="542">
        <v>80</v>
      </c>
      <c r="KO79" s="542">
        <v>80</v>
      </c>
      <c r="KP79" s="542">
        <v>80</v>
      </c>
      <c r="KQ79" s="542">
        <v>80</v>
      </c>
    </row>
    <row r="80" spans="1:423" x14ac:dyDescent="0.25">
      <c r="A80" s="542"/>
      <c r="B80" s="542" cm="1">
        <f t="array" ref="B80:CW80">_xlfn.XLOOKUP(A79,$D$2:$D$77&amp;$F$2:$F$77,$LL$2:$PG$77)</f>
        <v>1</v>
      </c>
      <c r="C80" s="542">
        <v>2</v>
      </c>
      <c r="D80" s="542">
        <v>3</v>
      </c>
      <c r="E80" s="542">
        <v>4</v>
      </c>
      <c r="F80" s="542">
        <v>5</v>
      </c>
      <c r="G80" s="542">
        <v>6</v>
      </c>
      <c r="H80" s="542">
        <v>7</v>
      </c>
      <c r="I80" s="542">
        <v>8</v>
      </c>
      <c r="J80" s="542">
        <v>9</v>
      </c>
      <c r="K80" s="542">
        <v>10</v>
      </c>
      <c r="L80" s="542">
        <v>11</v>
      </c>
      <c r="M80" s="542">
        <v>12</v>
      </c>
      <c r="N80" s="542">
        <v>13</v>
      </c>
      <c r="O80" s="542">
        <v>14</v>
      </c>
      <c r="P80" s="542">
        <v>15</v>
      </c>
      <c r="Q80" s="542">
        <v>16</v>
      </c>
      <c r="R80" s="542">
        <v>17</v>
      </c>
      <c r="S80" s="542">
        <v>18</v>
      </c>
      <c r="T80" s="542">
        <v>19</v>
      </c>
      <c r="U80" s="542">
        <v>20</v>
      </c>
      <c r="V80" s="542">
        <v>21</v>
      </c>
      <c r="W80" s="542">
        <v>22</v>
      </c>
      <c r="X80" s="542">
        <v>23</v>
      </c>
      <c r="Y80" s="542">
        <v>24</v>
      </c>
      <c r="Z80" s="542">
        <v>25</v>
      </c>
      <c r="AA80" s="542">
        <v>26</v>
      </c>
      <c r="AB80" s="542">
        <v>27</v>
      </c>
      <c r="AC80" s="542">
        <v>28</v>
      </c>
      <c r="AD80" s="542">
        <v>29</v>
      </c>
      <c r="AE80" s="542">
        <v>30</v>
      </c>
      <c r="AF80" s="542">
        <v>31</v>
      </c>
      <c r="AG80" s="542">
        <v>32</v>
      </c>
      <c r="AH80" s="542">
        <v>33</v>
      </c>
      <c r="AI80" s="542">
        <v>34</v>
      </c>
      <c r="AJ80" s="542">
        <v>35</v>
      </c>
      <c r="AK80" s="542">
        <v>35</v>
      </c>
      <c r="AL80" s="542">
        <v>35</v>
      </c>
      <c r="AM80" s="542">
        <v>35</v>
      </c>
      <c r="AN80" s="542">
        <v>35</v>
      </c>
      <c r="AO80" s="542">
        <v>35</v>
      </c>
      <c r="AP80" s="542">
        <v>35</v>
      </c>
      <c r="AQ80" s="542">
        <v>35</v>
      </c>
      <c r="AR80" s="542">
        <v>35</v>
      </c>
      <c r="AS80" s="542">
        <v>35</v>
      </c>
      <c r="AT80" s="542">
        <v>35</v>
      </c>
      <c r="AU80" s="542">
        <v>35</v>
      </c>
      <c r="AV80" s="542">
        <v>35</v>
      </c>
      <c r="AW80" s="542">
        <v>35</v>
      </c>
      <c r="AX80" s="542">
        <v>35</v>
      </c>
      <c r="AY80" s="542">
        <v>35</v>
      </c>
      <c r="AZ80" s="542">
        <v>35</v>
      </c>
      <c r="BA80" s="542">
        <v>35</v>
      </c>
      <c r="BB80" s="542">
        <v>35</v>
      </c>
      <c r="BC80" s="542">
        <v>35</v>
      </c>
      <c r="BD80" s="542">
        <v>35</v>
      </c>
      <c r="BE80" s="542">
        <v>35</v>
      </c>
      <c r="BF80" s="542">
        <v>35</v>
      </c>
      <c r="BG80" s="542">
        <v>35</v>
      </c>
      <c r="BH80" s="542">
        <v>35</v>
      </c>
      <c r="BI80" s="542">
        <v>35</v>
      </c>
      <c r="BJ80" s="542">
        <v>35</v>
      </c>
      <c r="BK80" s="542">
        <v>35</v>
      </c>
      <c r="BL80" s="542">
        <v>35</v>
      </c>
      <c r="BM80" s="542">
        <v>35</v>
      </c>
      <c r="BN80" s="542">
        <v>35</v>
      </c>
      <c r="BO80" s="542">
        <v>35</v>
      </c>
      <c r="BP80" s="542">
        <v>35</v>
      </c>
      <c r="BQ80" s="542">
        <v>35</v>
      </c>
      <c r="BR80" s="542">
        <v>35</v>
      </c>
      <c r="BS80" s="542">
        <v>35</v>
      </c>
      <c r="BT80" s="542">
        <v>35</v>
      </c>
      <c r="BU80" s="542">
        <v>35</v>
      </c>
      <c r="BV80" s="542">
        <v>35</v>
      </c>
      <c r="BW80" s="542">
        <v>35</v>
      </c>
      <c r="BX80" s="542">
        <v>35</v>
      </c>
      <c r="BY80" s="542">
        <v>35</v>
      </c>
      <c r="BZ80" s="542">
        <v>35</v>
      </c>
      <c r="CA80" s="542">
        <v>35</v>
      </c>
      <c r="CB80" s="542">
        <v>35</v>
      </c>
      <c r="CC80" s="542">
        <v>35</v>
      </c>
      <c r="CD80" s="542">
        <v>35</v>
      </c>
      <c r="CE80" s="542">
        <v>35</v>
      </c>
      <c r="CF80" s="542">
        <v>35</v>
      </c>
      <c r="CG80" s="542">
        <v>35</v>
      </c>
      <c r="CH80" s="542">
        <v>35</v>
      </c>
      <c r="CI80" s="542">
        <v>35</v>
      </c>
      <c r="CJ80" s="542">
        <v>35</v>
      </c>
      <c r="CK80" s="542">
        <v>35</v>
      </c>
      <c r="CL80" s="542">
        <v>35</v>
      </c>
      <c r="CM80" s="542">
        <v>35</v>
      </c>
      <c r="CN80" s="542">
        <v>35</v>
      </c>
      <c r="CO80" s="542">
        <v>35</v>
      </c>
      <c r="CP80" s="542">
        <v>35</v>
      </c>
      <c r="CQ80" s="542">
        <v>35</v>
      </c>
      <c r="CR80" s="542">
        <v>35</v>
      </c>
      <c r="CS80" s="542">
        <v>35</v>
      </c>
      <c r="CT80" s="542">
        <v>35</v>
      </c>
      <c r="CU80" s="542">
        <v>35</v>
      </c>
      <c r="CV80" s="542">
        <v>35</v>
      </c>
      <c r="CW80" s="542">
        <v>35</v>
      </c>
      <c r="CX80" s="542"/>
      <c r="CY80" s="542"/>
      <c r="CZ80" s="542"/>
      <c r="DA80" s="542"/>
      <c r="DB80" s="542"/>
      <c r="DC80" s="542"/>
      <c r="DD80" s="542"/>
      <c r="DE80" s="542"/>
      <c r="DF80" s="542"/>
      <c r="DG80" s="542"/>
      <c r="DH80" s="542"/>
      <c r="DI80" s="542"/>
      <c r="DJ80" s="542"/>
      <c r="DK80" s="542"/>
      <c r="DL80" s="542"/>
      <c r="DM80" s="542"/>
      <c r="DN80" s="542"/>
      <c r="DO80" s="542"/>
      <c r="DP80" s="542"/>
      <c r="DQ80" s="542"/>
      <c r="DR80" s="542"/>
      <c r="DS80" s="542"/>
      <c r="DT80" s="542"/>
      <c r="DU80" s="542"/>
      <c r="DV80" s="542"/>
      <c r="DW80" s="542"/>
      <c r="DX80" s="542"/>
      <c r="DY80" s="542"/>
      <c r="DZ80" s="542"/>
      <c r="EA80" s="542"/>
      <c r="EB80" s="542"/>
      <c r="EC80" s="542"/>
      <c r="ED80" s="542"/>
      <c r="EE80" s="542"/>
      <c r="EF80" s="542"/>
      <c r="EG80" s="542"/>
      <c r="EH80" s="542"/>
      <c r="EI80" s="542"/>
      <c r="EJ80" s="542"/>
      <c r="EK80" s="542"/>
      <c r="EL80" s="542"/>
      <c r="EM80" s="542"/>
      <c r="EN80" s="542"/>
      <c r="EO80" s="542"/>
      <c r="EP80" s="542"/>
      <c r="EQ80" s="542"/>
      <c r="ER80" s="542"/>
      <c r="ES80" s="542"/>
      <c r="ET80" s="542"/>
      <c r="EU80" s="542"/>
      <c r="EV80" s="542"/>
      <c r="EW80" s="542"/>
      <c r="EX80" s="542"/>
      <c r="EY80" s="542"/>
      <c r="EZ80" s="542"/>
      <c r="FA80" s="542"/>
      <c r="FB80" s="542"/>
      <c r="FC80" s="542"/>
      <c r="FD80" s="542"/>
      <c r="FE80" s="542"/>
      <c r="FF80" s="542"/>
      <c r="FG80" s="542"/>
      <c r="FH80" s="542"/>
      <c r="FI80" s="542"/>
      <c r="FJ80" s="542"/>
      <c r="FK80" s="542"/>
      <c r="FL80" s="542"/>
      <c r="FM80" s="542"/>
      <c r="FN80" s="542"/>
      <c r="FO80" s="542"/>
      <c r="FP80" s="542"/>
      <c r="FQ80" s="542"/>
      <c r="FR80" s="542"/>
      <c r="FS80" s="542"/>
      <c r="FT80" s="542"/>
      <c r="FU80" s="542"/>
      <c r="FV80" s="542"/>
      <c r="FW80" s="542"/>
      <c r="FX80" s="542"/>
      <c r="FY80" s="542"/>
      <c r="FZ80" s="542"/>
      <c r="GA80" s="542"/>
      <c r="GB80" s="542"/>
      <c r="GC80" s="542"/>
      <c r="GD80" s="542"/>
      <c r="GE80" s="542"/>
      <c r="GF80" s="542"/>
      <c r="GG80" s="542"/>
      <c r="GH80" s="542"/>
      <c r="GI80" s="542"/>
      <c r="GJ80" s="542"/>
      <c r="GK80" s="542"/>
      <c r="GL80" s="542"/>
      <c r="GM80" s="542"/>
      <c r="GN80" s="542"/>
      <c r="GO80" s="542"/>
      <c r="GP80" s="542"/>
      <c r="GQ80" s="542"/>
      <c r="GR80" s="542"/>
      <c r="GS80" s="542"/>
      <c r="GT80" s="542"/>
      <c r="GU80" s="542"/>
      <c r="GV80" s="542"/>
      <c r="GW80" s="542"/>
      <c r="GX80" s="542"/>
      <c r="GY80" s="542"/>
      <c r="GZ80" s="542"/>
      <c r="HA80" s="542"/>
      <c r="HB80" s="542"/>
      <c r="HC80" s="542"/>
      <c r="HD80" s="542"/>
      <c r="HE80" s="542"/>
      <c r="HF80" s="542"/>
      <c r="HG80" s="542"/>
      <c r="HH80" s="542"/>
      <c r="HI80" s="542"/>
      <c r="HJ80" s="542"/>
      <c r="HK80" s="542"/>
      <c r="HL80" s="542"/>
      <c r="HM80" s="542"/>
      <c r="HN80" s="542"/>
      <c r="HO80" s="542"/>
      <c r="HP80" s="542"/>
      <c r="HQ80" s="542"/>
      <c r="HR80" s="542"/>
      <c r="HS80" s="542"/>
      <c r="HT80" s="542"/>
      <c r="HU80" s="542"/>
      <c r="HV80" s="542"/>
      <c r="HW80" s="542"/>
      <c r="HX80" s="542"/>
      <c r="HY80" s="542"/>
      <c r="HZ80" s="542"/>
      <c r="IA80" s="542"/>
      <c r="IB80" s="542"/>
      <c r="IC80" s="542"/>
      <c r="ID80" s="542"/>
      <c r="IE80" s="542"/>
      <c r="IF80" s="542"/>
      <c r="IG80" s="542"/>
      <c r="IH80" s="542"/>
      <c r="II80" s="542"/>
      <c r="IJ80" s="542"/>
      <c r="IK80" s="542"/>
      <c r="IL80" s="542"/>
      <c r="IM80" s="542"/>
      <c r="IN80" s="542"/>
      <c r="IO80" s="542"/>
      <c r="IP80" s="542"/>
      <c r="IQ80" s="542"/>
      <c r="IR80" s="542"/>
      <c r="IS80" s="542"/>
      <c r="IT80" s="542"/>
      <c r="IU80" s="542"/>
      <c r="IV80" s="542"/>
      <c r="IW80" s="542"/>
      <c r="IX80" s="542"/>
      <c r="IY80" s="542"/>
      <c r="IZ80" s="542"/>
      <c r="JA80" s="542"/>
      <c r="JB80" s="542"/>
      <c r="JC80" s="542"/>
      <c r="JD80" s="542"/>
      <c r="JE80" s="542"/>
      <c r="JF80" s="542"/>
      <c r="JG80" s="542"/>
      <c r="JH80" s="542"/>
      <c r="JI80" s="542"/>
      <c r="JJ80" s="542"/>
      <c r="JK80" s="542"/>
      <c r="JL80" s="542"/>
      <c r="JM80" s="542"/>
      <c r="JN80" s="542"/>
      <c r="JO80" s="542"/>
      <c r="JP80" s="542"/>
      <c r="JQ80" s="542"/>
      <c r="JR80" s="542"/>
      <c r="JS80" s="542"/>
      <c r="JT80" s="542"/>
      <c r="JU80" s="542"/>
      <c r="JV80" s="542"/>
      <c r="JW80" s="542"/>
      <c r="JX80" s="542"/>
      <c r="JY80" s="542"/>
      <c r="JZ80" s="542"/>
      <c r="KA80" s="542"/>
      <c r="KB80" s="542"/>
      <c r="KC80" s="542"/>
      <c r="KD80" s="542"/>
      <c r="KE80" s="542"/>
      <c r="KF80" s="542"/>
      <c r="KG80" s="542"/>
      <c r="KH80" s="542"/>
      <c r="KI80" s="542"/>
      <c r="KJ80" s="542"/>
      <c r="KK80" s="542"/>
      <c r="KL80" s="542"/>
      <c r="KM80" s="542"/>
      <c r="KN80" s="542"/>
      <c r="KO80" s="542"/>
      <c r="KP80" s="542"/>
      <c r="KQ80" s="542"/>
    </row>
    <row r="81" spans="1:303" x14ac:dyDescent="0.25">
      <c r="A81" s="542" t="str">
        <f>"Cadre N2"&amp;'Phase finale'!$B$5</f>
        <v>Cadre N2Distance réduite :</v>
      </c>
      <c r="B81" s="542" t="str" cm="1">
        <f t="array" ref="B81:KQ81">_xlfn.XLOOKUP(A81,$D$2:$D$77&amp;$F$2:$F$77,$U$2:$LJ$77)</f>
        <v>Ab.</v>
      </c>
      <c r="C81" s="542">
        <v>0</v>
      </c>
      <c r="D81" s="542">
        <v>1</v>
      </c>
      <c r="E81" s="542">
        <v>2</v>
      </c>
      <c r="F81" s="542">
        <v>3</v>
      </c>
      <c r="G81" s="542">
        <v>4</v>
      </c>
      <c r="H81" s="542">
        <v>5</v>
      </c>
      <c r="I81" s="542">
        <v>6</v>
      </c>
      <c r="J81" s="542">
        <v>7</v>
      </c>
      <c r="K81" s="542">
        <v>8</v>
      </c>
      <c r="L81" s="542">
        <v>9</v>
      </c>
      <c r="M81" s="542">
        <v>10</v>
      </c>
      <c r="N81" s="542">
        <v>11</v>
      </c>
      <c r="O81" s="542">
        <v>12</v>
      </c>
      <c r="P81" s="542">
        <v>13</v>
      </c>
      <c r="Q81" s="542">
        <v>14</v>
      </c>
      <c r="R81" s="542">
        <v>15</v>
      </c>
      <c r="S81" s="542">
        <v>16</v>
      </c>
      <c r="T81" s="542">
        <v>17</v>
      </c>
      <c r="U81" s="542">
        <v>18</v>
      </c>
      <c r="V81" s="542">
        <v>19</v>
      </c>
      <c r="W81" s="542">
        <v>20</v>
      </c>
      <c r="X81" s="542">
        <v>21</v>
      </c>
      <c r="Y81" s="542">
        <v>22</v>
      </c>
      <c r="Z81" s="542">
        <v>23</v>
      </c>
      <c r="AA81" s="542">
        <v>24</v>
      </c>
      <c r="AB81" s="542">
        <v>25</v>
      </c>
      <c r="AC81" s="542">
        <v>26</v>
      </c>
      <c r="AD81" s="542">
        <v>27</v>
      </c>
      <c r="AE81" s="542">
        <v>28</v>
      </c>
      <c r="AF81" s="542">
        <v>29</v>
      </c>
      <c r="AG81" s="542">
        <v>30</v>
      </c>
      <c r="AH81" s="542">
        <v>31</v>
      </c>
      <c r="AI81" s="542">
        <v>32</v>
      </c>
      <c r="AJ81" s="542">
        <v>33</v>
      </c>
      <c r="AK81" s="542">
        <v>34</v>
      </c>
      <c r="AL81" s="542">
        <v>35</v>
      </c>
      <c r="AM81" s="542">
        <v>36</v>
      </c>
      <c r="AN81" s="542">
        <v>37</v>
      </c>
      <c r="AO81" s="542">
        <v>38</v>
      </c>
      <c r="AP81" s="542">
        <v>39</v>
      </c>
      <c r="AQ81" s="542">
        <v>40</v>
      </c>
      <c r="AR81" s="542">
        <v>41</v>
      </c>
      <c r="AS81" s="542">
        <v>42</v>
      </c>
      <c r="AT81" s="542">
        <v>43</v>
      </c>
      <c r="AU81" s="542">
        <v>44</v>
      </c>
      <c r="AV81" s="542">
        <v>45</v>
      </c>
      <c r="AW81" s="542">
        <v>46</v>
      </c>
      <c r="AX81" s="542">
        <v>47</v>
      </c>
      <c r="AY81" s="542">
        <v>48</v>
      </c>
      <c r="AZ81" s="542">
        <v>49</v>
      </c>
      <c r="BA81" s="542">
        <v>50</v>
      </c>
      <c r="BB81" s="542">
        <v>51</v>
      </c>
      <c r="BC81" s="542">
        <v>52</v>
      </c>
      <c r="BD81" s="542">
        <v>53</v>
      </c>
      <c r="BE81" s="542">
        <v>54</v>
      </c>
      <c r="BF81" s="542">
        <v>55</v>
      </c>
      <c r="BG81" s="542">
        <v>56</v>
      </c>
      <c r="BH81" s="542">
        <v>57</v>
      </c>
      <c r="BI81" s="542">
        <v>58</v>
      </c>
      <c r="BJ81" s="542">
        <v>59</v>
      </c>
      <c r="BK81" s="542">
        <v>60</v>
      </c>
      <c r="BL81" s="542">
        <v>61</v>
      </c>
      <c r="BM81" s="542">
        <v>62</v>
      </c>
      <c r="BN81" s="542">
        <v>63</v>
      </c>
      <c r="BO81" s="542">
        <v>64</v>
      </c>
      <c r="BP81" s="542">
        <v>65</v>
      </c>
      <c r="BQ81" s="542">
        <v>66</v>
      </c>
      <c r="BR81" s="542">
        <v>67</v>
      </c>
      <c r="BS81" s="542">
        <v>68</v>
      </c>
      <c r="BT81" s="542">
        <v>69</v>
      </c>
      <c r="BU81" s="542">
        <v>70</v>
      </c>
      <c r="BV81" s="542">
        <v>71</v>
      </c>
      <c r="BW81" s="542">
        <v>72</v>
      </c>
      <c r="BX81" s="542">
        <v>73</v>
      </c>
      <c r="BY81" s="542">
        <v>74</v>
      </c>
      <c r="BZ81" s="542">
        <v>75</v>
      </c>
      <c r="CA81" s="542">
        <v>76</v>
      </c>
      <c r="CB81" s="542">
        <v>77</v>
      </c>
      <c r="CC81" s="542">
        <v>78</v>
      </c>
      <c r="CD81" s="542">
        <v>79</v>
      </c>
      <c r="CE81" s="542">
        <v>80</v>
      </c>
      <c r="CF81" s="542">
        <v>81</v>
      </c>
      <c r="CG81" s="542">
        <v>82</v>
      </c>
      <c r="CH81" s="542">
        <v>83</v>
      </c>
      <c r="CI81" s="542">
        <v>84</v>
      </c>
      <c r="CJ81" s="542">
        <v>85</v>
      </c>
      <c r="CK81" s="542">
        <v>86</v>
      </c>
      <c r="CL81" s="542">
        <v>87</v>
      </c>
      <c r="CM81" s="542">
        <v>88</v>
      </c>
      <c r="CN81" s="542">
        <v>89</v>
      </c>
      <c r="CO81" s="542">
        <v>90</v>
      </c>
      <c r="CP81" s="542">
        <v>91</v>
      </c>
      <c r="CQ81" s="542">
        <v>92</v>
      </c>
      <c r="CR81" s="542">
        <v>93</v>
      </c>
      <c r="CS81" s="542">
        <v>94</v>
      </c>
      <c r="CT81" s="542">
        <v>95</v>
      </c>
      <c r="CU81" s="542">
        <v>96</v>
      </c>
      <c r="CV81" s="542">
        <v>97</v>
      </c>
      <c r="CW81" s="542">
        <v>98</v>
      </c>
      <c r="CX81" s="542">
        <v>99</v>
      </c>
      <c r="CY81" s="542">
        <v>100</v>
      </c>
      <c r="CZ81" s="542">
        <v>101</v>
      </c>
      <c r="DA81" s="542">
        <v>102</v>
      </c>
      <c r="DB81" s="542">
        <v>103</v>
      </c>
      <c r="DC81" s="542">
        <v>104</v>
      </c>
      <c r="DD81" s="542">
        <v>105</v>
      </c>
      <c r="DE81" s="542">
        <v>106</v>
      </c>
      <c r="DF81" s="542">
        <v>107</v>
      </c>
      <c r="DG81" s="542">
        <v>108</v>
      </c>
      <c r="DH81" s="542">
        <v>109</v>
      </c>
      <c r="DI81" s="542">
        <v>110</v>
      </c>
      <c r="DJ81" s="542">
        <v>111</v>
      </c>
      <c r="DK81" s="542">
        <v>112</v>
      </c>
      <c r="DL81" s="542">
        <v>113</v>
      </c>
      <c r="DM81" s="542">
        <v>114</v>
      </c>
      <c r="DN81" s="542">
        <v>115</v>
      </c>
      <c r="DO81" s="542">
        <v>116</v>
      </c>
      <c r="DP81" s="542">
        <v>117</v>
      </c>
      <c r="DQ81" s="542">
        <v>118</v>
      </c>
      <c r="DR81" s="542">
        <v>119</v>
      </c>
      <c r="DS81" s="542">
        <v>120</v>
      </c>
      <c r="DT81" s="542">
        <v>120</v>
      </c>
      <c r="DU81" s="542">
        <v>120</v>
      </c>
      <c r="DV81" s="542">
        <v>120</v>
      </c>
      <c r="DW81" s="542">
        <v>120</v>
      </c>
      <c r="DX81" s="542">
        <v>120</v>
      </c>
      <c r="DY81" s="542">
        <v>120</v>
      </c>
      <c r="DZ81" s="542">
        <v>120</v>
      </c>
      <c r="EA81" s="542">
        <v>120</v>
      </c>
      <c r="EB81" s="542">
        <v>120</v>
      </c>
      <c r="EC81" s="542">
        <v>120</v>
      </c>
      <c r="ED81" s="542">
        <v>120</v>
      </c>
      <c r="EE81" s="542">
        <v>120</v>
      </c>
      <c r="EF81" s="542">
        <v>120</v>
      </c>
      <c r="EG81" s="542">
        <v>120</v>
      </c>
      <c r="EH81" s="542">
        <v>120</v>
      </c>
      <c r="EI81" s="542">
        <v>120</v>
      </c>
      <c r="EJ81" s="542">
        <v>120</v>
      </c>
      <c r="EK81" s="542">
        <v>120</v>
      </c>
      <c r="EL81" s="542">
        <v>120</v>
      </c>
      <c r="EM81" s="542">
        <v>120</v>
      </c>
      <c r="EN81" s="542">
        <v>120</v>
      </c>
      <c r="EO81" s="542">
        <v>120</v>
      </c>
      <c r="EP81" s="542">
        <v>120</v>
      </c>
      <c r="EQ81" s="542">
        <v>120</v>
      </c>
      <c r="ER81" s="542">
        <v>120</v>
      </c>
      <c r="ES81" s="542">
        <v>120</v>
      </c>
      <c r="ET81" s="542">
        <v>120</v>
      </c>
      <c r="EU81" s="542">
        <v>120</v>
      </c>
      <c r="EV81" s="542">
        <v>120</v>
      </c>
      <c r="EW81" s="542">
        <v>120</v>
      </c>
      <c r="EX81" s="542">
        <v>120</v>
      </c>
      <c r="EY81" s="542">
        <v>120</v>
      </c>
      <c r="EZ81" s="542">
        <v>120</v>
      </c>
      <c r="FA81" s="542">
        <v>120</v>
      </c>
      <c r="FB81" s="542">
        <v>120</v>
      </c>
      <c r="FC81" s="542">
        <v>120</v>
      </c>
      <c r="FD81" s="542">
        <v>120</v>
      </c>
      <c r="FE81" s="542">
        <v>120</v>
      </c>
      <c r="FF81" s="542">
        <v>120</v>
      </c>
      <c r="FG81" s="542">
        <v>120</v>
      </c>
      <c r="FH81" s="542">
        <v>120</v>
      </c>
      <c r="FI81" s="542">
        <v>120</v>
      </c>
      <c r="FJ81" s="542">
        <v>120</v>
      </c>
      <c r="FK81" s="542">
        <v>120</v>
      </c>
      <c r="FL81" s="542">
        <v>120</v>
      </c>
      <c r="FM81" s="542">
        <v>120</v>
      </c>
      <c r="FN81" s="542">
        <v>120</v>
      </c>
      <c r="FO81" s="542">
        <v>120</v>
      </c>
      <c r="FP81" s="542">
        <v>120</v>
      </c>
      <c r="FQ81" s="542">
        <v>120</v>
      </c>
      <c r="FR81" s="542">
        <v>120</v>
      </c>
      <c r="FS81" s="542">
        <v>120</v>
      </c>
      <c r="FT81" s="542">
        <v>120</v>
      </c>
      <c r="FU81" s="542">
        <v>120</v>
      </c>
      <c r="FV81" s="542">
        <v>120</v>
      </c>
      <c r="FW81" s="542">
        <v>120</v>
      </c>
      <c r="FX81" s="542">
        <v>120</v>
      </c>
      <c r="FY81" s="542">
        <v>120</v>
      </c>
      <c r="FZ81" s="542">
        <v>120</v>
      </c>
      <c r="GA81" s="542">
        <v>120</v>
      </c>
      <c r="GB81" s="542">
        <v>120</v>
      </c>
      <c r="GC81" s="542">
        <v>120</v>
      </c>
      <c r="GD81" s="542">
        <v>120</v>
      </c>
      <c r="GE81" s="542">
        <v>120</v>
      </c>
      <c r="GF81" s="542">
        <v>120</v>
      </c>
      <c r="GG81" s="542">
        <v>120</v>
      </c>
      <c r="GH81" s="542">
        <v>120</v>
      </c>
      <c r="GI81" s="542">
        <v>120</v>
      </c>
      <c r="GJ81" s="542">
        <v>120</v>
      </c>
      <c r="GK81" s="542">
        <v>120</v>
      </c>
      <c r="GL81" s="542">
        <v>120</v>
      </c>
      <c r="GM81" s="542">
        <v>120</v>
      </c>
      <c r="GN81" s="542">
        <v>120</v>
      </c>
      <c r="GO81" s="542">
        <v>120</v>
      </c>
      <c r="GP81" s="542">
        <v>120</v>
      </c>
      <c r="GQ81" s="542">
        <v>120</v>
      </c>
      <c r="GR81" s="542">
        <v>120</v>
      </c>
      <c r="GS81" s="542">
        <v>120</v>
      </c>
      <c r="GT81" s="542">
        <v>120</v>
      </c>
      <c r="GU81" s="542">
        <v>120</v>
      </c>
      <c r="GV81" s="542">
        <v>120</v>
      </c>
      <c r="GW81" s="542">
        <v>120</v>
      </c>
      <c r="GX81" s="542">
        <v>120</v>
      </c>
      <c r="GY81" s="542">
        <v>120</v>
      </c>
      <c r="GZ81" s="542">
        <v>120</v>
      </c>
      <c r="HA81" s="542">
        <v>120</v>
      </c>
      <c r="HB81" s="542">
        <v>120</v>
      </c>
      <c r="HC81" s="542">
        <v>120</v>
      </c>
      <c r="HD81" s="542">
        <v>120</v>
      </c>
      <c r="HE81" s="542">
        <v>120</v>
      </c>
      <c r="HF81" s="542">
        <v>120</v>
      </c>
      <c r="HG81" s="542">
        <v>120</v>
      </c>
      <c r="HH81" s="542">
        <v>120</v>
      </c>
      <c r="HI81" s="542">
        <v>120</v>
      </c>
      <c r="HJ81" s="542">
        <v>120</v>
      </c>
      <c r="HK81" s="542">
        <v>120</v>
      </c>
      <c r="HL81" s="542">
        <v>120</v>
      </c>
      <c r="HM81" s="542">
        <v>120</v>
      </c>
      <c r="HN81" s="542">
        <v>120</v>
      </c>
      <c r="HO81" s="542">
        <v>120</v>
      </c>
      <c r="HP81" s="542">
        <v>120</v>
      </c>
      <c r="HQ81" s="542">
        <v>120</v>
      </c>
      <c r="HR81" s="542">
        <v>120</v>
      </c>
      <c r="HS81" s="542">
        <v>120</v>
      </c>
      <c r="HT81" s="542">
        <v>120</v>
      </c>
      <c r="HU81" s="542">
        <v>120</v>
      </c>
      <c r="HV81" s="542">
        <v>120</v>
      </c>
      <c r="HW81" s="542">
        <v>120</v>
      </c>
      <c r="HX81" s="542">
        <v>120</v>
      </c>
      <c r="HY81" s="542">
        <v>120</v>
      </c>
      <c r="HZ81" s="542">
        <v>120</v>
      </c>
      <c r="IA81" s="542">
        <v>120</v>
      </c>
      <c r="IB81" s="542">
        <v>120</v>
      </c>
      <c r="IC81" s="542">
        <v>120</v>
      </c>
      <c r="ID81" s="542">
        <v>120</v>
      </c>
      <c r="IE81" s="542">
        <v>120</v>
      </c>
      <c r="IF81" s="542">
        <v>120</v>
      </c>
      <c r="IG81" s="542">
        <v>120</v>
      </c>
      <c r="IH81" s="542">
        <v>120</v>
      </c>
      <c r="II81" s="542">
        <v>120</v>
      </c>
      <c r="IJ81" s="542">
        <v>120</v>
      </c>
      <c r="IK81" s="542">
        <v>120</v>
      </c>
      <c r="IL81" s="542">
        <v>120</v>
      </c>
      <c r="IM81" s="542">
        <v>120</v>
      </c>
      <c r="IN81" s="542">
        <v>120</v>
      </c>
      <c r="IO81" s="542">
        <v>120</v>
      </c>
      <c r="IP81" s="542">
        <v>120</v>
      </c>
      <c r="IQ81" s="542">
        <v>120</v>
      </c>
      <c r="IR81" s="542">
        <v>120</v>
      </c>
      <c r="IS81" s="542">
        <v>120</v>
      </c>
      <c r="IT81" s="542">
        <v>120</v>
      </c>
      <c r="IU81" s="542">
        <v>120</v>
      </c>
      <c r="IV81" s="542">
        <v>120</v>
      </c>
      <c r="IW81" s="542">
        <v>120</v>
      </c>
      <c r="IX81" s="542">
        <v>120</v>
      </c>
      <c r="IY81" s="542">
        <v>120</v>
      </c>
      <c r="IZ81" s="542">
        <v>120</v>
      </c>
      <c r="JA81" s="542">
        <v>120</v>
      </c>
      <c r="JB81" s="542">
        <v>120</v>
      </c>
      <c r="JC81" s="542">
        <v>120</v>
      </c>
      <c r="JD81" s="542">
        <v>120</v>
      </c>
      <c r="JE81" s="542">
        <v>120</v>
      </c>
      <c r="JF81" s="542">
        <v>120</v>
      </c>
      <c r="JG81" s="542">
        <v>120</v>
      </c>
      <c r="JH81" s="542">
        <v>120</v>
      </c>
      <c r="JI81" s="542">
        <v>120</v>
      </c>
      <c r="JJ81" s="542">
        <v>120</v>
      </c>
      <c r="JK81" s="542">
        <v>120</v>
      </c>
      <c r="JL81" s="542">
        <v>120</v>
      </c>
      <c r="JM81" s="542">
        <v>120</v>
      </c>
      <c r="JN81" s="542">
        <v>120</v>
      </c>
      <c r="JO81" s="542">
        <v>120</v>
      </c>
      <c r="JP81" s="542">
        <v>120</v>
      </c>
      <c r="JQ81" s="542">
        <v>120</v>
      </c>
      <c r="JR81" s="542">
        <v>120</v>
      </c>
      <c r="JS81" s="542">
        <v>120</v>
      </c>
      <c r="JT81" s="542">
        <v>120</v>
      </c>
      <c r="JU81" s="542">
        <v>120</v>
      </c>
      <c r="JV81" s="542">
        <v>120</v>
      </c>
      <c r="JW81" s="542">
        <v>120</v>
      </c>
      <c r="JX81" s="542">
        <v>120</v>
      </c>
      <c r="JY81" s="542">
        <v>120</v>
      </c>
      <c r="JZ81" s="542">
        <v>120</v>
      </c>
      <c r="KA81" s="542">
        <v>120</v>
      </c>
      <c r="KB81" s="542">
        <v>120</v>
      </c>
      <c r="KC81" s="542">
        <v>120</v>
      </c>
      <c r="KD81" s="542">
        <v>120</v>
      </c>
      <c r="KE81" s="542">
        <v>120</v>
      </c>
      <c r="KF81" s="542">
        <v>120</v>
      </c>
      <c r="KG81" s="542">
        <v>120</v>
      </c>
      <c r="KH81" s="542">
        <v>120</v>
      </c>
      <c r="KI81" s="542">
        <v>120</v>
      </c>
      <c r="KJ81" s="542">
        <v>120</v>
      </c>
      <c r="KK81" s="542">
        <v>120</v>
      </c>
      <c r="KL81" s="542">
        <v>120</v>
      </c>
      <c r="KM81" s="542">
        <v>120</v>
      </c>
      <c r="KN81" s="542">
        <v>120</v>
      </c>
      <c r="KO81" s="542">
        <v>120</v>
      </c>
      <c r="KP81" s="542">
        <v>120</v>
      </c>
      <c r="KQ81" s="542">
        <v>120</v>
      </c>
    </row>
    <row r="82" spans="1:303" x14ac:dyDescent="0.25">
      <c r="A82" s="542"/>
      <c r="B82" s="542" cm="1">
        <f t="array" ref="B82:CW82">_xlfn.XLOOKUP(A81,$D$2:$D$77&amp;$F$2:$F$77,$LL$2:$PG$77,"",0,1)</f>
        <v>1</v>
      </c>
      <c r="C82" s="542">
        <v>2</v>
      </c>
      <c r="D82" s="542">
        <v>3</v>
      </c>
      <c r="E82" s="542">
        <v>4</v>
      </c>
      <c r="F82" s="542">
        <v>5</v>
      </c>
      <c r="G82" s="542">
        <v>6</v>
      </c>
      <c r="H82" s="542">
        <v>7</v>
      </c>
      <c r="I82" s="542">
        <v>8</v>
      </c>
      <c r="J82" s="542">
        <v>9</v>
      </c>
      <c r="K82" s="542">
        <v>10</v>
      </c>
      <c r="L82" s="542">
        <v>11</v>
      </c>
      <c r="M82" s="542">
        <v>12</v>
      </c>
      <c r="N82" s="542">
        <v>13</v>
      </c>
      <c r="O82" s="542">
        <v>14</v>
      </c>
      <c r="P82" s="542">
        <v>15</v>
      </c>
      <c r="Q82" s="542">
        <v>16</v>
      </c>
      <c r="R82" s="542">
        <v>17</v>
      </c>
      <c r="S82" s="542">
        <v>18</v>
      </c>
      <c r="T82" s="542">
        <v>19</v>
      </c>
      <c r="U82" s="542">
        <v>20</v>
      </c>
      <c r="V82" s="542">
        <v>20</v>
      </c>
      <c r="W82" s="542">
        <v>20</v>
      </c>
      <c r="X82" s="542">
        <v>20</v>
      </c>
      <c r="Y82" s="542">
        <v>20</v>
      </c>
      <c r="Z82" s="542">
        <v>20</v>
      </c>
      <c r="AA82" s="542">
        <v>20</v>
      </c>
      <c r="AB82" s="542">
        <v>20</v>
      </c>
      <c r="AC82" s="542">
        <v>20</v>
      </c>
      <c r="AD82" s="542">
        <v>20</v>
      </c>
      <c r="AE82" s="542">
        <v>20</v>
      </c>
      <c r="AF82" s="542">
        <v>20</v>
      </c>
      <c r="AG82" s="542">
        <v>20</v>
      </c>
      <c r="AH82" s="542">
        <v>20</v>
      </c>
      <c r="AI82" s="542">
        <v>20</v>
      </c>
      <c r="AJ82" s="542">
        <v>20</v>
      </c>
      <c r="AK82" s="542">
        <v>20</v>
      </c>
      <c r="AL82" s="542">
        <v>20</v>
      </c>
      <c r="AM82" s="542">
        <v>20</v>
      </c>
      <c r="AN82" s="542">
        <v>20</v>
      </c>
      <c r="AO82" s="542">
        <v>20</v>
      </c>
      <c r="AP82" s="542">
        <v>20</v>
      </c>
      <c r="AQ82" s="542">
        <v>20</v>
      </c>
      <c r="AR82" s="542">
        <v>20</v>
      </c>
      <c r="AS82" s="542">
        <v>20</v>
      </c>
      <c r="AT82" s="542">
        <v>20</v>
      </c>
      <c r="AU82" s="542">
        <v>20</v>
      </c>
      <c r="AV82" s="542">
        <v>20</v>
      </c>
      <c r="AW82" s="542">
        <v>20</v>
      </c>
      <c r="AX82" s="542">
        <v>20</v>
      </c>
      <c r="AY82" s="542">
        <v>20</v>
      </c>
      <c r="AZ82" s="542">
        <v>20</v>
      </c>
      <c r="BA82" s="542">
        <v>20</v>
      </c>
      <c r="BB82" s="542">
        <v>20</v>
      </c>
      <c r="BC82" s="542">
        <v>20</v>
      </c>
      <c r="BD82" s="542">
        <v>20</v>
      </c>
      <c r="BE82" s="542">
        <v>20</v>
      </c>
      <c r="BF82" s="542">
        <v>20</v>
      </c>
      <c r="BG82" s="542">
        <v>20</v>
      </c>
      <c r="BH82" s="542">
        <v>20</v>
      </c>
      <c r="BI82" s="542">
        <v>20</v>
      </c>
      <c r="BJ82" s="542">
        <v>20</v>
      </c>
      <c r="BK82" s="542">
        <v>20</v>
      </c>
      <c r="BL82" s="542">
        <v>20</v>
      </c>
      <c r="BM82" s="542">
        <v>20</v>
      </c>
      <c r="BN82" s="542">
        <v>20</v>
      </c>
      <c r="BO82" s="542">
        <v>20</v>
      </c>
      <c r="BP82" s="542">
        <v>20</v>
      </c>
      <c r="BQ82" s="542">
        <v>20</v>
      </c>
      <c r="BR82" s="542">
        <v>20</v>
      </c>
      <c r="BS82" s="542">
        <v>20</v>
      </c>
      <c r="BT82" s="542">
        <v>20</v>
      </c>
      <c r="BU82" s="542">
        <v>20</v>
      </c>
      <c r="BV82" s="542">
        <v>20</v>
      </c>
      <c r="BW82" s="542">
        <v>20</v>
      </c>
      <c r="BX82" s="542">
        <v>20</v>
      </c>
      <c r="BY82" s="542">
        <v>20</v>
      </c>
      <c r="BZ82" s="542">
        <v>20</v>
      </c>
      <c r="CA82" s="542">
        <v>20</v>
      </c>
      <c r="CB82" s="542">
        <v>20</v>
      </c>
      <c r="CC82" s="542">
        <v>20</v>
      </c>
      <c r="CD82" s="542">
        <v>20</v>
      </c>
      <c r="CE82" s="542">
        <v>20</v>
      </c>
      <c r="CF82" s="542">
        <v>20</v>
      </c>
      <c r="CG82" s="542">
        <v>20</v>
      </c>
      <c r="CH82" s="542">
        <v>20</v>
      </c>
      <c r="CI82" s="542">
        <v>20</v>
      </c>
      <c r="CJ82" s="542">
        <v>20</v>
      </c>
      <c r="CK82" s="542">
        <v>20</v>
      </c>
      <c r="CL82" s="542">
        <v>20</v>
      </c>
      <c r="CM82" s="542">
        <v>20</v>
      </c>
      <c r="CN82" s="542">
        <v>20</v>
      </c>
      <c r="CO82" s="542">
        <v>20</v>
      </c>
      <c r="CP82" s="542">
        <v>20</v>
      </c>
      <c r="CQ82" s="542">
        <v>20</v>
      </c>
      <c r="CR82" s="542">
        <v>20</v>
      </c>
      <c r="CS82" s="542">
        <v>20</v>
      </c>
      <c r="CT82" s="542">
        <v>20</v>
      </c>
      <c r="CU82" s="542">
        <v>20</v>
      </c>
      <c r="CV82" s="542">
        <v>20</v>
      </c>
      <c r="CW82" s="542">
        <v>20</v>
      </c>
      <c r="CX82" s="542"/>
      <c r="CY82" s="542"/>
      <c r="CZ82" s="542"/>
      <c r="DA82" s="542"/>
      <c r="DB82" s="542"/>
      <c r="DC82" s="542"/>
      <c r="DD82" s="542"/>
      <c r="DE82" s="542"/>
      <c r="DF82" s="542"/>
      <c r="DG82" s="542"/>
      <c r="DH82" s="542"/>
      <c r="DI82" s="542"/>
      <c r="DJ82" s="542"/>
      <c r="DK82" s="542"/>
      <c r="DL82" s="542"/>
      <c r="DM82" s="542"/>
      <c r="DN82" s="542"/>
      <c r="DO82" s="542"/>
      <c r="DP82" s="542"/>
      <c r="DQ82" s="542"/>
      <c r="DR82" s="542"/>
      <c r="DS82" s="542"/>
      <c r="DT82" s="542"/>
      <c r="DU82" s="542"/>
      <c r="DV82" s="542"/>
      <c r="DW82" s="542"/>
      <c r="DX82" s="542"/>
      <c r="DY82" s="542"/>
      <c r="DZ82" s="542"/>
      <c r="EA82" s="542"/>
      <c r="EB82" s="542"/>
      <c r="EC82" s="542"/>
      <c r="ED82" s="542"/>
      <c r="EE82" s="542"/>
      <c r="EF82" s="542"/>
      <c r="EG82" s="542"/>
      <c r="EH82" s="542"/>
      <c r="EI82" s="542"/>
      <c r="EJ82" s="542"/>
      <c r="EK82" s="542"/>
      <c r="EL82" s="542"/>
      <c r="EM82" s="542"/>
      <c r="EN82" s="542"/>
      <c r="EO82" s="542"/>
      <c r="EP82" s="542"/>
      <c r="EQ82" s="542"/>
      <c r="ER82" s="542"/>
      <c r="ES82" s="542"/>
      <c r="ET82" s="542"/>
      <c r="EU82" s="542"/>
      <c r="EV82" s="542"/>
      <c r="EW82" s="542"/>
      <c r="EX82" s="542"/>
      <c r="EY82" s="542"/>
      <c r="EZ82" s="542"/>
      <c r="FA82" s="542"/>
      <c r="FB82" s="542"/>
      <c r="FC82" s="542"/>
      <c r="FD82" s="542"/>
      <c r="FE82" s="542"/>
      <c r="FF82" s="542"/>
      <c r="FG82" s="542"/>
      <c r="FH82" s="542"/>
      <c r="FI82" s="542"/>
      <c r="FJ82" s="542"/>
      <c r="FK82" s="542"/>
      <c r="FL82" s="542"/>
      <c r="FM82" s="542"/>
      <c r="FN82" s="542"/>
      <c r="FO82" s="542"/>
      <c r="FP82" s="542"/>
      <c r="FQ82" s="542"/>
      <c r="FR82" s="542"/>
      <c r="FS82" s="542"/>
      <c r="FT82" s="542"/>
      <c r="FU82" s="542"/>
      <c r="FV82" s="542"/>
      <c r="FW82" s="542"/>
      <c r="FX82" s="542"/>
      <c r="FY82" s="542"/>
      <c r="FZ82" s="542"/>
      <c r="GA82" s="542"/>
      <c r="GB82" s="542"/>
      <c r="GC82" s="542"/>
      <c r="GD82" s="542"/>
      <c r="GE82" s="542"/>
      <c r="GF82" s="542"/>
      <c r="GG82" s="542"/>
      <c r="GH82" s="542"/>
      <c r="GI82" s="542"/>
      <c r="GJ82" s="542"/>
      <c r="GK82" s="542"/>
      <c r="GL82" s="542"/>
      <c r="GM82" s="542"/>
      <c r="GN82" s="542"/>
      <c r="GO82" s="542"/>
      <c r="GP82" s="542"/>
      <c r="GQ82" s="542"/>
      <c r="GR82" s="542"/>
      <c r="GS82" s="542"/>
      <c r="GT82" s="542"/>
      <c r="GU82" s="542"/>
      <c r="GV82" s="542"/>
      <c r="GW82" s="542"/>
      <c r="GX82" s="542"/>
      <c r="GY82" s="542"/>
      <c r="GZ82" s="542"/>
      <c r="HA82" s="542"/>
      <c r="HB82" s="542"/>
      <c r="HC82" s="542"/>
      <c r="HD82" s="542"/>
      <c r="HE82" s="542"/>
      <c r="HF82" s="542"/>
      <c r="HG82" s="542"/>
      <c r="HH82" s="542"/>
      <c r="HI82" s="542"/>
      <c r="HJ82" s="542"/>
      <c r="HK82" s="542"/>
      <c r="HL82" s="542"/>
      <c r="HM82" s="542"/>
      <c r="HN82" s="542"/>
      <c r="HO82" s="542"/>
      <c r="HP82" s="542"/>
      <c r="HQ82" s="542"/>
      <c r="HR82" s="542"/>
      <c r="HS82" s="542"/>
      <c r="HT82" s="542"/>
      <c r="HU82" s="542"/>
      <c r="HV82" s="542"/>
      <c r="HW82" s="542"/>
      <c r="HX82" s="542"/>
      <c r="HY82" s="542"/>
      <c r="HZ82" s="542"/>
      <c r="IA82" s="542"/>
      <c r="IB82" s="542"/>
      <c r="IC82" s="542"/>
      <c r="ID82" s="542"/>
      <c r="IE82" s="542"/>
      <c r="IF82" s="542"/>
      <c r="IG82" s="542"/>
      <c r="IH82" s="542"/>
      <c r="II82" s="542"/>
      <c r="IJ82" s="542"/>
      <c r="IK82" s="542"/>
      <c r="IL82" s="542"/>
      <c r="IM82" s="542"/>
      <c r="IN82" s="542"/>
      <c r="IO82" s="542"/>
      <c r="IP82" s="542"/>
      <c r="IQ82" s="542"/>
      <c r="IR82" s="542"/>
      <c r="IS82" s="542"/>
      <c r="IT82" s="542"/>
      <c r="IU82" s="542"/>
      <c r="IV82" s="542"/>
      <c r="IW82" s="542"/>
      <c r="IX82" s="542"/>
      <c r="IY82" s="542"/>
      <c r="IZ82" s="542"/>
      <c r="JA82" s="542"/>
      <c r="JB82" s="542"/>
      <c r="JC82" s="542"/>
      <c r="JD82" s="542"/>
      <c r="JE82" s="542"/>
      <c r="JF82" s="542"/>
      <c r="JG82" s="542"/>
      <c r="JH82" s="542"/>
      <c r="JI82" s="542"/>
      <c r="JJ82" s="542"/>
      <c r="JK82" s="542"/>
      <c r="JL82" s="542"/>
      <c r="JM82" s="542"/>
      <c r="JN82" s="542"/>
      <c r="JO82" s="542"/>
      <c r="JP82" s="542"/>
      <c r="JQ82" s="542"/>
      <c r="JR82" s="542"/>
      <c r="JS82" s="542"/>
      <c r="JT82" s="542"/>
      <c r="JU82" s="542"/>
      <c r="JV82" s="542"/>
      <c r="JW82" s="542"/>
      <c r="JX82" s="542"/>
      <c r="JY82" s="542"/>
      <c r="JZ82" s="542"/>
      <c r="KA82" s="542"/>
      <c r="KB82" s="542"/>
      <c r="KC82" s="542"/>
      <c r="KD82" s="542"/>
      <c r="KE82" s="542"/>
      <c r="KF82" s="542"/>
      <c r="KG82" s="542"/>
      <c r="KH82" s="542"/>
      <c r="KI82" s="542"/>
      <c r="KJ82" s="542"/>
      <c r="KK82" s="542"/>
      <c r="KL82" s="542"/>
      <c r="KM82" s="542"/>
      <c r="KN82" s="542"/>
      <c r="KO82" s="542"/>
      <c r="KP82" s="542"/>
      <c r="KQ82" s="542"/>
    </row>
    <row r="85" spans="1:303" x14ac:dyDescent="0.25">
      <c r="A85" s="264" t="str">
        <f>IF('GESTION DES JOUEURS'!$D$4="Cadre N1/N2","Cadre N1"&amp;'GESTION DES JOUEURS'!$G$4,'GESTION DES JOUEURS'!$D$4&amp;'GESTION DES JOUEURS'!$G$4)</f>
        <v>Libre R2Distance :</v>
      </c>
      <c r="B85" s="264" t="str" cm="1">
        <f t="array" ref="B85:KQ85">_xlfn.XLOOKUP(A85,$D$2:$D$77&amp;$F$2:$F$77,$U$2:$LJ$77)</f>
        <v>Ab.</v>
      </c>
      <c r="C85" s="264">
        <v>0</v>
      </c>
      <c r="D85" s="264">
        <v>1</v>
      </c>
      <c r="E85" s="264">
        <v>2</v>
      </c>
      <c r="F85" s="264">
        <v>3</v>
      </c>
      <c r="G85" s="264">
        <v>4</v>
      </c>
      <c r="H85" s="264">
        <v>5</v>
      </c>
      <c r="I85" s="264">
        <v>6</v>
      </c>
      <c r="J85" s="264">
        <v>7</v>
      </c>
      <c r="K85" s="264">
        <v>8</v>
      </c>
      <c r="L85" s="264">
        <v>9</v>
      </c>
      <c r="M85" s="264">
        <v>10</v>
      </c>
      <c r="N85" s="264">
        <v>11</v>
      </c>
      <c r="O85" s="264">
        <v>12</v>
      </c>
      <c r="P85" s="264">
        <v>13</v>
      </c>
      <c r="Q85" s="264">
        <v>14</v>
      </c>
      <c r="R85" s="264">
        <v>15</v>
      </c>
      <c r="S85" s="264">
        <v>16</v>
      </c>
      <c r="T85" s="264">
        <v>17</v>
      </c>
      <c r="U85" s="264">
        <v>18</v>
      </c>
      <c r="V85" s="264">
        <v>19</v>
      </c>
      <c r="W85" s="264">
        <v>20</v>
      </c>
      <c r="X85" s="264">
        <v>21</v>
      </c>
      <c r="Y85" s="264">
        <v>22</v>
      </c>
      <c r="Z85" s="264">
        <v>23</v>
      </c>
      <c r="AA85" s="264">
        <v>24</v>
      </c>
      <c r="AB85" s="264">
        <v>25</v>
      </c>
      <c r="AC85" s="264">
        <v>26</v>
      </c>
      <c r="AD85" s="264">
        <v>27</v>
      </c>
      <c r="AE85" s="264">
        <v>28</v>
      </c>
      <c r="AF85" s="264">
        <v>29</v>
      </c>
      <c r="AG85" s="264">
        <v>30</v>
      </c>
      <c r="AH85" s="264">
        <v>31</v>
      </c>
      <c r="AI85" s="264">
        <v>32</v>
      </c>
      <c r="AJ85" s="264">
        <v>33</v>
      </c>
      <c r="AK85" s="264">
        <v>34</v>
      </c>
      <c r="AL85" s="264">
        <v>35</v>
      </c>
      <c r="AM85" s="264">
        <v>36</v>
      </c>
      <c r="AN85" s="264">
        <v>37</v>
      </c>
      <c r="AO85" s="264">
        <v>38</v>
      </c>
      <c r="AP85" s="264">
        <v>39</v>
      </c>
      <c r="AQ85" s="264">
        <v>40</v>
      </c>
      <c r="AR85" s="264">
        <v>41</v>
      </c>
      <c r="AS85" s="264">
        <v>42</v>
      </c>
      <c r="AT85" s="264">
        <v>43</v>
      </c>
      <c r="AU85" s="264">
        <v>44</v>
      </c>
      <c r="AV85" s="264">
        <v>45</v>
      </c>
      <c r="AW85" s="264">
        <v>46</v>
      </c>
      <c r="AX85" s="264">
        <v>47</v>
      </c>
      <c r="AY85" s="264">
        <v>48</v>
      </c>
      <c r="AZ85" s="264">
        <v>49</v>
      </c>
      <c r="BA85" s="264">
        <v>50</v>
      </c>
      <c r="BB85" s="264">
        <v>51</v>
      </c>
      <c r="BC85" s="264">
        <v>52</v>
      </c>
      <c r="BD85" s="264">
        <v>53</v>
      </c>
      <c r="BE85" s="264">
        <v>54</v>
      </c>
      <c r="BF85" s="264">
        <v>55</v>
      </c>
      <c r="BG85" s="264">
        <v>56</v>
      </c>
      <c r="BH85" s="264">
        <v>57</v>
      </c>
      <c r="BI85" s="264">
        <v>58</v>
      </c>
      <c r="BJ85" s="264">
        <v>59</v>
      </c>
      <c r="BK85" s="264">
        <v>60</v>
      </c>
      <c r="BL85" s="264">
        <v>61</v>
      </c>
      <c r="BM85" s="264">
        <v>62</v>
      </c>
      <c r="BN85" s="264">
        <v>63</v>
      </c>
      <c r="BO85" s="264">
        <v>64</v>
      </c>
      <c r="BP85" s="264">
        <v>65</v>
      </c>
      <c r="BQ85" s="264">
        <v>66</v>
      </c>
      <c r="BR85" s="264">
        <v>67</v>
      </c>
      <c r="BS85" s="264">
        <v>68</v>
      </c>
      <c r="BT85" s="264">
        <v>69</v>
      </c>
      <c r="BU85" s="264">
        <v>70</v>
      </c>
      <c r="BV85" s="264">
        <v>71</v>
      </c>
      <c r="BW85" s="264">
        <v>72</v>
      </c>
      <c r="BX85" s="264">
        <v>73</v>
      </c>
      <c r="BY85" s="264">
        <v>74</v>
      </c>
      <c r="BZ85" s="264">
        <v>75</v>
      </c>
      <c r="CA85" s="264">
        <v>76</v>
      </c>
      <c r="CB85" s="264">
        <v>77</v>
      </c>
      <c r="CC85" s="264">
        <v>78</v>
      </c>
      <c r="CD85" s="264">
        <v>79</v>
      </c>
      <c r="CE85" s="264">
        <v>80</v>
      </c>
      <c r="CF85" s="264">
        <v>81</v>
      </c>
      <c r="CG85" s="264">
        <v>82</v>
      </c>
      <c r="CH85" s="264">
        <v>83</v>
      </c>
      <c r="CI85" s="264">
        <v>84</v>
      </c>
      <c r="CJ85" s="264">
        <v>85</v>
      </c>
      <c r="CK85" s="264">
        <v>86</v>
      </c>
      <c r="CL85" s="264">
        <v>87</v>
      </c>
      <c r="CM85" s="264">
        <v>88</v>
      </c>
      <c r="CN85" s="264">
        <v>89</v>
      </c>
      <c r="CO85" s="264">
        <v>90</v>
      </c>
      <c r="CP85" s="264">
        <v>91</v>
      </c>
      <c r="CQ85" s="264">
        <v>92</v>
      </c>
      <c r="CR85" s="264">
        <v>93</v>
      </c>
      <c r="CS85" s="264">
        <v>94</v>
      </c>
      <c r="CT85" s="264">
        <v>95</v>
      </c>
      <c r="CU85" s="264">
        <v>96</v>
      </c>
      <c r="CV85" s="264">
        <v>97</v>
      </c>
      <c r="CW85" s="264">
        <v>98</v>
      </c>
      <c r="CX85" s="264">
        <v>99</v>
      </c>
      <c r="CY85" s="264">
        <v>100</v>
      </c>
      <c r="CZ85" s="264">
        <v>100</v>
      </c>
      <c r="DA85" s="264">
        <v>100</v>
      </c>
      <c r="DB85" s="264">
        <v>100</v>
      </c>
      <c r="DC85" s="264">
        <v>100</v>
      </c>
      <c r="DD85" s="264">
        <v>100</v>
      </c>
      <c r="DE85" s="264">
        <v>100</v>
      </c>
      <c r="DF85" s="264">
        <v>100</v>
      </c>
      <c r="DG85" s="264">
        <v>100</v>
      </c>
      <c r="DH85" s="264">
        <v>100</v>
      </c>
      <c r="DI85" s="264">
        <v>100</v>
      </c>
      <c r="DJ85" s="264">
        <v>100</v>
      </c>
      <c r="DK85" s="264">
        <v>100</v>
      </c>
      <c r="DL85" s="264">
        <v>100</v>
      </c>
      <c r="DM85" s="264">
        <v>100</v>
      </c>
      <c r="DN85" s="264">
        <v>100</v>
      </c>
      <c r="DO85" s="264">
        <v>100</v>
      </c>
      <c r="DP85" s="264">
        <v>100</v>
      </c>
      <c r="DQ85" s="264">
        <v>100</v>
      </c>
      <c r="DR85" s="264">
        <v>100</v>
      </c>
      <c r="DS85" s="264">
        <v>100</v>
      </c>
      <c r="DT85" s="264">
        <v>100</v>
      </c>
      <c r="DU85" s="264">
        <v>100</v>
      </c>
      <c r="DV85" s="264">
        <v>100</v>
      </c>
      <c r="DW85" s="264">
        <v>100</v>
      </c>
      <c r="DX85" s="264">
        <v>100</v>
      </c>
      <c r="DY85" s="264">
        <v>100</v>
      </c>
      <c r="DZ85" s="264">
        <v>100</v>
      </c>
      <c r="EA85" s="264">
        <v>100</v>
      </c>
      <c r="EB85" s="264">
        <v>100</v>
      </c>
      <c r="EC85" s="264">
        <v>100</v>
      </c>
      <c r="ED85" s="264">
        <v>100</v>
      </c>
      <c r="EE85" s="264">
        <v>100</v>
      </c>
      <c r="EF85" s="264">
        <v>100</v>
      </c>
      <c r="EG85" s="264">
        <v>100</v>
      </c>
      <c r="EH85" s="264">
        <v>100</v>
      </c>
      <c r="EI85" s="264">
        <v>100</v>
      </c>
      <c r="EJ85" s="264">
        <v>100</v>
      </c>
      <c r="EK85" s="264">
        <v>100</v>
      </c>
      <c r="EL85" s="264">
        <v>100</v>
      </c>
      <c r="EM85" s="264">
        <v>100</v>
      </c>
      <c r="EN85" s="264">
        <v>100</v>
      </c>
      <c r="EO85" s="264">
        <v>100</v>
      </c>
      <c r="EP85" s="264">
        <v>100</v>
      </c>
      <c r="EQ85" s="264">
        <v>100</v>
      </c>
      <c r="ER85" s="264">
        <v>100</v>
      </c>
      <c r="ES85" s="264">
        <v>100</v>
      </c>
      <c r="ET85" s="264">
        <v>100</v>
      </c>
      <c r="EU85" s="264">
        <v>100</v>
      </c>
      <c r="EV85" s="264">
        <v>100</v>
      </c>
      <c r="EW85" s="264">
        <v>100</v>
      </c>
      <c r="EX85" s="264">
        <v>100</v>
      </c>
      <c r="EY85" s="264">
        <v>100</v>
      </c>
      <c r="EZ85" s="264">
        <v>100</v>
      </c>
      <c r="FA85" s="264">
        <v>100</v>
      </c>
      <c r="FB85" s="264">
        <v>100</v>
      </c>
      <c r="FC85" s="264">
        <v>100</v>
      </c>
      <c r="FD85" s="264">
        <v>100</v>
      </c>
      <c r="FE85" s="264">
        <v>100</v>
      </c>
      <c r="FF85" s="264">
        <v>100</v>
      </c>
      <c r="FG85" s="264">
        <v>100</v>
      </c>
      <c r="FH85" s="264">
        <v>100</v>
      </c>
      <c r="FI85" s="264">
        <v>100</v>
      </c>
      <c r="FJ85" s="264">
        <v>100</v>
      </c>
      <c r="FK85" s="264">
        <v>100</v>
      </c>
      <c r="FL85" s="264">
        <v>100</v>
      </c>
      <c r="FM85" s="264">
        <v>100</v>
      </c>
      <c r="FN85" s="264">
        <v>100</v>
      </c>
      <c r="FO85" s="264">
        <v>100</v>
      </c>
      <c r="FP85" s="264">
        <v>100</v>
      </c>
      <c r="FQ85" s="264">
        <v>100</v>
      </c>
      <c r="FR85" s="264">
        <v>100</v>
      </c>
      <c r="FS85" s="264">
        <v>100</v>
      </c>
      <c r="FT85" s="264">
        <v>100</v>
      </c>
      <c r="FU85" s="264">
        <v>100</v>
      </c>
      <c r="FV85" s="264">
        <v>100</v>
      </c>
      <c r="FW85" s="264">
        <v>100</v>
      </c>
      <c r="FX85" s="264">
        <v>100</v>
      </c>
      <c r="FY85" s="264">
        <v>100</v>
      </c>
      <c r="FZ85" s="264">
        <v>100</v>
      </c>
      <c r="GA85" s="264">
        <v>100</v>
      </c>
      <c r="GB85" s="264">
        <v>100</v>
      </c>
      <c r="GC85" s="264">
        <v>100</v>
      </c>
      <c r="GD85" s="264">
        <v>100</v>
      </c>
      <c r="GE85" s="264">
        <v>100</v>
      </c>
      <c r="GF85" s="264">
        <v>100</v>
      </c>
      <c r="GG85" s="264">
        <v>100</v>
      </c>
      <c r="GH85" s="264">
        <v>100</v>
      </c>
      <c r="GI85" s="264">
        <v>100</v>
      </c>
      <c r="GJ85" s="264">
        <v>100</v>
      </c>
      <c r="GK85" s="264">
        <v>100</v>
      </c>
      <c r="GL85" s="264">
        <v>100</v>
      </c>
      <c r="GM85" s="264">
        <v>100</v>
      </c>
      <c r="GN85" s="264">
        <v>100</v>
      </c>
      <c r="GO85" s="264">
        <v>100</v>
      </c>
      <c r="GP85" s="264">
        <v>100</v>
      </c>
      <c r="GQ85" s="264">
        <v>100</v>
      </c>
      <c r="GR85" s="264">
        <v>100</v>
      </c>
      <c r="GS85" s="264">
        <v>100</v>
      </c>
      <c r="GT85" s="264">
        <v>100</v>
      </c>
      <c r="GU85" s="264">
        <v>100</v>
      </c>
      <c r="GV85" s="264">
        <v>100</v>
      </c>
      <c r="GW85" s="264">
        <v>100</v>
      </c>
      <c r="GX85" s="264">
        <v>100</v>
      </c>
      <c r="GY85" s="264">
        <v>100</v>
      </c>
      <c r="GZ85" s="264">
        <v>100</v>
      </c>
      <c r="HA85" s="264">
        <v>100</v>
      </c>
      <c r="HB85" s="264">
        <v>100</v>
      </c>
      <c r="HC85" s="264">
        <v>100</v>
      </c>
      <c r="HD85" s="264">
        <v>100</v>
      </c>
      <c r="HE85" s="264">
        <v>100</v>
      </c>
      <c r="HF85" s="264">
        <v>100</v>
      </c>
      <c r="HG85" s="264">
        <v>100</v>
      </c>
      <c r="HH85" s="264">
        <v>100</v>
      </c>
      <c r="HI85" s="264">
        <v>100</v>
      </c>
      <c r="HJ85" s="264">
        <v>100</v>
      </c>
      <c r="HK85" s="264">
        <v>100</v>
      </c>
      <c r="HL85" s="264">
        <v>100</v>
      </c>
      <c r="HM85" s="264">
        <v>100</v>
      </c>
      <c r="HN85" s="264">
        <v>100</v>
      </c>
      <c r="HO85" s="264">
        <v>100</v>
      </c>
      <c r="HP85" s="264">
        <v>100</v>
      </c>
      <c r="HQ85" s="264">
        <v>100</v>
      </c>
      <c r="HR85" s="264">
        <v>100</v>
      </c>
      <c r="HS85" s="264">
        <v>100</v>
      </c>
      <c r="HT85" s="264">
        <v>100</v>
      </c>
      <c r="HU85" s="264">
        <v>100</v>
      </c>
      <c r="HV85" s="264">
        <v>100</v>
      </c>
      <c r="HW85" s="264">
        <v>100</v>
      </c>
      <c r="HX85" s="264">
        <v>100</v>
      </c>
      <c r="HY85" s="264">
        <v>100</v>
      </c>
      <c r="HZ85" s="264">
        <v>100</v>
      </c>
      <c r="IA85" s="264">
        <v>100</v>
      </c>
      <c r="IB85" s="264">
        <v>100</v>
      </c>
      <c r="IC85" s="264">
        <v>100</v>
      </c>
      <c r="ID85" s="264">
        <v>100</v>
      </c>
      <c r="IE85" s="264">
        <v>100</v>
      </c>
      <c r="IF85" s="264">
        <v>100</v>
      </c>
      <c r="IG85" s="264">
        <v>100</v>
      </c>
      <c r="IH85" s="264">
        <v>100</v>
      </c>
      <c r="II85" s="264">
        <v>100</v>
      </c>
      <c r="IJ85" s="264">
        <v>100</v>
      </c>
      <c r="IK85" s="264">
        <v>100</v>
      </c>
      <c r="IL85" s="264">
        <v>100</v>
      </c>
      <c r="IM85" s="264">
        <v>100</v>
      </c>
      <c r="IN85" s="264">
        <v>100</v>
      </c>
      <c r="IO85" s="264">
        <v>100</v>
      </c>
      <c r="IP85" s="264">
        <v>100</v>
      </c>
      <c r="IQ85" s="264">
        <v>100</v>
      </c>
      <c r="IR85" s="264">
        <v>100</v>
      </c>
      <c r="IS85" s="264">
        <v>100</v>
      </c>
      <c r="IT85" s="264">
        <v>100</v>
      </c>
      <c r="IU85" s="264">
        <v>100</v>
      </c>
      <c r="IV85" s="264">
        <v>100</v>
      </c>
      <c r="IW85" s="264">
        <v>100</v>
      </c>
      <c r="IX85" s="264">
        <v>100</v>
      </c>
      <c r="IY85" s="264">
        <v>100</v>
      </c>
      <c r="IZ85" s="264">
        <v>100</v>
      </c>
      <c r="JA85" s="264">
        <v>100</v>
      </c>
      <c r="JB85" s="264">
        <v>100</v>
      </c>
      <c r="JC85" s="264">
        <v>100</v>
      </c>
      <c r="JD85" s="264">
        <v>100</v>
      </c>
      <c r="JE85" s="264">
        <v>100</v>
      </c>
      <c r="JF85" s="264">
        <v>100</v>
      </c>
      <c r="JG85" s="264">
        <v>100</v>
      </c>
      <c r="JH85" s="264">
        <v>100</v>
      </c>
      <c r="JI85" s="264">
        <v>100</v>
      </c>
      <c r="JJ85" s="264">
        <v>100</v>
      </c>
      <c r="JK85" s="264">
        <v>100</v>
      </c>
      <c r="JL85" s="264">
        <v>100</v>
      </c>
      <c r="JM85" s="264">
        <v>100</v>
      </c>
      <c r="JN85" s="264">
        <v>100</v>
      </c>
      <c r="JO85" s="264">
        <v>100</v>
      </c>
      <c r="JP85" s="264">
        <v>100</v>
      </c>
      <c r="JQ85" s="264">
        <v>100</v>
      </c>
      <c r="JR85" s="264">
        <v>100</v>
      </c>
      <c r="JS85" s="264">
        <v>100</v>
      </c>
      <c r="JT85" s="264">
        <v>100</v>
      </c>
      <c r="JU85" s="264">
        <v>100</v>
      </c>
      <c r="JV85" s="264">
        <v>100</v>
      </c>
      <c r="JW85" s="264">
        <v>100</v>
      </c>
      <c r="JX85" s="264">
        <v>100</v>
      </c>
      <c r="JY85" s="264">
        <v>100</v>
      </c>
      <c r="JZ85" s="264">
        <v>100</v>
      </c>
      <c r="KA85" s="264">
        <v>100</v>
      </c>
      <c r="KB85" s="264">
        <v>100</v>
      </c>
      <c r="KC85" s="264">
        <v>100</v>
      </c>
      <c r="KD85" s="264">
        <v>100</v>
      </c>
      <c r="KE85" s="264">
        <v>100</v>
      </c>
      <c r="KF85" s="264">
        <v>100</v>
      </c>
      <c r="KG85" s="264">
        <v>100</v>
      </c>
      <c r="KH85" s="264">
        <v>100</v>
      </c>
      <c r="KI85" s="264">
        <v>100</v>
      </c>
      <c r="KJ85" s="264">
        <v>100</v>
      </c>
      <c r="KK85" s="264">
        <v>100</v>
      </c>
      <c r="KL85" s="264">
        <v>100</v>
      </c>
      <c r="KM85" s="264">
        <v>100</v>
      </c>
      <c r="KN85" s="264">
        <v>100</v>
      </c>
      <c r="KO85" s="264">
        <v>100</v>
      </c>
      <c r="KP85" s="264">
        <v>100</v>
      </c>
      <c r="KQ85" s="264">
        <v>100</v>
      </c>
    </row>
    <row r="86" spans="1:303" x14ac:dyDescent="0.25">
      <c r="A86" s="264"/>
      <c r="B86" s="264" cm="1">
        <f t="array" ref="B86:CW86">_xlfn.XLOOKUP(A85,$D$2:$D$77&amp;$F$2:$F$77,$LL$2:$PG$77)</f>
        <v>1</v>
      </c>
      <c r="C86" s="264">
        <v>2</v>
      </c>
      <c r="D86" s="264">
        <v>3</v>
      </c>
      <c r="E86" s="264">
        <v>4</v>
      </c>
      <c r="F86" s="264">
        <v>5</v>
      </c>
      <c r="G86" s="264">
        <v>6</v>
      </c>
      <c r="H86" s="264">
        <v>7</v>
      </c>
      <c r="I86" s="264">
        <v>8</v>
      </c>
      <c r="J86" s="264">
        <v>9</v>
      </c>
      <c r="K86" s="264">
        <v>10</v>
      </c>
      <c r="L86" s="264">
        <v>11</v>
      </c>
      <c r="M86" s="264">
        <v>12</v>
      </c>
      <c r="N86" s="264">
        <v>13</v>
      </c>
      <c r="O86" s="264">
        <v>14</v>
      </c>
      <c r="P86" s="264">
        <v>15</v>
      </c>
      <c r="Q86" s="264">
        <v>16</v>
      </c>
      <c r="R86" s="264">
        <v>17</v>
      </c>
      <c r="S86" s="264">
        <v>18</v>
      </c>
      <c r="T86" s="264">
        <v>19</v>
      </c>
      <c r="U86" s="264">
        <v>20</v>
      </c>
      <c r="V86" s="264">
        <v>21</v>
      </c>
      <c r="W86" s="264">
        <v>22</v>
      </c>
      <c r="X86" s="264">
        <v>23</v>
      </c>
      <c r="Y86" s="264">
        <v>24</v>
      </c>
      <c r="Z86" s="264">
        <v>25</v>
      </c>
      <c r="AA86" s="264">
        <v>26</v>
      </c>
      <c r="AB86" s="264">
        <v>27</v>
      </c>
      <c r="AC86" s="264">
        <v>28</v>
      </c>
      <c r="AD86" s="264">
        <v>29</v>
      </c>
      <c r="AE86" s="264">
        <v>30</v>
      </c>
      <c r="AF86" s="264">
        <v>31</v>
      </c>
      <c r="AG86" s="264">
        <v>32</v>
      </c>
      <c r="AH86" s="264">
        <v>33</v>
      </c>
      <c r="AI86" s="264">
        <v>34</v>
      </c>
      <c r="AJ86" s="264">
        <v>35</v>
      </c>
      <c r="AK86" s="264">
        <v>36</v>
      </c>
      <c r="AL86" s="264">
        <v>37</v>
      </c>
      <c r="AM86" s="264">
        <v>38</v>
      </c>
      <c r="AN86" s="264">
        <v>39</v>
      </c>
      <c r="AO86" s="264">
        <v>40</v>
      </c>
      <c r="AP86" s="264">
        <v>40</v>
      </c>
      <c r="AQ86" s="264">
        <v>40</v>
      </c>
      <c r="AR86" s="264">
        <v>40</v>
      </c>
      <c r="AS86" s="264">
        <v>40</v>
      </c>
      <c r="AT86" s="264">
        <v>40</v>
      </c>
      <c r="AU86" s="264">
        <v>40</v>
      </c>
      <c r="AV86" s="264">
        <v>40</v>
      </c>
      <c r="AW86" s="264">
        <v>40</v>
      </c>
      <c r="AX86" s="264">
        <v>40</v>
      </c>
      <c r="AY86" s="264">
        <v>40</v>
      </c>
      <c r="AZ86" s="264">
        <v>40</v>
      </c>
      <c r="BA86" s="264">
        <v>40</v>
      </c>
      <c r="BB86" s="264">
        <v>40</v>
      </c>
      <c r="BC86" s="264">
        <v>40</v>
      </c>
      <c r="BD86" s="264">
        <v>40</v>
      </c>
      <c r="BE86" s="264">
        <v>40</v>
      </c>
      <c r="BF86" s="264">
        <v>40</v>
      </c>
      <c r="BG86" s="264">
        <v>40</v>
      </c>
      <c r="BH86" s="264">
        <v>40</v>
      </c>
      <c r="BI86" s="264">
        <v>40</v>
      </c>
      <c r="BJ86" s="264">
        <v>40</v>
      </c>
      <c r="BK86" s="264">
        <v>40</v>
      </c>
      <c r="BL86" s="264">
        <v>40</v>
      </c>
      <c r="BM86" s="264">
        <v>40</v>
      </c>
      <c r="BN86" s="264">
        <v>40</v>
      </c>
      <c r="BO86" s="264">
        <v>40</v>
      </c>
      <c r="BP86" s="264">
        <v>40</v>
      </c>
      <c r="BQ86" s="264">
        <v>40</v>
      </c>
      <c r="BR86" s="264">
        <v>40</v>
      </c>
      <c r="BS86" s="264">
        <v>40</v>
      </c>
      <c r="BT86" s="264">
        <v>40</v>
      </c>
      <c r="BU86" s="264">
        <v>40</v>
      </c>
      <c r="BV86" s="264">
        <v>40</v>
      </c>
      <c r="BW86" s="264">
        <v>40</v>
      </c>
      <c r="BX86" s="264">
        <v>40</v>
      </c>
      <c r="BY86" s="264">
        <v>40</v>
      </c>
      <c r="BZ86" s="264">
        <v>40</v>
      </c>
      <c r="CA86" s="264">
        <v>40</v>
      </c>
      <c r="CB86" s="264">
        <v>40</v>
      </c>
      <c r="CC86" s="264">
        <v>40</v>
      </c>
      <c r="CD86" s="264">
        <v>40</v>
      </c>
      <c r="CE86" s="264">
        <v>40</v>
      </c>
      <c r="CF86" s="264">
        <v>40</v>
      </c>
      <c r="CG86" s="264">
        <v>40</v>
      </c>
      <c r="CH86" s="264">
        <v>40</v>
      </c>
      <c r="CI86" s="264">
        <v>40</v>
      </c>
      <c r="CJ86" s="264">
        <v>40</v>
      </c>
      <c r="CK86" s="264">
        <v>40</v>
      </c>
      <c r="CL86" s="264">
        <v>40</v>
      </c>
      <c r="CM86" s="264">
        <v>40</v>
      </c>
      <c r="CN86" s="264">
        <v>40</v>
      </c>
      <c r="CO86" s="264">
        <v>40</v>
      </c>
      <c r="CP86" s="264">
        <v>40</v>
      </c>
      <c r="CQ86" s="264">
        <v>40</v>
      </c>
      <c r="CR86" s="264">
        <v>40</v>
      </c>
      <c r="CS86" s="264">
        <v>40</v>
      </c>
      <c r="CT86" s="264">
        <v>40</v>
      </c>
      <c r="CU86" s="264">
        <v>40</v>
      </c>
      <c r="CV86" s="264">
        <v>40</v>
      </c>
      <c r="CW86" s="264">
        <v>40</v>
      </c>
      <c r="CX86" s="264"/>
      <c r="CY86" s="264"/>
      <c r="CZ86" s="264"/>
      <c r="DA86" s="264"/>
      <c r="DB86" s="264"/>
      <c r="DC86" s="264"/>
      <c r="DD86" s="264"/>
      <c r="DE86" s="264"/>
      <c r="DF86" s="264"/>
      <c r="DG86" s="264"/>
      <c r="DH86" s="264"/>
      <c r="DI86" s="264"/>
      <c r="DJ86" s="264"/>
      <c r="DK86" s="264"/>
      <c r="DL86" s="264"/>
      <c r="DM86" s="264"/>
      <c r="DN86" s="264"/>
      <c r="DO86" s="264"/>
      <c r="DP86" s="264"/>
      <c r="DQ86" s="264"/>
      <c r="DR86" s="264"/>
      <c r="DS86" s="264"/>
      <c r="DT86" s="264"/>
      <c r="DU86" s="264"/>
      <c r="DV86" s="264"/>
      <c r="DW86" s="264"/>
      <c r="DX86" s="264"/>
      <c r="DY86" s="264"/>
      <c r="DZ86" s="264"/>
      <c r="EA86" s="264"/>
      <c r="EB86" s="264"/>
      <c r="EC86" s="264"/>
      <c r="ED86" s="264"/>
      <c r="EE86" s="264"/>
      <c r="EF86" s="264"/>
      <c r="EG86" s="264"/>
      <c r="EH86" s="264"/>
      <c r="EI86" s="264"/>
      <c r="EJ86" s="264"/>
      <c r="EK86" s="264"/>
      <c r="EL86" s="264"/>
      <c r="EM86" s="264"/>
      <c r="EN86" s="264"/>
      <c r="EO86" s="264"/>
      <c r="EP86" s="264"/>
      <c r="EQ86" s="264"/>
      <c r="ER86" s="264"/>
      <c r="ES86" s="264"/>
      <c r="ET86" s="264"/>
      <c r="EU86" s="264"/>
      <c r="EV86" s="264"/>
      <c r="EW86" s="264"/>
      <c r="EX86" s="264"/>
      <c r="EY86" s="264"/>
      <c r="EZ86" s="264"/>
      <c r="FA86" s="264"/>
      <c r="FB86" s="264"/>
      <c r="FC86" s="264"/>
      <c r="FD86" s="264"/>
      <c r="FE86" s="264"/>
      <c r="FF86" s="264"/>
      <c r="FG86" s="264"/>
      <c r="FH86" s="264"/>
      <c r="FI86" s="264"/>
      <c r="FJ86" s="264"/>
      <c r="FK86" s="264"/>
      <c r="FL86" s="264"/>
      <c r="FM86" s="264"/>
      <c r="FN86" s="264"/>
      <c r="FO86" s="264"/>
      <c r="FP86" s="264"/>
      <c r="FQ86" s="264"/>
      <c r="FR86" s="264"/>
      <c r="FS86" s="264"/>
      <c r="FT86" s="264"/>
      <c r="FU86" s="264"/>
      <c r="FV86" s="264"/>
      <c r="FW86" s="264"/>
      <c r="FX86" s="264"/>
      <c r="FY86" s="264"/>
      <c r="FZ86" s="264"/>
      <c r="GA86" s="264"/>
      <c r="GB86" s="264"/>
      <c r="GC86" s="264"/>
      <c r="GD86" s="264"/>
      <c r="GE86" s="264"/>
      <c r="GF86" s="264"/>
      <c r="GG86" s="264"/>
      <c r="GH86" s="264"/>
      <c r="GI86" s="264"/>
      <c r="GJ86" s="264"/>
      <c r="GK86" s="264"/>
      <c r="GL86" s="264"/>
      <c r="GM86" s="264"/>
      <c r="GN86" s="264"/>
      <c r="GO86" s="264"/>
      <c r="GP86" s="264"/>
      <c r="GQ86" s="264"/>
      <c r="GR86" s="264"/>
      <c r="GS86" s="264"/>
      <c r="GT86" s="264"/>
      <c r="GU86" s="264"/>
      <c r="GV86" s="264"/>
      <c r="GW86" s="264"/>
      <c r="GX86" s="264"/>
      <c r="GY86" s="264"/>
      <c r="GZ86" s="264"/>
      <c r="HA86" s="264"/>
      <c r="HB86" s="264"/>
      <c r="HC86" s="264"/>
      <c r="HD86" s="264"/>
      <c r="HE86" s="264"/>
      <c r="HF86" s="264"/>
      <c r="HG86" s="264"/>
      <c r="HH86" s="264"/>
      <c r="HI86" s="264"/>
      <c r="HJ86" s="264"/>
      <c r="HK86" s="264"/>
      <c r="HL86" s="264"/>
      <c r="HM86" s="264"/>
      <c r="HN86" s="264"/>
      <c r="HO86" s="264"/>
      <c r="HP86" s="264"/>
      <c r="HQ86" s="264"/>
      <c r="HR86" s="264"/>
      <c r="HS86" s="264"/>
      <c r="HT86" s="264"/>
      <c r="HU86" s="264"/>
      <c r="HV86" s="264"/>
      <c r="HW86" s="264"/>
      <c r="HX86" s="264"/>
      <c r="HY86" s="264"/>
      <c r="HZ86" s="264"/>
      <c r="IA86" s="264"/>
      <c r="IB86" s="264"/>
      <c r="IC86" s="264"/>
      <c r="ID86" s="264"/>
      <c r="IE86" s="264"/>
      <c r="IF86" s="264"/>
      <c r="IG86" s="264"/>
      <c r="IH86" s="264"/>
      <c r="II86" s="264"/>
      <c r="IJ86" s="264"/>
      <c r="IK86" s="264"/>
      <c r="IL86" s="264"/>
      <c r="IM86" s="264"/>
      <c r="IN86" s="264"/>
      <c r="IO86" s="264"/>
      <c r="IP86" s="264"/>
      <c r="IQ86" s="264"/>
      <c r="IR86" s="264"/>
      <c r="IS86" s="264"/>
      <c r="IT86" s="264"/>
      <c r="IU86" s="264"/>
      <c r="IV86" s="264"/>
      <c r="IW86" s="264"/>
      <c r="IX86" s="264"/>
      <c r="IY86" s="264"/>
      <c r="IZ86" s="264"/>
      <c r="JA86" s="264"/>
      <c r="JB86" s="264"/>
      <c r="JC86" s="264"/>
      <c r="JD86" s="264"/>
      <c r="JE86" s="264"/>
      <c r="JF86" s="264"/>
      <c r="JG86" s="264"/>
      <c r="JH86" s="264"/>
      <c r="JI86" s="264"/>
      <c r="JJ86" s="264"/>
      <c r="JK86" s="264"/>
      <c r="JL86" s="264"/>
      <c r="JM86" s="264"/>
      <c r="JN86" s="264"/>
      <c r="JO86" s="264"/>
      <c r="JP86" s="264"/>
      <c r="JQ86" s="264"/>
      <c r="JR86" s="264"/>
      <c r="JS86" s="264"/>
      <c r="JT86" s="264"/>
      <c r="JU86" s="264"/>
      <c r="JV86" s="264"/>
      <c r="JW86" s="264"/>
      <c r="JX86" s="264"/>
      <c r="JY86" s="264"/>
      <c r="JZ86" s="264"/>
      <c r="KA86" s="264"/>
      <c r="KB86" s="264"/>
      <c r="KC86" s="264"/>
      <c r="KD86" s="264"/>
      <c r="KE86" s="264"/>
      <c r="KF86" s="264"/>
      <c r="KG86" s="264"/>
      <c r="KH86" s="264"/>
      <c r="KI86" s="264"/>
      <c r="KJ86" s="264"/>
      <c r="KK86" s="264"/>
      <c r="KL86" s="264"/>
      <c r="KM86" s="264"/>
      <c r="KN86" s="264"/>
      <c r="KO86" s="264"/>
      <c r="KP86" s="264"/>
      <c r="KQ86" s="264"/>
    </row>
    <row r="87" spans="1:303" x14ac:dyDescent="0.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264"/>
      <c r="BE87" s="264"/>
      <c r="BF87" s="264"/>
      <c r="BG87" s="264"/>
      <c r="BH87" s="264"/>
      <c r="BI87" s="264"/>
      <c r="BJ87" s="264"/>
      <c r="BK87" s="264"/>
      <c r="BL87" s="264"/>
      <c r="BM87" s="264"/>
      <c r="BN87" s="264"/>
      <c r="BO87" s="264"/>
      <c r="BP87" s="264"/>
      <c r="BQ87" s="264"/>
      <c r="BR87" s="264"/>
      <c r="BS87" s="264"/>
      <c r="BT87" s="264"/>
      <c r="BU87" s="264"/>
      <c r="BV87" s="264"/>
      <c r="BW87" s="264"/>
      <c r="BX87" s="264"/>
      <c r="BY87" s="264"/>
      <c r="BZ87" s="264"/>
      <c r="CA87" s="264"/>
      <c r="CB87" s="264"/>
      <c r="CC87" s="264"/>
      <c r="CD87" s="264"/>
      <c r="CE87" s="264"/>
      <c r="CF87" s="264"/>
      <c r="CG87" s="264"/>
      <c r="CH87" s="264"/>
      <c r="CI87" s="264"/>
      <c r="CJ87" s="264"/>
      <c r="CK87" s="264"/>
      <c r="CL87" s="264"/>
      <c r="CM87" s="264"/>
      <c r="CN87" s="264"/>
      <c r="CO87" s="264"/>
      <c r="CP87" s="264"/>
      <c r="CQ87" s="264"/>
      <c r="CR87" s="264"/>
      <c r="CS87" s="264"/>
      <c r="CT87" s="264"/>
      <c r="CU87" s="264"/>
      <c r="CV87" s="264"/>
      <c r="CW87" s="264"/>
      <c r="CX87" s="264"/>
      <c r="CY87" s="264"/>
      <c r="CZ87" s="264"/>
      <c r="DA87" s="264"/>
      <c r="DB87" s="264"/>
      <c r="DC87" s="264"/>
      <c r="DD87" s="264"/>
      <c r="DE87" s="264"/>
      <c r="DF87" s="264"/>
      <c r="DG87" s="264"/>
      <c r="DH87" s="264"/>
      <c r="DI87" s="264"/>
      <c r="DJ87" s="264"/>
      <c r="DK87" s="264"/>
      <c r="DL87" s="264"/>
      <c r="DM87" s="264"/>
      <c r="DN87" s="264"/>
      <c r="DO87" s="264"/>
      <c r="DP87" s="264"/>
      <c r="DQ87" s="264"/>
      <c r="DR87" s="264"/>
      <c r="DS87" s="264"/>
      <c r="DT87" s="264"/>
      <c r="DU87" s="264"/>
      <c r="DV87" s="264"/>
      <c r="DW87" s="264"/>
      <c r="DX87" s="264"/>
      <c r="DY87" s="264"/>
      <c r="DZ87" s="264"/>
      <c r="EA87" s="264"/>
      <c r="EB87" s="264"/>
      <c r="EC87" s="264"/>
      <c r="ED87" s="264"/>
      <c r="EE87" s="264"/>
      <c r="EF87" s="264"/>
      <c r="EG87" s="264"/>
      <c r="EH87" s="264"/>
      <c r="EI87" s="264"/>
      <c r="EJ87" s="264"/>
      <c r="EK87" s="264"/>
      <c r="EL87" s="264"/>
      <c r="EM87" s="264"/>
      <c r="EN87" s="264"/>
      <c r="EO87" s="264"/>
      <c r="EP87" s="264"/>
      <c r="EQ87" s="264"/>
      <c r="ER87" s="264"/>
      <c r="ES87" s="264"/>
      <c r="ET87" s="264"/>
      <c r="EU87" s="264"/>
      <c r="EV87" s="264"/>
      <c r="EW87" s="264"/>
      <c r="EX87" s="264"/>
      <c r="EY87" s="264"/>
      <c r="EZ87" s="264"/>
      <c r="FA87" s="264"/>
      <c r="FB87" s="264"/>
      <c r="FC87" s="264"/>
      <c r="FD87" s="264"/>
      <c r="FE87" s="264"/>
      <c r="FF87" s="264"/>
      <c r="FG87" s="264"/>
      <c r="FH87" s="264"/>
      <c r="FI87" s="264"/>
      <c r="FJ87" s="264"/>
      <c r="FK87" s="264"/>
      <c r="FL87" s="264"/>
      <c r="FM87" s="264"/>
      <c r="FN87" s="264"/>
      <c r="FO87" s="264"/>
      <c r="FP87" s="264"/>
      <c r="FQ87" s="264"/>
      <c r="FR87" s="264"/>
      <c r="FS87" s="264"/>
      <c r="FT87" s="264"/>
      <c r="FU87" s="264"/>
      <c r="FV87" s="264"/>
      <c r="FW87" s="264"/>
      <c r="FX87" s="264"/>
      <c r="FY87" s="264"/>
      <c r="FZ87" s="264"/>
      <c r="GA87" s="264"/>
      <c r="GB87" s="264"/>
      <c r="GC87" s="264"/>
      <c r="GD87" s="264"/>
      <c r="GE87" s="264"/>
      <c r="GF87" s="264"/>
      <c r="GG87" s="264"/>
      <c r="GH87" s="264"/>
      <c r="GI87" s="264"/>
      <c r="GJ87" s="264"/>
      <c r="GK87" s="264"/>
      <c r="GL87" s="264"/>
      <c r="GM87" s="264"/>
      <c r="GN87" s="264"/>
      <c r="GO87" s="264"/>
      <c r="GP87" s="264"/>
      <c r="GQ87" s="264"/>
      <c r="GR87" s="264"/>
      <c r="GS87" s="264"/>
      <c r="GT87" s="264"/>
      <c r="GU87" s="264"/>
      <c r="GV87" s="264"/>
      <c r="GW87" s="264"/>
      <c r="GX87" s="264"/>
      <c r="GY87" s="264"/>
      <c r="GZ87" s="264"/>
      <c r="HA87" s="264"/>
      <c r="HB87" s="264"/>
      <c r="HC87" s="264"/>
      <c r="HD87" s="264"/>
      <c r="HE87" s="264"/>
      <c r="HF87" s="264"/>
      <c r="HG87" s="264"/>
      <c r="HH87" s="264"/>
      <c r="HI87" s="264"/>
      <c r="HJ87" s="264"/>
      <c r="HK87" s="264"/>
      <c r="HL87" s="264"/>
      <c r="HM87" s="264"/>
      <c r="HN87" s="264"/>
      <c r="HO87" s="264"/>
      <c r="HP87" s="264"/>
      <c r="HQ87" s="264"/>
      <c r="HR87" s="264"/>
      <c r="HS87" s="264"/>
      <c r="HT87" s="264"/>
      <c r="HU87" s="264"/>
      <c r="HV87" s="264"/>
      <c r="HW87" s="264"/>
      <c r="HX87" s="264"/>
      <c r="HY87" s="264"/>
      <c r="HZ87" s="264"/>
      <c r="IA87" s="264"/>
      <c r="IB87" s="264"/>
      <c r="IC87" s="264"/>
      <c r="ID87" s="264"/>
      <c r="IE87" s="264"/>
      <c r="IF87" s="264"/>
      <c r="IG87" s="264"/>
      <c r="IH87" s="264"/>
      <c r="II87" s="264"/>
      <c r="IJ87" s="264"/>
      <c r="IK87" s="264"/>
      <c r="IL87" s="264"/>
      <c r="IM87" s="264"/>
      <c r="IN87" s="264"/>
      <c r="IO87" s="264"/>
      <c r="IP87" s="264"/>
      <c r="IQ87" s="264"/>
      <c r="IR87" s="264"/>
      <c r="IS87" s="264"/>
      <c r="IT87" s="264"/>
      <c r="IU87" s="264"/>
      <c r="IV87" s="264"/>
      <c r="IW87" s="264"/>
      <c r="IX87" s="264"/>
      <c r="IY87" s="264"/>
      <c r="IZ87" s="264"/>
      <c r="JA87" s="264"/>
      <c r="JB87" s="264"/>
      <c r="JC87" s="264"/>
      <c r="JD87" s="264"/>
      <c r="JE87" s="264"/>
      <c r="JF87" s="264"/>
      <c r="JG87" s="264"/>
      <c r="JH87" s="264"/>
      <c r="JI87" s="264"/>
      <c r="JJ87" s="264"/>
      <c r="JK87" s="264"/>
      <c r="JL87" s="264"/>
      <c r="JM87" s="264"/>
      <c r="JN87" s="264"/>
      <c r="JO87" s="264"/>
      <c r="JP87" s="264"/>
      <c r="JQ87" s="264"/>
      <c r="JR87" s="264"/>
      <c r="JS87" s="264"/>
      <c r="JT87" s="264"/>
      <c r="JU87" s="264"/>
      <c r="JV87" s="264"/>
      <c r="JW87" s="264"/>
      <c r="JX87" s="264"/>
      <c r="JY87" s="264"/>
      <c r="JZ87" s="264"/>
      <c r="KA87" s="264"/>
      <c r="KB87" s="264"/>
      <c r="KC87" s="264"/>
      <c r="KD87" s="264"/>
      <c r="KE87" s="264"/>
      <c r="KF87" s="264"/>
      <c r="KG87" s="264"/>
      <c r="KH87" s="264"/>
      <c r="KI87" s="264"/>
      <c r="KJ87" s="264"/>
      <c r="KK87" s="264"/>
      <c r="KL87" s="264"/>
      <c r="KM87" s="264"/>
      <c r="KN87" s="264"/>
      <c r="KO87" s="264"/>
      <c r="KP87" s="264"/>
      <c r="KQ87" s="264"/>
    </row>
    <row r="88" spans="1:303" x14ac:dyDescent="0.25">
      <c r="A88" s="264" t="str">
        <f>"Cadre N2"&amp;'GESTION DES JOUEURS'!$G$4</f>
        <v>Cadre N2Distance :</v>
      </c>
      <c r="B88" s="264" t="str" cm="1">
        <f t="array" ref="B88:KQ88">_xlfn.XLOOKUP(A88,$D$2:$D$77&amp;$F$2:$F$77,$U$2:$LJ$77)</f>
        <v>Ab.</v>
      </c>
      <c r="C88" s="264">
        <v>0</v>
      </c>
      <c r="D88" s="264">
        <v>1</v>
      </c>
      <c r="E88" s="264">
        <v>2</v>
      </c>
      <c r="F88" s="264">
        <v>3</v>
      </c>
      <c r="G88" s="264">
        <v>4</v>
      </c>
      <c r="H88" s="264">
        <v>5</v>
      </c>
      <c r="I88" s="264">
        <v>6</v>
      </c>
      <c r="J88" s="264">
        <v>7</v>
      </c>
      <c r="K88" s="264">
        <v>8</v>
      </c>
      <c r="L88" s="264">
        <v>9</v>
      </c>
      <c r="M88" s="264">
        <v>10</v>
      </c>
      <c r="N88" s="264">
        <v>11</v>
      </c>
      <c r="O88" s="264">
        <v>12</v>
      </c>
      <c r="P88" s="264">
        <v>13</v>
      </c>
      <c r="Q88" s="264">
        <v>14</v>
      </c>
      <c r="R88" s="264">
        <v>15</v>
      </c>
      <c r="S88" s="264">
        <v>16</v>
      </c>
      <c r="T88" s="264">
        <v>17</v>
      </c>
      <c r="U88" s="264">
        <v>18</v>
      </c>
      <c r="V88" s="264">
        <v>19</v>
      </c>
      <c r="W88" s="264">
        <v>20</v>
      </c>
      <c r="X88" s="264">
        <v>21</v>
      </c>
      <c r="Y88" s="264">
        <v>22</v>
      </c>
      <c r="Z88" s="264">
        <v>23</v>
      </c>
      <c r="AA88" s="264">
        <v>24</v>
      </c>
      <c r="AB88" s="264">
        <v>25</v>
      </c>
      <c r="AC88" s="264">
        <v>26</v>
      </c>
      <c r="AD88" s="264">
        <v>27</v>
      </c>
      <c r="AE88" s="264">
        <v>28</v>
      </c>
      <c r="AF88" s="264">
        <v>29</v>
      </c>
      <c r="AG88" s="264">
        <v>30</v>
      </c>
      <c r="AH88" s="264">
        <v>31</v>
      </c>
      <c r="AI88" s="264">
        <v>32</v>
      </c>
      <c r="AJ88" s="264">
        <v>33</v>
      </c>
      <c r="AK88" s="264">
        <v>34</v>
      </c>
      <c r="AL88" s="264">
        <v>35</v>
      </c>
      <c r="AM88" s="264">
        <v>36</v>
      </c>
      <c r="AN88" s="264">
        <v>37</v>
      </c>
      <c r="AO88" s="264">
        <v>38</v>
      </c>
      <c r="AP88" s="264">
        <v>39</v>
      </c>
      <c r="AQ88" s="264">
        <v>40</v>
      </c>
      <c r="AR88" s="264">
        <v>41</v>
      </c>
      <c r="AS88" s="264">
        <v>42</v>
      </c>
      <c r="AT88" s="264">
        <v>43</v>
      </c>
      <c r="AU88" s="264">
        <v>44</v>
      </c>
      <c r="AV88" s="264">
        <v>45</v>
      </c>
      <c r="AW88" s="264">
        <v>46</v>
      </c>
      <c r="AX88" s="264">
        <v>47</v>
      </c>
      <c r="AY88" s="264">
        <v>48</v>
      </c>
      <c r="AZ88" s="264">
        <v>49</v>
      </c>
      <c r="BA88" s="264">
        <v>50</v>
      </c>
      <c r="BB88" s="264">
        <v>51</v>
      </c>
      <c r="BC88" s="264">
        <v>52</v>
      </c>
      <c r="BD88" s="264">
        <v>53</v>
      </c>
      <c r="BE88" s="264">
        <v>54</v>
      </c>
      <c r="BF88" s="264">
        <v>55</v>
      </c>
      <c r="BG88" s="264">
        <v>56</v>
      </c>
      <c r="BH88" s="264">
        <v>57</v>
      </c>
      <c r="BI88" s="264">
        <v>58</v>
      </c>
      <c r="BJ88" s="264">
        <v>59</v>
      </c>
      <c r="BK88" s="264">
        <v>60</v>
      </c>
      <c r="BL88" s="264">
        <v>61</v>
      </c>
      <c r="BM88" s="264">
        <v>62</v>
      </c>
      <c r="BN88" s="264">
        <v>63</v>
      </c>
      <c r="BO88" s="264">
        <v>64</v>
      </c>
      <c r="BP88" s="264">
        <v>65</v>
      </c>
      <c r="BQ88" s="264">
        <v>66</v>
      </c>
      <c r="BR88" s="264">
        <v>67</v>
      </c>
      <c r="BS88" s="264">
        <v>68</v>
      </c>
      <c r="BT88" s="264">
        <v>69</v>
      </c>
      <c r="BU88" s="264">
        <v>70</v>
      </c>
      <c r="BV88" s="264">
        <v>71</v>
      </c>
      <c r="BW88" s="264">
        <v>72</v>
      </c>
      <c r="BX88" s="264">
        <v>73</v>
      </c>
      <c r="BY88" s="264">
        <v>74</v>
      </c>
      <c r="BZ88" s="264">
        <v>75</v>
      </c>
      <c r="CA88" s="264">
        <v>76</v>
      </c>
      <c r="CB88" s="264">
        <v>77</v>
      </c>
      <c r="CC88" s="264">
        <v>78</v>
      </c>
      <c r="CD88" s="264">
        <v>79</v>
      </c>
      <c r="CE88" s="264">
        <v>80</v>
      </c>
      <c r="CF88" s="264">
        <v>81</v>
      </c>
      <c r="CG88" s="264">
        <v>82</v>
      </c>
      <c r="CH88" s="264">
        <v>83</v>
      </c>
      <c r="CI88" s="264">
        <v>84</v>
      </c>
      <c r="CJ88" s="264">
        <v>85</v>
      </c>
      <c r="CK88" s="264">
        <v>86</v>
      </c>
      <c r="CL88" s="264">
        <v>87</v>
      </c>
      <c r="CM88" s="264">
        <v>88</v>
      </c>
      <c r="CN88" s="264">
        <v>89</v>
      </c>
      <c r="CO88" s="264">
        <v>90</v>
      </c>
      <c r="CP88" s="264">
        <v>91</v>
      </c>
      <c r="CQ88" s="264">
        <v>92</v>
      </c>
      <c r="CR88" s="264">
        <v>93</v>
      </c>
      <c r="CS88" s="264">
        <v>94</v>
      </c>
      <c r="CT88" s="264">
        <v>95</v>
      </c>
      <c r="CU88" s="264">
        <v>96</v>
      </c>
      <c r="CV88" s="264">
        <v>97</v>
      </c>
      <c r="CW88" s="264">
        <v>98</v>
      </c>
      <c r="CX88" s="264">
        <v>99</v>
      </c>
      <c r="CY88" s="264">
        <v>100</v>
      </c>
      <c r="CZ88" s="264">
        <v>101</v>
      </c>
      <c r="DA88" s="264">
        <v>102</v>
      </c>
      <c r="DB88" s="264">
        <v>103</v>
      </c>
      <c r="DC88" s="264">
        <v>104</v>
      </c>
      <c r="DD88" s="264">
        <v>105</v>
      </c>
      <c r="DE88" s="264">
        <v>106</v>
      </c>
      <c r="DF88" s="264">
        <v>107</v>
      </c>
      <c r="DG88" s="264">
        <v>108</v>
      </c>
      <c r="DH88" s="264">
        <v>109</v>
      </c>
      <c r="DI88" s="264">
        <v>110</v>
      </c>
      <c r="DJ88" s="264">
        <v>111</v>
      </c>
      <c r="DK88" s="264">
        <v>112</v>
      </c>
      <c r="DL88" s="264">
        <v>113</v>
      </c>
      <c r="DM88" s="264">
        <v>114</v>
      </c>
      <c r="DN88" s="264">
        <v>115</v>
      </c>
      <c r="DO88" s="264">
        <v>116</v>
      </c>
      <c r="DP88" s="264">
        <v>117</v>
      </c>
      <c r="DQ88" s="264">
        <v>118</v>
      </c>
      <c r="DR88" s="264">
        <v>119</v>
      </c>
      <c r="DS88" s="264">
        <v>120</v>
      </c>
      <c r="DT88" s="264">
        <v>120</v>
      </c>
      <c r="DU88" s="264">
        <v>120</v>
      </c>
      <c r="DV88" s="264">
        <v>120</v>
      </c>
      <c r="DW88" s="264">
        <v>120</v>
      </c>
      <c r="DX88" s="264">
        <v>120</v>
      </c>
      <c r="DY88" s="264">
        <v>120</v>
      </c>
      <c r="DZ88" s="264">
        <v>120</v>
      </c>
      <c r="EA88" s="264">
        <v>120</v>
      </c>
      <c r="EB88" s="264">
        <v>120</v>
      </c>
      <c r="EC88" s="264">
        <v>120</v>
      </c>
      <c r="ED88" s="264">
        <v>120</v>
      </c>
      <c r="EE88" s="264">
        <v>120</v>
      </c>
      <c r="EF88" s="264">
        <v>120</v>
      </c>
      <c r="EG88" s="264">
        <v>120</v>
      </c>
      <c r="EH88" s="264">
        <v>120</v>
      </c>
      <c r="EI88" s="264">
        <v>120</v>
      </c>
      <c r="EJ88" s="264">
        <v>120</v>
      </c>
      <c r="EK88" s="264">
        <v>120</v>
      </c>
      <c r="EL88" s="264">
        <v>120</v>
      </c>
      <c r="EM88" s="264">
        <v>120</v>
      </c>
      <c r="EN88" s="264">
        <v>120</v>
      </c>
      <c r="EO88" s="264">
        <v>120</v>
      </c>
      <c r="EP88" s="264">
        <v>120</v>
      </c>
      <c r="EQ88" s="264">
        <v>120</v>
      </c>
      <c r="ER88" s="264">
        <v>120</v>
      </c>
      <c r="ES88" s="264">
        <v>120</v>
      </c>
      <c r="ET88" s="264">
        <v>120</v>
      </c>
      <c r="EU88" s="264">
        <v>120</v>
      </c>
      <c r="EV88" s="264">
        <v>120</v>
      </c>
      <c r="EW88" s="264">
        <v>120</v>
      </c>
      <c r="EX88" s="264">
        <v>120</v>
      </c>
      <c r="EY88" s="264">
        <v>120</v>
      </c>
      <c r="EZ88" s="264">
        <v>120</v>
      </c>
      <c r="FA88" s="264">
        <v>120</v>
      </c>
      <c r="FB88" s="264">
        <v>120</v>
      </c>
      <c r="FC88" s="264">
        <v>120</v>
      </c>
      <c r="FD88" s="264">
        <v>120</v>
      </c>
      <c r="FE88" s="264">
        <v>120</v>
      </c>
      <c r="FF88" s="264">
        <v>120</v>
      </c>
      <c r="FG88" s="264">
        <v>120</v>
      </c>
      <c r="FH88" s="264">
        <v>120</v>
      </c>
      <c r="FI88" s="264">
        <v>120</v>
      </c>
      <c r="FJ88" s="264">
        <v>120</v>
      </c>
      <c r="FK88" s="264">
        <v>120</v>
      </c>
      <c r="FL88" s="264">
        <v>120</v>
      </c>
      <c r="FM88" s="264">
        <v>120</v>
      </c>
      <c r="FN88" s="264">
        <v>120</v>
      </c>
      <c r="FO88" s="264">
        <v>120</v>
      </c>
      <c r="FP88" s="264">
        <v>120</v>
      </c>
      <c r="FQ88" s="264">
        <v>120</v>
      </c>
      <c r="FR88" s="264">
        <v>120</v>
      </c>
      <c r="FS88" s="264">
        <v>120</v>
      </c>
      <c r="FT88" s="264">
        <v>120</v>
      </c>
      <c r="FU88" s="264">
        <v>120</v>
      </c>
      <c r="FV88" s="264">
        <v>120</v>
      </c>
      <c r="FW88" s="264">
        <v>120</v>
      </c>
      <c r="FX88" s="264">
        <v>120</v>
      </c>
      <c r="FY88" s="264">
        <v>120</v>
      </c>
      <c r="FZ88" s="264">
        <v>120</v>
      </c>
      <c r="GA88" s="264">
        <v>120</v>
      </c>
      <c r="GB88" s="264">
        <v>120</v>
      </c>
      <c r="GC88" s="264">
        <v>120</v>
      </c>
      <c r="GD88" s="264">
        <v>120</v>
      </c>
      <c r="GE88" s="264">
        <v>120</v>
      </c>
      <c r="GF88" s="264">
        <v>120</v>
      </c>
      <c r="GG88" s="264">
        <v>120</v>
      </c>
      <c r="GH88" s="264">
        <v>120</v>
      </c>
      <c r="GI88" s="264">
        <v>120</v>
      </c>
      <c r="GJ88" s="264">
        <v>120</v>
      </c>
      <c r="GK88" s="264">
        <v>120</v>
      </c>
      <c r="GL88" s="264">
        <v>120</v>
      </c>
      <c r="GM88" s="264">
        <v>120</v>
      </c>
      <c r="GN88" s="264">
        <v>120</v>
      </c>
      <c r="GO88" s="264">
        <v>120</v>
      </c>
      <c r="GP88" s="264">
        <v>120</v>
      </c>
      <c r="GQ88" s="264">
        <v>120</v>
      </c>
      <c r="GR88" s="264">
        <v>120</v>
      </c>
      <c r="GS88" s="264">
        <v>120</v>
      </c>
      <c r="GT88" s="264">
        <v>120</v>
      </c>
      <c r="GU88" s="264">
        <v>120</v>
      </c>
      <c r="GV88" s="264">
        <v>120</v>
      </c>
      <c r="GW88" s="264">
        <v>120</v>
      </c>
      <c r="GX88" s="264">
        <v>120</v>
      </c>
      <c r="GY88" s="264">
        <v>120</v>
      </c>
      <c r="GZ88" s="264">
        <v>120</v>
      </c>
      <c r="HA88" s="264">
        <v>120</v>
      </c>
      <c r="HB88" s="264">
        <v>120</v>
      </c>
      <c r="HC88" s="264">
        <v>120</v>
      </c>
      <c r="HD88" s="264">
        <v>120</v>
      </c>
      <c r="HE88" s="264">
        <v>120</v>
      </c>
      <c r="HF88" s="264">
        <v>120</v>
      </c>
      <c r="HG88" s="264">
        <v>120</v>
      </c>
      <c r="HH88" s="264">
        <v>120</v>
      </c>
      <c r="HI88" s="264">
        <v>120</v>
      </c>
      <c r="HJ88" s="264">
        <v>120</v>
      </c>
      <c r="HK88" s="264">
        <v>120</v>
      </c>
      <c r="HL88" s="264">
        <v>120</v>
      </c>
      <c r="HM88" s="264">
        <v>120</v>
      </c>
      <c r="HN88" s="264">
        <v>120</v>
      </c>
      <c r="HO88" s="264">
        <v>120</v>
      </c>
      <c r="HP88" s="264">
        <v>120</v>
      </c>
      <c r="HQ88" s="264">
        <v>120</v>
      </c>
      <c r="HR88" s="264">
        <v>120</v>
      </c>
      <c r="HS88" s="264">
        <v>120</v>
      </c>
      <c r="HT88" s="264">
        <v>120</v>
      </c>
      <c r="HU88" s="264">
        <v>120</v>
      </c>
      <c r="HV88" s="264">
        <v>120</v>
      </c>
      <c r="HW88" s="264">
        <v>120</v>
      </c>
      <c r="HX88" s="264">
        <v>120</v>
      </c>
      <c r="HY88" s="264">
        <v>120</v>
      </c>
      <c r="HZ88" s="264">
        <v>120</v>
      </c>
      <c r="IA88" s="264">
        <v>120</v>
      </c>
      <c r="IB88" s="264">
        <v>120</v>
      </c>
      <c r="IC88" s="264">
        <v>120</v>
      </c>
      <c r="ID88" s="264">
        <v>120</v>
      </c>
      <c r="IE88" s="264">
        <v>120</v>
      </c>
      <c r="IF88" s="264">
        <v>120</v>
      </c>
      <c r="IG88" s="264">
        <v>120</v>
      </c>
      <c r="IH88" s="264">
        <v>120</v>
      </c>
      <c r="II88" s="264">
        <v>120</v>
      </c>
      <c r="IJ88" s="264">
        <v>120</v>
      </c>
      <c r="IK88" s="264">
        <v>120</v>
      </c>
      <c r="IL88" s="264">
        <v>120</v>
      </c>
      <c r="IM88" s="264">
        <v>120</v>
      </c>
      <c r="IN88" s="264">
        <v>120</v>
      </c>
      <c r="IO88" s="264">
        <v>120</v>
      </c>
      <c r="IP88" s="264">
        <v>120</v>
      </c>
      <c r="IQ88" s="264">
        <v>120</v>
      </c>
      <c r="IR88" s="264">
        <v>120</v>
      </c>
      <c r="IS88" s="264">
        <v>120</v>
      </c>
      <c r="IT88" s="264">
        <v>120</v>
      </c>
      <c r="IU88" s="264">
        <v>120</v>
      </c>
      <c r="IV88" s="264">
        <v>120</v>
      </c>
      <c r="IW88" s="264">
        <v>120</v>
      </c>
      <c r="IX88" s="264">
        <v>120</v>
      </c>
      <c r="IY88" s="264">
        <v>120</v>
      </c>
      <c r="IZ88" s="264">
        <v>120</v>
      </c>
      <c r="JA88" s="264">
        <v>120</v>
      </c>
      <c r="JB88" s="264">
        <v>120</v>
      </c>
      <c r="JC88" s="264">
        <v>120</v>
      </c>
      <c r="JD88" s="264">
        <v>120</v>
      </c>
      <c r="JE88" s="264">
        <v>120</v>
      </c>
      <c r="JF88" s="264">
        <v>120</v>
      </c>
      <c r="JG88" s="264">
        <v>120</v>
      </c>
      <c r="JH88" s="264">
        <v>120</v>
      </c>
      <c r="JI88" s="264">
        <v>120</v>
      </c>
      <c r="JJ88" s="264">
        <v>120</v>
      </c>
      <c r="JK88" s="264">
        <v>120</v>
      </c>
      <c r="JL88" s="264">
        <v>120</v>
      </c>
      <c r="JM88" s="264">
        <v>120</v>
      </c>
      <c r="JN88" s="264">
        <v>120</v>
      </c>
      <c r="JO88" s="264">
        <v>120</v>
      </c>
      <c r="JP88" s="264">
        <v>120</v>
      </c>
      <c r="JQ88" s="264">
        <v>120</v>
      </c>
      <c r="JR88" s="264">
        <v>120</v>
      </c>
      <c r="JS88" s="264">
        <v>120</v>
      </c>
      <c r="JT88" s="264">
        <v>120</v>
      </c>
      <c r="JU88" s="264">
        <v>120</v>
      </c>
      <c r="JV88" s="264">
        <v>120</v>
      </c>
      <c r="JW88" s="264">
        <v>120</v>
      </c>
      <c r="JX88" s="264">
        <v>120</v>
      </c>
      <c r="JY88" s="264">
        <v>120</v>
      </c>
      <c r="JZ88" s="264">
        <v>120</v>
      </c>
      <c r="KA88" s="264">
        <v>120</v>
      </c>
      <c r="KB88" s="264">
        <v>120</v>
      </c>
      <c r="KC88" s="264">
        <v>120</v>
      </c>
      <c r="KD88" s="264">
        <v>120</v>
      </c>
      <c r="KE88" s="264">
        <v>120</v>
      </c>
      <c r="KF88" s="264">
        <v>120</v>
      </c>
      <c r="KG88" s="264">
        <v>120</v>
      </c>
      <c r="KH88" s="264">
        <v>120</v>
      </c>
      <c r="KI88" s="264">
        <v>120</v>
      </c>
      <c r="KJ88" s="264">
        <v>120</v>
      </c>
      <c r="KK88" s="264">
        <v>120</v>
      </c>
      <c r="KL88" s="264">
        <v>120</v>
      </c>
      <c r="KM88" s="264">
        <v>120</v>
      </c>
      <c r="KN88" s="264">
        <v>120</v>
      </c>
      <c r="KO88" s="264">
        <v>120</v>
      </c>
      <c r="KP88" s="264">
        <v>120</v>
      </c>
      <c r="KQ88" s="264">
        <v>120</v>
      </c>
    </row>
    <row r="89" spans="1:303" x14ac:dyDescent="0.25">
      <c r="A89" s="264"/>
      <c r="B89" s="264" cm="1">
        <f t="array" ref="B89:BI89">_xlfn.XLOOKUP(A88,$D$2:$D$77&amp;$F$2:$F$77,$LL$2:$NS$77)</f>
        <v>1</v>
      </c>
      <c r="C89" s="264">
        <v>2</v>
      </c>
      <c r="D89" s="264">
        <v>3</v>
      </c>
      <c r="E89" s="264">
        <v>4</v>
      </c>
      <c r="F89" s="264">
        <v>5</v>
      </c>
      <c r="G89" s="264">
        <v>6</v>
      </c>
      <c r="H89" s="264">
        <v>7</v>
      </c>
      <c r="I89" s="264">
        <v>8</v>
      </c>
      <c r="J89" s="264">
        <v>9</v>
      </c>
      <c r="K89" s="264">
        <v>10</v>
      </c>
      <c r="L89" s="264">
        <v>11</v>
      </c>
      <c r="M89" s="264">
        <v>12</v>
      </c>
      <c r="N89" s="264">
        <v>13</v>
      </c>
      <c r="O89" s="264">
        <v>14</v>
      </c>
      <c r="P89" s="264">
        <v>15</v>
      </c>
      <c r="Q89" s="264">
        <v>16</v>
      </c>
      <c r="R89" s="264">
        <v>17</v>
      </c>
      <c r="S89" s="264">
        <v>18</v>
      </c>
      <c r="T89" s="264">
        <v>19</v>
      </c>
      <c r="U89" s="264">
        <v>20</v>
      </c>
      <c r="V89" s="264">
        <v>20</v>
      </c>
      <c r="W89" s="264">
        <v>20</v>
      </c>
      <c r="X89" s="264">
        <v>20</v>
      </c>
      <c r="Y89" s="264">
        <v>20</v>
      </c>
      <c r="Z89" s="264">
        <v>20</v>
      </c>
      <c r="AA89" s="264">
        <v>20</v>
      </c>
      <c r="AB89" s="264">
        <v>20</v>
      </c>
      <c r="AC89" s="264">
        <v>20</v>
      </c>
      <c r="AD89" s="264">
        <v>20</v>
      </c>
      <c r="AE89" s="264">
        <v>20</v>
      </c>
      <c r="AF89" s="264">
        <v>20</v>
      </c>
      <c r="AG89" s="264">
        <v>20</v>
      </c>
      <c r="AH89" s="264">
        <v>20</v>
      </c>
      <c r="AI89" s="264">
        <v>20</v>
      </c>
      <c r="AJ89" s="264">
        <v>20</v>
      </c>
      <c r="AK89" s="264">
        <v>20</v>
      </c>
      <c r="AL89" s="264">
        <v>20</v>
      </c>
      <c r="AM89" s="264">
        <v>20</v>
      </c>
      <c r="AN89" s="264">
        <v>20</v>
      </c>
      <c r="AO89" s="264">
        <v>20</v>
      </c>
      <c r="AP89" s="264">
        <v>20</v>
      </c>
      <c r="AQ89" s="264">
        <v>20</v>
      </c>
      <c r="AR89" s="264">
        <v>20</v>
      </c>
      <c r="AS89" s="264">
        <v>20</v>
      </c>
      <c r="AT89" s="264">
        <v>20</v>
      </c>
      <c r="AU89" s="264">
        <v>20</v>
      </c>
      <c r="AV89" s="264">
        <v>20</v>
      </c>
      <c r="AW89" s="264">
        <v>20</v>
      </c>
      <c r="AX89" s="264">
        <v>20</v>
      </c>
      <c r="AY89" s="264">
        <v>20</v>
      </c>
      <c r="AZ89" s="264">
        <v>20</v>
      </c>
      <c r="BA89" s="264">
        <v>20</v>
      </c>
      <c r="BB89" s="264">
        <v>20</v>
      </c>
      <c r="BC89" s="264">
        <v>20</v>
      </c>
      <c r="BD89" s="264">
        <v>20</v>
      </c>
      <c r="BE89" s="264">
        <v>20</v>
      </c>
      <c r="BF89" s="264">
        <v>20</v>
      </c>
      <c r="BG89" s="264">
        <v>20</v>
      </c>
      <c r="BH89" s="264">
        <v>20</v>
      </c>
      <c r="BI89" s="264">
        <v>20</v>
      </c>
      <c r="BJ89" s="264"/>
      <c r="BK89" s="264"/>
      <c r="BL89" s="264"/>
      <c r="BM89" s="264"/>
      <c r="BN89" s="264"/>
      <c r="BO89" s="264"/>
      <c r="BP89" s="264"/>
      <c r="BQ89" s="264"/>
      <c r="BR89" s="264"/>
      <c r="BS89" s="264"/>
      <c r="BT89" s="264"/>
      <c r="BU89" s="264"/>
      <c r="BV89" s="264"/>
      <c r="BW89" s="264"/>
      <c r="BX89" s="264"/>
      <c r="BY89" s="264"/>
      <c r="BZ89" s="264"/>
      <c r="CA89" s="264"/>
      <c r="CB89" s="264"/>
      <c r="CC89" s="264"/>
      <c r="CD89" s="264"/>
      <c r="CE89" s="264"/>
      <c r="CF89" s="264"/>
      <c r="CG89" s="264"/>
      <c r="CH89" s="264"/>
      <c r="CI89" s="264"/>
      <c r="CJ89" s="264"/>
      <c r="CK89" s="264"/>
      <c r="CL89" s="264"/>
      <c r="CM89" s="264"/>
      <c r="CN89" s="264"/>
      <c r="CO89" s="264"/>
      <c r="CP89" s="264"/>
      <c r="CQ89" s="264"/>
      <c r="CR89" s="264"/>
      <c r="CS89" s="264"/>
      <c r="CT89" s="264"/>
      <c r="CU89" s="264"/>
      <c r="CV89" s="264"/>
      <c r="CW89" s="264"/>
      <c r="CX89" s="264"/>
      <c r="CY89" s="264"/>
      <c r="CZ89" s="264"/>
      <c r="DA89" s="264"/>
      <c r="DB89" s="264"/>
      <c r="DC89" s="264"/>
      <c r="DD89" s="264"/>
      <c r="DE89" s="264"/>
      <c r="DF89" s="264"/>
      <c r="DG89" s="264"/>
      <c r="DH89" s="264"/>
      <c r="DI89" s="264"/>
      <c r="DJ89" s="264"/>
      <c r="DK89" s="264"/>
      <c r="DL89" s="264"/>
      <c r="DM89" s="264"/>
      <c r="DN89" s="264"/>
      <c r="DO89" s="264"/>
      <c r="DP89" s="264"/>
      <c r="DQ89" s="264"/>
      <c r="DR89" s="264"/>
      <c r="DS89" s="264"/>
      <c r="DT89" s="264"/>
      <c r="DU89" s="264"/>
      <c r="DV89" s="264"/>
      <c r="DW89" s="264"/>
      <c r="DX89" s="264"/>
      <c r="DY89" s="264"/>
      <c r="DZ89" s="264"/>
      <c r="EA89" s="264"/>
      <c r="EB89" s="264"/>
      <c r="EC89" s="264"/>
      <c r="ED89" s="264"/>
      <c r="EE89" s="264"/>
      <c r="EF89" s="264"/>
      <c r="EG89" s="264"/>
      <c r="EH89" s="264"/>
      <c r="EI89" s="264"/>
      <c r="EJ89" s="264"/>
      <c r="EK89" s="264"/>
      <c r="EL89" s="264"/>
      <c r="EM89" s="264"/>
      <c r="EN89" s="264"/>
      <c r="EO89" s="264"/>
      <c r="EP89" s="264"/>
      <c r="EQ89" s="264"/>
      <c r="ER89" s="264"/>
      <c r="ES89" s="264"/>
      <c r="ET89" s="264"/>
      <c r="EU89" s="264"/>
      <c r="EV89" s="264"/>
      <c r="EW89" s="264"/>
      <c r="EX89" s="264"/>
      <c r="EY89" s="264"/>
      <c r="EZ89" s="264"/>
      <c r="FA89" s="264"/>
      <c r="FB89" s="264"/>
      <c r="FC89" s="264"/>
      <c r="FD89" s="264"/>
      <c r="FE89" s="264"/>
      <c r="FF89" s="264"/>
      <c r="FG89" s="264"/>
      <c r="FH89" s="264"/>
      <c r="FI89" s="264"/>
      <c r="FJ89" s="264"/>
      <c r="FK89" s="264"/>
      <c r="FL89" s="264"/>
      <c r="FM89" s="264"/>
      <c r="FN89" s="264"/>
      <c r="FO89" s="264"/>
      <c r="FP89" s="264"/>
      <c r="FQ89" s="264"/>
      <c r="FR89" s="264"/>
      <c r="FS89" s="264"/>
      <c r="FT89" s="264"/>
      <c r="FU89" s="264"/>
      <c r="FV89" s="264"/>
      <c r="FW89" s="264"/>
      <c r="FX89" s="264"/>
      <c r="FY89" s="264"/>
      <c r="FZ89" s="264"/>
      <c r="GA89" s="264"/>
      <c r="GB89" s="264"/>
      <c r="GC89" s="264"/>
      <c r="GD89" s="264"/>
      <c r="GE89" s="264"/>
      <c r="GF89" s="264"/>
      <c r="GG89" s="264"/>
      <c r="GH89" s="264"/>
      <c r="GI89" s="264"/>
      <c r="GJ89" s="264"/>
      <c r="GK89" s="264"/>
      <c r="GL89" s="264"/>
      <c r="GM89" s="264"/>
      <c r="GN89" s="264"/>
      <c r="GO89" s="264"/>
      <c r="GP89" s="264"/>
      <c r="GQ89" s="264"/>
      <c r="GR89" s="264"/>
      <c r="GS89" s="264"/>
      <c r="GT89" s="264"/>
      <c r="GU89" s="264"/>
      <c r="GV89" s="264"/>
      <c r="GW89" s="264"/>
      <c r="GX89" s="264"/>
      <c r="GY89" s="264"/>
      <c r="GZ89" s="264"/>
      <c r="HA89" s="264"/>
      <c r="HB89" s="264"/>
      <c r="HC89" s="264"/>
      <c r="HD89" s="264"/>
      <c r="HE89" s="264"/>
      <c r="HF89" s="264"/>
      <c r="HG89" s="264"/>
      <c r="HH89" s="264"/>
      <c r="HI89" s="264"/>
      <c r="HJ89" s="264"/>
      <c r="HK89" s="264"/>
      <c r="HL89" s="264"/>
      <c r="HM89" s="264"/>
      <c r="HN89" s="264"/>
      <c r="HO89" s="264"/>
      <c r="HP89" s="264"/>
      <c r="HQ89" s="264"/>
      <c r="HR89" s="264"/>
      <c r="HS89" s="264"/>
      <c r="HT89" s="264"/>
      <c r="HU89" s="264"/>
      <c r="HV89" s="264"/>
      <c r="HW89" s="264"/>
      <c r="HX89" s="264"/>
      <c r="HY89" s="264"/>
      <c r="HZ89" s="264"/>
      <c r="IA89" s="264"/>
      <c r="IB89" s="264"/>
      <c r="IC89" s="264"/>
      <c r="ID89" s="264"/>
      <c r="IE89" s="264"/>
      <c r="IF89" s="264"/>
      <c r="IG89" s="264"/>
      <c r="IH89" s="264"/>
      <c r="II89" s="264"/>
      <c r="IJ89" s="264"/>
      <c r="IK89" s="264"/>
      <c r="IL89" s="264"/>
      <c r="IM89" s="264"/>
      <c r="IN89" s="264"/>
      <c r="IO89" s="264"/>
      <c r="IP89" s="264"/>
      <c r="IQ89" s="264"/>
      <c r="IR89" s="264"/>
      <c r="IS89" s="264"/>
      <c r="IT89" s="264"/>
      <c r="IU89" s="264"/>
      <c r="IV89" s="264"/>
      <c r="IW89" s="264"/>
      <c r="IX89" s="264"/>
      <c r="IY89" s="264"/>
      <c r="IZ89" s="264"/>
      <c r="JA89" s="264"/>
      <c r="JB89" s="264"/>
      <c r="JC89" s="264"/>
      <c r="JD89" s="264"/>
      <c r="JE89" s="264"/>
      <c r="JF89" s="264"/>
      <c r="JG89" s="264"/>
      <c r="JH89" s="264"/>
      <c r="JI89" s="264"/>
      <c r="JJ89" s="264"/>
      <c r="JK89" s="264"/>
      <c r="JL89" s="264"/>
      <c r="JM89" s="264"/>
      <c r="JN89" s="264"/>
      <c r="JO89" s="264"/>
      <c r="JP89" s="264"/>
      <c r="JQ89" s="264"/>
      <c r="JR89" s="264"/>
      <c r="JS89" s="264"/>
      <c r="JT89" s="264"/>
      <c r="JU89" s="264"/>
      <c r="JV89" s="264"/>
      <c r="JW89" s="264"/>
      <c r="JX89" s="264"/>
      <c r="JY89" s="264"/>
      <c r="JZ89" s="264"/>
      <c r="KA89" s="264"/>
      <c r="KB89" s="264"/>
      <c r="KC89" s="264"/>
      <c r="KD89" s="264"/>
      <c r="KE89" s="264"/>
      <c r="KF89" s="264"/>
      <c r="KG89" s="264"/>
      <c r="KH89" s="264"/>
      <c r="KI89" s="264"/>
      <c r="KJ89" s="264"/>
      <c r="KK89" s="264"/>
      <c r="KL89" s="264"/>
      <c r="KM89" s="264"/>
      <c r="KN89" s="264"/>
      <c r="KO89" s="264"/>
      <c r="KP89" s="264"/>
      <c r="KQ89" s="264"/>
    </row>
    <row r="90" spans="1:303" ht="15.75" thickBot="1" x14ac:dyDescent="0.3"/>
    <row r="91" spans="1:303" ht="15.75" thickBot="1" x14ac:dyDescent="0.3">
      <c r="A91" s="1229" t="s">
        <v>9859</v>
      </c>
      <c r="B91" s="1230"/>
      <c r="C91" s="1230"/>
      <c r="D91" s="1230"/>
      <c r="E91" s="1230"/>
      <c r="F91" s="1230"/>
      <c r="G91" s="1231"/>
      <c r="J91" s="1229" t="s">
        <v>9860</v>
      </c>
      <c r="K91" s="1230"/>
      <c r="L91" s="1230"/>
      <c r="M91" s="1230"/>
      <c r="N91" s="1231"/>
      <c r="T91" s="1229" t="s">
        <v>9862</v>
      </c>
      <c r="U91" s="1230"/>
      <c r="V91" s="1231"/>
      <c r="Y91" s="1232" t="s">
        <v>10263</v>
      </c>
      <c r="Z91" s="1233"/>
      <c r="AA91" s="1233"/>
      <c r="AB91" s="1233"/>
      <c r="AC91" s="1234"/>
      <c r="AE91" s="1229" t="s">
        <v>11146</v>
      </c>
      <c r="AF91" s="1230"/>
      <c r="AG91" s="1230"/>
      <c r="AH91" s="1231"/>
      <c r="AI91" s="564"/>
    </row>
    <row r="92" spans="1:303" x14ac:dyDescent="0.25">
      <c r="A92" s="25" t="s">
        <v>5542</v>
      </c>
      <c r="B92" s="25" t="s">
        <v>5</v>
      </c>
      <c r="C92" s="25" t="s">
        <v>14</v>
      </c>
      <c r="D92" s="25" t="s">
        <v>8596</v>
      </c>
      <c r="E92" s="25" t="s">
        <v>5543</v>
      </c>
      <c r="F92" s="25" t="s">
        <v>5544</v>
      </c>
      <c r="G92" s="25" t="s">
        <v>9861</v>
      </c>
      <c r="J92" t="s">
        <v>5</v>
      </c>
      <c r="K92" t="s">
        <v>10261</v>
      </c>
      <c r="L92" t="s">
        <v>5543</v>
      </c>
      <c r="M92" t="s">
        <v>5544</v>
      </c>
      <c r="N92" t="s">
        <v>9861</v>
      </c>
      <c r="T92" t="s">
        <v>5</v>
      </c>
      <c r="U92" t="s">
        <v>5544</v>
      </c>
      <c r="V92" t="s">
        <v>9863</v>
      </c>
      <c r="Y92" s="17" t="s">
        <v>10264</v>
      </c>
      <c r="Z92" s="17" t="s">
        <v>5509</v>
      </c>
      <c r="AA92" s="17" t="s">
        <v>10265</v>
      </c>
      <c r="AB92" s="17" t="s">
        <v>5506</v>
      </c>
      <c r="AC92" s="17" t="s">
        <v>5454</v>
      </c>
      <c r="AE92" t="s">
        <v>11145</v>
      </c>
      <c r="AF92" t="s">
        <v>8132</v>
      </c>
      <c r="AG92" t="s">
        <v>8596</v>
      </c>
      <c r="AH92" t="s">
        <v>11147</v>
      </c>
    </row>
    <row r="93" spans="1:303" x14ac:dyDescent="0.25">
      <c r="A93" s="17">
        <v>2</v>
      </c>
      <c r="B93" s="17">
        <v>1</v>
      </c>
      <c r="C93" s="17"/>
      <c r="D93" s="17" t="str">
        <f>PTSRKPOULES[[#This Row],[J Poule]]&amp;PTSRKPOULES[[#This Row],[Clt]]&amp;PTSRKPOULES[[#This Row],[PM]]</f>
        <v>21</v>
      </c>
      <c r="E93" s="17">
        <v>25</v>
      </c>
      <c r="F93" s="17">
        <v>14</v>
      </c>
      <c r="G93" s="17">
        <v>8</v>
      </c>
      <c r="J93">
        <v>1</v>
      </c>
      <c r="K93">
        <v>25</v>
      </c>
      <c r="L93">
        <v>25</v>
      </c>
      <c r="M93">
        <v>14</v>
      </c>
      <c r="N93">
        <v>8</v>
      </c>
      <c r="T93">
        <v>1</v>
      </c>
      <c r="U93">
        <v>30</v>
      </c>
      <c r="V93">
        <v>15</v>
      </c>
      <c r="Y93" s="25" t="s">
        <v>5765</v>
      </c>
      <c r="Z93" s="17">
        <v>300</v>
      </c>
      <c r="AA93" s="17">
        <v>100</v>
      </c>
      <c r="AB93" s="17">
        <v>250</v>
      </c>
      <c r="AC93" s="17">
        <v>28</v>
      </c>
      <c r="AE93" t="s">
        <v>5509</v>
      </c>
      <c r="AF93" t="s">
        <v>15</v>
      </c>
      <c r="AG93" t="str">
        <f>Tableau14[[#This Row],[mode jeu]]&amp;Tableau14[[#This Row],[Colonne2]]</f>
        <v>LibreD</v>
      </c>
      <c r="AH93" s="531">
        <v>1.25</v>
      </c>
    </row>
    <row r="94" spans="1:303" x14ac:dyDescent="0.25">
      <c r="A94" s="17">
        <v>2</v>
      </c>
      <c r="B94" s="17">
        <v>2</v>
      </c>
      <c r="C94" s="17">
        <v>2</v>
      </c>
      <c r="D94" s="17" t="str">
        <f>PTSRKPOULES[[#This Row],[J Poule]]&amp;PTSRKPOULES[[#This Row],[Clt]]&amp;PTSRKPOULES[[#This Row],[PM]]</f>
        <v>222</v>
      </c>
      <c r="E94" s="17">
        <v>20</v>
      </c>
      <c r="F94" s="17">
        <v>11</v>
      </c>
      <c r="G94" s="17">
        <v>5</v>
      </c>
      <c r="J94">
        <v>2</v>
      </c>
      <c r="K94">
        <v>20</v>
      </c>
      <c r="L94">
        <v>20</v>
      </c>
      <c r="M94">
        <v>11</v>
      </c>
      <c r="N94">
        <v>5</v>
      </c>
      <c r="T94">
        <v>2</v>
      </c>
      <c r="U94">
        <v>26</v>
      </c>
      <c r="V94">
        <v>12</v>
      </c>
      <c r="Y94" s="25" t="s">
        <v>24</v>
      </c>
      <c r="Z94" s="17">
        <v>200</v>
      </c>
      <c r="AA94" s="17">
        <v>80</v>
      </c>
      <c r="AB94" s="17">
        <v>150</v>
      </c>
      <c r="AC94" s="17">
        <v>22</v>
      </c>
      <c r="AE94" t="s">
        <v>5509</v>
      </c>
      <c r="AF94" t="s">
        <v>18</v>
      </c>
      <c r="AG94" t="str">
        <f>Tableau14[[#This Row],[mode jeu]]&amp;Tableau14[[#This Row],[Colonne2]]</f>
        <v>LibreR</v>
      </c>
      <c r="AH94" s="531">
        <v>0.8</v>
      </c>
    </row>
    <row r="95" spans="1:303" x14ac:dyDescent="0.25">
      <c r="A95" s="17">
        <v>2</v>
      </c>
      <c r="B95" s="17">
        <v>2</v>
      </c>
      <c r="C95" s="17">
        <v>1</v>
      </c>
      <c r="D95" s="17" t="str">
        <f>PTSRKPOULES[[#This Row],[J Poule]]&amp;PTSRKPOULES[[#This Row],[Clt]]&amp;PTSRKPOULES[[#This Row],[PM]]</f>
        <v>221</v>
      </c>
      <c r="E95" s="17">
        <v>20</v>
      </c>
      <c r="F95" s="17">
        <v>11</v>
      </c>
      <c r="G95" s="17">
        <v>5</v>
      </c>
      <c r="J95">
        <v>3</v>
      </c>
      <c r="K95">
        <v>15</v>
      </c>
      <c r="L95">
        <v>15</v>
      </c>
      <c r="M95">
        <v>8</v>
      </c>
      <c r="N95">
        <v>3</v>
      </c>
      <c r="T95">
        <v>3</v>
      </c>
      <c r="U95">
        <v>22</v>
      </c>
      <c r="V95">
        <v>10</v>
      </c>
      <c r="Y95" s="25" t="s">
        <v>25</v>
      </c>
      <c r="Z95" s="17"/>
      <c r="AA95" s="17"/>
      <c r="AB95" s="17">
        <v>130</v>
      </c>
      <c r="AC95" s="17">
        <v>19</v>
      </c>
      <c r="AE95" t="s">
        <v>5507</v>
      </c>
      <c r="AF95" t="s">
        <v>15</v>
      </c>
      <c r="AG95" t="str">
        <f>Tableau14[[#This Row],[mode jeu]]&amp;Tableau14[[#This Row],[Colonne2]]</f>
        <v>BandeD</v>
      </c>
      <c r="AH95" s="531">
        <v>1.1200000000000001</v>
      </c>
    </row>
    <row r="96" spans="1:303" x14ac:dyDescent="0.25">
      <c r="A96" s="17">
        <v>2</v>
      </c>
      <c r="B96" s="17">
        <v>2</v>
      </c>
      <c r="C96" s="17">
        <v>0</v>
      </c>
      <c r="D96" s="17" t="str">
        <f>PTSRKPOULES[[#This Row],[J Poule]]&amp;PTSRKPOULES[[#This Row],[Clt]]&amp;PTSRKPOULES[[#This Row],[PM]]</f>
        <v>220</v>
      </c>
      <c r="E96" s="17">
        <v>20</v>
      </c>
      <c r="F96" s="17">
        <v>8</v>
      </c>
      <c r="G96" s="17">
        <v>5</v>
      </c>
      <c r="J96">
        <v>4</v>
      </c>
      <c r="K96">
        <v>10</v>
      </c>
      <c r="L96">
        <v>10</v>
      </c>
      <c r="M96">
        <v>5</v>
      </c>
      <c r="T96">
        <v>4</v>
      </c>
      <c r="U96">
        <v>19</v>
      </c>
      <c r="V96">
        <v>8</v>
      </c>
      <c r="Y96" s="25" t="s">
        <v>26</v>
      </c>
      <c r="Z96" s="17">
        <v>140</v>
      </c>
      <c r="AA96" s="17">
        <v>50</v>
      </c>
      <c r="AB96" s="17">
        <v>100</v>
      </c>
      <c r="AC96" s="17">
        <v>16</v>
      </c>
      <c r="AE96" t="s">
        <v>5507</v>
      </c>
      <c r="AF96" t="s">
        <v>18</v>
      </c>
      <c r="AG96" t="str">
        <f>Tableau14[[#This Row],[mode jeu]]&amp;Tableau14[[#This Row],[Colonne2]]</f>
        <v>BandeR</v>
      </c>
      <c r="AH96" s="531">
        <v>0.89</v>
      </c>
    </row>
    <row r="97" spans="1:34" x14ac:dyDescent="0.25">
      <c r="A97" s="17">
        <v>3</v>
      </c>
      <c r="B97" s="17">
        <v>1</v>
      </c>
      <c r="C97" s="17"/>
      <c r="D97" s="17" t="str">
        <f>PTSRKPOULES[[#This Row],[J Poule]]&amp;PTSRKPOULES[[#This Row],[Clt]]&amp;PTSRKPOULES[[#This Row],[PM]]</f>
        <v>31</v>
      </c>
      <c r="E97" s="17">
        <v>25</v>
      </c>
      <c r="F97" s="17">
        <v>14</v>
      </c>
      <c r="G97" s="17">
        <v>8</v>
      </c>
      <c r="J97">
        <v>5</v>
      </c>
      <c r="K97">
        <v>9</v>
      </c>
      <c r="L97">
        <v>5</v>
      </c>
      <c r="M97">
        <v>3</v>
      </c>
      <c r="T97">
        <v>5</v>
      </c>
      <c r="U97">
        <v>16</v>
      </c>
      <c r="V97">
        <v>7</v>
      </c>
      <c r="Y97" s="25" t="s">
        <v>5503</v>
      </c>
      <c r="Z97" s="17">
        <v>90</v>
      </c>
      <c r="AA97" s="17">
        <v>40</v>
      </c>
      <c r="AB97" s="17">
        <v>70</v>
      </c>
      <c r="AC97" s="17">
        <v>13</v>
      </c>
      <c r="AE97" t="s">
        <v>5506</v>
      </c>
      <c r="AF97" t="s">
        <v>15</v>
      </c>
      <c r="AG97" t="str">
        <f>Tableau14[[#This Row],[mode jeu]]&amp;Tableau14[[#This Row],[Colonne2]]</f>
        <v>CadreD</v>
      </c>
      <c r="AH97" s="531">
        <v>1.25</v>
      </c>
    </row>
    <row r="98" spans="1:34" x14ac:dyDescent="0.25">
      <c r="A98" s="17">
        <v>3</v>
      </c>
      <c r="B98" s="17">
        <v>2</v>
      </c>
      <c r="C98" s="17">
        <v>3</v>
      </c>
      <c r="D98" s="17" t="str">
        <f>PTSRKPOULES[[#This Row],[J Poule]]&amp;PTSRKPOULES[[#This Row],[Clt]]&amp;PTSRKPOULES[[#This Row],[PM]]</f>
        <v>323</v>
      </c>
      <c r="E98" s="17">
        <v>20</v>
      </c>
      <c r="F98" s="17">
        <v>11</v>
      </c>
      <c r="G98" s="17">
        <v>5</v>
      </c>
      <c r="J98">
        <v>6</v>
      </c>
      <c r="K98">
        <v>7</v>
      </c>
      <c r="L98">
        <v>1</v>
      </c>
      <c r="M98">
        <v>1</v>
      </c>
      <c r="T98">
        <v>6</v>
      </c>
      <c r="U98">
        <v>14</v>
      </c>
      <c r="V98">
        <v>6</v>
      </c>
      <c r="Y98" s="25" t="s">
        <v>5504</v>
      </c>
      <c r="Z98" s="17">
        <v>60</v>
      </c>
      <c r="AA98" s="17">
        <v>25</v>
      </c>
      <c r="AB98" s="17">
        <v>50</v>
      </c>
      <c r="AC98" s="17">
        <v>10</v>
      </c>
      <c r="AE98" t="s">
        <v>5506</v>
      </c>
      <c r="AF98" t="s">
        <v>18</v>
      </c>
      <c r="AG98" t="str">
        <f>Tableau14[[#This Row],[mode jeu]]&amp;Tableau14[[#This Row],[Colonne2]]</f>
        <v>CadreR</v>
      </c>
      <c r="AH98" s="531">
        <v>0.8</v>
      </c>
    </row>
    <row r="99" spans="1:34" x14ac:dyDescent="0.25">
      <c r="A99" s="17">
        <v>3</v>
      </c>
      <c r="B99" s="17">
        <v>2</v>
      </c>
      <c r="C99" s="17">
        <v>2</v>
      </c>
      <c r="D99" s="17" t="str">
        <f>PTSRKPOULES[[#This Row],[J Poule]]&amp;PTSRKPOULES[[#This Row],[Clt]]&amp;PTSRKPOULES[[#This Row],[PM]]</f>
        <v>322</v>
      </c>
      <c r="E99" s="17">
        <v>20</v>
      </c>
      <c r="F99" s="17">
        <v>11</v>
      </c>
      <c r="G99" s="17">
        <v>5</v>
      </c>
      <c r="J99">
        <v>7</v>
      </c>
      <c r="K99">
        <v>5</v>
      </c>
      <c r="T99">
        <v>7</v>
      </c>
      <c r="U99">
        <v>12</v>
      </c>
      <c r="V99">
        <v>5</v>
      </c>
      <c r="Y99" s="25" t="s">
        <v>5505</v>
      </c>
      <c r="Z99" s="17">
        <v>35</v>
      </c>
      <c r="AA99" s="17"/>
      <c r="AB99" s="17">
        <v>30</v>
      </c>
      <c r="AC99" s="17">
        <v>10</v>
      </c>
      <c r="AE99" t="s">
        <v>5454</v>
      </c>
      <c r="AF99" t="s">
        <v>15</v>
      </c>
      <c r="AG99" t="str">
        <f>Tableau14[[#This Row],[mode jeu]]&amp;Tableau14[[#This Row],[Colonne2]]</f>
        <v>3 BandesD</v>
      </c>
      <c r="AH99" s="531">
        <v>1.1599999999999999</v>
      </c>
    </row>
    <row r="100" spans="1:34" x14ac:dyDescent="0.25">
      <c r="A100" s="17">
        <v>3</v>
      </c>
      <c r="B100" s="17">
        <v>2</v>
      </c>
      <c r="C100" s="17">
        <v>1</v>
      </c>
      <c r="D100" s="17" t="str">
        <f>PTSRKPOULES[[#This Row],[J Poule]]&amp;PTSRKPOULES[[#This Row],[Clt]]&amp;PTSRKPOULES[[#This Row],[PM]]</f>
        <v>321</v>
      </c>
      <c r="E100" s="17">
        <v>20</v>
      </c>
      <c r="F100" s="17">
        <v>11</v>
      </c>
      <c r="G100" s="17">
        <v>5</v>
      </c>
      <c r="J100">
        <v>8</v>
      </c>
      <c r="K100">
        <v>3</v>
      </c>
      <c r="T100">
        <v>8</v>
      </c>
      <c r="U100">
        <v>10</v>
      </c>
      <c r="V100">
        <v>4</v>
      </c>
      <c r="Y100" s="25" t="s">
        <v>7537</v>
      </c>
      <c r="Z100" s="17">
        <v>20</v>
      </c>
      <c r="AA100" s="17"/>
      <c r="AB100" s="17">
        <v>15</v>
      </c>
      <c r="AC100" s="17">
        <v>10</v>
      </c>
      <c r="AE100" t="s">
        <v>5454</v>
      </c>
      <c r="AF100" t="s">
        <v>18</v>
      </c>
      <c r="AG100" t="str">
        <f>Tableau14[[#This Row],[mode jeu]]&amp;Tableau14[[#This Row],[Colonne2]]</f>
        <v>3 BandesR</v>
      </c>
      <c r="AH100" s="531">
        <v>0.86</v>
      </c>
    </row>
    <row r="101" spans="1:34" x14ac:dyDescent="0.25">
      <c r="A101" s="17">
        <v>3</v>
      </c>
      <c r="B101" s="17">
        <v>3</v>
      </c>
      <c r="C101" s="17">
        <v>2</v>
      </c>
      <c r="D101" s="17" t="str">
        <f>PTSRKPOULES[[#This Row],[J Poule]]&amp;PTSRKPOULES[[#This Row],[Clt]]&amp;PTSRKPOULES[[#This Row],[PM]]</f>
        <v>332</v>
      </c>
      <c r="E101" s="17">
        <v>15</v>
      </c>
      <c r="F101" s="17">
        <v>8</v>
      </c>
      <c r="G101" s="17">
        <v>3</v>
      </c>
      <c r="J101">
        <v>9</v>
      </c>
      <c r="K101">
        <v>1</v>
      </c>
      <c r="T101">
        <v>9</v>
      </c>
      <c r="U101">
        <v>8</v>
      </c>
      <c r="V101">
        <v>3</v>
      </c>
    </row>
    <row r="102" spans="1:34" x14ac:dyDescent="0.25">
      <c r="A102" s="17">
        <v>3</v>
      </c>
      <c r="B102" s="17">
        <v>3</v>
      </c>
      <c r="C102" s="17">
        <v>1</v>
      </c>
      <c r="D102" s="17" t="str">
        <f>PTSRKPOULES[[#This Row],[J Poule]]&amp;PTSRKPOULES[[#This Row],[Clt]]&amp;PTSRKPOULES[[#This Row],[PM]]</f>
        <v>331</v>
      </c>
      <c r="E102" s="17">
        <v>15</v>
      </c>
      <c r="F102" s="17">
        <v>8</v>
      </c>
      <c r="G102" s="17">
        <v>3</v>
      </c>
      <c r="T102">
        <v>10</v>
      </c>
      <c r="U102">
        <v>8</v>
      </c>
      <c r="V102">
        <v>2</v>
      </c>
    </row>
    <row r="103" spans="1:34" x14ac:dyDescent="0.25">
      <c r="A103" s="17">
        <v>3</v>
      </c>
      <c r="B103" s="17">
        <v>3</v>
      </c>
      <c r="C103" s="17">
        <v>0</v>
      </c>
      <c r="D103" s="17" t="str">
        <f>PTSRKPOULES[[#This Row],[J Poule]]&amp;PTSRKPOULES[[#This Row],[Clt]]&amp;PTSRKPOULES[[#This Row],[PM]]</f>
        <v>330</v>
      </c>
      <c r="E103" s="17">
        <v>15</v>
      </c>
      <c r="F103" s="17">
        <v>5</v>
      </c>
      <c r="G103" s="17">
        <v>3</v>
      </c>
      <c r="T103">
        <v>11</v>
      </c>
      <c r="U103">
        <v>8</v>
      </c>
      <c r="V103">
        <v>1</v>
      </c>
    </row>
    <row r="104" spans="1:34" x14ac:dyDescent="0.25">
      <c r="A104" s="17">
        <v>4</v>
      </c>
      <c r="B104" s="17">
        <v>1</v>
      </c>
      <c r="C104" s="17"/>
      <c r="D104" s="17" t="str">
        <f>PTSRKPOULES[[#This Row],[J Poule]]&amp;PTSRKPOULES[[#This Row],[Clt]]&amp;PTSRKPOULES[[#This Row],[PM]]</f>
        <v>41</v>
      </c>
      <c r="E104" s="17">
        <v>25</v>
      </c>
      <c r="F104" s="17">
        <v>14</v>
      </c>
      <c r="G104" s="17"/>
      <c r="T104">
        <v>12</v>
      </c>
      <c r="U104">
        <v>8</v>
      </c>
      <c r="V104">
        <v>1</v>
      </c>
    </row>
    <row r="105" spans="1:34" x14ac:dyDescent="0.25">
      <c r="A105" s="17">
        <v>4</v>
      </c>
      <c r="B105" s="17">
        <v>2</v>
      </c>
      <c r="C105" s="17">
        <v>5</v>
      </c>
      <c r="D105" s="17" t="str">
        <f>PTSRKPOULES[[#This Row],[J Poule]]&amp;PTSRKPOULES[[#This Row],[Clt]]&amp;PTSRKPOULES[[#This Row],[PM]]</f>
        <v>425</v>
      </c>
      <c r="E105" s="17">
        <v>20</v>
      </c>
      <c r="F105" s="17">
        <v>11</v>
      </c>
      <c r="G105" s="17"/>
      <c r="T105">
        <v>13</v>
      </c>
      <c r="U105">
        <v>6</v>
      </c>
      <c r="V105">
        <v>1</v>
      </c>
    </row>
    <row r="106" spans="1:34" x14ac:dyDescent="0.25">
      <c r="A106" s="17">
        <v>4</v>
      </c>
      <c r="B106" s="17">
        <v>2</v>
      </c>
      <c r="C106" s="17">
        <v>4</v>
      </c>
      <c r="D106" s="17" t="str">
        <f>PTSRKPOULES[[#This Row],[J Poule]]&amp;PTSRKPOULES[[#This Row],[Clt]]&amp;PTSRKPOULES[[#This Row],[PM]]</f>
        <v>424</v>
      </c>
      <c r="E106" s="17">
        <v>20</v>
      </c>
      <c r="F106" s="17">
        <v>11</v>
      </c>
      <c r="G106" s="17"/>
      <c r="T106">
        <v>14</v>
      </c>
      <c r="U106">
        <v>6</v>
      </c>
      <c r="V106">
        <v>1</v>
      </c>
    </row>
    <row r="107" spans="1:34" x14ac:dyDescent="0.25">
      <c r="A107" s="17">
        <v>4</v>
      </c>
      <c r="B107" s="17">
        <v>2</v>
      </c>
      <c r="C107" s="17">
        <v>3</v>
      </c>
      <c r="D107" s="17" t="str">
        <f>PTSRKPOULES[[#This Row],[J Poule]]&amp;PTSRKPOULES[[#This Row],[Clt]]&amp;PTSRKPOULES[[#This Row],[PM]]</f>
        <v>423</v>
      </c>
      <c r="E107" s="17">
        <v>20</v>
      </c>
      <c r="F107" s="17">
        <v>11</v>
      </c>
      <c r="G107" s="17"/>
      <c r="T107">
        <v>15</v>
      </c>
      <c r="U107">
        <v>6</v>
      </c>
      <c r="V107">
        <v>1</v>
      </c>
    </row>
    <row r="108" spans="1:34" x14ac:dyDescent="0.25">
      <c r="A108" s="17">
        <v>4</v>
      </c>
      <c r="B108" s="17">
        <v>2</v>
      </c>
      <c r="C108" s="17">
        <v>2</v>
      </c>
      <c r="D108" s="17" t="str">
        <f>PTSRKPOULES[[#This Row],[J Poule]]&amp;PTSRKPOULES[[#This Row],[Clt]]&amp;PTSRKPOULES[[#This Row],[PM]]</f>
        <v>422</v>
      </c>
      <c r="E108" s="17">
        <v>20</v>
      </c>
      <c r="F108" s="17">
        <v>11</v>
      </c>
      <c r="G108" s="17"/>
      <c r="T108">
        <v>16</v>
      </c>
      <c r="U108">
        <v>6</v>
      </c>
      <c r="V108">
        <v>1</v>
      </c>
    </row>
    <row r="109" spans="1:34" x14ac:dyDescent="0.25">
      <c r="A109" s="17">
        <v>4</v>
      </c>
      <c r="B109" s="17">
        <v>3</v>
      </c>
      <c r="C109" s="17">
        <v>4</v>
      </c>
      <c r="D109" s="17" t="str">
        <f>PTSRKPOULES[[#This Row],[J Poule]]&amp;PTSRKPOULES[[#This Row],[Clt]]&amp;PTSRKPOULES[[#This Row],[PM]]</f>
        <v>434</v>
      </c>
      <c r="E109" s="17">
        <v>15</v>
      </c>
      <c r="F109" s="17">
        <v>8</v>
      </c>
      <c r="G109" s="17"/>
      <c r="T109">
        <v>17</v>
      </c>
      <c r="U109">
        <v>4</v>
      </c>
      <c r="V109">
        <v>1</v>
      </c>
    </row>
    <row r="110" spans="1:34" x14ac:dyDescent="0.25">
      <c r="A110" s="17">
        <v>4</v>
      </c>
      <c r="B110" s="17">
        <v>3</v>
      </c>
      <c r="C110" s="17">
        <v>3</v>
      </c>
      <c r="D110" s="17" t="str">
        <f>PTSRKPOULES[[#This Row],[J Poule]]&amp;PTSRKPOULES[[#This Row],[Clt]]&amp;PTSRKPOULES[[#This Row],[PM]]</f>
        <v>433</v>
      </c>
      <c r="E110" s="17">
        <v>15</v>
      </c>
      <c r="F110" s="17">
        <v>8</v>
      </c>
      <c r="G110" s="17"/>
      <c r="T110">
        <v>18</v>
      </c>
      <c r="U110">
        <v>4</v>
      </c>
      <c r="V110">
        <v>1</v>
      </c>
    </row>
    <row r="111" spans="1:34" x14ac:dyDescent="0.25">
      <c r="A111" s="17">
        <v>4</v>
      </c>
      <c r="B111" s="17">
        <v>3</v>
      </c>
      <c r="C111" s="17">
        <v>2</v>
      </c>
      <c r="D111" s="17" t="str">
        <f>PTSRKPOULES[[#This Row],[J Poule]]&amp;PTSRKPOULES[[#This Row],[Clt]]&amp;PTSRKPOULES[[#This Row],[PM]]</f>
        <v>432</v>
      </c>
      <c r="E111" s="17">
        <v>15</v>
      </c>
      <c r="F111" s="17">
        <v>8</v>
      </c>
      <c r="G111" s="17"/>
      <c r="T111">
        <v>19</v>
      </c>
      <c r="U111">
        <v>4</v>
      </c>
      <c r="V111">
        <v>1</v>
      </c>
    </row>
    <row r="112" spans="1:34" x14ac:dyDescent="0.25">
      <c r="A112" s="17">
        <v>4</v>
      </c>
      <c r="B112" s="17">
        <v>3</v>
      </c>
      <c r="C112" s="17">
        <v>1</v>
      </c>
      <c r="D112" s="17" t="str">
        <f>PTSRKPOULES[[#This Row],[J Poule]]&amp;PTSRKPOULES[[#This Row],[Clt]]&amp;PTSRKPOULES[[#This Row],[PM]]</f>
        <v>431</v>
      </c>
      <c r="E112" s="17">
        <v>15</v>
      </c>
      <c r="F112" s="17">
        <v>8</v>
      </c>
      <c r="G112" s="17"/>
      <c r="T112">
        <v>20</v>
      </c>
      <c r="U112">
        <v>4</v>
      </c>
      <c r="V112">
        <v>1</v>
      </c>
    </row>
    <row r="113" spans="1:22" x14ac:dyDescent="0.25">
      <c r="A113" s="17">
        <v>4</v>
      </c>
      <c r="B113" s="17">
        <v>4</v>
      </c>
      <c r="C113" s="17">
        <v>3</v>
      </c>
      <c r="D113" s="17" t="str">
        <f>PTSRKPOULES[[#This Row],[J Poule]]&amp;PTSRKPOULES[[#This Row],[Clt]]&amp;PTSRKPOULES[[#This Row],[PM]]</f>
        <v>443</v>
      </c>
      <c r="E113" s="17">
        <v>10</v>
      </c>
      <c r="F113" s="17">
        <v>5</v>
      </c>
      <c r="G113" s="17"/>
      <c r="T113">
        <v>21</v>
      </c>
      <c r="U113">
        <v>2</v>
      </c>
      <c r="V113">
        <v>1</v>
      </c>
    </row>
    <row r="114" spans="1:22" x14ac:dyDescent="0.25">
      <c r="A114" s="17">
        <v>4</v>
      </c>
      <c r="B114" s="17">
        <v>4</v>
      </c>
      <c r="C114" s="17">
        <v>2</v>
      </c>
      <c r="D114" s="17" t="str">
        <f>PTSRKPOULES[[#This Row],[J Poule]]&amp;PTSRKPOULES[[#This Row],[Clt]]&amp;PTSRKPOULES[[#This Row],[PM]]</f>
        <v>442</v>
      </c>
      <c r="E114" s="17">
        <v>10</v>
      </c>
      <c r="F114" s="17">
        <v>5</v>
      </c>
      <c r="G114" s="17"/>
      <c r="T114">
        <v>22</v>
      </c>
      <c r="U114">
        <v>2</v>
      </c>
      <c r="V114">
        <v>1</v>
      </c>
    </row>
    <row r="115" spans="1:22" x14ac:dyDescent="0.25">
      <c r="A115" s="17">
        <v>4</v>
      </c>
      <c r="B115" s="17">
        <v>4</v>
      </c>
      <c r="C115" s="17">
        <v>1</v>
      </c>
      <c r="D115" s="17" t="str">
        <f>PTSRKPOULES[[#This Row],[J Poule]]&amp;PTSRKPOULES[[#This Row],[Clt]]&amp;PTSRKPOULES[[#This Row],[PM]]</f>
        <v>441</v>
      </c>
      <c r="E115" s="17">
        <v>10</v>
      </c>
      <c r="F115" s="17">
        <v>5</v>
      </c>
      <c r="G115" s="17"/>
      <c r="T115">
        <v>23</v>
      </c>
      <c r="U115">
        <v>2</v>
      </c>
      <c r="V115">
        <v>1</v>
      </c>
    </row>
    <row r="116" spans="1:22" x14ac:dyDescent="0.25">
      <c r="A116" s="17">
        <v>4</v>
      </c>
      <c r="B116" s="17">
        <v>4</v>
      </c>
      <c r="C116" s="17">
        <v>0</v>
      </c>
      <c r="D116" s="17" t="str">
        <f>PTSRKPOULES[[#This Row],[J Poule]]&amp;PTSRKPOULES[[#This Row],[Clt]]&amp;PTSRKPOULES[[#This Row],[PM]]</f>
        <v>440</v>
      </c>
      <c r="E116" s="17">
        <v>10</v>
      </c>
      <c r="F116" s="17">
        <v>3</v>
      </c>
      <c r="G116" s="17"/>
      <c r="T116">
        <v>24</v>
      </c>
      <c r="U116">
        <v>2</v>
      </c>
      <c r="V116">
        <v>1</v>
      </c>
    </row>
    <row r="117" spans="1:22" x14ac:dyDescent="0.25">
      <c r="A117" s="17">
        <v>5</v>
      </c>
      <c r="B117" s="17">
        <v>1</v>
      </c>
      <c r="C117" s="17"/>
      <c r="D117" s="17" t="str">
        <f>PTSRKPOULES[[#This Row],[J Poule]]&amp;PTSRKPOULES[[#This Row],[Clt]]&amp;PTSRKPOULES[[#This Row],[PM]]</f>
        <v>51</v>
      </c>
      <c r="E117" s="17">
        <v>25</v>
      </c>
      <c r="F117" s="17">
        <v>14</v>
      </c>
      <c r="G117" s="17"/>
      <c r="T117">
        <v>25</v>
      </c>
      <c r="U117">
        <v>1</v>
      </c>
      <c r="V117">
        <v>1</v>
      </c>
    </row>
    <row r="118" spans="1:22" x14ac:dyDescent="0.25">
      <c r="A118" s="17">
        <v>5</v>
      </c>
      <c r="B118" s="17">
        <v>2</v>
      </c>
      <c r="C118" s="17">
        <v>7</v>
      </c>
      <c r="D118" s="17" t="str">
        <f>PTSRKPOULES[[#This Row],[J Poule]]&amp;PTSRKPOULES[[#This Row],[Clt]]&amp;PTSRKPOULES[[#This Row],[PM]]</f>
        <v>527</v>
      </c>
      <c r="E118" s="17">
        <v>20</v>
      </c>
      <c r="F118" s="17">
        <v>11</v>
      </c>
      <c r="G118" s="17"/>
      <c r="T118">
        <v>26</v>
      </c>
      <c r="U118">
        <v>1</v>
      </c>
      <c r="V118">
        <v>1</v>
      </c>
    </row>
    <row r="119" spans="1:22" x14ac:dyDescent="0.25">
      <c r="A119" s="17">
        <v>5</v>
      </c>
      <c r="B119" s="17">
        <v>2</v>
      </c>
      <c r="C119" s="17">
        <v>6</v>
      </c>
      <c r="D119" s="17" t="str">
        <f>PTSRKPOULES[[#This Row],[J Poule]]&amp;PTSRKPOULES[[#This Row],[Clt]]&amp;PTSRKPOULES[[#This Row],[PM]]</f>
        <v>526</v>
      </c>
      <c r="E119" s="17">
        <v>20</v>
      </c>
      <c r="F119" s="17">
        <v>11</v>
      </c>
      <c r="G119" s="17"/>
      <c r="T119">
        <v>27</v>
      </c>
      <c r="U119">
        <v>1</v>
      </c>
      <c r="V119">
        <v>1</v>
      </c>
    </row>
    <row r="120" spans="1:22" x14ac:dyDescent="0.25">
      <c r="A120" s="17">
        <v>5</v>
      </c>
      <c r="B120" s="17">
        <v>2</v>
      </c>
      <c r="C120" s="17">
        <v>5</v>
      </c>
      <c r="D120" s="17" t="str">
        <f>PTSRKPOULES[[#This Row],[J Poule]]&amp;PTSRKPOULES[[#This Row],[Clt]]&amp;PTSRKPOULES[[#This Row],[PM]]</f>
        <v>525</v>
      </c>
      <c r="E120" s="17">
        <v>20</v>
      </c>
      <c r="F120" s="17">
        <v>11</v>
      </c>
      <c r="G120" s="17"/>
      <c r="T120">
        <v>28</v>
      </c>
      <c r="U120">
        <v>1</v>
      </c>
      <c r="V120">
        <v>1</v>
      </c>
    </row>
    <row r="121" spans="1:22" x14ac:dyDescent="0.25">
      <c r="A121" s="17">
        <v>5</v>
      </c>
      <c r="B121" s="17">
        <v>2</v>
      </c>
      <c r="C121" s="17">
        <v>4</v>
      </c>
      <c r="D121" s="17" t="str">
        <f>PTSRKPOULES[[#This Row],[J Poule]]&amp;PTSRKPOULES[[#This Row],[Clt]]&amp;PTSRKPOULES[[#This Row],[PM]]</f>
        <v>524</v>
      </c>
      <c r="E121" s="17">
        <v>20</v>
      </c>
      <c r="F121" s="17">
        <v>11</v>
      </c>
      <c r="G121" s="17"/>
      <c r="T121">
        <v>29</v>
      </c>
      <c r="U121">
        <v>1</v>
      </c>
      <c r="V121">
        <v>1</v>
      </c>
    </row>
    <row r="122" spans="1:22" x14ac:dyDescent="0.25">
      <c r="A122" s="17">
        <v>5</v>
      </c>
      <c r="B122" s="17">
        <v>2</v>
      </c>
      <c r="C122" s="17">
        <v>3</v>
      </c>
      <c r="D122" s="17" t="str">
        <f>PTSRKPOULES[[#This Row],[J Poule]]&amp;PTSRKPOULES[[#This Row],[Clt]]&amp;PTSRKPOULES[[#This Row],[PM]]</f>
        <v>523</v>
      </c>
      <c r="E122" s="17">
        <v>20</v>
      </c>
      <c r="F122" s="17">
        <v>11</v>
      </c>
      <c r="G122" s="17"/>
      <c r="T122">
        <v>30</v>
      </c>
      <c r="U122">
        <v>1</v>
      </c>
      <c r="V122">
        <v>1</v>
      </c>
    </row>
    <row r="123" spans="1:22" x14ac:dyDescent="0.25">
      <c r="A123" s="17">
        <v>5</v>
      </c>
      <c r="B123" s="17">
        <v>2</v>
      </c>
      <c r="C123" s="17">
        <v>2</v>
      </c>
      <c r="D123" s="17" t="str">
        <f>PTSRKPOULES[[#This Row],[J Poule]]&amp;PTSRKPOULES[[#This Row],[Clt]]&amp;PTSRKPOULES[[#This Row],[PM]]</f>
        <v>522</v>
      </c>
      <c r="E123" s="17">
        <v>20</v>
      </c>
      <c r="F123" s="17">
        <v>11</v>
      </c>
      <c r="G123" s="17"/>
      <c r="T123">
        <v>31</v>
      </c>
      <c r="U123">
        <v>1</v>
      </c>
      <c r="V123">
        <v>1</v>
      </c>
    </row>
    <row r="124" spans="1:22" x14ac:dyDescent="0.25">
      <c r="A124" s="17">
        <v>5</v>
      </c>
      <c r="B124" s="17">
        <v>3</v>
      </c>
      <c r="C124" s="17">
        <v>6</v>
      </c>
      <c r="D124" s="17" t="str">
        <f>PTSRKPOULES[[#This Row],[J Poule]]&amp;PTSRKPOULES[[#This Row],[Clt]]&amp;PTSRKPOULES[[#This Row],[PM]]</f>
        <v>536</v>
      </c>
      <c r="E124" s="17">
        <v>15</v>
      </c>
      <c r="F124" s="17">
        <v>8</v>
      </c>
      <c r="G124" s="17"/>
      <c r="T124">
        <v>32</v>
      </c>
      <c r="U124">
        <v>1</v>
      </c>
      <c r="V124">
        <v>1</v>
      </c>
    </row>
    <row r="125" spans="1:22" x14ac:dyDescent="0.25">
      <c r="A125" s="17">
        <v>5</v>
      </c>
      <c r="B125" s="17">
        <v>3</v>
      </c>
      <c r="C125" s="17">
        <v>5</v>
      </c>
      <c r="D125" s="17" t="str">
        <f>PTSRKPOULES[[#This Row],[J Poule]]&amp;PTSRKPOULES[[#This Row],[Clt]]&amp;PTSRKPOULES[[#This Row],[PM]]</f>
        <v>535</v>
      </c>
      <c r="E125" s="17">
        <v>15</v>
      </c>
      <c r="F125" s="17">
        <v>8</v>
      </c>
      <c r="G125" s="17"/>
      <c r="T125">
        <v>33</v>
      </c>
      <c r="U125">
        <v>1</v>
      </c>
      <c r="V125">
        <v>1</v>
      </c>
    </row>
    <row r="126" spans="1:22" x14ac:dyDescent="0.25">
      <c r="A126" s="17">
        <v>5</v>
      </c>
      <c r="B126" s="17">
        <v>3</v>
      </c>
      <c r="C126" s="17">
        <v>4</v>
      </c>
      <c r="D126" s="17" t="str">
        <f>PTSRKPOULES[[#This Row],[J Poule]]&amp;PTSRKPOULES[[#This Row],[Clt]]&amp;PTSRKPOULES[[#This Row],[PM]]</f>
        <v>534</v>
      </c>
      <c r="E126" s="17">
        <v>15</v>
      </c>
      <c r="F126" s="17">
        <v>8</v>
      </c>
      <c r="G126" s="17"/>
      <c r="T126">
        <v>34</v>
      </c>
      <c r="U126">
        <v>1</v>
      </c>
      <c r="V126">
        <v>1</v>
      </c>
    </row>
    <row r="127" spans="1:22" x14ac:dyDescent="0.25">
      <c r="A127" s="17">
        <v>5</v>
      </c>
      <c r="B127" s="17">
        <v>3</v>
      </c>
      <c r="C127" s="17">
        <v>3</v>
      </c>
      <c r="D127" s="17" t="str">
        <f>PTSRKPOULES[[#This Row],[J Poule]]&amp;PTSRKPOULES[[#This Row],[Clt]]&amp;PTSRKPOULES[[#This Row],[PM]]</f>
        <v>533</v>
      </c>
      <c r="E127" s="17">
        <v>15</v>
      </c>
      <c r="F127" s="17">
        <v>8</v>
      </c>
      <c r="G127" s="17"/>
      <c r="T127">
        <v>35</v>
      </c>
      <c r="U127">
        <v>1</v>
      </c>
      <c r="V127">
        <v>1</v>
      </c>
    </row>
    <row r="128" spans="1:22" x14ac:dyDescent="0.25">
      <c r="A128" s="17">
        <v>5</v>
      </c>
      <c r="B128" s="17">
        <v>3</v>
      </c>
      <c r="C128" s="17">
        <v>2</v>
      </c>
      <c r="D128" s="17" t="str">
        <f>PTSRKPOULES[[#This Row],[J Poule]]&amp;PTSRKPOULES[[#This Row],[Clt]]&amp;PTSRKPOULES[[#This Row],[PM]]</f>
        <v>532</v>
      </c>
      <c r="E128" s="17">
        <v>15</v>
      </c>
      <c r="F128" s="17">
        <v>8</v>
      </c>
      <c r="G128" s="17"/>
      <c r="T128">
        <v>36</v>
      </c>
      <c r="U128">
        <v>1</v>
      </c>
      <c r="V128">
        <v>1</v>
      </c>
    </row>
    <row r="129" spans="1:7" x14ac:dyDescent="0.25">
      <c r="A129" s="17">
        <v>5</v>
      </c>
      <c r="B129" s="17">
        <v>3</v>
      </c>
      <c r="C129" s="17">
        <v>1</v>
      </c>
      <c r="D129" s="17" t="str">
        <f>PTSRKPOULES[[#This Row],[J Poule]]&amp;PTSRKPOULES[[#This Row],[Clt]]&amp;PTSRKPOULES[[#This Row],[PM]]</f>
        <v>531</v>
      </c>
      <c r="E129" s="17">
        <v>15</v>
      </c>
      <c r="F129" s="17">
        <v>8</v>
      </c>
      <c r="G129" s="17"/>
    </row>
    <row r="130" spans="1:7" x14ac:dyDescent="0.25">
      <c r="A130" s="17">
        <v>5</v>
      </c>
      <c r="B130" s="17">
        <v>4</v>
      </c>
      <c r="C130" s="17">
        <v>5</v>
      </c>
      <c r="D130" s="17" t="str">
        <f>PTSRKPOULES[[#This Row],[J Poule]]&amp;PTSRKPOULES[[#This Row],[Clt]]&amp;PTSRKPOULES[[#This Row],[PM]]</f>
        <v>545</v>
      </c>
      <c r="E130" s="17">
        <v>10</v>
      </c>
      <c r="F130" s="17">
        <v>5</v>
      </c>
      <c r="G130" s="17"/>
    </row>
    <row r="131" spans="1:7" x14ac:dyDescent="0.25">
      <c r="A131" s="17">
        <v>5</v>
      </c>
      <c r="B131" s="17">
        <v>4</v>
      </c>
      <c r="C131" s="17">
        <v>4</v>
      </c>
      <c r="D131" s="17" t="str">
        <f>PTSRKPOULES[[#This Row],[J Poule]]&amp;PTSRKPOULES[[#This Row],[Clt]]&amp;PTSRKPOULES[[#This Row],[PM]]</f>
        <v>544</v>
      </c>
      <c r="E131" s="17">
        <v>10</v>
      </c>
      <c r="F131" s="17">
        <v>5</v>
      </c>
      <c r="G131" s="17"/>
    </row>
    <row r="132" spans="1:7" x14ac:dyDescent="0.25">
      <c r="A132" s="17">
        <v>5</v>
      </c>
      <c r="B132" s="17">
        <v>4</v>
      </c>
      <c r="C132" s="17">
        <v>3</v>
      </c>
      <c r="D132" s="17" t="str">
        <f>PTSRKPOULES[[#This Row],[J Poule]]&amp;PTSRKPOULES[[#This Row],[Clt]]&amp;PTSRKPOULES[[#This Row],[PM]]</f>
        <v>543</v>
      </c>
      <c r="E132" s="17">
        <v>10</v>
      </c>
      <c r="F132" s="17">
        <v>5</v>
      </c>
      <c r="G132" s="17"/>
    </row>
    <row r="133" spans="1:7" x14ac:dyDescent="0.25">
      <c r="A133" s="17">
        <v>5</v>
      </c>
      <c r="B133" s="17">
        <v>4</v>
      </c>
      <c r="C133" s="17">
        <v>2</v>
      </c>
      <c r="D133" s="17" t="str">
        <f>PTSRKPOULES[[#This Row],[J Poule]]&amp;PTSRKPOULES[[#This Row],[Clt]]&amp;PTSRKPOULES[[#This Row],[PM]]</f>
        <v>542</v>
      </c>
      <c r="E133" s="17">
        <v>10</v>
      </c>
      <c r="F133" s="17">
        <v>5</v>
      </c>
      <c r="G133" s="17"/>
    </row>
    <row r="134" spans="1:7" x14ac:dyDescent="0.25">
      <c r="A134" s="17">
        <v>5</v>
      </c>
      <c r="B134" s="17">
        <v>4</v>
      </c>
      <c r="C134" s="17">
        <v>1</v>
      </c>
      <c r="D134" s="17" t="str">
        <f>PTSRKPOULES[[#This Row],[J Poule]]&amp;PTSRKPOULES[[#This Row],[Clt]]&amp;PTSRKPOULES[[#This Row],[PM]]</f>
        <v>541</v>
      </c>
      <c r="E134" s="17">
        <v>10</v>
      </c>
      <c r="F134" s="17">
        <v>5</v>
      </c>
      <c r="G134" s="17"/>
    </row>
    <row r="135" spans="1:7" x14ac:dyDescent="0.25">
      <c r="A135" s="17">
        <v>5</v>
      </c>
      <c r="B135" s="17">
        <v>4</v>
      </c>
      <c r="C135" s="17">
        <v>0</v>
      </c>
      <c r="D135" s="17" t="str">
        <f>PTSRKPOULES[[#This Row],[J Poule]]&amp;PTSRKPOULES[[#This Row],[Clt]]&amp;PTSRKPOULES[[#This Row],[PM]]</f>
        <v>540</v>
      </c>
      <c r="E135" s="17">
        <v>10</v>
      </c>
      <c r="F135" s="17">
        <v>3</v>
      </c>
      <c r="G135" s="17"/>
    </row>
    <row r="136" spans="1:7" x14ac:dyDescent="0.25">
      <c r="A136" s="17">
        <v>5</v>
      </c>
      <c r="B136" s="17">
        <v>5</v>
      </c>
      <c r="C136" s="17">
        <v>4</v>
      </c>
      <c r="D136" s="17" t="str">
        <f>PTSRKPOULES[[#This Row],[J Poule]]&amp;PTSRKPOULES[[#This Row],[Clt]]&amp;PTSRKPOULES[[#This Row],[PM]]</f>
        <v>554</v>
      </c>
      <c r="E136" s="17">
        <v>5</v>
      </c>
      <c r="F136" s="17">
        <v>3</v>
      </c>
      <c r="G136" s="17"/>
    </row>
    <row r="137" spans="1:7" x14ac:dyDescent="0.25">
      <c r="A137" s="17">
        <v>5</v>
      </c>
      <c r="B137" s="17">
        <v>5</v>
      </c>
      <c r="C137" s="17">
        <v>3</v>
      </c>
      <c r="D137" s="17" t="str">
        <f>PTSRKPOULES[[#This Row],[J Poule]]&amp;PTSRKPOULES[[#This Row],[Clt]]&amp;PTSRKPOULES[[#This Row],[PM]]</f>
        <v>553</v>
      </c>
      <c r="E137" s="17">
        <v>5</v>
      </c>
      <c r="F137" s="17">
        <v>3</v>
      </c>
      <c r="G137" s="17"/>
    </row>
    <row r="138" spans="1:7" x14ac:dyDescent="0.25">
      <c r="A138" s="17">
        <v>5</v>
      </c>
      <c r="B138" s="17">
        <v>5</v>
      </c>
      <c r="C138" s="17">
        <v>2</v>
      </c>
      <c r="D138" s="17" t="str">
        <f>PTSRKPOULES[[#This Row],[J Poule]]&amp;PTSRKPOULES[[#This Row],[Clt]]&amp;PTSRKPOULES[[#This Row],[PM]]</f>
        <v>552</v>
      </c>
      <c r="E138" s="17">
        <v>5</v>
      </c>
      <c r="F138" s="17">
        <v>3</v>
      </c>
      <c r="G138" s="17"/>
    </row>
    <row r="139" spans="1:7" x14ac:dyDescent="0.25">
      <c r="A139" s="17">
        <v>5</v>
      </c>
      <c r="B139" s="17">
        <v>5</v>
      </c>
      <c r="C139" s="17">
        <v>1</v>
      </c>
      <c r="D139" s="17" t="str">
        <f>PTSRKPOULES[[#This Row],[J Poule]]&amp;PTSRKPOULES[[#This Row],[Clt]]&amp;PTSRKPOULES[[#This Row],[PM]]</f>
        <v>551</v>
      </c>
      <c r="E139" s="17">
        <v>5</v>
      </c>
      <c r="F139" s="17">
        <v>3</v>
      </c>
      <c r="G139" s="17"/>
    </row>
    <row r="140" spans="1:7" x14ac:dyDescent="0.25">
      <c r="A140" s="17">
        <v>5</v>
      </c>
      <c r="B140" s="17">
        <v>5</v>
      </c>
      <c r="C140" s="17">
        <v>0</v>
      </c>
      <c r="D140" s="17" t="str">
        <f>PTSRKPOULES[[#This Row],[J Poule]]&amp;PTSRKPOULES[[#This Row],[Clt]]&amp;PTSRKPOULES[[#This Row],[PM]]</f>
        <v>550</v>
      </c>
      <c r="E140" s="17">
        <v>5</v>
      </c>
      <c r="F140" s="17">
        <v>1</v>
      </c>
      <c r="G140" s="17"/>
    </row>
    <row r="141" spans="1:7" x14ac:dyDescent="0.25">
      <c r="A141" s="17">
        <v>6</v>
      </c>
      <c r="B141" s="17">
        <v>1</v>
      </c>
      <c r="C141" s="17"/>
      <c r="D141" s="17" t="str">
        <f>PTSRKPOULES[[#This Row],[J Poule]]&amp;PTSRKPOULES[[#This Row],[Clt]]&amp;PTSRKPOULES[[#This Row],[PM]]</f>
        <v>61</v>
      </c>
      <c r="E141" s="17">
        <v>25</v>
      </c>
      <c r="F141" s="17">
        <v>14</v>
      </c>
      <c r="G141" s="17"/>
    </row>
    <row r="142" spans="1:7" x14ac:dyDescent="0.25">
      <c r="A142" s="17">
        <v>6</v>
      </c>
      <c r="B142" s="17">
        <v>2</v>
      </c>
      <c r="C142" s="17"/>
      <c r="D142" s="17" t="str">
        <f>PTSRKPOULES[[#This Row],[J Poule]]&amp;PTSRKPOULES[[#This Row],[Clt]]&amp;PTSRKPOULES[[#This Row],[PM]]</f>
        <v>62</v>
      </c>
      <c r="E142" s="17">
        <v>20</v>
      </c>
      <c r="F142" s="17">
        <v>11</v>
      </c>
      <c r="G142" s="17"/>
    </row>
    <row r="143" spans="1:7" x14ac:dyDescent="0.25">
      <c r="A143" s="17">
        <v>6</v>
      </c>
      <c r="B143" s="17">
        <v>3</v>
      </c>
      <c r="C143" s="17"/>
      <c r="D143" s="17" t="str">
        <f>PTSRKPOULES[[#This Row],[J Poule]]&amp;PTSRKPOULES[[#This Row],[Clt]]&amp;PTSRKPOULES[[#This Row],[PM]]</f>
        <v>63</v>
      </c>
      <c r="E143" s="17">
        <v>15</v>
      </c>
      <c r="F143" s="17">
        <v>8</v>
      </c>
      <c r="G143" s="17"/>
    </row>
    <row r="144" spans="1:7" x14ac:dyDescent="0.25">
      <c r="A144" s="17">
        <v>6</v>
      </c>
      <c r="B144" s="17">
        <v>4</v>
      </c>
      <c r="C144" s="17"/>
      <c r="D144" s="17" t="str">
        <f>PTSRKPOULES[[#This Row],[J Poule]]&amp;PTSRKPOULES[[#This Row],[Clt]]&amp;PTSRKPOULES[[#This Row],[PM]]</f>
        <v>64</v>
      </c>
      <c r="E144" s="17">
        <v>10</v>
      </c>
      <c r="F144" s="17">
        <v>5</v>
      </c>
      <c r="G144" s="17"/>
    </row>
    <row r="145" spans="1:7" x14ac:dyDescent="0.25">
      <c r="A145" s="17">
        <v>6</v>
      </c>
      <c r="B145" s="17">
        <v>5</v>
      </c>
      <c r="C145" s="17"/>
      <c r="D145" s="17" t="str">
        <f>PTSRKPOULES[[#This Row],[J Poule]]&amp;PTSRKPOULES[[#This Row],[Clt]]&amp;PTSRKPOULES[[#This Row],[PM]]</f>
        <v>65</v>
      </c>
      <c r="E145" s="17">
        <v>5</v>
      </c>
      <c r="F145" s="17">
        <v>3</v>
      </c>
      <c r="G145" s="17"/>
    </row>
    <row r="146" spans="1:7" x14ac:dyDescent="0.25">
      <c r="A146" s="17">
        <v>6</v>
      </c>
      <c r="B146" s="17">
        <v>6</v>
      </c>
      <c r="C146" s="17"/>
      <c r="D146" s="17" t="str">
        <f>PTSRKPOULES[[#This Row],[J Poule]]&amp;PTSRKPOULES[[#This Row],[Clt]]&amp;PTSRKPOULES[[#This Row],[PM]]</f>
        <v>66</v>
      </c>
      <c r="E146" s="17">
        <v>1</v>
      </c>
      <c r="F146" s="17">
        <v>1</v>
      </c>
      <c r="G146" s="17"/>
    </row>
  </sheetData>
  <sheetProtection algorithmName="SHA-512" hashValue="pfUuAofpyNv6e54O8bFTe59L766lIVSCccMv4XcLFt9b234uuPf0urhuKntaCY/6hRYBjK6uNx/Hfr7tNe/Xmg==" saltValue="a2hzEvvyVFmN28CxvY+8yA==" spinCount="100000" sheet="1" objects="1" scenarios="1"/>
  <mergeCells count="5">
    <mergeCell ref="J91:N91"/>
    <mergeCell ref="T91:V91"/>
    <mergeCell ref="A91:G91"/>
    <mergeCell ref="Y91:AC91"/>
    <mergeCell ref="AE91:AH91"/>
  </mergeCells>
  <phoneticPr fontId="13" type="noConversion"/>
  <pageMargins left="0.7" right="0.7" top="0.75" bottom="0.75" header="0.3" footer="0.3"/>
  <tableParts count="6">
    <tablePart r:id="rId1"/>
    <tablePart r:id="rId2"/>
    <tablePart r:id="rId3"/>
    <tablePart r:id="rId4"/>
    <tablePart r:id="rId5"/>
    <tablePart r:id="rId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F1A5-C8D9-4982-AE6B-FA4024485CA5}">
  <sheetPr codeName="Feuil11"/>
  <dimension ref="A1:I1004"/>
  <sheetViews>
    <sheetView topLeftCell="A970" workbookViewId="0">
      <selection activeCell="I1013" sqref="I1013"/>
    </sheetView>
  </sheetViews>
  <sheetFormatPr baseColWidth="10" defaultRowHeight="15" x14ac:dyDescent="0.25"/>
  <cols>
    <col min="1" max="1" width="13.42578125" customWidth="1"/>
    <col min="2" max="2" width="13.42578125" bestFit="1" customWidth="1"/>
    <col min="3" max="3" width="44" bestFit="1" customWidth="1"/>
    <col min="4" max="5" width="11.85546875" customWidth="1"/>
    <col min="6" max="7" width="16.42578125" customWidth="1"/>
    <col min="9" max="9" width="76.85546875" bestFit="1" customWidth="1"/>
  </cols>
  <sheetData>
    <row r="1" spans="1:9" ht="15.75" thickBot="1" x14ac:dyDescent="0.3">
      <c r="A1" s="130" t="s">
        <v>27</v>
      </c>
      <c r="B1" s="130" t="s">
        <v>5545</v>
      </c>
      <c r="C1" s="130" t="s">
        <v>5546</v>
      </c>
      <c r="D1" s="130" t="s">
        <v>5512</v>
      </c>
      <c r="E1" s="130" t="s">
        <v>8596</v>
      </c>
      <c r="F1" s="131" t="s">
        <v>5547</v>
      </c>
      <c r="G1" s="131" t="s">
        <v>5548</v>
      </c>
      <c r="H1" s="132" t="s">
        <v>5549</v>
      </c>
      <c r="I1" s="130" t="s">
        <v>10</v>
      </c>
    </row>
    <row r="2" spans="1:9" ht="18.75" thickBot="1" x14ac:dyDescent="0.3">
      <c r="A2" s="133" t="str">
        <f t="shared" ref="A2:A65" si="0">SUBSTITUTE(B2,CHAR(32),"")</f>
        <v>133369P</v>
      </c>
      <c r="B2" s="133" t="s">
        <v>7074</v>
      </c>
      <c r="C2" s="133" t="s">
        <v>7075</v>
      </c>
      <c r="D2" s="133" t="s">
        <v>5505</v>
      </c>
      <c r="E2" s="134"/>
      <c r="F2" s="134">
        <v>1.42</v>
      </c>
      <c r="G2" s="135">
        <v>1.1299999999999999</v>
      </c>
      <c r="H2" s="133">
        <v>2016</v>
      </c>
      <c r="I2" s="152" t="s">
        <v>5582</v>
      </c>
    </row>
    <row r="3" spans="1:9" ht="18.75" thickBot="1" x14ac:dyDescent="0.3">
      <c r="A3" s="133" t="str">
        <f t="shared" si="0"/>
        <v>152728J</v>
      </c>
      <c r="B3" s="133" t="s">
        <v>7076</v>
      </c>
      <c r="C3" s="133" t="s">
        <v>7077</v>
      </c>
      <c r="D3" s="133" t="s">
        <v>5505</v>
      </c>
      <c r="E3" s="134"/>
      <c r="F3" s="134">
        <v>1.2</v>
      </c>
      <c r="G3" s="135">
        <v>0.96</v>
      </c>
      <c r="H3" s="133">
        <v>2019</v>
      </c>
      <c r="I3" s="152" t="s">
        <v>5912</v>
      </c>
    </row>
    <row r="4" spans="1:9" ht="18.75" thickBot="1" x14ac:dyDescent="0.3">
      <c r="A4" s="133" t="str">
        <f t="shared" si="0"/>
        <v>141158E</v>
      </c>
      <c r="B4" s="133" t="s">
        <v>5557</v>
      </c>
      <c r="C4" s="133" t="s">
        <v>5558</v>
      </c>
      <c r="D4" s="133" t="s">
        <v>5504</v>
      </c>
      <c r="E4" s="134"/>
      <c r="F4" s="134">
        <v>2.8</v>
      </c>
      <c r="G4" s="135">
        <v>2.2400000000000002</v>
      </c>
      <c r="H4" s="133">
        <v>2019</v>
      </c>
      <c r="I4" s="152" t="s">
        <v>5559</v>
      </c>
    </row>
    <row r="5" spans="1:9" ht="18.75" thickBot="1" x14ac:dyDescent="0.3">
      <c r="A5" s="133" t="str">
        <f t="shared" si="0"/>
        <v>119622W</v>
      </c>
      <c r="B5" s="133" t="s">
        <v>7535</v>
      </c>
      <c r="C5" s="133" t="s">
        <v>7536</v>
      </c>
      <c r="D5" s="133" t="s">
        <v>7537</v>
      </c>
      <c r="E5" s="134"/>
      <c r="F5" s="134">
        <v>1.1000000000000001</v>
      </c>
      <c r="G5" s="135">
        <v>0.88</v>
      </c>
      <c r="H5" s="133">
        <v>2012</v>
      </c>
      <c r="I5" s="152" t="s">
        <v>5678</v>
      </c>
    </row>
    <row r="6" spans="1:9" ht="18.75" thickBot="1" x14ac:dyDescent="0.3">
      <c r="A6" s="133" t="str">
        <f t="shared" si="0"/>
        <v>126763N</v>
      </c>
      <c r="B6" s="133" t="s">
        <v>5571</v>
      </c>
      <c r="C6" s="133" t="s">
        <v>5572</v>
      </c>
      <c r="D6" s="133" t="s">
        <v>5503</v>
      </c>
      <c r="E6" s="134"/>
      <c r="F6" s="134">
        <v>2.84</v>
      </c>
      <c r="G6" s="135">
        <v>2.27</v>
      </c>
      <c r="H6" s="133">
        <v>2020</v>
      </c>
      <c r="I6" s="152" t="s">
        <v>5573</v>
      </c>
    </row>
    <row r="7" spans="1:9" ht="18.75" thickBot="1" x14ac:dyDescent="0.3">
      <c r="A7" s="133" t="str">
        <f t="shared" si="0"/>
        <v>012406E</v>
      </c>
      <c r="B7" s="133" t="s">
        <v>5574</v>
      </c>
      <c r="C7" s="133" t="s">
        <v>5575</v>
      </c>
      <c r="D7" s="133" t="s">
        <v>5503</v>
      </c>
      <c r="E7" s="134"/>
      <c r="F7" s="134">
        <v>4.75</v>
      </c>
      <c r="G7" s="135">
        <v>3.8</v>
      </c>
      <c r="H7" s="133">
        <v>2020</v>
      </c>
      <c r="I7" s="152" t="s">
        <v>5559</v>
      </c>
    </row>
    <row r="8" spans="1:9" ht="18.75" thickBot="1" x14ac:dyDescent="0.3">
      <c r="A8" s="133" t="str">
        <f t="shared" si="0"/>
        <v>120146A</v>
      </c>
      <c r="B8" s="133" t="s">
        <v>5578</v>
      </c>
      <c r="C8" s="133" t="s">
        <v>5579</v>
      </c>
      <c r="D8" s="133" t="s">
        <v>5505</v>
      </c>
      <c r="E8" s="134"/>
      <c r="F8" s="134">
        <v>1.34</v>
      </c>
      <c r="G8" s="135">
        <v>1.07</v>
      </c>
      <c r="H8" s="133">
        <v>2015</v>
      </c>
      <c r="I8" s="152" t="s">
        <v>5566</v>
      </c>
    </row>
    <row r="9" spans="1:9" ht="18.75" thickBot="1" x14ac:dyDescent="0.3">
      <c r="A9" s="133" t="str">
        <f t="shared" si="0"/>
        <v>147571D</v>
      </c>
      <c r="B9" s="133" t="s">
        <v>5580</v>
      </c>
      <c r="C9" s="133" t="s">
        <v>5581</v>
      </c>
      <c r="D9" s="133" t="s">
        <v>5505</v>
      </c>
      <c r="E9" s="134"/>
      <c r="F9" s="134">
        <v>1.1399999999999999</v>
      </c>
      <c r="G9" s="135">
        <v>0.91</v>
      </c>
      <c r="H9" s="133">
        <v>2015</v>
      </c>
      <c r="I9" s="152" t="s">
        <v>5582</v>
      </c>
    </row>
    <row r="10" spans="1:9" ht="18.75" thickBot="1" x14ac:dyDescent="0.3">
      <c r="A10" s="133" t="str">
        <f t="shared" si="0"/>
        <v>012412K</v>
      </c>
      <c r="B10" s="133" t="s">
        <v>7078</v>
      </c>
      <c r="C10" s="133" t="s">
        <v>7079</v>
      </c>
      <c r="D10" s="133" t="s">
        <v>5504</v>
      </c>
      <c r="E10" s="134"/>
      <c r="F10" s="134">
        <v>3.77</v>
      </c>
      <c r="G10" s="135">
        <v>3.02</v>
      </c>
      <c r="H10" s="133">
        <v>2023</v>
      </c>
      <c r="I10" s="152" t="s">
        <v>5744</v>
      </c>
    </row>
    <row r="11" spans="1:9" ht="18.75" thickBot="1" x14ac:dyDescent="0.3">
      <c r="A11" s="133" t="str">
        <f t="shared" si="0"/>
        <v>150722D</v>
      </c>
      <c r="B11" s="133" t="s">
        <v>7080</v>
      </c>
      <c r="C11" s="133" t="s">
        <v>7081</v>
      </c>
      <c r="D11" s="133" t="s">
        <v>7537</v>
      </c>
      <c r="E11" s="134"/>
      <c r="F11" s="134">
        <v>0.51</v>
      </c>
      <c r="G11" s="135">
        <v>0.41</v>
      </c>
      <c r="H11" s="133">
        <v>2016</v>
      </c>
      <c r="I11" s="152" t="s">
        <v>5792</v>
      </c>
    </row>
    <row r="12" spans="1:9" ht="18.75" thickBot="1" x14ac:dyDescent="0.3">
      <c r="A12" s="133" t="str">
        <f t="shared" si="0"/>
        <v>103519N</v>
      </c>
      <c r="B12" s="133" t="s">
        <v>7538</v>
      </c>
      <c r="C12" s="133" t="s">
        <v>7539</v>
      </c>
      <c r="D12" s="133" t="s">
        <v>5505</v>
      </c>
      <c r="E12" s="134"/>
      <c r="F12" s="134">
        <v>2.06</v>
      </c>
      <c r="G12" s="135">
        <v>1.64</v>
      </c>
      <c r="H12" s="133">
        <v>2010</v>
      </c>
      <c r="I12" s="152" t="s">
        <v>7540</v>
      </c>
    </row>
    <row r="13" spans="1:9" ht="18.75" thickBot="1" x14ac:dyDescent="0.3">
      <c r="A13" s="133" t="str">
        <f t="shared" si="0"/>
        <v>144263P</v>
      </c>
      <c r="B13" s="133" t="s">
        <v>7541</v>
      </c>
      <c r="C13" s="133" t="s">
        <v>7542</v>
      </c>
      <c r="D13" s="133" t="s">
        <v>5505</v>
      </c>
      <c r="E13" s="134"/>
      <c r="F13" s="134">
        <v>1.27</v>
      </c>
      <c r="G13" s="135">
        <v>1.01</v>
      </c>
      <c r="H13" s="133">
        <v>2012</v>
      </c>
      <c r="I13" s="152" t="s">
        <v>5635</v>
      </c>
    </row>
    <row r="14" spans="1:9" ht="18.75" thickBot="1" x14ac:dyDescent="0.3">
      <c r="A14" s="133" t="str">
        <f t="shared" si="0"/>
        <v>124674E</v>
      </c>
      <c r="B14" s="133" t="s">
        <v>7082</v>
      </c>
      <c r="C14" s="133" t="s">
        <v>7083</v>
      </c>
      <c r="D14" s="133" t="s">
        <v>5505</v>
      </c>
      <c r="E14" s="134"/>
      <c r="F14" s="134">
        <v>1.92</v>
      </c>
      <c r="G14" s="135">
        <v>1.54</v>
      </c>
      <c r="H14" s="133">
        <v>2024</v>
      </c>
      <c r="I14" s="152" t="s">
        <v>5587</v>
      </c>
    </row>
    <row r="15" spans="1:9" ht="18.75" thickBot="1" x14ac:dyDescent="0.3">
      <c r="A15" s="133" t="str">
        <f t="shared" si="0"/>
        <v>012435H</v>
      </c>
      <c r="B15" s="133" t="s">
        <v>5588</v>
      </c>
      <c r="C15" s="133" t="s">
        <v>5589</v>
      </c>
      <c r="D15" s="133" t="s">
        <v>5503</v>
      </c>
      <c r="E15" s="134"/>
      <c r="F15" s="134">
        <v>4.8499999999999996</v>
      </c>
      <c r="G15" s="135">
        <v>3.88</v>
      </c>
      <c r="H15" s="133">
        <v>2024</v>
      </c>
      <c r="I15" s="152" t="s">
        <v>5553</v>
      </c>
    </row>
    <row r="16" spans="1:9" ht="18.75" thickBot="1" x14ac:dyDescent="0.3">
      <c r="A16" s="133" t="str">
        <f t="shared" si="0"/>
        <v>170920H</v>
      </c>
      <c r="B16" s="133" t="s">
        <v>5595</v>
      </c>
      <c r="C16" s="133" t="s">
        <v>5596</v>
      </c>
      <c r="D16" s="133" t="s">
        <v>5505</v>
      </c>
      <c r="E16" s="134"/>
      <c r="F16" s="134">
        <v>1.42</v>
      </c>
      <c r="G16" s="135">
        <v>1.1299999999999999</v>
      </c>
      <c r="H16" s="133">
        <v>2023</v>
      </c>
      <c r="I16" s="152" t="s">
        <v>5598</v>
      </c>
    </row>
    <row r="17" spans="1:9" ht="18.75" thickBot="1" x14ac:dyDescent="0.3">
      <c r="A17" s="133" t="str">
        <f t="shared" si="0"/>
        <v>142400Y</v>
      </c>
      <c r="B17" s="133" t="s">
        <v>5599</v>
      </c>
      <c r="C17" s="133" t="s">
        <v>5600</v>
      </c>
      <c r="D17" s="133" t="s">
        <v>5505</v>
      </c>
      <c r="E17" s="134"/>
      <c r="F17" s="134">
        <v>1.76</v>
      </c>
      <c r="G17" s="135">
        <v>1.41</v>
      </c>
      <c r="H17" s="133">
        <v>2024</v>
      </c>
      <c r="I17" s="152" t="s">
        <v>5601</v>
      </c>
    </row>
    <row r="18" spans="1:9" ht="18.75" thickBot="1" x14ac:dyDescent="0.3">
      <c r="A18" s="133" t="str">
        <f t="shared" si="0"/>
        <v>143412W</v>
      </c>
      <c r="B18" s="133" t="s">
        <v>5604</v>
      </c>
      <c r="C18" s="133" t="s">
        <v>5605</v>
      </c>
      <c r="D18" s="133" t="s">
        <v>7537</v>
      </c>
      <c r="E18" s="134"/>
      <c r="F18" s="134">
        <v>0.86</v>
      </c>
      <c r="G18" s="135">
        <v>0.68</v>
      </c>
      <c r="H18" s="133">
        <v>2015</v>
      </c>
      <c r="I18" s="152" t="s">
        <v>5598</v>
      </c>
    </row>
    <row r="19" spans="1:9" ht="18.75" thickBot="1" x14ac:dyDescent="0.3">
      <c r="A19" s="133" t="str">
        <f t="shared" si="0"/>
        <v>150616N</v>
      </c>
      <c r="B19" s="133" t="s">
        <v>5609</v>
      </c>
      <c r="C19" s="133" t="s">
        <v>5610</v>
      </c>
      <c r="D19" s="133" t="s">
        <v>5503</v>
      </c>
      <c r="E19" s="134"/>
      <c r="F19" s="134">
        <v>4.33</v>
      </c>
      <c r="G19" s="135">
        <v>3.46</v>
      </c>
      <c r="H19" s="133">
        <v>2020</v>
      </c>
      <c r="I19" s="152" t="s">
        <v>5601</v>
      </c>
    </row>
    <row r="20" spans="1:9" ht="18.75" thickBot="1" x14ac:dyDescent="0.3">
      <c r="A20" s="133" t="str">
        <f t="shared" si="0"/>
        <v>110666K</v>
      </c>
      <c r="B20" s="133" t="s">
        <v>5611</v>
      </c>
      <c r="C20" s="133" t="s">
        <v>5612</v>
      </c>
      <c r="D20" s="133" t="s">
        <v>5505</v>
      </c>
      <c r="E20" s="134"/>
      <c r="F20" s="134">
        <v>1.57</v>
      </c>
      <c r="G20" s="135">
        <v>1.26</v>
      </c>
      <c r="H20" s="133">
        <v>2009</v>
      </c>
      <c r="I20" s="152" t="s">
        <v>5587</v>
      </c>
    </row>
    <row r="21" spans="1:9" ht="18.75" thickBot="1" x14ac:dyDescent="0.3">
      <c r="A21" s="133" t="str">
        <f t="shared" si="0"/>
        <v>125423Z</v>
      </c>
      <c r="B21" s="133" t="s">
        <v>5613</v>
      </c>
      <c r="C21" s="133" t="s">
        <v>5614</v>
      </c>
      <c r="D21" s="133" t="s">
        <v>5505</v>
      </c>
      <c r="E21" s="134"/>
      <c r="F21" s="134">
        <v>1.82</v>
      </c>
      <c r="G21" s="135">
        <v>1.45</v>
      </c>
      <c r="H21" s="133">
        <v>2020</v>
      </c>
      <c r="I21" s="152" t="s">
        <v>5615</v>
      </c>
    </row>
    <row r="22" spans="1:9" ht="18.75" thickBot="1" x14ac:dyDescent="0.3">
      <c r="A22" s="133" t="str">
        <f t="shared" si="0"/>
        <v>110992Y</v>
      </c>
      <c r="B22" s="133" t="s">
        <v>5616</v>
      </c>
      <c r="C22" s="133" t="s">
        <v>5617</v>
      </c>
      <c r="D22" s="133" t="s">
        <v>5503</v>
      </c>
      <c r="E22" s="134"/>
      <c r="F22" s="134">
        <v>4.3499999999999996</v>
      </c>
      <c r="G22" s="135">
        <v>3.48</v>
      </c>
      <c r="H22" s="133">
        <v>2024</v>
      </c>
      <c r="I22" s="152" t="s">
        <v>5559</v>
      </c>
    </row>
    <row r="23" spans="1:9" ht="18.75" thickBot="1" x14ac:dyDescent="0.3">
      <c r="A23" s="133" t="str">
        <f t="shared" si="0"/>
        <v>012444Q</v>
      </c>
      <c r="B23" s="133" t="s">
        <v>5618</v>
      </c>
      <c r="C23" s="133" t="s">
        <v>5619</v>
      </c>
      <c r="D23" s="133" t="s">
        <v>7537</v>
      </c>
      <c r="E23" s="134"/>
      <c r="F23" s="134">
        <v>0.96</v>
      </c>
      <c r="G23" s="135">
        <v>0.77</v>
      </c>
      <c r="H23" s="133">
        <v>2024</v>
      </c>
      <c r="I23" s="152" t="s">
        <v>5615</v>
      </c>
    </row>
    <row r="24" spans="1:9" ht="18.75" thickBot="1" x14ac:dyDescent="0.3">
      <c r="A24" s="133" t="str">
        <f t="shared" si="0"/>
        <v>162414M</v>
      </c>
      <c r="B24" s="133" t="s">
        <v>5623</v>
      </c>
      <c r="C24" s="133" t="s">
        <v>5624</v>
      </c>
      <c r="D24" s="133" t="s">
        <v>5704</v>
      </c>
      <c r="E24" s="134"/>
      <c r="F24" s="134">
        <v>3.29</v>
      </c>
      <c r="G24" s="135">
        <v>2.63</v>
      </c>
      <c r="H24" s="133">
        <v>2024</v>
      </c>
      <c r="I24" s="152" t="s">
        <v>5625</v>
      </c>
    </row>
    <row r="25" spans="1:9" ht="18.75" thickBot="1" x14ac:dyDescent="0.3">
      <c r="A25" s="133" t="str">
        <f t="shared" si="0"/>
        <v>103412K</v>
      </c>
      <c r="B25" s="133" t="s">
        <v>5626</v>
      </c>
      <c r="C25" s="133" t="s">
        <v>5627</v>
      </c>
      <c r="D25" s="133" t="s">
        <v>5504</v>
      </c>
      <c r="E25" s="134"/>
      <c r="F25" s="134">
        <v>2.74</v>
      </c>
      <c r="G25" s="135">
        <v>2.19</v>
      </c>
      <c r="H25" s="133">
        <v>2024</v>
      </c>
      <c r="I25" s="152" t="s">
        <v>5587</v>
      </c>
    </row>
    <row r="26" spans="1:9" ht="18.75" thickBot="1" x14ac:dyDescent="0.3">
      <c r="A26" s="133" t="str">
        <f t="shared" si="0"/>
        <v>012453Z</v>
      </c>
      <c r="B26" s="133" t="s">
        <v>5628</v>
      </c>
      <c r="C26" s="133" t="s">
        <v>5629</v>
      </c>
      <c r="D26" s="133" t="s">
        <v>5505</v>
      </c>
      <c r="E26" s="134"/>
      <c r="F26" s="134">
        <v>1.78</v>
      </c>
      <c r="G26" s="135">
        <v>1.42</v>
      </c>
      <c r="H26" s="133">
        <v>2024</v>
      </c>
      <c r="I26" s="152" t="s">
        <v>5630</v>
      </c>
    </row>
    <row r="27" spans="1:9" ht="18.75" thickBot="1" x14ac:dyDescent="0.3">
      <c r="A27" s="133" t="str">
        <f t="shared" si="0"/>
        <v>117483P</v>
      </c>
      <c r="B27" s="133" t="s">
        <v>5631</v>
      </c>
      <c r="C27" s="133" t="s">
        <v>5632</v>
      </c>
      <c r="D27" s="133" t="s">
        <v>5505</v>
      </c>
      <c r="E27" s="134"/>
      <c r="F27" s="134">
        <v>1.58</v>
      </c>
      <c r="G27" s="135">
        <v>1.26</v>
      </c>
      <c r="H27" s="133">
        <v>2020</v>
      </c>
      <c r="I27" s="152" t="s">
        <v>5598</v>
      </c>
    </row>
    <row r="28" spans="1:9" ht="18.75" thickBot="1" x14ac:dyDescent="0.3">
      <c r="A28" s="133" t="str">
        <f t="shared" si="0"/>
        <v>127624Q</v>
      </c>
      <c r="B28" s="133" t="s">
        <v>5633</v>
      </c>
      <c r="C28" s="133" t="s">
        <v>5634</v>
      </c>
      <c r="D28" s="133" t="s">
        <v>5505</v>
      </c>
      <c r="E28" s="134"/>
      <c r="F28" s="134">
        <v>1.47</v>
      </c>
      <c r="G28" s="135">
        <v>1.17</v>
      </c>
      <c r="H28" s="133">
        <v>2011</v>
      </c>
      <c r="I28" s="152" t="s">
        <v>5635</v>
      </c>
    </row>
    <row r="29" spans="1:9" ht="18.75" thickBot="1" x14ac:dyDescent="0.3">
      <c r="A29" s="133" t="str">
        <f t="shared" si="0"/>
        <v>117347J</v>
      </c>
      <c r="B29" s="133" t="s">
        <v>5640</v>
      </c>
      <c r="C29" s="133" t="s">
        <v>5641</v>
      </c>
      <c r="D29" s="133" t="s">
        <v>5505</v>
      </c>
      <c r="E29" s="134"/>
      <c r="F29" s="134">
        <v>1.59</v>
      </c>
      <c r="G29" s="135">
        <v>1.27</v>
      </c>
      <c r="H29" s="133">
        <v>2013</v>
      </c>
      <c r="I29" s="152" t="s">
        <v>5582</v>
      </c>
    </row>
    <row r="30" spans="1:9" ht="18.75" thickBot="1" x14ac:dyDescent="0.3">
      <c r="A30" s="133" t="str">
        <f t="shared" si="0"/>
        <v>149859Q</v>
      </c>
      <c r="B30" s="133" t="s">
        <v>5644</v>
      </c>
      <c r="C30" s="133" t="s">
        <v>5645</v>
      </c>
      <c r="D30" s="133" t="s">
        <v>5505</v>
      </c>
      <c r="E30" s="134"/>
      <c r="F30" s="134">
        <v>1.76</v>
      </c>
      <c r="G30" s="135">
        <v>1.41</v>
      </c>
      <c r="H30" s="133">
        <v>2024</v>
      </c>
      <c r="I30" s="152" t="s">
        <v>5646</v>
      </c>
    </row>
    <row r="31" spans="1:9" ht="18.75" thickBot="1" x14ac:dyDescent="0.3">
      <c r="A31" s="133" t="str">
        <f t="shared" si="0"/>
        <v>132694Q</v>
      </c>
      <c r="B31" s="133" t="s">
        <v>5649</v>
      </c>
      <c r="C31" s="133" t="s">
        <v>5650</v>
      </c>
      <c r="D31" s="133" t="s">
        <v>5505</v>
      </c>
      <c r="E31" s="134"/>
      <c r="F31" s="134">
        <v>2.04</v>
      </c>
      <c r="G31" s="135">
        <v>1.63</v>
      </c>
      <c r="H31" s="133">
        <v>2013</v>
      </c>
      <c r="I31" s="152" t="s">
        <v>5651</v>
      </c>
    </row>
    <row r="32" spans="1:9" ht="18.75" thickBot="1" x14ac:dyDescent="0.3">
      <c r="A32" s="133" t="str">
        <f t="shared" si="0"/>
        <v>136073P</v>
      </c>
      <c r="B32" s="133" t="s">
        <v>5652</v>
      </c>
      <c r="C32" s="133" t="s">
        <v>5653</v>
      </c>
      <c r="D32" s="133" t="s">
        <v>5503</v>
      </c>
      <c r="E32" s="134"/>
      <c r="F32" s="134">
        <v>4.07</v>
      </c>
      <c r="G32" s="135">
        <v>3.26</v>
      </c>
      <c r="H32" s="133">
        <v>2018</v>
      </c>
      <c r="I32" s="152" t="s">
        <v>5654</v>
      </c>
    </row>
    <row r="33" spans="1:9" ht="18.75" thickBot="1" x14ac:dyDescent="0.3">
      <c r="A33" s="133" t="str">
        <f t="shared" si="0"/>
        <v>012474U</v>
      </c>
      <c r="B33" s="133" t="s">
        <v>5655</v>
      </c>
      <c r="C33" s="133" t="s">
        <v>5656</v>
      </c>
      <c r="D33" s="133" t="s">
        <v>5704</v>
      </c>
      <c r="E33" s="134"/>
      <c r="F33" s="134">
        <v>3.82</v>
      </c>
      <c r="G33" s="135">
        <v>3.05</v>
      </c>
      <c r="H33" s="133">
        <v>2024</v>
      </c>
      <c r="I33" s="152" t="s">
        <v>5657</v>
      </c>
    </row>
    <row r="34" spans="1:9" ht="18.75" thickBot="1" x14ac:dyDescent="0.3">
      <c r="A34" s="133" t="str">
        <f t="shared" si="0"/>
        <v>120806K</v>
      </c>
      <c r="B34" s="133" t="s">
        <v>5658</v>
      </c>
      <c r="C34" s="133" t="s">
        <v>5659</v>
      </c>
      <c r="D34" s="133" t="s">
        <v>7543</v>
      </c>
      <c r="E34" s="134"/>
      <c r="F34" s="134">
        <v>1.08</v>
      </c>
      <c r="G34" s="135">
        <v>0.87</v>
      </c>
      <c r="H34" s="133">
        <v>2024</v>
      </c>
      <c r="I34" s="152" t="s">
        <v>5594</v>
      </c>
    </row>
    <row r="35" spans="1:9" ht="18.75" thickBot="1" x14ac:dyDescent="0.3">
      <c r="A35" s="133" t="str">
        <f t="shared" si="0"/>
        <v>169431P</v>
      </c>
      <c r="B35" s="133" t="s">
        <v>5660</v>
      </c>
      <c r="C35" s="133" t="s">
        <v>5661</v>
      </c>
      <c r="D35" s="133" t="s">
        <v>5505</v>
      </c>
      <c r="E35" s="134"/>
      <c r="F35" s="134">
        <v>2.02</v>
      </c>
      <c r="G35" s="135">
        <v>1.61</v>
      </c>
      <c r="H35" s="133">
        <v>2024</v>
      </c>
      <c r="I35" s="152" t="s">
        <v>5582</v>
      </c>
    </row>
    <row r="36" spans="1:9" ht="18.75" thickBot="1" x14ac:dyDescent="0.3">
      <c r="A36" s="133" t="str">
        <f t="shared" si="0"/>
        <v>155884P</v>
      </c>
      <c r="B36" s="133" t="s">
        <v>5662</v>
      </c>
      <c r="C36" s="133" t="s">
        <v>5663</v>
      </c>
      <c r="D36" s="133" t="s">
        <v>5505</v>
      </c>
      <c r="E36" s="134"/>
      <c r="F36" s="134">
        <v>1.53</v>
      </c>
      <c r="G36" s="135">
        <v>1.22</v>
      </c>
      <c r="H36" s="133">
        <v>2019</v>
      </c>
      <c r="I36" s="152" t="s">
        <v>5556</v>
      </c>
    </row>
    <row r="37" spans="1:9" ht="18.75" thickBot="1" x14ac:dyDescent="0.3">
      <c r="A37" s="133" t="str">
        <f t="shared" si="0"/>
        <v>132291D</v>
      </c>
      <c r="B37" s="133" t="s">
        <v>5664</v>
      </c>
      <c r="C37" s="133" t="s">
        <v>5665</v>
      </c>
      <c r="D37" s="133" t="s">
        <v>5503</v>
      </c>
      <c r="E37" s="134"/>
      <c r="F37" s="134">
        <v>3.26</v>
      </c>
      <c r="G37" s="135">
        <v>2.61</v>
      </c>
      <c r="H37" s="133">
        <v>2009</v>
      </c>
      <c r="I37" s="152" t="s">
        <v>5666</v>
      </c>
    </row>
    <row r="38" spans="1:9" ht="18.75" thickBot="1" x14ac:dyDescent="0.3">
      <c r="A38" s="133" t="str">
        <f t="shared" si="0"/>
        <v>163284H</v>
      </c>
      <c r="B38" s="133" t="s">
        <v>5667</v>
      </c>
      <c r="C38" s="133" t="s">
        <v>5668</v>
      </c>
      <c r="D38" s="133" t="s">
        <v>7537</v>
      </c>
      <c r="E38" s="134"/>
      <c r="F38" s="134">
        <v>0.91</v>
      </c>
      <c r="G38" s="135">
        <v>0.72</v>
      </c>
      <c r="H38" s="133">
        <v>2024</v>
      </c>
      <c r="I38" s="152" t="s">
        <v>5615</v>
      </c>
    </row>
    <row r="39" spans="1:9" ht="18.75" thickBot="1" x14ac:dyDescent="0.3">
      <c r="A39" s="133" t="str">
        <f t="shared" si="0"/>
        <v>103243X</v>
      </c>
      <c r="B39" s="133" t="s">
        <v>5672</v>
      </c>
      <c r="C39" s="133" t="s">
        <v>5673</v>
      </c>
      <c r="D39" s="133" t="s">
        <v>5504</v>
      </c>
      <c r="E39" s="134"/>
      <c r="F39" s="134">
        <v>2.67</v>
      </c>
      <c r="G39" s="135">
        <v>2.14</v>
      </c>
      <c r="H39" s="133">
        <v>2022</v>
      </c>
      <c r="I39" s="152" t="s">
        <v>5566</v>
      </c>
    </row>
    <row r="40" spans="1:9" ht="18.75" thickBot="1" x14ac:dyDescent="0.3">
      <c r="A40" s="133" t="str">
        <f t="shared" si="0"/>
        <v>143713L</v>
      </c>
      <c r="B40" s="133" t="s">
        <v>7544</v>
      </c>
      <c r="C40" s="133" t="s">
        <v>7545</v>
      </c>
      <c r="D40" s="133" t="s">
        <v>7537</v>
      </c>
      <c r="E40" s="134"/>
      <c r="F40" s="134">
        <v>0.48</v>
      </c>
      <c r="G40" s="135">
        <v>0.38</v>
      </c>
      <c r="H40" s="133">
        <v>2012</v>
      </c>
      <c r="I40" s="152" t="s">
        <v>5601</v>
      </c>
    </row>
    <row r="41" spans="1:9" ht="18.75" thickBot="1" x14ac:dyDescent="0.3">
      <c r="A41" s="133" t="str">
        <f t="shared" si="0"/>
        <v>143714M</v>
      </c>
      <c r="B41" s="133" t="s">
        <v>7546</v>
      </c>
      <c r="C41" s="133" t="s">
        <v>7547</v>
      </c>
      <c r="D41" s="133" t="s">
        <v>7537</v>
      </c>
      <c r="E41" s="134"/>
      <c r="F41" s="134">
        <v>0.79</v>
      </c>
      <c r="G41" s="135">
        <v>0.63</v>
      </c>
      <c r="H41" s="133">
        <v>2012</v>
      </c>
      <c r="I41" s="152" t="s">
        <v>5601</v>
      </c>
    </row>
    <row r="42" spans="1:9" ht="18.75" thickBot="1" x14ac:dyDescent="0.3">
      <c r="A42" s="133" t="str">
        <f t="shared" si="0"/>
        <v>012497R</v>
      </c>
      <c r="B42" s="133" t="s">
        <v>5674</v>
      </c>
      <c r="C42" s="133" t="s">
        <v>5675</v>
      </c>
      <c r="D42" s="133" t="s">
        <v>5503</v>
      </c>
      <c r="E42" s="134"/>
      <c r="F42" s="134">
        <v>5.0199999999999996</v>
      </c>
      <c r="G42" s="135">
        <v>4.01</v>
      </c>
      <c r="H42" s="133">
        <v>2022</v>
      </c>
      <c r="I42" s="152" t="s">
        <v>5563</v>
      </c>
    </row>
    <row r="43" spans="1:9" ht="18.75" thickBot="1" x14ac:dyDescent="0.3">
      <c r="A43" s="133" t="str">
        <f t="shared" si="0"/>
        <v>012504Y</v>
      </c>
      <c r="B43" s="133" t="s">
        <v>7548</v>
      </c>
      <c r="C43" s="133" t="s">
        <v>7549</v>
      </c>
      <c r="D43" s="133" t="s">
        <v>5505</v>
      </c>
      <c r="E43" s="134"/>
      <c r="F43" s="134">
        <v>1.63</v>
      </c>
      <c r="G43" s="135">
        <v>1.3</v>
      </c>
      <c r="H43" s="133">
        <v>2020</v>
      </c>
      <c r="I43" s="152" t="s">
        <v>5635</v>
      </c>
    </row>
    <row r="44" spans="1:9" ht="18.75" thickBot="1" x14ac:dyDescent="0.3">
      <c r="A44" s="133" t="str">
        <f t="shared" si="0"/>
        <v>125431H</v>
      </c>
      <c r="B44" s="133" t="s">
        <v>5681</v>
      </c>
      <c r="C44" s="133" t="s">
        <v>5682</v>
      </c>
      <c r="D44" s="133" t="s">
        <v>5504</v>
      </c>
      <c r="E44" s="134"/>
      <c r="F44" s="134">
        <v>2.5499999999999998</v>
      </c>
      <c r="G44" s="135">
        <v>2.04</v>
      </c>
      <c r="H44" s="133">
        <v>2015</v>
      </c>
      <c r="I44" s="152" t="s">
        <v>5666</v>
      </c>
    </row>
    <row r="45" spans="1:9" ht="18.75" thickBot="1" x14ac:dyDescent="0.3">
      <c r="A45" s="133" t="str">
        <f t="shared" si="0"/>
        <v>148174J</v>
      </c>
      <c r="B45" s="133" t="s">
        <v>7550</v>
      </c>
      <c r="C45" s="133" t="s">
        <v>7551</v>
      </c>
      <c r="D45" s="133" t="s">
        <v>7537</v>
      </c>
      <c r="E45" s="134"/>
      <c r="F45" s="134">
        <v>0.12</v>
      </c>
      <c r="G45" s="135">
        <v>0.1</v>
      </c>
      <c r="H45" s="133">
        <v>2013</v>
      </c>
      <c r="I45" s="152" t="s">
        <v>5608</v>
      </c>
    </row>
    <row r="46" spans="1:9" ht="18.75" thickBot="1" x14ac:dyDescent="0.3">
      <c r="A46" s="133" t="str">
        <f t="shared" si="0"/>
        <v>123077T</v>
      </c>
      <c r="B46" s="133" t="s">
        <v>7084</v>
      </c>
      <c r="C46" s="133" t="s">
        <v>7085</v>
      </c>
      <c r="D46" s="133" t="s">
        <v>24</v>
      </c>
      <c r="E46" s="134"/>
      <c r="F46" s="134" t="s">
        <v>5552</v>
      </c>
      <c r="G46" s="135">
        <v>10.97</v>
      </c>
      <c r="H46" s="133">
        <v>2009</v>
      </c>
      <c r="I46" s="152" t="s">
        <v>5635</v>
      </c>
    </row>
    <row r="47" spans="1:9" ht="18.75" thickBot="1" x14ac:dyDescent="0.3">
      <c r="A47" s="133" t="str">
        <f t="shared" si="0"/>
        <v>012508C</v>
      </c>
      <c r="B47" s="133" t="s">
        <v>5683</v>
      </c>
      <c r="C47" s="133" t="s">
        <v>5684</v>
      </c>
      <c r="D47" s="133" t="s">
        <v>5562</v>
      </c>
      <c r="E47" s="134"/>
      <c r="F47" s="134">
        <v>9.9600000000000009</v>
      </c>
      <c r="G47" s="135">
        <v>7.97</v>
      </c>
      <c r="H47" s="133">
        <v>2024</v>
      </c>
      <c r="I47" s="152" t="s">
        <v>5563</v>
      </c>
    </row>
    <row r="48" spans="1:9" ht="18.75" thickBot="1" x14ac:dyDescent="0.3">
      <c r="A48" s="133" t="str">
        <f t="shared" si="0"/>
        <v>012514I</v>
      </c>
      <c r="B48" s="133" t="s">
        <v>5689</v>
      </c>
      <c r="C48" s="133" t="s">
        <v>5690</v>
      </c>
      <c r="D48" s="133" t="s">
        <v>5504</v>
      </c>
      <c r="E48" s="134"/>
      <c r="F48" s="134">
        <v>2.35</v>
      </c>
      <c r="G48" s="135">
        <v>1.88</v>
      </c>
      <c r="H48" s="133">
        <v>2011</v>
      </c>
      <c r="I48" s="152" t="s">
        <v>5630</v>
      </c>
    </row>
    <row r="49" spans="1:9" ht="18.75" thickBot="1" x14ac:dyDescent="0.3">
      <c r="A49" s="133" t="str">
        <f t="shared" si="0"/>
        <v>012515J</v>
      </c>
      <c r="B49" s="133" t="s">
        <v>5691</v>
      </c>
      <c r="C49" s="133" t="s">
        <v>5692</v>
      </c>
      <c r="D49" s="133" t="s">
        <v>24</v>
      </c>
      <c r="E49" s="134"/>
      <c r="F49" s="134" t="s">
        <v>5552</v>
      </c>
      <c r="G49" s="135">
        <v>11.38</v>
      </c>
      <c r="H49" s="133">
        <v>2019</v>
      </c>
      <c r="I49" s="152" t="s">
        <v>5553</v>
      </c>
    </row>
    <row r="50" spans="1:9" ht="18.75" thickBot="1" x14ac:dyDescent="0.3">
      <c r="A50" s="133" t="str">
        <f t="shared" si="0"/>
        <v>117766M</v>
      </c>
      <c r="B50" s="133" t="s">
        <v>5693</v>
      </c>
      <c r="C50" s="133" t="s">
        <v>5694</v>
      </c>
      <c r="D50" s="133" t="s">
        <v>26</v>
      </c>
      <c r="E50" s="134"/>
      <c r="F50" s="134">
        <v>6.61</v>
      </c>
      <c r="G50" s="135">
        <v>5.29</v>
      </c>
      <c r="H50" s="133">
        <v>2010</v>
      </c>
      <c r="I50" s="152" t="s">
        <v>5630</v>
      </c>
    </row>
    <row r="51" spans="1:9" ht="18.75" thickBot="1" x14ac:dyDescent="0.3">
      <c r="A51" s="133" t="str">
        <f t="shared" si="0"/>
        <v>147640D</v>
      </c>
      <c r="B51" s="133" t="s">
        <v>7552</v>
      </c>
      <c r="C51" s="133" t="s">
        <v>7553</v>
      </c>
      <c r="D51" s="133" t="s">
        <v>7537</v>
      </c>
      <c r="E51" s="134"/>
      <c r="F51" s="134">
        <v>0.56000000000000005</v>
      </c>
      <c r="G51" s="135">
        <v>0.45</v>
      </c>
      <c r="H51" s="133">
        <v>2014</v>
      </c>
      <c r="I51" s="152" t="s">
        <v>5553</v>
      </c>
    </row>
    <row r="52" spans="1:9" ht="18.75" thickBot="1" x14ac:dyDescent="0.3">
      <c r="A52" s="133" t="str">
        <f t="shared" si="0"/>
        <v>169918T</v>
      </c>
      <c r="B52" s="133" t="s">
        <v>7554</v>
      </c>
      <c r="C52" s="133" t="s">
        <v>7555</v>
      </c>
      <c r="D52" s="133" t="s">
        <v>7537</v>
      </c>
      <c r="E52" s="134"/>
      <c r="F52" s="134">
        <v>1.1299999999999999</v>
      </c>
      <c r="G52" s="135">
        <v>0.9</v>
      </c>
      <c r="H52" s="133">
        <v>2022</v>
      </c>
      <c r="I52" s="152" t="s">
        <v>5705</v>
      </c>
    </row>
    <row r="53" spans="1:9" ht="18.75" thickBot="1" x14ac:dyDescent="0.3">
      <c r="A53" s="133" t="str">
        <f t="shared" si="0"/>
        <v>152729K</v>
      </c>
      <c r="B53" s="133" t="s">
        <v>7090</v>
      </c>
      <c r="C53" s="133" t="s">
        <v>7091</v>
      </c>
      <c r="D53" s="133" t="s">
        <v>7537</v>
      </c>
      <c r="E53" s="134"/>
      <c r="F53" s="134">
        <v>0.73</v>
      </c>
      <c r="G53" s="135">
        <v>0.57999999999999996</v>
      </c>
      <c r="H53" s="133">
        <v>2020</v>
      </c>
      <c r="I53" s="152" t="s">
        <v>5912</v>
      </c>
    </row>
    <row r="54" spans="1:9" ht="18.75" thickBot="1" x14ac:dyDescent="0.3">
      <c r="A54" s="133" t="str">
        <f t="shared" si="0"/>
        <v>142643H</v>
      </c>
      <c r="B54" s="133" t="s">
        <v>7556</v>
      </c>
      <c r="C54" s="133" t="s">
        <v>7557</v>
      </c>
      <c r="D54" s="133" t="s">
        <v>7537</v>
      </c>
      <c r="E54" s="134"/>
      <c r="F54" s="134">
        <v>0.66</v>
      </c>
      <c r="G54" s="135">
        <v>0.53</v>
      </c>
      <c r="H54" s="133">
        <v>2013</v>
      </c>
      <c r="I54" s="152" t="s">
        <v>5566</v>
      </c>
    </row>
    <row r="55" spans="1:9" ht="18.75" thickBot="1" x14ac:dyDescent="0.3">
      <c r="A55" s="133" t="str">
        <f t="shared" si="0"/>
        <v>154008A</v>
      </c>
      <c r="B55" s="133" t="s">
        <v>7558</v>
      </c>
      <c r="C55" s="133" t="s">
        <v>7559</v>
      </c>
      <c r="D55" s="133" t="s">
        <v>7537</v>
      </c>
      <c r="E55" s="134"/>
      <c r="F55" s="134">
        <v>0.88</v>
      </c>
      <c r="G55" s="135">
        <v>0.71</v>
      </c>
      <c r="H55" s="133">
        <v>2015</v>
      </c>
      <c r="I55" s="152" t="s">
        <v>5594</v>
      </c>
    </row>
    <row r="56" spans="1:9" ht="18.75" thickBot="1" x14ac:dyDescent="0.3">
      <c r="A56" s="133" t="str">
        <f t="shared" si="0"/>
        <v>012531Z</v>
      </c>
      <c r="B56" s="133" t="s">
        <v>5699</v>
      </c>
      <c r="C56" s="133" t="s">
        <v>5700</v>
      </c>
      <c r="D56" s="133" t="s">
        <v>24</v>
      </c>
      <c r="E56" s="134"/>
      <c r="F56" s="134" t="s">
        <v>5552</v>
      </c>
      <c r="G56" s="135">
        <v>16.260000000000002</v>
      </c>
      <c r="H56" s="133">
        <v>2016</v>
      </c>
      <c r="I56" s="152" t="s">
        <v>5701</v>
      </c>
    </row>
    <row r="57" spans="1:9" ht="18.75" thickBot="1" x14ac:dyDescent="0.3">
      <c r="A57" s="133" t="str">
        <f t="shared" si="0"/>
        <v>138061B</v>
      </c>
      <c r="B57" s="133" t="s">
        <v>5702</v>
      </c>
      <c r="C57" s="133" t="s">
        <v>5703</v>
      </c>
      <c r="D57" s="133" t="s">
        <v>7543</v>
      </c>
      <c r="E57" s="134"/>
      <c r="F57" s="134">
        <v>1.28</v>
      </c>
      <c r="G57" s="135">
        <v>1.02</v>
      </c>
      <c r="H57" s="133">
        <v>2024</v>
      </c>
      <c r="I57" s="152" t="s">
        <v>5705</v>
      </c>
    </row>
    <row r="58" spans="1:9" ht="18.75" thickBot="1" x14ac:dyDescent="0.3">
      <c r="A58" s="133" t="str">
        <f t="shared" si="0"/>
        <v>140106S</v>
      </c>
      <c r="B58" s="133" t="s">
        <v>5706</v>
      </c>
      <c r="C58" s="133" t="s">
        <v>5707</v>
      </c>
      <c r="D58" s="133" t="s">
        <v>5505</v>
      </c>
      <c r="E58" s="134"/>
      <c r="F58" s="134">
        <v>1.34</v>
      </c>
      <c r="G58" s="135">
        <v>1.07</v>
      </c>
      <c r="H58" s="133">
        <v>2012</v>
      </c>
      <c r="I58" s="152" t="s">
        <v>5630</v>
      </c>
    </row>
    <row r="59" spans="1:9" ht="18.75" thickBot="1" x14ac:dyDescent="0.3">
      <c r="A59" s="133" t="str">
        <f t="shared" si="0"/>
        <v>135324U</v>
      </c>
      <c r="B59" s="133" t="s">
        <v>5708</v>
      </c>
      <c r="C59" s="133" t="s">
        <v>5709</v>
      </c>
      <c r="D59" s="133" t="s">
        <v>5504</v>
      </c>
      <c r="E59" s="134"/>
      <c r="F59" s="134">
        <v>3.46</v>
      </c>
      <c r="G59" s="135">
        <v>2.76</v>
      </c>
      <c r="H59" s="133">
        <v>2012</v>
      </c>
      <c r="I59" s="152" t="s">
        <v>5710</v>
      </c>
    </row>
    <row r="60" spans="1:9" ht="18.75" thickBot="1" x14ac:dyDescent="0.3">
      <c r="A60" s="133" t="str">
        <f t="shared" si="0"/>
        <v>105548O</v>
      </c>
      <c r="B60" s="133" t="s">
        <v>7094</v>
      </c>
      <c r="C60" s="133" t="s">
        <v>7095</v>
      </c>
      <c r="D60" s="133" t="s">
        <v>24</v>
      </c>
      <c r="E60" s="134"/>
      <c r="F60" s="134" t="s">
        <v>5552</v>
      </c>
      <c r="G60" s="135">
        <v>26.23</v>
      </c>
      <c r="H60" s="133">
        <v>2014</v>
      </c>
      <c r="I60" s="152" t="s">
        <v>5657</v>
      </c>
    </row>
    <row r="61" spans="1:9" ht="18.75" thickBot="1" x14ac:dyDescent="0.3">
      <c r="A61" s="133" t="str">
        <f t="shared" si="0"/>
        <v>166047L</v>
      </c>
      <c r="B61" s="133" t="s">
        <v>7561</v>
      </c>
      <c r="C61" s="133" t="s">
        <v>7562</v>
      </c>
      <c r="D61" s="133" t="s">
        <v>7537</v>
      </c>
      <c r="E61" s="134"/>
      <c r="F61" s="134">
        <v>0.32</v>
      </c>
      <c r="G61" s="135">
        <v>0.26</v>
      </c>
      <c r="H61" s="133">
        <v>2022</v>
      </c>
      <c r="I61" s="152" t="s">
        <v>5735</v>
      </c>
    </row>
    <row r="62" spans="1:9" ht="18.75" thickBot="1" x14ac:dyDescent="0.3">
      <c r="A62" s="133" t="str">
        <f t="shared" si="0"/>
        <v>124364G</v>
      </c>
      <c r="B62" s="133" t="s">
        <v>7563</v>
      </c>
      <c r="C62" s="133" t="s">
        <v>7564</v>
      </c>
      <c r="D62" s="133" t="s">
        <v>5505</v>
      </c>
      <c r="E62" s="134"/>
      <c r="F62" s="134">
        <v>1.8</v>
      </c>
      <c r="G62" s="135">
        <v>1.44</v>
      </c>
      <c r="H62" s="133">
        <v>2012</v>
      </c>
      <c r="I62" s="152" t="s">
        <v>5594</v>
      </c>
    </row>
    <row r="63" spans="1:9" ht="18.75" thickBot="1" x14ac:dyDescent="0.3">
      <c r="A63" s="133" t="str">
        <f t="shared" si="0"/>
        <v>156705G</v>
      </c>
      <c r="B63" s="133" t="s">
        <v>5715</v>
      </c>
      <c r="C63" s="133" t="s">
        <v>5716</v>
      </c>
      <c r="D63" s="133" t="s">
        <v>5505</v>
      </c>
      <c r="E63" s="134"/>
      <c r="F63" s="134">
        <v>2.2799999999999998</v>
      </c>
      <c r="G63" s="135">
        <v>1.83</v>
      </c>
      <c r="H63" s="133">
        <v>2016</v>
      </c>
      <c r="I63" s="152" t="s">
        <v>5559</v>
      </c>
    </row>
    <row r="64" spans="1:9" ht="18.75" thickBot="1" x14ac:dyDescent="0.3">
      <c r="A64" s="133" t="str">
        <f t="shared" si="0"/>
        <v>141315F</v>
      </c>
      <c r="B64" s="133" t="s">
        <v>7565</v>
      </c>
      <c r="C64" s="133" t="s">
        <v>7566</v>
      </c>
      <c r="D64" s="133" t="s">
        <v>7537</v>
      </c>
      <c r="E64" s="134"/>
      <c r="F64" s="134">
        <v>0.54</v>
      </c>
      <c r="G64" s="135">
        <v>0.43</v>
      </c>
      <c r="H64" s="133">
        <v>2013</v>
      </c>
      <c r="I64" s="152" t="s">
        <v>5608</v>
      </c>
    </row>
    <row r="65" spans="1:9" ht="18.75" thickBot="1" x14ac:dyDescent="0.3">
      <c r="A65" s="133" t="str">
        <f t="shared" si="0"/>
        <v>012551T</v>
      </c>
      <c r="B65" s="133" t="s">
        <v>7567</v>
      </c>
      <c r="C65" s="133" t="s">
        <v>7568</v>
      </c>
      <c r="D65" s="133" t="s">
        <v>5505</v>
      </c>
      <c r="E65" s="134"/>
      <c r="F65" s="134">
        <v>1.6</v>
      </c>
      <c r="G65" s="135">
        <v>1.28</v>
      </c>
      <c r="H65" s="133">
        <v>2024</v>
      </c>
      <c r="I65" s="152" t="s">
        <v>5639</v>
      </c>
    </row>
    <row r="66" spans="1:9" ht="18.75" thickBot="1" x14ac:dyDescent="0.3">
      <c r="A66" s="133" t="str">
        <f t="shared" ref="A66:A129" si="1">SUBSTITUTE(B66,CHAR(32),"")</f>
        <v>169262F</v>
      </c>
      <c r="B66" s="133" t="s">
        <v>7096</v>
      </c>
      <c r="C66" s="133" t="s">
        <v>7097</v>
      </c>
      <c r="D66" s="133" t="s">
        <v>7537</v>
      </c>
      <c r="E66" s="134"/>
      <c r="F66" s="134">
        <v>0.9</v>
      </c>
      <c r="G66" s="135">
        <v>0.72</v>
      </c>
      <c r="H66" s="133">
        <v>2024</v>
      </c>
      <c r="I66" s="152" t="s">
        <v>5912</v>
      </c>
    </row>
    <row r="67" spans="1:9" ht="18.75" thickBot="1" x14ac:dyDescent="0.3">
      <c r="A67" s="133" t="str">
        <f t="shared" si="1"/>
        <v>012558A</v>
      </c>
      <c r="B67" s="133" t="s">
        <v>7464</v>
      </c>
      <c r="C67" s="133" t="s">
        <v>7465</v>
      </c>
      <c r="D67" s="133" t="s">
        <v>5503</v>
      </c>
      <c r="E67" s="134"/>
      <c r="F67" s="134">
        <v>3.93</v>
      </c>
      <c r="G67" s="135">
        <v>3.15</v>
      </c>
      <c r="H67" s="133">
        <v>2013</v>
      </c>
      <c r="I67" s="152" t="s">
        <v>5657</v>
      </c>
    </row>
    <row r="68" spans="1:9" ht="18.75" thickBot="1" x14ac:dyDescent="0.3">
      <c r="A68" s="133" t="str">
        <f t="shared" si="1"/>
        <v>138084Y</v>
      </c>
      <c r="B68" s="133" t="s">
        <v>5724</v>
      </c>
      <c r="C68" s="133" t="s">
        <v>5725</v>
      </c>
      <c r="D68" s="133" t="s">
        <v>5505</v>
      </c>
      <c r="E68" s="134"/>
      <c r="F68" s="134">
        <v>1.27</v>
      </c>
      <c r="G68" s="135">
        <v>1.01</v>
      </c>
      <c r="H68" s="133">
        <v>2010</v>
      </c>
      <c r="I68" s="152" t="s">
        <v>5726</v>
      </c>
    </row>
    <row r="69" spans="1:9" ht="18.75" thickBot="1" x14ac:dyDescent="0.3">
      <c r="A69" s="133" t="str">
        <f t="shared" si="1"/>
        <v>117442A</v>
      </c>
      <c r="B69" s="133" t="s">
        <v>5727</v>
      </c>
      <c r="C69" s="133" t="s">
        <v>5728</v>
      </c>
      <c r="D69" s="133" t="s">
        <v>26</v>
      </c>
      <c r="E69" s="134"/>
      <c r="F69" s="134">
        <v>10.220000000000001</v>
      </c>
      <c r="G69" s="135">
        <v>8.18</v>
      </c>
      <c r="H69" s="133">
        <v>2010</v>
      </c>
      <c r="I69" s="152" t="s">
        <v>5594</v>
      </c>
    </row>
    <row r="70" spans="1:9" ht="18.75" thickBot="1" x14ac:dyDescent="0.3">
      <c r="A70" s="133" t="str">
        <f t="shared" si="1"/>
        <v>129205L</v>
      </c>
      <c r="B70" s="133" t="s">
        <v>5736</v>
      </c>
      <c r="C70" s="133" t="s">
        <v>5737</v>
      </c>
      <c r="D70" s="133" t="s">
        <v>5505</v>
      </c>
      <c r="E70" s="134"/>
      <c r="F70" s="134">
        <v>1.69</v>
      </c>
      <c r="G70" s="135">
        <v>1.35</v>
      </c>
      <c r="H70" s="133">
        <v>2019</v>
      </c>
      <c r="I70" s="152" t="s">
        <v>5735</v>
      </c>
    </row>
    <row r="71" spans="1:9" ht="18.75" thickBot="1" x14ac:dyDescent="0.3">
      <c r="A71" s="133" t="str">
        <f t="shared" si="1"/>
        <v>118708S</v>
      </c>
      <c r="B71" s="133" t="s">
        <v>7569</v>
      </c>
      <c r="C71" s="133" t="s">
        <v>7570</v>
      </c>
      <c r="D71" s="133" t="s">
        <v>5505</v>
      </c>
      <c r="E71" s="134"/>
      <c r="F71" s="134">
        <v>1.66</v>
      </c>
      <c r="G71" s="135">
        <v>1.33</v>
      </c>
      <c r="H71" s="133">
        <v>2016</v>
      </c>
      <c r="I71" s="152" t="s">
        <v>5594</v>
      </c>
    </row>
    <row r="72" spans="1:9" ht="18.75" thickBot="1" x14ac:dyDescent="0.3">
      <c r="A72" s="133" t="str">
        <f t="shared" si="1"/>
        <v>145669R</v>
      </c>
      <c r="B72" s="133" t="s">
        <v>7571</v>
      </c>
      <c r="C72" s="133" t="s">
        <v>7572</v>
      </c>
      <c r="D72" s="133" t="s">
        <v>5505</v>
      </c>
      <c r="E72" s="134"/>
      <c r="F72" s="134">
        <v>1.43</v>
      </c>
      <c r="G72" s="135">
        <v>1.1499999999999999</v>
      </c>
      <c r="H72" s="133">
        <v>2023</v>
      </c>
      <c r="I72" s="152" t="s">
        <v>5701</v>
      </c>
    </row>
    <row r="73" spans="1:9" ht="18.75" thickBot="1" x14ac:dyDescent="0.3">
      <c r="A73" s="133" t="str">
        <f t="shared" si="1"/>
        <v>103317T</v>
      </c>
      <c r="B73" s="133" t="s">
        <v>7573</v>
      </c>
      <c r="C73" s="133" t="s">
        <v>7574</v>
      </c>
      <c r="D73" s="133" t="s">
        <v>5504</v>
      </c>
      <c r="E73" s="134"/>
      <c r="F73" s="134">
        <v>3.57</v>
      </c>
      <c r="G73" s="135">
        <v>2.86</v>
      </c>
      <c r="H73" s="133">
        <v>2008</v>
      </c>
      <c r="I73" s="152" t="s">
        <v>5654</v>
      </c>
    </row>
    <row r="74" spans="1:9" ht="18.75" thickBot="1" x14ac:dyDescent="0.3">
      <c r="A74" s="133" t="str">
        <f t="shared" si="1"/>
        <v>012578U</v>
      </c>
      <c r="B74" s="133" t="s">
        <v>7575</v>
      </c>
      <c r="C74" s="133" t="s">
        <v>7576</v>
      </c>
      <c r="D74" s="133" t="s">
        <v>5505</v>
      </c>
      <c r="E74" s="134"/>
      <c r="F74" s="134">
        <v>1.55</v>
      </c>
      <c r="G74" s="135">
        <v>1.24</v>
      </c>
      <c r="H74" s="133">
        <v>2009</v>
      </c>
      <c r="I74" s="152" t="s">
        <v>6568</v>
      </c>
    </row>
    <row r="75" spans="1:9" ht="18.75" thickBot="1" x14ac:dyDescent="0.3">
      <c r="A75" s="133" t="str">
        <f t="shared" si="1"/>
        <v>012579V</v>
      </c>
      <c r="B75" s="133" t="s">
        <v>5742</v>
      </c>
      <c r="C75" s="133" t="s">
        <v>5743</v>
      </c>
      <c r="D75" s="133" t="s">
        <v>5505</v>
      </c>
      <c r="E75" s="134"/>
      <c r="F75" s="134">
        <v>1.5</v>
      </c>
      <c r="G75" s="135">
        <v>1.2</v>
      </c>
      <c r="H75" s="133">
        <v>2009</v>
      </c>
      <c r="I75" s="152" t="s">
        <v>5744</v>
      </c>
    </row>
    <row r="76" spans="1:9" ht="18.75" thickBot="1" x14ac:dyDescent="0.3">
      <c r="A76" s="133" t="str">
        <f t="shared" si="1"/>
        <v>126980W</v>
      </c>
      <c r="B76" s="133" t="s">
        <v>5747</v>
      </c>
      <c r="C76" s="133" t="s">
        <v>5748</v>
      </c>
      <c r="D76" s="133" t="s">
        <v>24</v>
      </c>
      <c r="E76" s="134"/>
      <c r="F76" s="134" t="s">
        <v>5552</v>
      </c>
      <c r="G76" s="135">
        <v>12.56</v>
      </c>
      <c r="H76" s="133">
        <v>2015</v>
      </c>
      <c r="I76" s="152" t="s">
        <v>5553</v>
      </c>
    </row>
    <row r="77" spans="1:9" ht="18.75" thickBot="1" x14ac:dyDescent="0.3">
      <c r="A77" s="133" t="str">
        <f t="shared" si="1"/>
        <v>149275F</v>
      </c>
      <c r="B77" s="133" t="s">
        <v>5749</v>
      </c>
      <c r="C77" s="133" t="s">
        <v>5750</v>
      </c>
      <c r="D77" s="133" t="s">
        <v>5505</v>
      </c>
      <c r="E77" s="134"/>
      <c r="F77" s="134">
        <v>1.87</v>
      </c>
      <c r="G77" s="135">
        <v>1.49</v>
      </c>
      <c r="H77" s="133">
        <v>2023</v>
      </c>
      <c r="I77" s="152" t="s">
        <v>5635</v>
      </c>
    </row>
    <row r="78" spans="1:9" ht="18.75" thickBot="1" x14ac:dyDescent="0.3">
      <c r="A78" s="133" t="str">
        <f t="shared" si="1"/>
        <v>012582Y</v>
      </c>
      <c r="B78" s="133" t="s">
        <v>7577</v>
      </c>
      <c r="C78" s="133" t="s">
        <v>7578</v>
      </c>
      <c r="D78" s="133" t="s">
        <v>5505</v>
      </c>
      <c r="E78" s="134"/>
      <c r="F78" s="134">
        <v>2.0499999999999998</v>
      </c>
      <c r="G78" s="135">
        <v>1.64</v>
      </c>
      <c r="H78" s="133">
        <v>2015</v>
      </c>
      <c r="I78" s="152" t="s">
        <v>8513</v>
      </c>
    </row>
    <row r="79" spans="1:9" ht="18.75" thickBot="1" x14ac:dyDescent="0.3">
      <c r="A79" s="133" t="str">
        <f t="shared" si="1"/>
        <v>012583Z</v>
      </c>
      <c r="B79" s="133" t="s">
        <v>5751</v>
      </c>
      <c r="C79" s="133" t="s">
        <v>5752</v>
      </c>
      <c r="D79" s="133" t="s">
        <v>5504</v>
      </c>
      <c r="E79" s="134"/>
      <c r="F79" s="134">
        <v>2.66</v>
      </c>
      <c r="G79" s="135">
        <v>2.12</v>
      </c>
      <c r="H79" s="133">
        <v>2024</v>
      </c>
      <c r="I79" s="152" t="s">
        <v>5563</v>
      </c>
    </row>
    <row r="80" spans="1:9" ht="18.75" thickBot="1" x14ac:dyDescent="0.3">
      <c r="A80" s="133" t="str">
        <f t="shared" si="1"/>
        <v>152269K</v>
      </c>
      <c r="B80" s="133" t="s">
        <v>5757</v>
      </c>
      <c r="C80" s="133" t="s">
        <v>5758</v>
      </c>
      <c r="D80" s="133" t="s">
        <v>5505</v>
      </c>
      <c r="E80" s="134"/>
      <c r="F80" s="134">
        <v>1.42</v>
      </c>
      <c r="G80" s="135">
        <v>1.1299999999999999</v>
      </c>
      <c r="H80" s="133">
        <v>2020</v>
      </c>
      <c r="I80" s="152" t="s">
        <v>5630</v>
      </c>
    </row>
    <row r="81" spans="1:9" ht="18.75" thickBot="1" x14ac:dyDescent="0.3">
      <c r="A81" s="133" t="str">
        <f t="shared" si="1"/>
        <v>140314S</v>
      </c>
      <c r="B81" s="133" t="s">
        <v>5759</v>
      </c>
      <c r="C81" s="133" t="s">
        <v>5760</v>
      </c>
      <c r="D81" s="133" t="s">
        <v>5504</v>
      </c>
      <c r="E81" s="134"/>
      <c r="F81" s="134">
        <v>2.68</v>
      </c>
      <c r="G81" s="135">
        <v>2.14</v>
      </c>
      <c r="H81" s="133">
        <v>2024</v>
      </c>
      <c r="I81" s="152" t="s">
        <v>5657</v>
      </c>
    </row>
    <row r="82" spans="1:9" ht="18.75" thickBot="1" x14ac:dyDescent="0.3">
      <c r="A82" s="133" t="str">
        <f t="shared" si="1"/>
        <v>012593J</v>
      </c>
      <c r="B82" s="133" t="s">
        <v>7579</v>
      </c>
      <c r="C82" s="133" t="s">
        <v>7580</v>
      </c>
      <c r="D82" s="133" t="s">
        <v>5505</v>
      </c>
      <c r="E82" s="134"/>
      <c r="F82" s="134">
        <v>1.83</v>
      </c>
      <c r="G82" s="135">
        <v>1.46</v>
      </c>
      <c r="H82" s="133">
        <v>2015</v>
      </c>
      <c r="I82" s="152" t="s">
        <v>5895</v>
      </c>
    </row>
    <row r="83" spans="1:9" ht="18.75" thickBot="1" x14ac:dyDescent="0.3">
      <c r="A83" s="133" t="str">
        <f t="shared" si="1"/>
        <v>012594K</v>
      </c>
      <c r="B83" s="133" t="s">
        <v>5761</v>
      </c>
      <c r="C83" s="133" t="s">
        <v>5762</v>
      </c>
      <c r="D83" s="133" t="s">
        <v>5505</v>
      </c>
      <c r="E83" s="134"/>
      <c r="F83" s="134">
        <v>1.45</v>
      </c>
      <c r="G83" s="135">
        <v>1.1599999999999999</v>
      </c>
      <c r="H83" s="133">
        <v>2024</v>
      </c>
      <c r="I83" s="152" t="s">
        <v>5573</v>
      </c>
    </row>
    <row r="84" spans="1:9" ht="18.75" thickBot="1" x14ac:dyDescent="0.3">
      <c r="A84" s="133" t="str">
        <f t="shared" si="1"/>
        <v>105944U</v>
      </c>
      <c r="B84" s="133" t="s">
        <v>5763</v>
      </c>
      <c r="C84" s="133" t="s">
        <v>5764</v>
      </c>
      <c r="D84" s="133" t="s">
        <v>24</v>
      </c>
      <c r="E84" s="134"/>
      <c r="F84" s="134" t="s">
        <v>5552</v>
      </c>
      <c r="G84" s="135">
        <v>10.28</v>
      </c>
      <c r="H84" s="133">
        <v>2023</v>
      </c>
      <c r="I84" s="152" t="s">
        <v>5635</v>
      </c>
    </row>
    <row r="85" spans="1:9" ht="18.75" thickBot="1" x14ac:dyDescent="0.3">
      <c r="A85" s="133" t="str">
        <f t="shared" si="1"/>
        <v>142512G</v>
      </c>
      <c r="B85" s="133" t="s">
        <v>7098</v>
      </c>
      <c r="C85" s="133" t="s">
        <v>7099</v>
      </c>
      <c r="D85" s="133" t="s">
        <v>24</v>
      </c>
      <c r="E85" s="134"/>
      <c r="F85" s="134" t="s">
        <v>5552</v>
      </c>
      <c r="G85" s="135">
        <v>11.59</v>
      </c>
      <c r="H85" s="133">
        <v>2013</v>
      </c>
      <c r="I85" s="152" t="s">
        <v>5553</v>
      </c>
    </row>
    <row r="86" spans="1:9" ht="18.75" thickBot="1" x14ac:dyDescent="0.3">
      <c r="A86" s="133" t="str">
        <f t="shared" si="1"/>
        <v>111024E</v>
      </c>
      <c r="B86" s="133" t="s">
        <v>7100</v>
      </c>
      <c r="C86" s="133" t="s">
        <v>7101</v>
      </c>
      <c r="D86" s="133" t="s">
        <v>5503</v>
      </c>
      <c r="E86" s="134"/>
      <c r="F86" s="134">
        <v>5.87</v>
      </c>
      <c r="G86" s="135">
        <v>4.6900000000000004</v>
      </c>
      <c r="H86" s="133">
        <v>2009</v>
      </c>
      <c r="I86" s="152" t="s">
        <v>5615</v>
      </c>
    </row>
    <row r="87" spans="1:9" ht="18.75" thickBot="1" x14ac:dyDescent="0.3">
      <c r="A87" s="133" t="str">
        <f t="shared" si="1"/>
        <v>152526P</v>
      </c>
      <c r="B87" s="133" t="s">
        <v>7581</v>
      </c>
      <c r="C87" s="133" t="s">
        <v>7582</v>
      </c>
      <c r="D87" s="133" t="s">
        <v>7537</v>
      </c>
      <c r="E87" s="134"/>
      <c r="F87" s="134">
        <v>0.59</v>
      </c>
      <c r="G87" s="135">
        <v>0.47</v>
      </c>
      <c r="H87" s="133">
        <v>2015</v>
      </c>
      <c r="I87" s="152" t="s">
        <v>5582</v>
      </c>
    </row>
    <row r="88" spans="1:9" ht="18.75" thickBot="1" x14ac:dyDescent="0.3">
      <c r="A88" s="133" t="str">
        <f t="shared" si="1"/>
        <v>156100Z</v>
      </c>
      <c r="B88" s="133" t="s">
        <v>5766</v>
      </c>
      <c r="C88" s="133" t="s">
        <v>5767</v>
      </c>
      <c r="D88" s="133" t="s">
        <v>5704</v>
      </c>
      <c r="E88" s="134"/>
      <c r="F88" s="134">
        <v>1.7</v>
      </c>
      <c r="G88" s="135">
        <v>1.36</v>
      </c>
      <c r="H88" s="133">
        <v>2024</v>
      </c>
      <c r="I88" s="152" t="s">
        <v>5768</v>
      </c>
    </row>
    <row r="89" spans="1:9" ht="18.75" thickBot="1" x14ac:dyDescent="0.3">
      <c r="A89" s="133" t="str">
        <f t="shared" si="1"/>
        <v>115140M</v>
      </c>
      <c r="B89" s="133" t="s">
        <v>7102</v>
      </c>
      <c r="C89" s="133" t="s">
        <v>7103</v>
      </c>
      <c r="D89" s="133" t="s">
        <v>5505</v>
      </c>
      <c r="E89" s="134"/>
      <c r="F89" s="134">
        <v>1.81</v>
      </c>
      <c r="G89" s="135">
        <v>1.44</v>
      </c>
      <c r="H89" s="133">
        <v>2014</v>
      </c>
      <c r="I89" s="152" t="s">
        <v>5801</v>
      </c>
    </row>
    <row r="90" spans="1:9" ht="18.75" thickBot="1" x14ac:dyDescent="0.3">
      <c r="A90" s="133" t="str">
        <f t="shared" si="1"/>
        <v>155821W</v>
      </c>
      <c r="B90" s="133" t="s">
        <v>5769</v>
      </c>
      <c r="C90" s="133" t="s">
        <v>5770</v>
      </c>
      <c r="D90" s="133" t="s">
        <v>5505</v>
      </c>
      <c r="E90" s="134"/>
      <c r="F90" s="134">
        <v>1.23</v>
      </c>
      <c r="G90" s="135">
        <v>0.98</v>
      </c>
      <c r="H90" s="133">
        <v>2017</v>
      </c>
      <c r="I90" s="152" t="s">
        <v>5587</v>
      </c>
    </row>
    <row r="91" spans="1:9" ht="18.75" thickBot="1" x14ac:dyDescent="0.3">
      <c r="A91" s="133" t="str">
        <f t="shared" si="1"/>
        <v>136750Q</v>
      </c>
      <c r="B91" s="133" t="s">
        <v>7104</v>
      </c>
      <c r="C91" s="133" t="s">
        <v>7105</v>
      </c>
      <c r="D91" s="133" t="s">
        <v>5505</v>
      </c>
      <c r="E91" s="134"/>
      <c r="F91" s="134">
        <v>1.33</v>
      </c>
      <c r="G91" s="135">
        <v>1.06</v>
      </c>
      <c r="H91" s="133">
        <v>2018</v>
      </c>
      <c r="I91" s="152" t="s">
        <v>5630</v>
      </c>
    </row>
    <row r="92" spans="1:9" ht="18.75" thickBot="1" x14ac:dyDescent="0.3">
      <c r="A92" s="133" t="str">
        <f t="shared" si="1"/>
        <v>133831J</v>
      </c>
      <c r="B92" s="133" t="s">
        <v>7106</v>
      </c>
      <c r="C92" s="133" t="s">
        <v>7107</v>
      </c>
      <c r="D92" s="133" t="s">
        <v>7543</v>
      </c>
      <c r="E92" s="134"/>
      <c r="F92" s="134">
        <v>1.19</v>
      </c>
      <c r="G92" s="135">
        <v>0.95</v>
      </c>
      <c r="H92" s="133">
        <v>2024</v>
      </c>
      <c r="I92" s="152" t="s">
        <v>5768</v>
      </c>
    </row>
    <row r="93" spans="1:9" ht="18.75" thickBot="1" x14ac:dyDescent="0.3">
      <c r="A93" s="133" t="str">
        <f t="shared" si="1"/>
        <v>160443V</v>
      </c>
      <c r="B93" s="133" t="s">
        <v>7108</v>
      </c>
      <c r="C93" s="133" t="s">
        <v>7109</v>
      </c>
      <c r="D93" s="133" t="s">
        <v>5505</v>
      </c>
      <c r="E93" s="134"/>
      <c r="F93" s="134">
        <v>1.25</v>
      </c>
      <c r="G93" s="135">
        <v>1</v>
      </c>
      <c r="H93" s="133">
        <v>2020</v>
      </c>
      <c r="I93" s="152" t="s">
        <v>5601</v>
      </c>
    </row>
    <row r="94" spans="1:9" ht="18.75" thickBot="1" x14ac:dyDescent="0.3">
      <c r="A94" s="133" t="str">
        <f t="shared" si="1"/>
        <v>112124M</v>
      </c>
      <c r="B94" s="133" t="s">
        <v>5771</v>
      </c>
      <c r="C94" s="133" t="s">
        <v>5772</v>
      </c>
      <c r="D94" s="133" t="s">
        <v>5505</v>
      </c>
      <c r="E94" s="134"/>
      <c r="F94" s="134">
        <v>2.08</v>
      </c>
      <c r="G94" s="135">
        <v>1.66</v>
      </c>
      <c r="H94" s="133">
        <v>2019</v>
      </c>
      <c r="I94" s="152" t="s">
        <v>5639</v>
      </c>
    </row>
    <row r="95" spans="1:9" ht="18.75" thickBot="1" x14ac:dyDescent="0.3">
      <c r="A95" s="133" t="str">
        <f t="shared" si="1"/>
        <v>164179F</v>
      </c>
      <c r="B95" s="133" t="s">
        <v>7583</v>
      </c>
      <c r="C95" s="133" t="s">
        <v>7584</v>
      </c>
      <c r="D95" s="133" t="s">
        <v>7537</v>
      </c>
      <c r="E95" s="134"/>
      <c r="F95" s="134">
        <v>0.71</v>
      </c>
      <c r="G95" s="135">
        <v>0.56000000000000005</v>
      </c>
      <c r="H95" s="133">
        <v>2021</v>
      </c>
      <c r="I95" s="152" t="s">
        <v>5710</v>
      </c>
    </row>
    <row r="96" spans="1:9" ht="18.75" thickBot="1" x14ac:dyDescent="0.3">
      <c r="A96" s="133" t="str">
        <f t="shared" si="1"/>
        <v>130133D</v>
      </c>
      <c r="B96" s="133" t="s">
        <v>7585</v>
      </c>
      <c r="C96" s="133" t="s">
        <v>7586</v>
      </c>
      <c r="D96" s="133" t="s">
        <v>5505</v>
      </c>
      <c r="E96" s="134"/>
      <c r="F96" s="134">
        <v>1.69</v>
      </c>
      <c r="G96" s="135">
        <v>1.35</v>
      </c>
      <c r="H96" s="133">
        <v>2014</v>
      </c>
      <c r="I96" s="152" t="s">
        <v>5701</v>
      </c>
    </row>
    <row r="97" spans="1:9" ht="18.75" thickBot="1" x14ac:dyDescent="0.3">
      <c r="A97" s="133" t="str">
        <f t="shared" si="1"/>
        <v>161827Z</v>
      </c>
      <c r="B97" s="133" t="s">
        <v>7110</v>
      </c>
      <c r="C97" s="133" t="s">
        <v>7111</v>
      </c>
      <c r="D97" s="133" t="s">
        <v>26</v>
      </c>
      <c r="E97" s="134"/>
      <c r="F97" s="134">
        <v>7.19</v>
      </c>
      <c r="G97" s="135">
        <v>5.75</v>
      </c>
      <c r="H97" s="133">
        <v>2019</v>
      </c>
      <c r="I97" s="152" t="s">
        <v>5671</v>
      </c>
    </row>
    <row r="98" spans="1:9" ht="18.75" thickBot="1" x14ac:dyDescent="0.3">
      <c r="A98" s="133" t="str">
        <f t="shared" si="1"/>
        <v>149332S</v>
      </c>
      <c r="B98" s="133" t="s">
        <v>7112</v>
      </c>
      <c r="C98" s="133" t="s">
        <v>7113</v>
      </c>
      <c r="D98" s="133" t="s">
        <v>5504</v>
      </c>
      <c r="E98" s="134"/>
      <c r="F98" s="134">
        <v>2.7</v>
      </c>
      <c r="G98" s="135">
        <v>2.16</v>
      </c>
      <c r="H98" s="133">
        <v>2024</v>
      </c>
      <c r="I98" s="152" t="s">
        <v>5598</v>
      </c>
    </row>
    <row r="99" spans="1:9" ht="18.75" thickBot="1" x14ac:dyDescent="0.3">
      <c r="A99" s="133" t="str">
        <f t="shared" si="1"/>
        <v>134984S</v>
      </c>
      <c r="B99" s="133" t="s">
        <v>5773</v>
      </c>
      <c r="C99" s="133" t="s">
        <v>5774</v>
      </c>
      <c r="D99" s="133" t="s">
        <v>7537</v>
      </c>
      <c r="E99" s="134"/>
      <c r="F99" s="134">
        <v>0.28000000000000003</v>
      </c>
      <c r="G99" s="135">
        <v>0.22</v>
      </c>
      <c r="H99" s="133">
        <v>2008</v>
      </c>
      <c r="I99" s="152" t="s">
        <v>5587</v>
      </c>
    </row>
    <row r="100" spans="1:9" ht="18.75" thickBot="1" x14ac:dyDescent="0.3">
      <c r="A100" s="133" t="str">
        <f t="shared" si="1"/>
        <v>149537Q</v>
      </c>
      <c r="B100" s="133" t="s">
        <v>7114</v>
      </c>
      <c r="C100" s="133" t="s">
        <v>7115</v>
      </c>
      <c r="D100" s="133" t="s">
        <v>7537</v>
      </c>
      <c r="E100" s="134"/>
      <c r="F100" s="134">
        <v>0.91</v>
      </c>
      <c r="G100" s="135">
        <v>0.73</v>
      </c>
      <c r="H100" s="133">
        <v>2024</v>
      </c>
      <c r="I100" s="152" t="s">
        <v>5646</v>
      </c>
    </row>
    <row r="101" spans="1:9" ht="18.75" thickBot="1" x14ac:dyDescent="0.3">
      <c r="A101" s="133" t="str">
        <f t="shared" si="1"/>
        <v>132270I</v>
      </c>
      <c r="B101" s="133" t="s">
        <v>5777</v>
      </c>
      <c r="C101" s="133" t="s">
        <v>5778</v>
      </c>
      <c r="D101" s="133" t="s">
        <v>5505</v>
      </c>
      <c r="E101" s="134"/>
      <c r="F101" s="134">
        <v>1.23</v>
      </c>
      <c r="G101" s="135">
        <v>0.98</v>
      </c>
      <c r="H101" s="133">
        <v>2010</v>
      </c>
      <c r="I101" s="152" t="s">
        <v>5701</v>
      </c>
    </row>
    <row r="102" spans="1:9" ht="18.75" thickBot="1" x14ac:dyDescent="0.3">
      <c r="A102" s="133" t="str">
        <f t="shared" si="1"/>
        <v>138257P</v>
      </c>
      <c r="B102" s="133" t="s">
        <v>7116</v>
      </c>
      <c r="C102" s="133" t="s">
        <v>7117</v>
      </c>
      <c r="D102" s="133" t="s">
        <v>5504</v>
      </c>
      <c r="E102" s="134"/>
      <c r="F102" s="134">
        <v>2.33</v>
      </c>
      <c r="G102" s="135">
        <v>1.87</v>
      </c>
      <c r="H102" s="133">
        <v>2018</v>
      </c>
      <c r="I102" s="152" t="s">
        <v>5657</v>
      </c>
    </row>
    <row r="103" spans="1:9" ht="18.75" thickBot="1" x14ac:dyDescent="0.3">
      <c r="A103" s="133" t="str">
        <f t="shared" si="1"/>
        <v>140064C</v>
      </c>
      <c r="B103" s="133" t="s">
        <v>7587</v>
      </c>
      <c r="C103" s="133" t="s">
        <v>7588</v>
      </c>
      <c r="D103" s="133" t="s">
        <v>5505</v>
      </c>
      <c r="E103" s="134"/>
      <c r="F103" s="134">
        <v>1.46</v>
      </c>
      <c r="G103" s="135">
        <v>1.17</v>
      </c>
      <c r="H103" s="133">
        <v>2020</v>
      </c>
      <c r="I103" s="152" t="s">
        <v>5635</v>
      </c>
    </row>
    <row r="104" spans="1:9" ht="18.75" thickBot="1" x14ac:dyDescent="0.3">
      <c r="A104" s="133" t="str">
        <f t="shared" si="1"/>
        <v>134027X</v>
      </c>
      <c r="B104" s="133" t="s">
        <v>7589</v>
      </c>
      <c r="C104" s="133" t="s">
        <v>7590</v>
      </c>
      <c r="D104" s="133" t="s">
        <v>5505</v>
      </c>
      <c r="E104" s="134"/>
      <c r="F104" s="134">
        <v>1.55</v>
      </c>
      <c r="G104" s="135">
        <v>1.24</v>
      </c>
      <c r="H104" s="133">
        <v>2012</v>
      </c>
      <c r="I104" s="152" t="s">
        <v>5615</v>
      </c>
    </row>
    <row r="105" spans="1:9" ht="18.75" thickBot="1" x14ac:dyDescent="0.3">
      <c r="A105" s="133" t="str">
        <f t="shared" si="1"/>
        <v>012652Q</v>
      </c>
      <c r="B105" s="133" t="s">
        <v>5779</v>
      </c>
      <c r="C105" s="133" t="s">
        <v>5780</v>
      </c>
      <c r="D105" s="133" t="s">
        <v>5505</v>
      </c>
      <c r="E105" s="134"/>
      <c r="F105" s="134">
        <v>1.69</v>
      </c>
      <c r="G105" s="135">
        <v>1.35</v>
      </c>
      <c r="H105" s="133">
        <v>2016</v>
      </c>
      <c r="I105" s="152" t="s">
        <v>5646</v>
      </c>
    </row>
    <row r="106" spans="1:9" ht="18.75" thickBot="1" x14ac:dyDescent="0.3">
      <c r="A106" s="133" t="str">
        <f t="shared" si="1"/>
        <v>137099B</v>
      </c>
      <c r="B106" s="133" t="s">
        <v>7118</v>
      </c>
      <c r="C106" s="133" t="s">
        <v>7119</v>
      </c>
      <c r="D106" s="133" t="s">
        <v>5503</v>
      </c>
      <c r="E106" s="134"/>
      <c r="F106" s="134">
        <v>4.62</v>
      </c>
      <c r="G106" s="135">
        <v>3.69</v>
      </c>
      <c r="H106" s="133">
        <v>2024</v>
      </c>
      <c r="I106" s="152" t="s">
        <v>5787</v>
      </c>
    </row>
    <row r="107" spans="1:9" ht="18.75" thickBot="1" x14ac:dyDescent="0.3">
      <c r="A107" s="133" t="str">
        <f t="shared" si="1"/>
        <v>132716M</v>
      </c>
      <c r="B107" s="133" t="s">
        <v>5783</v>
      </c>
      <c r="C107" s="133" t="s">
        <v>5784</v>
      </c>
      <c r="D107" s="133" t="s">
        <v>5704</v>
      </c>
      <c r="E107" s="134"/>
      <c r="F107" s="134">
        <v>2.0499999999999998</v>
      </c>
      <c r="G107" s="135">
        <v>1.64</v>
      </c>
      <c r="H107" s="133">
        <v>2024</v>
      </c>
      <c r="I107" s="152" t="s">
        <v>5639</v>
      </c>
    </row>
    <row r="108" spans="1:9" ht="18.75" thickBot="1" x14ac:dyDescent="0.3">
      <c r="A108" s="133" t="str">
        <f t="shared" si="1"/>
        <v>012657V</v>
      </c>
      <c r="B108" s="133" t="s">
        <v>5785</v>
      </c>
      <c r="C108" s="133" t="s">
        <v>5786</v>
      </c>
      <c r="D108" s="133" t="s">
        <v>26</v>
      </c>
      <c r="E108" s="134"/>
      <c r="F108" s="134">
        <v>6.34</v>
      </c>
      <c r="G108" s="135">
        <v>5.07</v>
      </c>
      <c r="H108" s="133">
        <v>2024</v>
      </c>
      <c r="I108" s="152" t="s">
        <v>5787</v>
      </c>
    </row>
    <row r="109" spans="1:9" ht="18.75" thickBot="1" x14ac:dyDescent="0.3">
      <c r="A109" s="133" t="str">
        <f t="shared" si="1"/>
        <v>012659X</v>
      </c>
      <c r="B109" s="133" t="s">
        <v>7466</v>
      </c>
      <c r="C109" s="133" t="s">
        <v>7467</v>
      </c>
      <c r="D109" s="133" t="s">
        <v>26</v>
      </c>
      <c r="E109" s="134"/>
      <c r="F109" s="134">
        <v>8.82</v>
      </c>
      <c r="G109" s="135">
        <v>7.06</v>
      </c>
      <c r="H109" s="133">
        <v>2014</v>
      </c>
      <c r="I109" s="152" t="s">
        <v>5646</v>
      </c>
    </row>
    <row r="110" spans="1:9" ht="18.75" thickBot="1" x14ac:dyDescent="0.3">
      <c r="A110" s="133" t="str">
        <f t="shared" si="1"/>
        <v>180137B</v>
      </c>
      <c r="B110" s="133" t="s">
        <v>8514</v>
      </c>
      <c r="C110" s="133" t="s">
        <v>8515</v>
      </c>
      <c r="D110" s="133" t="s">
        <v>7543</v>
      </c>
      <c r="E110" s="134"/>
      <c r="F110" s="134">
        <v>1.42</v>
      </c>
      <c r="G110" s="135">
        <v>1.1399999999999999</v>
      </c>
      <c r="H110" s="133">
        <v>2024</v>
      </c>
      <c r="I110" s="152" t="s">
        <v>5630</v>
      </c>
    </row>
    <row r="111" spans="1:9" ht="18.75" thickBot="1" x14ac:dyDescent="0.3">
      <c r="A111" s="133" t="str">
        <f t="shared" si="1"/>
        <v>162696T</v>
      </c>
      <c r="B111" s="133" t="s">
        <v>7591</v>
      </c>
      <c r="C111" s="133" t="s">
        <v>7592</v>
      </c>
      <c r="D111" s="133" t="s">
        <v>7537</v>
      </c>
      <c r="E111" s="134"/>
      <c r="F111" s="134">
        <v>0.32</v>
      </c>
      <c r="G111" s="135">
        <v>0.25</v>
      </c>
      <c r="H111" s="133">
        <v>2020</v>
      </c>
      <c r="I111" s="152" t="s">
        <v>5735</v>
      </c>
    </row>
    <row r="112" spans="1:9" ht="18.75" thickBot="1" x14ac:dyDescent="0.3">
      <c r="A112" s="133" t="str">
        <f t="shared" si="1"/>
        <v>133354A</v>
      </c>
      <c r="B112" s="133" t="s">
        <v>7120</v>
      </c>
      <c r="C112" s="133" t="s">
        <v>7121</v>
      </c>
      <c r="D112" s="133" t="s">
        <v>5504</v>
      </c>
      <c r="E112" s="134"/>
      <c r="F112" s="134">
        <v>2.59</v>
      </c>
      <c r="G112" s="135">
        <v>2.0699999999999998</v>
      </c>
      <c r="H112" s="133">
        <v>2014</v>
      </c>
      <c r="I112" s="152" t="s">
        <v>5705</v>
      </c>
    </row>
    <row r="113" spans="1:9" ht="18.75" thickBot="1" x14ac:dyDescent="0.3">
      <c r="A113" s="133" t="str">
        <f t="shared" si="1"/>
        <v>117427L</v>
      </c>
      <c r="B113" s="133" t="s">
        <v>7593</v>
      </c>
      <c r="C113" s="133" t="s">
        <v>7594</v>
      </c>
      <c r="D113" s="133" t="s">
        <v>5505</v>
      </c>
      <c r="E113" s="134"/>
      <c r="F113" s="134">
        <v>1.4</v>
      </c>
      <c r="G113" s="135">
        <v>1.1200000000000001</v>
      </c>
      <c r="H113" s="133">
        <v>2011</v>
      </c>
      <c r="I113" s="152" t="s">
        <v>5787</v>
      </c>
    </row>
    <row r="114" spans="1:9" ht="18.75" thickBot="1" x14ac:dyDescent="0.3">
      <c r="A114" s="133" t="str">
        <f t="shared" si="1"/>
        <v>146910K</v>
      </c>
      <c r="B114" s="133" t="s">
        <v>7122</v>
      </c>
      <c r="C114" s="133" t="s">
        <v>7123</v>
      </c>
      <c r="D114" s="133" t="s">
        <v>5505</v>
      </c>
      <c r="E114" s="134"/>
      <c r="F114" s="134">
        <v>1.36</v>
      </c>
      <c r="G114" s="135">
        <v>1.0900000000000001</v>
      </c>
      <c r="H114" s="133">
        <v>2015</v>
      </c>
      <c r="I114" s="152" t="s">
        <v>6229</v>
      </c>
    </row>
    <row r="115" spans="1:9" ht="18.75" thickBot="1" x14ac:dyDescent="0.3">
      <c r="A115" s="133" t="str">
        <f t="shared" si="1"/>
        <v>113447J</v>
      </c>
      <c r="B115" s="133" t="s">
        <v>7595</v>
      </c>
      <c r="C115" s="133" t="s">
        <v>7596</v>
      </c>
      <c r="D115" s="133" t="s">
        <v>5505</v>
      </c>
      <c r="E115" s="134"/>
      <c r="F115" s="134">
        <v>1.31</v>
      </c>
      <c r="G115" s="135">
        <v>1.05</v>
      </c>
      <c r="H115" s="133">
        <v>2022</v>
      </c>
      <c r="I115" s="152" t="s">
        <v>5635</v>
      </c>
    </row>
    <row r="116" spans="1:9" ht="18.75" thickBot="1" x14ac:dyDescent="0.3">
      <c r="A116" s="133" t="str">
        <f t="shared" si="1"/>
        <v>012665D</v>
      </c>
      <c r="B116" s="133" t="s">
        <v>5788</v>
      </c>
      <c r="C116" s="133" t="s">
        <v>5789</v>
      </c>
      <c r="D116" s="133" t="s">
        <v>26</v>
      </c>
      <c r="E116" s="134"/>
      <c r="F116" s="134">
        <v>5.78</v>
      </c>
      <c r="G116" s="135">
        <v>4.62</v>
      </c>
      <c r="H116" s="133">
        <v>2018</v>
      </c>
      <c r="I116" s="152" t="s">
        <v>8513</v>
      </c>
    </row>
    <row r="117" spans="1:9" ht="18.75" thickBot="1" x14ac:dyDescent="0.3">
      <c r="A117" s="133" t="str">
        <f t="shared" si="1"/>
        <v>164140N</v>
      </c>
      <c r="B117" s="133" t="s">
        <v>7597</v>
      </c>
      <c r="C117" s="133" t="s">
        <v>7598</v>
      </c>
      <c r="D117" s="133" t="s">
        <v>7537</v>
      </c>
      <c r="E117" s="134"/>
      <c r="F117" s="134">
        <v>1.18</v>
      </c>
      <c r="G117" s="135">
        <v>0.94</v>
      </c>
      <c r="H117" s="133">
        <v>2024</v>
      </c>
      <c r="I117" s="152" t="s">
        <v>5671</v>
      </c>
    </row>
    <row r="118" spans="1:9" ht="18.75" thickBot="1" x14ac:dyDescent="0.3">
      <c r="A118" s="133" t="str">
        <f t="shared" si="1"/>
        <v>103467N</v>
      </c>
      <c r="B118" s="133" t="s">
        <v>5793</v>
      </c>
      <c r="C118" s="133" t="s">
        <v>5794</v>
      </c>
      <c r="D118" s="133" t="s">
        <v>26</v>
      </c>
      <c r="E118" s="134"/>
      <c r="F118" s="134">
        <v>8.11</v>
      </c>
      <c r="G118" s="135">
        <v>6.49</v>
      </c>
      <c r="H118" s="133">
        <v>2022</v>
      </c>
      <c r="I118" s="152" t="s">
        <v>5598</v>
      </c>
    </row>
    <row r="119" spans="1:9" ht="18.75" thickBot="1" x14ac:dyDescent="0.3">
      <c r="A119" s="133" t="str">
        <f t="shared" si="1"/>
        <v>157616X</v>
      </c>
      <c r="B119" s="133" t="s">
        <v>5795</v>
      </c>
      <c r="C119" s="133" t="s">
        <v>5796</v>
      </c>
      <c r="D119" s="133" t="s">
        <v>5704</v>
      </c>
      <c r="E119" s="134"/>
      <c r="F119" s="134">
        <v>2.25</v>
      </c>
      <c r="G119" s="135">
        <v>1.8</v>
      </c>
      <c r="H119" s="133">
        <v>2024</v>
      </c>
      <c r="I119" s="152" t="s">
        <v>5701</v>
      </c>
    </row>
    <row r="120" spans="1:9" ht="18.75" thickBot="1" x14ac:dyDescent="0.3">
      <c r="A120" s="133" t="str">
        <f t="shared" si="1"/>
        <v>174244W</v>
      </c>
      <c r="B120" s="133" t="s">
        <v>8516</v>
      </c>
      <c r="C120" s="133" t="s">
        <v>8517</v>
      </c>
      <c r="D120" s="133" t="s">
        <v>7560</v>
      </c>
      <c r="E120" s="134"/>
      <c r="F120" s="134">
        <v>0.86</v>
      </c>
      <c r="G120" s="135">
        <v>0.68</v>
      </c>
      <c r="H120" s="133">
        <v>2024</v>
      </c>
      <c r="I120" s="152" t="s">
        <v>5671</v>
      </c>
    </row>
    <row r="121" spans="1:9" ht="18.75" thickBot="1" x14ac:dyDescent="0.3">
      <c r="A121" s="133" t="str">
        <f t="shared" si="1"/>
        <v>135325V</v>
      </c>
      <c r="B121" s="133" t="s">
        <v>7599</v>
      </c>
      <c r="C121" s="133" t="s">
        <v>7600</v>
      </c>
      <c r="D121" s="133" t="s">
        <v>7537</v>
      </c>
      <c r="E121" s="134"/>
      <c r="F121" s="134">
        <v>0.7</v>
      </c>
      <c r="G121" s="135">
        <v>0.56000000000000005</v>
      </c>
      <c r="H121" s="133">
        <v>2017</v>
      </c>
      <c r="I121" s="152" t="s">
        <v>5787</v>
      </c>
    </row>
    <row r="122" spans="1:9" ht="18.75" thickBot="1" x14ac:dyDescent="0.3">
      <c r="A122" s="133" t="str">
        <f t="shared" si="1"/>
        <v>142367R</v>
      </c>
      <c r="B122" s="133" t="s">
        <v>5799</v>
      </c>
      <c r="C122" s="133" t="s">
        <v>5800</v>
      </c>
      <c r="D122" s="133" t="s">
        <v>7537</v>
      </c>
      <c r="E122" s="134"/>
      <c r="F122" s="134">
        <v>0.88</v>
      </c>
      <c r="G122" s="135">
        <v>0.7</v>
      </c>
      <c r="H122" s="133">
        <v>2012</v>
      </c>
      <c r="I122" s="152" t="s">
        <v>5801</v>
      </c>
    </row>
    <row r="123" spans="1:9" ht="18.75" thickBot="1" x14ac:dyDescent="0.3">
      <c r="A123" s="133" t="str">
        <f t="shared" si="1"/>
        <v>012670I</v>
      </c>
      <c r="B123" s="133" t="s">
        <v>7124</v>
      </c>
      <c r="C123" s="133" t="s">
        <v>7125</v>
      </c>
      <c r="D123" s="133" t="s">
        <v>5504</v>
      </c>
      <c r="E123" s="134"/>
      <c r="F123" s="134">
        <v>3.11</v>
      </c>
      <c r="G123" s="135">
        <v>2.4900000000000002</v>
      </c>
      <c r="H123" s="133">
        <v>2013</v>
      </c>
      <c r="I123" s="152" t="s">
        <v>5594</v>
      </c>
    </row>
    <row r="124" spans="1:9" ht="18.75" thickBot="1" x14ac:dyDescent="0.3">
      <c r="A124" s="133" t="str">
        <f t="shared" si="1"/>
        <v>120633T</v>
      </c>
      <c r="B124" s="133" t="s">
        <v>7126</v>
      </c>
      <c r="C124" s="133" t="s">
        <v>7127</v>
      </c>
      <c r="D124" s="133" t="s">
        <v>5503</v>
      </c>
      <c r="E124" s="134"/>
      <c r="F124" s="134">
        <v>3.98</v>
      </c>
      <c r="G124" s="135">
        <v>3.18</v>
      </c>
      <c r="H124" s="133">
        <v>2020</v>
      </c>
      <c r="I124" s="152" t="s">
        <v>5657</v>
      </c>
    </row>
    <row r="125" spans="1:9" ht="18.75" thickBot="1" x14ac:dyDescent="0.3">
      <c r="A125" s="133" t="str">
        <f t="shared" si="1"/>
        <v>144404A</v>
      </c>
      <c r="B125" s="133" t="s">
        <v>7601</v>
      </c>
      <c r="C125" s="133" t="s">
        <v>7602</v>
      </c>
      <c r="D125" s="133" t="s">
        <v>7537</v>
      </c>
      <c r="E125" s="134"/>
      <c r="F125" s="134">
        <v>1.1200000000000001</v>
      </c>
      <c r="G125" s="135">
        <v>0.89</v>
      </c>
      <c r="H125" s="133">
        <v>2015</v>
      </c>
      <c r="I125" s="152" t="s">
        <v>5594</v>
      </c>
    </row>
    <row r="126" spans="1:9" ht="18.75" thickBot="1" x14ac:dyDescent="0.3">
      <c r="A126" s="133" t="str">
        <f t="shared" si="1"/>
        <v>156244F</v>
      </c>
      <c r="B126" s="133" t="s">
        <v>5804</v>
      </c>
      <c r="C126" s="133" t="s">
        <v>5805</v>
      </c>
      <c r="D126" s="133" t="s">
        <v>7543</v>
      </c>
      <c r="E126" s="134"/>
      <c r="F126" s="134">
        <v>0.95</v>
      </c>
      <c r="G126" s="135">
        <v>0.76</v>
      </c>
      <c r="H126" s="133">
        <v>2024</v>
      </c>
      <c r="I126" s="152" t="s">
        <v>5582</v>
      </c>
    </row>
    <row r="127" spans="1:9" ht="18.75" thickBot="1" x14ac:dyDescent="0.3">
      <c r="A127" s="133" t="str">
        <f t="shared" si="1"/>
        <v>147887X</v>
      </c>
      <c r="B127" s="133" t="s">
        <v>7603</v>
      </c>
      <c r="C127" s="133" t="s">
        <v>7604</v>
      </c>
      <c r="D127" s="133" t="s">
        <v>5504</v>
      </c>
      <c r="E127" s="134"/>
      <c r="F127" s="134">
        <v>2.4300000000000002</v>
      </c>
      <c r="G127" s="135">
        <v>1.94</v>
      </c>
      <c r="H127" s="133">
        <v>2024</v>
      </c>
      <c r="I127" s="152" t="s">
        <v>5615</v>
      </c>
    </row>
    <row r="128" spans="1:9" ht="18.75" thickBot="1" x14ac:dyDescent="0.3">
      <c r="A128" s="133" t="str">
        <f t="shared" si="1"/>
        <v>145284W</v>
      </c>
      <c r="B128" s="133" t="s">
        <v>5806</v>
      </c>
      <c r="C128" s="133" t="s">
        <v>5807</v>
      </c>
      <c r="D128" s="133" t="s">
        <v>5704</v>
      </c>
      <c r="E128" s="134"/>
      <c r="F128" s="134">
        <v>2.2400000000000002</v>
      </c>
      <c r="G128" s="135">
        <v>1.79</v>
      </c>
      <c r="H128" s="133">
        <v>2024</v>
      </c>
      <c r="I128" s="152" t="s">
        <v>5625</v>
      </c>
    </row>
    <row r="129" spans="1:9" ht="18.75" thickBot="1" x14ac:dyDescent="0.3">
      <c r="A129" s="133" t="str">
        <f t="shared" si="1"/>
        <v>103163V</v>
      </c>
      <c r="B129" s="133" t="s">
        <v>5808</v>
      </c>
      <c r="C129" s="133" t="s">
        <v>5809</v>
      </c>
      <c r="D129" s="133" t="s">
        <v>26</v>
      </c>
      <c r="E129" s="134"/>
      <c r="F129" s="134">
        <v>6.51</v>
      </c>
      <c r="G129" s="135">
        <v>5.21</v>
      </c>
      <c r="H129" s="133">
        <v>2016</v>
      </c>
      <c r="I129" s="152" t="s">
        <v>5566</v>
      </c>
    </row>
    <row r="130" spans="1:9" ht="18.75" thickBot="1" x14ac:dyDescent="0.3">
      <c r="A130" s="133" t="str">
        <f t="shared" ref="A130:A193" si="2">SUBSTITUTE(B130,CHAR(32),"")</f>
        <v>164694Q</v>
      </c>
      <c r="B130" s="133" t="s">
        <v>8518</v>
      </c>
      <c r="C130" s="133" t="s">
        <v>8519</v>
      </c>
      <c r="D130" s="133" t="s">
        <v>5704</v>
      </c>
      <c r="E130" s="134"/>
      <c r="F130" s="134">
        <v>2.75</v>
      </c>
      <c r="G130" s="135">
        <v>2.2000000000000002</v>
      </c>
      <c r="H130" s="133">
        <v>2024</v>
      </c>
      <c r="I130" s="152" t="s">
        <v>5587</v>
      </c>
    </row>
    <row r="131" spans="1:9" ht="18.75" thickBot="1" x14ac:dyDescent="0.3">
      <c r="A131" s="133" t="str">
        <f t="shared" si="2"/>
        <v>132873N</v>
      </c>
      <c r="B131" s="133" t="s">
        <v>5812</v>
      </c>
      <c r="C131" s="133" t="s">
        <v>5813</v>
      </c>
      <c r="D131" s="133" t="s">
        <v>7537</v>
      </c>
      <c r="E131" s="134"/>
      <c r="F131" s="134">
        <v>1</v>
      </c>
      <c r="G131" s="135">
        <v>0.8</v>
      </c>
      <c r="H131" s="133">
        <v>2015</v>
      </c>
      <c r="I131" s="152" t="s">
        <v>5657</v>
      </c>
    </row>
    <row r="132" spans="1:9" ht="18.75" thickBot="1" x14ac:dyDescent="0.3">
      <c r="A132" s="133" t="str">
        <f t="shared" si="2"/>
        <v>162978A</v>
      </c>
      <c r="B132" s="133" t="s">
        <v>7128</v>
      </c>
      <c r="C132" s="133" t="s">
        <v>7129</v>
      </c>
      <c r="D132" s="133" t="s">
        <v>7537</v>
      </c>
      <c r="E132" s="134"/>
      <c r="F132" s="134">
        <v>1.1100000000000001</v>
      </c>
      <c r="G132" s="135">
        <v>0.89</v>
      </c>
      <c r="H132" s="133">
        <v>2024</v>
      </c>
      <c r="I132" s="152" t="s">
        <v>5587</v>
      </c>
    </row>
    <row r="133" spans="1:9" ht="18.75" thickBot="1" x14ac:dyDescent="0.3">
      <c r="A133" s="133" t="str">
        <f t="shared" si="2"/>
        <v>182330K</v>
      </c>
      <c r="B133" s="133" t="s">
        <v>8520</v>
      </c>
      <c r="C133" s="133" t="s">
        <v>8521</v>
      </c>
      <c r="D133" s="133" t="s">
        <v>7560</v>
      </c>
      <c r="E133" s="134"/>
      <c r="F133" s="134">
        <v>0.72</v>
      </c>
      <c r="G133" s="135">
        <v>0.56999999999999995</v>
      </c>
      <c r="H133" s="133">
        <v>2024</v>
      </c>
      <c r="I133" s="152" t="s">
        <v>5726</v>
      </c>
    </row>
    <row r="134" spans="1:9" ht="18.75" thickBot="1" x14ac:dyDescent="0.3">
      <c r="A134" s="133" t="str">
        <f t="shared" si="2"/>
        <v>012710W</v>
      </c>
      <c r="B134" s="133" t="s">
        <v>7605</v>
      </c>
      <c r="C134" s="133" t="s">
        <v>7606</v>
      </c>
      <c r="D134" s="133" t="s">
        <v>5504</v>
      </c>
      <c r="E134" s="134"/>
      <c r="F134" s="134">
        <v>3.89</v>
      </c>
      <c r="G134" s="135">
        <v>3.11</v>
      </c>
      <c r="H134" s="133">
        <v>2014</v>
      </c>
      <c r="I134" s="152" t="s">
        <v>5615</v>
      </c>
    </row>
    <row r="135" spans="1:9" ht="18.75" thickBot="1" x14ac:dyDescent="0.3">
      <c r="A135" s="133" t="str">
        <f t="shared" si="2"/>
        <v>145596W</v>
      </c>
      <c r="B135" s="133" t="s">
        <v>7607</v>
      </c>
      <c r="C135" s="133" t="s">
        <v>7608</v>
      </c>
      <c r="D135" s="133" t="s">
        <v>7537</v>
      </c>
      <c r="E135" s="134"/>
      <c r="F135" s="134">
        <v>1.03</v>
      </c>
      <c r="G135" s="135">
        <v>0.82</v>
      </c>
      <c r="H135" s="133">
        <v>2017</v>
      </c>
      <c r="I135" s="152" t="s">
        <v>5678</v>
      </c>
    </row>
    <row r="136" spans="1:9" ht="18.75" thickBot="1" x14ac:dyDescent="0.3">
      <c r="A136" s="133" t="str">
        <f t="shared" si="2"/>
        <v>138254M</v>
      </c>
      <c r="B136" s="133" t="s">
        <v>5820</v>
      </c>
      <c r="C136" s="133" t="s">
        <v>5821</v>
      </c>
      <c r="D136" s="133" t="s">
        <v>5503</v>
      </c>
      <c r="E136" s="134"/>
      <c r="F136" s="134">
        <v>4.63</v>
      </c>
      <c r="G136" s="135">
        <v>3.7</v>
      </c>
      <c r="H136" s="133">
        <v>2024</v>
      </c>
      <c r="I136" s="152" t="s">
        <v>5587</v>
      </c>
    </row>
    <row r="137" spans="1:9" ht="18.75" thickBot="1" x14ac:dyDescent="0.3">
      <c r="A137" s="133" t="str">
        <f t="shared" si="2"/>
        <v>154343P</v>
      </c>
      <c r="B137" s="133" t="s">
        <v>5822</v>
      </c>
      <c r="C137" s="133" t="s">
        <v>5823</v>
      </c>
      <c r="D137" s="133" t="s">
        <v>5504</v>
      </c>
      <c r="E137" s="134"/>
      <c r="F137" s="134">
        <v>2.81</v>
      </c>
      <c r="G137" s="135">
        <v>2.2400000000000002</v>
      </c>
      <c r="H137" s="133">
        <v>2018</v>
      </c>
      <c r="I137" s="152" t="s">
        <v>5556</v>
      </c>
    </row>
    <row r="138" spans="1:9" ht="18.75" thickBot="1" x14ac:dyDescent="0.3">
      <c r="A138" s="133" t="str">
        <f t="shared" si="2"/>
        <v>144848C</v>
      </c>
      <c r="B138" s="133" t="s">
        <v>5824</v>
      </c>
      <c r="C138" s="133" t="s">
        <v>5825</v>
      </c>
      <c r="D138" s="133" t="s">
        <v>7537</v>
      </c>
      <c r="E138" s="134"/>
      <c r="F138" s="134">
        <v>1.04</v>
      </c>
      <c r="G138" s="135">
        <v>0.83</v>
      </c>
      <c r="H138" s="133">
        <v>2012</v>
      </c>
      <c r="I138" s="152" t="s">
        <v>5801</v>
      </c>
    </row>
    <row r="139" spans="1:9" ht="18.75" thickBot="1" x14ac:dyDescent="0.3">
      <c r="A139" s="133" t="str">
        <f t="shared" si="2"/>
        <v>012726M</v>
      </c>
      <c r="B139" s="133" t="s">
        <v>5826</v>
      </c>
      <c r="C139" s="133" t="s">
        <v>5827</v>
      </c>
      <c r="D139" s="133" t="s">
        <v>7537</v>
      </c>
      <c r="E139" s="134"/>
      <c r="F139" s="134">
        <v>1.01</v>
      </c>
      <c r="G139" s="135">
        <v>0.81</v>
      </c>
      <c r="H139" s="133">
        <v>2024</v>
      </c>
      <c r="I139" s="152" t="s">
        <v>5792</v>
      </c>
    </row>
    <row r="140" spans="1:9" ht="18.75" thickBot="1" x14ac:dyDescent="0.3">
      <c r="A140" s="133" t="str">
        <f t="shared" si="2"/>
        <v>012727N</v>
      </c>
      <c r="B140" s="133" t="s">
        <v>5828</v>
      </c>
      <c r="C140" s="133" t="s">
        <v>5829</v>
      </c>
      <c r="D140" s="133" t="s">
        <v>5503</v>
      </c>
      <c r="E140" s="134"/>
      <c r="F140" s="134">
        <v>4.28</v>
      </c>
      <c r="G140" s="135">
        <v>3.43</v>
      </c>
      <c r="H140" s="133">
        <v>2023</v>
      </c>
      <c r="I140" s="152" t="s">
        <v>5553</v>
      </c>
    </row>
    <row r="141" spans="1:9" ht="18.75" thickBot="1" x14ac:dyDescent="0.3">
      <c r="A141" s="133" t="str">
        <f t="shared" si="2"/>
        <v>138109X</v>
      </c>
      <c r="B141" s="133" t="s">
        <v>7130</v>
      </c>
      <c r="C141" s="133" t="s">
        <v>7131</v>
      </c>
      <c r="D141" s="133" t="s">
        <v>5504</v>
      </c>
      <c r="E141" s="134"/>
      <c r="F141" s="134">
        <v>2.61</v>
      </c>
      <c r="G141" s="135">
        <v>2.09</v>
      </c>
      <c r="H141" s="133">
        <v>2018</v>
      </c>
      <c r="I141" s="152" t="s">
        <v>5582</v>
      </c>
    </row>
    <row r="142" spans="1:9" ht="18.75" thickBot="1" x14ac:dyDescent="0.3">
      <c r="A142" s="133" t="str">
        <f t="shared" si="2"/>
        <v>162915G</v>
      </c>
      <c r="B142" s="133" t="s">
        <v>5830</v>
      </c>
      <c r="C142" s="133" t="s">
        <v>5831</v>
      </c>
      <c r="D142" s="133" t="s">
        <v>7537</v>
      </c>
      <c r="E142" s="134"/>
      <c r="F142" s="134">
        <v>1.1399999999999999</v>
      </c>
      <c r="G142" s="135">
        <v>0.91</v>
      </c>
      <c r="H142" s="133">
        <v>2019</v>
      </c>
      <c r="I142" s="152" t="s">
        <v>5582</v>
      </c>
    </row>
    <row r="143" spans="1:9" ht="18.75" thickBot="1" x14ac:dyDescent="0.3">
      <c r="A143" s="133" t="str">
        <f t="shared" si="2"/>
        <v>152435Q</v>
      </c>
      <c r="B143" s="133" t="s">
        <v>5832</v>
      </c>
      <c r="C143" s="133" t="s">
        <v>5833</v>
      </c>
      <c r="D143" s="133" t="s">
        <v>7537</v>
      </c>
      <c r="E143" s="134"/>
      <c r="F143" s="134">
        <v>0.73</v>
      </c>
      <c r="G143" s="135">
        <v>0.57999999999999996</v>
      </c>
      <c r="H143" s="133">
        <v>2024</v>
      </c>
      <c r="I143" s="152" t="s">
        <v>5582</v>
      </c>
    </row>
    <row r="144" spans="1:9" ht="18.75" thickBot="1" x14ac:dyDescent="0.3">
      <c r="A144" s="133" t="str">
        <f t="shared" si="2"/>
        <v>126098Y</v>
      </c>
      <c r="B144" s="133" t="s">
        <v>5836</v>
      </c>
      <c r="C144" s="133" t="s">
        <v>5837</v>
      </c>
      <c r="D144" s="133" t="s">
        <v>5504</v>
      </c>
      <c r="E144" s="134"/>
      <c r="F144" s="134">
        <v>2.39</v>
      </c>
      <c r="G144" s="135">
        <v>1.91</v>
      </c>
      <c r="H144" s="133">
        <v>2023</v>
      </c>
      <c r="I144" s="152" t="s">
        <v>5582</v>
      </c>
    </row>
    <row r="145" spans="1:9" ht="18.75" thickBot="1" x14ac:dyDescent="0.3">
      <c r="A145" s="133" t="str">
        <f t="shared" si="2"/>
        <v>012734U</v>
      </c>
      <c r="B145" s="133" t="s">
        <v>7132</v>
      </c>
      <c r="C145" s="133" t="s">
        <v>7133</v>
      </c>
      <c r="D145" s="133" t="s">
        <v>5503</v>
      </c>
      <c r="E145" s="134"/>
      <c r="F145" s="134">
        <v>4.93</v>
      </c>
      <c r="G145" s="135">
        <v>3.95</v>
      </c>
      <c r="H145" s="133">
        <v>2024</v>
      </c>
      <c r="I145" s="152" t="s">
        <v>5563</v>
      </c>
    </row>
    <row r="146" spans="1:9" ht="18.75" thickBot="1" x14ac:dyDescent="0.3">
      <c r="A146" s="133" t="str">
        <f t="shared" si="2"/>
        <v>142843Z</v>
      </c>
      <c r="B146" s="133" t="s">
        <v>5838</v>
      </c>
      <c r="C146" s="133" t="s">
        <v>5839</v>
      </c>
      <c r="D146" s="133" t="s">
        <v>5505</v>
      </c>
      <c r="E146" s="134"/>
      <c r="F146" s="134">
        <v>1.42</v>
      </c>
      <c r="G146" s="135">
        <v>1.1399999999999999</v>
      </c>
      <c r="H146" s="133">
        <v>2024</v>
      </c>
      <c r="I146" s="152" t="s">
        <v>5710</v>
      </c>
    </row>
    <row r="147" spans="1:9" ht="18.75" thickBot="1" x14ac:dyDescent="0.3">
      <c r="A147" s="133" t="str">
        <f t="shared" si="2"/>
        <v>012736W</v>
      </c>
      <c r="B147" s="133" t="s">
        <v>5840</v>
      </c>
      <c r="C147" s="133" t="s">
        <v>5841</v>
      </c>
      <c r="D147" s="133" t="s">
        <v>26</v>
      </c>
      <c r="E147" s="134"/>
      <c r="F147" s="134">
        <v>6.19</v>
      </c>
      <c r="G147" s="135">
        <v>4.95</v>
      </c>
      <c r="H147" s="133">
        <v>2024</v>
      </c>
      <c r="I147" s="152" t="s">
        <v>5787</v>
      </c>
    </row>
    <row r="148" spans="1:9" ht="18.75" thickBot="1" x14ac:dyDescent="0.3">
      <c r="A148" s="133" t="str">
        <f t="shared" si="2"/>
        <v>150128H</v>
      </c>
      <c r="B148" s="133" t="s">
        <v>5842</v>
      </c>
      <c r="C148" s="133" t="s">
        <v>5843</v>
      </c>
      <c r="D148" s="133" t="s">
        <v>5505</v>
      </c>
      <c r="E148" s="134"/>
      <c r="F148" s="134">
        <v>1.66</v>
      </c>
      <c r="G148" s="135">
        <v>1.33</v>
      </c>
      <c r="H148" s="133">
        <v>2016</v>
      </c>
      <c r="I148" s="152" t="s">
        <v>5594</v>
      </c>
    </row>
    <row r="149" spans="1:9" ht="18.75" thickBot="1" x14ac:dyDescent="0.3">
      <c r="A149" s="133" t="str">
        <f t="shared" si="2"/>
        <v>152964Q</v>
      </c>
      <c r="B149" s="133" t="s">
        <v>7609</v>
      </c>
      <c r="C149" s="133" t="s">
        <v>7610</v>
      </c>
      <c r="D149" s="133" t="s">
        <v>7537</v>
      </c>
      <c r="E149" s="134"/>
      <c r="F149" s="134">
        <v>1.1000000000000001</v>
      </c>
      <c r="G149" s="135">
        <v>0.88</v>
      </c>
      <c r="H149" s="133">
        <v>2023</v>
      </c>
      <c r="I149" s="152" t="s">
        <v>5635</v>
      </c>
    </row>
    <row r="150" spans="1:9" ht="18.75" thickBot="1" x14ac:dyDescent="0.3">
      <c r="A150" s="133" t="str">
        <f t="shared" si="2"/>
        <v>012745F</v>
      </c>
      <c r="B150" s="133" t="s">
        <v>5844</v>
      </c>
      <c r="C150" s="133" t="s">
        <v>5845</v>
      </c>
      <c r="D150" s="133" t="s">
        <v>5562</v>
      </c>
      <c r="E150" s="134"/>
      <c r="F150" s="134">
        <v>7.05</v>
      </c>
      <c r="G150" s="135">
        <v>5.64</v>
      </c>
      <c r="H150" s="133">
        <v>2024</v>
      </c>
      <c r="I150" s="152" t="s">
        <v>5582</v>
      </c>
    </row>
    <row r="151" spans="1:9" ht="18.75" thickBot="1" x14ac:dyDescent="0.3">
      <c r="A151" s="133" t="str">
        <f t="shared" si="2"/>
        <v>150235Z</v>
      </c>
      <c r="B151" s="133" t="s">
        <v>7611</v>
      </c>
      <c r="C151" s="133" t="s">
        <v>7612</v>
      </c>
      <c r="D151" s="133" t="s">
        <v>7537</v>
      </c>
      <c r="E151" s="134"/>
      <c r="F151" s="134">
        <v>0.6</v>
      </c>
      <c r="G151" s="135">
        <v>0.48</v>
      </c>
      <c r="H151" s="133">
        <v>2016</v>
      </c>
      <c r="I151" s="152" t="s">
        <v>5895</v>
      </c>
    </row>
    <row r="152" spans="1:9" ht="18.75" thickBot="1" x14ac:dyDescent="0.3">
      <c r="A152" s="133" t="str">
        <f t="shared" si="2"/>
        <v>130928S</v>
      </c>
      <c r="B152" s="133" t="s">
        <v>5848</v>
      </c>
      <c r="C152" s="133" t="s">
        <v>5849</v>
      </c>
      <c r="D152" s="133" t="s">
        <v>5504</v>
      </c>
      <c r="E152" s="134"/>
      <c r="F152" s="134">
        <v>2.44</v>
      </c>
      <c r="G152" s="135">
        <v>1.95</v>
      </c>
      <c r="H152" s="133">
        <v>2011</v>
      </c>
      <c r="I152" s="152" t="s">
        <v>5850</v>
      </c>
    </row>
    <row r="153" spans="1:9" ht="18.75" thickBot="1" x14ac:dyDescent="0.3">
      <c r="A153" s="133" t="str">
        <f t="shared" si="2"/>
        <v>127828M</v>
      </c>
      <c r="B153" s="133" t="s">
        <v>7474</v>
      </c>
      <c r="C153" s="133" t="s">
        <v>7475</v>
      </c>
      <c r="D153" s="133" t="s">
        <v>26</v>
      </c>
      <c r="E153" s="134"/>
      <c r="F153" s="134">
        <v>5.23</v>
      </c>
      <c r="G153" s="135">
        <v>4.18</v>
      </c>
      <c r="H153" s="133">
        <v>2014</v>
      </c>
      <c r="I153" s="152" t="s">
        <v>5666</v>
      </c>
    </row>
    <row r="154" spans="1:9" ht="18.75" thickBot="1" x14ac:dyDescent="0.3">
      <c r="A154" s="133" t="str">
        <f t="shared" si="2"/>
        <v>012754O</v>
      </c>
      <c r="B154" s="133" t="s">
        <v>5851</v>
      </c>
      <c r="C154" s="133" t="s">
        <v>5852</v>
      </c>
      <c r="D154" s="133" t="s">
        <v>5503</v>
      </c>
      <c r="E154" s="134"/>
      <c r="F154" s="134">
        <v>5.37</v>
      </c>
      <c r="G154" s="135">
        <v>4.29</v>
      </c>
      <c r="H154" s="133">
        <v>2015</v>
      </c>
      <c r="I154" s="152" t="s">
        <v>5853</v>
      </c>
    </row>
    <row r="155" spans="1:9" ht="18.75" thickBot="1" x14ac:dyDescent="0.3">
      <c r="A155" s="133" t="str">
        <f t="shared" si="2"/>
        <v>012762W</v>
      </c>
      <c r="B155" s="133" t="s">
        <v>5854</v>
      </c>
      <c r="C155" s="133" t="s">
        <v>5855</v>
      </c>
      <c r="D155" s="133" t="s">
        <v>5505</v>
      </c>
      <c r="E155" s="134"/>
      <c r="F155" s="134">
        <v>1.68</v>
      </c>
      <c r="G155" s="135">
        <v>1.34</v>
      </c>
      <c r="H155" s="133">
        <v>2011</v>
      </c>
      <c r="I155" s="152" t="s">
        <v>5646</v>
      </c>
    </row>
    <row r="156" spans="1:9" ht="18.75" thickBot="1" x14ac:dyDescent="0.3">
      <c r="A156" s="133" t="str">
        <f t="shared" si="2"/>
        <v>012768C</v>
      </c>
      <c r="B156" s="133" t="s">
        <v>5856</v>
      </c>
      <c r="C156" s="133" t="s">
        <v>5857</v>
      </c>
      <c r="D156" s="133" t="s">
        <v>5503</v>
      </c>
      <c r="E156" s="134"/>
      <c r="F156" s="134">
        <v>4.0199999999999996</v>
      </c>
      <c r="G156" s="135">
        <v>3.21</v>
      </c>
      <c r="H156" s="133">
        <v>2014</v>
      </c>
      <c r="I156" s="152" t="s">
        <v>5598</v>
      </c>
    </row>
    <row r="157" spans="1:9" ht="18.75" thickBot="1" x14ac:dyDescent="0.3">
      <c r="A157" s="133" t="str">
        <f t="shared" si="2"/>
        <v>137881D</v>
      </c>
      <c r="B157" s="133" t="s">
        <v>7613</v>
      </c>
      <c r="C157" s="133" t="s">
        <v>7614</v>
      </c>
      <c r="D157" s="133" t="s">
        <v>5505</v>
      </c>
      <c r="E157" s="134"/>
      <c r="F157" s="134">
        <v>1.08</v>
      </c>
      <c r="G157" s="135">
        <v>0.86</v>
      </c>
      <c r="H157" s="133">
        <v>2016</v>
      </c>
      <c r="I157" s="152" t="s">
        <v>5608</v>
      </c>
    </row>
    <row r="158" spans="1:9" ht="18.75" thickBot="1" x14ac:dyDescent="0.3">
      <c r="A158" s="133" t="str">
        <f t="shared" si="2"/>
        <v>124892O</v>
      </c>
      <c r="B158" s="133" t="s">
        <v>5858</v>
      </c>
      <c r="C158" s="133" t="s">
        <v>5859</v>
      </c>
      <c r="D158" s="133" t="s">
        <v>5505</v>
      </c>
      <c r="E158" s="134"/>
      <c r="F158" s="134">
        <v>1.6</v>
      </c>
      <c r="G158" s="135">
        <v>1.28</v>
      </c>
      <c r="H158" s="133">
        <v>2015</v>
      </c>
      <c r="I158" s="152" t="s">
        <v>5566</v>
      </c>
    </row>
    <row r="159" spans="1:9" ht="18.75" thickBot="1" x14ac:dyDescent="0.3">
      <c r="A159" s="133" t="str">
        <f t="shared" si="2"/>
        <v>012772G</v>
      </c>
      <c r="B159" s="133" t="s">
        <v>5860</v>
      </c>
      <c r="C159" s="133" t="s">
        <v>5861</v>
      </c>
      <c r="D159" s="133" t="s">
        <v>5505</v>
      </c>
      <c r="E159" s="134"/>
      <c r="F159" s="134">
        <v>1.38</v>
      </c>
      <c r="G159" s="135">
        <v>1.1000000000000001</v>
      </c>
      <c r="H159" s="133">
        <v>2010</v>
      </c>
      <c r="I159" s="152" t="s">
        <v>5678</v>
      </c>
    </row>
    <row r="160" spans="1:9" ht="18.75" thickBot="1" x14ac:dyDescent="0.3">
      <c r="A160" s="133" t="str">
        <f t="shared" si="2"/>
        <v>012774I</v>
      </c>
      <c r="B160" s="133" t="s">
        <v>7136</v>
      </c>
      <c r="C160" s="133" t="s">
        <v>7137</v>
      </c>
      <c r="D160" s="133" t="s">
        <v>7543</v>
      </c>
      <c r="E160" s="134"/>
      <c r="F160" s="134">
        <v>1.96</v>
      </c>
      <c r="G160" s="135">
        <v>1.57</v>
      </c>
      <c r="H160" s="133">
        <v>2024</v>
      </c>
      <c r="I160" s="152" t="s">
        <v>5678</v>
      </c>
    </row>
    <row r="161" spans="1:9" ht="18.75" thickBot="1" x14ac:dyDescent="0.3">
      <c r="A161" s="133" t="str">
        <f t="shared" si="2"/>
        <v>163351F</v>
      </c>
      <c r="B161" s="133" t="s">
        <v>5862</v>
      </c>
      <c r="C161" s="133" t="s">
        <v>5863</v>
      </c>
      <c r="D161" s="133" t="s">
        <v>7537</v>
      </c>
      <c r="E161" s="134"/>
      <c r="F161" s="134">
        <v>0.91</v>
      </c>
      <c r="G161" s="135">
        <v>0.72</v>
      </c>
      <c r="H161" s="133">
        <v>2024</v>
      </c>
      <c r="I161" s="152" t="s">
        <v>5787</v>
      </c>
    </row>
    <row r="162" spans="1:9" ht="18.75" thickBot="1" x14ac:dyDescent="0.3">
      <c r="A162" s="133" t="str">
        <f t="shared" si="2"/>
        <v>140329H</v>
      </c>
      <c r="B162" s="133" t="s">
        <v>7615</v>
      </c>
      <c r="C162" s="133" t="s">
        <v>7616</v>
      </c>
      <c r="D162" s="133" t="s">
        <v>5505</v>
      </c>
      <c r="E162" s="134"/>
      <c r="F162" s="134">
        <v>1.3</v>
      </c>
      <c r="G162" s="135">
        <v>1.04</v>
      </c>
      <c r="H162" s="133">
        <v>2010</v>
      </c>
      <c r="I162" s="152" t="s">
        <v>5559</v>
      </c>
    </row>
    <row r="163" spans="1:9" ht="18.75" thickBot="1" x14ac:dyDescent="0.3">
      <c r="A163" s="133" t="str">
        <f t="shared" si="2"/>
        <v>146710S</v>
      </c>
      <c r="B163" s="133" t="s">
        <v>7138</v>
      </c>
      <c r="C163" s="133" t="s">
        <v>7139</v>
      </c>
      <c r="D163" s="133" t="s">
        <v>7537</v>
      </c>
      <c r="E163" s="134"/>
      <c r="F163" s="134">
        <v>1.17</v>
      </c>
      <c r="G163" s="135">
        <v>0.93</v>
      </c>
      <c r="H163" s="133">
        <v>2023</v>
      </c>
      <c r="I163" s="152" t="s">
        <v>5553</v>
      </c>
    </row>
    <row r="164" spans="1:9" ht="18.75" thickBot="1" x14ac:dyDescent="0.3">
      <c r="A164" s="133" t="str">
        <f t="shared" si="2"/>
        <v>012777L</v>
      </c>
      <c r="B164" s="133" t="s">
        <v>5864</v>
      </c>
      <c r="C164" s="133" t="s">
        <v>5865</v>
      </c>
      <c r="D164" s="133" t="s">
        <v>5504</v>
      </c>
      <c r="E164" s="134"/>
      <c r="F164" s="134">
        <v>2.88</v>
      </c>
      <c r="G164" s="135">
        <v>2.2999999999999998</v>
      </c>
      <c r="H164" s="133">
        <v>2009</v>
      </c>
      <c r="I164" s="152" t="s">
        <v>5792</v>
      </c>
    </row>
    <row r="165" spans="1:9" ht="18.75" thickBot="1" x14ac:dyDescent="0.3">
      <c r="A165" s="133" t="str">
        <f t="shared" si="2"/>
        <v>166693N</v>
      </c>
      <c r="B165" s="133" t="s">
        <v>5870</v>
      </c>
      <c r="C165" s="133" t="s">
        <v>5871</v>
      </c>
      <c r="D165" s="133" t="s">
        <v>5504</v>
      </c>
      <c r="E165" s="134"/>
      <c r="F165" s="134">
        <v>2.82</v>
      </c>
      <c r="G165" s="135">
        <v>2.25</v>
      </c>
      <c r="H165" s="133">
        <v>2024</v>
      </c>
      <c r="I165" s="152" t="s">
        <v>5726</v>
      </c>
    </row>
    <row r="166" spans="1:9" ht="18.75" thickBot="1" x14ac:dyDescent="0.3">
      <c r="A166" s="133" t="str">
        <f t="shared" si="2"/>
        <v>141340E</v>
      </c>
      <c r="B166" s="133" t="s">
        <v>7617</v>
      </c>
      <c r="C166" s="133" t="s">
        <v>7618</v>
      </c>
      <c r="D166" s="133" t="s">
        <v>7537</v>
      </c>
      <c r="E166" s="134"/>
      <c r="F166" s="134">
        <v>1.1299999999999999</v>
      </c>
      <c r="G166" s="135">
        <v>0.9</v>
      </c>
      <c r="H166" s="133">
        <v>2012</v>
      </c>
      <c r="I166" s="152" t="s">
        <v>5710</v>
      </c>
    </row>
    <row r="167" spans="1:9" ht="18.75" thickBot="1" x14ac:dyDescent="0.3">
      <c r="A167" s="133" t="str">
        <f t="shared" si="2"/>
        <v>132646U</v>
      </c>
      <c r="B167" s="133" t="s">
        <v>5872</v>
      </c>
      <c r="C167" s="133" t="s">
        <v>5873</v>
      </c>
      <c r="D167" s="133" t="s">
        <v>5504</v>
      </c>
      <c r="E167" s="134"/>
      <c r="F167" s="134">
        <v>3.22</v>
      </c>
      <c r="G167" s="135">
        <v>2.57</v>
      </c>
      <c r="H167" s="133">
        <v>2012</v>
      </c>
      <c r="I167" s="152" t="s">
        <v>5787</v>
      </c>
    </row>
    <row r="168" spans="1:9" ht="18.75" thickBot="1" x14ac:dyDescent="0.3">
      <c r="A168" s="133" t="str">
        <f t="shared" si="2"/>
        <v>141161H</v>
      </c>
      <c r="B168" s="133" t="s">
        <v>7619</v>
      </c>
      <c r="C168" s="133" t="s">
        <v>7620</v>
      </c>
      <c r="D168" s="133" t="s">
        <v>7537</v>
      </c>
      <c r="E168" s="134"/>
      <c r="F168" s="134">
        <v>0.82</v>
      </c>
      <c r="G168" s="135">
        <v>0.66</v>
      </c>
      <c r="H168" s="133">
        <v>2010</v>
      </c>
      <c r="I168" s="152" t="s">
        <v>5744</v>
      </c>
    </row>
    <row r="169" spans="1:9" ht="18.75" thickBot="1" x14ac:dyDescent="0.3">
      <c r="A169" s="133" t="str">
        <f t="shared" si="2"/>
        <v>132863D</v>
      </c>
      <c r="B169" s="133" t="s">
        <v>7621</v>
      </c>
      <c r="C169" s="133" t="s">
        <v>7622</v>
      </c>
      <c r="D169" s="133" t="s">
        <v>7537</v>
      </c>
      <c r="E169" s="134"/>
      <c r="F169" s="134">
        <v>0.95</v>
      </c>
      <c r="G169" s="135">
        <v>0.76</v>
      </c>
      <c r="H169" s="133">
        <v>2015</v>
      </c>
      <c r="I169" s="152" t="s">
        <v>5657</v>
      </c>
    </row>
    <row r="170" spans="1:9" ht="18.75" thickBot="1" x14ac:dyDescent="0.3">
      <c r="A170" s="133" t="str">
        <f t="shared" si="2"/>
        <v>111438C</v>
      </c>
      <c r="B170" s="133" t="s">
        <v>7623</v>
      </c>
      <c r="C170" s="133" t="s">
        <v>7624</v>
      </c>
      <c r="D170" s="133" t="s">
        <v>5505</v>
      </c>
      <c r="E170" s="134"/>
      <c r="F170" s="134">
        <v>1.72</v>
      </c>
      <c r="G170" s="135">
        <v>1.38</v>
      </c>
      <c r="H170" s="133">
        <v>2024</v>
      </c>
      <c r="I170" s="152" t="s">
        <v>5615</v>
      </c>
    </row>
    <row r="171" spans="1:9" ht="18.75" thickBot="1" x14ac:dyDescent="0.3">
      <c r="A171" s="133" t="str">
        <f t="shared" si="2"/>
        <v>163053G</v>
      </c>
      <c r="B171" s="133" t="s">
        <v>7625</v>
      </c>
      <c r="C171" s="133" t="s">
        <v>7626</v>
      </c>
      <c r="D171" s="133" t="s">
        <v>7537</v>
      </c>
      <c r="E171" s="134"/>
      <c r="F171" s="134">
        <v>1.06</v>
      </c>
      <c r="G171" s="135">
        <v>0.85</v>
      </c>
      <c r="H171" s="133">
        <v>2024</v>
      </c>
      <c r="I171" s="152" t="s">
        <v>5787</v>
      </c>
    </row>
    <row r="172" spans="1:9" ht="18.75" thickBot="1" x14ac:dyDescent="0.3">
      <c r="A172" s="133" t="str">
        <f t="shared" si="2"/>
        <v>133746C</v>
      </c>
      <c r="B172" s="133" t="s">
        <v>5876</v>
      </c>
      <c r="C172" s="133" t="s">
        <v>5877</v>
      </c>
      <c r="D172" s="133" t="s">
        <v>5505</v>
      </c>
      <c r="E172" s="134"/>
      <c r="F172" s="134">
        <v>1.47</v>
      </c>
      <c r="G172" s="135">
        <v>1.17</v>
      </c>
      <c r="H172" s="133">
        <v>2015</v>
      </c>
      <c r="I172" s="152" t="s">
        <v>5666</v>
      </c>
    </row>
    <row r="173" spans="1:9" ht="18.75" thickBot="1" x14ac:dyDescent="0.3">
      <c r="A173" s="133" t="str">
        <f t="shared" si="2"/>
        <v>123411P</v>
      </c>
      <c r="B173" s="133" t="s">
        <v>7627</v>
      </c>
      <c r="C173" s="133" t="s">
        <v>7628</v>
      </c>
      <c r="D173" s="133" t="s">
        <v>5505</v>
      </c>
      <c r="E173" s="134"/>
      <c r="F173" s="134">
        <v>1.21</v>
      </c>
      <c r="G173" s="135">
        <v>0.97</v>
      </c>
      <c r="H173" s="133">
        <v>2008</v>
      </c>
      <c r="I173" s="152" t="s">
        <v>5678</v>
      </c>
    </row>
    <row r="174" spans="1:9" ht="18.75" thickBot="1" x14ac:dyDescent="0.3">
      <c r="A174" s="133" t="str">
        <f t="shared" si="2"/>
        <v>111340I</v>
      </c>
      <c r="B174" s="133" t="s">
        <v>7140</v>
      </c>
      <c r="C174" s="133" t="s">
        <v>7141</v>
      </c>
      <c r="D174" s="133" t="s">
        <v>5503</v>
      </c>
      <c r="E174" s="134"/>
      <c r="F174" s="134">
        <v>3.58</v>
      </c>
      <c r="G174" s="135">
        <v>2.86</v>
      </c>
      <c r="H174" s="133">
        <v>2019</v>
      </c>
      <c r="I174" s="152" t="s">
        <v>5559</v>
      </c>
    </row>
    <row r="175" spans="1:9" ht="18.75" thickBot="1" x14ac:dyDescent="0.3">
      <c r="A175" s="133" t="str">
        <f t="shared" si="2"/>
        <v>123440S</v>
      </c>
      <c r="B175" s="133" t="s">
        <v>7462</v>
      </c>
      <c r="C175" s="133" t="s">
        <v>7463</v>
      </c>
      <c r="D175" s="133" t="s">
        <v>24</v>
      </c>
      <c r="E175" s="134"/>
      <c r="F175" s="134" t="s">
        <v>5552</v>
      </c>
      <c r="G175" s="135">
        <v>16.75</v>
      </c>
      <c r="H175" s="133">
        <v>2009</v>
      </c>
      <c r="I175" s="152" t="s">
        <v>5678</v>
      </c>
    </row>
    <row r="176" spans="1:9" ht="18.75" thickBot="1" x14ac:dyDescent="0.3">
      <c r="A176" s="133" t="str">
        <f t="shared" si="2"/>
        <v>111093V</v>
      </c>
      <c r="B176" s="133" t="s">
        <v>7509</v>
      </c>
      <c r="C176" s="133" t="s">
        <v>7510</v>
      </c>
      <c r="D176" s="133" t="s">
        <v>5504</v>
      </c>
      <c r="E176" s="134"/>
      <c r="F176" s="134">
        <v>2.9</v>
      </c>
      <c r="G176" s="135">
        <v>2.3199999999999998</v>
      </c>
      <c r="H176" s="133">
        <v>2014</v>
      </c>
      <c r="I176" s="152" t="s">
        <v>5701</v>
      </c>
    </row>
    <row r="177" spans="1:9" ht="18.75" thickBot="1" x14ac:dyDescent="0.3">
      <c r="A177" s="133" t="str">
        <f t="shared" si="2"/>
        <v>111054I</v>
      </c>
      <c r="B177" s="133" t="s">
        <v>5880</v>
      </c>
      <c r="C177" s="133" t="s">
        <v>5881</v>
      </c>
      <c r="D177" s="133" t="s">
        <v>5504</v>
      </c>
      <c r="E177" s="134"/>
      <c r="F177" s="134">
        <v>2.34</v>
      </c>
      <c r="G177" s="135">
        <v>1.87</v>
      </c>
      <c r="H177" s="133">
        <v>2016</v>
      </c>
      <c r="I177" s="152" t="s">
        <v>5566</v>
      </c>
    </row>
    <row r="178" spans="1:9" ht="18.75" thickBot="1" x14ac:dyDescent="0.3">
      <c r="A178" s="133" t="str">
        <f t="shared" si="2"/>
        <v>117592U</v>
      </c>
      <c r="B178" s="133" t="s">
        <v>5887</v>
      </c>
      <c r="C178" s="133" t="s">
        <v>5888</v>
      </c>
      <c r="D178" s="133" t="s">
        <v>5503</v>
      </c>
      <c r="E178" s="134"/>
      <c r="F178" s="134">
        <v>4.33</v>
      </c>
      <c r="G178" s="135">
        <v>3.46</v>
      </c>
      <c r="H178" s="133">
        <v>2011</v>
      </c>
      <c r="I178" s="152" t="s">
        <v>5657</v>
      </c>
    </row>
    <row r="179" spans="1:9" ht="18.75" thickBot="1" x14ac:dyDescent="0.3">
      <c r="A179" s="133" t="str">
        <f t="shared" si="2"/>
        <v>113490A</v>
      </c>
      <c r="B179" s="133" t="s">
        <v>7142</v>
      </c>
      <c r="C179" s="133" t="s">
        <v>7143</v>
      </c>
      <c r="D179" s="133" t="s">
        <v>5504</v>
      </c>
      <c r="E179" s="134"/>
      <c r="F179" s="134">
        <v>2.5299999999999998</v>
      </c>
      <c r="G179" s="135">
        <v>2.0299999999999998</v>
      </c>
      <c r="H179" s="133">
        <v>2016</v>
      </c>
      <c r="I179" s="152" t="s">
        <v>5710</v>
      </c>
    </row>
    <row r="180" spans="1:9" ht="18.75" thickBot="1" x14ac:dyDescent="0.3">
      <c r="A180" s="133" t="str">
        <f t="shared" si="2"/>
        <v>012800I</v>
      </c>
      <c r="B180" s="133" t="s">
        <v>5891</v>
      </c>
      <c r="C180" s="133" t="s">
        <v>5892</v>
      </c>
      <c r="D180" s="133" t="s">
        <v>5503</v>
      </c>
      <c r="E180" s="134"/>
      <c r="F180" s="134">
        <v>4.26</v>
      </c>
      <c r="G180" s="135">
        <v>3.4</v>
      </c>
      <c r="H180" s="133">
        <v>2024</v>
      </c>
      <c r="I180" s="152" t="s">
        <v>5639</v>
      </c>
    </row>
    <row r="181" spans="1:9" ht="18.75" thickBot="1" x14ac:dyDescent="0.3">
      <c r="A181" s="133" t="str">
        <f t="shared" si="2"/>
        <v>012810S</v>
      </c>
      <c r="B181" s="133" t="s">
        <v>5896</v>
      </c>
      <c r="C181" s="133" t="s">
        <v>5897</v>
      </c>
      <c r="D181" s="133" t="s">
        <v>5597</v>
      </c>
      <c r="E181" s="134"/>
      <c r="F181" s="134">
        <v>3.02</v>
      </c>
      <c r="G181" s="135">
        <v>2.41</v>
      </c>
      <c r="H181" s="133">
        <v>2024</v>
      </c>
      <c r="I181" s="152" t="s">
        <v>5553</v>
      </c>
    </row>
    <row r="182" spans="1:9" ht="18.75" thickBot="1" x14ac:dyDescent="0.3">
      <c r="A182" s="133" t="str">
        <f t="shared" si="2"/>
        <v>135307D</v>
      </c>
      <c r="B182" s="133" t="s">
        <v>7629</v>
      </c>
      <c r="C182" s="133" t="s">
        <v>7630</v>
      </c>
      <c r="D182" s="133" t="s">
        <v>5504</v>
      </c>
      <c r="E182" s="134"/>
      <c r="F182" s="134">
        <v>2.84</v>
      </c>
      <c r="G182" s="135">
        <v>2.27</v>
      </c>
      <c r="H182" s="133">
        <v>2014</v>
      </c>
      <c r="I182" s="152" t="s">
        <v>6229</v>
      </c>
    </row>
    <row r="183" spans="1:9" ht="18.75" thickBot="1" x14ac:dyDescent="0.3">
      <c r="A183" s="133" t="str">
        <f t="shared" si="2"/>
        <v>135362G</v>
      </c>
      <c r="B183" s="133" t="s">
        <v>7631</v>
      </c>
      <c r="C183" s="133" t="s">
        <v>7632</v>
      </c>
      <c r="D183" s="133" t="s">
        <v>7537</v>
      </c>
      <c r="E183" s="134"/>
      <c r="F183" s="134">
        <v>0.71</v>
      </c>
      <c r="G183" s="135">
        <v>0.56999999999999995</v>
      </c>
      <c r="H183" s="133">
        <v>2010</v>
      </c>
      <c r="I183" s="152" t="s">
        <v>6137</v>
      </c>
    </row>
    <row r="184" spans="1:9" ht="18.75" thickBot="1" x14ac:dyDescent="0.3">
      <c r="A184" s="133" t="str">
        <f t="shared" si="2"/>
        <v>012814W</v>
      </c>
      <c r="B184" s="133" t="s">
        <v>7144</v>
      </c>
      <c r="C184" s="133" t="s">
        <v>7145</v>
      </c>
      <c r="D184" s="133" t="s">
        <v>7537</v>
      </c>
      <c r="E184" s="134"/>
      <c r="F184" s="134">
        <v>0.99</v>
      </c>
      <c r="G184" s="135">
        <v>0.79</v>
      </c>
      <c r="H184" s="133">
        <v>2010</v>
      </c>
      <c r="I184" s="152" t="s">
        <v>6137</v>
      </c>
    </row>
    <row r="185" spans="1:9" ht="18.75" thickBot="1" x14ac:dyDescent="0.3">
      <c r="A185" s="133" t="str">
        <f t="shared" si="2"/>
        <v>177955E</v>
      </c>
      <c r="B185" s="133" t="s">
        <v>7633</v>
      </c>
      <c r="C185" s="133" t="s">
        <v>7634</v>
      </c>
      <c r="D185" s="133" t="s">
        <v>7537</v>
      </c>
      <c r="E185" s="134"/>
      <c r="F185" s="134">
        <v>0.51</v>
      </c>
      <c r="G185" s="135">
        <v>0.41</v>
      </c>
      <c r="H185" s="133">
        <v>2024</v>
      </c>
      <c r="I185" s="152" t="s">
        <v>5573</v>
      </c>
    </row>
    <row r="186" spans="1:9" ht="18.75" thickBot="1" x14ac:dyDescent="0.3">
      <c r="A186" s="133" t="str">
        <f t="shared" si="2"/>
        <v>012375Z</v>
      </c>
      <c r="B186" s="133" t="s">
        <v>7146</v>
      </c>
      <c r="C186" s="133" t="s">
        <v>7147</v>
      </c>
      <c r="D186" s="133" t="s">
        <v>5505</v>
      </c>
      <c r="E186" s="134"/>
      <c r="F186" s="134">
        <v>1.81</v>
      </c>
      <c r="G186" s="135">
        <v>1.45</v>
      </c>
      <c r="H186" s="133">
        <v>2013</v>
      </c>
      <c r="I186" s="152" t="s">
        <v>5630</v>
      </c>
    </row>
    <row r="187" spans="1:9" ht="18.75" thickBot="1" x14ac:dyDescent="0.3">
      <c r="A187" s="133" t="str">
        <f t="shared" si="2"/>
        <v>171278X</v>
      </c>
      <c r="B187" s="133" t="s">
        <v>5898</v>
      </c>
      <c r="C187" s="133" t="s">
        <v>5899</v>
      </c>
      <c r="D187" s="133" t="s">
        <v>5505</v>
      </c>
      <c r="E187" s="134"/>
      <c r="F187" s="134">
        <v>1.81</v>
      </c>
      <c r="G187" s="135">
        <v>1.45</v>
      </c>
      <c r="H187" s="133">
        <v>2024</v>
      </c>
      <c r="I187" s="152" t="s">
        <v>5710</v>
      </c>
    </row>
    <row r="188" spans="1:9" ht="18.75" thickBot="1" x14ac:dyDescent="0.3">
      <c r="A188" s="133" t="str">
        <f t="shared" si="2"/>
        <v>114560E</v>
      </c>
      <c r="B188" s="133" t="s">
        <v>5904</v>
      </c>
      <c r="C188" s="133" t="s">
        <v>5905</v>
      </c>
      <c r="D188" s="133" t="s">
        <v>5505</v>
      </c>
      <c r="E188" s="134"/>
      <c r="F188" s="134">
        <v>1.48</v>
      </c>
      <c r="G188" s="135">
        <v>1.18</v>
      </c>
      <c r="H188" s="133">
        <v>2019</v>
      </c>
      <c r="I188" s="152" t="s">
        <v>5566</v>
      </c>
    </row>
    <row r="189" spans="1:9" ht="18.75" thickBot="1" x14ac:dyDescent="0.3">
      <c r="A189" s="133" t="str">
        <f t="shared" si="2"/>
        <v>157233F</v>
      </c>
      <c r="B189" s="133" t="s">
        <v>5906</v>
      </c>
      <c r="C189" s="133" t="s">
        <v>5907</v>
      </c>
      <c r="D189" s="133" t="s">
        <v>5505</v>
      </c>
      <c r="E189" s="134"/>
      <c r="F189" s="134">
        <v>1.94</v>
      </c>
      <c r="G189" s="135">
        <v>1.55</v>
      </c>
      <c r="H189" s="133">
        <v>2024</v>
      </c>
      <c r="I189" s="152" t="s">
        <v>5678</v>
      </c>
    </row>
    <row r="190" spans="1:9" ht="18.75" thickBot="1" x14ac:dyDescent="0.3">
      <c r="A190" s="133" t="str">
        <f t="shared" si="2"/>
        <v>154437R</v>
      </c>
      <c r="B190" s="133" t="s">
        <v>7635</v>
      </c>
      <c r="C190" s="133" t="s">
        <v>7636</v>
      </c>
      <c r="D190" s="133" t="s">
        <v>7537</v>
      </c>
      <c r="E190" s="134"/>
      <c r="F190" s="134">
        <v>0.35</v>
      </c>
      <c r="G190" s="135">
        <v>0.28000000000000003</v>
      </c>
      <c r="H190" s="133">
        <v>2018</v>
      </c>
      <c r="I190" s="152" t="s">
        <v>5666</v>
      </c>
    </row>
    <row r="191" spans="1:9" ht="18.75" thickBot="1" x14ac:dyDescent="0.3">
      <c r="A191" s="133" t="str">
        <f t="shared" si="2"/>
        <v>122109N</v>
      </c>
      <c r="B191" s="133" t="s">
        <v>7637</v>
      </c>
      <c r="C191" s="133" t="s">
        <v>7638</v>
      </c>
      <c r="D191" s="133" t="s">
        <v>5504</v>
      </c>
      <c r="E191" s="134"/>
      <c r="F191" s="134">
        <v>2.98</v>
      </c>
      <c r="G191" s="135">
        <v>2.39</v>
      </c>
      <c r="H191" s="133">
        <v>2020</v>
      </c>
      <c r="I191" s="152" t="s">
        <v>5587</v>
      </c>
    </row>
    <row r="192" spans="1:9" ht="18.75" thickBot="1" x14ac:dyDescent="0.3">
      <c r="A192" s="133" t="str">
        <f t="shared" si="2"/>
        <v>135088S</v>
      </c>
      <c r="B192" s="133" t="s">
        <v>7639</v>
      </c>
      <c r="C192" s="133" t="s">
        <v>7640</v>
      </c>
      <c r="D192" s="133" t="s">
        <v>7537</v>
      </c>
      <c r="E192" s="134"/>
      <c r="F192" s="134">
        <v>0.86</v>
      </c>
      <c r="G192" s="135">
        <v>0.69</v>
      </c>
      <c r="H192" s="133">
        <v>2009</v>
      </c>
      <c r="I192" s="152" t="s">
        <v>5657</v>
      </c>
    </row>
    <row r="193" spans="1:9" ht="18.75" thickBot="1" x14ac:dyDescent="0.3">
      <c r="A193" s="133" t="str">
        <f t="shared" si="2"/>
        <v>134888A</v>
      </c>
      <c r="B193" s="133" t="s">
        <v>5908</v>
      </c>
      <c r="C193" s="133" t="s">
        <v>5909</v>
      </c>
      <c r="D193" s="133" t="s">
        <v>5505</v>
      </c>
      <c r="E193" s="134"/>
      <c r="F193" s="134">
        <v>1.31</v>
      </c>
      <c r="G193" s="135">
        <v>1.05</v>
      </c>
      <c r="H193" s="133">
        <v>2009</v>
      </c>
      <c r="I193" s="152" t="s">
        <v>5587</v>
      </c>
    </row>
    <row r="194" spans="1:9" ht="18.75" thickBot="1" x14ac:dyDescent="0.3">
      <c r="A194" s="133" t="str">
        <f t="shared" ref="A194:A257" si="3">SUBSTITUTE(B194,CHAR(32),"")</f>
        <v>140069H</v>
      </c>
      <c r="B194" s="133" t="s">
        <v>5910</v>
      </c>
      <c r="C194" s="133" t="s">
        <v>5911</v>
      </c>
      <c r="D194" s="133" t="s">
        <v>5505</v>
      </c>
      <c r="E194" s="134"/>
      <c r="F194" s="134">
        <v>1.6</v>
      </c>
      <c r="G194" s="135">
        <v>1.28</v>
      </c>
      <c r="H194" s="133">
        <v>2015</v>
      </c>
      <c r="I194" s="152" t="s">
        <v>5912</v>
      </c>
    </row>
    <row r="195" spans="1:9" ht="18.75" thickBot="1" x14ac:dyDescent="0.3">
      <c r="A195" s="133" t="str">
        <f t="shared" si="3"/>
        <v>134839D</v>
      </c>
      <c r="B195" s="133" t="s">
        <v>7641</v>
      </c>
      <c r="C195" s="133" t="s">
        <v>7642</v>
      </c>
      <c r="D195" s="133" t="s">
        <v>7537</v>
      </c>
      <c r="E195" s="134"/>
      <c r="F195" s="134">
        <v>0.63</v>
      </c>
      <c r="G195" s="135">
        <v>0.5</v>
      </c>
      <c r="H195" s="133">
        <v>2012</v>
      </c>
      <c r="I195" s="152" t="s">
        <v>5912</v>
      </c>
    </row>
    <row r="196" spans="1:9" ht="18.75" thickBot="1" x14ac:dyDescent="0.3">
      <c r="A196" s="133" t="str">
        <f t="shared" si="3"/>
        <v>117429N</v>
      </c>
      <c r="B196" s="133" t="s">
        <v>7148</v>
      </c>
      <c r="C196" s="133" t="s">
        <v>7149</v>
      </c>
      <c r="D196" s="133" t="s">
        <v>5505</v>
      </c>
      <c r="E196" s="134"/>
      <c r="F196" s="134">
        <v>1.78</v>
      </c>
      <c r="G196" s="135">
        <v>1.42</v>
      </c>
      <c r="H196" s="133">
        <v>2013</v>
      </c>
      <c r="I196" s="152" t="s">
        <v>5787</v>
      </c>
    </row>
    <row r="197" spans="1:9" ht="18.75" thickBot="1" x14ac:dyDescent="0.3">
      <c r="A197" s="133" t="str">
        <f t="shared" si="3"/>
        <v>123238Y</v>
      </c>
      <c r="B197" s="133" t="s">
        <v>5913</v>
      </c>
      <c r="C197" s="133" t="s">
        <v>5914</v>
      </c>
      <c r="D197" s="133" t="s">
        <v>5505</v>
      </c>
      <c r="E197" s="134"/>
      <c r="F197" s="134">
        <v>1.25</v>
      </c>
      <c r="G197" s="135">
        <v>1</v>
      </c>
      <c r="H197" s="133">
        <v>2010</v>
      </c>
      <c r="I197" s="152" t="s">
        <v>5678</v>
      </c>
    </row>
    <row r="198" spans="1:9" ht="18.75" thickBot="1" x14ac:dyDescent="0.3">
      <c r="A198" s="133" t="str">
        <f t="shared" si="3"/>
        <v>135480U</v>
      </c>
      <c r="B198" s="133" t="s">
        <v>7643</v>
      </c>
      <c r="C198" s="133" t="s">
        <v>7644</v>
      </c>
      <c r="D198" s="133" t="s">
        <v>7537</v>
      </c>
      <c r="E198" s="134"/>
      <c r="F198" s="134">
        <v>0.49</v>
      </c>
      <c r="G198" s="135">
        <v>0.39</v>
      </c>
      <c r="H198" s="133">
        <v>2009</v>
      </c>
      <c r="I198" s="152" t="s">
        <v>5666</v>
      </c>
    </row>
    <row r="199" spans="1:9" ht="18.75" thickBot="1" x14ac:dyDescent="0.3">
      <c r="A199" s="133" t="str">
        <f t="shared" si="3"/>
        <v>135481V</v>
      </c>
      <c r="B199" s="133" t="s">
        <v>7645</v>
      </c>
      <c r="C199" s="133" t="s">
        <v>7646</v>
      </c>
      <c r="D199" s="133" t="s">
        <v>7537</v>
      </c>
      <c r="E199" s="134"/>
      <c r="F199" s="134">
        <v>0.54</v>
      </c>
      <c r="G199" s="135">
        <v>0.43</v>
      </c>
      <c r="H199" s="133">
        <v>2009</v>
      </c>
      <c r="I199" s="152" t="s">
        <v>5666</v>
      </c>
    </row>
    <row r="200" spans="1:9" ht="18.75" thickBot="1" x14ac:dyDescent="0.3">
      <c r="A200" s="133" t="str">
        <f t="shared" si="3"/>
        <v>139192O</v>
      </c>
      <c r="B200" s="133" t="s">
        <v>7647</v>
      </c>
      <c r="C200" s="133" t="s">
        <v>7648</v>
      </c>
      <c r="D200" s="133" t="s">
        <v>5505</v>
      </c>
      <c r="E200" s="134"/>
      <c r="F200" s="134">
        <v>2.0299999999999998</v>
      </c>
      <c r="G200" s="135">
        <v>1.62</v>
      </c>
      <c r="H200" s="133">
        <v>2015</v>
      </c>
      <c r="I200" s="152" t="s">
        <v>5601</v>
      </c>
    </row>
    <row r="201" spans="1:9" ht="18.75" thickBot="1" x14ac:dyDescent="0.3">
      <c r="A201" s="133" t="str">
        <f t="shared" si="3"/>
        <v>121672S</v>
      </c>
      <c r="B201" s="133" t="s">
        <v>7150</v>
      </c>
      <c r="C201" s="133" t="s">
        <v>7151</v>
      </c>
      <c r="D201" s="133" t="s">
        <v>5505</v>
      </c>
      <c r="E201" s="134"/>
      <c r="F201" s="134">
        <v>2.0299999999999998</v>
      </c>
      <c r="G201" s="135">
        <v>1.62</v>
      </c>
      <c r="H201" s="133">
        <v>2015</v>
      </c>
      <c r="I201" s="152" t="s">
        <v>5671</v>
      </c>
    </row>
    <row r="202" spans="1:9" ht="18.75" thickBot="1" x14ac:dyDescent="0.3">
      <c r="A202" s="133" t="str">
        <f t="shared" si="3"/>
        <v>135486A</v>
      </c>
      <c r="B202" s="133" t="s">
        <v>7649</v>
      </c>
      <c r="C202" s="133" t="s">
        <v>7650</v>
      </c>
      <c r="D202" s="133" t="s">
        <v>7537</v>
      </c>
      <c r="E202" s="134"/>
      <c r="F202" s="134">
        <v>0.77</v>
      </c>
      <c r="G202" s="135">
        <v>0.61</v>
      </c>
      <c r="H202" s="133">
        <v>2014</v>
      </c>
      <c r="I202" s="152" t="s">
        <v>5705</v>
      </c>
    </row>
    <row r="203" spans="1:9" ht="18.75" thickBot="1" x14ac:dyDescent="0.3">
      <c r="A203" s="133" t="str">
        <f t="shared" si="3"/>
        <v>139189L</v>
      </c>
      <c r="B203" s="133" t="s">
        <v>7152</v>
      </c>
      <c r="C203" s="133" t="s">
        <v>7153</v>
      </c>
      <c r="D203" s="133" t="s">
        <v>7537</v>
      </c>
      <c r="E203" s="134"/>
      <c r="F203" s="134">
        <v>0.52</v>
      </c>
      <c r="G203" s="135">
        <v>0.41</v>
      </c>
      <c r="H203" s="133">
        <v>2023</v>
      </c>
      <c r="I203" s="152" t="s">
        <v>5735</v>
      </c>
    </row>
    <row r="204" spans="1:9" ht="18.75" thickBot="1" x14ac:dyDescent="0.3">
      <c r="A204" s="133" t="str">
        <f t="shared" si="3"/>
        <v>130911B</v>
      </c>
      <c r="B204" s="133" t="s">
        <v>5917</v>
      </c>
      <c r="C204" s="133" t="s">
        <v>5918</v>
      </c>
      <c r="D204" s="133" t="s">
        <v>5505</v>
      </c>
      <c r="E204" s="134"/>
      <c r="F204" s="134">
        <v>1.22</v>
      </c>
      <c r="G204" s="135">
        <v>0.98</v>
      </c>
      <c r="H204" s="133">
        <v>2011</v>
      </c>
      <c r="I204" s="152" t="s">
        <v>5657</v>
      </c>
    </row>
    <row r="205" spans="1:9" ht="18.75" thickBot="1" x14ac:dyDescent="0.3">
      <c r="A205" s="133" t="str">
        <f t="shared" si="3"/>
        <v>155169M</v>
      </c>
      <c r="B205" s="133" t="s">
        <v>7651</v>
      </c>
      <c r="C205" s="133" t="s">
        <v>7652</v>
      </c>
      <c r="D205" s="133" t="s">
        <v>5505</v>
      </c>
      <c r="E205" s="134"/>
      <c r="F205" s="134">
        <v>1.28</v>
      </c>
      <c r="G205" s="135">
        <v>1.03</v>
      </c>
      <c r="H205" s="133">
        <v>2020</v>
      </c>
      <c r="I205" s="152" t="s">
        <v>5559</v>
      </c>
    </row>
    <row r="206" spans="1:9" ht="18.75" thickBot="1" x14ac:dyDescent="0.3">
      <c r="A206" s="133" t="str">
        <f t="shared" si="3"/>
        <v>012857N</v>
      </c>
      <c r="B206" s="133" t="s">
        <v>5919</v>
      </c>
      <c r="C206" s="133" t="s">
        <v>5920</v>
      </c>
      <c r="D206" s="133" t="s">
        <v>5505</v>
      </c>
      <c r="E206" s="134"/>
      <c r="F206" s="134">
        <v>1.5</v>
      </c>
      <c r="G206" s="135">
        <v>1.2</v>
      </c>
      <c r="H206" s="133">
        <v>2009</v>
      </c>
      <c r="I206" s="152" t="s">
        <v>5559</v>
      </c>
    </row>
    <row r="207" spans="1:9" ht="18.75" thickBot="1" x14ac:dyDescent="0.3">
      <c r="A207" s="133" t="str">
        <f t="shared" si="3"/>
        <v>160825K</v>
      </c>
      <c r="B207" s="133" t="s">
        <v>7653</v>
      </c>
      <c r="C207" s="133" t="s">
        <v>7654</v>
      </c>
      <c r="D207" s="133" t="s">
        <v>7537</v>
      </c>
      <c r="E207" s="134"/>
      <c r="F207" s="134">
        <v>0.4</v>
      </c>
      <c r="G207" s="135">
        <v>0.32</v>
      </c>
      <c r="H207" s="133">
        <v>2018</v>
      </c>
      <c r="I207" s="152" t="s">
        <v>5735</v>
      </c>
    </row>
    <row r="208" spans="1:9" ht="18.75" thickBot="1" x14ac:dyDescent="0.3">
      <c r="A208" s="133" t="str">
        <f t="shared" si="3"/>
        <v>138296C</v>
      </c>
      <c r="B208" s="133" t="s">
        <v>7655</v>
      </c>
      <c r="C208" s="133" t="s">
        <v>7656</v>
      </c>
      <c r="D208" s="133" t="s">
        <v>7537</v>
      </c>
      <c r="E208" s="134"/>
      <c r="F208" s="134">
        <v>0.73</v>
      </c>
      <c r="G208" s="135">
        <v>0.57999999999999996</v>
      </c>
      <c r="H208" s="133">
        <v>2024</v>
      </c>
      <c r="I208" s="152" t="s">
        <v>5710</v>
      </c>
    </row>
    <row r="209" spans="1:9" ht="18.75" thickBot="1" x14ac:dyDescent="0.3">
      <c r="A209" s="133" t="str">
        <f t="shared" si="3"/>
        <v>142373X</v>
      </c>
      <c r="B209" s="133" t="s">
        <v>7154</v>
      </c>
      <c r="C209" s="133" t="s">
        <v>7155</v>
      </c>
      <c r="D209" s="133" t="s">
        <v>7537</v>
      </c>
      <c r="E209" s="134"/>
      <c r="F209" s="134">
        <v>0.99</v>
      </c>
      <c r="G209" s="135">
        <v>0.79</v>
      </c>
      <c r="H209" s="133">
        <v>2023</v>
      </c>
      <c r="I209" s="152" t="s">
        <v>5912</v>
      </c>
    </row>
    <row r="210" spans="1:9" ht="18.75" thickBot="1" x14ac:dyDescent="0.3">
      <c r="A210" s="133" t="str">
        <f t="shared" si="3"/>
        <v>174145N</v>
      </c>
      <c r="B210" s="133" t="s">
        <v>7657</v>
      </c>
      <c r="C210" s="133" t="s">
        <v>7658</v>
      </c>
      <c r="D210" s="133" t="s">
        <v>7537</v>
      </c>
      <c r="E210" s="134"/>
      <c r="F210" s="134">
        <v>0.92</v>
      </c>
      <c r="G210" s="135">
        <v>0.74</v>
      </c>
      <c r="H210" s="133">
        <v>2023</v>
      </c>
      <c r="I210" s="152" t="s">
        <v>5625</v>
      </c>
    </row>
    <row r="211" spans="1:9" ht="18.75" thickBot="1" x14ac:dyDescent="0.3">
      <c r="A211" s="133" t="str">
        <f t="shared" si="3"/>
        <v>153123N</v>
      </c>
      <c r="B211" s="133" t="s">
        <v>5923</v>
      </c>
      <c r="C211" s="133" t="s">
        <v>5924</v>
      </c>
      <c r="D211" s="133" t="s">
        <v>26</v>
      </c>
      <c r="E211" s="134"/>
      <c r="F211" s="134">
        <v>7</v>
      </c>
      <c r="G211" s="135">
        <v>5.6</v>
      </c>
      <c r="H211" s="133">
        <v>2024</v>
      </c>
      <c r="I211" s="152" t="s">
        <v>5701</v>
      </c>
    </row>
    <row r="212" spans="1:9" ht="18.75" thickBot="1" x14ac:dyDescent="0.3">
      <c r="A212" s="133" t="str">
        <f t="shared" si="3"/>
        <v>135955B</v>
      </c>
      <c r="B212" s="133" t="s">
        <v>7156</v>
      </c>
      <c r="C212" s="133" t="s">
        <v>7157</v>
      </c>
      <c r="D212" s="133" t="s">
        <v>5504</v>
      </c>
      <c r="E212" s="134"/>
      <c r="F212" s="134">
        <v>2.2799999999999998</v>
      </c>
      <c r="G212" s="135">
        <v>1.82</v>
      </c>
      <c r="H212" s="133">
        <v>2023</v>
      </c>
      <c r="I212" s="152" t="s">
        <v>5566</v>
      </c>
    </row>
    <row r="213" spans="1:9" ht="18.75" thickBot="1" x14ac:dyDescent="0.3">
      <c r="A213" s="133" t="str">
        <f t="shared" si="3"/>
        <v>123412Q</v>
      </c>
      <c r="B213" s="133" t="s">
        <v>7659</v>
      </c>
      <c r="C213" s="133" t="s">
        <v>7660</v>
      </c>
      <c r="D213" s="133" t="s">
        <v>7537</v>
      </c>
      <c r="E213" s="134"/>
      <c r="F213" s="134">
        <v>1.1299999999999999</v>
      </c>
      <c r="G213" s="135">
        <v>0.91</v>
      </c>
      <c r="H213" s="133">
        <v>2016</v>
      </c>
      <c r="I213" s="152" t="s">
        <v>5678</v>
      </c>
    </row>
    <row r="214" spans="1:9" ht="18.75" thickBot="1" x14ac:dyDescent="0.3">
      <c r="A214" s="133" t="str">
        <f t="shared" si="3"/>
        <v>012874E</v>
      </c>
      <c r="B214" s="133" t="s">
        <v>5927</v>
      </c>
      <c r="C214" s="133" t="s">
        <v>5928</v>
      </c>
      <c r="D214" s="133" t="s">
        <v>26</v>
      </c>
      <c r="E214" s="134"/>
      <c r="F214" s="134">
        <v>6.72</v>
      </c>
      <c r="G214" s="135">
        <v>5.37</v>
      </c>
      <c r="H214" s="133">
        <v>2008</v>
      </c>
      <c r="I214" s="152" t="s">
        <v>5744</v>
      </c>
    </row>
    <row r="215" spans="1:9" ht="18.75" thickBot="1" x14ac:dyDescent="0.3">
      <c r="A215" s="133" t="str">
        <f t="shared" si="3"/>
        <v>153431Y</v>
      </c>
      <c r="B215" s="133" t="s">
        <v>7661</v>
      </c>
      <c r="C215" s="133" t="s">
        <v>7662</v>
      </c>
      <c r="D215" s="133" t="s">
        <v>7537</v>
      </c>
      <c r="E215" s="134"/>
      <c r="F215" s="134">
        <v>0.31</v>
      </c>
      <c r="G215" s="135">
        <v>0.25</v>
      </c>
      <c r="H215" s="133">
        <v>2016</v>
      </c>
      <c r="I215" s="152" t="s">
        <v>5553</v>
      </c>
    </row>
    <row r="216" spans="1:9" ht="18.75" thickBot="1" x14ac:dyDescent="0.3">
      <c r="A216" s="133" t="str">
        <f t="shared" si="3"/>
        <v>141770S</v>
      </c>
      <c r="B216" s="133" t="s">
        <v>7158</v>
      </c>
      <c r="C216" s="133" t="s">
        <v>7159</v>
      </c>
      <c r="D216" s="133" t="s">
        <v>5504</v>
      </c>
      <c r="E216" s="134"/>
      <c r="F216" s="134">
        <v>2.94</v>
      </c>
      <c r="G216" s="135">
        <v>2.35</v>
      </c>
      <c r="H216" s="133">
        <v>2019</v>
      </c>
      <c r="I216" s="152" t="s">
        <v>5657</v>
      </c>
    </row>
    <row r="217" spans="1:9" ht="18.75" thickBot="1" x14ac:dyDescent="0.3">
      <c r="A217" s="133" t="str">
        <f t="shared" si="3"/>
        <v>156770C</v>
      </c>
      <c r="B217" s="133" t="s">
        <v>7160</v>
      </c>
      <c r="C217" s="133" t="s">
        <v>7161</v>
      </c>
      <c r="D217" s="133" t="s">
        <v>7537</v>
      </c>
      <c r="E217" s="134"/>
      <c r="F217" s="134">
        <v>0.33</v>
      </c>
      <c r="G217" s="135">
        <v>0.26</v>
      </c>
      <c r="H217" s="133">
        <v>2018</v>
      </c>
      <c r="I217" s="152" t="s">
        <v>5553</v>
      </c>
    </row>
    <row r="218" spans="1:9" ht="18.75" thickBot="1" x14ac:dyDescent="0.3">
      <c r="A218" s="133" t="str">
        <f t="shared" si="3"/>
        <v>178260L</v>
      </c>
      <c r="B218" s="133" t="s">
        <v>7162</v>
      </c>
      <c r="C218" s="133" t="s">
        <v>7163</v>
      </c>
      <c r="D218" s="133" t="s">
        <v>7543</v>
      </c>
      <c r="E218" s="134"/>
      <c r="F218" s="134">
        <v>1.61</v>
      </c>
      <c r="G218" s="135">
        <v>1.29</v>
      </c>
      <c r="H218" s="133">
        <v>2024</v>
      </c>
      <c r="I218" s="152" t="s">
        <v>5701</v>
      </c>
    </row>
    <row r="219" spans="1:9" ht="18.75" thickBot="1" x14ac:dyDescent="0.3">
      <c r="A219" s="133" t="str">
        <f t="shared" si="3"/>
        <v>132875P</v>
      </c>
      <c r="B219" s="133" t="s">
        <v>5933</v>
      </c>
      <c r="C219" s="133" t="s">
        <v>5934</v>
      </c>
      <c r="D219" s="133" t="s">
        <v>5505</v>
      </c>
      <c r="E219" s="134"/>
      <c r="F219" s="134">
        <v>1.43</v>
      </c>
      <c r="G219" s="135">
        <v>1.1399999999999999</v>
      </c>
      <c r="H219" s="133">
        <v>2017</v>
      </c>
      <c r="I219" s="152" t="s">
        <v>5657</v>
      </c>
    </row>
    <row r="220" spans="1:9" ht="18.75" thickBot="1" x14ac:dyDescent="0.3">
      <c r="A220" s="133" t="str">
        <f t="shared" si="3"/>
        <v>123862Y</v>
      </c>
      <c r="B220" s="133" t="s">
        <v>7663</v>
      </c>
      <c r="C220" s="133" t="s">
        <v>7664</v>
      </c>
      <c r="D220" s="133" t="s">
        <v>5505</v>
      </c>
      <c r="E220" s="134"/>
      <c r="F220" s="134">
        <v>2.0299999999999998</v>
      </c>
      <c r="G220" s="135">
        <v>1.62</v>
      </c>
      <c r="H220" s="133">
        <v>2009</v>
      </c>
      <c r="I220" s="152" t="s">
        <v>5735</v>
      </c>
    </row>
    <row r="221" spans="1:9" ht="18.75" thickBot="1" x14ac:dyDescent="0.3">
      <c r="A221" s="133" t="str">
        <f t="shared" si="3"/>
        <v>152591K</v>
      </c>
      <c r="B221" s="133" t="s">
        <v>5935</v>
      </c>
      <c r="C221" s="133" t="s">
        <v>5936</v>
      </c>
      <c r="D221" s="133" t="s">
        <v>7537</v>
      </c>
      <c r="E221" s="134"/>
      <c r="F221" s="134">
        <v>0.68</v>
      </c>
      <c r="G221" s="135">
        <v>0.54</v>
      </c>
      <c r="H221" s="133">
        <v>2016</v>
      </c>
      <c r="I221" s="152" t="s">
        <v>5657</v>
      </c>
    </row>
    <row r="222" spans="1:9" ht="18.75" thickBot="1" x14ac:dyDescent="0.3">
      <c r="A222" s="133" t="str">
        <f t="shared" si="3"/>
        <v>181784R</v>
      </c>
      <c r="B222" s="133" t="s">
        <v>8522</v>
      </c>
      <c r="C222" s="133" t="s">
        <v>8523</v>
      </c>
      <c r="D222" s="133" t="s">
        <v>7560</v>
      </c>
      <c r="E222" s="134"/>
      <c r="F222" s="134">
        <v>1.05</v>
      </c>
      <c r="G222" s="135">
        <v>0.84</v>
      </c>
      <c r="H222" s="133">
        <v>2024</v>
      </c>
      <c r="I222" s="152" t="s">
        <v>5651</v>
      </c>
    </row>
    <row r="223" spans="1:9" ht="18.75" thickBot="1" x14ac:dyDescent="0.3">
      <c r="A223" s="133" t="str">
        <f t="shared" si="3"/>
        <v>131196A</v>
      </c>
      <c r="B223" s="133" t="s">
        <v>5937</v>
      </c>
      <c r="C223" s="133" t="s">
        <v>5938</v>
      </c>
      <c r="D223" s="133" t="s">
        <v>5505</v>
      </c>
      <c r="E223" s="134"/>
      <c r="F223" s="134">
        <v>1.91</v>
      </c>
      <c r="G223" s="135">
        <v>1.52</v>
      </c>
      <c r="H223" s="133">
        <v>2024</v>
      </c>
      <c r="I223" s="152" t="s">
        <v>5625</v>
      </c>
    </row>
    <row r="224" spans="1:9" ht="18.75" thickBot="1" x14ac:dyDescent="0.3">
      <c r="A224" s="133" t="str">
        <f t="shared" si="3"/>
        <v>148183T</v>
      </c>
      <c r="B224" s="133" t="s">
        <v>5939</v>
      </c>
      <c r="C224" s="133" t="s">
        <v>5940</v>
      </c>
      <c r="D224" s="133" t="s">
        <v>5505</v>
      </c>
      <c r="E224" s="134"/>
      <c r="F224" s="134">
        <v>1.62</v>
      </c>
      <c r="G224" s="135">
        <v>1.29</v>
      </c>
      <c r="H224" s="133">
        <v>2022</v>
      </c>
      <c r="I224" s="152" t="s">
        <v>5582</v>
      </c>
    </row>
    <row r="225" spans="1:9" ht="18.75" thickBot="1" x14ac:dyDescent="0.3">
      <c r="A225" s="133" t="str">
        <f t="shared" si="3"/>
        <v>138639H</v>
      </c>
      <c r="B225" s="133" t="s">
        <v>7665</v>
      </c>
      <c r="C225" s="133" t="s">
        <v>7666</v>
      </c>
      <c r="D225" s="133" t="s">
        <v>5505</v>
      </c>
      <c r="E225" s="134"/>
      <c r="F225" s="134">
        <v>1.9</v>
      </c>
      <c r="G225" s="135">
        <v>1.52</v>
      </c>
      <c r="H225" s="133">
        <v>2014</v>
      </c>
      <c r="I225" s="152" t="s">
        <v>5573</v>
      </c>
    </row>
    <row r="226" spans="1:9" ht="18.75" thickBot="1" x14ac:dyDescent="0.3">
      <c r="A226" s="133" t="str">
        <f t="shared" si="3"/>
        <v>012898C</v>
      </c>
      <c r="B226" s="133" t="s">
        <v>5943</v>
      </c>
      <c r="C226" s="133" t="s">
        <v>5944</v>
      </c>
      <c r="D226" s="133" t="s">
        <v>24</v>
      </c>
      <c r="E226" s="134"/>
      <c r="F226" s="134" t="s">
        <v>5552</v>
      </c>
      <c r="G226" s="135">
        <v>21.66</v>
      </c>
      <c r="H226" s="133">
        <v>2010</v>
      </c>
      <c r="I226" s="152" t="s">
        <v>5559</v>
      </c>
    </row>
    <row r="227" spans="1:9" ht="18.75" thickBot="1" x14ac:dyDescent="0.3">
      <c r="A227" s="133" t="str">
        <f t="shared" si="3"/>
        <v>143555J</v>
      </c>
      <c r="B227" s="133" t="s">
        <v>7164</v>
      </c>
      <c r="C227" s="133" t="s">
        <v>7165</v>
      </c>
      <c r="D227" s="133" t="s">
        <v>7537</v>
      </c>
      <c r="E227" s="134"/>
      <c r="F227" s="134">
        <v>1.06</v>
      </c>
      <c r="G227" s="135">
        <v>0.85</v>
      </c>
      <c r="H227" s="133">
        <v>2012</v>
      </c>
      <c r="I227" s="152" t="s">
        <v>5744</v>
      </c>
    </row>
    <row r="228" spans="1:9" ht="18.75" thickBot="1" x14ac:dyDescent="0.3">
      <c r="A228" s="133" t="str">
        <f t="shared" si="3"/>
        <v>100865L</v>
      </c>
      <c r="B228" s="133" t="s">
        <v>7166</v>
      </c>
      <c r="C228" s="133" t="s">
        <v>7167</v>
      </c>
      <c r="D228" s="133" t="s">
        <v>5504</v>
      </c>
      <c r="E228" s="134"/>
      <c r="F228" s="134">
        <v>2.84</v>
      </c>
      <c r="G228" s="135">
        <v>2.27</v>
      </c>
      <c r="H228" s="133">
        <v>2013</v>
      </c>
      <c r="I228" s="152" t="s">
        <v>5635</v>
      </c>
    </row>
    <row r="229" spans="1:9" ht="18.75" thickBot="1" x14ac:dyDescent="0.3">
      <c r="A229" s="133" t="str">
        <f t="shared" si="3"/>
        <v>147692K</v>
      </c>
      <c r="B229" s="133" t="s">
        <v>7667</v>
      </c>
      <c r="C229" s="133" t="s">
        <v>7668</v>
      </c>
      <c r="D229" s="133" t="s">
        <v>7537</v>
      </c>
      <c r="E229" s="134"/>
      <c r="F229" s="134">
        <v>0.45</v>
      </c>
      <c r="G229" s="135">
        <v>0.36</v>
      </c>
      <c r="H229" s="133">
        <v>2016</v>
      </c>
      <c r="I229" s="152" t="s">
        <v>5666</v>
      </c>
    </row>
    <row r="230" spans="1:9" ht="18.75" thickBot="1" x14ac:dyDescent="0.3">
      <c r="A230" s="133" t="str">
        <f t="shared" si="3"/>
        <v>140334M</v>
      </c>
      <c r="B230" s="133" t="s">
        <v>5945</v>
      </c>
      <c r="C230" s="133" t="s">
        <v>5946</v>
      </c>
      <c r="D230" s="133" t="s">
        <v>7537</v>
      </c>
      <c r="E230" s="134"/>
      <c r="F230" s="134">
        <v>0.4</v>
      </c>
      <c r="G230" s="135">
        <v>0.32</v>
      </c>
      <c r="H230" s="133">
        <v>2010</v>
      </c>
      <c r="I230" s="152" t="s">
        <v>5615</v>
      </c>
    </row>
    <row r="231" spans="1:9" ht="18.75" thickBot="1" x14ac:dyDescent="0.3">
      <c r="A231" s="133" t="str">
        <f t="shared" si="3"/>
        <v>012903H</v>
      </c>
      <c r="B231" s="133" t="s">
        <v>5951</v>
      </c>
      <c r="C231" s="133" t="s">
        <v>5952</v>
      </c>
      <c r="D231" s="133" t="s">
        <v>5504</v>
      </c>
      <c r="E231" s="134"/>
      <c r="F231" s="134">
        <v>2.67</v>
      </c>
      <c r="G231" s="135">
        <v>2.13</v>
      </c>
      <c r="H231" s="133">
        <v>2024</v>
      </c>
      <c r="I231" s="152" t="s">
        <v>5639</v>
      </c>
    </row>
    <row r="232" spans="1:9" ht="18.75" thickBot="1" x14ac:dyDescent="0.3">
      <c r="A232" s="133" t="str">
        <f t="shared" si="3"/>
        <v>167454Q</v>
      </c>
      <c r="B232" s="133" t="s">
        <v>8524</v>
      </c>
      <c r="C232" s="133" t="s">
        <v>8525</v>
      </c>
      <c r="D232" s="133" t="s">
        <v>7560</v>
      </c>
      <c r="E232" s="134"/>
      <c r="F232" s="134">
        <v>0.71</v>
      </c>
      <c r="G232" s="135">
        <v>0.56999999999999995</v>
      </c>
      <c r="H232" s="133">
        <v>2024</v>
      </c>
      <c r="I232" s="152" t="s">
        <v>5671</v>
      </c>
    </row>
    <row r="233" spans="1:9" ht="18.75" thickBot="1" x14ac:dyDescent="0.3">
      <c r="A233" s="133" t="str">
        <f t="shared" si="3"/>
        <v>012913R</v>
      </c>
      <c r="B233" s="133" t="s">
        <v>5955</v>
      </c>
      <c r="C233" s="133" t="s">
        <v>5956</v>
      </c>
      <c r="D233" s="133" t="s">
        <v>26</v>
      </c>
      <c r="E233" s="134"/>
      <c r="F233" s="134">
        <v>4.43</v>
      </c>
      <c r="G233" s="135">
        <v>3.54</v>
      </c>
      <c r="H233" s="133">
        <v>2019</v>
      </c>
      <c r="I233" s="152" t="s">
        <v>5553</v>
      </c>
    </row>
    <row r="234" spans="1:9" ht="18.75" thickBot="1" x14ac:dyDescent="0.3">
      <c r="A234" s="133" t="str">
        <f t="shared" si="3"/>
        <v>016878E</v>
      </c>
      <c r="B234" s="133" t="s">
        <v>5957</v>
      </c>
      <c r="C234" s="133" t="s">
        <v>5958</v>
      </c>
      <c r="D234" s="133" t="s">
        <v>5765</v>
      </c>
      <c r="E234" s="134"/>
      <c r="F234" s="134" t="s">
        <v>5552</v>
      </c>
      <c r="G234" s="135">
        <v>55.75</v>
      </c>
      <c r="H234" s="133">
        <v>2022</v>
      </c>
      <c r="I234" s="152" t="s">
        <v>5678</v>
      </c>
    </row>
    <row r="235" spans="1:9" ht="18.75" thickBot="1" x14ac:dyDescent="0.3">
      <c r="A235" s="133" t="str">
        <f t="shared" si="3"/>
        <v>150854X</v>
      </c>
      <c r="B235" s="133" t="s">
        <v>5959</v>
      </c>
      <c r="C235" s="133" t="s">
        <v>5960</v>
      </c>
      <c r="D235" s="133" t="s">
        <v>5503</v>
      </c>
      <c r="E235" s="134"/>
      <c r="F235" s="134">
        <v>4.3600000000000003</v>
      </c>
      <c r="G235" s="135">
        <v>3.49</v>
      </c>
      <c r="H235" s="133">
        <v>2024</v>
      </c>
      <c r="I235" s="152" t="s">
        <v>5701</v>
      </c>
    </row>
    <row r="236" spans="1:9" ht="18.75" thickBot="1" x14ac:dyDescent="0.3">
      <c r="A236" s="133" t="str">
        <f t="shared" si="3"/>
        <v>163276Z</v>
      </c>
      <c r="B236" s="133" t="s">
        <v>7168</v>
      </c>
      <c r="C236" s="133" t="s">
        <v>7169</v>
      </c>
      <c r="D236" s="133" t="s">
        <v>5505</v>
      </c>
      <c r="E236" s="134"/>
      <c r="F236" s="134">
        <v>1.29</v>
      </c>
      <c r="G236" s="135">
        <v>1.03</v>
      </c>
      <c r="H236" s="133">
        <v>2024</v>
      </c>
      <c r="I236" s="152" t="s">
        <v>5701</v>
      </c>
    </row>
    <row r="237" spans="1:9" ht="18.75" thickBot="1" x14ac:dyDescent="0.3">
      <c r="A237" s="133" t="str">
        <f t="shared" si="3"/>
        <v>143823R</v>
      </c>
      <c r="B237" s="133" t="s">
        <v>7669</v>
      </c>
      <c r="C237" s="133" t="s">
        <v>7670</v>
      </c>
      <c r="D237" s="133" t="s">
        <v>7537</v>
      </c>
      <c r="E237" s="134"/>
      <c r="F237" s="134">
        <v>0.76</v>
      </c>
      <c r="G237" s="135">
        <v>0.61</v>
      </c>
      <c r="H237" s="133">
        <v>2012</v>
      </c>
      <c r="I237" s="152" t="s">
        <v>5559</v>
      </c>
    </row>
    <row r="238" spans="1:9" ht="18.75" thickBot="1" x14ac:dyDescent="0.3">
      <c r="A238" s="133" t="str">
        <f t="shared" si="3"/>
        <v>143224Q</v>
      </c>
      <c r="B238" s="133" t="s">
        <v>5965</v>
      </c>
      <c r="C238" s="133" t="s">
        <v>5966</v>
      </c>
      <c r="D238" s="133" t="s">
        <v>5504</v>
      </c>
      <c r="E238" s="134"/>
      <c r="F238" s="134">
        <v>2.85</v>
      </c>
      <c r="G238" s="135">
        <v>2.2799999999999998</v>
      </c>
      <c r="H238" s="133">
        <v>2019</v>
      </c>
      <c r="I238" s="152" t="s">
        <v>5895</v>
      </c>
    </row>
    <row r="239" spans="1:9" ht="18.75" thickBot="1" x14ac:dyDescent="0.3">
      <c r="A239" s="133" t="str">
        <f t="shared" si="3"/>
        <v>012929H</v>
      </c>
      <c r="B239" s="133" t="s">
        <v>5967</v>
      </c>
      <c r="C239" s="133" t="s">
        <v>5968</v>
      </c>
      <c r="D239" s="133" t="s">
        <v>5504</v>
      </c>
      <c r="E239" s="134"/>
      <c r="F239" s="134">
        <v>2.23</v>
      </c>
      <c r="G239" s="135">
        <v>1.78</v>
      </c>
      <c r="H239" s="133">
        <v>2019</v>
      </c>
      <c r="I239" s="152" t="s">
        <v>5646</v>
      </c>
    </row>
    <row r="240" spans="1:9" ht="18.75" thickBot="1" x14ac:dyDescent="0.3">
      <c r="A240" s="133" t="str">
        <f t="shared" si="3"/>
        <v>177060G</v>
      </c>
      <c r="B240" s="133" t="s">
        <v>7671</v>
      </c>
      <c r="C240" s="133" t="s">
        <v>7672</v>
      </c>
      <c r="D240" s="133" t="s">
        <v>7537</v>
      </c>
      <c r="E240" s="134"/>
      <c r="F240" s="134">
        <v>1.08</v>
      </c>
      <c r="G240" s="135">
        <v>0.86</v>
      </c>
      <c r="H240" s="133">
        <v>2024</v>
      </c>
      <c r="I240" s="152" t="s">
        <v>5625</v>
      </c>
    </row>
    <row r="241" spans="1:9" ht="18.75" thickBot="1" x14ac:dyDescent="0.3">
      <c r="A241" s="133" t="str">
        <f t="shared" si="3"/>
        <v>012935N</v>
      </c>
      <c r="B241" s="133" t="s">
        <v>5973</v>
      </c>
      <c r="C241" s="133" t="s">
        <v>5974</v>
      </c>
      <c r="D241" s="133" t="s">
        <v>5505</v>
      </c>
      <c r="E241" s="134"/>
      <c r="F241" s="134">
        <v>1.21</v>
      </c>
      <c r="G241" s="135">
        <v>0.97</v>
      </c>
      <c r="H241" s="133">
        <v>2024</v>
      </c>
      <c r="I241" s="152" t="s">
        <v>5563</v>
      </c>
    </row>
    <row r="242" spans="1:9" ht="18.75" thickBot="1" x14ac:dyDescent="0.3">
      <c r="A242" s="133" t="str">
        <f t="shared" si="3"/>
        <v>166094M</v>
      </c>
      <c r="B242" s="133" t="s">
        <v>5975</v>
      </c>
      <c r="C242" s="133" t="s">
        <v>5976</v>
      </c>
      <c r="D242" s="133" t="s">
        <v>5504</v>
      </c>
      <c r="E242" s="134"/>
      <c r="F242" s="134">
        <v>2.56</v>
      </c>
      <c r="G242" s="135">
        <v>2.04</v>
      </c>
      <c r="H242" s="133">
        <v>2022</v>
      </c>
      <c r="I242" s="152" t="s">
        <v>5601</v>
      </c>
    </row>
    <row r="243" spans="1:9" ht="18.75" thickBot="1" x14ac:dyDescent="0.3">
      <c r="A243" s="133" t="str">
        <f t="shared" si="3"/>
        <v>103504Y</v>
      </c>
      <c r="B243" s="133" t="s">
        <v>5977</v>
      </c>
      <c r="C243" s="133" t="s">
        <v>5978</v>
      </c>
      <c r="D243" s="133" t="s">
        <v>5504</v>
      </c>
      <c r="E243" s="134"/>
      <c r="F243" s="134">
        <v>2.17</v>
      </c>
      <c r="G243" s="135">
        <v>1.73</v>
      </c>
      <c r="H243" s="133">
        <v>2013</v>
      </c>
      <c r="I243" s="152" t="s">
        <v>5792</v>
      </c>
    </row>
    <row r="244" spans="1:9" ht="18.75" thickBot="1" x14ac:dyDescent="0.3">
      <c r="A244" s="133" t="str">
        <f t="shared" si="3"/>
        <v>141457R</v>
      </c>
      <c r="B244" s="133" t="s">
        <v>5979</v>
      </c>
      <c r="C244" s="133" t="s">
        <v>5980</v>
      </c>
      <c r="D244" s="133" t="s">
        <v>5505</v>
      </c>
      <c r="E244" s="134"/>
      <c r="F244" s="134">
        <v>1.32</v>
      </c>
      <c r="G244" s="135">
        <v>1.05</v>
      </c>
      <c r="H244" s="133">
        <v>2018</v>
      </c>
      <c r="I244" s="152" t="s">
        <v>5735</v>
      </c>
    </row>
    <row r="245" spans="1:9" ht="18.75" thickBot="1" x14ac:dyDescent="0.3">
      <c r="A245" s="133" t="str">
        <f t="shared" si="3"/>
        <v>012950C</v>
      </c>
      <c r="B245" s="133" t="s">
        <v>5981</v>
      </c>
      <c r="C245" s="133" t="s">
        <v>5982</v>
      </c>
      <c r="D245" s="133" t="s">
        <v>5505</v>
      </c>
      <c r="E245" s="134"/>
      <c r="F245" s="134">
        <v>1.62</v>
      </c>
      <c r="G245" s="135">
        <v>1.3</v>
      </c>
      <c r="H245" s="133">
        <v>2013</v>
      </c>
      <c r="I245" s="152" t="s">
        <v>5582</v>
      </c>
    </row>
    <row r="246" spans="1:9" ht="18.75" thickBot="1" x14ac:dyDescent="0.3">
      <c r="A246" s="133" t="str">
        <f t="shared" si="3"/>
        <v>179690Q</v>
      </c>
      <c r="B246" s="133" t="s">
        <v>8526</v>
      </c>
      <c r="C246" s="133" t="s">
        <v>8527</v>
      </c>
      <c r="D246" s="133" t="s">
        <v>7543</v>
      </c>
      <c r="E246" s="134"/>
      <c r="F246" s="134">
        <v>1.24</v>
      </c>
      <c r="G246" s="135">
        <v>0.99</v>
      </c>
      <c r="H246" s="133">
        <v>2024</v>
      </c>
      <c r="I246" s="152" t="s">
        <v>5701</v>
      </c>
    </row>
    <row r="247" spans="1:9" ht="18.75" thickBot="1" x14ac:dyDescent="0.3">
      <c r="A247" s="133" t="str">
        <f t="shared" si="3"/>
        <v>135462C</v>
      </c>
      <c r="B247" s="133" t="s">
        <v>5985</v>
      </c>
      <c r="C247" s="133" t="s">
        <v>5986</v>
      </c>
      <c r="D247" s="133" t="s">
        <v>5503</v>
      </c>
      <c r="E247" s="134"/>
      <c r="F247" s="134">
        <v>2.13</v>
      </c>
      <c r="G247" s="135">
        <v>1.7</v>
      </c>
      <c r="H247" s="133">
        <v>2022</v>
      </c>
      <c r="I247" s="152" t="s">
        <v>5582</v>
      </c>
    </row>
    <row r="248" spans="1:9" ht="18.75" thickBot="1" x14ac:dyDescent="0.3">
      <c r="A248" s="133" t="str">
        <f t="shared" si="3"/>
        <v>133703L</v>
      </c>
      <c r="B248" s="133" t="s">
        <v>7172</v>
      </c>
      <c r="C248" s="133" t="s">
        <v>7173</v>
      </c>
      <c r="D248" s="133" t="s">
        <v>7537</v>
      </c>
      <c r="E248" s="134"/>
      <c r="F248" s="134">
        <v>0.82</v>
      </c>
      <c r="G248" s="135">
        <v>0.66</v>
      </c>
      <c r="H248" s="133">
        <v>2024</v>
      </c>
      <c r="I248" s="152" t="s">
        <v>5895</v>
      </c>
    </row>
    <row r="249" spans="1:9" ht="18.75" thickBot="1" x14ac:dyDescent="0.3">
      <c r="A249" s="133" t="str">
        <f t="shared" si="3"/>
        <v>124893P</v>
      </c>
      <c r="B249" s="133" t="s">
        <v>7174</v>
      </c>
      <c r="C249" s="133" t="s">
        <v>7175</v>
      </c>
      <c r="D249" s="133" t="s">
        <v>5505</v>
      </c>
      <c r="E249" s="134"/>
      <c r="F249" s="134">
        <v>1.28</v>
      </c>
      <c r="G249" s="135">
        <v>1.02</v>
      </c>
      <c r="H249" s="133">
        <v>2011</v>
      </c>
      <c r="I249" s="152" t="s">
        <v>5666</v>
      </c>
    </row>
    <row r="250" spans="1:9" ht="18.75" thickBot="1" x14ac:dyDescent="0.3">
      <c r="A250" s="133" t="str">
        <f t="shared" si="3"/>
        <v>138937T</v>
      </c>
      <c r="B250" s="133" t="s">
        <v>7511</v>
      </c>
      <c r="C250" s="133" t="s">
        <v>7512</v>
      </c>
      <c r="D250" s="133" t="s">
        <v>5503</v>
      </c>
      <c r="E250" s="134"/>
      <c r="F250" s="134">
        <v>4.28</v>
      </c>
      <c r="G250" s="135">
        <v>3.42</v>
      </c>
      <c r="H250" s="133">
        <v>2020</v>
      </c>
      <c r="I250" s="152" t="s">
        <v>6229</v>
      </c>
    </row>
    <row r="251" spans="1:9" ht="18.75" thickBot="1" x14ac:dyDescent="0.3">
      <c r="A251" s="133" t="str">
        <f t="shared" si="3"/>
        <v>104243J</v>
      </c>
      <c r="B251" s="133" t="s">
        <v>5987</v>
      </c>
      <c r="C251" s="133" t="s">
        <v>5988</v>
      </c>
      <c r="D251" s="133" t="s">
        <v>5504</v>
      </c>
      <c r="E251" s="134"/>
      <c r="F251" s="134">
        <v>1.74</v>
      </c>
      <c r="G251" s="135">
        <v>1.39</v>
      </c>
      <c r="H251" s="133">
        <v>2022</v>
      </c>
      <c r="I251" s="152" t="s">
        <v>5587</v>
      </c>
    </row>
    <row r="252" spans="1:9" ht="18.75" thickBot="1" x14ac:dyDescent="0.3">
      <c r="A252" s="133" t="str">
        <f t="shared" si="3"/>
        <v>149663C</v>
      </c>
      <c r="B252" s="133" t="s">
        <v>5989</v>
      </c>
      <c r="C252" s="133" t="s">
        <v>5990</v>
      </c>
      <c r="D252" s="133" t="s">
        <v>7537</v>
      </c>
      <c r="E252" s="134"/>
      <c r="F252" s="134">
        <v>0.57999999999999996</v>
      </c>
      <c r="G252" s="135">
        <v>0.47</v>
      </c>
      <c r="H252" s="133">
        <v>2024</v>
      </c>
      <c r="I252" s="152" t="s">
        <v>5705</v>
      </c>
    </row>
    <row r="253" spans="1:9" ht="18.75" thickBot="1" x14ac:dyDescent="0.3">
      <c r="A253" s="133" t="str">
        <f t="shared" si="3"/>
        <v>149927P</v>
      </c>
      <c r="B253" s="133" t="s">
        <v>7673</v>
      </c>
      <c r="C253" s="133" t="s">
        <v>7674</v>
      </c>
      <c r="D253" s="133" t="s">
        <v>7537</v>
      </c>
      <c r="E253" s="134"/>
      <c r="F253" s="134">
        <v>0.66</v>
      </c>
      <c r="G253" s="135">
        <v>0.52</v>
      </c>
      <c r="H253" s="133">
        <v>2015</v>
      </c>
      <c r="I253" s="152" t="s">
        <v>5601</v>
      </c>
    </row>
    <row r="254" spans="1:9" ht="18.75" thickBot="1" x14ac:dyDescent="0.3">
      <c r="A254" s="133" t="str">
        <f t="shared" si="3"/>
        <v>124369L</v>
      </c>
      <c r="B254" s="133" t="s">
        <v>7176</v>
      </c>
      <c r="C254" s="133" t="s">
        <v>7177</v>
      </c>
      <c r="D254" s="133" t="s">
        <v>5505</v>
      </c>
      <c r="E254" s="134"/>
      <c r="F254" s="134">
        <v>1.39</v>
      </c>
      <c r="G254" s="135">
        <v>1.1100000000000001</v>
      </c>
      <c r="H254" s="133">
        <v>2023</v>
      </c>
      <c r="I254" s="152" t="s">
        <v>5566</v>
      </c>
    </row>
    <row r="255" spans="1:9" ht="18.75" thickBot="1" x14ac:dyDescent="0.3">
      <c r="A255" s="133" t="str">
        <f t="shared" si="3"/>
        <v>020658O</v>
      </c>
      <c r="B255" s="133" t="s">
        <v>5991</v>
      </c>
      <c r="C255" s="133" t="s">
        <v>5992</v>
      </c>
      <c r="D255" s="133" t="s">
        <v>26</v>
      </c>
      <c r="E255" s="134"/>
      <c r="F255" s="134">
        <v>7.48</v>
      </c>
      <c r="G255" s="135">
        <v>5.98</v>
      </c>
      <c r="H255" s="133">
        <v>2008</v>
      </c>
      <c r="I255" s="152" t="s">
        <v>5598</v>
      </c>
    </row>
    <row r="256" spans="1:9" ht="18.75" thickBot="1" x14ac:dyDescent="0.3">
      <c r="A256" s="133" t="str">
        <f t="shared" si="3"/>
        <v>104112I</v>
      </c>
      <c r="B256" s="133" t="s">
        <v>5995</v>
      </c>
      <c r="C256" s="133" t="s">
        <v>5996</v>
      </c>
      <c r="D256" s="133" t="s">
        <v>5505</v>
      </c>
      <c r="E256" s="134"/>
      <c r="F256" s="134">
        <v>1.53</v>
      </c>
      <c r="G256" s="135">
        <v>1.23</v>
      </c>
      <c r="H256" s="133">
        <v>2022</v>
      </c>
      <c r="I256" s="152" t="s">
        <v>5594</v>
      </c>
    </row>
    <row r="257" spans="1:9" ht="18.75" thickBot="1" x14ac:dyDescent="0.3">
      <c r="A257" s="133" t="str">
        <f t="shared" si="3"/>
        <v>020210I</v>
      </c>
      <c r="B257" s="133" t="s">
        <v>5997</v>
      </c>
      <c r="C257" s="133" t="s">
        <v>5998</v>
      </c>
      <c r="D257" s="133" t="s">
        <v>5704</v>
      </c>
      <c r="E257" s="134"/>
      <c r="F257" s="134">
        <v>2.97</v>
      </c>
      <c r="G257" s="135">
        <v>2.38</v>
      </c>
      <c r="H257" s="133">
        <v>2024</v>
      </c>
      <c r="I257" s="152" t="s">
        <v>5556</v>
      </c>
    </row>
    <row r="258" spans="1:9" ht="18.75" thickBot="1" x14ac:dyDescent="0.3">
      <c r="A258" s="133" t="str">
        <f t="shared" ref="A258:A321" si="4">SUBSTITUTE(B258,CHAR(32),"")</f>
        <v>129203J</v>
      </c>
      <c r="B258" s="133" t="s">
        <v>7178</v>
      </c>
      <c r="C258" s="133" t="s">
        <v>7179</v>
      </c>
      <c r="D258" s="133" t="s">
        <v>5505</v>
      </c>
      <c r="E258" s="134"/>
      <c r="F258" s="134">
        <v>1.18</v>
      </c>
      <c r="G258" s="135">
        <v>0.94</v>
      </c>
      <c r="H258" s="133">
        <v>2012</v>
      </c>
      <c r="I258" s="152" t="s">
        <v>5566</v>
      </c>
    </row>
    <row r="259" spans="1:9" ht="18.75" thickBot="1" x14ac:dyDescent="0.3">
      <c r="A259" s="133" t="str">
        <f t="shared" si="4"/>
        <v>160951X</v>
      </c>
      <c r="B259" s="133" t="s">
        <v>7675</v>
      </c>
      <c r="C259" s="133" t="s">
        <v>7676</v>
      </c>
      <c r="D259" s="133" t="s">
        <v>7537</v>
      </c>
      <c r="E259" s="134"/>
      <c r="F259" s="134">
        <v>0.81</v>
      </c>
      <c r="G259" s="135">
        <v>0.65</v>
      </c>
      <c r="H259" s="133">
        <v>2021</v>
      </c>
      <c r="I259" s="152" t="s">
        <v>5710</v>
      </c>
    </row>
    <row r="260" spans="1:9" ht="18.75" thickBot="1" x14ac:dyDescent="0.3">
      <c r="A260" s="133" t="str">
        <f t="shared" si="4"/>
        <v>147797Z</v>
      </c>
      <c r="B260" s="133" t="s">
        <v>7180</v>
      </c>
      <c r="C260" s="133" t="s">
        <v>7181</v>
      </c>
      <c r="D260" s="133" t="s">
        <v>7537</v>
      </c>
      <c r="E260" s="134"/>
      <c r="F260" s="134">
        <v>1.02</v>
      </c>
      <c r="G260" s="135">
        <v>0.81</v>
      </c>
      <c r="H260" s="133">
        <v>2019</v>
      </c>
      <c r="I260" s="152" t="s">
        <v>5559</v>
      </c>
    </row>
    <row r="261" spans="1:9" ht="18.75" thickBot="1" x14ac:dyDescent="0.3">
      <c r="A261" s="133" t="str">
        <f t="shared" si="4"/>
        <v>012990Q</v>
      </c>
      <c r="B261" s="133" t="s">
        <v>6003</v>
      </c>
      <c r="C261" s="133" t="s">
        <v>6004</v>
      </c>
      <c r="D261" s="133" t="s">
        <v>7537</v>
      </c>
      <c r="E261" s="134"/>
      <c r="F261" s="134">
        <v>1.03</v>
      </c>
      <c r="G261" s="135">
        <v>0.83</v>
      </c>
      <c r="H261" s="133">
        <v>2023</v>
      </c>
      <c r="I261" s="152" t="s">
        <v>5646</v>
      </c>
    </row>
    <row r="262" spans="1:9" ht="18.75" thickBot="1" x14ac:dyDescent="0.3">
      <c r="A262" s="133" t="str">
        <f t="shared" si="4"/>
        <v>148884F</v>
      </c>
      <c r="B262" s="133" t="s">
        <v>6005</v>
      </c>
      <c r="C262" s="133" t="s">
        <v>6006</v>
      </c>
      <c r="D262" s="133" t="s">
        <v>5505</v>
      </c>
      <c r="E262" s="134"/>
      <c r="F262" s="134">
        <v>1.66</v>
      </c>
      <c r="G262" s="135">
        <v>1.33</v>
      </c>
      <c r="H262" s="133">
        <v>2024</v>
      </c>
      <c r="I262" s="152" t="s">
        <v>5582</v>
      </c>
    </row>
    <row r="263" spans="1:9" ht="18.75" thickBot="1" x14ac:dyDescent="0.3">
      <c r="A263" s="133" t="str">
        <f t="shared" si="4"/>
        <v>012998Y</v>
      </c>
      <c r="B263" s="133" t="s">
        <v>6007</v>
      </c>
      <c r="C263" s="133" t="s">
        <v>6008</v>
      </c>
      <c r="D263" s="133" t="s">
        <v>5504</v>
      </c>
      <c r="E263" s="134"/>
      <c r="F263" s="134">
        <v>2.93</v>
      </c>
      <c r="G263" s="135">
        <v>2.34</v>
      </c>
      <c r="H263" s="133">
        <v>2011</v>
      </c>
      <c r="I263" s="152" t="s">
        <v>5587</v>
      </c>
    </row>
    <row r="264" spans="1:9" ht="18.75" thickBot="1" x14ac:dyDescent="0.3">
      <c r="A264" s="133" t="str">
        <f t="shared" si="4"/>
        <v>178674L</v>
      </c>
      <c r="B264" s="133" t="s">
        <v>6009</v>
      </c>
      <c r="C264" s="133" t="s">
        <v>6010</v>
      </c>
      <c r="D264" s="133" t="s">
        <v>7543</v>
      </c>
      <c r="E264" s="134"/>
      <c r="F264" s="134">
        <v>1.47</v>
      </c>
      <c r="G264" s="135">
        <v>1.17</v>
      </c>
      <c r="H264" s="133">
        <v>2024</v>
      </c>
      <c r="I264" s="152" t="s">
        <v>5582</v>
      </c>
    </row>
    <row r="265" spans="1:9" ht="18.75" thickBot="1" x14ac:dyDescent="0.3">
      <c r="A265" s="133" t="str">
        <f t="shared" si="4"/>
        <v>123909T</v>
      </c>
      <c r="B265" s="133" t="s">
        <v>7182</v>
      </c>
      <c r="C265" s="133" t="s">
        <v>7183</v>
      </c>
      <c r="D265" s="133" t="s">
        <v>5505</v>
      </c>
      <c r="E265" s="134"/>
      <c r="F265" s="134">
        <v>1.29</v>
      </c>
      <c r="G265" s="135">
        <v>1.03</v>
      </c>
      <c r="H265" s="133">
        <v>2012</v>
      </c>
      <c r="I265" s="152" t="s">
        <v>5701</v>
      </c>
    </row>
    <row r="266" spans="1:9" ht="18.75" thickBot="1" x14ac:dyDescent="0.3">
      <c r="A266" s="133" t="str">
        <f t="shared" si="4"/>
        <v>154263C</v>
      </c>
      <c r="B266" s="133" t="s">
        <v>6011</v>
      </c>
      <c r="C266" s="133" t="s">
        <v>6012</v>
      </c>
      <c r="D266" s="133" t="s">
        <v>5505</v>
      </c>
      <c r="E266" s="134"/>
      <c r="F266" s="134">
        <v>1.47</v>
      </c>
      <c r="G266" s="135">
        <v>1.17</v>
      </c>
      <c r="H266" s="133">
        <v>2024</v>
      </c>
      <c r="I266" s="152" t="s">
        <v>5598</v>
      </c>
    </row>
    <row r="267" spans="1:9" ht="18.75" thickBot="1" x14ac:dyDescent="0.3">
      <c r="A267" s="133" t="str">
        <f t="shared" si="4"/>
        <v>020257D</v>
      </c>
      <c r="B267" s="133" t="s">
        <v>7184</v>
      </c>
      <c r="C267" s="133" t="s">
        <v>7185</v>
      </c>
      <c r="D267" s="133" t="s">
        <v>5503</v>
      </c>
      <c r="E267" s="134"/>
      <c r="F267" s="134">
        <v>5.84</v>
      </c>
      <c r="G267" s="135">
        <v>4.67</v>
      </c>
      <c r="H267" s="133">
        <v>2020</v>
      </c>
      <c r="I267" s="152" t="s">
        <v>5735</v>
      </c>
    </row>
    <row r="268" spans="1:9" ht="18.75" thickBot="1" x14ac:dyDescent="0.3">
      <c r="A268" s="133" t="str">
        <f t="shared" si="4"/>
        <v>138062C</v>
      </c>
      <c r="B268" s="133" t="s">
        <v>6013</v>
      </c>
      <c r="C268" s="133" t="s">
        <v>6014</v>
      </c>
      <c r="D268" s="133" t="s">
        <v>7537</v>
      </c>
      <c r="E268" s="134"/>
      <c r="F268" s="134">
        <v>0.95</v>
      </c>
      <c r="G268" s="135">
        <v>0.76</v>
      </c>
      <c r="H268" s="133">
        <v>2011</v>
      </c>
      <c r="I268" s="152" t="s">
        <v>5705</v>
      </c>
    </row>
    <row r="269" spans="1:9" ht="18.75" thickBot="1" x14ac:dyDescent="0.3">
      <c r="A269" s="133" t="str">
        <f t="shared" si="4"/>
        <v>163862L</v>
      </c>
      <c r="B269" s="133" t="s">
        <v>7677</v>
      </c>
      <c r="C269" s="133" t="s">
        <v>7678</v>
      </c>
      <c r="D269" s="133" t="s">
        <v>7537</v>
      </c>
      <c r="E269" s="134"/>
      <c r="F269" s="134">
        <v>0.32</v>
      </c>
      <c r="G269" s="135">
        <v>0.26</v>
      </c>
      <c r="H269" s="133">
        <v>2020</v>
      </c>
      <c r="I269" s="152" t="s">
        <v>5566</v>
      </c>
    </row>
    <row r="270" spans="1:9" ht="18.75" thickBot="1" x14ac:dyDescent="0.3">
      <c r="A270" s="133" t="str">
        <f t="shared" si="4"/>
        <v>140297B</v>
      </c>
      <c r="B270" s="133" t="s">
        <v>6015</v>
      </c>
      <c r="C270" s="133" t="s">
        <v>6016</v>
      </c>
      <c r="D270" s="133" t="s">
        <v>5504</v>
      </c>
      <c r="E270" s="134"/>
      <c r="F270" s="134">
        <v>3.3</v>
      </c>
      <c r="G270" s="135">
        <v>2.64</v>
      </c>
      <c r="H270" s="133">
        <v>2024</v>
      </c>
      <c r="I270" s="152" t="s">
        <v>5625</v>
      </c>
    </row>
    <row r="271" spans="1:9" ht="18.75" thickBot="1" x14ac:dyDescent="0.3">
      <c r="A271" s="133" t="str">
        <f t="shared" si="4"/>
        <v>163127M</v>
      </c>
      <c r="B271" s="133" t="s">
        <v>7186</v>
      </c>
      <c r="C271" s="133" t="s">
        <v>7187</v>
      </c>
      <c r="D271" s="133" t="s">
        <v>5505</v>
      </c>
      <c r="E271" s="134"/>
      <c r="F271" s="134">
        <v>1.75</v>
      </c>
      <c r="G271" s="135">
        <v>1.4</v>
      </c>
      <c r="H271" s="133">
        <v>2024</v>
      </c>
      <c r="I271" s="152" t="s">
        <v>5639</v>
      </c>
    </row>
    <row r="272" spans="1:9" ht="18.75" thickBot="1" x14ac:dyDescent="0.3">
      <c r="A272" s="133" t="str">
        <f t="shared" si="4"/>
        <v>013010K</v>
      </c>
      <c r="B272" s="133" t="s">
        <v>6017</v>
      </c>
      <c r="C272" s="133" t="s">
        <v>6018</v>
      </c>
      <c r="D272" s="133" t="s">
        <v>5704</v>
      </c>
      <c r="E272" s="134"/>
      <c r="F272" s="134">
        <v>3.4</v>
      </c>
      <c r="G272" s="135">
        <v>2.72</v>
      </c>
      <c r="H272" s="133">
        <v>2024</v>
      </c>
      <c r="I272" s="152" t="s">
        <v>5678</v>
      </c>
    </row>
    <row r="273" spans="1:9" ht="18.75" thickBot="1" x14ac:dyDescent="0.3">
      <c r="A273" s="133" t="str">
        <f t="shared" si="4"/>
        <v>146714W</v>
      </c>
      <c r="B273" s="133" t="s">
        <v>6019</v>
      </c>
      <c r="C273" s="133" t="s">
        <v>6020</v>
      </c>
      <c r="D273" s="133" t="s">
        <v>7537</v>
      </c>
      <c r="E273" s="134"/>
      <c r="F273" s="134">
        <v>1.04</v>
      </c>
      <c r="G273" s="135">
        <v>0.83</v>
      </c>
      <c r="H273" s="133">
        <v>2024</v>
      </c>
      <c r="I273" s="152" t="s">
        <v>5625</v>
      </c>
    </row>
    <row r="274" spans="1:9" ht="18.75" thickBot="1" x14ac:dyDescent="0.3">
      <c r="A274" s="133" t="str">
        <f t="shared" si="4"/>
        <v>127857P</v>
      </c>
      <c r="B274" s="133" t="s">
        <v>7478</v>
      </c>
      <c r="C274" s="133" t="s">
        <v>7479</v>
      </c>
      <c r="D274" s="133" t="s">
        <v>5504</v>
      </c>
      <c r="E274" s="134"/>
      <c r="F274" s="134">
        <v>3.63</v>
      </c>
      <c r="G274" s="135">
        <v>2.91</v>
      </c>
      <c r="H274" s="133">
        <v>2008</v>
      </c>
      <c r="I274" s="152" t="s">
        <v>5853</v>
      </c>
    </row>
    <row r="275" spans="1:9" ht="18.75" thickBot="1" x14ac:dyDescent="0.3">
      <c r="A275" s="133" t="str">
        <f t="shared" si="4"/>
        <v>147420P</v>
      </c>
      <c r="B275" s="133" t="s">
        <v>7679</v>
      </c>
      <c r="C275" s="133" t="s">
        <v>7680</v>
      </c>
      <c r="D275" s="133" t="s">
        <v>7537</v>
      </c>
      <c r="E275" s="134"/>
      <c r="F275" s="134">
        <v>0.96</v>
      </c>
      <c r="G275" s="135">
        <v>0.77</v>
      </c>
      <c r="H275" s="133">
        <v>2013</v>
      </c>
      <c r="I275" s="152" t="s">
        <v>5646</v>
      </c>
    </row>
    <row r="276" spans="1:9" ht="18.75" thickBot="1" x14ac:dyDescent="0.3">
      <c r="A276" s="133" t="str">
        <f t="shared" si="4"/>
        <v>134929P</v>
      </c>
      <c r="B276" s="133" t="s">
        <v>6023</v>
      </c>
      <c r="C276" s="133" t="s">
        <v>6024</v>
      </c>
      <c r="D276" s="133" t="s">
        <v>5562</v>
      </c>
      <c r="E276" s="134"/>
      <c r="F276" s="134">
        <v>9.0399999999999991</v>
      </c>
      <c r="G276" s="135">
        <v>7.23</v>
      </c>
      <c r="H276" s="133">
        <v>2024</v>
      </c>
      <c r="I276" s="152" t="s">
        <v>5635</v>
      </c>
    </row>
    <row r="277" spans="1:9" ht="18.75" thickBot="1" x14ac:dyDescent="0.3">
      <c r="A277" s="133" t="str">
        <f t="shared" si="4"/>
        <v>129845B</v>
      </c>
      <c r="B277" s="133" t="s">
        <v>6026</v>
      </c>
      <c r="C277" s="133" t="s">
        <v>6024</v>
      </c>
      <c r="D277" s="133" t="s">
        <v>5504</v>
      </c>
      <c r="E277" s="134"/>
      <c r="F277" s="134">
        <v>2.95</v>
      </c>
      <c r="G277" s="135">
        <v>2.36</v>
      </c>
      <c r="H277" s="133">
        <v>2017</v>
      </c>
      <c r="I277" s="152" t="s">
        <v>5850</v>
      </c>
    </row>
    <row r="278" spans="1:9" ht="18.75" thickBot="1" x14ac:dyDescent="0.3">
      <c r="A278" s="133" t="str">
        <f t="shared" si="4"/>
        <v>117582K</v>
      </c>
      <c r="B278" s="133" t="s">
        <v>6027</v>
      </c>
      <c r="C278" s="133" t="s">
        <v>6028</v>
      </c>
      <c r="D278" s="133" t="s">
        <v>5504</v>
      </c>
      <c r="E278" s="134"/>
      <c r="F278" s="134">
        <v>2.5</v>
      </c>
      <c r="G278" s="135">
        <v>2</v>
      </c>
      <c r="H278" s="133">
        <v>2014</v>
      </c>
      <c r="I278" s="152" t="s">
        <v>5553</v>
      </c>
    </row>
    <row r="279" spans="1:9" ht="18.75" thickBot="1" x14ac:dyDescent="0.3">
      <c r="A279" s="133" t="str">
        <f t="shared" si="4"/>
        <v>145804W</v>
      </c>
      <c r="B279" s="133" t="s">
        <v>7188</v>
      </c>
      <c r="C279" s="133" t="s">
        <v>7189</v>
      </c>
      <c r="D279" s="133" t="s">
        <v>7537</v>
      </c>
      <c r="E279" s="134"/>
      <c r="F279" s="134">
        <v>1.1499999999999999</v>
      </c>
      <c r="G279" s="135">
        <v>0.92</v>
      </c>
      <c r="H279" s="133">
        <v>2024</v>
      </c>
      <c r="I279" s="152" t="s">
        <v>5553</v>
      </c>
    </row>
    <row r="280" spans="1:9" ht="18.75" thickBot="1" x14ac:dyDescent="0.3">
      <c r="A280" s="133" t="str">
        <f t="shared" si="4"/>
        <v>173553V</v>
      </c>
      <c r="B280" s="133" t="s">
        <v>7681</v>
      </c>
      <c r="C280" s="133" t="s">
        <v>7682</v>
      </c>
      <c r="D280" s="133" t="s">
        <v>7537</v>
      </c>
      <c r="E280" s="134"/>
      <c r="F280" s="134">
        <v>0.94</v>
      </c>
      <c r="G280" s="135">
        <v>0.75</v>
      </c>
      <c r="H280" s="133">
        <v>2023</v>
      </c>
      <c r="I280" s="152" t="s">
        <v>5678</v>
      </c>
    </row>
    <row r="281" spans="1:9" ht="18.75" thickBot="1" x14ac:dyDescent="0.3">
      <c r="A281" s="133" t="str">
        <f t="shared" si="4"/>
        <v>146043B</v>
      </c>
      <c r="B281" s="133" t="s">
        <v>7683</v>
      </c>
      <c r="C281" s="133" t="s">
        <v>7684</v>
      </c>
      <c r="D281" s="133" t="s">
        <v>7537</v>
      </c>
      <c r="E281" s="134"/>
      <c r="F281" s="134">
        <v>0.99</v>
      </c>
      <c r="G281" s="135">
        <v>0.79</v>
      </c>
      <c r="H281" s="133">
        <v>2014</v>
      </c>
      <c r="I281" s="152" t="s">
        <v>5573</v>
      </c>
    </row>
    <row r="282" spans="1:9" ht="18.75" thickBot="1" x14ac:dyDescent="0.3">
      <c r="A282" s="133" t="str">
        <f t="shared" si="4"/>
        <v>141486U</v>
      </c>
      <c r="B282" s="133" t="s">
        <v>8528</v>
      </c>
      <c r="C282" s="133" t="s">
        <v>8529</v>
      </c>
      <c r="D282" s="133" t="s">
        <v>7560</v>
      </c>
      <c r="E282" s="134"/>
      <c r="F282" s="134">
        <v>0.92</v>
      </c>
      <c r="G282" s="135">
        <v>0.73</v>
      </c>
      <c r="H282" s="133">
        <v>2024</v>
      </c>
      <c r="I282" s="152" t="s">
        <v>5768</v>
      </c>
    </row>
    <row r="283" spans="1:9" ht="18.75" thickBot="1" x14ac:dyDescent="0.3">
      <c r="A283" s="133" t="str">
        <f t="shared" si="4"/>
        <v>013026A</v>
      </c>
      <c r="B283" s="133" t="s">
        <v>6029</v>
      </c>
      <c r="C283" s="133" t="s">
        <v>6030</v>
      </c>
      <c r="D283" s="133" t="s">
        <v>5505</v>
      </c>
      <c r="E283" s="134"/>
      <c r="F283" s="134">
        <v>1.29</v>
      </c>
      <c r="G283" s="135">
        <v>1.03</v>
      </c>
      <c r="H283" s="133">
        <v>2024</v>
      </c>
      <c r="I283" s="152" t="s">
        <v>5651</v>
      </c>
    </row>
    <row r="284" spans="1:9" ht="18.75" thickBot="1" x14ac:dyDescent="0.3">
      <c r="A284" s="133" t="str">
        <f t="shared" si="4"/>
        <v>169261E</v>
      </c>
      <c r="B284" s="133" t="s">
        <v>6031</v>
      </c>
      <c r="C284" s="133" t="s">
        <v>6032</v>
      </c>
      <c r="D284" s="133" t="s">
        <v>5505</v>
      </c>
      <c r="E284" s="134"/>
      <c r="F284" s="134">
        <v>1.3</v>
      </c>
      <c r="G284" s="135">
        <v>1.04</v>
      </c>
      <c r="H284" s="133">
        <v>2024</v>
      </c>
      <c r="I284" s="152" t="s">
        <v>5895</v>
      </c>
    </row>
    <row r="285" spans="1:9" ht="18.75" thickBot="1" x14ac:dyDescent="0.3">
      <c r="A285" s="133" t="str">
        <f t="shared" si="4"/>
        <v>013032G</v>
      </c>
      <c r="B285" s="133" t="s">
        <v>6033</v>
      </c>
      <c r="C285" s="133" t="s">
        <v>6034</v>
      </c>
      <c r="D285" s="133" t="s">
        <v>5504</v>
      </c>
      <c r="E285" s="134"/>
      <c r="F285" s="134">
        <v>3.12</v>
      </c>
      <c r="G285" s="135">
        <v>2.5</v>
      </c>
      <c r="H285" s="133">
        <v>2009</v>
      </c>
      <c r="I285" s="152" t="s">
        <v>5630</v>
      </c>
    </row>
    <row r="286" spans="1:9" ht="18.75" thickBot="1" x14ac:dyDescent="0.3">
      <c r="A286" s="133" t="str">
        <f t="shared" si="4"/>
        <v>129413L</v>
      </c>
      <c r="B286" s="133" t="s">
        <v>7190</v>
      </c>
      <c r="C286" s="133" t="s">
        <v>7191</v>
      </c>
      <c r="D286" s="133" t="s">
        <v>7537</v>
      </c>
      <c r="E286" s="134"/>
      <c r="F286" s="134">
        <v>0.33</v>
      </c>
      <c r="G286" s="135">
        <v>0.26</v>
      </c>
      <c r="H286" s="133">
        <v>2012</v>
      </c>
      <c r="I286" s="152" t="s">
        <v>5556</v>
      </c>
    </row>
    <row r="287" spans="1:9" ht="18.75" thickBot="1" x14ac:dyDescent="0.3">
      <c r="A287" s="133" t="str">
        <f t="shared" si="4"/>
        <v>165469H</v>
      </c>
      <c r="B287" s="133" t="s">
        <v>7192</v>
      </c>
      <c r="C287" s="133" t="s">
        <v>7193</v>
      </c>
      <c r="D287" s="133" t="s">
        <v>7537</v>
      </c>
      <c r="E287" s="134"/>
      <c r="F287" s="134">
        <v>0.93</v>
      </c>
      <c r="G287" s="135">
        <v>0.74</v>
      </c>
      <c r="H287" s="133">
        <v>2024</v>
      </c>
      <c r="I287" s="152" t="s">
        <v>5895</v>
      </c>
    </row>
    <row r="288" spans="1:9" ht="18.75" thickBot="1" x14ac:dyDescent="0.3">
      <c r="A288" s="133" t="str">
        <f t="shared" si="4"/>
        <v>013038M</v>
      </c>
      <c r="B288" s="133" t="s">
        <v>6035</v>
      </c>
      <c r="C288" s="133" t="s">
        <v>6036</v>
      </c>
      <c r="D288" s="133" t="s">
        <v>5503</v>
      </c>
      <c r="E288" s="134"/>
      <c r="F288" s="134">
        <v>2.79</v>
      </c>
      <c r="G288" s="135">
        <v>2.23</v>
      </c>
      <c r="H288" s="133">
        <v>2014</v>
      </c>
      <c r="I288" s="152" t="s">
        <v>5651</v>
      </c>
    </row>
    <row r="289" spans="1:9" ht="18.75" thickBot="1" x14ac:dyDescent="0.3">
      <c r="A289" s="133" t="str">
        <f t="shared" si="4"/>
        <v>133265P</v>
      </c>
      <c r="B289" s="133" t="s">
        <v>6037</v>
      </c>
      <c r="C289" s="133" t="s">
        <v>6038</v>
      </c>
      <c r="D289" s="133" t="s">
        <v>5504</v>
      </c>
      <c r="E289" s="134"/>
      <c r="F289" s="134">
        <v>1.76</v>
      </c>
      <c r="G289" s="135">
        <v>1.41</v>
      </c>
      <c r="H289" s="133">
        <v>2014</v>
      </c>
      <c r="I289" s="152" t="s">
        <v>5726</v>
      </c>
    </row>
    <row r="290" spans="1:9" ht="18.75" thickBot="1" x14ac:dyDescent="0.3">
      <c r="A290" s="133" t="str">
        <f t="shared" si="4"/>
        <v>127372Y</v>
      </c>
      <c r="B290" s="133" t="s">
        <v>7685</v>
      </c>
      <c r="C290" s="133" t="s">
        <v>7686</v>
      </c>
      <c r="D290" s="133" t="s">
        <v>7537</v>
      </c>
      <c r="E290" s="134"/>
      <c r="F290" s="134">
        <v>0.76</v>
      </c>
      <c r="G290" s="135">
        <v>0.61</v>
      </c>
      <c r="H290" s="133">
        <v>2010</v>
      </c>
      <c r="I290" s="152" t="s">
        <v>5895</v>
      </c>
    </row>
    <row r="291" spans="1:9" ht="18.75" thickBot="1" x14ac:dyDescent="0.3">
      <c r="A291" s="133" t="str">
        <f t="shared" si="4"/>
        <v>133370Q</v>
      </c>
      <c r="B291" s="133" t="s">
        <v>7687</v>
      </c>
      <c r="C291" s="133" t="s">
        <v>7688</v>
      </c>
      <c r="D291" s="133" t="s">
        <v>7537</v>
      </c>
      <c r="E291" s="134"/>
      <c r="F291" s="134">
        <v>0.74</v>
      </c>
      <c r="G291" s="135">
        <v>0.59</v>
      </c>
      <c r="H291" s="133">
        <v>2011</v>
      </c>
      <c r="I291" s="152" t="s">
        <v>5582</v>
      </c>
    </row>
    <row r="292" spans="1:9" ht="18.75" thickBot="1" x14ac:dyDescent="0.3">
      <c r="A292" s="133" t="str">
        <f t="shared" si="4"/>
        <v>146395P</v>
      </c>
      <c r="B292" s="133" t="s">
        <v>6039</v>
      </c>
      <c r="C292" s="133" t="s">
        <v>6040</v>
      </c>
      <c r="D292" s="133" t="s">
        <v>5504</v>
      </c>
      <c r="E292" s="134"/>
      <c r="F292" s="134">
        <v>2.58</v>
      </c>
      <c r="G292" s="135">
        <v>2.06</v>
      </c>
      <c r="H292" s="133">
        <v>2023</v>
      </c>
      <c r="I292" s="152" t="s">
        <v>5566</v>
      </c>
    </row>
    <row r="293" spans="1:9" ht="18.75" thickBot="1" x14ac:dyDescent="0.3">
      <c r="A293" s="133" t="str">
        <f t="shared" si="4"/>
        <v>013043R</v>
      </c>
      <c r="B293" s="133" t="s">
        <v>6041</v>
      </c>
      <c r="C293" s="133" t="s">
        <v>6042</v>
      </c>
      <c r="D293" s="133" t="s">
        <v>5505</v>
      </c>
      <c r="E293" s="134"/>
      <c r="F293" s="134">
        <v>1.33</v>
      </c>
      <c r="G293" s="135">
        <v>1.06</v>
      </c>
      <c r="H293" s="133">
        <v>2015</v>
      </c>
      <c r="I293" s="152" t="s">
        <v>5615</v>
      </c>
    </row>
    <row r="294" spans="1:9" ht="18.75" thickBot="1" x14ac:dyDescent="0.3">
      <c r="A294" s="133" t="str">
        <f t="shared" si="4"/>
        <v>136703V</v>
      </c>
      <c r="B294" s="133" t="s">
        <v>7194</v>
      </c>
      <c r="C294" s="133" t="s">
        <v>7195</v>
      </c>
      <c r="D294" s="133" t="s">
        <v>5505</v>
      </c>
      <c r="E294" s="134"/>
      <c r="F294" s="134">
        <v>1.02</v>
      </c>
      <c r="G294" s="135">
        <v>0.81</v>
      </c>
      <c r="H294" s="133">
        <v>2022</v>
      </c>
      <c r="I294" s="152" t="s">
        <v>5710</v>
      </c>
    </row>
    <row r="295" spans="1:9" ht="18.75" thickBot="1" x14ac:dyDescent="0.3">
      <c r="A295" s="133" t="str">
        <f t="shared" si="4"/>
        <v>148225P</v>
      </c>
      <c r="B295" s="133" t="s">
        <v>7196</v>
      </c>
      <c r="C295" s="133" t="s">
        <v>7197</v>
      </c>
      <c r="D295" s="133" t="s">
        <v>5503</v>
      </c>
      <c r="E295" s="134"/>
      <c r="F295" s="134">
        <v>4.8</v>
      </c>
      <c r="G295" s="135">
        <v>3.84</v>
      </c>
      <c r="H295" s="133">
        <v>2024</v>
      </c>
      <c r="I295" s="152" t="s">
        <v>5710</v>
      </c>
    </row>
    <row r="296" spans="1:9" ht="18.75" thickBot="1" x14ac:dyDescent="0.3">
      <c r="A296" s="133" t="str">
        <f t="shared" si="4"/>
        <v>146704M</v>
      </c>
      <c r="B296" s="133" t="s">
        <v>7689</v>
      </c>
      <c r="C296" s="133" t="s">
        <v>7690</v>
      </c>
      <c r="D296" s="133" t="s">
        <v>7537</v>
      </c>
      <c r="E296" s="134"/>
      <c r="F296" s="134">
        <v>0.36</v>
      </c>
      <c r="G296" s="135">
        <v>0.28000000000000003</v>
      </c>
      <c r="H296" s="133">
        <v>2017</v>
      </c>
      <c r="I296" s="152" t="s">
        <v>5553</v>
      </c>
    </row>
    <row r="297" spans="1:9" ht="18.75" thickBot="1" x14ac:dyDescent="0.3">
      <c r="A297" s="133" t="str">
        <f t="shared" si="4"/>
        <v>113925T</v>
      </c>
      <c r="B297" s="133" t="s">
        <v>7198</v>
      </c>
      <c r="C297" s="133" t="s">
        <v>7199</v>
      </c>
      <c r="D297" s="133" t="s">
        <v>5503</v>
      </c>
      <c r="E297" s="134"/>
      <c r="F297" s="134">
        <v>5.13</v>
      </c>
      <c r="G297" s="135">
        <v>4.0999999999999996</v>
      </c>
      <c r="H297" s="133">
        <v>2016</v>
      </c>
      <c r="I297" s="152" t="s">
        <v>5615</v>
      </c>
    </row>
    <row r="298" spans="1:9" ht="18.75" thickBot="1" x14ac:dyDescent="0.3">
      <c r="A298" s="133" t="str">
        <f t="shared" si="4"/>
        <v>134792I</v>
      </c>
      <c r="B298" s="133" t="s">
        <v>6051</v>
      </c>
      <c r="C298" s="133" t="s">
        <v>6052</v>
      </c>
      <c r="D298" s="133" t="s">
        <v>5505</v>
      </c>
      <c r="E298" s="134"/>
      <c r="F298" s="134">
        <v>1.24</v>
      </c>
      <c r="G298" s="135">
        <v>0.99</v>
      </c>
      <c r="H298" s="133">
        <v>2022</v>
      </c>
      <c r="I298" s="152" t="s">
        <v>5895</v>
      </c>
    </row>
    <row r="299" spans="1:9" ht="18.75" thickBot="1" x14ac:dyDescent="0.3">
      <c r="A299" s="133" t="str">
        <f t="shared" si="4"/>
        <v>143830Y</v>
      </c>
      <c r="B299" s="133" t="s">
        <v>7691</v>
      </c>
      <c r="C299" s="133" t="s">
        <v>7692</v>
      </c>
      <c r="D299" s="133" t="s">
        <v>7537</v>
      </c>
      <c r="E299" s="134"/>
      <c r="F299" s="134">
        <v>0.48</v>
      </c>
      <c r="G299" s="135">
        <v>0.38</v>
      </c>
      <c r="H299" s="133">
        <v>2013</v>
      </c>
      <c r="I299" s="152" t="s">
        <v>5582</v>
      </c>
    </row>
    <row r="300" spans="1:9" ht="18.75" thickBot="1" x14ac:dyDescent="0.3">
      <c r="A300" s="133" t="str">
        <f t="shared" si="4"/>
        <v>013058G</v>
      </c>
      <c r="B300" s="133" t="s">
        <v>6053</v>
      </c>
      <c r="C300" s="133" t="s">
        <v>6054</v>
      </c>
      <c r="D300" s="133" t="s">
        <v>26</v>
      </c>
      <c r="E300" s="134"/>
      <c r="F300" s="134">
        <v>7.65</v>
      </c>
      <c r="G300" s="135">
        <v>6.12</v>
      </c>
      <c r="H300" s="133">
        <v>2024</v>
      </c>
      <c r="I300" s="152" t="s">
        <v>5566</v>
      </c>
    </row>
    <row r="301" spans="1:9" ht="18.75" thickBot="1" x14ac:dyDescent="0.3">
      <c r="A301" s="133" t="str">
        <f t="shared" si="4"/>
        <v>172629Q</v>
      </c>
      <c r="B301" s="133" t="s">
        <v>6064</v>
      </c>
      <c r="C301" s="133" t="s">
        <v>6065</v>
      </c>
      <c r="D301" s="133" t="s">
        <v>5505</v>
      </c>
      <c r="E301" s="134"/>
      <c r="F301" s="134">
        <v>1.2</v>
      </c>
      <c r="G301" s="135">
        <v>0.96</v>
      </c>
      <c r="H301" s="133">
        <v>2024</v>
      </c>
      <c r="I301" s="152" t="s">
        <v>5726</v>
      </c>
    </row>
    <row r="302" spans="1:9" ht="18.75" thickBot="1" x14ac:dyDescent="0.3">
      <c r="A302" s="133" t="str">
        <f t="shared" si="4"/>
        <v>154486V</v>
      </c>
      <c r="B302" s="133" t="s">
        <v>7693</v>
      </c>
      <c r="C302" s="133" t="s">
        <v>7694</v>
      </c>
      <c r="D302" s="133" t="s">
        <v>5504</v>
      </c>
      <c r="E302" s="134"/>
      <c r="F302" s="134">
        <v>3.27</v>
      </c>
      <c r="G302" s="135">
        <v>2.62</v>
      </c>
      <c r="H302" s="133">
        <v>2017</v>
      </c>
      <c r="I302" s="152" t="s">
        <v>5895</v>
      </c>
    </row>
    <row r="303" spans="1:9" ht="18.75" thickBot="1" x14ac:dyDescent="0.3">
      <c r="A303" s="133" t="str">
        <f t="shared" si="4"/>
        <v>149552G</v>
      </c>
      <c r="B303" s="133" t="s">
        <v>7695</v>
      </c>
      <c r="C303" s="133" t="s">
        <v>7696</v>
      </c>
      <c r="D303" s="133" t="s">
        <v>7537</v>
      </c>
      <c r="E303" s="134"/>
      <c r="F303" s="134">
        <v>0.69</v>
      </c>
      <c r="G303" s="135">
        <v>0.55000000000000004</v>
      </c>
      <c r="H303" s="133">
        <v>2015</v>
      </c>
      <c r="I303" s="152" t="s">
        <v>5657</v>
      </c>
    </row>
    <row r="304" spans="1:9" ht="18.75" thickBot="1" x14ac:dyDescent="0.3">
      <c r="A304" s="133" t="str">
        <f t="shared" si="4"/>
        <v>013068Q</v>
      </c>
      <c r="B304" s="133" t="s">
        <v>7533</v>
      </c>
      <c r="C304" s="133" t="s">
        <v>7534</v>
      </c>
      <c r="D304" s="133" t="s">
        <v>5504</v>
      </c>
      <c r="E304" s="134"/>
      <c r="F304" s="134">
        <v>3.82</v>
      </c>
      <c r="G304" s="135">
        <v>3.05</v>
      </c>
      <c r="H304" s="133">
        <v>2024</v>
      </c>
      <c r="I304" s="152" t="s">
        <v>5553</v>
      </c>
    </row>
    <row r="305" spans="1:9" ht="18.75" thickBot="1" x14ac:dyDescent="0.3">
      <c r="A305" s="133" t="str">
        <f t="shared" si="4"/>
        <v>144859N</v>
      </c>
      <c r="B305" s="133" t="s">
        <v>7697</v>
      </c>
      <c r="C305" s="133" t="s">
        <v>7698</v>
      </c>
      <c r="D305" s="133" t="s">
        <v>7537</v>
      </c>
      <c r="E305" s="134"/>
      <c r="F305" s="134">
        <v>0.69</v>
      </c>
      <c r="G305" s="135">
        <v>0.55000000000000004</v>
      </c>
      <c r="H305" s="133">
        <v>2012</v>
      </c>
      <c r="I305" s="152" t="s">
        <v>5735</v>
      </c>
    </row>
    <row r="306" spans="1:9" ht="18.75" thickBot="1" x14ac:dyDescent="0.3">
      <c r="A306" s="133" t="str">
        <f t="shared" si="4"/>
        <v>013071T</v>
      </c>
      <c r="B306" s="133" t="s">
        <v>7200</v>
      </c>
      <c r="C306" s="133" t="s">
        <v>7201</v>
      </c>
      <c r="D306" s="133" t="s">
        <v>5505</v>
      </c>
      <c r="E306" s="134"/>
      <c r="F306" s="134">
        <v>1.85</v>
      </c>
      <c r="G306" s="135">
        <v>1.48</v>
      </c>
      <c r="H306" s="133">
        <v>2012</v>
      </c>
      <c r="I306" s="152" t="s">
        <v>5678</v>
      </c>
    </row>
    <row r="307" spans="1:9" ht="18.75" thickBot="1" x14ac:dyDescent="0.3">
      <c r="A307" s="133" t="str">
        <f t="shared" si="4"/>
        <v>126916K</v>
      </c>
      <c r="B307" s="133" t="s">
        <v>6066</v>
      </c>
      <c r="C307" s="133" t="s">
        <v>6067</v>
      </c>
      <c r="D307" s="133" t="s">
        <v>5505</v>
      </c>
      <c r="E307" s="134"/>
      <c r="F307" s="134">
        <v>1.74</v>
      </c>
      <c r="G307" s="135">
        <v>1.39</v>
      </c>
      <c r="H307" s="133">
        <v>2009</v>
      </c>
      <c r="I307" s="152" t="s">
        <v>5639</v>
      </c>
    </row>
    <row r="308" spans="1:9" ht="18.75" thickBot="1" x14ac:dyDescent="0.3">
      <c r="A308" s="133" t="str">
        <f t="shared" si="4"/>
        <v>013077Z</v>
      </c>
      <c r="B308" s="133" t="s">
        <v>6068</v>
      </c>
      <c r="C308" s="133" t="s">
        <v>6069</v>
      </c>
      <c r="D308" s="133" t="s">
        <v>5505</v>
      </c>
      <c r="E308" s="134"/>
      <c r="F308" s="134">
        <v>1.84</v>
      </c>
      <c r="G308" s="135">
        <v>1.47</v>
      </c>
      <c r="H308" s="133">
        <v>2023</v>
      </c>
      <c r="I308" s="152" t="s">
        <v>5639</v>
      </c>
    </row>
    <row r="309" spans="1:9" ht="18.75" thickBot="1" x14ac:dyDescent="0.3">
      <c r="A309" s="133" t="str">
        <f t="shared" si="4"/>
        <v>108071P</v>
      </c>
      <c r="B309" s="133" t="s">
        <v>6070</v>
      </c>
      <c r="C309" s="133" t="s">
        <v>6071</v>
      </c>
      <c r="D309" s="133" t="s">
        <v>5504</v>
      </c>
      <c r="E309" s="134"/>
      <c r="F309" s="134">
        <v>2.78</v>
      </c>
      <c r="G309" s="135">
        <v>2.23</v>
      </c>
      <c r="H309" s="133">
        <v>2014</v>
      </c>
      <c r="I309" s="152" t="s">
        <v>5787</v>
      </c>
    </row>
    <row r="310" spans="1:9" ht="18.75" thickBot="1" x14ac:dyDescent="0.3">
      <c r="A310" s="133" t="str">
        <f t="shared" si="4"/>
        <v>113682K</v>
      </c>
      <c r="B310" s="133" t="s">
        <v>7699</v>
      </c>
      <c r="C310" s="133" t="s">
        <v>7700</v>
      </c>
      <c r="D310" s="133" t="s">
        <v>7537</v>
      </c>
      <c r="E310" s="134"/>
      <c r="F310" s="134">
        <v>1</v>
      </c>
      <c r="G310" s="135">
        <v>0.8</v>
      </c>
      <c r="H310" s="133">
        <v>2011</v>
      </c>
      <c r="I310" s="152" t="s">
        <v>5895</v>
      </c>
    </row>
    <row r="311" spans="1:9" ht="18.75" thickBot="1" x14ac:dyDescent="0.3">
      <c r="A311" s="133" t="str">
        <f t="shared" si="4"/>
        <v>166960D</v>
      </c>
      <c r="B311" s="133" t="s">
        <v>7701</v>
      </c>
      <c r="C311" s="133" t="s">
        <v>7702</v>
      </c>
      <c r="D311" s="133" t="s">
        <v>7537</v>
      </c>
      <c r="E311" s="134"/>
      <c r="F311" s="134">
        <v>0.53</v>
      </c>
      <c r="G311" s="135">
        <v>0.43</v>
      </c>
      <c r="H311" s="133">
        <v>2020</v>
      </c>
      <c r="I311" s="152" t="s">
        <v>5895</v>
      </c>
    </row>
    <row r="312" spans="1:9" ht="18.75" thickBot="1" x14ac:dyDescent="0.3">
      <c r="A312" s="133" t="str">
        <f t="shared" si="4"/>
        <v>148066R</v>
      </c>
      <c r="B312" s="133" t="s">
        <v>6075</v>
      </c>
      <c r="C312" s="133" t="s">
        <v>6076</v>
      </c>
      <c r="D312" s="133" t="s">
        <v>7537</v>
      </c>
      <c r="E312" s="134"/>
      <c r="F312" s="134">
        <v>0.67</v>
      </c>
      <c r="G312" s="135">
        <v>0.53</v>
      </c>
      <c r="H312" s="133">
        <v>2024</v>
      </c>
      <c r="I312" s="152" t="s">
        <v>5563</v>
      </c>
    </row>
    <row r="313" spans="1:9" ht="18.75" thickBot="1" x14ac:dyDescent="0.3">
      <c r="A313" s="133" t="str">
        <f t="shared" si="4"/>
        <v>013082E</v>
      </c>
      <c r="B313" s="133" t="s">
        <v>6077</v>
      </c>
      <c r="C313" s="133" t="s">
        <v>6078</v>
      </c>
      <c r="D313" s="133" t="s">
        <v>5503</v>
      </c>
      <c r="E313" s="134"/>
      <c r="F313" s="134">
        <v>3.91</v>
      </c>
      <c r="G313" s="135">
        <v>3.13</v>
      </c>
      <c r="H313" s="133">
        <v>2013</v>
      </c>
      <c r="I313" s="152" t="s">
        <v>5710</v>
      </c>
    </row>
    <row r="314" spans="1:9" ht="18.75" thickBot="1" x14ac:dyDescent="0.3">
      <c r="A314" s="133" t="str">
        <f t="shared" si="4"/>
        <v>106022U</v>
      </c>
      <c r="B314" s="133" t="s">
        <v>6082</v>
      </c>
      <c r="C314" s="133" t="s">
        <v>6083</v>
      </c>
      <c r="D314" s="133" t="s">
        <v>24</v>
      </c>
      <c r="E314" s="134"/>
      <c r="F314" s="134" t="s">
        <v>5552</v>
      </c>
      <c r="G314" s="135">
        <v>6.5</v>
      </c>
      <c r="H314" s="133">
        <v>2019</v>
      </c>
      <c r="I314" s="152" t="s">
        <v>5625</v>
      </c>
    </row>
    <row r="315" spans="1:9" ht="18.75" thickBot="1" x14ac:dyDescent="0.3">
      <c r="A315" s="133" t="str">
        <f t="shared" si="4"/>
        <v>013087J</v>
      </c>
      <c r="B315" s="133" t="s">
        <v>6084</v>
      </c>
      <c r="C315" s="133" t="s">
        <v>6085</v>
      </c>
      <c r="D315" s="133" t="s">
        <v>5505</v>
      </c>
      <c r="E315" s="134"/>
      <c r="F315" s="134">
        <v>1.66</v>
      </c>
      <c r="G315" s="135">
        <v>1.33</v>
      </c>
      <c r="H315" s="133">
        <v>2010</v>
      </c>
      <c r="I315" s="152" t="s">
        <v>5635</v>
      </c>
    </row>
    <row r="316" spans="1:9" ht="18.75" thickBot="1" x14ac:dyDescent="0.3">
      <c r="A316" s="133" t="str">
        <f t="shared" si="4"/>
        <v>113492C</v>
      </c>
      <c r="B316" s="133" t="s">
        <v>7703</v>
      </c>
      <c r="C316" s="133" t="s">
        <v>7704</v>
      </c>
      <c r="D316" s="133" t="s">
        <v>7537</v>
      </c>
      <c r="E316" s="134"/>
      <c r="F316" s="134">
        <v>0.95</v>
      </c>
      <c r="G316" s="135">
        <v>0.76</v>
      </c>
      <c r="H316" s="133">
        <v>2024</v>
      </c>
      <c r="I316" s="152" t="s">
        <v>5710</v>
      </c>
    </row>
    <row r="317" spans="1:9" ht="18.75" thickBot="1" x14ac:dyDescent="0.3">
      <c r="A317" s="133" t="str">
        <f t="shared" si="4"/>
        <v>111136M</v>
      </c>
      <c r="B317" s="133" t="s">
        <v>6086</v>
      </c>
      <c r="C317" s="133" t="s">
        <v>6087</v>
      </c>
      <c r="D317" s="133" t="s">
        <v>5505</v>
      </c>
      <c r="E317" s="134"/>
      <c r="F317" s="134">
        <v>1.74</v>
      </c>
      <c r="G317" s="135">
        <v>1.39</v>
      </c>
      <c r="H317" s="133">
        <v>2012</v>
      </c>
      <c r="I317" s="152" t="s">
        <v>5678</v>
      </c>
    </row>
    <row r="318" spans="1:9" ht="18.75" thickBot="1" x14ac:dyDescent="0.3">
      <c r="A318" s="133" t="str">
        <f t="shared" si="4"/>
        <v>113683L</v>
      </c>
      <c r="B318" s="133" t="s">
        <v>7202</v>
      </c>
      <c r="C318" s="133" t="s">
        <v>7203</v>
      </c>
      <c r="D318" s="133" t="s">
        <v>5503</v>
      </c>
      <c r="E318" s="134"/>
      <c r="F318" s="134">
        <v>5.35</v>
      </c>
      <c r="G318" s="135">
        <v>4.28</v>
      </c>
      <c r="H318" s="133">
        <v>2024</v>
      </c>
      <c r="I318" s="152" t="s">
        <v>5895</v>
      </c>
    </row>
    <row r="319" spans="1:9" ht="18.75" thickBot="1" x14ac:dyDescent="0.3">
      <c r="A319" s="133" t="str">
        <f t="shared" si="4"/>
        <v>127371X</v>
      </c>
      <c r="B319" s="133" t="s">
        <v>7705</v>
      </c>
      <c r="C319" s="133" t="s">
        <v>7706</v>
      </c>
      <c r="D319" s="133" t="s">
        <v>7537</v>
      </c>
      <c r="E319" s="134"/>
      <c r="F319" s="134">
        <v>0.76</v>
      </c>
      <c r="G319" s="135">
        <v>0.61</v>
      </c>
      <c r="H319" s="133">
        <v>2008</v>
      </c>
      <c r="I319" s="152" t="s">
        <v>5895</v>
      </c>
    </row>
    <row r="320" spans="1:9" ht="18.75" thickBot="1" x14ac:dyDescent="0.3">
      <c r="A320" s="133" t="str">
        <f t="shared" si="4"/>
        <v>013102Y</v>
      </c>
      <c r="B320" s="133" t="s">
        <v>7707</v>
      </c>
      <c r="C320" s="133" t="s">
        <v>7708</v>
      </c>
      <c r="D320" s="133" t="s">
        <v>7537</v>
      </c>
      <c r="E320" s="134"/>
      <c r="F320" s="134">
        <v>1.1100000000000001</v>
      </c>
      <c r="G320" s="135">
        <v>0.89</v>
      </c>
      <c r="H320" s="133">
        <v>2009</v>
      </c>
      <c r="I320" s="152" t="s">
        <v>5895</v>
      </c>
    </row>
    <row r="321" spans="1:9" ht="18.75" thickBot="1" x14ac:dyDescent="0.3">
      <c r="A321" s="133" t="str">
        <f t="shared" si="4"/>
        <v>130149T</v>
      </c>
      <c r="B321" s="133" t="s">
        <v>7204</v>
      </c>
      <c r="C321" s="133" t="s">
        <v>7205</v>
      </c>
      <c r="D321" s="133" t="s">
        <v>7537</v>
      </c>
      <c r="E321" s="134"/>
      <c r="F321" s="134">
        <v>1.06</v>
      </c>
      <c r="G321" s="135">
        <v>0.85</v>
      </c>
      <c r="H321" s="133">
        <v>2015</v>
      </c>
      <c r="I321" s="152" t="s">
        <v>5587</v>
      </c>
    </row>
    <row r="322" spans="1:9" ht="18.75" thickBot="1" x14ac:dyDescent="0.3">
      <c r="A322" s="133" t="str">
        <f t="shared" ref="A322:A385" si="5">SUBSTITUTE(B322,CHAR(32),"")</f>
        <v>120708Q</v>
      </c>
      <c r="B322" s="133" t="s">
        <v>6090</v>
      </c>
      <c r="C322" s="133" t="s">
        <v>6091</v>
      </c>
      <c r="D322" s="133" t="s">
        <v>5505</v>
      </c>
      <c r="E322" s="134"/>
      <c r="F322" s="134">
        <v>1.32</v>
      </c>
      <c r="G322" s="135">
        <v>1.06</v>
      </c>
      <c r="H322" s="133">
        <v>2014</v>
      </c>
      <c r="I322" s="152" t="s">
        <v>5639</v>
      </c>
    </row>
    <row r="323" spans="1:9" ht="18.75" thickBot="1" x14ac:dyDescent="0.3">
      <c r="A323" s="133" t="str">
        <f t="shared" si="5"/>
        <v>165924C</v>
      </c>
      <c r="B323" s="133" t="s">
        <v>7709</v>
      </c>
      <c r="C323" s="133" t="s">
        <v>7710</v>
      </c>
      <c r="D323" s="133" t="s">
        <v>5505</v>
      </c>
      <c r="E323" s="134"/>
      <c r="F323" s="134">
        <v>1.5</v>
      </c>
      <c r="G323" s="135">
        <v>1.2</v>
      </c>
      <c r="H323" s="133">
        <v>2024</v>
      </c>
      <c r="I323" s="152" t="s">
        <v>5566</v>
      </c>
    </row>
    <row r="324" spans="1:9" ht="18.75" thickBot="1" x14ac:dyDescent="0.3">
      <c r="A324" s="133" t="str">
        <f t="shared" si="5"/>
        <v>113921P</v>
      </c>
      <c r="B324" s="133" t="s">
        <v>6092</v>
      </c>
      <c r="C324" s="133" t="s">
        <v>6093</v>
      </c>
      <c r="D324" s="133" t="s">
        <v>26</v>
      </c>
      <c r="E324" s="134"/>
      <c r="F324" s="134">
        <v>6.73</v>
      </c>
      <c r="G324" s="135">
        <v>5.38</v>
      </c>
      <c r="H324" s="133">
        <v>2020</v>
      </c>
      <c r="I324" s="152" t="s">
        <v>5615</v>
      </c>
    </row>
    <row r="325" spans="1:9" ht="18.75" thickBot="1" x14ac:dyDescent="0.3">
      <c r="A325" s="133" t="str">
        <f t="shared" si="5"/>
        <v>143225R</v>
      </c>
      <c r="B325" s="133" t="s">
        <v>6098</v>
      </c>
      <c r="C325" s="133" t="s">
        <v>6099</v>
      </c>
      <c r="D325" s="133" t="s">
        <v>7537</v>
      </c>
      <c r="E325" s="134"/>
      <c r="F325" s="134">
        <v>1.07</v>
      </c>
      <c r="G325" s="135">
        <v>0.86</v>
      </c>
      <c r="H325" s="133">
        <v>2013</v>
      </c>
      <c r="I325" s="152" t="s">
        <v>5608</v>
      </c>
    </row>
    <row r="326" spans="1:9" ht="18.75" thickBot="1" x14ac:dyDescent="0.3">
      <c r="A326" s="133" t="str">
        <f t="shared" si="5"/>
        <v>013110G</v>
      </c>
      <c r="B326" s="133" t="s">
        <v>6100</v>
      </c>
      <c r="C326" s="133" t="s">
        <v>6101</v>
      </c>
      <c r="D326" s="133" t="s">
        <v>5504</v>
      </c>
      <c r="E326" s="134"/>
      <c r="F326" s="134">
        <v>2.3199999999999998</v>
      </c>
      <c r="G326" s="135">
        <v>1.85</v>
      </c>
      <c r="H326" s="133">
        <v>2012</v>
      </c>
      <c r="I326" s="152" t="s">
        <v>5651</v>
      </c>
    </row>
    <row r="327" spans="1:9" ht="18.75" thickBot="1" x14ac:dyDescent="0.3">
      <c r="A327" s="133" t="str">
        <f t="shared" si="5"/>
        <v>156543F</v>
      </c>
      <c r="B327" s="133" t="s">
        <v>6102</v>
      </c>
      <c r="C327" s="133" t="s">
        <v>6103</v>
      </c>
      <c r="D327" s="133" t="s">
        <v>5504</v>
      </c>
      <c r="E327" s="134"/>
      <c r="F327" s="134">
        <v>2.23</v>
      </c>
      <c r="G327" s="135">
        <v>1.78</v>
      </c>
      <c r="H327" s="133">
        <v>2023</v>
      </c>
      <c r="I327" s="152" t="s">
        <v>5559</v>
      </c>
    </row>
    <row r="328" spans="1:9" ht="18.75" thickBot="1" x14ac:dyDescent="0.3">
      <c r="A328" s="133" t="str">
        <f t="shared" si="5"/>
        <v>013113J</v>
      </c>
      <c r="B328" s="133" t="s">
        <v>6104</v>
      </c>
      <c r="C328" s="133" t="s">
        <v>6105</v>
      </c>
      <c r="D328" s="133" t="s">
        <v>24</v>
      </c>
      <c r="E328" s="134"/>
      <c r="F328" s="134" t="s">
        <v>5552</v>
      </c>
      <c r="G328" s="135">
        <v>11.3</v>
      </c>
      <c r="H328" s="133">
        <v>2014</v>
      </c>
      <c r="I328" s="152" t="s">
        <v>5792</v>
      </c>
    </row>
    <row r="329" spans="1:9" ht="18.75" thickBot="1" x14ac:dyDescent="0.3">
      <c r="A329" s="133" t="str">
        <f t="shared" si="5"/>
        <v>162883X</v>
      </c>
      <c r="B329" s="133" t="s">
        <v>7711</v>
      </c>
      <c r="C329" s="133" t="s">
        <v>7712</v>
      </c>
      <c r="D329" s="133" t="s">
        <v>7537</v>
      </c>
      <c r="E329" s="134"/>
      <c r="F329" s="134">
        <v>0.75</v>
      </c>
      <c r="G329" s="135">
        <v>0.6</v>
      </c>
      <c r="H329" s="133">
        <v>2019</v>
      </c>
      <c r="I329" s="152" t="s">
        <v>5553</v>
      </c>
    </row>
    <row r="330" spans="1:9" ht="18.75" thickBot="1" x14ac:dyDescent="0.3">
      <c r="A330" s="133" t="str">
        <f t="shared" si="5"/>
        <v>013118O</v>
      </c>
      <c r="B330" s="133" t="s">
        <v>6108</v>
      </c>
      <c r="C330" s="133" t="s">
        <v>6109</v>
      </c>
      <c r="D330" s="133" t="s">
        <v>5503</v>
      </c>
      <c r="E330" s="134"/>
      <c r="F330" s="134">
        <v>4.8499999999999996</v>
      </c>
      <c r="G330" s="135">
        <v>3.88</v>
      </c>
      <c r="H330" s="133">
        <v>2017</v>
      </c>
      <c r="I330" s="152" t="s">
        <v>5630</v>
      </c>
    </row>
    <row r="331" spans="1:9" ht="18.75" thickBot="1" x14ac:dyDescent="0.3">
      <c r="A331" s="133" t="str">
        <f t="shared" si="5"/>
        <v>013119P</v>
      </c>
      <c r="B331" s="133" t="s">
        <v>8530</v>
      </c>
      <c r="C331" s="133" t="s">
        <v>6109</v>
      </c>
      <c r="D331" s="133" t="s">
        <v>5503</v>
      </c>
      <c r="E331" s="134"/>
      <c r="F331" s="134">
        <v>4.9800000000000004</v>
      </c>
      <c r="G331" s="135">
        <v>3.98</v>
      </c>
      <c r="H331" s="133">
        <v>2013</v>
      </c>
      <c r="I331" s="152" t="s">
        <v>5657</v>
      </c>
    </row>
    <row r="332" spans="1:9" ht="18.75" thickBot="1" x14ac:dyDescent="0.3">
      <c r="A332" s="133" t="str">
        <f t="shared" si="5"/>
        <v>020751D</v>
      </c>
      <c r="B332" s="133" t="s">
        <v>6110</v>
      </c>
      <c r="C332" s="133" t="s">
        <v>6109</v>
      </c>
      <c r="D332" s="133" t="s">
        <v>5504</v>
      </c>
      <c r="E332" s="134"/>
      <c r="F332" s="134">
        <v>3.34</v>
      </c>
      <c r="G332" s="135">
        <v>2.67</v>
      </c>
      <c r="H332" s="133">
        <v>2024</v>
      </c>
      <c r="I332" s="152" t="s">
        <v>5553</v>
      </c>
    </row>
    <row r="333" spans="1:9" ht="18.75" thickBot="1" x14ac:dyDescent="0.3">
      <c r="A333" s="133" t="str">
        <f t="shared" si="5"/>
        <v>171040N</v>
      </c>
      <c r="B333" s="133" t="s">
        <v>6111</v>
      </c>
      <c r="C333" s="133" t="s">
        <v>6112</v>
      </c>
      <c r="D333" s="133" t="s">
        <v>5505</v>
      </c>
      <c r="E333" s="134"/>
      <c r="F333" s="134">
        <v>1.36</v>
      </c>
      <c r="G333" s="135">
        <v>1.0900000000000001</v>
      </c>
      <c r="H333" s="133">
        <v>2023</v>
      </c>
      <c r="I333" s="152" t="s">
        <v>5573</v>
      </c>
    </row>
    <row r="334" spans="1:9" ht="18.75" thickBot="1" x14ac:dyDescent="0.3">
      <c r="A334" s="133" t="str">
        <f t="shared" si="5"/>
        <v>103334K</v>
      </c>
      <c r="B334" s="133" t="s">
        <v>6113</v>
      </c>
      <c r="C334" s="133" t="s">
        <v>6114</v>
      </c>
      <c r="D334" s="133" t="s">
        <v>5503</v>
      </c>
      <c r="E334" s="134"/>
      <c r="F334" s="134">
        <v>3.15</v>
      </c>
      <c r="G334" s="135">
        <v>2.52</v>
      </c>
      <c r="H334" s="133">
        <v>2020</v>
      </c>
      <c r="I334" s="152" t="s">
        <v>8513</v>
      </c>
    </row>
    <row r="335" spans="1:9" ht="18.75" thickBot="1" x14ac:dyDescent="0.3">
      <c r="A335" s="133" t="str">
        <f t="shared" si="5"/>
        <v>183023N</v>
      </c>
      <c r="B335" s="133" t="s">
        <v>8531</v>
      </c>
      <c r="C335" s="133" t="s">
        <v>8532</v>
      </c>
      <c r="D335" s="133" t="s">
        <v>7560</v>
      </c>
      <c r="E335" s="134"/>
      <c r="F335" s="134">
        <v>0.69</v>
      </c>
      <c r="G335" s="135">
        <v>0.55000000000000004</v>
      </c>
      <c r="H335" s="133">
        <v>2024</v>
      </c>
      <c r="I335" s="152" t="s">
        <v>5563</v>
      </c>
    </row>
    <row r="336" spans="1:9" ht="18.75" thickBot="1" x14ac:dyDescent="0.3">
      <c r="A336" s="133" t="str">
        <f t="shared" si="5"/>
        <v>013122S</v>
      </c>
      <c r="B336" s="133" t="s">
        <v>7513</v>
      </c>
      <c r="C336" s="133" t="s">
        <v>7514</v>
      </c>
      <c r="D336" s="133" t="s">
        <v>5504</v>
      </c>
      <c r="E336" s="134"/>
      <c r="F336" s="134">
        <v>2.63</v>
      </c>
      <c r="G336" s="135">
        <v>2.1</v>
      </c>
      <c r="H336" s="133">
        <v>2011</v>
      </c>
      <c r="I336" s="152" t="s">
        <v>5615</v>
      </c>
    </row>
    <row r="337" spans="1:9" ht="18.75" thickBot="1" x14ac:dyDescent="0.3">
      <c r="A337" s="133" t="str">
        <f t="shared" si="5"/>
        <v>156245G</v>
      </c>
      <c r="B337" s="133" t="s">
        <v>7713</v>
      </c>
      <c r="C337" s="133" t="s">
        <v>7714</v>
      </c>
      <c r="D337" s="133" t="s">
        <v>7537</v>
      </c>
      <c r="E337" s="134"/>
      <c r="F337" s="134">
        <v>1.1000000000000001</v>
      </c>
      <c r="G337" s="135">
        <v>0.88</v>
      </c>
      <c r="H337" s="133">
        <v>2024</v>
      </c>
      <c r="I337" s="152" t="s">
        <v>5671</v>
      </c>
    </row>
    <row r="338" spans="1:9" ht="18.75" thickBot="1" x14ac:dyDescent="0.3">
      <c r="A338" s="133" t="str">
        <f t="shared" si="5"/>
        <v>013126W</v>
      </c>
      <c r="B338" s="133" t="s">
        <v>6115</v>
      </c>
      <c r="C338" s="133" t="s">
        <v>6116</v>
      </c>
      <c r="D338" s="133" t="s">
        <v>5597</v>
      </c>
      <c r="E338" s="134"/>
      <c r="F338" s="134">
        <v>2.83</v>
      </c>
      <c r="G338" s="135">
        <v>2.2599999999999998</v>
      </c>
      <c r="H338" s="133">
        <v>2024</v>
      </c>
      <c r="I338" s="152" t="s">
        <v>5744</v>
      </c>
    </row>
    <row r="339" spans="1:9" ht="18.75" thickBot="1" x14ac:dyDescent="0.3">
      <c r="A339" s="133" t="str">
        <f t="shared" si="5"/>
        <v>153995L</v>
      </c>
      <c r="B339" s="133" t="s">
        <v>8533</v>
      </c>
      <c r="C339" s="133" t="s">
        <v>8534</v>
      </c>
      <c r="D339" s="133" t="s">
        <v>7537</v>
      </c>
      <c r="E339" s="134"/>
      <c r="F339" s="134">
        <v>1.05</v>
      </c>
      <c r="G339" s="135">
        <v>0.84</v>
      </c>
      <c r="H339" s="133">
        <v>2024</v>
      </c>
      <c r="I339" s="152" t="s">
        <v>5705</v>
      </c>
    </row>
    <row r="340" spans="1:9" ht="18.75" thickBot="1" x14ac:dyDescent="0.3">
      <c r="A340" s="133" t="str">
        <f t="shared" si="5"/>
        <v>126908C</v>
      </c>
      <c r="B340" s="133" t="s">
        <v>6119</v>
      </c>
      <c r="C340" s="133" t="s">
        <v>6120</v>
      </c>
      <c r="D340" s="133" t="s">
        <v>24</v>
      </c>
      <c r="E340" s="134"/>
      <c r="F340" s="134" t="s">
        <v>5552</v>
      </c>
      <c r="G340" s="135">
        <v>9.5</v>
      </c>
      <c r="H340" s="133">
        <v>2019</v>
      </c>
      <c r="I340" s="152" t="s">
        <v>5559</v>
      </c>
    </row>
    <row r="341" spans="1:9" ht="18.75" thickBot="1" x14ac:dyDescent="0.3">
      <c r="A341" s="133" t="str">
        <f t="shared" si="5"/>
        <v>126909D</v>
      </c>
      <c r="B341" s="133" t="s">
        <v>6121</v>
      </c>
      <c r="C341" s="133" t="s">
        <v>6122</v>
      </c>
      <c r="D341" s="133" t="s">
        <v>5504</v>
      </c>
      <c r="E341" s="134"/>
      <c r="F341" s="134">
        <v>3.3</v>
      </c>
      <c r="G341" s="135">
        <v>2.64</v>
      </c>
      <c r="H341" s="133">
        <v>2019</v>
      </c>
      <c r="I341" s="152" t="s">
        <v>5625</v>
      </c>
    </row>
    <row r="342" spans="1:9" ht="18.75" thickBot="1" x14ac:dyDescent="0.3">
      <c r="A342" s="133" t="str">
        <f t="shared" si="5"/>
        <v>139989F</v>
      </c>
      <c r="B342" s="133" t="s">
        <v>7715</v>
      </c>
      <c r="C342" s="133" t="s">
        <v>7716</v>
      </c>
      <c r="D342" s="133" t="s">
        <v>7537</v>
      </c>
      <c r="E342" s="134"/>
      <c r="F342" s="134">
        <v>1.07</v>
      </c>
      <c r="G342" s="135">
        <v>0.86</v>
      </c>
      <c r="H342" s="133">
        <v>2012</v>
      </c>
      <c r="I342" s="152" t="s">
        <v>5573</v>
      </c>
    </row>
    <row r="343" spans="1:9" ht="18.75" thickBot="1" x14ac:dyDescent="0.3">
      <c r="A343" s="133" t="str">
        <f t="shared" si="5"/>
        <v>104154Y</v>
      </c>
      <c r="B343" s="133" t="s">
        <v>6123</v>
      </c>
      <c r="C343" s="133" t="s">
        <v>6124</v>
      </c>
      <c r="D343" s="133" t="s">
        <v>5503</v>
      </c>
      <c r="E343" s="134"/>
      <c r="F343" s="134">
        <v>4.5599999999999996</v>
      </c>
      <c r="G343" s="135">
        <v>3.65</v>
      </c>
      <c r="H343" s="133">
        <v>2020</v>
      </c>
      <c r="I343" s="152" t="s">
        <v>5556</v>
      </c>
    </row>
    <row r="344" spans="1:9" ht="18.75" thickBot="1" x14ac:dyDescent="0.3">
      <c r="A344" s="133" t="str">
        <f t="shared" si="5"/>
        <v>013144O</v>
      </c>
      <c r="B344" s="133" t="s">
        <v>7206</v>
      </c>
      <c r="C344" s="133" t="s">
        <v>7207</v>
      </c>
      <c r="D344" s="133" t="s">
        <v>24</v>
      </c>
      <c r="E344" s="134"/>
      <c r="F344" s="134" t="s">
        <v>5552</v>
      </c>
      <c r="G344" s="135">
        <v>22.32</v>
      </c>
      <c r="H344" s="133">
        <v>2008</v>
      </c>
      <c r="I344" s="152" t="s">
        <v>5678</v>
      </c>
    </row>
    <row r="345" spans="1:9" ht="18.75" thickBot="1" x14ac:dyDescent="0.3">
      <c r="A345" s="133" t="str">
        <f t="shared" si="5"/>
        <v>169253W</v>
      </c>
      <c r="B345" s="133" t="s">
        <v>6125</v>
      </c>
      <c r="C345" s="133" t="s">
        <v>6126</v>
      </c>
      <c r="D345" s="133" t="s">
        <v>5704</v>
      </c>
      <c r="E345" s="134"/>
      <c r="F345" s="134">
        <v>2.3199999999999998</v>
      </c>
      <c r="G345" s="135">
        <v>1.86</v>
      </c>
      <c r="H345" s="133">
        <v>2024</v>
      </c>
      <c r="I345" s="152" t="s">
        <v>5582</v>
      </c>
    </row>
    <row r="346" spans="1:9" ht="18.75" thickBot="1" x14ac:dyDescent="0.3">
      <c r="A346" s="133" t="str">
        <f t="shared" si="5"/>
        <v>135770Y</v>
      </c>
      <c r="B346" s="133" t="s">
        <v>7717</v>
      </c>
      <c r="C346" s="133" t="s">
        <v>7718</v>
      </c>
      <c r="D346" s="133" t="s">
        <v>5505</v>
      </c>
      <c r="E346" s="134"/>
      <c r="F346" s="134">
        <v>1.8</v>
      </c>
      <c r="G346" s="135">
        <v>1.44</v>
      </c>
      <c r="H346" s="133">
        <v>2013</v>
      </c>
      <c r="I346" s="152" t="s">
        <v>5608</v>
      </c>
    </row>
    <row r="347" spans="1:9" ht="18.75" thickBot="1" x14ac:dyDescent="0.3">
      <c r="A347" s="133" t="str">
        <f t="shared" si="5"/>
        <v>142845B</v>
      </c>
      <c r="B347" s="133" t="s">
        <v>6127</v>
      </c>
      <c r="C347" s="133" t="s">
        <v>6128</v>
      </c>
      <c r="D347" s="133" t="s">
        <v>5503</v>
      </c>
      <c r="E347" s="134"/>
      <c r="F347" s="134">
        <v>4.34</v>
      </c>
      <c r="G347" s="135">
        <v>3.47</v>
      </c>
      <c r="H347" s="133">
        <v>2013</v>
      </c>
      <c r="I347" s="152" t="s">
        <v>6081</v>
      </c>
    </row>
    <row r="348" spans="1:9" ht="18.75" thickBot="1" x14ac:dyDescent="0.3">
      <c r="A348" s="133" t="str">
        <f t="shared" si="5"/>
        <v>013150U</v>
      </c>
      <c r="B348" s="133" t="s">
        <v>6131</v>
      </c>
      <c r="C348" s="133" t="s">
        <v>6132</v>
      </c>
      <c r="D348" s="133" t="s">
        <v>5505</v>
      </c>
      <c r="E348" s="134"/>
      <c r="F348" s="134">
        <v>1.87</v>
      </c>
      <c r="G348" s="135">
        <v>1.49</v>
      </c>
      <c r="H348" s="133">
        <v>2013</v>
      </c>
      <c r="I348" s="152" t="s">
        <v>5608</v>
      </c>
    </row>
    <row r="349" spans="1:9" ht="18.75" thickBot="1" x14ac:dyDescent="0.3">
      <c r="A349" s="133" t="str">
        <f t="shared" si="5"/>
        <v>158352X</v>
      </c>
      <c r="B349" s="133" t="s">
        <v>7208</v>
      </c>
      <c r="C349" s="133" t="s">
        <v>7209</v>
      </c>
      <c r="D349" s="133" t="s">
        <v>26</v>
      </c>
      <c r="E349" s="134"/>
      <c r="F349" s="134">
        <v>6.58</v>
      </c>
      <c r="G349" s="135">
        <v>5.27</v>
      </c>
      <c r="H349" s="133">
        <v>2024</v>
      </c>
      <c r="I349" s="152" t="s">
        <v>5563</v>
      </c>
    </row>
    <row r="350" spans="1:9" ht="18.75" thickBot="1" x14ac:dyDescent="0.3">
      <c r="A350" s="133" t="str">
        <f t="shared" si="5"/>
        <v>113877X</v>
      </c>
      <c r="B350" s="133" t="s">
        <v>6138</v>
      </c>
      <c r="C350" s="133" t="s">
        <v>6139</v>
      </c>
      <c r="D350" s="133" t="s">
        <v>5505</v>
      </c>
      <c r="E350" s="134"/>
      <c r="F350" s="134">
        <v>2.11</v>
      </c>
      <c r="G350" s="135">
        <v>1.69</v>
      </c>
      <c r="H350" s="133">
        <v>2024</v>
      </c>
      <c r="I350" s="152" t="s">
        <v>5573</v>
      </c>
    </row>
    <row r="351" spans="1:9" ht="18.75" thickBot="1" x14ac:dyDescent="0.3">
      <c r="A351" s="133" t="str">
        <f t="shared" si="5"/>
        <v>013156A</v>
      </c>
      <c r="B351" s="133" t="s">
        <v>7210</v>
      </c>
      <c r="C351" s="133" t="s">
        <v>7211</v>
      </c>
      <c r="D351" s="133" t="s">
        <v>5597</v>
      </c>
      <c r="E351" s="134"/>
      <c r="F351" s="134">
        <v>4.78</v>
      </c>
      <c r="G351" s="135">
        <v>3.82</v>
      </c>
      <c r="H351" s="133">
        <v>2024</v>
      </c>
      <c r="I351" s="152" t="s">
        <v>5657</v>
      </c>
    </row>
    <row r="352" spans="1:9" ht="18.75" thickBot="1" x14ac:dyDescent="0.3">
      <c r="A352" s="133" t="str">
        <f t="shared" si="5"/>
        <v>152532W</v>
      </c>
      <c r="B352" s="133" t="s">
        <v>6140</v>
      </c>
      <c r="C352" s="133" t="s">
        <v>6141</v>
      </c>
      <c r="D352" s="133" t="s">
        <v>5504</v>
      </c>
      <c r="E352" s="134"/>
      <c r="F352" s="134">
        <v>2.4</v>
      </c>
      <c r="G352" s="135">
        <v>1.92</v>
      </c>
      <c r="H352" s="133">
        <v>2024</v>
      </c>
      <c r="I352" s="152" t="s">
        <v>5573</v>
      </c>
    </row>
    <row r="353" spans="1:9" ht="18.75" thickBot="1" x14ac:dyDescent="0.3">
      <c r="A353" s="133" t="str">
        <f t="shared" si="5"/>
        <v>162952X</v>
      </c>
      <c r="B353" s="133" t="s">
        <v>7719</v>
      </c>
      <c r="C353" s="133" t="s">
        <v>7720</v>
      </c>
      <c r="D353" s="133" t="s">
        <v>7537</v>
      </c>
      <c r="E353" s="134"/>
      <c r="F353" s="134">
        <v>0.55000000000000004</v>
      </c>
      <c r="G353" s="135">
        <v>0.44</v>
      </c>
      <c r="H353" s="133">
        <v>2020</v>
      </c>
      <c r="I353" s="152" t="s">
        <v>5566</v>
      </c>
    </row>
    <row r="354" spans="1:9" ht="18.75" thickBot="1" x14ac:dyDescent="0.3">
      <c r="A354" s="133" t="str">
        <f t="shared" si="5"/>
        <v>155958V</v>
      </c>
      <c r="B354" s="133" t="s">
        <v>7212</v>
      </c>
      <c r="C354" s="133" t="s">
        <v>7213</v>
      </c>
      <c r="D354" s="133" t="s">
        <v>7537</v>
      </c>
      <c r="E354" s="134"/>
      <c r="F354" s="134">
        <v>1.06</v>
      </c>
      <c r="G354" s="135">
        <v>0.84</v>
      </c>
      <c r="H354" s="133">
        <v>2022</v>
      </c>
      <c r="I354" s="152" t="s">
        <v>5566</v>
      </c>
    </row>
    <row r="355" spans="1:9" ht="18.75" thickBot="1" x14ac:dyDescent="0.3">
      <c r="A355" s="133" t="str">
        <f t="shared" si="5"/>
        <v>155959W</v>
      </c>
      <c r="B355" s="133" t="s">
        <v>7721</v>
      </c>
      <c r="C355" s="133" t="s">
        <v>7722</v>
      </c>
      <c r="D355" s="133" t="s">
        <v>7537</v>
      </c>
      <c r="E355" s="134"/>
      <c r="F355" s="134">
        <v>0.86</v>
      </c>
      <c r="G355" s="135">
        <v>0.69</v>
      </c>
      <c r="H355" s="133">
        <v>2023</v>
      </c>
      <c r="I355" s="152" t="s">
        <v>5566</v>
      </c>
    </row>
    <row r="356" spans="1:9" ht="18.75" thickBot="1" x14ac:dyDescent="0.3">
      <c r="A356" s="133" t="str">
        <f t="shared" si="5"/>
        <v>169084M</v>
      </c>
      <c r="B356" s="133" t="s">
        <v>8535</v>
      </c>
      <c r="C356" s="133" t="s">
        <v>8536</v>
      </c>
      <c r="D356" s="133" t="s">
        <v>7560</v>
      </c>
      <c r="E356" s="134"/>
      <c r="F356" s="134">
        <v>0.7</v>
      </c>
      <c r="G356" s="135">
        <v>0.56000000000000005</v>
      </c>
      <c r="H356" s="133">
        <v>2024</v>
      </c>
      <c r="I356" s="152" t="s">
        <v>5615</v>
      </c>
    </row>
    <row r="357" spans="1:9" ht="18.75" thickBot="1" x14ac:dyDescent="0.3">
      <c r="A357" s="133" t="str">
        <f t="shared" si="5"/>
        <v>167240H</v>
      </c>
      <c r="B357" s="133" t="s">
        <v>7723</v>
      </c>
      <c r="C357" s="133" t="s">
        <v>7724</v>
      </c>
      <c r="D357" s="133" t="s">
        <v>7537</v>
      </c>
      <c r="E357" s="134"/>
      <c r="F357" s="134">
        <v>1.01</v>
      </c>
      <c r="G357" s="135">
        <v>0.81</v>
      </c>
      <c r="H357" s="133">
        <v>2020</v>
      </c>
      <c r="I357" s="152" t="s">
        <v>5566</v>
      </c>
    </row>
    <row r="358" spans="1:9" ht="18.75" thickBot="1" x14ac:dyDescent="0.3">
      <c r="A358" s="133" t="str">
        <f t="shared" si="5"/>
        <v>145676Y</v>
      </c>
      <c r="B358" s="133" t="s">
        <v>7725</v>
      </c>
      <c r="C358" s="133" t="s">
        <v>7726</v>
      </c>
      <c r="D358" s="133" t="s">
        <v>7537</v>
      </c>
      <c r="E358" s="134"/>
      <c r="F358" s="134">
        <v>0.3</v>
      </c>
      <c r="G358" s="135">
        <v>0.24</v>
      </c>
      <c r="H358" s="133">
        <v>2014</v>
      </c>
      <c r="I358" s="152" t="s">
        <v>5895</v>
      </c>
    </row>
    <row r="359" spans="1:9" ht="18.75" thickBot="1" x14ac:dyDescent="0.3">
      <c r="A359" s="133" t="str">
        <f t="shared" si="5"/>
        <v>145609J</v>
      </c>
      <c r="B359" s="133" t="s">
        <v>7727</v>
      </c>
      <c r="C359" s="133" t="s">
        <v>7728</v>
      </c>
      <c r="D359" s="133" t="s">
        <v>7537</v>
      </c>
      <c r="E359" s="134"/>
      <c r="F359" s="134">
        <v>0.52</v>
      </c>
      <c r="G359" s="135">
        <v>0.42</v>
      </c>
      <c r="H359" s="133">
        <v>2016</v>
      </c>
      <c r="I359" s="152" t="s">
        <v>5666</v>
      </c>
    </row>
    <row r="360" spans="1:9" ht="18.75" thickBot="1" x14ac:dyDescent="0.3">
      <c r="A360" s="133" t="str">
        <f t="shared" si="5"/>
        <v>013164I</v>
      </c>
      <c r="B360" s="133" t="s">
        <v>7214</v>
      </c>
      <c r="C360" s="133" t="s">
        <v>7215</v>
      </c>
      <c r="D360" s="133" t="s">
        <v>5504</v>
      </c>
      <c r="E360" s="134"/>
      <c r="F360" s="134">
        <v>3.52</v>
      </c>
      <c r="G360" s="135">
        <v>2.81</v>
      </c>
      <c r="H360" s="133">
        <v>2019</v>
      </c>
      <c r="I360" s="152" t="s">
        <v>5556</v>
      </c>
    </row>
    <row r="361" spans="1:9" ht="18.75" thickBot="1" x14ac:dyDescent="0.3">
      <c r="A361" s="133" t="str">
        <f t="shared" si="5"/>
        <v>168945L</v>
      </c>
      <c r="B361" s="133" t="s">
        <v>7729</v>
      </c>
      <c r="C361" s="133" t="s">
        <v>7730</v>
      </c>
      <c r="D361" s="133" t="s">
        <v>7537</v>
      </c>
      <c r="E361" s="134"/>
      <c r="F361" s="134">
        <v>0.4</v>
      </c>
      <c r="G361" s="135">
        <v>0.32</v>
      </c>
      <c r="H361" s="133">
        <v>2020</v>
      </c>
      <c r="I361" s="152" t="s">
        <v>5566</v>
      </c>
    </row>
    <row r="362" spans="1:9" ht="18.75" thickBot="1" x14ac:dyDescent="0.3">
      <c r="A362" s="133" t="str">
        <f t="shared" si="5"/>
        <v>129151J</v>
      </c>
      <c r="B362" s="133" t="s">
        <v>6149</v>
      </c>
      <c r="C362" s="133" t="s">
        <v>6150</v>
      </c>
      <c r="D362" s="133" t="s">
        <v>5505</v>
      </c>
      <c r="E362" s="134"/>
      <c r="F362" s="134">
        <v>1.23</v>
      </c>
      <c r="G362" s="135">
        <v>0.99</v>
      </c>
      <c r="H362" s="133">
        <v>2009</v>
      </c>
      <c r="I362" s="152" t="s">
        <v>5635</v>
      </c>
    </row>
    <row r="363" spans="1:9" ht="18.75" thickBot="1" x14ac:dyDescent="0.3">
      <c r="A363" s="133" t="str">
        <f t="shared" si="5"/>
        <v>013168M</v>
      </c>
      <c r="B363" s="133" t="s">
        <v>6151</v>
      </c>
      <c r="C363" s="133" t="s">
        <v>6152</v>
      </c>
      <c r="D363" s="133" t="s">
        <v>5504</v>
      </c>
      <c r="E363" s="134"/>
      <c r="F363" s="134">
        <v>2.92</v>
      </c>
      <c r="G363" s="135">
        <v>2.33</v>
      </c>
      <c r="H363" s="133">
        <v>2024</v>
      </c>
      <c r="I363" s="152" t="s">
        <v>5787</v>
      </c>
    </row>
    <row r="364" spans="1:9" ht="18.75" thickBot="1" x14ac:dyDescent="0.3">
      <c r="A364" s="133" t="str">
        <f t="shared" si="5"/>
        <v>125425B</v>
      </c>
      <c r="B364" s="133" t="s">
        <v>7216</v>
      </c>
      <c r="C364" s="133" t="s">
        <v>7217</v>
      </c>
      <c r="D364" s="133" t="s">
        <v>5505</v>
      </c>
      <c r="E364" s="134"/>
      <c r="F364" s="134">
        <v>1.57</v>
      </c>
      <c r="G364" s="135">
        <v>1.25</v>
      </c>
      <c r="H364" s="133">
        <v>2009</v>
      </c>
      <c r="I364" s="152" t="s">
        <v>5853</v>
      </c>
    </row>
    <row r="365" spans="1:9" ht="18.75" thickBot="1" x14ac:dyDescent="0.3">
      <c r="A365" s="133" t="str">
        <f t="shared" si="5"/>
        <v>135482W</v>
      </c>
      <c r="B365" s="133" t="s">
        <v>7731</v>
      </c>
      <c r="C365" s="133" t="s">
        <v>7732</v>
      </c>
      <c r="D365" s="133" t="s">
        <v>5505</v>
      </c>
      <c r="E365" s="134"/>
      <c r="F365" s="134">
        <v>1.6</v>
      </c>
      <c r="G365" s="135">
        <v>1.28</v>
      </c>
      <c r="H365" s="133">
        <v>2011</v>
      </c>
      <c r="I365" s="152" t="s">
        <v>5666</v>
      </c>
    </row>
    <row r="366" spans="1:9" ht="18.75" thickBot="1" x14ac:dyDescent="0.3">
      <c r="A366" s="133" t="str">
        <f t="shared" si="5"/>
        <v>134375H</v>
      </c>
      <c r="B366" s="133" t="s">
        <v>6153</v>
      </c>
      <c r="C366" s="133" t="s">
        <v>6154</v>
      </c>
      <c r="D366" s="133" t="s">
        <v>5505</v>
      </c>
      <c r="E366" s="134"/>
      <c r="F366" s="134">
        <v>1.51</v>
      </c>
      <c r="G366" s="135">
        <v>1.21</v>
      </c>
      <c r="H366" s="133">
        <v>2009</v>
      </c>
      <c r="I366" s="152" t="s">
        <v>5608</v>
      </c>
    </row>
    <row r="367" spans="1:9" ht="18.75" thickBot="1" x14ac:dyDescent="0.3">
      <c r="A367" s="133" t="str">
        <f t="shared" si="5"/>
        <v>125022O</v>
      </c>
      <c r="B367" s="133" t="s">
        <v>6155</v>
      </c>
      <c r="C367" s="133" t="s">
        <v>6156</v>
      </c>
      <c r="D367" s="133" t="s">
        <v>5504</v>
      </c>
      <c r="E367" s="134"/>
      <c r="F367" s="134">
        <v>2.56</v>
      </c>
      <c r="G367" s="135">
        <v>2.04</v>
      </c>
      <c r="H367" s="133">
        <v>2023</v>
      </c>
      <c r="I367" s="152" t="s">
        <v>5768</v>
      </c>
    </row>
    <row r="368" spans="1:9" ht="18.75" thickBot="1" x14ac:dyDescent="0.3">
      <c r="A368" s="133" t="str">
        <f t="shared" si="5"/>
        <v>159647E</v>
      </c>
      <c r="B368" s="133" t="s">
        <v>7733</v>
      </c>
      <c r="C368" s="133" t="s">
        <v>7734</v>
      </c>
      <c r="D368" s="133" t="s">
        <v>5505</v>
      </c>
      <c r="E368" s="134"/>
      <c r="F368" s="134">
        <v>1.93</v>
      </c>
      <c r="G368" s="135">
        <v>1.54</v>
      </c>
      <c r="H368" s="133">
        <v>2017</v>
      </c>
      <c r="I368" s="152" t="s">
        <v>5582</v>
      </c>
    </row>
    <row r="369" spans="1:9" ht="18.75" thickBot="1" x14ac:dyDescent="0.3">
      <c r="A369" s="133" t="str">
        <f t="shared" si="5"/>
        <v>125441R</v>
      </c>
      <c r="B369" s="133" t="s">
        <v>6157</v>
      </c>
      <c r="C369" s="133" t="s">
        <v>6158</v>
      </c>
      <c r="D369" s="133" t="s">
        <v>5504</v>
      </c>
      <c r="E369" s="134"/>
      <c r="F369" s="134">
        <v>3.2</v>
      </c>
      <c r="G369" s="135">
        <v>2.56</v>
      </c>
      <c r="H369" s="133">
        <v>2020</v>
      </c>
      <c r="I369" s="152" t="s">
        <v>5587</v>
      </c>
    </row>
    <row r="370" spans="1:9" ht="18.75" thickBot="1" x14ac:dyDescent="0.3">
      <c r="A370" s="133" t="str">
        <f t="shared" si="5"/>
        <v>157090A</v>
      </c>
      <c r="B370" s="133" t="s">
        <v>8537</v>
      </c>
      <c r="C370" s="133" t="s">
        <v>8538</v>
      </c>
      <c r="D370" s="133" t="s">
        <v>7560</v>
      </c>
      <c r="E370" s="134"/>
      <c r="F370" s="134">
        <v>1.08</v>
      </c>
      <c r="G370" s="135">
        <v>0.86</v>
      </c>
      <c r="H370" s="133">
        <v>2024</v>
      </c>
      <c r="I370" s="152" t="s">
        <v>5646</v>
      </c>
    </row>
    <row r="371" spans="1:9" ht="18.75" thickBot="1" x14ac:dyDescent="0.3">
      <c r="A371" s="133" t="str">
        <f t="shared" si="5"/>
        <v>177716V</v>
      </c>
      <c r="B371" s="133" t="s">
        <v>7735</v>
      </c>
      <c r="C371" s="133" t="s">
        <v>7736</v>
      </c>
      <c r="D371" s="133" t="s">
        <v>5505</v>
      </c>
      <c r="E371" s="134"/>
      <c r="F371" s="134">
        <v>2.0099999999999998</v>
      </c>
      <c r="G371" s="135">
        <v>1.61</v>
      </c>
      <c r="H371" s="133">
        <v>2024</v>
      </c>
      <c r="I371" s="152" t="s">
        <v>5710</v>
      </c>
    </row>
    <row r="372" spans="1:9" ht="18.75" thickBot="1" x14ac:dyDescent="0.3">
      <c r="A372" s="133" t="str">
        <f t="shared" si="5"/>
        <v>120365L</v>
      </c>
      <c r="B372" s="133" t="s">
        <v>6159</v>
      </c>
      <c r="C372" s="133" t="s">
        <v>6160</v>
      </c>
      <c r="D372" s="133" t="s">
        <v>5503</v>
      </c>
      <c r="E372" s="134"/>
      <c r="F372" s="134">
        <v>4.25</v>
      </c>
      <c r="G372" s="135">
        <v>3.4</v>
      </c>
      <c r="H372" s="133">
        <v>2020</v>
      </c>
      <c r="I372" s="152" t="s">
        <v>5635</v>
      </c>
    </row>
    <row r="373" spans="1:9" ht="18.75" thickBot="1" x14ac:dyDescent="0.3">
      <c r="A373" s="133" t="str">
        <f t="shared" si="5"/>
        <v>142664C</v>
      </c>
      <c r="B373" s="133" t="s">
        <v>6163</v>
      </c>
      <c r="C373" s="133" t="s">
        <v>6164</v>
      </c>
      <c r="D373" s="133" t="s">
        <v>5505</v>
      </c>
      <c r="E373" s="134"/>
      <c r="F373" s="134">
        <v>1.23</v>
      </c>
      <c r="G373" s="135">
        <v>0.98</v>
      </c>
      <c r="H373" s="133">
        <v>2023</v>
      </c>
      <c r="I373" s="152" t="s">
        <v>5646</v>
      </c>
    </row>
    <row r="374" spans="1:9" ht="18.75" thickBot="1" x14ac:dyDescent="0.3">
      <c r="A374" s="133" t="str">
        <f t="shared" si="5"/>
        <v>013193L</v>
      </c>
      <c r="B374" s="133" t="s">
        <v>6165</v>
      </c>
      <c r="C374" s="133" t="s">
        <v>6166</v>
      </c>
      <c r="D374" s="133" t="s">
        <v>5505</v>
      </c>
      <c r="E374" s="134"/>
      <c r="F374" s="134">
        <v>1.41</v>
      </c>
      <c r="G374" s="135">
        <v>1.1299999999999999</v>
      </c>
      <c r="H374" s="133">
        <v>2016</v>
      </c>
      <c r="I374" s="152" t="s">
        <v>5587</v>
      </c>
    </row>
    <row r="375" spans="1:9" ht="18.75" thickBot="1" x14ac:dyDescent="0.3">
      <c r="A375" s="133" t="str">
        <f t="shared" si="5"/>
        <v>104033H</v>
      </c>
      <c r="B375" s="133" t="s">
        <v>6167</v>
      </c>
      <c r="C375" s="133" t="s">
        <v>6168</v>
      </c>
      <c r="D375" s="133" t="s">
        <v>5704</v>
      </c>
      <c r="E375" s="134"/>
      <c r="F375" s="134">
        <v>3.51</v>
      </c>
      <c r="G375" s="135">
        <v>2.81</v>
      </c>
      <c r="H375" s="133">
        <v>2024</v>
      </c>
      <c r="I375" s="152" t="s">
        <v>5573</v>
      </c>
    </row>
    <row r="376" spans="1:9" ht="18.75" thickBot="1" x14ac:dyDescent="0.3">
      <c r="A376" s="133" t="str">
        <f t="shared" si="5"/>
        <v>155212J</v>
      </c>
      <c r="B376" s="133" t="s">
        <v>7737</v>
      </c>
      <c r="C376" s="133" t="s">
        <v>7738</v>
      </c>
      <c r="D376" s="133" t="s">
        <v>7537</v>
      </c>
      <c r="E376" s="134"/>
      <c r="F376" s="134">
        <v>0.57999999999999996</v>
      </c>
      <c r="G376" s="135">
        <v>0.46</v>
      </c>
      <c r="H376" s="133">
        <v>2017</v>
      </c>
      <c r="I376" s="152" t="s">
        <v>5566</v>
      </c>
    </row>
    <row r="377" spans="1:9" ht="18.75" thickBot="1" x14ac:dyDescent="0.3">
      <c r="A377" s="133" t="str">
        <f t="shared" si="5"/>
        <v>013197P</v>
      </c>
      <c r="B377" s="133" t="s">
        <v>7483</v>
      </c>
      <c r="C377" s="133" t="s">
        <v>7484</v>
      </c>
      <c r="D377" s="133" t="s">
        <v>26</v>
      </c>
      <c r="E377" s="134"/>
      <c r="F377" s="134">
        <v>6.81</v>
      </c>
      <c r="G377" s="135">
        <v>5.45</v>
      </c>
      <c r="H377" s="133">
        <v>2014</v>
      </c>
      <c r="I377" s="152" t="s">
        <v>5582</v>
      </c>
    </row>
    <row r="378" spans="1:9" ht="18.75" thickBot="1" x14ac:dyDescent="0.3">
      <c r="A378" s="133" t="str">
        <f t="shared" si="5"/>
        <v>127176K</v>
      </c>
      <c r="B378" s="133" t="s">
        <v>6171</v>
      </c>
      <c r="C378" s="133" t="s">
        <v>6172</v>
      </c>
      <c r="D378" s="133" t="s">
        <v>24</v>
      </c>
      <c r="E378" s="134"/>
      <c r="F378" s="134" t="s">
        <v>5552</v>
      </c>
      <c r="G378" s="135">
        <v>7.76</v>
      </c>
      <c r="H378" s="133">
        <v>2009</v>
      </c>
      <c r="I378" s="152" t="s">
        <v>5594</v>
      </c>
    </row>
    <row r="379" spans="1:9" ht="18.75" thickBot="1" x14ac:dyDescent="0.3">
      <c r="A379" s="133" t="str">
        <f t="shared" si="5"/>
        <v>147421Q</v>
      </c>
      <c r="B379" s="133" t="s">
        <v>7739</v>
      </c>
      <c r="C379" s="133" t="s">
        <v>7740</v>
      </c>
      <c r="D379" s="133" t="s">
        <v>5505</v>
      </c>
      <c r="E379" s="134"/>
      <c r="F379" s="134">
        <v>1.43</v>
      </c>
      <c r="G379" s="135">
        <v>1.1499999999999999</v>
      </c>
      <c r="H379" s="133">
        <v>2020</v>
      </c>
      <c r="I379" s="152" t="s">
        <v>5635</v>
      </c>
    </row>
    <row r="380" spans="1:9" ht="18.75" thickBot="1" x14ac:dyDescent="0.3">
      <c r="A380" s="133" t="str">
        <f t="shared" si="5"/>
        <v>135326W</v>
      </c>
      <c r="B380" s="133" t="s">
        <v>6173</v>
      </c>
      <c r="C380" s="133" t="s">
        <v>6174</v>
      </c>
      <c r="D380" s="133" t="s">
        <v>5503</v>
      </c>
      <c r="E380" s="134"/>
      <c r="F380" s="134">
        <v>5.81</v>
      </c>
      <c r="G380" s="135">
        <v>4.6500000000000004</v>
      </c>
      <c r="H380" s="133">
        <v>2024</v>
      </c>
      <c r="I380" s="152" t="s">
        <v>5787</v>
      </c>
    </row>
    <row r="381" spans="1:9" ht="18.75" thickBot="1" x14ac:dyDescent="0.3">
      <c r="A381" s="133" t="str">
        <f t="shared" si="5"/>
        <v>146580S</v>
      </c>
      <c r="B381" s="133" t="s">
        <v>7218</v>
      </c>
      <c r="C381" s="133" t="s">
        <v>7219</v>
      </c>
      <c r="D381" s="133" t="s">
        <v>7537</v>
      </c>
      <c r="E381" s="134"/>
      <c r="F381" s="134">
        <v>0.68</v>
      </c>
      <c r="G381" s="135">
        <v>0.54</v>
      </c>
      <c r="H381" s="133">
        <v>2022</v>
      </c>
      <c r="I381" s="152" t="s">
        <v>5556</v>
      </c>
    </row>
    <row r="382" spans="1:9" ht="18.75" thickBot="1" x14ac:dyDescent="0.3">
      <c r="A382" s="133" t="str">
        <f t="shared" si="5"/>
        <v>103321X</v>
      </c>
      <c r="B382" s="133" t="s">
        <v>6177</v>
      </c>
      <c r="C382" s="133" t="s">
        <v>6178</v>
      </c>
      <c r="D382" s="133" t="s">
        <v>5505</v>
      </c>
      <c r="E382" s="134"/>
      <c r="F382" s="134">
        <v>0.93</v>
      </c>
      <c r="G382" s="135">
        <v>0.74</v>
      </c>
      <c r="H382" s="133">
        <v>2015</v>
      </c>
      <c r="I382" s="152" t="s">
        <v>5594</v>
      </c>
    </row>
    <row r="383" spans="1:9" ht="18.75" thickBot="1" x14ac:dyDescent="0.3">
      <c r="A383" s="133" t="str">
        <f t="shared" si="5"/>
        <v>013203V</v>
      </c>
      <c r="B383" s="133" t="s">
        <v>6181</v>
      </c>
      <c r="C383" s="133" t="s">
        <v>6182</v>
      </c>
      <c r="D383" s="133" t="s">
        <v>5505</v>
      </c>
      <c r="E383" s="134"/>
      <c r="F383" s="134">
        <v>2.0299999999999998</v>
      </c>
      <c r="G383" s="135">
        <v>1.62</v>
      </c>
      <c r="H383" s="133">
        <v>2010</v>
      </c>
      <c r="I383" s="152" t="s">
        <v>5654</v>
      </c>
    </row>
    <row r="384" spans="1:9" ht="18.75" thickBot="1" x14ac:dyDescent="0.3">
      <c r="A384" s="133" t="str">
        <f t="shared" si="5"/>
        <v>013205X</v>
      </c>
      <c r="B384" s="133" t="s">
        <v>7515</v>
      </c>
      <c r="C384" s="133" t="s">
        <v>7516</v>
      </c>
      <c r="D384" s="133" t="s">
        <v>5503</v>
      </c>
      <c r="E384" s="134"/>
      <c r="F384" s="134">
        <v>4.1100000000000003</v>
      </c>
      <c r="G384" s="135">
        <v>3.29</v>
      </c>
      <c r="H384" s="133">
        <v>2008</v>
      </c>
      <c r="I384" s="152" t="s">
        <v>5630</v>
      </c>
    </row>
    <row r="385" spans="1:9" ht="18.75" thickBot="1" x14ac:dyDescent="0.3">
      <c r="A385" s="133" t="str">
        <f t="shared" si="5"/>
        <v>149944H</v>
      </c>
      <c r="B385" s="133" t="s">
        <v>7220</v>
      </c>
      <c r="C385" s="133" t="s">
        <v>7221</v>
      </c>
      <c r="D385" s="133" t="s">
        <v>7537</v>
      </c>
      <c r="E385" s="134"/>
      <c r="F385" s="134">
        <v>0.96</v>
      </c>
      <c r="G385" s="135">
        <v>0.77</v>
      </c>
      <c r="H385" s="133">
        <v>2019</v>
      </c>
      <c r="I385" s="152" t="s">
        <v>5556</v>
      </c>
    </row>
    <row r="386" spans="1:9" ht="18.75" thickBot="1" x14ac:dyDescent="0.3">
      <c r="A386" s="133" t="str">
        <f t="shared" ref="A386:A449" si="6">SUBSTITUTE(B386,CHAR(32),"")</f>
        <v>142675N</v>
      </c>
      <c r="B386" s="133" t="s">
        <v>6185</v>
      </c>
      <c r="C386" s="133" t="s">
        <v>6186</v>
      </c>
      <c r="D386" s="133" t="s">
        <v>5505</v>
      </c>
      <c r="E386" s="134"/>
      <c r="F386" s="134">
        <v>1.91</v>
      </c>
      <c r="G386" s="135">
        <v>1.53</v>
      </c>
      <c r="H386" s="133">
        <v>2017</v>
      </c>
      <c r="I386" s="152" t="s">
        <v>5657</v>
      </c>
    </row>
    <row r="387" spans="1:9" ht="18.75" thickBot="1" x14ac:dyDescent="0.3">
      <c r="A387" s="133" t="str">
        <f t="shared" si="6"/>
        <v>147256L</v>
      </c>
      <c r="B387" s="133" t="s">
        <v>6187</v>
      </c>
      <c r="C387" s="133" t="s">
        <v>6188</v>
      </c>
      <c r="D387" s="133" t="s">
        <v>7537</v>
      </c>
      <c r="E387" s="134"/>
      <c r="F387" s="134">
        <v>0.86</v>
      </c>
      <c r="G387" s="135">
        <v>0.69</v>
      </c>
      <c r="H387" s="133">
        <v>2017</v>
      </c>
      <c r="I387" s="152" t="s">
        <v>5657</v>
      </c>
    </row>
    <row r="388" spans="1:9" ht="18.75" thickBot="1" x14ac:dyDescent="0.3">
      <c r="A388" s="133" t="str">
        <f t="shared" si="6"/>
        <v>103750K</v>
      </c>
      <c r="B388" s="133" t="s">
        <v>7222</v>
      </c>
      <c r="C388" s="133" t="s">
        <v>7223</v>
      </c>
      <c r="D388" s="133" t="s">
        <v>24</v>
      </c>
      <c r="E388" s="134"/>
      <c r="F388" s="134" t="s">
        <v>5552</v>
      </c>
      <c r="G388" s="135">
        <v>11.38</v>
      </c>
      <c r="H388" s="133">
        <v>2018</v>
      </c>
      <c r="I388" s="152" t="s">
        <v>5625</v>
      </c>
    </row>
    <row r="389" spans="1:9" ht="18.75" thickBot="1" x14ac:dyDescent="0.3">
      <c r="A389" s="133" t="str">
        <f t="shared" si="6"/>
        <v>143227T</v>
      </c>
      <c r="B389" s="133" t="s">
        <v>6189</v>
      </c>
      <c r="C389" s="133" t="s">
        <v>6190</v>
      </c>
      <c r="D389" s="133" t="s">
        <v>7537</v>
      </c>
      <c r="E389" s="134"/>
      <c r="F389" s="134">
        <v>0.54</v>
      </c>
      <c r="G389" s="135">
        <v>0.43</v>
      </c>
      <c r="H389" s="133">
        <v>2022</v>
      </c>
      <c r="I389" s="152" t="s">
        <v>5615</v>
      </c>
    </row>
    <row r="390" spans="1:9" ht="18.75" thickBot="1" x14ac:dyDescent="0.3">
      <c r="A390" s="133" t="str">
        <f t="shared" si="6"/>
        <v>013215H</v>
      </c>
      <c r="B390" s="133" t="s">
        <v>6191</v>
      </c>
      <c r="C390" s="133" t="s">
        <v>6192</v>
      </c>
      <c r="D390" s="133" t="s">
        <v>5503</v>
      </c>
      <c r="E390" s="134"/>
      <c r="F390" s="134">
        <v>4.75</v>
      </c>
      <c r="G390" s="135">
        <v>3.8</v>
      </c>
      <c r="H390" s="133">
        <v>2016</v>
      </c>
      <c r="I390" s="152" t="s">
        <v>5671</v>
      </c>
    </row>
    <row r="391" spans="1:9" ht="18.75" thickBot="1" x14ac:dyDescent="0.3">
      <c r="A391" s="133" t="str">
        <f t="shared" si="6"/>
        <v>138123L</v>
      </c>
      <c r="B391" s="133" t="s">
        <v>7224</v>
      </c>
      <c r="C391" s="133" t="s">
        <v>7225</v>
      </c>
      <c r="D391" s="133" t="s">
        <v>5505</v>
      </c>
      <c r="E391" s="134"/>
      <c r="F391" s="134">
        <v>1.23</v>
      </c>
      <c r="G391" s="135">
        <v>0.98</v>
      </c>
      <c r="H391" s="133">
        <v>2024</v>
      </c>
      <c r="I391" s="152" t="s">
        <v>5768</v>
      </c>
    </row>
    <row r="392" spans="1:9" ht="18.75" thickBot="1" x14ac:dyDescent="0.3">
      <c r="A392" s="133" t="str">
        <f t="shared" si="6"/>
        <v>013216I</v>
      </c>
      <c r="B392" s="133" t="s">
        <v>6193</v>
      </c>
      <c r="C392" s="133" t="s">
        <v>6194</v>
      </c>
      <c r="D392" s="133" t="s">
        <v>5503</v>
      </c>
      <c r="E392" s="134"/>
      <c r="F392" s="134">
        <v>5.36</v>
      </c>
      <c r="G392" s="135">
        <v>4.29</v>
      </c>
      <c r="H392" s="133">
        <v>2024</v>
      </c>
      <c r="I392" s="152" t="s">
        <v>5556</v>
      </c>
    </row>
    <row r="393" spans="1:9" ht="18.75" thickBot="1" x14ac:dyDescent="0.3">
      <c r="A393" s="133" t="str">
        <f t="shared" si="6"/>
        <v>013218K</v>
      </c>
      <c r="B393" s="133" t="s">
        <v>6197</v>
      </c>
      <c r="C393" s="133" t="s">
        <v>6198</v>
      </c>
      <c r="D393" s="133" t="s">
        <v>5505</v>
      </c>
      <c r="E393" s="134"/>
      <c r="F393" s="134">
        <v>1.94</v>
      </c>
      <c r="G393" s="135">
        <v>1.55</v>
      </c>
      <c r="H393" s="133">
        <v>2011</v>
      </c>
      <c r="I393" s="152" t="s">
        <v>5587</v>
      </c>
    </row>
    <row r="394" spans="1:9" ht="18.75" thickBot="1" x14ac:dyDescent="0.3">
      <c r="A394" s="133" t="str">
        <f t="shared" si="6"/>
        <v>132408Q</v>
      </c>
      <c r="B394" s="133" t="s">
        <v>7741</v>
      </c>
      <c r="C394" s="133" t="s">
        <v>7742</v>
      </c>
      <c r="D394" s="133" t="s">
        <v>5504</v>
      </c>
      <c r="E394" s="134"/>
      <c r="F394" s="134">
        <v>2.76</v>
      </c>
      <c r="G394" s="135">
        <v>2.21</v>
      </c>
      <c r="H394" s="133">
        <v>2010</v>
      </c>
      <c r="I394" s="152" t="s">
        <v>5678</v>
      </c>
    </row>
    <row r="395" spans="1:9" ht="18.75" thickBot="1" x14ac:dyDescent="0.3">
      <c r="A395" s="133" t="str">
        <f t="shared" si="6"/>
        <v>167213D</v>
      </c>
      <c r="B395" s="133" t="s">
        <v>7226</v>
      </c>
      <c r="C395" s="133" t="s">
        <v>7227</v>
      </c>
      <c r="D395" s="133" t="s">
        <v>5505</v>
      </c>
      <c r="E395" s="134"/>
      <c r="F395" s="134">
        <v>1.61</v>
      </c>
      <c r="G395" s="135">
        <v>1.29</v>
      </c>
      <c r="H395" s="133">
        <v>2024</v>
      </c>
      <c r="I395" s="152" t="s">
        <v>5559</v>
      </c>
    </row>
    <row r="396" spans="1:9" ht="18.75" thickBot="1" x14ac:dyDescent="0.3">
      <c r="A396" s="133" t="str">
        <f t="shared" si="6"/>
        <v>154485T</v>
      </c>
      <c r="B396" s="133" t="s">
        <v>6201</v>
      </c>
      <c r="C396" s="133" t="s">
        <v>6202</v>
      </c>
      <c r="D396" s="133" t="s">
        <v>5505</v>
      </c>
      <c r="E396" s="134"/>
      <c r="F396" s="134">
        <v>1.51</v>
      </c>
      <c r="G396" s="135">
        <v>1.21</v>
      </c>
      <c r="H396" s="133">
        <v>2023</v>
      </c>
      <c r="I396" s="152" t="s">
        <v>5594</v>
      </c>
    </row>
    <row r="397" spans="1:9" ht="18.75" thickBot="1" x14ac:dyDescent="0.3">
      <c r="A397" s="133" t="str">
        <f t="shared" si="6"/>
        <v>144080O</v>
      </c>
      <c r="B397" s="133" t="s">
        <v>6205</v>
      </c>
      <c r="C397" s="133" t="s">
        <v>6206</v>
      </c>
      <c r="D397" s="133" t="s">
        <v>5505</v>
      </c>
      <c r="E397" s="134"/>
      <c r="F397" s="134">
        <v>1.75</v>
      </c>
      <c r="G397" s="135">
        <v>1.4</v>
      </c>
      <c r="H397" s="133">
        <v>2019</v>
      </c>
      <c r="I397" s="152" t="s">
        <v>5556</v>
      </c>
    </row>
    <row r="398" spans="1:9" ht="18.75" thickBot="1" x14ac:dyDescent="0.3">
      <c r="A398" s="133" t="str">
        <f t="shared" si="6"/>
        <v>147249D</v>
      </c>
      <c r="B398" s="133" t="s">
        <v>7743</v>
      </c>
      <c r="C398" s="133" t="s">
        <v>7744</v>
      </c>
      <c r="D398" s="133" t="s">
        <v>7537</v>
      </c>
      <c r="E398" s="134"/>
      <c r="F398" s="134">
        <v>1.1100000000000001</v>
      </c>
      <c r="G398" s="135">
        <v>0.88</v>
      </c>
      <c r="H398" s="133">
        <v>2013</v>
      </c>
      <c r="I398" s="152" t="s">
        <v>5553</v>
      </c>
    </row>
    <row r="399" spans="1:9" ht="18.75" thickBot="1" x14ac:dyDescent="0.3">
      <c r="A399" s="133" t="str">
        <f t="shared" si="6"/>
        <v>013233Z</v>
      </c>
      <c r="B399" s="133" t="s">
        <v>6207</v>
      </c>
      <c r="C399" s="133" t="s">
        <v>6208</v>
      </c>
      <c r="D399" s="133" t="s">
        <v>5504</v>
      </c>
      <c r="E399" s="134"/>
      <c r="F399" s="134">
        <v>2.5299999999999998</v>
      </c>
      <c r="G399" s="135">
        <v>2.0299999999999998</v>
      </c>
      <c r="H399" s="133">
        <v>2024</v>
      </c>
      <c r="I399" s="152" t="s">
        <v>5726</v>
      </c>
    </row>
    <row r="400" spans="1:9" ht="18.75" thickBot="1" x14ac:dyDescent="0.3">
      <c r="A400" s="133" t="str">
        <f t="shared" si="6"/>
        <v>013234A</v>
      </c>
      <c r="B400" s="133" t="s">
        <v>6209</v>
      </c>
      <c r="C400" s="133" t="s">
        <v>6210</v>
      </c>
      <c r="D400" s="133" t="s">
        <v>5504</v>
      </c>
      <c r="E400" s="134"/>
      <c r="F400" s="134">
        <v>2.74</v>
      </c>
      <c r="G400" s="135">
        <v>2.19</v>
      </c>
      <c r="H400" s="133">
        <v>2024</v>
      </c>
      <c r="I400" s="152" t="s">
        <v>5726</v>
      </c>
    </row>
    <row r="401" spans="1:9" ht="18.75" thickBot="1" x14ac:dyDescent="0.3">
      <c r="A401" s="133" t="str">
        <f t="shared" si="6"/>
        <v>013235B</v>
      </c>
      <c r="B401" s="133" t="s">
        <v>6211</v>
      </c>
      <c r="C401" s="133" t="s">
        <v>6212</v>
      </c>
      <c r="D401" s="133" t="s">
        <v>5504</v>
      </c>
      <c r="E401" s="134"/>
      <c r="F401" s="134">
        <v>1.71</v>
      </c>
      <c r="G401" s="135">
        <v>1.36</v>
      </c>
      <c r="H401" s="133">
        <v>2009</v>
      </c>
      <c r="I401" s="152" t="s">
        <v>5895</v>
      </c>
    </row>
    <row r="402" spans="1:9" ht="18.75" thickBot="1" x14ac:dyDescent="0.3">
      <c r="A402" s="133" t="str">
        <f t="shared" si="6"/>
        <v>149554J</v>
      </c>
      <c r="B402" s="133" t="s">
        <v>6213</v>
      </c>
      <c r="C402" s="133" t="s">
        <v>6214</v>
      </c>
      <c r="D402" s="133" t="s">
        <v>5505</v>
      </c>
      <c r="E402" s="134"/>
      <c r="F402" s="134">
        <v>1.65</v>
      </c>
      <c r="G402" s="135">
        <v>1.32</v>
      </c>
      <c r="H402" s="133">
        <v>2022</v>
      </c>
      <c r="I402" s="152" t="s">
        <v>5657</v>
      </c>
    </row>
    <row r="403" spans="1:9" ht="18.75" thickBot="1" x14ac:dyDescent="0.3">
      <c r="A403" s="133" t="str">
        <f t="shared" si="6"/>
        <v>145606G</v>
      </c>
      <c r="B403" s="133" t="s">
        <v>6215</v>
      </c>
      <c r="C403" s="133" t="s">
        <v>6216</v>
      </c>
      <c r="D403" s="133" t="s">
        <v>26</v>
      </c>
      <c r="E403" s="134"/>
      <c r="F403" s="134">
        <v>4.97</v>
      </c>
      <c r="G403" s="135">
        <v>3.97</v>
      </c>
      <c r="H403" s="133">
        <v>2019</v>
      </c>
      <c r="I403" s="152" t="s">
        <v>5559</v>
      </c>
    </row>
    <row r="404" spans="1:9" ht="18.75" thickBot="1" x14ac:dyDescent="0.3">
      <c r="A404" s="133" t="str">
        <f t="shared" si="6"/>
        <v>013244K</v>
      </c>
      <c r="B404" s="133" t="s">
        <v>6217</v>
      </c>
      <c r="C404" s="133" t="s">
        <v>6218</v>
      </c>
      <c r="D404" s="133" t="s">
        <v>5504</v>
      </c>
      <c r="E404" s="134"/>
      <c r="F404" s="134">
        <v>2.77</v>
      </c>
      <c r="G404" s="135">
        <v>2.2200000000000002</v>
      </c>
      <c r="H404" s="133">
        <v>2015</v>
      </c>
      <c r="I404" s="152" t="s">
        <v>5582</v>
      </c>
    </row>
    <row r="405" spans="1:9" ht="18.75" thickBot="1" x14ac:dyDescent="0.3">
      <c r="A405" s="133" t="str">
        <f t="shared" si="6"/>
        <v>144884M</v>
      </c>
      <c r="B405" s="133" t="s">
        <v>7745</v>
      </c>
      <c r="C405" s="133" t="s">
        <v>7746</v>
      </c>
      <c r="D405" s="133" t="s">
        <v>5505</v>
      </c>
      <c r="E405" s="134"/>
      <c r="F405" s="134">
        <v>2.0499999999999998</v>
      </c>
      <c r="G405" s="135">
        <v>1.64</v>
      </c>
      <c r="H405" s="133">
        <v>2022</v>
      </c>
      <c r="I405" s="152" t="s">
        <v>5573</v>
      </c>
    </row>
    <row r="406" spans="1:9" ht="18.75" thickBot="1" x14ac:dyDescent="0.3">
      <c r="A406" s="133" t="str">
        <f t="shared" si="6"/>
        <v>013255V</v>
      </c>
      <c r="B406" s="133" t="s">
        <v>7747</v>
      </c>
      <c r="C406" s="133" t="s">
        <v>7748</v>
      </c>
      <c r="D406" s="133" t="s">
        <v>5505</v>
      </c>
      <c r="E406" s="134"/>
      <c r="F406" s="134">
        <v>1.58</v>
      </c>
      <c r="G406" s="135">
        <v>1.26</v>
      </c>
      <c r="H406" s="133">
        <v>2008</v>
      </c>
      <c r="I406" s="152" t="s">
        <v>5895</v>
      </c>
    </row>
    <row r="407" spans="1:9" ht="18.75" thickBot="1" x14ac:dyDescent="0.3">
      <c r="A407" s="133" t="str">
        <f t="shared" si="6"/>
        <v>147250E</v>
      </c>
      <c r="B407" s="133" t="s">
        <v>7230</v>
      </c>
      <c r="C407" s="133" t="s">
        <v>7231</v>
      </c>
      <c r="D407" s="133" t="s">
        <v>7537</v>
      </c>
      <c r="E407" s="134"/>
      <c r="F407" s="134">
        <v>0.83</v>
      </c>
      <c r="G407" s="135">
        <v>0.67</v>
      </c>
      <c r="H407" s="133">
        <v>2024</v>
      </c>
      <c r="I407" s="152" t="s">
        <v>5912</v>
      </c>
    </row>
    <row r="408" spans="1:9" ht="18.75" thickBot="1" x14ac:dyDescent="0.3">
      <c r="A408" s="133" t="str">
        <f t="shared" si="6"/>
        <v>181315G</v>
      </c>
      <c r="B408" s="133" t="s">
        <v>8539</v>
      </c>
      <c r="C408" s="133" t="s">
        <v>8540</v>
      </c>
      <c r="D408" s="133" t="s">
        <v>7560</v>
      </c>
      <c r="E408" s="134"/>
      <c r="F408" s="134">
        <v>1.01</v>
      </c>
      <c r="G408" s="135">
        <v>0.8</v>
      </c>
      <c r="H408" s="133">
        <v>2024</v>
      </c>
      <c r="I408" s="152" t="s">
        <v>5625</v>
      </c>
    </row>
    <row r="409" spans="1:9" ht="18.75" thickBot="1" x14ac:dyDescent="0.3">
      <c r="A409" s="133" t="str">
        <f t="shared" si="6"/>
        <v>153605M</v>
      </c>
      <c r="B409" s="133" t="s">
        <v>7749</v>
      </c>
      <c r="C409" s="133" t="s">
        <v>7750</v>
      </c>
      <c r="D409" s="133" t="s">
        <v>7537</v>
      </c>
      <c r="E409" s="134"/>
      <c r="F409" s="134">
        <v>0.28999999999999998</v>
      </c>
      <c r="G409" s="135">
        <v>0.23</v>
      </c>
      <c r="H409" s="133">
        <v>2023</v>
      </c>
      <c r="I409" s="152" t="s">
        <v>5587</v>
      </c>
    </row>
    <row r="410" spans="1:9" ht="18.75" thickBot="1" x14ac:dyDescent="0.3">
      <c r="A410" s="133" t="str">
        <f t="shared" si="6"/>
        <v>161081N</v>
      </c>
      <c r="B410" s="133" t="s">
        <v>7751</v>
      </c>
      <c r="C410" s="133" t="s">
        <v>7752</v>
      </c>
      <c r="D410" s="133" t="s">
        <v>7537</v>
      </c>
      <c r="E410" s="134"/>
      <c r="F410" s="134">
        <v>0.19</v>
      </c>
      <c r="G410" s="135">
        <v>0.15</v>
      </c>
      <c r="H410" s="133">
        <v>2017</v>
      </c>
      <c r="I410" s="152" t="s">
        <v>5582</v>
      </c>
    </row>
    <row r="411" spans="1:9" ht="18.75" thickBot="1" x14ac:dyDescent="0.3">
      <c r="A411" s="133" t="str">
        <f t="shared" si="6"/>
        <v>140424Y</v>
      </c>
      <c r="B411" s="133" t="s">
        <v>6225</v>
      </c>
      <c r="C411" s="133" t="s">
        <v>6226</v>
      </c>
      <c r="D411" s="133" t="s">
        <v>5505</v>
      </c>
      <c r="E411" s="134"/>
      <c r="F411" s="134">
        <v>1.92</v>
      </c>
      <c r="G411" s="135">
        <v>1.53</v>
      </c>
      <c r="H411" s="133">
        <v>2024</v>
      </c>
      <c r="I411" s="152" t="s">
        <v>5726</v>
      </c>
    </row>
    <row r="412" spans="1:9" ht="18.75" thickBot="1" x14ac:dyDescent="0.3">
      <c r="A412" s="133" t="str">
        <f t="shared" si="6"/>
        <v>157921D</v>
      </c>
      <c r="B412" s="133" t="s">
        <v>6227</v>
      </c>
      <c r="C412" s="133" t="s">
        <v>6228</v>
      </c>
      <c r="D412" s="133" t="s">
        <v>5505</v>
      </c>
      <c r="E412" s="134"/>
      <c r="F412" s="134">
        <v>1.41</v>
      </c>
      <c r="G412" s="135">
        <v>1.1299999999999999</v>
      </c>
      <c r="H412" s="133">
        <v>2024</v>
      </c>
      <c r="I412" s="152" t="s">
        <v>6229</v>
      </c>
    </row>
    <row r="413" spans="1:9" ht="18.75" thickBot="1" x14ac:dyDescent="0.3">
      <c r="A413" s="133" t="str">
        <f t="shared" si="6"/>
        <v>111337F</v>
      </c>
      <c r="B413" s="133" t="s">
        <v>6230</v>
      </c>
      <c r="C413" s="133" t="s">
        <v>6231</v>
      </c>
      <c r="D413" s="133" t="s">
        <v>5504</v>
      </c>
      <c r="E413" s="134"/>
      <c r="F413" s="134">
        <v>2.2400000000000002</v>
      </c>
      <c r="G413" s="135">
        <v>1.79</v>
      </c>
      <c r="H413" s="133">
        <v>2023</v>
      </c>
      <c r="I413" s="152" t="s">
        <v>5678</v>
      </c>
    </row>
    <row r="414" spans="1:9" ht="18.75" thickBot="1" x14ac:dyDescent="0.3">
      <c r="A414" s="133" t="str">
        <f t="shared" si="6"/>
        <v>013265F</v>
      </c>
      <c r="B414" s="133" t="s">
        <v>7485</v>
      </c>
      <c r="C414" s="133" t="s">
        <v>7486</v>
      </c>
      <c r="D414" s="133" t="s">
        <v>5503</v>
      </c>
      <c r="E414" s="134"/>
      <c r="F414" s="134">
        <v>5.09</v>
      </c>
      <c r="G414" s="135">
        <v>4.07</v>
      </c>
      <c r="H414" s="133">
        <v>2010</v>
      </c>
      <c r="I414" s="152" t="s">
        <v>5678</v>
      </c>
    </row>
    <row r="415" spans="1:9" ht="18.75" thickBot="1" x14ac:dyDescent="0.3">
      <c r="A415" s="133" t="str">
        <f t="shared" si="6"/>
        <v>160512V</v>
      </c>
      <c r="B415" s="133" t="s">
        <v>7753</v>
      </c>
      <c r="C415" s="133" t="s">
        <v>7754</v>
      </c>
      <c r="D415" s="133" t="s">
        <v>7537</v>
      </c>
      <c r="E415" s="134"/>
      <c r="F415" s="134">
        <v>0.66</v>
      </c>
      <c r="G415" s="135">
        <v>0.53</v>
      </c>
      <c r="H415" s="133">
        <v>2021</v>
      </c>
      <c r="I415" s="152" t="s">
        <v>5671</v>
      </c>
    </row>
    <row r="416" spans="1:9" ht="18.75" thickBot="1" x14ac:dyDescent="0.3">
      <c r="A416" s="133" t="str">
        <f t="shared" si="6"/>
        <v>113786K</v>
      </c>
      <c r="B416" s="133" t="s">
        <v>6240</v>
      </c>
      <c r="C416" s="133" t="s">
        <v>6241</v>
      </c>
      <c r="D416" s="133" t="s">
        <v>5562</v>
      </c>
      <c r="E416" s="134"/>
      <c r="F416" s="134">
        <v>5.12</v>
      </c>
      <c r="G416" s="135">
        <v>4.09</v>
      </c>
      <c r="H416" s="133">
        <v>2024</v>
      </c>
      <c r="I416" s="152" t="s">
        <v>5787</v>
      </c>
    </row>
    <row r="417" spans="1:9" ht="18.75" thickBot="1" x14ac:dyDescent="0.3">
      <c r="A417" s="133" t="str">
        <f t="shared" si="6"/>
        <v>013273N</v>
      </c>
      <c r="B417" s="133" t="s">
        <v>6242</v>
      </c>
      <c r="C417" s="133" t="s">
        <v>6243</v>
      </c>
      <c r="D417" s="133" t="s">
        <v>5505</v>
      </c>
      <c r="E417" s="134"/>
      <c r="F417" s="134">
        <v>1.73</v>
      </c>
      <c r="G417" s="135">
        <v>1.38</v>
      </c>
      <c r="H417" s="133">
        <v>2018</v>
      </c>
      <c r="I417" s="152" t="s">
        <v>5587</v>
      </c>
    </row>
    <row r="418" spans="1:9" ht="18.75" thickBot="1" x14ac:dyDescent="0.3">
      <c r="A418" s="133" t="str">
        <f t="shared" si="6"/>
        <v>142093D</v>
      </c>
      <c r="B418" s="133" t="s">
        <v>7755</v>
      </c>
      <c r="C418" s="133" t="s">
        <v>7756</v>
      </c>
      <c r="D418" s="133" t="s">
        <v>7537</v>
      </c>
      <c r="E418" s="134"/>
      <c r="F418" s="134">
        <v>1.1599999999999999</v>
      </c>
      <c r="G418" s="135">
        <v>0.93</v>
      </c>
      <c r="H418" s="133">
        <v>2013</v>
      </c>
      <c r="I418" s="152" t="s">
        <v>5566</v>
      </c>
    </row>
    <row r="419" spans="1:9" ht="18.75" thickBot="1" x14ac:dyDescent="0.3">
      <c r="A419" s="133" t="str">
        <f t="shared" si="6"/>
        <v>150496H</v>
      </c>
      <c r="B419" s="133" t="s">
        <v>7757</v>
      </c>
      <c r="C419" s="133" t="s">
        <v>7758</v>
      </c>
      <c r="D419" s="133" t="s">
        <v>7537</v>
      </c>
      <c r="E419" s="134"/>
      <c r="F419" s="134">
        <v>0.72</v>
      </c>
      <c r="G419" s="135">
        <v>0.56999999999999995</v>
      </c>
      <c r="H419" s="133">
        <v>2014</v>
      </c>
      <c r="I419" s="152" t="s">
        <v>5895</v>
      </c>
    </row>
    <row r="420" spans="1:9" ht="18.75" thickBot="1" x14ac:dyDescent="0.3">
      <c r="A420" s="133" t="str">
        <f t="shared" si="6"/>
        <v>150497J</v>
      </c>
      <c r="B420" s="133" t="s">
        <v>6244</v>
      </c>
      <c r="C420" s="133" t="s">
        <v>6245</v>
      </c>
      <c r="D420" s="133" t="s">
        <v>5704</v>
      </c>
      <c r="E420" s="134"/>
      <c r="F420" s="134">
        <v>2.33</v>
      </c>
      <c r="G420" s="135">
        <v>1.86</v>
      </c>
      <c r="H420" s="133">
        <v>2024</v>
      </c>
      <c r="I420" s="152" t="s">
        <v>5895</v>
      </c>
    </row>
    <row r="421" spans="1:9" ht="18.75" thickBot="1" x14ac:dyDescent="0.3">
      <c r="A421" s="133" t="str">
        <f t="shared" si="6"/>
        <v>146192U</v>
      </c>
      <c r="B421" s="133" t="s">
        <v>7759</v>
      </c>
      <c r="C421" s="133" t="s">
        <v>7760</v>
      </c>
      <c r="D421" s="133" t="s">
        <v>7537</v>
      </c>
      <c r="E421" s="134"/>
      <c r="F421" s="134">
        <v>0.56999999999999995</v>
      </c>
      <c r="G421" s="135">
        <v>0.46</v>
      </c>
      <c r="H421" s="133">
        <v>2014</v>
      </c>
      <c r="I421" s="152" t="s">
        <v>5657</v>
      </c>
    </row>
    <row r="422" spans="1:9" ht="18.75" thickBot="1" x14ac:dyDescent="0.3">
      <c r="A422" s="133" t="str">
        <f t="shared" si="6"/>
        <v>141150W</v>
      </c>
      <c r="B422" s="133" t="s">
        <v>6248</v>
      </c>
      <c r="C422" s="133" t="s">
        <v>6249</v>
      </c>
      <c r="D422" s="133" t="s">
        <v>7537</v>
      </c>
      <c r="E422" s="134"/>
      <c r="F422" s="134">
        <v>0.73</v>
      </c>
      <c r="G422" s="135">
        <v>0.59</v>
      </c>
      <c r="H422" s="133">
        <v>2020</v>
      </c>
      <c r="I422" s="152" t="s">
        <v>5792</v>
      </c>
    </row>
    <row r="423" spans="1:9" ht="18.75" thickBot="1" x14ac:dyDescent="0.3">
      <c r="A423" s="133" t="str">
        <f t="shared" si="6"/>
        <v>125428E</v>
      </c>
      <c r="B423" s="133" t="s">
        <v>6250</v>
      </c>
      <c r="C423" s="133" t="s">
        <v>6251</v>
      </c>
      <c r="D423" s="133" t="s">
        <v>5505</v>
      </c>
      <c r="E423" s="134"/>
      <c r="F423" s="134">
        <v>1.6</v>
      </c>
      <c r="G423" s="135">
        <v>1.28</v>
      </c>
      <c r="H423" s="133">
        <v>2014</v>
      </c>
      <c r="I423" s="152" t="s">
        <v>5671</v>
      </c>
    </row>
    <row r="424" spans="1:9" ht="18.75" thickBot="1" x14ac:dyDescent="0.3">
      <c r="A424" s="133" t="str">
        <f t="shared" si="6"/>
        <v>156381E</v>
      </c>
      <c r="B424" s="133" t="s">
        <v>7232</v>
      </c>
      <c r="C424" s="133" t="s">
        <v>7233</v>
      </c>
      <c r="D424" s="133" t="s">
        <v>7537</v>
      </c>
      <c r="E424" s="134"/>
      <c r="F424" s="134">
        <v>0.94</v>
      </c>
      <c r="G424" s="135">
        <v>0.75</v>
      </c>
      <c r="H424" s="133">
        <v>2019</v>
      </c>
      <c r="I424" s="152" t="s">
        <v>5601</v>
      </c>
    </row>
    <row r="425" spans="1:9" ht="18.75" thickBot="1" x14ac:dyDescent="0.3">
      <c r="A425" s="133" t="str">
        <f t="shared" si="6"/>
        <v>105608W</v>
      </c>
      <c r="B425" s="133" t="s">
        <v>7761</v>
      </c>
      <c r="C425" s="133" t="s">
        <v>7762</v>
      </c>
      <c r="D425" s="133" t="s">
        <v>5505</v>
      </c>
      <c r="E425" s="134"/>
      <c r="F425" s="134">
        <v>1.8</v>
      </c>
      <c r="G425" s="135">
        <v>1.44</v>
      </c>
      <c r="H425" s="133">
        <v>2010</v>
      </c>
      <c r="I425" s="152" t="s">
        <v>7763</v>
      </c>
    </row>
    <row r="426" spans="1:9" ht="18.75" thickBot="1" x14ac:dyDescent="0.3">
      <c r="A426" s="133" t="str">
        <f t="shared" si="6"/>
        <v>013296K</v>
      </c>
      <c r="B426" s="133" t="s">
        <v>7234</v>
      </c>
      <c r="C426" s="133" t="s">
        <v>7235</v>
      </c>
      <c r="D426" s="133" t="s">
        <v>5505</v>
      </c>
      <c r="E426" s="134"/>
      <c r="F426" s="134">
        <v>1.3</v>
      </c>
      <c r="G426" s="135">
        <v>1.04</v>
      </c>
      <c r="H426" s="133">
        <v>2009</v>
      </c>
      <c r="I426" s="152" t="s">
        <v>5559</v>
      </c>
    </row>
    <row r="427" spans="1:9" ht="18.75" thickBot="1" x14ac:dyDescent="0.3">
      <c r="A427" s="133" t="str">
        <f t="shared" si="6"/>
        <v>013297L</v>
      </c>
      <c r="B427" s="133" t="s">
        <v>6252</v>
      </c>
      <c r="C427" s="133" t="s">
        <v>6253</v>
      </c>
      <c r="D427" s="133" t="s">
        <v>5503</v>
      </c>
      <c r="E427" s="134"/>
      <c r="F427" s="134">
        <v>4.76</v>
      </c>
      <c r="G427" s="135">
        <v>3.81</v>
      </c>
      <c r="H427" s="133">
        <v>2009</v>
      </c>
      <c r="I427" s="152" t="s">
        <v>5853</v>
      </c>
    </row>
    <row r="428" spans="1:9" ht="18.75" thickBot="1" x14ac:dyDescent="0.3">
      <c r="A428" s="133" t="str">
        <f t="shared" si="6"/>
        <v>020209H</v>
      </c>
      <c r="B428" s="133" t="s">
        <v>7487</v>
      </c>
      <c r="C428" s="133" t="s">
        <v>7488</v>
      </c>
      <c r="D428" s="133" t="s">
        <v>26</v>
      </c>
      <c r="E428" s="134"/>
      <c r="F428" s="134">
        <v>6.06</v>
      </c>
      <c r="G428" s="135">
        <v>4.8499999999999996</v>
      </c>
      <c r="H428" s="133">
        <v>2019</v>
      </c>
      <c r="I428" s="152" t="s">
        <v>5587</v>
      </c>
    </row>
    <row r="429" spans="1:9" ht="18.75" thickBot="1" x14ac:dyDescent="0.3">
      <c r="A429" s="133" t="str">
        <f t="shared" si="6"/>
        <v>108081Z</v>
      </c>
      <c r="B429" s="133" t="s">
        <v>7236</v>
      </c>
      <c r="C429" s="133" t="s">
        <v>7237</v>
      </c>
      <c r="D429" s="133" t="s">
        <v>5505</v>
      </c>
      <c r="E429" s="134"/>
      <c r="F429" s="134">
        <v>1.5</v>
      </c>
      <c r="G429" s="135">
        <v>1.2</v>
      </c>
      <c r="H429" s="133">
        <v>2024</v>
      </c>
      <c r="I429" s="152" t="s">
        <v>5678</v>
      </c>
    </row>
    <row r="430" spans="1:9" ht="18.75" thickBot="1" x14ac:dyDescent="0.3">
      <c r="A430" s="133" t="str">
        <f t="shared" si="6"/>
        <v>130210C</v>
      </c>
      <c r="B430" s="133" t="s">
        <v>8541</v>
      </c>
      <c r="C430" s="133" t="s">
        <v>8542</v>
      </c>
      <c r="D430" s="133" t="s">
        <v>7560</v>
      </c>
      <c r="E430" s="134"/>
      <c r="F430" s="134">
        <v>0.73</v>
      </c>
      <c r="G430" s="135">
        <v>0.57999999999999996</v>
      </c>
      <c r="H430" s="133">
        <v>2024</v>
      </c>
      <c r="I430" s="152" t="s">
        <v>6229</v>
      </c>
    </row>
    <row r="431" spans="1:9" ht="18.75" thickBot="1" x14ac:dyDescent="0.3">
      <c r="A431" s="133" t="str">
        <f t="shared" si="6"/>
        <v>174978T</v>
      </c>
      <c r="B431" s="133" t="s">
        <v>7764</v>
      </c>
      <c r="C431" s="133" t="s">
        <v>7765</v>
      </c>
      <c r="D431" s="133" t="s">
        <v>7537</v>
      </c>
      <c r="E431" s="134"/>
      <c r="F431" s="134">
        <v>0.82</v>
      </c>
      <c r="G431" s="135">
        <v>0.66</v>
      </c>
      <c r="H431" s="133">
        <v>2022</v>
      </c>
      <c r="I431" s="152" t="s">
        <v>5556</v>
      </c>
    </row>
    <row r="432" spans="1:9" ht="18.75" thickBot="1" x14ac:dyDescent="0.3">
      <c r="A432" s="133" t="str">
        <f t="shared" si="6"/>
        <v>135962I</v>
      </c>
      <c r="B432" s="133" t="s">
        <v>6259</v>
      </c>
      <c r="C432" s="133" t="s">
        <v>6260</v>
      </c>
      <c r="D432" s="133" t="s">
        <v>5562</v>
      </c>
      <c r="E432" s="134"/>
      <c r="F432" s="134">
        <v>10.5</v>
      </c>
      <c r="G432" s="135">
        <v>8.4</v>
      </c>
      <c r="H432" s="133">
        <v>2024</v>
      </c>
      <c r="I432" s="152" t="s">
        <v>5566</v>
      </c>
    </row>
    <row r="433" spans="1:9" ht="18.75" thickBot="1" x14ac:dyDescent="0.3">
      <c r="A433" s="133" t="str">
        <f t="shared" si="6"/>
        <v>140436K</v>
      </c>
      <c r="B433" s="133" t="s">
        <v>7766</v>
      </c>
      <c r="C433" s="133" t="s">
        <v>7767</v>
      </c>
      <c r="D433" s="133" t="s">
        <v>7537</v>
      </c>
      <c r="E433" s="134"/>
      <c r="F433" s="134">
        <v>0.49</v>
      </c>
      <c r="G433" s="135">
        <v>0.39</v>
      </c>
      <c r="H433" s="133">
        <v>2012</v>
      </c>
      <c r="I433" s="152" t="s">
        <v>5556</v>
      </c>
    </row>
    <row r="434" spans="1:9" ht="18.75" thickBot="1" x14ac:dyDescent="0.3">
      <c r="A434" s="133" t="str">
        <f t="shared" si="6"/>
        <v>010574S</v>
      </c>
      <c r="B434" s="133" t="s">
        <v>8543</v>
      </c>
      <c r="C434" s="133" t="s">
        <v>8544</v>
      </c>
      <c r="D434" s="133" t="s">
        <v>5704</v>
      </c>
      <c r="E434" s="134"/>
      <c r="F434" s="134">
        <v>2.34</v>
      </c>
      <c r="G434" s="135">
        <v>1.87</v>
      </c>
      <c r="H434" s="133">
        <v>2024</v>
      </c>
      <c r="I434" s="152" t="s">
        <v>5601</v>
      </c>
    </row>
    <row r="435" spans="1:9" ht="18.75" thickBot="1" x14ac:dyDescent="0.3">
      <c r="A435" s="133" t="str">
        <f t="shared" si="6"/>
        <v>150323V</v>
      </c>
      <c r="B435" s="133" t="s">
        <v>7238</v>
      </c>
      <c r="C435" s="133" t="s">
        <v>7239</v>
      </c>
      <c r="D435" s="133" t="s">
        <v>5504</v>
      </c>
      <c r="E435" s="134"/>
      <c r="F435" s="134">
        <v>2.4500000000000002</v>
      </c>
      <c r="G435" s="135">
        <v>1.96</v>
      </c>
      <c r="H435" s="133">
        <v>2024</v>
      </c>
      <c r="I435" s="152" t="s">
        <v>5787</v>
      </c>
    </row>
    <row r="436" spans="1:9" ht="18.75" thickBot="1" x14ac:dyDescent="0.3">
      <c r="A436" s="133" t="str">
        <f t="shared" si="6"/>
        <v>153124P</v>
      </c>
      <c r="B436" s="133" t="s">
        <v>7240</v>
      </c>
      <c r="C436" s="133" t="s">
        <v>7241</v>
      </c>
      <c r="D436" s="133" t="s">
        <v>5505</v>
      </c>
      <c r="E436" s="134"/>
      <c r="F436" s="134">
        <v>1.36</v>
      </c>
      <c r="G436" s="135">
        <v>1.08</v>
      </c>
      <c r="H436" s="133">
        <v>2024</v>
      </c>
      <c r="I436" s="152" t="s">
        <v>5701</v>
      </c>
    </row>
    <row r="437" spans="1:9" ht="18.75" thickBot="1" x14ac:dyDescent="0.3">
      <c r="A437" s="133" t="str">
        <f t="shared" si="6"/>
        <v>013309X</v>
      </c>
      <c r="B437" s="133" t="s">
        <v>6261</v>
      </c>
      <c r="C437" s="133" t="s">
        <v>6262</v>
      </c>
      <c r="D437" s="133" t="s">
        <v>5503</v>
      </c>
      <c r="E437" s="134"/>
      <c r="F437" s="134">
        <v>4.75</v>
      </c>
      <c r="G437" s="135">
        <v>3.8</v>
      </c>
      <c r="H437" s="133">
        <v>2016</v>
      </c>
      <c r="I437" s="152" t="s">
        <v>5710</v>
      </c>
    </row>
    <row r="438" spans="1:9" ht="18.75" thickBot="1" x14ac:dyDescent="0.3">
      <c r="A438" s="133" t="str">
        <f t="shared" si="6"/>
        <v>162797D</v>
      </c>
      <c r="B438" s="133" t="s">
        <v>7242</v>
      </c>
      <c r="C438" s="133" t="s">
        <v>7243</v>
      </c>
      <c r="D438" s="133" t="s">
        <v>7537</v>
      </c>
      <c r="E438" s="134"/>
      <c r="F438" s="134">
        <v>0.56000000000000005</v>
      </c>
      <c r="G438" s="135">
        <v>0.44</v>
      </c>
      <c r="H438" s="133">
        <v>2018</v>
      </c>
      <c r="I438" s="152" t="s">
        <v>5566</v>
      </c>
    </row>
    <row r="439" spans="1:9" ht="18.75" thickBot="1" x14ac:dyDescent="0.3">
      <c r="A439" s="133" t="str">
        <f t="shared" si="6"/>
        <v>013317F</v>
      </c>
      <c r="B439" s="133" t="s">
        <v>6263</v>
      </c>
      <c r="C439" s="133" t="s">
        <v>6264</v>
      </c>
      <c r="D439" s="133" t="s">
        <v>5503</v>
      </c>
      <c r="E439" s="134"/>
      <c r="F439" s="134">
        <v>4.4000000000000004</v>
      </c>
      <c r="G439" s="135">
        <v>3.52</v>
      </c>
      <c r="H439" s="133">
        <v>2019</v>
      </c>
      <c r="I439" s="152" t="s">
        <v>5559</v>
      </c>
    </row>
    <row r="440" spans="1:9" ht="18.75" thickBot="1" x14ac:dyDescent="0.3">
      <c r="A440" s="133" t="str">
        <f t="shared" si="6"/>
        <v>013320I</v>
      </c>
      <c r="B440" s="133" t="s">
        <v>6265</v>
      </c>
      <c r="C440" s="133" t="s">
        <v>6266</v>
      </c>
      <c r="D440" s="133" t="s">
        <v>26</v>
      </c>
      <c r="E440" s="134"/>
      <c r="F440" s="134">
        <v>10.46</v>
      </c>
      <c r="G440" s="135">
        <v>8.36</v>
      </c>
      <c r="H440" s="133">
        <v>2009</v>
      </c>
      <c r="I440" s="152" t="s">
        <v>5563</v>
      </c>
    </row>
    <row r="441" spans="1:9" ht="18.75" thickBot="1" x14ac:dyDescent="0.3">
      <c r="A441" s="133" t="str">
        <f t="shared" si="6"/>
        <v>139690S</v>
      </c>
      <c r="B441" s="133" t="s">
        <v>6267</v>
      </c>
      <c r="C441" s="133" t="s">
        <v>6268</v>
      </c>
      <c r="D441" s="133" t="s">
        <v>5504</v>
      </c>
      <c r="E441" s="134"/>
      <c r="F441" s="134">
        <v>2.64</v>
      </c>
      <c r="G441" s="135">
        <v>2.11</v>
      </c>
      <c r="H441" s="133">
        <v>2019</v>
      </c>
      <c r="I441" s="152" t="s">
        <v>5566</v>
      </c>
    </row>
    <row r="442" spans="1:9" ht="18.75" thickBot="1" x14ac:dyDescent="0.3">
      <c r="A442" s="133" t="str">
        <f t="shared" si="6"/>
        <v>157368C</v>
      </c>
      <c r="B442" s="133" t="s">
        <v>7768</v>
      </c>
      <c r="C442" s="133" t="s">
        <v>7769</v>
      </c>
      <c r="D442" s="133" t="s">
        <v>7537</v>
      </c>
      <c r="E442" s="134"/>
      <c r="F442" s="134">
        <v>0.44</v>
      </c>
      <c r="G442" s="135">
        <v>0.35</v>
      </c>
      <c r="H442" s="133">
        <v>2016</v>
      </c>
      <c r="I442" s="152" t="s">
        <v>5598</v>
      </c>
    </row>
    <row r="443" spans="1:9" ht="18.75" thickBot="1" x14ac:dyDescent="0.3">
      <c r="A443" s="133" t="str">
        <f t="shared" si="6"/>
        <v>013325N</v>
      </c>
      <c r="B443" s="133" t="s">
        <v>6269</v>
      </c>
      <c r="C443" s="133" t="s">
        <v>6270</v>
      </c>
      <c r="D443" s="133" t="s">
        <v>26</v>
      </c>
      <c r="E443" s="134"/>
      <c r="F443" s="134">
        <v>6.61</v>
      </c>
      <c r="G443" s="135">
        <v>5.28</v>
      </c>
      <c r="H443" s="133">
        <v>2024</v>
      </c>
      <c r="I443" s="152" t="s">
        <v>5559</v>
      </c>
    </row>
    <row r="444" spans="1:9" ht="18.75" thickBot="1" x14ac:dyDescent="0.3">
      <c r="A444" s="133" t="str">
        <f t="shared" si="6"/>
        <v>173972A</v>
      </c>
      <c r="B444" s="133" t="s">
        <v>6271</v>
      </c>
      <c r="C444" s="133" t="s">
        <v>6272</v>
      </c>
      <c r="D444" s="133" t="s">
        <v>7537</v>
      </c>
      <c r="E444" s="134"/>
      <c r="F444" s="134">
        <v>0.39</v>
      </c>
      <c r="G444" s="135">
        <v>0.31</v>
      </c>
      <c r="H444" s="133">
        <v>2024</v>
      </c>
      <c r="I444" s="152" t="s">
        <v>5563</v>
      </c>
    </row>
    <row r="445" spans="1:9" ht="18.75" thickBot="1" x14ac:dyDescent="0.3">
      <c r="A445" s="133" t="str">
        <f t="shared" si="6"/>
        <v>150944V</v>
      </c>
      <c r="B445" s="133" t="s">
        <v>7770</v>
      </c>
      <c r="C445" s="133" t="s">
        <v>7771</v>
      </c>
      <c r="D445" s="133" t="s">
        <v>7537</v>
      </c>
      <c r="E445" s="134"/>
      <c r="F445" s="134">
        <v>0.66</v>
      </c>
      <c r="G445" s="135">
        <v>0.53</v>
      </c>
      <c r="H445" s="133">
        <v>2024</v>
      </c>
      <c r="I445" s="152" t="s">
        <v>5744</v>
      </c>
    </row>
    <row r="446" spans="1:9" ht="18.75" thickBot="1" x14ac:dyDescent="0.3">
      <c r="A446" s="133" t="str">
        <f t="shared" si="6"/>
        <v>108507J</v>
      </c>
      <c r="B446" s="133" t="s">
        <v>7772</v>
      </c>
      <c r="C446" s="133" t="s">
        <v>7773</v>
      </c>
      <c r="D446" s="133" t="s">
        <v>24</v>
      </c>
      <c r="E446" s="134"/>
      <c r="F446" s="134" t="s">
        <v>5552</v>
      </c>
      <c r="G446" s="135">
        <v>7.91</v>
      </c>
      <c r="H446" s="133">
        <v>2010</v>
      </c>
      <c r="I446" s="152" t="s">
        <v>5594</v>
      </c>
    </row>
    <row r="447" spans="1:9" ht="18.75" thickBot="1" x14ac:dyDescent="0.3">
      <c r="A447" s="133" t="str">
        <f t="shared" si="6"/>
        <v>160029V</v>
      </c>
      <c r="B447" s="133" t="s">
        <v>7774</v>
      </c>
      <c r="C447" s="133" t="s">
        <v>7775</v>
      </c>
      <c r="D447" s="133" t="s">
        <v>5505</v>
      </c>
      <c r="E447" s="134"/>
      <c r="F447" s="134">
        <v>1.55</v>
      </c>
      <c r="G447" s="135">
        <v>1.24</v>
      </c>
      <c r="H447" s="133">
        <v>2020</v>
      </c>
      <c r="I447" s="152" t="s">
        <v>5615</v>
      </c>
    </row>
    <row r="448" spans="1:9" ht="18.75" thickBot="1" x14ac:dyDescent="0.3">
      <c r="A448" s="133" t="str">
        <f t="shared" si="6"/>
        <v>013329R</v>
      </c>
      <c r="B448" s="133" t="s">
        <v>6273</v>
      </c>
      <c r="C448" s="133" t="s">
        <v>6274</v>
      </c>
      <c r="D448" s="133" t="s">
        <v>5504</v>
      </c>
      <c r="E448" s="134"/>
      <c r="F448" s="134">
        <v>2.69</v>
      </c>
      <c r="G448" s="135">
        <v>2.15</v>
      </c>
      <c r="H448" s="133">
        <v>2011</v>
      </c>
      <c r="I448" s="152" t="s">
        <v>5678</v>
      </c>
    </row>
    <row r="449" spans="1:9" ht="18.75" thickBot="1" x14ac:dyDescent="0.3">
      <c r="A449" s="133" t="str">
        <f t="shared" si="6"/>
        <v>113793R</v>
      </c>
      <c r="B449" s="133" t="s">
        <v>7776</v>
      </c>
      <c r="C449" s="133" t="s">
        <v>7777</v>
      </c>
      <c r="D449" s="133" t="s">
        <v>5505</v>
      </c>
      <c r="E449" s="134"/>
      <c r="F449" s="134">
        <v>2.2000000000000002</v>
      </c>
      <c r="G449" s="135">
        <v>1.76</v>
      </c>
      <c r="H449" s="133">
        <v>2009</v>
      </c>
      <c r="I449" s="152" t="s">
        <v>5657</v>
      </c>
    </row>
    <row r="450" spans="1:9" ht="18.75" thickBot="1" x14ac:dyDescent="0.3">
      <c r="A450" s="133" t="str">
        <f t="shared" ref="A450:A513" si="7">SUBSTITUTE(B450,CHAR(32),"")</f>
        <v>135310G</v>
      </c>
      <c r="B450" s="133" t="s">
        <v>7244</v>
      </c>
      <c r="C450" s="133" t="s">
        <v>7245</v>
      </c>
      <c r="D450" s="133" t="s">
        <v>26</v>
      </c>
      <c r="E450" s="134"/>
      <c r="F450" s="134">
        <v>6.96</v>
      </c>
      <c r="G450" s="135">
        <v>5.57</v>
      </c>
      <c r="H450" s="133">
        <v>2017</v>
      </c>
      <c r="I450" s="152" t="s">
        <v>6229</v>
      </c>
    </row>
    <row r="451" spans="1:9" ht="18.75" thickBot="1" x14ac:dyDescent="0.3">
      <c r="A451" s="133" t="str">
        <f t="shared" si="7"/>
        <v>013335X</v>
      </c>
      <c r="B451" s="133" t="s">
        <v>6277</v>
      </c>
      <c r="C451" s="133" t="s">
        <v>6278</v>
      </c>
      <c r="D451" s="133" t="s">
        <v>5704</v>
      </c>
      <c r="E451" s="134"/>
      <c r="F451" s="134">
        <v>2.23</v>
      </c>
      <c r="G451" s="135">
        <v>1.78</v>
      </c>
      <c r="H451" s="133">
        <v>2024</v>
      </c>
      <c r="I451" s="152" t="s">
        <v>5559</v>
      </c>
    </row>
    <row r="452" spans="1:9" ht="18.75" thickBot="1" x14ac:dyDescent="0.3">
      <c r="A452" s="133" t="str">
        <f t="shared" si="7"/>
        <v>114567L</v>
      </c>
      <c r="B452" s="133" t="s">
        <v>6279</v>
      </c>
      <c r="C452" s="133" t="s">
        <v>6280</v>
      </c>
      <c r="D452" s="133" t="s">
        <v>26</v>
      </c>
      <c r="E452" s="134"/>
      <c r="F452" s="134">
        <v>6.63</v>
      </c>
      <c r="G452" s="135">
        <v>5.3</v>
      </c>
      <c r="H452" s="133">
        <v>2011</v>
      </c>
      <c r="I452" s="152" t="s">
        <v>5563</v>
      </c>
    </row>
    <row r="453" spans="1:9" ht="18.75" thickBot="1" x14ac:dyDescent="0.3">
      <c r="A453" s="133" t="str">
        <f t="shared" si="7"/>
        <v>108816G</v>
      </c>
      <c r="B453" s="133" t="s">
        <v>6281</v>
      </c>
      <c r="C453" s="133" t="s">
        <v>6282</v>
      </c>
      <c r="D453" s="133" t="s">
        <v>5503</v>
      </c>
      <c r="E453" s="134"/>
      <c r="F453" s="134">
        <v>4.2300000000000004</v>
      </c>
      <c r="G453" s="135">
        <v>3.38</v>
      </c>
      <c r="H453" s="133">
        <v>2012</v>
      </c>
      <c r="I453" s="152" t="s">
        <v>5792</v>
      </c>
    </row>
    <row r="454" spans="1:9" ht="18.75" thickBot="1" x14ac:dyDescent="0.3">
      <c r="A454" s="133" t="str">
        <f t="shared" si="7"/>
        <v>126905Z</v>
      </c>
      <c r="B454" s="133" t="s">
        <v>8545</v>
      </c>
      <c r="C454" s="133" t="s">
        <v>8546</v>
      </c>
      <c r="D454" s="133" t="s">
        <v>7543</v>
      </c>
      <c r="E454" s="134"/>
      <c r="F454" s="134">
        <v>1.62</v>
      </c>
      <c r="G454" s="135">
        <v>1.29</v>
      </c>
      <c r="H454" s="133">
        <v>2024</v>
      </c>
      <c r="I454" s="152" t="s">
        <v>5598</v>
      </c>
    </row>
    <row r="455" spans="1:9" ht="18.75" thickBot="1" x14ac:dyDescent="0.3">
      <c r="A455" s="133" t="str">
        <f t="shared" si="7"/>
        <v>149172T</v>
      </c>
      <c r="B455" s="133" t="s">
        <v>6283</v>
      </c>
      <c r="C455" s="133" t="s">
        <v>6284</v>
      </c>
      <c r="D455" s="133" t="s">
        <v>7537</v>
      </c>
      <c r="E455" s="134"/>
      <c r="F455" s="134">
        <v>0.93</v>
      </c>
      <c r="G455" s="135">
        <v>0.74</v>
      </c>
      <c r="H455" s="133">
        <v>2022</v>
      </c>
      <c r="I455" s="152" t="s">
        <v>5792</v>
      </c>
    </row>
    <row r="456" spans="1:9" ht="18.75" thickBot="1" x14ac:dyDescent="0.3">
      <c r="A456" s="133" t="str">
        <f t="shared" si="7"/>
        <v>155032N</v>
      </c>
      <c r="B456" s="133" t="s">
        <v>7778</v>
      </c>
      <c r="C456" s="133" t="s">
        <v>7779</v>
      </c>
      <c r="D456" s="133" t="s">
        <v>5505</v>
      </c>
      <c r="E456" s="134"/>
      <c r="F456" s="134">
        <v>1.72</v>
      </c>
      <c r="G456" s="135">
        <v>1.37</v>
      </c>
      <c r="H456" s="133">
        <v>2022</v>
      </c>
      <c r="I456" s="152" t="s">
        <v>5895</v>
      </c>
    </row>
    <row r="457" spans="1:9" ht="18.75" thickBot="1" x14ac:dyDescent="0.3">
      <c r="A457" s="133" t="str">
        <f t="shared" si="7"/>
        <v>166095N</v>
      </c>
      <c r="B457" s="133" t="s">
        <v>7780</v>
      </c>
      <c r="C457" s="133" t="s">
        <v>7781</v>
      </c>
      <c r="D457" s="133" t="s">
        <v>5504</v>
      </c>
      <c r="E457" s="134"/>
      <c r="F457" s="134">
        <v>1.41</v>
      </c>
      <c r="G457" s="135">
        <v>1.1299999999999999</v>
      </c>
      <c r="H457" s="133">
        <v>2020</v>
      </c>
      <c r="I457" s="152" t="s">
        <v>8513</v>
      </c>
    </row>
    <row r="458" spans="1:9" ht="18.75" thickBot="1" x14ac:dyDescent="0.3">
      <c r="A458" s="133" t="str">
        <f t="shared" si="7"/>
        <v>163708T</v>
      </c>
      <c r="B458" s="133" t="s">
        <v>6287</v>
      </c>
      <c r="C458" s="133" t="s">
        <v>6288</v>
      </c>
      <c r="D458" s="133" t="s">
        <v>5505</v>
      </c>
      <c r="E458" s="134"/>
      <c r="F458" s="134">
        <v>1.94</v>
      </c>
      <c r="G458" s="135">
        <v>1.55</v>
      </c>
      <c r="H458" s="133">
        <v>2024</v>
      </c>
      <c r="I458" s="152" t="s">
        <v>5563</v>
      </c>
    </row>
    <row r="459" spans="1:9" ht="18.75" thickBot="1" x14ac:dyDescent="0.3">
      <c r="A459" s="133" t="str">
        <f t="shared" si="7"/>
        <v>013345H</v>
      </c>
      <c r="B459" s="133" t="s">
        <v>6289</v>
      </c>
      <c r="C459" s="133" t="s">
        <v>6290</v>
      </c>
      <c r="D459" s="133" t="s">
        <v>26</v>
      </c>
      <c r="E459" s="134"/>
      <c r="F459" s="134">
        <v>8.09</v>
      </c>
      <c r="G459" s="135">
        <v>6.47</v>
      </c>
      <c r="H459" s="133">
        <v>2024</v>
      </c>
      <c r="I459" s="152" t="s">
        <v>5912</v>
      </c>
    </row>
    <row r="460" spans="1:9" ht="18.75" thickBot="1" x14ac:dyDescent="0.3">
      <c r="A460" s="133" t="str">
        <f t="shared" si="7"/>
        <v>163976K</v>
      </c>
      <c r="B460" s="133" t="s">
        <v>6291</v>
      </c>
      <c r="C460" s="133" t="s">
        <v>6292</v>
      </c>
      <c r="D460" s="133" t="s">
        <v>5505</v>
      </c>
      <c r="E460" s="134"/>
      <c r="F460" s="134">
        <v>1.61</v>
      </c>
      <c r="G460" s="135">
        <v>1.28</v>
      </c>
      <c r="H460" s="133">
        <v>2024</v>
      </c>
      <c r="I460" s="152" t="s">
        <v>5678</v>
      </c>
    </row>
    <row r="461" spans="1:9" ht="18.75" thickBot="1" x14ac:dyDescent="0.3">
      <c r="A461" s="133" t="str">
        <f t="shared" si="7"/>
        <v>167000X</v>
      </c>
      <c r="B461" s="133" t="s">
        <v>7782</v>
      </c>
      <c r="C461" s="133" t="s">
        <v>7783</v>
      </c>
      <c r="D461" s="133" t="s">
        <v>7537</v>
      </c>
      <c r="E461" s="134"/>
      <c r="F461" s="134">
        <v>0.6</v>
      </c>
      <c r="G461" s="135">
        <v>0.48</v>
      </c>
      <c r="H461" s="133">
        <v>2020</v>
      </c>
      <c r="I461" s="152" t="s">
        <v>5601</v>
      </c>
    </row>
    <row r="462" spans="1:9" ht="18.75" thickBot="1" x14ac:dyDescent="0.3">
      <c r="A462" s="133" t="str">
        <f t="shared" si="7"/>
        <v>013348K</v>
      </c>
      <c r="B462" s="133" t="s">
        <v>7246</v>
      </c>
      <c r="C462" s="133" t="s">
        <v>7247</v>
      </c>
      <c r="D462" s="133" t="s">
        <v>5504</v>
      </c>
      <c r="E462" s="134"/>
      <c r="F462" s="134">
        <v>3.41</v>
      </c>
      <c r="G462" s="135">
        <v>2.73</v>
      </c>
      <c r="H462" s="133">
        <v>2016</v>
      </c>
      <c r="I462" s="152" t="s">
        <v>5710</v>
      </c>
    </row>
    <row r="463" spans="1:9" ht="18.75" thickBot="1" x14ac:dyDescent="0.3">
      <c r="A463" s="133" t="str">
        <f t="shared" si="7"/>
        <v>154866H</v>
      </c>
      <c r="B463" s="133" t="s">
        <v>7784</v>
      </c>
      <c r="C463" s="133" t="s">
        <v>7785</v>
      </c>
      <c r="D463" s="133" t="s">
        <v>7537</v>
      </c>
      <c r="E463" s="134"/>
      <c r="F463" s="134">
        <v>0.91</v>
      </c>
      <c r="G463" s="135">
        <v>0.73</v>
      </c>
      <c r="H463" s="133">
        <v>2015</v>
      </c>
      <c r="I463" s="152" t="s">
        <v>5608</v>
      </c>
    </row>
    <row r="464" spans="1:9" ht="18.75" thickBot="1" x14ac:dyDescent="0.3">
      <c r="A464" s="133" t="str">
        <f t="shared" si="7"/>
        <v>123881R</v>
      </c>
      <c r="B464" s="133" t="s">
        <v>7786</v>
      </c>
      <c r="C464" s="133" t="s">
        <v>7787</v>
      </c>
      <c r="D464" s="133" t="s">
        <v>7537</v>
      </c>
      <c r="E464" s="134"/>
      <c r="F464" s="134">
        <v>0.78</v>
      </c>
      <c r="G464" s="135">
        <v>0.62</v>
      </c>
      <c r="H464" s="133">
        <v>2008</v>
      </c>
      <c r="I464" s="152" t="s">
        <v>5582</v>
      </c>
    </row>
    <row r="465" spans="1:9" ht="18.75" thickBot="1" x14ac:dyDescent="0.3">
      <c r="A465" s="133" t="str">
        <f t="shared" si="7"/>
        <v>013354Q</v>
      </c>
      <c r="B465" s="133" t="s">
        <v>6299</v>
      </c>
      <c r="C465" s="133" t="s">
        <v>6300</v>
      </c>
      <c r="D465" s="133" t="s">
        <v>5504</v>
      </c>
      <c r="E465" s="134"/>
      <c r="F465" s="134">
        <v>2.5299999999999998</v>
      </c>
      <c r="G465" s="135">
        <v>2.02</v>
      </c>
      <c r="H465" s="133">
        <v>2017</v>
      </c>
      <c r="I465" s="152" t="s">
        <v>5657</v>
      </c>
    </row>
    <row r="466" spans="1:9" ht="18.75" thickBot="1" x14ac:dyDescent="0.3">
      <c r="A466" s="133" t="str">
        <f t="shared" si="7"/>
        <v>142395T</v>
      </c>
      <c r="B466" s="133" t="s">
        <v>6301</v>
      </c>
      <c r="C466" s="133" t="s">
        <v>6302</v>
      </c>
      <c r="D466" s="133" t="s">
        <v>5504</v>
      </c>
      <c r="E466" s="134"/>
      <c r="F466" s="134">
        <v>2.48</v>
      </c>
      <c r="G466" s="135">
        <v>1.98</v>
      </c>
      <c r="H466" s="133">
        <v>2014</v>
      </c>
      <c r="I466" s="152" t="s">
        <v>5556</v>
      </c>
    </row>
    <row r="467" spans="1:9" ht="18.75" thickBot="1" x14ac:dyDescent="0.3">
      <c r="A467" s="133" t="str">
        <f t="shared" si="7"/>
        <v>139919N</v>
      </c>
      <c r="B467" s="133" t="s">
        <v>7788</v>
      </c>
      <c r="C467" s="133" t="s">
        <v>7789</v>
      </c>
      <c r="D467" s="133" t="s">
        <v>7537</v>
      </c>
      <c r="E467" s="134"/>
      <c r="F467" s="134">
        <v>0.42</v>
      </c>
      <c r="G467" s="135">
        <v>0.33</v>
      </c>
      <c r="H467" s="133">
        <v>2012</v>
      </c>
      <c r="I467" s="152" t="s">
        <v>5657</v>
      </c>
    </row>
    <row r="468" spans="1:9" ht="18.75" thickBot="1" x14ac:dyDescent="0.3">
      <c r="A468" s="133" t="str">
        <f t="shared" si="7"/>
        <v>013358U</v>
      </c>
      <c r="B468" s="133" t="s">
        <v>6307</v>
      </c>
      <c r="C468" s="133" t="s">
        <v>6308</v>
      </c>
      <c r="D468" s="133" t="s">
        <v>24</v>
      </c>
      <c r="E468" s="134"/>
      <c r="F468" s="134" t="s">
        <v>5552</v>
      </c>
      <c r="G468" s="135">
        <v>13.39</v>
      </c>
      <c r="H468" s="133">
        <v>2013</v>
      </c>
      <c r="I468" s="152" t="s">
        <v>5635</v>
      </c>
    </row>
    <row r="469" spans="1:9" ht="18.75" thickBot="1" x14ac:dyDescent="0.3">
      <c r="A469" s="133" t="str">
        <f t="shared" si="7"/>
        <v>160078Y</v>
      </c>
      <c r="B469" s="133" t="s">
        <v>7790</v>
      </c>
      <c r="C469" s="133" t="s">
        <v>7791</v>
      </c>
      <c r="D469" s="133" t="s">
        <v>7537</v>
      </c>
      <c r="E469" s="134"/>
      <c r="F469" s="134">
        <v>0.36</v>
      </c>
      <c r="G469" s="135">
        <v>0.28999999999999998</v>
      </c>
      <c r="H469" s="133">
        <v>2018</v>
      </c>
      <c r="I469" s="152" t="s">
        <v>5744</v>
      </c>
    </row>
    <row r="470" spans="1:9" ht="18.75" thickBot="1" x14ac:dyDescent="0.3">
      <c r="A470" s="133" t="str">
        <f t="shared" si="7"/>
        <v>174588V</v>
      </c>
      <c r="B470" s="133" t="s">
        <v>6309</v>
      </c>
      <c r="C470" s="133" t="s">
        <v>6310</v>
      </c>
      <c r="D470" s="133" t="s">
        <v>5503</v>
      </c>
      <c r="E470" s="134"/>
      <c r="F470" s="134">
        <v>5.08</v>
      </c>
      <c r="G470" s="135">
        <v>4.0599999999999996</v>
      </c>
      <c r="H470" s="133">
        <v>2022</v>
      </c>
      <c r="I470" s="152" t="s">
        <v>5563</v>
      </c>
    </row>
    <row r="471" spans="1:9" ht="18.75" thickBot="1" x14ac:dyDescent="0.3">
      <c r="A471" s="133" t="str">
        <f t="shared" si="7"/>
        <v>113965H</v>
      </c>
      <c r="B471" s="133" t="s">
        <v>7792</v>
      </c>
      <c r="C471" s="133" t="s">
        <v>7793</v>
      </c>
      <c r="D471" s="133" t="s">
        <v>5504</v>
      </c>
      <c r="E471" s="134"/>
      <c r="F471" s="134">
        <v>2.3199999999999998</v>
      </c>
      <c r="G471" s="135">
        <v>1.85</v>
      </c>
      <c r="H471" s="133">
        <v>2014</v>
      </c>
      <c r="I471" s="152" t="s">
        <v>5587</v>
      </c>
    </row>
    <row r="472" spans="1:9" ht="18.75" thickBot="1" x14ac:dyDescent="0.3">
      <c r="A472" s="133" t="str">
        <f t="shared" si="7"/>
        <v>113957Z</v>
      </c>
      <c r="B472" s="133" t="s">
        <v>6311</v>
      </c>
      <c r="C472" s="133" t="s">
        <v>6312</v>
      </c>
      <c r="D472" s="133" t="s">
        <v>5504</v>
      </c>
      <c r="E472" s="134"/>
      <c r="F472" s="134">
        <v>2.4</v>
      </c>
      <c r="G472" s="135">
        <v>1.92</v>
      </c>
      <c r="H472" s="133">
        <v>2024</v>
      </c>
      <c r="I472" s="152" t="s">
        <v>5630</v>
      </c>
    </row>
    <row r="473" spans="1:9" ht="18.75" thickBot="1" x14ac:dyDescent="0.3">
      <c r="A473" s="133" t="str">
        <f t="shared" si="7"/>
        <v>155028J</v>
      </c>
      <c r="B473" s="133" t="s">
        <v>7248</v>
      </c>
      <c r="C473" s="133" t="s">
        <v>7249</v>
      </c>
      <c r="D473" s="133" t="s">
        <v>5505</v>
      </c>
      <c r="E473" s="134"/>
      <c r="F473" s="134">
        <v>1.61</v>
      </c>
      <c r="G473" s="135">
        <v>1.29</v>
      </c>
      <c r="H473" s="133">
        <v>2024</v>
      </c>
      <c r="I473" s="152" t="s">
        <v>5587</v>
      </c>
    </row>
    <row r="474" spans="1:9" ht="18.75" thickBot="1" x14ac:dyDescent="0.3">
      <c r="A474" s="133" t="str">
        <f t="shared" si="7"/>
        <v>178392E</v>
      </c>
      <c r="B474" s="133" t="s">
        <v>7794</v>
      </c>
      <c r="C474" s="133" t="s">
        <v>7795</v>
      </c>
      <c r="D474" s="133" t="s">
        <v>7537</v>
      </c>
      <c r="E474" s="134"/>
      <c r="F474" s="134">
        <v>0.52</v>
      </c>
      <c r="G474" s="135">
        <v>0.41</v>
      </c>
      <c r="H474" s="133">
        <v>2023</v>
      </c>
      <c r="I474" s="152" t="s">
        <v>5556</v>
      </c>
    </row>
    <row r="475" spans="1:9" ht="18.75" thickBot="1" x14ac:dyDescent="0.3">
      <c r="A475" s="133" t="str">
        <f t="shared" si="7"/>
        <v>122105J</v>
      </c>
      <c r="B475" s="133" t="s">
        <v>6313</v>
      </c>
      <c r="C475" s="133" t="s">
        <v>6314</v>
      </c>
      <c r="D475" s="133" t="s">
        <v>5505</v>
      </c>
      <c r="E475" s="134"/>
      <c r="F475" s="134">
        <v>1.33</v>
      </c>
      <c r="G475" s="135">
        <v>1.06</v>
      </c>
      <c r="H475" s="133">
        <v>2024</v>
      </c>
      <c r="I475" s="152" t="s">
        <v>5787</v>
      </c>
    </row>
    <row r="476" spans="1:9" ht="18.75" thickBot="1" x14ac:dyDescent="0.3">
      <c r="A476" s="133" t="str">
        <f t="shared" si="7"/>
        <v>109512A</v>
      </c>
      <c r="B476" s="133" t="s">
        <v>6315</v>
      </c>
      <c r="C476" s="133" t="s">
        <v>6316</v>
      </c>
      <c r="D476" s="133" t="s">
        <v>24</v>
      </c>
      <c r="E476" s="134"/>
      <c r="F476" s="134" t="s">
        <v>5552</v>
      </c>
      <c r="G476" s="135">
        <v>10.09</v>
      </c>
      <c r="H476" s="133">
        <v>2017</v>
      </c>
      <c r="I476" s="152" t="s">
        <v>5654</v>
      </c>
    </row>
    <row r="477" spans="1:9" ht="18.75" thickBot="1" x14ac:dyDescent="0.3">
      <c r="A477" s="133" t="str">
        <f t="shared" si="7"/>
        <v>120412G</v>
      </c>
      <c r="B477" s="133" t="s">
        <v>6317</v>
      </c>
      <c r="C477" s="133" t="s">
        <v>6318</v>
      </c>
      <c r="D477" s="133" t="s">
        <v>5505</v>
      </c>
      <c r="E477" s="134"/>
      <c r="F477" s="134">
        <v>1.26</v>
      </c>
      <c r="G477" s="135">
        <v>1</v>
      </c>
      <c r="H477" s="133">
        <v>2009</v>
      </c>
      <c r="I477" s="152" t="s">
        <v>5601</v>
      </c>
    </row>
    <row r="478" spans="1:9" ht="18.75" thickBot="1" x14ac:dyDescent="0.3">
      <c r="A478" s="133" t="str">
        <f t="shared" si="7"/>
        <v>013365B</v>
      </c>
      <c r="B478" s="133" t="s">
        <v>6319</v>
      </c>
      <c r="C478" s="133" t="s">
        <v>6320</v>
      </c>
      <c r="D478" s="133" t="s">
        <v>5562</v>
      </c>
      <c r="E478" s="134"/>
      <c r="F478" s="134">
        <v>5.72</v>
      </c>
      <c r="G478" s="135">
        <v>4.57</v>
      </c>
      <c r="H478" s="133">
        <v>2024</v>
      </c>
      <c r="I478" s="152" t="s">
        <v>5705</v>
      </c>
    </row>
    <row r="479" spans="1:9" ht="18.75" thickBot="1" x14ac:dyDescent="0.3">
      <c r="A479" s="133" t="str">
        <f t="shared" si="7"/>
        <v>013370G</v>
      </c>
      <c r="B479" s="133" t="s">
        <v>6321</v>
      </c>
      <c r="C479" s="133" t="s">
        <v>6322</v>
      </c>
      <c r="D479" s="133" t="s">
        <v>7537</v>
      </c>
      <c r="E479" s="134"/>
      <c r="F479" s="134">
        <v>1.1399999999999999</v>
      </c>
      <c r="G479" s="135">
        <v>0.91</v>
      </c>
      <c r="H479" s="133">
        <v>2012</v>
      </c>
      <c r="I479" s="152" t="s">
        <v>5912</v>
      </c>
    </row>
    <row r="480" spans="1:9" ht="18.75" thickBot="1" x14ac:dyDescent="0.3">
      <c r="A480" s="133" t="str">
        <f t="shared" si="7"/>
        <v>142465L</v>
      </c>
      <c r="B480" s="133" t="s">
        <v>7796</v>
      </c>
      <c r="C480" s="133" t="s">
        <v>7797</v>
      </c>
      <c r="D480" s="133" t="s">
        <v>5504</v>
      </c>
      <c r="E480" s="134"/>
      <c r="F480" s="134">
        <v>2.38</v>
      </c>
      <c r="G480" s="135">
        <v>1.9</v>
      </c>
      <c r="H480" s="133">
        <v>2012</v>
      </c>
      <c r="I480" s="152" t="s">
        <v>5651</v>
      </c>
    </row>
    <row r="481" spans="1:9" ht="18.75" thickBot="1" x14ac:dyDescent="0.3">
      <c r="A481" s="133" t="str">
        <f t="shared" si="7"/>
        <v>170231J</v>
      </c>
      <c r="B481" s="133" t="s">
        <v>7798</v>
      </c>
      <c r="C481" s="133" t="s">
        <v>7799</v>
      </c>
      <c r="D481" s="133" t="s">
        <v>5505</v>
      </c>
      <c r="E481" s="134"/>
      <c r="F481" s="134">
        <v>1.52</v>
      </c>
      <c r="G481" s="135">
        <v>1.21</v>
      </c>
      <c r="H481" s="133">
        <v>2024</v>
      </c>
      <c r="I481" s="152" t="s">
        <v>5587</v>
      </c>
    </row>
    <row r="482" spans="1:9" ht="18.75" thickBot="1" x14ac:dyDescent="0.3">
      <c r="A482" s="133" t="str">
        <f t="shared" si="7"/>
        <v>160101Y</v>
      </c>
      <c r="B482" s="133" t="s">
        <v>6329</v>
      </c>
      <c r="C482" s="133" t="s">
        <v>6330</v>
      </c>
      <c r="D482" s="133" t="s">
        <v>5505</v>
      </c>
      <c r="E482" s="134"/>
      <c r="F482" s="134">
        <v>1.71</v>
      </c>
      <c r="G482" s="135">
        <v>1.37</v>
      </c>
      <c r="H482" s="133">
        <v>2024</v>
      </c>
      <c r="I482" s="152" t="s">
        <v>5726</v>
      </c>
    </row>
    <row r="483" spans="1:9" ht="18.75" thickBot="1" x14ac:dyDescent="0.3">
      <c r="A483" s="133" t="str">
        <f t="shared" si="7"/>
        <v>111882E</v>
      </c>
      <c r="B483" s="133" t="s">
        <v>7250</v>
      </c>
      <c r="C483" s="133" t="s">
        <v>7251</v>
      </c>
      <c r="D483" s="133" t="s">
        <v>5505</v>
      </c>
      <c r="E483" s="134"/>
      <c r="F483" s="134">
        <v>2.14</v>
      </c>
      <c r="G483" s="135">
        <v>1.71</v>
      </c>
      <c r="H483" s="133">
        <v>2009</v>
      </c>
      <c r="I483" s="152" t="s">
        <v>5678</v>
      </c>
    </row>
    <row r="484" spans="1:9" ht="18.75" thickBot="1" x14ac:dyDescent="0.3">
      <c r="A484" s="133" t="str">
        <f t="shared" si="7"/>
        <v>140369V</v>
      </c>
      <c r="B484" s="133" t="s">
        <v>7800</v>
      </c>
      <c r="C484" s="133" t="s">
        <v>7801</v>
      </c>
      <c r="D484" s="133" t="s">
        <v>5504</v>
      </c>
      <c r="E484" s="134"/>
      <c r="F484" s="134">
        <v>1.89</v>
      </c>
      <c r="G484" s="135">
        <v>1.51</v>
      </c>
      <c r="H484" s="133">
        <v>2019</v>
      </c>
      <c r="I484" s="152" t="s">
        <v>5587</v>
      </c>
    </row>
    <row r="485" spans="1:9" ht="18.75" thickBot="1" x14ac:dyDescent="0.3">
      <c r="A485" s="133" t="str">
        <f t="shared" si="7"/>
        <v>120252C</v>
      </c>
      <c r="B485" s="133" t="s">
        <v>6333</v>
      </c>
      <c r="C485" s="133" t="s">
        <v>6334</v>
      </c>
      <c r="D485" s="133" t="s">
        <v>5505</v>
      </c>
      <c r="E485" s="134"/>
      <c r="F485" s="134">
        <v>1.27</v>
      </c>
      <c r="G485" s="135">
        <v>1.02</v>
      </c>
      <c r="H485" s="133">
        <v>2022</v>
      </c>
      <c r="I485" s="152" t="s">
        <v>5573</v>
      </c>
    </row>
    <row r="486" spans="1:9" ht="18.75" thickBot="1" x14ac:dyDescent="0.3">
      <c r="A486" s="133" t="str">
        <f t="shared" si="7"/>
        <v>142208O</v>
      </c>
      <c r="B486" s="133" t="s">
        <v>6335</v>
      </c>
      <c r="C486" s="133" t="s">
        <v>6336</v>
      </c>
      <c r="D486" s="133" t="s">
        <v>5505</v>
      </c>
      <c r="E486" s="134"/>
      <c r="F486" s="134">
        <v>1.85</v>
      </c>
      <c r="G486" s="135">
        <v>1.48</v>
      </c>
      <c r="H486" s="133">
        <v>2012</v>
      </c>
      <c r="I486" s="152" t="s">
        <v>5559</v>
      </c>
    </row>
    <row r="487" spans="1:9" ht="18.75" thickBot="1" x14ac:dyDescent="0.3">
      <c r="A487" s="133" t="str">
        <f t="shared" si="7"/>
        <v>169100E</v>
      </c>
      <c r="B487" s="133" t="s">
        <v>8547</v>
      </c>
      <c r="C487" s="133" t="s">
        <v>8548</v>
      </c>
      <c r="D487" s="133" t="s">
        <v>7543</v>
      </c>
      <c r="E487" s="134"/>
      <c r="F487" s="134">
        <v>1.83</v>
      </c>
      <c r="G487" s="135">
        <v>1.47</v>
      </c>
      <c r="H487" s="133">
        <v>2024</v>
      </c>
      <c r="I487" s="152" t="s">
        <v>5895</v>
      </c>
    </row>
    <row r="488" spans="1:9" ht="18.75" thickBot="1" x14ac:dyDescent="0.3">
      <c r="A488" s="133" t="str">
        <f t="shared" si="7"/>
        <v>013387X</v>
      </c>
      <c r="B488" s="133" t="s">
        <v>7802</v>
      </c>
      <c r="C488" s="133" t="s">
        <v>7803</v>
      </c>
      <c r="D488" s="133" t="s">
        <v>5505</v>
      </c>
      <c r="E488" s="134"/>
      <c r="F488" s="134">
        <v>1</v>
      </c>
      <c r="G488" s="135">
        <v>0.8</v>
      </c>
      <c r="H488" s="133">
        <v>2010</v>
      </c>
      <c r="I488" s="152" t="s">
        <v>5705</v>
      </c>
    </row>
    <row r="489" spans="1:9" ht="18.75" thickBot="1" x14ac:dyDescent="0.3">
      <c r="A489" s="133" t="str">
        <f t="shared" si="7"/>
        <v>013388Y</v>
      </c>
      <c r="B489" s="133" t="s">
        <v>7804</v>
      </c>
      <c r="C489" s="133" t="s">
        <v>7805</v>
      </c>
      <c r="D489" s="133" t="s">
        <v>5504</v>
      </c>
      <c r="E489" s="134"/>
      <c r="F489" s="134">
        <v>2.69</v>
      </c>
      <c r="G489" s="135">
        <v>2.15</v>
      </c>
      <c r="H489" s="133">
        <v>2024</v>
      </c>
      <c r="I489" s="152" t="s">
        <v>5912</v>
      </c>
    </row>
    <row r="490" spans="1:9" ht="18.75" thickBot="1" x14ac:dyDescent="0.3">
      <c r="A490" s="133" t="str">
        <f t="shared" si="7"/>
        <v>017581F</v>
      </c>
      <c r="B490" s="133" t="s">
        <v>6337</v>
      </c>
      <c r="C490" s="133" t="s">
        <v>6338</v>
      </c>
      <c r="D490" s="133" t="s">
        <v>5765</v>
      </c>
      <c r="E490" s="134"/>
      <c r="F490" s="134" t="s">
        <v>5552</v>
      </c>
      <c r="G490" s="135">
        <v>37</v>
      </c>
      <c r="H490" s="133">
        <v>2023</v>
      </c>
      <c r="I490" s="152" t="s">
        <v>5615</v>
      </c>
    </row>
    <row r="491" spans="1:9" ht="18.75" thickBot="1" x14ac:dyDescent="0.3">
      <c r="A491" s="133" t="str">
        <f t="shared" si="7"/>
        <v>127813X</v>
      </c>
      <c r="B491" s="133" t="s">
        <v>7806</v>
      </c>
      <c r="C491" s="133" t="s">
        <v>7807</v>
      </c>
      <c r="D491" s="133" t="s">
        <v>7537</v>
      </c>
      <c r="E491" s="134"/>
      <c r="F491" s="134">
        <v>0.88</v>
      </c>
      <c r="G491" s="135">
        <v>0.71</v>
      </c>
      <c r="H491" s="133">
        <v>2009</v>
      </c>
      <c r="I491" s="152" t="s">
        <v>5594</v>
      </c>
    </row>
    <row r="492" spans="1:9" ht="18.75" thickBot="1" x14ac:dyDescent="0.3">
      <c r="A492" s="133" t="str">
        <f t="shared" si="7"/>
        <v>137895R</v>
      </c>
      <c r="B492" s="133" t="s">
        <v>6339</v>
      </c>
      <c r="C492" s="133" t="s">
        <v>6340</v>
      </c>
      <c r="D492" s="133" t="s">
        <v>5505</v>
      </c>
      <c r="E492" s="134"/>
      <c r="F492" s="134">
        <v>1.6</v>
      </c>
      <c r="G492" s="135">
        <v>1.28</v>
      </c>
      <c r="H492" s="133">
        <v>2023</v>
      </c>
      <c r="I492" s="152" t="s">
        <v>5556</v>
      </c>
    </row>
    <row r="493" spans="1:9" ht="18.75" thickBot="1" x14ac:dyDescent="0.3">
      <c r="A493" s="133" t="str">
        <f t="shared" si="7"/>
        <v>143257X</v>
      </c>
      <c r="B493" s="133" t="s">
        <v>6345</v>
      </c>
      <c r="C493" s="133" t="s">
        <v>6346</v>
      </c>
      <c r="D493" s="133" t="s">
        <v>26</v>
      </c>
      <c r="E493" s="134"/>
      <c r="F493" s="134">
        <v>6.95</v>
      </c>
      <c r="G493" s="135">
        <v>5.56</v>
      </c>
      <c r="H493" s="133">
        <v>2018</v>
      </c>
      <c r="I493" s="152" t="s">
        <v>5744</v>
      </c>
    </row>
    <row r="494" spans="1:9" ht="18.75" thickBot="1" x14ac:dyDescent="0.3">
      <c r="A494" s="133" t="str">
        <f t="shared" si="7"/>
        <v>013399J</v>
      </c>
      <c r="B494" s="133" t="s">
        <v>6349</v>
      </c>
      <c r="C494" s="133" t="s">
        <v>6350</v>
      </c>
      <c r="D494" s="133" t="s">
        <v>26</v>
      </c>
      <c r="E494" s="134"/>
      <c r="F494" s="134">
        <v>4.25</v>
      </c>
      <c r="G494" s="135">
        <v>3.4</v>
      </c>
      <c r="H494" s="133">
        <v>2023</v>
      </c>
      <c r="I494" s="152" t="s">
        <v>5895</v>
      </c>
    </row>
    <row r="495" spans="1:9" ht="18.75" thickBot="1" x14ac:dyDescent="0.3">
      <c r="A495" s="133" t="str">
        <f t="shared" si="7"/>
        <v>163055J</v>
      </c>
      <c r="B495" s="133" t="s">
        <v>7808</v>
      </c>
      <c r="C495" s="133" t="s">
        <v>7809</v>
      </c>
      <c r="D495" s="133" t="s">
        <v>7537</v>
      </c>
      <c r="E495" s="134"/>
      <c r="F495" s="134">
        <v>0.51</v>
      </c>
      <c r="G495" s="135">
        <v>0.41</v>
      </c>
      <c r="H495" s="133">
        <v>2019</v>
      </c>
      <c r="I495" s="152" t="s">
        <v>5787</v>
      </c>
    </row>
    <row r="496" spans="1:9" ht="18.75" thickBot="1" x14ac:dyDescent="0.3">
      <c r="A496" s="133" t="str">
        <f t="shared" si="7"/>
        <v>118718C</v>
      </c>
      <c r="B496" s="133" t="s">
        <v>6353</v>
      </c>
      <c r="C496" s="133" t="s">
        <v>1442</v>
      </c>
      <c r="D496" s="133" t="s">
        <v>26</v>
      </c>
      <c r="E496" s="134"/>
      <c r="F496" s="134">
        <v>2.2000000000000002</v>
      </c>
      <c r="G496" s="135">
        <v>1.76</v>
      </c>
      <c r="H496" s="133">
        <v>2022</v>
      </c>
      <c r="I496" s="152" t="s">
        <v>5566</v>
      </c>
    </row>
    <row r="497" spans="1:9" ht="18.75" thickBot="1" x14ac:dyDescent="0.3">
      <c r="A497" s="133" t="str">
        <f t="shared" si="7"/>
        <v>156772E</v>
      </c>
      <c r="B497" s="133" t="s">
        <v>7810</v>
      </c>
      <c r="C497" s="133" t="s">
        <v>7811</v>
      </c>
      <c r="D497" s="133" t="s">
        <v>7537</v>
      </c>
      <c r="E497" s="134"/>
      <c r="F497" s="134">
        <v>0.39</v>
      </c>
      <c r="G497" s="135">
        <v>0.31</v>
      </c>
      <c r="H497" s="133">
        <v>2018</v>
      </c>
      <c r="I497" s="152" t="s">
        <v>5553</v>
      </c>
    </row>
    <row r="498" spans="1:9" ht="18.75" thickBot="1" x14ac:dyDescent="0.3">
      <c r="A498" s="133" t="str">
        <f t="shared" si="7"/>
        <v>156773F</v>
      </c>
      <c r="B498" s="133" t="s">
        <v>7812</v>
      </c>
      <c r="C498" s="133" t="s">
        <v>7813</v>
      </c>
      <c r="D498" s="133" t="s">
        <v>7537</v>
      </c>
      <c r="E498" s="134"/>
      <c r="F498" s="134">
        <v>0.48</v>
      </c>
      <c r="G498" s="135">
        <v>0.39</v>
      </c>
      <c r="H498" s="133">
        <v>2018</v>
      </c>
      <c r="I498" s="152" t="s">
        <v>5553</v>
      </c>
    </row>
    <row r="499" spans="1:9" ht="18.75" thickBot="1" x14ac:dyDescent="0.3">
      <c r="A499" s="133" t="str">
        <f t="shared" si="7"/>
        <v>182483B</v>
      </c>
      <c r="B499" s="133" t="s">
        <v>8549</v>
      </c>
      <c r="C499" s="133" t="s">
        <v>8550</v>
      </c>
      <c r="D499" s="133" t="s">
        <v>7560</v>
      </c>
      <c r="E499" s="134"/>
      <c r="F499" s="134">
        <v>0.47</v>
      </c>
      <c r="G499" s="135">
        <v>0.37</v>
      </c>
      <c r="H499" s="133">
        <v>2024</v>
      </c>
      <c r="I499" s="152" t="s">
        <v>5726</v>
      </c>
    </row>
    <row r="500" spans="1:9" ht="18.75" thickBot="1" x14ac:dyDescent="0.3">
      <c r="A500" s="133" t="str">
        <f t="shared" si="7"/>
        <v>114621N</v>
      </c>
      <c r="B500" s="133" t="s">
        <v>7814</v>
      </c>
      <c r="C500" s="133" t="s">
        <v>7815</v>
      </c>
      <c r="D500" s="133" t="s">
        <v>7537</v>
      </c>
      <c r="E500" s="134"/>
      <c r="F500" s="134">
        <v>1.03</v>
      </c>
      <c r="G500" s="135">
        <v>0.82</v>
      </c>
      <c r="H500" s="133">
        <v>2016</v>
      </c>
      <c r="I500" s="152" t="s">
        <v>8513</v>
      </c>
    </row>
    <row r="501" spans="1:9" ht="18.75" thickBot="1" x14ac:dyDescent="0.3">
      <c r="A501" s="133" t="str">
        <f t="shared" si="7"/>
        <v>179101A</v>
      </c>
      <c r="B501" s="133" t="s">
        <v>8551</v>
      </c>
      <c r="C501" s="133" t="s">
        <v>8552</v>
      </c>
      <c r="D501" s="133" t="s">
        <v>7560</v>
      </c>
      <c r="E501" s="134"/>
      <c r="F501" s="134">
        <v>0.94</v>
      </c>
      <c r="G501" s="135">
        <v>0.75</v>
      </c>
      <c r="H501" s="133">
        <v>2024</v>
      </c>
      <c r="I501" s="152" t="s">
        <v>5563</v>
      </c>
    </row>
    <row r="502" spans="1:9" ht="18.75" thickBot="1" x14ac:dyDescent="0.3">
      <c r="A502" s="133" t="str">
        <f t="shared" si="7"/>
        <v>013406Q</v>
      </c>
      <c r="B502" s="133" t="s">
        <v>6354</v>
      </c>
      <c r="C502" s="133" t="s">
        <v>6355</v>
      </c>
      <c r="D502" s="133" t="s">
        <v>7537</v>
      </c>
      <c r="E502" s="134"/>
      <c r="F502" s="134">
        <v>0.83</v>
      </c>
      <c r="G502" s="135">
        <v>0.66</v>
      </c>
      <c r="H502" s="133">
        <v>2009</v>
      </c>
      <c r="I502" s="152" t="s">
        <v>5559</v>
      </c>
    </row>
    <row r="503" spans="1:9" ht="18.75" thickBot="1" x14ac:dyDescent="0.3">
      <c r="A503" s="133" t="str">
        <f t="shared" si="7"/>
        <v>136976I</v>
      </c>
      <c r="B503" s="133" t="s">
        <v>7252</v>
      </c>
      <c r="C503" s="133" t="s">
        <v>7253</v>
      </c>
      <c r="D503" s="133" t="s">
        <v>5504</v>
      </c>
      <c r="E503" s="134"/>
      <c r="F503" s="134">
        <v>3.63</v>
      </c>
      <c r="G503" s="135">
        <v>2.9</v>
      </c>
      <c r="H503" s="133">
        <v>2011</v>
      </c>
      <c r="I503" s="152" t="s">
        <v>5787</v>
      </c>
    </row>
    <row r="504" spans="1:9" ht="18.75" thickBot="1" x14ac:dyDescent="0.3">
      <c r="A504" s="133" t="str">
        <f t="shared" si="7"/>
        <v>124758K</v>
      </c>
      <c r="B504" s="133" t="s">
        <v>6356</v>
      </c>
      <c r="C504" s="133" t="s">
        <v>6357</v>
      </c>
      <c r="D504" s="133" t="s">
        <v>5505</v>
      </c>
      <c r="E504" s="134"/>
      <c r="F504" s="134">
        <v>2.16</v>
      </c>
      <c r="G504" s="135">
        <v>1.72</v>
      </c>
      <c r="H504" s="133">
        <v>2024</v>
      </c>
      <c r="I504" s="152" t="s">
        <v>5625</v>
      </c>
    </row>
    <row r="505" spans="1:9" ht="18.75" thickBot="1" x14ac:dyDescent="0.3">
      <c r="A505" s="133" t="str">
        <f t="shared" si="7"/>
        <v>013415Z</v>
      </c>
      <c r="B505" s="133" t="s">
        <v>6358</v>
      </c>
      <c r="C505" s="133" t="s">
        <v>6359</v>
      </c>
      <c r="D505" s="133" t="s">
        <v>5597</v>
      </c>
      <c r="E505" s="134"/>
      <c r="F505" s="134">
        <v>4.2300000000000004</v>
      </c>
      <c r="G505" s="135">
        <v>3.39</v>
      </c>
      <c r="H505" s="133">
        <v>2024</v>
      </c>
      <c r="I505" s="152" t="s">
        <v>5582</v>
      </c>
    </row>
    <row r="506" spans="1:9" ht="18.75" thickBot="1" x14ac:dyDescent="0.3">
      <c r="A506" s="133" t="str">
        <f t="shared" si="7"/>
        <v>013421F</v>
      </c>
      <c r="B506" s="133" t="s">
        <v>6360</v>
      </c>
      <c r="C506" s="133" t="s">
        <v>6361</v>
      </c>
      <c r="D506" s="133" t="s">
        <v>7537</v>
      </c>
      <c r="E506" s="134"/>
      <c r="F506" s="134">
        <v>0.84</v>
      </c>
      <c r="G506" s="135">
        <v>0.67</v>
      </c>
      <c r="H506" s="133">
        <v>2024</v>
      </c>
      <c r="I506" s="152" t="s">
        <v>5573</v>
      </c>
    </row>
    <row r="507" spans="1:9" ht="18.75" thickBot="1" x14ac:dyDescent="0.3">
      <c r="A507" s="133" t="str">
        <f t="shared" si="7"/>
        <v>013423H</v>
      </c>
      <c r="B507" s="133" t="s">
        <v>6362</v>
      </c>
      <c r="C507" s="133" t="s">
        <v>6363</v>
      </c>
      <c r="D507" s="133" t="s">
        <v>26</v>
      </c>
      <c r="E507" s="134"/>
      <c r="F507" s="134">
        <v>7.48</v>
      </c>
      <c r="G507" s="135">
        <v>5.98</v>
      </c>
      <c r="H507" s="133">
        <v>2024</v>
      </c>
      <c r="I507" s="152" t="s">
        <v>5787</v>
      </c>
    </row>
    <row r="508" spans="1:9" ht="18.75" thickBot="1" x14ac:dyDescent="0.3">
      <c r="A508" s="133" t="str">
        <f t="shared" si="7"/>
        <v>135095Z</v>
      </c>
      <c r="B508" s="133" t="s">
        <v>7816</v>
      </c>
      <c r="C508" s="133" t="s">
        <v>7817</v>
      </c>
      <c r="D508" s="133" t="s">
        <v>7537</v>
      </c>
      <c r="E508" s="134"/>
      <c r="F508" s="134">
        <v>0.81</v>
      </c>
      <c r="G508" s="135">
        <v>0.65</v>
      </c>
      <c r="H508" s="133">
        <v>2012</v>
      </c>
      <c r="I508" s="152" t="s">
        <v>5657</v>
      </c>
    </row>
    <row r="509" spans="1:9" ht="18.75" thickBot="1" x14ac:dyDescent="0.3">
      <c r="A509" s="133" t="str">
        <f t="shared" si="7"/>
        <v>173614L</v>
      </c>
      <c r="B509" s="133" t="s">
        <v>8553</v>
      </c>
      <c r="C509" s="133" t="s">
        <v>8554</v>
      </c>
      <c r="D509" s="133" t="s">
        <v>7560</v>
      </c>
      <c r="E509" s="134"/>
      <c r="F509" s="134">
        <v>0.88</v>
      </c>
      <c r="G509" s="135">
        <v>0.7</v>
      </c>
      <c r="H509" s="133">
        <v>2024</v>
      </c>
      <c r="I509" s="152" t="s">
        <v>5768</v>
      </c>
    </row>
    <row r="510" spans="1:9" ht="18.75" thickBot="1" x14ac:dyDescent="0.3">
      <c r="A510" s="133" t="str">
        <f t="shared" si="7"/>
        <v>139918M</v>
      </c>
      <c r="B510" s="133" t="s">
        <v>6364</v>
      </c>
      <c r="C510" s="133" t="s">
        <v>6365</v>
      </c>
      <c r="D510" s="133" t="s">
        <v>7537</v>
      </c>
      <c r="E510" s="134"/>
      <c r="F510" s="134">
        <v>1.1599999999999999</v>
      </c>
      <c r="G510" s="135">
        <v>0.93</v>
      </c>
      <c r="H510" s="133">
        <v>2013</v>
      </c>
      <c r="I510" s="152" t="s">
        <v>5657</v>
      </c>
    </row>
    <row r="511" spans="1:9" ht="18.75" thickBot="1" x14ac:dyDescent="0.3">
      <c r="A511" s="133" t="str">
        <f t="shared" si="7"/>
        <v>141149V</v>
      </c>
      <c r="B511" s="133" t="s">
        <v>6366</v>
      </c>
      <c r="C511" s="133" t="s">
        <v>6367</v>
      </c>
      <c r="D511" s="133" t="s">
        <v>5505</v>
      </c>
      <c r="E511" s="134"/>
      <c r="F511" s="134">
        <v>1.87</v>
      </c>
      <c r="G511" s="135">
        <v>1.49</v>
      </c>
      <c r="H511" s="133">
        <v>2014</v>
      </c>
      <c r="I511" s="152" t="s">
        <v>5792</v>
      </c>
    </row>
    <row r="512" spans="1:9" ht="18.75" thickBot="1" x14ac:dyDescent="0.3">
      <c r="A512" s="133" t="str">
        <f t="shared" si="7"/>
        <v>013425J</v>
      </c>
      <c r="B512" s="133" t="s">
        <v>6368</v>
      </c>
      <c r="C512" s="133" t="s">
        <v>6369</v>
      </c>
      <c r="D512" s="133" t="s">
        <v>5503</v>
      </c>
      <c r="E512" s="134"/>
      <c r="F512" s="134">
        <v>5.17</v>
      </c>
      <c r="G512" s="135">
        <v>4.13</v>
      </c>
      <c r="H512" s="133">
        <v>2024</v>
      </c>
      <c r="I512" s="152" t="s">
        <v>5563</v>
      </c>
    </row>
    <row r="513" spans="1:9" ht="18.75" thickBot="1" x14ac:dyDescent="0.3">
      <c r="A513" s="133" t="str">
        <f t="shared" si="7"/>
        <v>129520O</v>
      </c>
      <c r="B513" s="133" t="s">
        <v>7818</v>
      </c>
      <c r="C513" s="133" t="s">
        <v>7819</v>
      </c>
      <c r="D513" s="133" t="s">
        <v>5505</v>
      </c>
      <c r="E513" s="134"/>
      <c r="F513" s="134">
        <v>1.53</v>
      </c>
      <c r="G513" s="135">
        <v>1.22</v>
      </c>
      <c r="H513" s="133">
        <v>2024</v>
      </c>
      <c r="I513" s="152" t="s">
        <v>5559</v>
      </c>
    </row>
    <row r="514" spans="1:9" ht="18.75" thickBot="1" x14ac:dyDescent="0.3">
      <c r="A514" s="133" t="str">
        <f t="shared" ref="A514:A577" si="8">SUBSTITUTE(B514,CHAR(32),"")</f>
        <v>013428M</v>
      </c>
      <c r="B514" s="133" t="s">
        <v>6370</v>
      </c>
      <c r="C514" s="133" t="s">
        <v>6371</v>
      </c>
      <c r="D514" s="133" t="s">
        <v>5704</v>
      </c>
      <c r="E514" s="134"/>
      <c r="F514" s="134">
        <v>1.76</v>
      </c>
      <c r="G514" s="135">
        <v>1.41</v>
      </c>
      <c r="H514" s="133">
        <v>2024</v>
      </c>
      <c r="I514" s="152" t="s">
        <v>5678</v>
      </c>
    </row>
    <row r="515" spans="1:9" ht="18.75" thickBot="1" x14ac:dyDescent="0.3">
      <c r="A515" s="133" t="str">
        <f t="shared" si="8"/>
        <v>103463J</v>
      </c>
      <c r="B515" s="133" t="s">
        <v>7820</v>
      </c>
      <c r="C515" s="133" t="s">
        <v>7821</v>
      </c>
      <c r="D515" s="133" t="s">
        <v>5505</v>
      </c>
      <c r="E515" s="134"/>
      <c r="F515" s="134">
        <v>1.79</v>
      </c>
      <c r="G515" s="135">
        <v>1.43</v>
      </c>
      <c r="H515" s="133">
        <v>2015</v>
      </c>
      <c r="I515" s="152" t="s">
        <v>5559</v>
      </c>
    </row>
    <row r="516" spans="1:9" ht="18.75" thickBot="1" x14ac:dyDescent="0.3">
      <c r="A516" s="133" t="str">
        <f t="shared" si="8"/>
        <v>151748T</v>
      </c>
      <c r="B516" s="133" t="s">
        <v>7822</v>
      </c>
      <c r="C516" s="133" t="s">
        <v>7823</v>
      </c>
      <c r="D516" s="133" t="s">
        <v>7537</v>
      </c>
      <c r="E516" s="134"/>
      <c r="F516" s="134">
        <v>0.33</v>
      </c>
      <c r="G516" s="135">
        <v>0.26</v>
      </c>
      <c r="H516" s="133">
        <v>2015</v>
      </c>
      <c r="I516" s="152" t="s">
        <v>5895</v>
      </c>
    </row>
    <row r="517" spans="1:9" ht="18.75" thickBot="1" x14ac:dyDescent="0.3">
      <c r="A517" s="133" t="str">
        <f t="shared" si="8"/>
        <v>132470A</v>
      </c>
      <c r="B517" s="133" t="s">
        <v>6372</v>
      </c>
      <c r="C517" s="133" t="s">
        <v>6373</v>
      </c>
      <c r="D517" s="133" t="s">
        <v>5505</v>
      </c>
      <c r="E517" s="134"/>
      <c r="F517" s="134">
        <v>2.17</v>
      </c>
      <c r="G517" s="135">
        <v>1.73</v>
      </c>
      <c r="H517" s="133">
        <v>2019</v>
      </c>
      <c r="I517" s="152" t="s">
        <v>5630</v>
      </c>
    </row>
    <row r="518" spans="1:9" ht="18.75" thickBot="1" x14ac:dyDescent="0.3">
      <c r="A518" s="133" t="str">
        <f t="shared" si="8"/>
        <v>156723B</v>
      </c>
      <c r="B518" s="133" t="s">
        <v>7824</v>
      </c>
      <c r="C518" s="133" t="s">
        <v>7825</v>
      </c>
      <c r="D518" s="133" t="s">
        <v>7537</v>
      </c>
      <c r="E518" s="134"/>
      <c r="F518" s="134">
        <v>0.45</v>
      </c>
      <c r="G518" s="135">
        <v>0.36</v>
      </c>
      <c r="H518" s="133">
        <v>2016</v>
      </c>
      <c r="I518" s="152" t="s">
        <v>5895</v>
      </c>
    </row>
    <row r="519" spans="1:9" ht="18.75" thickBot="1" x14ac:dyDescent="0.3">
      <c r="A519" s="133" t="str">
        <f t="shared" si="8"/>
        <v>119233X</v>
      </c>
      <c r="B519" s="133" t="s">
        <v>7254</v>
      </c>
      <c r="C519" s="133" t="s">
        <v>7255</v>
      </c>
      <c r="D519" s="133" t="s">
        <v>5505</v>
      </c>
      <c r="E519" s="134"/>
      <c r="F519" s="134">
        <v>1.47</v>
      </c>
      <c r="G519" s="135">
        <v>1.17</v>
      </c>
      <c r="H519" s="133">
        <v>2013</v>
      </c>
      <c r="I519" s="152" t="s">
        <v>5573</v>
      </c>
    </row>
    <row r="520" spans="1:9" ht="18.75" thickBot="1" x14ac:dyDescent="0.3">
      <c r="A520" s="133" t="str">
        <f t="shared" si="8"/>
        <v>140940U</v>
      </c>
      <c r="B520" s="133" t="s">
        <v>7826</v>
      </c>
      <c r="C520" s="133" t="s">
        <v>7827</v>
      </c>
      <c r="D520" s="133" t="s">
        <v>7537</v>
      </c>
      <c r="E520" s="134"/>
      <c r="F520" s="134">
        <v>0.83</v>
      </c>
      <c r="G520" s="135">
        <v>0.66</v>
      </c>
      <c r="H520" s="133">
        <v>2012</v>
      </c>
      <c r="I520" s="152" t="s">
        <v>5601</v>
      </c>
    </row>
    <row r="521" spans="1:9" ht="18.75" thickBot="1" x14ac:dyDescent="0.3">
      <c r="A521" s="133" t="str">
        <f t="shared" si="8"/>
        <v>118148E</v>
      </c>
      <c r="B521" s="133" t="s">
        <v>6382</v>
      </c>
      <c r="C521" s="133" t="s">
        <v>6383</v>
      </c>
      <c r="D521" s="133" t="s">
        <v>5504</v>
      </c>
      <c r="E521" s="134"/>
      <c r="F521" s="134">
        <v>3.01</v>
      </c>
      <c r="G521" s="135">
        <v>2.41</v>
      </c>
      <c r="H521" s="133">
        <v>2013</v>
      </c>
      <c r="I521" s="152" t="s">
        <v>5559</v>
      </c>
    </row>
    <row r="522" spans="1:9" ht="18.75" thickBot="1" x14ac:dyDescent="0.3">
      <c r="A522" s="133" t="str">
        <f t="shared" si="8"/>
        <v>132888C</v>
      </c>
      <c r="B522" s="133" t="s">
        <v>7256</v>
      </c>
      <c r="C522" s="133" t="s">
        <v>7257</v>
      </c>
      <c r="D522" s="133" t="s">
        <v>5504</v>
      </c>
      <c r="E522" s="134"/>
      <c r="F522" s="134">
        <v>2.63</v>
      </c>
      <c r="G522" s="135">
        <v>2.1</v>
      </c>
      <c r="H522" s="133">
        <v>2019</v>
      </c>
      <c r="I522" s="152" t="s">
        <v>5559</v>
      </c>
    </row>
    <row r="523" spans="1:9" ht="18.75" thickBot="1" x14ac:dyDescent="0.3">
      <c r="A523" s="133" t="str">
        <f t="shared" si="8"/>
        <v>152946W</v>
      </c>
      <c r="B523" s="133" t="s">
        <v>7828</v>
      </c>
      <c r="C523" s="133" t="s">
        <v>7829</v>
      </c>
      <c r="D523" s="133" t="s">
        <v>7537</v>
      </c>
      <c r="E523" s="134"/>
      <c r="F523" s="134">
        <v>0.8</v>
      </c>
      <c r="G523" s="135">
        <v>0.64</v>
      </c>
      <c r="H523" s="133">
        <v>2019</v>
      </c>
      <c r="I523" s="152" t="s">
        <v>5639</v>
      </c>
    </row>
    <row r="524" spans="1:9" ht="18.75" thickBot="1" x14ac:dyDescent="0.3">
      <c r="A524" s="133" t="str">
        <f t="shared" si="8"/>
        <v>126914I</v>
      </c>
      <c r="B524" s="133" t="s">
        <v>7258</v>
      </c>
      <c r="C524" s="133" t="s">
        <v>7259</v>
      </c>
      <c r="D524" s="133" t="s">
        <v>5505</v>
      </c>
      <c r="E524" s="134"/>
      <c r="F524" s="134">
        <v>1.88</v>
      </c>
      <c r="G524" s="135">
        <v>1.51</v>
      </c>
      <c r="H524" s="133">
        <v>2016</v>
      </c>
      <c r="I524" s="152" t="s">
        <v>5744</v>
      </c>
    </row>
    <row r="525" spans="1:9" ht="18.75" thickBot="1" x14ac:dyDescent="0.3">
      <c r="A525" s="133" t="str">
        <f t="shared" si="8"/>
        <v>137035P</v>
      </c>
      <c r="B525" s="133" t="s">
        <v>7260</v>
      </c>
      <c r="C525" s="133" t="s">
        <v>7261</v>
      </c>
      <c r="D525" s="133" t="s">
        <v>7537</v>
      </c>
      <c r="E525" s="134"/>
      <c r="F525" s="134">
        <v>0.89</v>
      </c>
      <c r="G525" s="135">
        <v>0.71</v>
      </c>
      <c r="H525" s="133">
        <v>2020</v>
      </c>
      <c r="I525" s="152" t="s">
        <v>5566</v>
      </c>
    </row>
    <row r="526" spans="1:9" ht="18.75" thickBot="1" x14ac:dyDescent="0.3">
      <c r="A526" s="133" t="str">
        <f t="shared" si="8"/>
        <v>136221H</v>
      </c>
      <c r="B526" s="133" t="s">
        <v>7262</v>
      </c>
      <c r="C526" s="133" t="s">
        <v>7263</v>
      </c>
      <c r="D526" s="133" t="s">
        <v>5505</v>
      </c>
      <c r="E526" s="134"/>
      <c r="F526" s="134">
        <v>1.22</v>
      </c>
      <c r="G526" s="135">
        <v>0.98</v>
      </c>
      <c r="H526" s="133">
        <v>2016</v>
      </c>
      <c r="I526" s="152" t="s">
        <v>5559</v>
      </c>
    </row>
    <row r="527" spans="1:9" ht="18.75" thickBot="1" x14ac:dyDescent="0.3">
      <c r="A527" s="133" t="str">
        <f t="shared" si="8"/>
        <v>136220G</v>
      </c>
      <c r="B527" s="133" t="s">
        <v>6384</v>
      </c>
      <c r="C527" s="133" t="s">
        <v>6385</v>
      </c>
      <c r="D527" s="133" t="s">
        <v>5505</v>
      </c>
      <c r="E527" s="134"/>
      <c r="F527" s="134">
        <v>1.36</v>
      </c>
      <c r="G527" s="135">
        <v>1.0900000000000001</v>
      </c>
      <c r="H527" s="133">
        <v>2024</v>
      </c>
      <c r="I527" s="152" t="s">
        <v>5559</v>
      </c>
    </row>
    <row r="528" spans="1:9" ht="18.75" thickBot="1" x14ac:dyDescent="0.3">
      <c r="A528" s="133" t="str">
        <f t="shared" si="8"/>
        <v>013447F</v>
      </c>
      <c r="B528" s="133" t="s">
        <v>6386</v>
      </c>
      <c r="C528" s="133" t="s">
        <v>6387</v>
      </c>
      <c r="D528" s="133" t="s">
        <v>5597</v>
      </c>
      <c r="E528" s="134"/>
      <c r="F528" s="134">
        <v>2.95</v>
      </c>
      <c r="G528" s="135">
        <v>2.36</v>
      </c>
      <c r="H528" s="133">
        <v>2024</v>
      </c>
      <c r="I528" s="152" t="s">
        <v>5635</v>
      </c>
    </row>
    <row r="529" spans="1:9" ht="18.75" thickBot="1" x14ac:dyDescent="0.3">
      <c r="A529" s="133" t="str">
        <f t="shared" si="8"/>
        <v>149703W</v>
      </c>
      <c r="B529" s="133" t="s">
        <v>7264</v>
      </c>
      <c r="C529" s="133" t="s">
        <v>7265</v>
      </c>
      <c r="D529" s="133" t="s">
        <v>5505</v>
      </c>
      <c r="E529" s="134"/>
      <c r="F529" s="134">
        <v>1.42</v>
      </c>
      <c r="G529" s="135">
        <v>1.1399999999999999</v>
      </c>
      <c r="H529" s="133">
        <v>2016</v>
      </c>
      <c r="I529" s="152" t="s">
        <v>5735</v>
      </c>
    </row>
    <row r="530" spans="1:9" ht="18.75" thickBot="1" x14ac:dyDescent="0.3">
      <c r="A530" s="133" t="str">
        <f t="shared" si="8"/>
        <v>013450I</v>
      </c>
      <c r="B530" s="133" t="s">
        <v>7830</v>
      </c>
      <c r="C530" s="133" t="s">
        <v>7831</v>
      </c>
      <c r="D530" s="133" t="s">
        <v>5503</v>
      </c>
      <c r="E530" s="134"/>
      <c r="F530" s="134">
        <v>4.0199999999999996</v>
      </c>
      <c r="G530" s="135">
        <v>3.21</v>
      </c>
      <c r="H530" s="133">
        <v>2015</v>
      </c>
      <c r="I530" s="152" t="s">
        <v>5912</v>
      </c>
    </row>
    <row r="531" spans="1:9" ht="18.75" thickBot="1" x14ac:dyDescent="0.3">
      <c r="A531" s="133" t="str">
        <f t="shared" si="8"/>
        <v>168415K</v>
      </c>
      <c r="B531" s="133" t="s">
        <v>7832</v>
      </c>
      <c r="C531" s="133" t="s">
        <v>7833</v>
      </c>
      <c r="D531" s="133" t="s">
        <v>7537</v>
      </c>
      <c r="E531" s="134"/>
      <c r="F531" s="134">
        <v>0.52</v>
      </c>
      <c r="G531" s="135">
        <v>0.42</v>
      </c>
      <c r="H531" s="133">
        <v>2024</v>
      </c>
      <c r="I531" s="152" t="s">
        <v>5657</v>
      </c>
    </row>
    <row r="532" spans="1:9" ht="18.75" thickBot="1" x14ac:dyDescent="0.3">
      <c r="A532" s="133" t="str">
        <f t="shared" si="8"/>
        <v>124761N</v>
      </c>
      <c r="B532" s="133" t="s">
        <v>6388</v>
      </c>
      <c r="C532" s="133" t="s">
        <v>6389</v>
      </c>
      <c r="D532" s="133" t="s">
        <v>5504</v>
      </c>
      <c r="E532" s="134"/>
      <c r="F532" s="134">
        <v>2.52</v>
      </c>
      <c r="G532" s="135">
        <v>2.02</v>
      </c>
      <c r="H532" s="133">
        <v>2019</v>
      </c>
      <c r="I532" s="152" t="s">
        <v>5598</v>
      </c>
    </row>
    <row r="533" spans="1:9" ht="18.75" thickBot="1" x14ac:dyDescent="0.3">
      <c r="A533" s="133" t="str">
        <f t="shared" si="8"/>
        <v>144265R</v>
      </c>
      <c r="B533" s="133" t="s">
        <v>6390</v>
      </c>
      <c r="C533" s="133" t="s">
        <v>6391</v>
      </c>
      <c r="D533" s="133" t="s">
        <v>7537</v>
      </c>
      <c r="E533" s="134"/>
      <c r="F533" s="134">
        <v>0.94</v>
      </c>
      <c r="G533" s="135">
        <v>0.75</v>
      </c>
      <c r="H533" s="133">
        <v>2017</v>
      </c>
      <c r="I533" s="152" t="s">
        <v>5735</v>
      </c>
    </row>
    <row r="534" spans="1:9" ht="18.75" thickBot="1" x14ac:dyDescent="0.3">
      <c r="A534" s="133" t="str">
        <f t="shared" si="8"/>
        <v>163323A</v>
      </c>
      <c r="B534" s="133" t="s">
        <v>7266</v>
      </c>
      <c r="C534" s="133" t="s">
        <v>7267</v>
      </c>
      <c r="D534" s="133" t="s">
        <v>7537</v>
      </c>
      <c r="E534" s="134"/>
      <c r="F534" s="134">
        <v>0.48</v>
      </c>
      <c r="G534" s="135">
        <v>0.39</v>
      </c>
      <c r="H534" s="133">
        <v>2024</v>
      </c>
      <c r="I534" s="152" t="s">
        <v>5566</v>
      </c>
    </row>
    <row r="535" spans="1:9" ht="18.75" thickBot="1" x14ac:dyDescent="0.3">
      <c r="A535" s="133" t="str">
        <f t="shared" si="8"/>
        <v>104059H</v>
      </c>
      <c r="B535" s="133" t="s">
        <v>6392</v>
      </c>
      <c r="C535" s="133" t="s">
        <v>6393</v>
      </c>
      <c r="D535" s="133" t="s">
        <v>7537</v>
      </c>
      <c r="E535" s="134"/>
      <c r="F535" s="134">
        <v>0.73</v>
      </c>
      <c r="G535" s="135">
        <v>0.57999999999999996</v>
      </c>
      <c r="H535" s="133">
        <v>2017</v>
      </c>
      <c r="I535" s="152" t="s">
        <v>5726</v>
      </c>
    </row>
    <row r="536" spans="1:9" ht="18.75" thickBot="1" x14ac:dyDescent="0.3">
      <c r="A536" s="133" t="str">
        <f t="shared" si="8"/>
        <v>123838A</v>
      </c>
      <c r="B536" s="133" t="s">
        <v>7268</v>
      </c>
      <c r="C536" s="133" t="s">
        <v>7269</v>
      </c>
      <c r="D536" s="133" t="s">
        <v>5505</v>
      </c>
      <c r="E536" s="134"/>
      <c r="F536" s="134">
        <v>1.94</v>
      </c>
      <c r="G536" s="135">
        <v>1.55</v>
      </c>
      <c r="H536" s="133">
        <v>2024</v>
      </c>
      <c r="I536" s="152" t="s">
        <v>5573</v>
      </c>
    </row>
    <row r="537" spans="1:9" ht="18.75" thickBot="1" x14ac:dyDescent="0.3">
      <c r="A537" s="133" t="str">
        <f t="shared" si="8"/>
        <v>114622O</v>
      </c>
      <c r="B537" s="133" t="s">
        <v>7270</v>
      </c>
      <c r="C537" s="133" t="s">
        <v>7271</v>
      </c>
      <c r="D537" s="133" t="s">
        <v>5504</v>
      </c>
      <c r="E537" s="134"/>
      <c r="F537" s="134">
        <v>2.0499999999999998</v>
      </c>
      <c r="G537" s="135">
        <v>1.64</v>
      </c>
      <c r="H537" s="133">
        <v>2018</v>
      </c>
      <c r="I537" s="152" t="s">
        <v>5601</v>
      </c>
    </row>
    <row r="538" spans="1:9" ht="18.75" thickBot="1" x14ac:dyDescent="0.3">
      <c r="A538" s="133" t="str">
        <f t="shared" si="8"/>
        <v>132839F</v>
      </c>
      <c r="B538" s="133" t="s">
        <v>6396</v>
      </c>
      <c r="C538" s="133" t="s">
        <v>6397</v>
      </c>
      <c r="D538" s="133" t="s">
        <v>5505</v>
      </c>
      <c r="E538" s="134"/>
      <c r="F538" s="134">
        <v>1.34</v>
      </c>
      <c r="G538" s="135">
        <v>1.07</v>
      </c>
      <c r="H538" s="133">
        <v>2023</v>
      </c>
      <c r="I538" s="152" t="s">
        <v>5657</v>
      </c>
    </row>
    <row r="539" spans="1:9" ht="18.75" thickBot="1" x14ac:dyDescent="0.3">
      <c r="A539" s="133" t="str">
        <f t="shared" si="8"/>
        <v>133338K</v>
      </c>
      <c r="B539" s="133" t="s">
        <v>7834</v>
      </c>
      <c r="C539" s="133" t="s">
        <v>7835</v>
      </c>
      <c r="D539" s="133" t="s">
        <v>7537</v>
      </c>
      <c r="E539" s="134"/>
      <c r="F539" s="134">
        <v>0.79</v>
      </c>
      <c r="G539" s="135">
        <v>0.63</v>
      </c>
      <c r="H539" s="133">
        <v>2009</v>
      </c>
      <c r="I539" s="152" t="s">
        <v>5666</v>
      </c>
    </row>
    <row r="540" spans="1:9" ht="18.75" thickBot="1" x14ac:dyDescent="0.3">
      <c r="A540" s="133" t="str">
        <f t="shared" si="8"/>
        <v>013475H</v>
      </c>
      <c r="B540" s="133" t="s">
        <v>6398</v>
      </c>
      <c r="C540" s="133" t="s">
        <v>6399</v>
      </c>
      <c r="D540" s="133" t="s">
        <v>26</v>
      </c>
      <c r="E540" s="134"/>
      <c r="F540" s="134">
        <v>4.13</v>
      </c>
      <c r="G540" s="135">
        <v>3.31</v>
      </c>
      <c r="H540" s="133">
        <v>2023</v>
      </c>
      <c r="I540" s="152" t="s">
        <v>5566</v>
      </c>
    </row>
    <row r="541" spans="1:9" ht="18.75" thickBot="1" x14ac:dyDescent="0.3">
      <c r="A541" s="133" t="str">
        <f t="shared" si="8"/>
        <v>013476I</v>
      </c>
      <c r="B541" s="133" t="s">
        <v>6400</v>
      </c>
      <c r="C541" s="133" t="s">
        <v>6401</v>
      </c>
      <c r="D541" s="133" t="s">
        <v>7537</v>
      </c>
      <c r="E541" s="134"/>
      <c r="F541" s="134">
        <v>1.1399999999999999</v>
      </c>
      <c r="G541" s="135">
        <v>0.91</v>
      </c>
      <c r="H541" s="133">
        <v>2020</v>
      </c>
      <c r="I541" s="152" t="s">
        <v>5744</v>
      </c>
    </row>
    <row r="542" spans="1:9" ht="18.75" thickBot="1" x14ac:dyDescent="0.3">
      <c r="A542" s="133" t="str">
        <f t="shared" si="8"/>
        <v>013479L</v>
      </c>
      <c r="B542" s="133" t="s">
        <v>6402</v>
      </c>
      <c r="C542" s="133" t="s">
        <v>6403</v>
      </c>
      <c r="D542" s="133" t="s">
        <v>26</v>
      </c>
      <c r="E542" s="134"/>
      <c r="F542" s="134">
        <v>10.23</v>
      </c>
      <c r="G542" s="135">
        <v>8.18</v>
      </c>
      <c r="H542" s="133">
        <v>2020</v>
      </c>
      <c r="I542" s="152" t="s">
        <v>5566</v>
      </c>
    </row>
    <row r="543" spans="1:9" ht="18.75" thickBot="1" x14ac:dyDescent="0.3">
      <c r="A543" s="133" t="str">
        <f t="shared" si="8"/>
        <v>134791H</v>
      </c>
      <c r="B543" s="133" t="s">
        <v>6404</v>
      </c>
      <c r="C543" s="133" t="s">
        <v>6405</v>
      </c>
      <c r="D543" s="133" t="s">
        <v>5503</v>
      </c>
      <c r="E543" s="134"/>
      <c r="F543" s="134">
        <v>3.08</v>
      </c>
      <c r="G543" s="135">
        <v>2.46</v>
      </c>
      <c r="H543" s="133">
        <v>2016</v>
      </c>
      <c r="I543" s="152" t="s">
        <v>5895</v>
      </c>
    </row>
    <row r="544" spans="1:9" ht="18.75" thickBot="1" x14ac:dyDescent="0.3">
      <c r="A544" s="133" t="str">
        <f t="shared" si="8"/>
        <v>180172P</v>
      </c>
      <c r="B544" s="133" t="s">
        <v>8555</v>
      </c>
      <c r="C544" s="133" t="s">
        <v>8556</v>
      </c>
      <c r="D544" s="133" t="s">
        <v>7560</v>
      </c>
      <c r="E544" s="134"/>
      <c r="F544" s="134">
        <v>1.04</v>
      </c>
      <c r="G544" s="135">
        <v>0.83</v>
      </c>
      <c r="H544" s="133">
        <v>2024</v>
      </c>
      <c r="I544" s="152" t="s">
        <v>5768</v>
      </c>
    </row>
    <row r="545" spans="1:9" ht="18.75" thickBot="1" x14ac:dyDescent="0.3">
      <c r="A545" s="133" t="str">
        <f t="shared" si="8"/>
        <v>126984A</v>
      </c>
      <c r="B545" s="133" t="s">
        <v>6410</v>
      </c>
      <c r="C545" s="133" t="s">
        <v>6411</v>
      </c>
      <c r="D545" s="133" t="s">
        <v>5505</v>
      </c>
      <c r="E545" s="134"/>
      <c r="F545" s="134">
        <v>1.37</v>
      </c>
      <c r="G545" s="135">
        <v>1.0900000000000001</v>
      </c>
      <c r="H545" s="133">
        <v>2012</v>
      </c>
      <c r="I545" s="152" t="s">
        <v>5657</v>
      </c>
    </row>
    <row r="546" spans="1:9" ht="18.75" thickBot="1" x14ac:dyDescent="0.3">
      <c r="A546" s="133" t="str">
        <f t="shared" si="8"/>
        <v>117586O</v>
      </c>
      <c r="B546" s="133" t="s">
        <v>7272</v>
      </c>
      <c r="C546" s="133" t="s">
        <v>7273</v>
      </c>
      <c r="D546" s="133" t="s">
        <v>5505</v>
      </c>
      <c r="E546" s="134"/>
      <c r="F546" s="134">
        <v>1.75</v>
      </c>
      <c r="G546" s="135">
        <v>1.4</v>
      </c>
      <c r="H546" s="133">
        <v>2024</v>
      </c>
      <c r="I546" s="152" t="s">
        <v>5553</v>
      </c>
    </row>
    <row r="547" spans="1:9" ht="18.75" thickBot="1" x14ac:dyDescent="0.3">
      <c r="A547" s="133" t="str">
        <f t="shared" si="8"/>
        <v>109482W</v>
      </c>
      <c r="B547" s="133" t="s">
        <v>7274</v>
      </c>
      <c r="C547" s="133" t="s">
        <v>7275</v>
      </c>
      <c r="D547" s="133" t="s">
        <v>5505</v>
      </c>
      <c r="E547" s="134"/>
      <c r="F547" s="134">
        <v>1.3</v>
      </c>
      <c r="G547" s="135">
        <v>1.04</v>
      </c>
      <c r="H547" s="133">
        <v>2018</v>
      </c>
      <c r="I547" s="152" t="s">
        <v>5601</v>
      </c>
    </row>
    <row r="548" spans="1:9" ht="18.75" thickBot="1" x14ac:dyDescent="0.3">
      <c r="A548" s="133" t="str">
        <f t="shared" si="8"/>
        <v>013495B</v>
      </c>
      <c r="B548" s="133" t="s">
        <v>6412</v>
      </c>
      <c r="C548" s="133" t="s">
        <v>6413</v>
      </c>
      <c r="D548" s="133" t="s">
        <v>26</v>
      </c>
      <c r="E548" s="134"/>
      <c r="F548" s="134">
        <v>6.06</v>
      </c>
      <c r="G548" s="135">
        <v>4.8499999999999996</v>
      </c>
      <c r="H548" s="133">
        <v>2023</v>
      </c>
      <c r="I548" s="152" t="s">
        <v>5573</v>
      </c>
    </row>
    <row r="549" spans="1:9" ht="18.75" thickBot="1" x14ac:dyDescent="0.3">
      <c r="A549" s="133" t="str">
        <f t="shared" si="8"/>
        <v>108073R</v>
      </c>
      <c r="B549" s="133" t="s">
        <v>7276</v>
      </c>
      <c r="C549" s="133" t="s">
        <v>7277</v>
      </c>
      <c r="D549" s="133" t="s">
        <v>5504</v>
      </c>
      <c r="E549" s="134"/>
      <c r="F549" s="134">
        <v>3</v>
      </c>
      <c r="G549" s="135">
        <v>2.4</v>
      </c>
      <c r="H549" s="133">
        <v>2011</v>
      </c>
      <c r="I549" s="152" t="s">
        <v>6229</v>
      </c>
    </row>
    <row r="550" spans="1:9" ht="18.75" thickBot="1" x14ac:dyDescent="0.3">
      <c r="A550" s="133" t="str">
        <f t="shared" si="8"/>
        <v>137910G</v>
      </c>
      <c r="B550" s="133" t="s">
        <v>7836</v>
      </c>
      <c r="C550" s="133" t="s">
        <v>7837</v>
      </c>
      <c r="D550" s="133" t="s">
        <v>7537</v>
      </c>
      <c r="E550" s="134"/>
      <c r="F550" s="134">
        <v>0.56999999999999995</v>
      </c>
      <c r="G550" s="135">
        <v>0.46</v>
      </c>
      <c r="H550" s="133">
        <v>2011</v>
      </c>
      <c r="I550" s="152" t="s">
        <v>5657</v>
      </c>
    </row>
    <row r="551" spans="1:9" ht="18.75" thickBot="1" x14ac:dyDescent="0.3">
      <c r="A551" s="133" t="str">
        <f t="shared" si="8"/>
        <v>138121J</v>
      </c>
      <c r="B551" s="133" t="s">
        <v>7278</v>
      </c>
      <c r="C551" s="133" t="s">
        <v>7279</v>
      </c>
      <c r="D551" s="133" t="s">
        <v>5505</v>
      </c>
      <c r="E551" s="134"/>
      <c r="F551" s="134">
        <v>1.3</v>
      </c>
      <c r="G551" s="135">
        <v>1.04</v>
      </c>
      <c r="H551" s="133">
        <v>2024</v>
      </c>
      <c r="I551" s="152" t="s">
        <v>6229</v>
      </c>
    </row>
    <row r="552" spans="1:9" ht="18.75" thickBot="1" x14ac:dyDescent="0.3">
      <c r="A552" s="133" t="str">
        <f t="shared" si="8"/>
        <v>162092M</v>
      </c>
      <c r="B552" s="133" t="s">
        <v>7838</v>
      </c>
      <c r="C552" s="133" t="s">
        <v>7839</v>
      </c>
      <c r="D552" s="133" t="s">
        <v>5505</v>
      </c>
      <c r="E552" s="134"/>
      <c r="F552" s="134">
        <v>1.6</v>
      </c>
      <c r="G552" s="135">
        <v>1.28</v>
      </c>
      <c r="H552" s="133">
        <v>2024</v>
      </c>
      <c r="I552" s="152" t="s">
        <v>5559</v>
      </c>
    </row>
    <row r="553" spans="1:9" ht="18.75" thickBot="1" x14ac:dyDescent="0.3">
      <c r="A553" s="133" t="str">
        <f t="shared" si="8"/>
        <v>143716O</v>
      </c>
      <c r="B553" s="133" t="s">
        <v>6416</v>
      </c>
      <c r="C553" s="133" t="s">
        <v>6417</v>
      </c>
      <c r="D553" s="133" t="s">
        <v>5504</v>
      </c>
      <c r="E553" s="134"/>
      <c r="F553" s="134">
        <v>2.4900000000000002</v>
      </c>
      <c r="G553" s="135">
        <v>1.99</v>
      </c>
      <c r="H553" s="133">
        <v>2015</v>
      </c>
      <c r="I553" s="152" t="s">
        <v>5587</v>
      </c>
    </row>
    <row r="554" spans="1:9" ht="18.75" thickBot="1" x14ac:dyDescent="0.3">
      <c r="A554" s="133" t="str">
        <f t="shared" si="8"/>
        <v>163560H</v>
      </c>
      <c r="B554" s="133" t="s">
        <v>7840</v>
      </c>
      <c r="C554" s="133" t="s">
        <v>7841</v>
      </c>
      <c r="D554" s="133" t="s">
        <v>7537</v>
      </c>
      <c r="E554" s="134"/>
      <c r="F554" s="134">
        <v>0.97</v>
      </c>
      <c r="G554" s="135">
        <v>0.78</v>
      </c>
      <c r="H554" s="133">
        <v>2020</v>
      </c>
      <c r="I554" s="152" t="s">
        <v>5671</v>
      </c>
    </row>
    <row r="555" spans="1:9" ht="18.75" thickBot="1" x14ac:dyDescent="0.3">
      <c r="A555" s="133" t="str">
        <f t="shared" si="8"/>
        <v>013503J</v>
      </c>
      <c r="B555" s="133" t="s">
        <v>6418</v>
      </c>
      <c r="C555" s="133" t="s">
        <v>6419</v>
      </c>
      <c r="D555" s="133" t="s">
        <v>5505</v>
      </c>
      <c r="E555" s="134"/>
      <c r="F555" s="134">
        <v>1.35</v>
      </c>
      <c r="G555" s="135">
        <v>1.08</v>
      </c>
      <c r="H555" s="133">
        <v>2012</v>
      </c>
      <c r="I555" s="152" t="s">
        <v>5635</v>
      </c>
    </row>
    <row r="556" spans="1:9" ht="18.75" thickBot="1" x14ac:dyDescent="0.3">
      <c r="A556" s="133" t="str">
        <f t="shared" si="8"/>
        <v>013542W</v>
      </c>
      <c r="B556" s="133" t="s">
        <v>6420</v>
      </c>
      <c r="C556" s="133" t="s">
        <v>6421</v>
      </c>
      <c r="D556" s="133" t="s">
        <v>26</v>
      </c>
      <c r="E556" s="134"/>
      <c r="F556" s="134">
        <v>6.59</v>
      </c>
      <c r="G556" s="135">
        <v>5.27</v>
      </c>
      <c r="H556" s="133">
        <v>2024</v>
      </c>
      <c r="I556" s="152" t="s">
        <v>5563</v>
      </c>
    </row>
    <row r="557" spans="1:9" ht="18.75" thickBot="1" x14ac:dyDescent="0.3">
      <c r="A557" s="133" t="str">
        <f t="shared" si="8"/>
        <v>126075B</v>
      </c>
      <c r="B557" s="133" t="s">
        <v>7489</v>
      </c>
      <c r="C557" s="133" t="s">
        <v>7490</v>
      </c>
      <c r="D557" s="133" t="s">
        <v>5503</v>
      </c>
      <c r="E557" s="134"/>
      <c r="F557" s="134">
        <v>3.87</v>
      </c>
      <c r="G557" s="135">
        <v>3.09</v>
      </c>
      <c r="H557" s="133">
        <v>2012</v>
      </c>
      <c r="I557" s="152" t="s">
        <v>5566</v>
      </c>
    </row>
    <row r="558" spans="1:9" ht="18.75" thickBot="1" x14ac:dyDescent="0.3">
      <c r="A558" s="133" t="str">
        <f t="shared" si="8"/>
        <v>118031R</v>
      </c>
      <c r="B558" s="133" t="s">
        <v>6422</v>
      </c>
      <c r="C558" s="133" t="s">
        <v>6423</v>
      </c>
      <c r="D558" s="133" t="s">
        <v>5504</v>
      </c>
      <c r="E558" s="134"/>
      <c r="F558" s="134">
        <v>3.49</v>
      </c>
      <c r="G558" s="135">
        <v>2.79</v>
      </c>
      <c r="H558" s="133">
        <v>2024</v>
      </c>
      <c r="I558" s="152" t="s">
        <v>5559</v>
      </c>
    </row>
    <row r="559" spans="1:9" ht="18.75" thickBot="1" x14ac:dyDescent="0.3">
      <c r="A559" s="133" t="str">
        <f t="shared" si="8"/>
        <v>124878A</v>
      </c>
      <c r="B559" s="133" t="s">
        <v>6424</v>
      </c>
      <c r="C559" s="133" t="s">
        <v>6425</v>
      </c>
      <c r="D559" s="133" t="s">
        <v>5505</v>
      </c>
      <c r="E559" s="134"/>
      <c r="F559" s="134">
        <v>0.72</v>
      </c>
      <c r="G559" s="135">
        <v>0.56999999999999995</v>
      </c>
      <c r="H559" s="133">
        <v>2014</v>
      </c>
      <c r="I559" s="152" t="s">
        <v>5594</v>
      </c>
    </row>
    <row r="560" spans="1:9" ht="18.75" thickBot="1" x14ac:dyDescent="0.3">
      <c r="A560" s="133" t="str">
        <f t="shared" si="8"/>
        <v>140428C</v>
      </c>
      <c r="B560" s="133" t="s">
        <v>6426</v>
      </c>
      <c r="C560" s="133" t="s">
        <v>6427</v>
      </c>
      <c r="D560" s="133" t="s">
        <v>5505</v>
      </c>
      <c r="E560" s="134"/>
      <c r="F560" s="134">
        <v>1.6</v>
      </c>
      <c r="G560" s="135">
        <v>1.28</v>
      </c>
      <c r="H560" s="133">
        <v>2022</v>
      </c>
      <c r="I560" s="152" t="s">
        <v>5768</v>
      </c>
    </row>
    <row r="561" spans="1:9" ht="18.75" thickBot="1" x14ac:dyDescent="0.3">
      <c r="A561" s="133" t="str">
        <f t="shared" si="8"/>
        <v>140324C</v>
      </c>
      <c r="B561" s="133" t="s">
        <v>7521</v>
      </c>
      <c r="C561" s="133" t="s">
        <v>7522</v>
      </c>
      <c r="D561" s="133" t="s">
        <v>7537</v>
      </c>
      <c r="E561" s="134"/>
      <c r="F561" s="134">
        <v>0.94</v>
      </c>
      <c r="G561" s="135">
        <v>0.75</v>
      </c>
      <c r="H561" s="133">
        <v>2010</v>
      </c>
      <c r="I561" s="152" t="s">
        <v>5559</v>
      </c>
    </row>
    <row r="562" spans="1:9" ht="18.75" thickBot="1" x14ac:dyDescent="0.3">
      <c r="A562" s="133" t="str">
        <f t="shared" si="8"/>
        <v>117441Z</v>
      </c>
      <c r="B562" s="133" t="s">
        <v>6430</v>
      </c>
      <c r="C562" s="133" t="s">
        <v>6431</v>
      </c>
      <c r="D562" s="133" t="s">
        <v>5503</v>
      </c>
      <c r="E562" s="134"/>
      <c r="F562" s="134">
        <v>4.3600000000000003</v>
      </c>
      <c r="G562" s="135">
        <v>3.49</v>
      </c>
      <c r="H562" s="133">
        <v>2014</v>
      </c>
      <c r="I562" s="152" t="s">
        <v>5787</v>
      </c>
    </row>
    <row r="563" spans="1:9" ht="18.75" thickBot="1" x14ac:dyDescent="0.3">
      <c r="A563" s="133" t="str">
        <f t="shared" si="8"/>
        <v>013513T</v>
      </c>
      <c r="B563" s="133" t="s">
        <v>6432</v>
      </c>
      <c r="C563" s="133" t="s">
        <v>6433</v>
      </c>
      <c r="D563" s="133" t="s">
        <v>5505</v>
      </c>
      <c r="E563" s="134"/>
      <c r="F563" s="134">
        <v>1.95</v>
      </c>
      <c r="G563" s="135">
        <v>1.56</v>
      </c>
      <c r="H563" s="133">
        <v>2017</v>
      </c>
      <c r="I563" s="152" t="s">
        <v>5556</v>
      </c>
    </row>
    <row r="564" spans="1:9" ht="18.75" thickBot="1" x14ac:dyDescent="0.3">
      <c r="A564" s="133" t="str">
        <f t="shared" si="8"/>
        <v>170102T</v>
      </c>
      <c r="B564" s="133" t="s">
        <v>7842</v>
      </c>
      <c r="C564" s="133" t="s">
        <v>7843</v>
      </c>
      <c r="D564" s="133" t="s">
        <v>7537</v>
      </c>
      <c r="E564" s="134"/>
      <c r="F564" s="134">
        <v>0.68</v>
      </c>
      <c r="G564" s="135">
        <v>0.54</v>
      </c>
      <c r="H564" s="133">
        <v>2024</v>
      </c>
      <c r="I564" s="152" t="s">
        <v>5556</v>
      </c>
    </row>
    <row r="565" spans="1:9" ht="18.75" thickBot="1" x14ac:dyDescent="0.3">
      <c r="A565" s="133" t="str">
        <f t="shared" si="8"/>
        <v>160100X</v>
      </c>
      <c r="B565" s="133" t="s">
        <v>7844</v>
      </c>
      <c r="C565" s="133" t="s">
        <v>7845</v>
      </c>
      <c r="D565" s="133" t="s">
        <v>7537</v>
      </c>
      <c r="E565" s="134"/>
      <c r="F565" s="134">
        <v>0.85</v>
      </c>
      <c r="G565" s="135">
        <v>0.68</v>
      </c>
      <c r="H565" s="133">
        <v>2022</v>
      </c>
      <c r="I565" s="152" t="s">
        <v>5556</v>
      </c>
    </row>
    <row r="566" spans="1:9" ht="18.75" thickBot="1" x14ac:dyDescent="0.3">
      <c r="A566" s="133" t="str">
        <f t="shared" si="8"/>
        <v>013514U</v>
      </c>
      <c r="B566" s="133" t="s">
        <v>6434</v>
      </c>
      <c r="C566" s="133" t="s">
        <v>6435</v>
      </c>
      <c r="D566" s="133" t="s">
        <v>5765</v>
      </c>
      <c r="E566" s="134"/>
      <c r="F566" s="134" t="s">
        <v>5552</v>
      </c>
      <c r="G566" s="135">
        <v>66.89</v>
      </c>
      <c r="H566" s="133">
        <v>2023</v>
      </c>
      <c r="I566" s="152" t="s">
        <v>5556</v>
      </c>
    </row>
    <row r="567" spans="1:9" ht="18.75" thickBot="1" x14ac:dyDescent="0.3">
      <c r="A567" s="133" t="str">
        <f t="shared" si="8"/>
        <v>138060A</v>
      </c>
      <c r="B567" s="133" t="s">
        <v>6436</v>
      </c>
      <c r="C567" s="133" t="s">
        <v>6437</v>
      </c>
      <c r="D567" s="133" t="s">
        <v>5597</v>
      </c>
      <c r="E567" s="134"/>
      <c r="F567" s="134">
        <v>3.42</v>
      </c>
      <c r="G567" s="135">
        <v>2.73</v>
      </c>
      <c r="H567" s="133">
        <v>2024</v>
      </c>
      <c r="I567" s="152" t="s">
        <v>5601</v>
      </c>
    </row>
    <row r="568" spans="1:9" ht="18.75" thickBot="1" x14ac:dyDescent="0.3">
      <c r="A568" s="133" t="str">
        <f t="shared" si="8"/>
        <v>150408M</v>
      </c>
      <c r="B568" s="133" t="s">
        <v>6438</v>
      </c>
      <c r="C568" s="133" t="s">
        <v>6439</v>
      </c>
      <c r="D568" s="133" t="s">
        <v>7537</v>
      </c>
      <c r="E568" s="134"/>
      <c r="F568" s="134">
        <v>0.35</v>
      </c>
      <c r="G568" s="135">
        <v>0.28000000000000003</v>
      </c>
      <c r="H568" s="133">
        <v>2022</v>
      </c>
      <c r="I568" s="152" t="s">
        <v>5657</v>
      </c>
    </row>
    <row r="569" spans="1:9" ht="18.75" thickBot="1" x14ac:dyDescent="0.3">
      <c r="A569" s="133" t="str">
        <f t="shared" si="8"/>
        <v>145809B</v>
      </c>
      <c r="B569" s="133" t="s">
        <v>7846</v>
      </c>
      <c r="C569" s="133" t="s">
        <v>7847</v>
      </c>
      <c r="D569" s="133" t="s">
        <v>7537</v>
      </c>
      <c r="E569" s="134"/>
      <c r="F569" s="134">
        <v>0.46</v>
      </c>
      <c r="G569" s="135">
        <v>0.37</v>
      </c>
      <c r="H569" s="133">
        <v>2017</v>
      </c>
      <c r="I569" s="152" t="s">
        <v>5657</v>
      </c>
    </row>
    <row r="570" spans="1:9" ht="18.75" thickBot="1" x14ac:dyDescent="0.3">
      <c r="A570" s="133" t="str">
        <f t="shared" si="8"/>
        <v>168407B</v>
      </c>
      <c r="B570" s="133" t="s">
        <v>6440</v>
      </c>
      <c r="C570" s="133" t="s">
        <v>6441</v>
      </c>
      <c r="D570" s="133" t="s">
        <v>7537</v>
      </c>
      <c r="E570" s="134"/>
      <c r="F570" s="134">
        <v>0.92</v>
      </c>
      <c r="G570" s="135">
        <v>0.74</v>
      </c>
      <c r="H570" s="133">
        <v>2024</v>
      </c>
      <c r="I570" s="152" t="s">
        <v>5553</v>
      </c>
    </row>
    <row r="571" spans="1:9" ht="18.75" thickBot="1" x14ac:dyDescent="0.3">
      <c r="A571" s="133" t="str">
        <f t="shared" si="8"/>
        <v>168408C</v>
      </c>
      <c r="B571" s="133" t="s">
        <v>6442</v>
      </c>
      <c r="C571" s="133" t="s">
        <v>6443</v>
      </c>
      <c r="D571" s="133" t="s">
        <v>5505</v>
      </c>
      <c r="E571" s="134"/>
      <c r="F571" s="134">
        <v>1.52</v>
      </c>
      <c r="G571" s="135">
        <v>1.21</v>
      </c>
      <c r="H571" s="133">
        <v>2024</v>
      </c>
      <c r="I571" s="152" t="s">
        <v>5553</v>
      </c>
    </row>
    <row r="572" spans="1:9" ht="18.75" thickBot="1" x14ac:dyDescent="0.3">
      <c r="A572" s="133" t="str">
        <f t="shared" si="8"/>
        <v>144267T</v>
      </c>
      <c r="B572" s="133" t="s">
        <v>6444</v>
      </c>
      <c r="C572" s="133" t="s">
        <v>6445</v>
      </c>
      <c r="D572" s="133" t="s">
        <v>5505</v>
      </c>
      <c r="E572" s="134"/>
      <c r="F572" s="134">
        <v>1.37</v>
      </c>
      <c r="G572" s="135">
        <v>1.1000000000000001</v>
      </c>
      <c r="H572" s="133">
        <v>2018</v>
      </c>
      <c r="I572" s="152" t="s">
        <v>5735</v>
      </c>
    </row>
    <row r="573" spans="1:9" ht="18.75" thickBot="1" x14ac:dyDescent="0.3">
      <c r="A573" s="133" t="str">
        <f t="shared" si="8"/>
        <v>141135H</v>
      </c>
      <c r="B573" s="133" t="s">
        <v>7280</v>
      </c>
      <c r="C573" s="133" t="s">
        <v>7281</v>
      </c>
      <c r="D573" s="133" t="s">
        <v>5504</v>
      </c>
      <c r="E573" s="134"/>
      <c r="F573" s="134">
        <v>2.41</v>
      </c>
      <c r="G573" s="135">
        <v>1.93</v>
      </c>
      <c r="H573" s="133">
        <v>2010</v>
      </c>
      <c r="I573" s="152" t="s">
        <v>5726</v>
      </c>
    </row>
    <row r="574" spans="1:9" ht="18.75" thickBot="1" x14ac:dyDescent="0.3">
      <c r="A574" s="133" t="str">
        <f t="shared" si="8"/>
        <v>163139A</v>
      </c>
      <c r="B574" s="133" t="s">
        <v>7848</v>
      </c>
      <c r="C574" s="133" t="s">
        <v>7849</v>
      </c>
      <c r="D574" s="133" t="s">
        <v>7537</v>
      </c>
      <c r="E574" s="134"/>
      <c r="F574" s="134">
        <v>0.62</v>
      </c>
      <c r="G574" s="135">
        <v>0.5</v>
      </c>
      <c r="H574" s="133">
        <v>2020</v>
      </c>
      <c r="I574" s="152" t="s">
        <v>5582</v>
      </c>
    </row>
    <row r="575" spans="1:9" ht="18.75" thickBot="1" x14ac:dyDescent="0.3">
      <c r="A575" s="133" t="str">
        <f t="shared" si="8"/>
        <v>138066G</v>
      </c>
      <c r="B575" s="133" t="s">
        <v>7850</v>
      </c>
      <c r="C575" s="133" t="s">
        <v>7851</v>
      </c>
      <c r="D575" s="133" t="s">
        <v>7537</v>
      </c>
      <c r="E575" s="134"/>
      <c r="F575" s="134">
        <v>0.72</v>
      </c>
      <c r="G575" s="135">
        <v>0.56999999999999995</v>
      </c>
      <c r="H575" s="133">
        <v>2017</v>
      </c>
      <c r="I575" s="152" t="s">
        <v>5705</v>
      </c>
    </row>
    <row r="576" spans="1:9" ht="18.75" thickBot="1" x14ac:dyDescent="0.3">
      <c r="A576" s="133" t="str">
        <f t="shared" si="8"/>
        <v>100053F</v>
      </c>
      <c r="B576" s="133" t="s">
        <v>6446</v>
      </c>
      <c r="C576" s="133" t="s">
        <v>6447</v>
      </c>
      <c r="D576" s="133" t="s">
        <v>7537</v>
      </c>
      <c r="E576" s="134"/>
      <c r="F576" s="134">
        <v>1.1499999999999999</v>
      </c>
      <c r="G576" s="135">
        <v>0.92</v>
      </c>
      <c r="H576" s="133">
        <v>2024</v>
      </c>
      <c r="I576" s="152" t="s">
        <v>5566</v>
      </c>
    </row>
    <row r="577" spans="1:9" ht="18.75" thickBot="1" x14ac:dyDescent="0.3">
      <c r="A577" s="133" t="str">
        <f t="shared" si="8"/>
        <v>013526G</v>
      </c>
      <c r="B577" s="133" t="s">
        <v>6448</v>
      </c>
      <c r="C577" s="133" t="s">
        <v>6449</v>
      </c>
      <c r="D577" s="133" t="s">
        <v>5505</v>
      </c>
      <c r="E577" s="134"/>
      <c r="F577" s="134">
        <v>1.94</v>
      </c>
      <c r="G577" s="135">
        <v>1.55</v>
      </c>
      <c r="H577" s="133">
        <v>2023</v>
      </c>
      <c r="I577" s="152" t="s">
        <v>5678</v>
      </c>
    </row>
    <row r="578" spans="1:9" ht="18.75" thickBot="1" x14ac:dyDescent="0.3">
      <c r="A578" s="133" t="str">
        <f t="shared" ref="A578:A641" si="9">SUBSTITUTE(B578,CHAR(32),"")</f>
        <v>155644D</v>
      </c>
      <c r="B578" s="133" t="s">
        <v>7852</v>
      </c>
      <c r="C578" s="133" t="s">
        <v>7853</v>
      </c>
      <c r="D578" s="133" t="s">
        <v>7537</v>
      </c>
      <c r="E578" s="134"/>
      <c r="F578" s="134">
        <v>0.65</v>
      </c>
      <c r="G578" s="135">
        <v>0.52</v>
      </c>
      <c r="H578" s="133">
        <v>2018</v>
      </c>
      <c r="I578" s="152" t="s">
        <v>5630</v>
      </c>
    </row>
    <row r="579" spans="1:9" ht="18.75" thickBot="1" x14ac:dyDescent="0.3">
      <c r="A579" s="133" t="str">
        <f t="shared" si="9"/>
        <v>142470Q</v>
      </c>
      <c r="B579" s="133" t="s">
        <v>7854</v>
      </c>
      <c r="C579" s="133" t="s">
        <v>7855</v>
      </c>
      <c r="D579" s="133" t="s">
        <v>7537</v>
      </c>
      <c r="E579" s="134"/>
      <c r="F579" s="134">
        <v>1.03</v>
      </c>
      <c r="G579" s="135">
        <v>0.82</v>
      </c>
      <c r="H579" s="133">
        <v>2012</v>
      </c>
      <c r="I579" s="152" t="s">
        <v>6229</v>
      </c>
    </row>
    <row r="580" spans="1:9" ht="18.75" thickBot="1" x14ac:dyDescent="0.3">
      <c r="A580" s="133" t="str">
        <f t="shared" si="9"/>
        <v>157143H</v>
      </c>
      <c r="B580" s="133" t="s">
        <v>7282</v>
      </c>
      <c r="C580" s="133" t="s">
        <v>7283</v>
      </c>
      <c r="D580" s="133" t="s">
        <v>5505</v>
      </c>
      <c r="E580" s="134"/>
      <c r="F580" s="134">
        <v>1.31</v>
      </c>
      <c r="G580" s="135">
        <v>1.05</v>
      </c>
      <c r="H580" s="133">
        <v>2022</v>
      </c>
      <c r="I580" s="152" t="s">
        <v>5556</v>
      </c>
    </row>
    <row r="581" spans="1:9" ht="18.75" thickBot="1" x14ac:dyDescent="0.3">
      <c r="A581" s="133" t="str">
        <f t="shared" si="9"/>
        <v>163907K</v>
      </c>
      <c r="B581" s="133" t="s">
        <v>6452</v>
      </c>
      <c r="C581" s="133" t="s">
        <v>6453</v>
      </c>
      <c r="D581" s="133" t="s">
        <v>7537</v>
      </c>
      <c r="E581" s="134"/>
      <c r="F581" s="134">
        <v>1.19</v>
      </c>
      <c r="G581" s="135">
        <v>0.95</v>
      </c>
      <c r="H581" s="133">
        <v>2024</v>
      </c>
      <c r="I581" s="152" t="s">
        <v>5701</v>
      </c>
    </row>
    <row r="582" spans="1:9" ht="18.75" thickBot="1" x14ac:dyDescent="0.3">
      <c r="A582" s="133" t="str">
        <f t="shared" si="9"/>
        <v>168001K</v>
      </c>
      <c r="B582" s="133" t="s">
        <v>6454</v>
      </c>
      <c r="C582" s="133" t="s">
        <v>6455</v>
      </c>
      <c r="D582" s="133" t="s">
        <v>5505</v>
      </c>
      <c r="E582" s="134"/>
      <c r="F582" s="134">
        <v>1.86</v>
      </c>
      <c r="G582" s="135">
        <v>1.48</v>
      </c>
      <c r="H582" s="133">
        <v>2022</v>
      </c>
      <c r="I582" s="152" t="s">
        <v>5657</v>
      </c>
    </row>
    <row r="583" spans="1:9" ht="18.75" thickBot="1" x14ac:dyDescent="0.3">
      <c r="A583" s="133" t="str">
        <f t="shared" si="9"/>
        <v>121405L</v>
      </c>
      <c r="B583" s="133" t="s">
        <v>6458</v>
      </c>
      <c r="C583" s="133" t="s">
        <v>6459</v>
      </c>
      <c r="D583" s="133" t="s">
        <v>5505</v>
      </c>
      <c r="E583" s="134"/>
      <c r="F583" s="134">
        <v>1.92</v>
      </c>
      <c r="G583" s="135">
        <v>1.53</v>
      </c>
      <c r="H583" s="133">
        <v>2014</v>
      </c>
      <c r="I583" s="152" t="s">
        <v>5601</v>
      </c>
    </row>
    <row r="584" spans="1:9" ht="18.75" thickBot="1" x14ac:dyDescent="0.3">
      <c r="A584" s="133" t="str">
        <f t="shared" si="9"/>
        <v>145291D</v>
      </c>
      <c r="B584" s="133" t="s">
        <v>7284</v>
      </c>
      <c r="C584" s="133" t="s">
        <v>7285</v>
      </c>
      <c r="D584" s="133" t="s">
        <v>5704</v>
      </c>
      <c r="E584" s="134"/>
      <c r="F584" s="134">
        <v>2.25</v>
      </c>
      <c r="G584" s="135">
        <v>1.8</v>
      </c>
      <c r="H584" s="133">
        <v>2024</v>
      </c>
      <c r="I584" s="152" t="s">
        <v>5787</v>
      </c>
    </row>
    <row r="585" spans="1:9" ht="18.75" thickBot="1" x14ac:dyDescent="0.3">
      <c r="A585" s="133" t="str">
        <f t="shared" si="9"/>
        <v>150115T</v>
      </c>
      <c r="B585" s="133" t="s">
        <v>7856</v>
      </c>
      <c r="C585" s="133" t="s">
        <v>7857</v>
      </c>
      <c r="D585" s="133" t="s">
        <v>7537</v>
      </c>
      <c r="E585" s="134"/>
      <c r="F585" s="134">
        <v>0.63</v>
      </c>
      <c r="G585" s="135">
        <v>0.5</v>
      </c>
      <c r="H585" s="133">
        <v>2018</v>
      </c>
      <c r="I585" s="152" t="s">
        <v>5598</v>
      </c>
    </row>
    <row r="586" spans="1:9" ht="18.75" thickBot="1" x14ac:dyDescent="0.3">
      <c r="A586" s="133" t="str">
        <f t="shared" si="9"/>
        <v>013546A</v>
      </c>
      <c r="B586" s="133" t="s">
        <v>6460</v>
      </c>
      <c r="C586" s="133" t="s">
        <v>6461</v>
      </c>
      <c r="D586" s="133" t="s">
        <v>5505</v>
      </c>
      <c r="E586" s="134"/>
      <c r="F586" s="134">
        <v>2.2200000000000002</v>
      </c>
      <c r="G586" s="135">
        <v>1.78</v>
      </c>
      <c r="H586" s="133">
        <v>2024</v>
      </c>
      <c r="I586" s="152" t="s">
        <v>6229</v>
      </c>
    </row>
    <row r="587" spans="1:9" ht="18.75" thickBot="1" x14ac:dyDescent="0.3">
      <c r="A587" s="133" t="str">
        <f t="shared" si="9"/>
        <v>013550E</v>
      </c>
      <c r="B587" s="133" t="s">
        <v>6464</v>
      </c>
      <c r="C587" s="133" t="s">
        <v>6465</v>
      </c>
      <c r="D587" s="133" t="s">
        <v>26</v>
      </c>
      <c r="E587" s="134"/>
      <c r="F587" s="134">
        <v>4.32</v>
      </c>
      <c r="G587" s="135">
        <v>3.46</v>
      </c>
      <c r="H587" s="133">
        <v>2016</v>
      </c>
      <c r="I587" s="152" t="s">
        <v>5598</v>
      </c>
    </row>
    <row r="588" spans="1:9" ht="18.75" thickBot="1" x14ac:dyDescent="0.3">
      <c r="A588" s="133" t="str">
        <f t="shared" si="9"/>
        <v>013551F</v>
      </c>
      <c r="B588" s="133" t="s">
        <v>6466</v>
      </c>
      <c r="C588" s="133" t="s">
        <v>6467</v>
      </c>
      <c r="D588" s="133" t="s">
        <v>5505</v>
      </c>
      <c r="E588" s="134"/>
      <c r="F588" s="134">
        <v>1.47</v>
      </c>
      <c r="G588" s="135">
        <v>1.17</v>
      </c>
      <c r="H588" s="133">
        <v>2008</v>
      </c>
      <c r="I588" s="152" t="s">
        <v>5630</v>
      </c>
    </row>
    <row r="589" spans="1:9" ht="18.75" thickBot="1" x14ac:dyDescent="0.3">
      <c r="A589" s="133" t="str">
        <f t="shared" si="9"/>
        <v>160250K</v>
      </c>
      <c r="B589" s="133" t="s">
        <v>7858</v>
      </c>
      <c r="C589" s="133" t="s">
        <v>7859</v>
      </c>
      <c r="D589" s="133" t="s">
        <v>7537</v>
      </c>
      <c r="E589" s="134"/>
      <c r="F589" s="134">
        <v>0.22</v>
      </c>
      <c r="G589" s="135">
        <v>0.17</v>
      </c>
      <c r="H589" s="133">
        <v>2018</v>
      </c>
      <c r="I589" s="152" t="s">
        <v>5744</v>
      </c>
    </row>
    <row r="590" spans="1:9" ht="18.75" thickBot="1" x14ac:dyDescent="0.3">
      <c r="A590" s="133" t="str">
        <f t="shared" si="9"/>
        <v>013554I</v>
      </c>
      <c r="B590" s="133" t="s">
        <v>6470</v>
      </c>
      <c r="C590" s="133" t="s">
        <v>6471</v>
      </c>
      <c r="D590" s="133" t="s">
        <v>5503</v>
      </c>
      <c r="E590" s="134"/>
      <c r="F590" s="134">
        <v>2.5499999999999998</v>
      </c>
      <c r="G590" s="135">
        <v>2.04</v>
      </c>
      <c r="H590" s="133">
        <v>2018</v>
      </c>
      <c r="I590" s="152" t="s">
        <v>5635</v>
      </c>
    </row>
    <row r="591" spans="1:9" ht="18.75" thickBot="1" x14ac:dyDescent="0.3">
      <c r="A591" s="133" t="str">
        <f t="shared" si="9"/>
        <v>013557L</v>
      </c>
      <c r="B591" s="133" t="s">
        <v>6472</v>
      </c>
      <c r="C591" s="133" t="s">
        <v>6473</v>
      </c>
      <c r="D591" s="133" t="s">
        <v>5503</v>
      </c>
      <c r="E591" s="134"/>
      <c r="F591" s="134">
        <v>4.12</v>
      </c>
      <c r="G591" s="135">
        <v>3.3</v>
      </c>
      <c r="H591" s="133">
        <v>2023</v>
      </c>
      <c r="I591" s="152" t="s">
        <v>5598</v>
      </c>
    </row>
    <row r="592" spans="1:9" ht="18.75" thickBot="1" x14ac:dyDescent="0.3">
      <c r="A592" s="133" t="str">
        <f t="shared" si="9"/>
        <v>147409C</v>
      </c>
      <c r="B592" s="133" t="s">
        <v>6474</v>
      </c>
      <c r="C592" s="133" t="s">
        <v>6475</v>
      </c>
      <c r="D592" s="133" t="s">
        <v>5505</v>
      </c>
      <c r="E592" s="134"/>
      <c r="F592" s="134">
        <v>1.29</v>
      </c>
      <c r="G592" s="135">
        <v>1.03</v>
      </c>
      <c r="H592" s="133">
        <v>2018</v>
      </c>
      <c r="I592" s="152" t="s">
        <v>5850</v>
      </c>
    </row>
    <row r="593" spans="1:9" ht="18.75" thickBot="1" x14ac:dyDescent="0.3">
      <c r="A593" s="133" t="str">
        <f t="shared" si="9"/>
        <v>143411V</v>
      </c>
      <c r="B593" s="133" t="s">
        <v>6478</v>
      </c>
      <c r="C593" s="133" t="s">
        <v>6479</v>
      </c>
      <c r="D593" s="133" t="s">
        <v>7537</v>
      </c>
      <c r="E593" s="134"/>
      <c r="F593" s="134">
        <v>0.83</v>
      </c>
      <c r="G593" s="135">
        <v>0.66</v>
      </c>
      <c r="H593" s="133">
        <v>2012</v>
      </c>
      <c r="I593" s="152" t="s">
        <v>5792</v>
      </c>
    </row>
    <row r="594" spans="1:9" ht="18.75" thickBot="1" x14ac:dyDescent="0.3">
      <c r="A594" s="133" t="str">
        <f t="shared" si="9"/>
        <v>136739F</v>
      </c>
      <c r="B594" s="133" t="s">
        <v>7860</v>
      </c>
      <c r="C594" s="133" t="s">
        <v>7861</v>
      </c>
      <c r="D594" s="133" t="s">
        <v>7537</v>
      </c>
      <c r="E594" s="134"/>
      <c r="F594" s="134">
        <v>0.34</v>
      </c>
      <c r="G594" s="135">
        <v>0.27</v>
      </c>
      <c r="H594" s="133">
        <v>2008</v>
      </c>
      <c r="I594" s="152" t="s">
        <v>5895</v>
      </c>
    </row>
    <row r="595" spans="1:9" ht="18.75" thickBot="1" x14ac:dyDescent="0.3">
      <c r="A595" s="133" t="str">
        <f t="shared" si="9"/>
        <v>159678N</v>
      </c>
      <c r="B595" s="133" t="s">
        <v>7286</v>
      </c>
      <c r="C595" s="133" t="s">
        <v>7287</v>
      </c>
      <c r="D595" s="133" t="s">
        <v>5505</v>
      </c>
      <c r="E595" s="134"/>
      <c r="F595" s="134">
        <v>1.52</v>
      </c>
      <c r="G595" s="135">
        <v>1.22</v>
      </c>
      <c r="H595" s="133">
        <v>2023</v>
      </c>
      <c r="I595" s="152" t="s">
        <v>5635</v>
      </c>
    </row>
    <row r="596" spans="1:9" ht="18.75" thickBot="1" x14ac:dyDescent="0.3">
      <c r="A596" s="133" t="str">
        <f t="shared" si="9"/>
        <v>154179L</v>
      </c>
      <c r="B596" s="133" t="s">
        <v>7288</v>
      </c>
      <c r="C596" s="133" t="s">
        <v>7289</v>
      </c>
      <c r="D596" s="133" t="s">
        <v>5505</v>
      </c>
      <c r="E596" s="134"/>
      <c r="F596" s="134">
        <v>1.7</v>
      </c>
      <c r="G596" s="135">
        <v>1.36</v>
      </c>
      <c r="H596" s="133">
        <v>2024</v>
      </c>
      <c r="I596" s="152" t="s">
        <v>5559</v>
      </c>
    </row>
    <row r="597" spans="1:9" ht="18.75" thickBot="1" x14ac:dyDescent="0.3">
      <c r="A597" s="133" t="str">
        <f t="shared" si="9"/>
        <v>160239Y</v>
      </c>
      <c r="B597" s="133" t="s">
        <v>7862</v>
      </c>
      <c r="C597" s="133" t="s">
        <v>7863</v>
      </c>
      <c r="D597" s="133" t="s">
        <v>7537</v>
      </c>
      <c r="E597" s="134"/>
      <c r="F597" s="134">
        <v>0.51</v>
      </c>
      <c r="G597" s="135">
        <v>0.4</v>
      </c>
      <c r="H597" s="133">
        <v>2019</v>
      </c>
      <c r="I597" s="152" t="s">
        <v>5553</v>
      </c>
    </row>
    <row r="598" spans="1:9" ht="18.75" thickBot="1" x14ac:dyDescent="0.3">
      <c r="A598" s="133" t="str">
        <f t="shared" si="9"/>
        <v>136067J</v>
      </c>
      <c r="B598" s="133" t="s">
        <v>7290</v>
      </c>
      <c r="C598" s="133" t="s">
        <v>7291</v>
      </c>
      <c r="D598" s="133" t="s">
        <v>7537</v>
      </c>
      <c r="E598" s="134"/>
      <c r="F598" s="134">
        <v>1.1000000000000001</v>
      </c>
      <c r="G598" s="135">
        <v>0.88</v>
      </c>
      <c r="H598" s="133">
        <v>2010</v>
      </c>
      <c r="I598" s="152" t="s">
        <v>5744</v>
      </c>
    </row>
    <row r="599" spans="1:9" ht="18.75" thickBot="1" x14ac:dyDescent="0.3">
      <c r="A599" s="133" t="str">
        <f t="shared" si="9"/>
        <v>129786U</v>
      </c>
      <c r="B599" s="133" t="s">
        <v>7864</v>
      </c>
      <c r="C599" s="133" t="s">
        <v>7865</v>
      </c>
      <c r="D599" s="133" t="s">
        <v>7537</v>
      </c>
      <c r="E599" s="134"/>
      <c r="F599" s="134">
        <v>0.56999999999999995</v>
      </c>
      <c r="G599" s="135">
        <v>0.46</v>
      </c>
      <c r="H599" s="133">
        <v>2012</v>
      </c>
      <c r="I599" s="152" t="s">
        <v>5710</v>
      </c>
    </row>
    <row r="600" spans="1:9" ht="18.75" thickBot="1" x14ac:dyDescent="0.3">
      <c r="A600" s="133" t="str">
        <f t="shared" si="9"/>
        <v>114581Z</v>
      </c>
      <c r="B600" s="133" t="s">
        <v>6484</v>
      </c>
      <c r="C600" s="133" t="s">
        <v>6485</v>
      </c>
      <c r="D600" s="133" t="s">
        <v>5504</v>
      </c>
      <c r="E600" s="134"/>
      <c r="F600" s="134">
        <v>3.21</v>
      </c>
      <c r="G600" s="135">
        <v>2.57</v>
      </c>
      <c r="H600" s="133">
        <v>2009</v>
      </c>
      <c r="I600" s="152" t="s">
        <v>5582</v>
      </c>
    </row>
    <row r="601" spans="1:9" ht="18.75" thickBot="1" x14ac:dyDescent="0.3">
      <c r="A601" s="133" t="str">
        <f t="shared" si="9"/>
        <v>183798F</v>
      </c>
      <c r="B601" s="133" t="s">
        <v>8557</v>
      </c>
      <c r="C601" s="133" t="s">
        <v>8558</v>
      </c>
      <c r="D601" s="133" t="s">
        <v>7560</v>
      </c>
      <c r="E601" s="134"/>
      <c r="F601" s="134">
        <v>0.45</v>
      </c>
      <c r="G601" s="135">
        <v>0.36</v>
      </c>
      <c r="H601" s="133">
        <v>2024</v>
      </c>
      <c r="I601" s="152" t="s">
        <v>5625</v>
      </c>
    </row>
    <row r="602" spans="1:9" ht="18.75" thickBot="1" x14ac:dyDescent="0.3">
      <c r="A602" s="133" t="str">
        <f t="shared" si="9"/>
        <v>020242O</v>
      </c>
      <c r="B602" s="133" t="s">
        <v>8559</v>
      </c>
      <c r="C602" s="133" t="s">
        <v>8560</v>
      </c>
      <c r="D602" s="133" t="s">
        <v>5503</v>
      </c>
      <c r="E602" s="134"/>
      <c r="F602" s="134">
        <v>4.67</v>
      </c>
      <c r="G602" s="135">
        <v>3.74</v>
      </c>
      <c r="H602" s="133">
        <v>2013</v>
      </c>
      <c r="I602" s="152" t="s">
        <v>5587</v>
      </c>
    </row>
    <row r="603" spans="1:9" ht="18.75" thickBot="1" x14ac:dyDescent="0.3">
      <c r="A603" s="133" t="str">
        <f t="shared" si="9"/>
        <v>153441J</v>
      </c>
      <c r="B603" s="133" t="s">
        <v>7866</v>
      </c>
      <c r="C603" s="133" t="s">
        <v>7867</v>
      </c>
      <c r="D603" s="133" t="s">
        <v>7537</v>
      </c>
      <c r="E603" s="134"/>
      <c r="F603" s="134">
        <v>0.77</v>
      </c>
      <c r="G603" s="135">
        <v>0.61</v>
      </c>
      <c r="H603" s="133">
        <v>2018</v>
      </c>
      <c r="I603" s="152" t="s">
        <v>5553</v>
      </c>
    </row>
    <row r="604" spans="1:9" ht="18.75" thickBot="1" x14ac:dyDescent="0.3">
      <c r="A604" s="133" t="str">
        <f t="shared" si="9"/>
        <v>143717P</v>
      </c>
      <c r="B604" s="133" t="s">
        <v>7868</v>
      </c>
      <c r="C604" s="133" t="s">
        <v>7869</v>
      </c>
      <c r="D604" s="133" t="s">
        <v>7537</v>
      </c>
      <c r="E604" s="134"/>
      <c r="F604" s="134">
        <v>0.51</v>
      </c>
      <c r="G604" s="135">
        <v>0.41</v>
      </c>
      <c r="H604" s="133">
        <v>2012</v>
      </c>
      <c r="I604" s="152" t="s">
        <v>5666</v>
      </c>
    </row>
    <row r="605" spans="1:9" ht="18.75" thickBot="1" x14ac:dyDescent="0.3">
      <c r="A605" s="133" t="str">
        <f t="shared" si="9"/>
        <v>155952N</v>
      </c>
      <c r="B605" s="133" t="s">
        <v>7292</v>
      </c>
      <c r="C605" s="133" t="s">
        <v>7293</v>
      </c>
      <c r="D605" s="133" t="s">
        <v>7537</v>
      </c>
      <c r="E605" s="134"/>
      <c r="F605" s="134">
        <v>0.64</v>
      </c>
      <c r="G605" s="135">
        <v>0.51</v>
      </c>
      <c r="H605" s="133">
        <v>2019</v>
      </c>
      <c r="I605" s="152" t="s">
        <v>5566</v>
      </c>
    </row>
    <row r="606" spans="1:9" ht="18.75" thickBot="1" x14ac:dyDescent="0.3">
      <c r="A606" s="133" t="str">
        <f t="shared" si="9"/>
        <v>140579X</v>
      </c>
      <c r="B606" s="133" t="s">
        <v>7870</v>
      </c>
      <c r="C606" s="133" t="s">
        <v>7871</v>
      </c>
      <c r="D606" s="133" t="s">
        <v>7537</v>
      </c>
      <c r="E606" s="134"/>
      <c r="F606" s="134">
        <v>1.17</v>
      </c>
      <c r="G606" s="135">
        <v>0.94</v>
      </c>
      <c r="H606" s="133">
        <v>2015</v>
      </c>
      <c r="I606" s="152" t="s">
        <v>5601</v>
      </c>
    </row>
    <row r="607" spans="1:9" ht="18.75" thickBot="1" x14ac:dyDescent="0.3">
      <c r="A607" s="133" t="str">
        <f t="shared" si="9"/>
        <v>140418S</v>
      </c>
      <c r="B607" s="133" t="s">
        <v>7872</v>
      </c>
      <c r="C607" s="133" t="s">
        <v>7873</v>
      </c>
      <c r="D607" s="133" t="s">
        <v>5505</v>
      </c>
      <c r="E607" s="134"/>
      <c r="F607" s="134">
        <v>1.52</v>
      </c>
      <c r="G607" s="135">
        <v>1.22</v>
      </c>
      <c r="H607" s="133">
        <v>2011</v>
      </c>
      <c r="I607" s="152" t="s">
        <v>6229</v>
      </c>
    </row>
    <row r="608" spans="1:9" ht="18.75" thickBot="1" x14ac:dyDescent="0.3">
      <c r="A608" s="133" t="str">
        <f t="shared" si="9"/>
        <v>178429V</v>
      </c>
      <c r="B608" s="133" t="s">
        <v>6492</v>
      </c>
      <c r="C608" s="133" t="s">
        <v>6493</v>
      </c>
      <c r="D608" s="133" t="s">
        <v>5504</v>
      </c>
      <c r="E608" s="134"/>
      <c r="F608" s="134">
        <v>3.53</v>
      </c>
      <c r="G608" s="135">
        <v>2.82</v>
      </c>
      <c r="H608" s="133">
        <v>2024</v>
      </c>
      <c r="I608" s="152" t="s">
        <v>5563</v>
      </c>
    </row>
    <row r="609" spans="1:9" ht="18.75" thickBot="1" x14ac:dyDescent="0.3">
      <c r="A609" s="133" t="str">
        <f t="shared" si="9"/>
        <v>013592U</v>
      </c>
      <c r="B609" s="133" t="s">
        <v>6494</v>
      </c>
      <c r="C609" s="133" t="s">
        <v>6495</v>
      </c>
      <c r="D609" s="133" t="s">
        <v>5503</v>
      </c>
      <c r="E609" s="134"/>
      <c r="F609" s="134">
        <v>5.45</v>
      </c>
      <c r="G609" s="135">
        <v>4.3600000000000003</v>
      </c>
      <c r="H609" s="133">
        <v>2008</v>
      </c>
      <c r="I609" s="152" t="s">
        <v>5598</v>
      </c>
    </row>
    <row r="610" spans="1:9" ht="18.75" thickBot="1" x14ac:dyDescent="0.3">
      <c r="A610" s="133" t="str">
        <f t="shared" si="9"/>
        <v>181958F</v>
      </c>
      <c r="B610" s="133" t="s">
        <v>8561</v>
      </c>
      <c r="C610" s="133" t="s">
        <v>8562</v>
      </c>
      <c r="D610" s="133" t="s">
        <v>7543</v>
      </c>
      <c r="E610" s="134"/>
      <c r="F610" s="134">
        <v>1.38</v>
      </c>
      <c r="G610" s="135">
        <v>1.1000000000000001</v>
      </c>
      <c r="H610" s="133">
        <v>2024</v>
      </c>
      <c r="I610" s="152" t="s">
        <v>5705</v>
      </c>
    </row>
    <row r="611" spans="1:9" ht="18.75" thickBot="1" x14ac:dyDescent="0.3">
      <c r="A611" s="133" t="str">
        <f t="shared" si="9"/>
        <v>134845J</v>
      </c>
      <c r="B611" s="133" t="s">
        <v>7294</v>
      </c>
      <c r="C611" s="133" t="s">
        <v>7295</v>
      </c>
      <c r="D611" s="133" t="s">
        <v>5504</v>
      </c>
      <c r="E611" s="134"/>
      <c r="F611" s="134">
        <v>2.67</v>
      </c>
      <c r="G611" s="135">
        <v>2.13</v>
      </c>
      <c r="H611" s="133">
        <v>2024</v>
      </c>
      <c r="I611" s="152" t="s">
        <v>5744</v>
      </c>
    </row>
    <row r="612" spans="1:9" ht="18.75" thickBot="1" x14ac:dyDescent="0.3">
      <c r="A612" s="133" t="str">
        <f t="shared" si="9"/>
        <v>108113F</v>
      </c>
      <c r="B612" s="133" t="s">
        <v>6498</v>
      </c>
      <c r="C612" s="133" t="s">
        <v>6499</v>
      </c>
      <c r="D612" s="133" t="s">
        <v>5505</v>
      </c>
      <c r="E612" s="134"/>
      <c r="F612" s="134">
        <v>1.55</v>
      </c>
      <c r="G612" s="135">
        <v>1.24</v>
      </c>
      <c r="H612" s="133">
        <v>2024</v>
      </c>
      <c r="I612" s="152" t="s">
        <v>5566</v>
      </c>
    </row>
    <row r="613" spans="1:9" ht="18.75" thickBot="1" x14ac:dyDescent="0.3">
      <c r="A613" s="133" t="str">
        <f t="shared" si="9"/>
        <v>120115V</v>
      </c>
      <c r="B613" s="133" t="s">
        <v>6500</v>
      </c>
      <c r="C613" s="133" t="s">
        <v>6501</v>
      </c>
      <c r="D613" s="133" t="s">
        <v>5505</v>
      </c>
      <c r="E613" s="134"/>
      <c r="F613" s="134">
        <v>1.74</v>
      </c>
      <c r="G613" s="135">
        <v>1.39</v>
      </c>
      <c r="H613" s="133">
        <v>2018</v>
      </c>
      <c r="I613" s="152" t="s">
        <v>5678</v>
      </c>
    </row>
    <row r="614" spans="1:9" ht="18.75" thickBot="1" x14ac:dyDescent="0.3">
      <c r="A614" s="133" t="str">
        <f t="shared" si="9"/>
        <v>155170N</v>
      </c>
      <c r="B614" s="133" t="s">
        <v>6502</v>
      </c>
      <c r="C614" s="133" t="s">
        <v>6503</v>
      </c>
      <c r="D614" s="133" t="s">
        <v>5597</v>
      </c>
      <c r="E614" s="134"/>
      <c r="F614" s="134">
        <v>3.57</v>
      </c>
      <c r="G614" s="135">
        <v>2.85</v>
      </c>
      <c r="H614" s="133">
        <v>2024</v>
      </c>
      <c r="I614" s="152" t="s">
        <v>5735</v>
      </c>
    </row>
    <row r="615" spans="1:9" ht="18.75" thickBot="1" x14ac:dyDescent="0.3">
      <c r="A615" s="133" t="str">
        <f t="shared" si="9"/>
        <v>140581Z</v>
      </c>
      <c r="B615" s="133" t="s">
        <v>6504</v>
      </c>
      <c r="C615" s="133" t="s">
        <v>6505</v>
      </c>
      <c r="D615" s="133" t="s">
        <v>7537</v>
      </c>
      <c r="E615" s="134"/>
      <c r="F615" s="134">
        <v>0.63</v>
      </c>
      <c r="G615" s="135">
        <v>0.51</v>
      </c>
      <c r="H615" s="133">
        <v>2013</v>
      </c>
      <c r="I615" s="152" t="s">
        <v>5601</v>
      </c>
    </row>
    <row r="616" spans="1:9" ht="18.75" thickBot="1" x14ac:dyDescent="0.3">
      <c r="A616" s="133" t="str">
        <f t="shared" si="9"/>
        <v>150617P</v>
      </c>
      <c r="B616" s="133" t="s">
        <v>7874</v>
      </c>
      <c r="C616" s="133" t="s">
        <v>7875</v>
      </c>
      <c r="D616" s="133" t="s">
        <v>5505</v>
      </c>
      <c r="E616" s="134"/>
      <c r="F616" s="134">
        <v>1.53</v>
      </c>
      <c r="G616" s="135">
        <v>1.22</v>
      </c>
      <c r="H616" s="133">
        <v>2016</v>
      </c>
      <c r="I616" s="152" t="s">
        <v>7876</v>
      </c>
    </row>
    <row r="617" spans="1:9" ht="18.75" thickBot="1" x14ac:dyDescent="0.3">
      <c r="A617" s="133" t="str">
        <f t="shared" si="9"/>
        <v>149913Z</v>
      </c>
      <c r="B617" s="133" t="s">
        <v>6506</v>
      </c>
      <c r="C617" s="133" t="s">
        <v>6507</v>
      </c>
      <c r="D617" s="133" t="s">
        <v>5505</v>
      </c>
      <c r="E617" s="134"/>
      <c r="F617" s="134">
        <v>0.96</v>
      </c>
      <c r="G617" s="135">
        <v>0.77</v>
      </c>
      <c r="H617" s="133">
        <v>2020</v>
      </c>
      <c r="I617" s="152" t="s">
        <v>5635</v>
      </c>
    </row>
    <row r="618" spans="1:9" ht="18.75" thickBot="1" x14ac:dyDescent="0.3">
      <c r="A618" s="133" t="str">
        <f t="shared" si="9"/>
        <v>144067B</v>
      </c>
      <c r="B618" s="133" t="s">
        <v>7296</v>
      </c>
      <c r="C618" s="133" t="s">
        <v>7297</v>
      </c>
      <c r="D618" s="133" t="s">
        <v>5505</v>
      </c>
      <c r="E618" s="134"/>
      <c r="F618" s="134">
        <v>1.65</v>
      </c>
      <c r="G618" s="135">
        <v>1.32</v>
      </c>
      <c r="H618" s="133">
        <v>2016</v>
      </c>
      <c r="I618" s="152" t="s">
        <v>5705</v>
      </c>
    </row>
    <row r="619" spans="1:9" ht="18.75" thickBot="1" x14ac:dyDescent="0.3">
      <c r="A619" s="133" t="str">
        <f t="shared" si="9"/>
        <v>144710U</v>
      </c>
      <c r="B619" s="133" t="s">
        <v>8563</v>
      </c>
      <c r="C619" s="133" t="s">
        <v>8564</v>
      </c>
      <c r="D619" s="133" t="s">
        <v>7537</v>
      </c>
      <c r="E619" s="134"/>
      <c r="F619" s="134">
        <v>0.78</v>
      </c>
      <c r="G619" s="135">
        <v>0.62</v>
      </c>
      <c r="H619" s="133">
        <v>2013</v>
      </c>
      <c r="I619" s="152" t="s">
        <v>5657</v>
      </c>
    </row>
    <row r="620" spans="1:9" ht="18.75" thickBot="1" x14ac:dyDescent="0.3">
      <c r="A620" s="133" t="str">
        <f t="shared" si="9"/>
        <v>161463D</v>
      </c>
      <c r="B620" s="133" t="s">
        <v>7298</v>
      </c>
      <c r="C620" s="133" t="s">
        <v>7299</v>
      </c>
      <c r="D620" s="133" t="s">
        <v>5504</v>
      </c>
      <c r="E620" s="134"/>
      <c r="F620" s="134">
        <v>2.83</v>
      </c>
      <c r="G620" s="135">
        <v>2.2599999999999998</v>
      </c>
      <c r="H620" s="133">
        <v>2024</v>
      </c>
      <c r="I620" s="152" t="s">
        <v>5671</v>
      </c>
    </row>
    <row r="621" spans="1:9" ht="18.75" thickBot="1" x14ac:dyDescent="0.3">
      <c r="A621" s="133" t="str">
        <f t="shared" si="9"/>
        <v>013608K</v>
      </c>
      <c r="B621" s="133" t="s">
        <v>6510</v>
      </c>
      <c r="C621" s="133" t="s">
        <v>6511</v>
      </c>
      <c r="D621" s="133" t="s">
        <v>24</v>
      </c>
      <c r="E621" s="134"/>
      <c r="F621" s="134" t="s">
        <v>5552</v>
      </c>
      <c r="G621" s="135">
        <v>10.65</v>
      </c>
      <c r="H621" s="133">
        <v>2011</v>
      </c>
      <c r="I621" s="152" t="s">
        <v>5678</v>
      </c>
    </row>
    <row r="622" spans="1:9" ht="18.75" thickBot="1" x14ac:dyDescent="0.3">
      <c r="A622" s="133" t="str">
        <f t="shared" si="9"/>
        <v>132975L</v>
      </c>
      <c r="B622" s="133" t="s">
        <v>7877</v>
      </c>
      <c r="C622" s="133" t="s">
        <v>7878</v>
      </c>
      <c r="D622" s="133" t="s">
        <v>7537</v>
      </c>
      <c r="E622" s="134"/>
      <c r="F622" s="134">
        <v>0.64</v>
      </c>
      <c r="G622" s="135">
        <v>0.51</v>
      </c>
      <c r="H622" s="133">
        <v>2008</v>
      </c>
      <c r="I622" s="152" t="s">
        <v>5608</v>
      </c>
    </row>
    <row r="623" spans="1:9" ht="18.75" thickBot="1" x14ac:dyDescent="0.3">
      <c r="A623" s="133" t="str">
        <f t="shared" si="9"/>
        <v>152765Z</v>
      </c>
      <c r="B623" s="133" t="s">
        <v>7879</v>
      </c>
      <c r="C623" s="133" t="s">
        <v>7880</v>
      </c>
      <c r="D623" s="133" t="s">
        <v>7537</v>
      </c>
      <c r="E623" s="134"/>
      <c r="F623" s="134">
        <v>1.1599999999999999</v>
      </c>
      <c r="G623" s="135">
        <v>0.93</v>
      </c>
      <c r="H623" s="133">
        <v>2022</v>
      </c>
      <c r="I623" s="152" t="s">
        <v>5895</v>
      </c>
    </row>
    <row r="624" spans="1:9" ht="18.75" thickBot="1" x14ac:dyDescent="0.3">
      <c r="A624" s="133" t="str">
        <f t="shared" si="9"/>
        <v>013618U</v>
      </c>
      <c r="B624" s="133" t="s">
        <v>6512</v>
      </c>
      <c r="C624" s="133" t="s">
        <v>6513</v>
      </c>
      <c r="D624" s="133" t="s">
        <v>5504</v>
      </c>
      <c r="E624" s="134"/>
      <c r="F624" s="134">
        <v>2.41</v>
      </c>
      <c r="G624" s="135">
        <v>1.93</v>
      </c>
      <c r="H624" s="133">
        <v>2020</v>
      </c>
      <c r="I624" s="152" t="s">
        <v>5895</v>
      </c>
    </row>
    <row r="625" spans="1:9" ht="18.75" thickBot="1" x14ac:dyDescent="0.3">
      <c r="A625" s="133" t="str">
        <f t="shared" si="9"/>
        <v>129299B</v>
      </c>
      <c r="B625" s="133" t="s">
        <v>7881</v>
      </c>
      <c r="C625" s="133" t="s">
        <v>7882</v>
      </c>
      <c r="D625" s="133" t="s">
        <v>7537</v>
      </c>
      <c r="E625" s="134"/>
      <c r="F625" s="134">
        <v>1</v>
      </c>
      <c r="G625" s="135">
        <v>0.8</v>
      </c>
      <c r="H625" s="133">
        <v>2012</v>
      </c>
      <c r="I625" s="152" t="s">
        <v>5666</v>
      </c>
    </row>
    <row r="626" spans="1:9" ht="18.75" thickBot="1" x14ac:dyDescent="0.3">
      <c r="A626" s="133" t="str">
        <f t="shared" si="9"/>
        <v>140312Q</v>
      </c>
      <c r="B626" s="133" t="s">
        <v>7883</v>
      </c>
      <c r="C626" s="133" t="s">
        <v>7884</v>
      </c>
      <c r="D626" s="133" t="s">
        <v>7537</v>
      </c>
      <c r="E626" s="134"/>
      <c r="F626" s="134">
        <v>0.41</v>
      </c>
      <c r="G626" s="135">
        <v>0.33</v>
      </c>
      <c r="H626" s="133">
        <v>2011</v>
      </c>
      <c r="I626" s="152" t="s">
        <v>5657</v>
      </c>
    </row>
    <row r="627" spans="1:9" ht="18.75" thickBot="1" x14ac:dyDescent="0.3">
      <c r="A627" s="133" t="str">
        <f t="shared" si="9"/>
        <v>139920O</v>
      </c>
      <c r="B627" s="133" t="s">
        <v>7885</v>
      </c>
      <c r="C627" s="133" t="s">
        <v>7886</v>
      </c>
      <c r="D627" s="133" t="s">
        <v>7537</v>
      </c>
      <c r="E627" s="134"/>
      <c r="F627" s="134">
        <v>0.56000000000000005</v>
      </c>
      <c r="G627" s="135">
        <v>0.45</v>
      </c>
      <c r="H627" s="133">
        <v>2011</v>
      </c>
      <c r="I627" s="152" t="s">
        <v>5657</v>
      </c>
    </row>
    <row r="628" spans="1:9" ht="18.75" thickBot="1" x14ac:dyDescent="0.3">
      <c r="A628" s="133" t="str">
        <f t="shared" si="9"/>
        <v>146880G</v>
      </c>
      <c r="B628" s="133" t="s">
        <v>7887</v>
      </c>
      <c r="C628" s="133" t="s">
        <v>7888</v>
      </c>
      <c r="D628" s="133" t="s">
        <v>5505</v>
      </c>
      <c r="E628" s="134"/>
      <c r="F628" s="134">
        <v>1.24</v>
      </c>
      <c r="G628" s="135">
        <v>0.99</v>
      </c>
      <c r="H628" s="133">
        <v>2016</v>
      </c>
      <c r="I628" s="152" t="s">
        <v>5587</v>
      </c>
    </row>
    <row r="629" spans="1:9" ht="18.75" thickBot="1" x14ac:dyDescent="0.3">
      <c r="A629" s="133" t="str">
        <f t="shared" si="9"/>
        <v>119631F</v>
      </c>
      <c r="B629" s="133" t="s">
        <v>7300</v>
      </c>
      <c r="C629" s="133" t="s">
        <v>7301</v>
      </c>
      <c r="D629" s="133" t="s">
        <v>5505</v>
      </c>
      <c r="E629" s="134"/>
      <c r="F629" s="134">
        <v>1.35</v>
      </c>
      <c r="G629" s="135">
        <v>1.08</v>
      </c>
      <c r="H629" s="133">
        <v>2024</v>
      </c>
      <c r="I629" s="152" t="s">
        <v>5678</v>
      </c>
    </row>
    <row r="630" spans="1:9" ht="18.75" thickBot="1" x14ac:dyDescent="0.3">
      <c r="A630" s="133" t="str">
        <f t="shared" si="9"/>
        <v>147496X</v>
      </c>
      <c r="B630" s="133" t="s">
        <v>7889</v>
      </c>
      <c r="C630" s="133" t="s">
        <v>7890</v>
      </c>
      <c r="D630" s="133" t="s">
        <v>5505</v>
      </c>
      <c r="E630" s="134"/>
      <c r="F630" s="134">
        <v>1.48</v>
      </c>
      <c r="G630" s="135">
        <v>1.18</v>
      </c>
      <c r="H630" s="133">
        <v>2016</v>
      </c>
      <c r="I630" s="152" t="s">
        <v>5735</v>
      </c>
    </row>
    <row r="631" spans="1:9" ht="18.75" thickBot="1" x14ac:dyDescent="0.3">
      <c r="A631" s="133" t="str">
        <f t="shared" si="9"/>
        <v>107940O</v>
      </c>
      <c r="B631" s="133" t="s">
        <v>6516</v>
      </c>
      <c r="C631" s="133" t="s">
        <v>6517</v>
      </c>
      <c r="D631" s="133" t="s">
        <v>5504</v>
      </c>
      <c r="E631" s="134"/>
      <c r="F631" s="134">
        <v>2.68</v>
      </c>
      <c r="G631" s="135">
        <v>2.14</v>
      </c>
      <c r="H631" s="133">
        <v>2011</v>
      </c>
      <c r="I631" s="152" t="s">
        <v>5582</v>
      </c>
    </row>
    <row r="632" spans="1:9" ht="18.75" thickBot="1" x14ac:dyDescent="0.3">
      <c r="A632" s="133" t="str">
        <f t="shared" si="9"/>
        <v>183528M</v>
      </c>
      <c r="B632" s="133" t="s">
        <v>8565</v>
      </c>
      <c r="C632" s="133" t="s">
        <v>8566</v>
      </c>
      <c r="D632" s="133" t="s">
        <v>7560</v>
      </c>
      <c r="E632" s="134"/>
      <c r="F632" s="134">
        <v>0.62</v>
      </c>
      <c r="G632" s="135">
        <v>0.49</v>
      </c>
      <c r="H632" s="133">
        <v>2024</v>
      </c>
      <c r="I632" s="152" t="s">
        <v>5573</v>
      </c>
    </row>
    <row r="633" spans="1:9" ht="18.75" thickBot="1" x14ac:dyDescent="0.3">
      <c r="A633" s="133" t="str">
        <f t="shared" si="9"/>
        <v>156106F</v>
      </c>
      <c r="B633" s="133" t="s">
        <v>7891</v>
      </c>
      <c r="C633" s="133" t="s">
        <v>7892</v>
      </c>
      <c r="D633" s="133" t="s">
        <v>7537</v>
      </c>
      <c r="E633" s="134"/>
      <c r="F633" s="134">
        <v>0.69</v>
      </c>
      <c r="G633" s="135">
        <v>0.55000000000000004</v>
      </c>
      <c r="H633" s="133">
        <v>2023</v>
      </c>
      <c r="I633" s="152" t="s">
        <v>5768</v>
      </c>
    </row>
    <row r="634" spans="1:9" ht="18.75" thickBot="1" x14ac:dyDescent="0.3">
      <c r="A634" s="133" t="str">
        <f t="shared" si="9"/>
        <v>163353H</v>
      </c>
      <c r="B634" s="133" t="s">
        <v>7302</v>
      </c>
      <c r="C634" s="133" t="s">
        <v>7303</v>
      </c>
      <c r="D634" s="133" t="s">
        <v>7537</v>
      </c>
      <c r="E634" s="134"/>
      <c r="F634" s="134">
        <v>0.9</v>
      </c>
      <c r="G634" s="135">
        <v>0.72</v>
      </c>
      <c r="H634" s="133">
        <v>2019</v>
      </c>
      <c r="I634" s="152" t="s">
        <v>5646</v>
      </c>
    </row>
    <row r="635" spans="1:9" ht="18.75" thickBot="1" x14ac:dyDescent="0.3">
      <c r="A635" s="133" t="str">
        <f t="shared" si="9"/>
        <v>129270Y</v>
      </c>
      <c r="B635" s="133" t="s">
        <v>7893</v>
      </c>
      <c r="C635" s="133" t="s">
        <v>7894</v>
      </c>
      <c r="D635" s="133" t="s">
        <v>5505</v>
      </c>
      <c r="E635" s="134"/>
      <c r="F635" s="134">
        <v>1.95</v>
      </c>
      <c r="G635" s="135">
        <v>1.56</v>
      </c>
      <c r="H635" s="133">
        <v>2009</v>
      </c>
      <c r="I635" s="152" t="s">
        <v>5582</v>
      </c>
    </row>
    <row r="636" spans="1:9" ht="18.75" thickBot="1" x14ac:dyDescent="0.3">
      <c r="A636" s="133" t="str">
        <f t="shared" si="9"/>
        <v>148333G</v>
      </c>
      <c r="B636" s="133" t="s">
        <v>7304</v>
      </c>
      <c r="C636" s="133" t="s">
        <v>7305</v>
      </c>
      <c r="D636" s="133" t="s">
        <v>5704</v>
      </c>
      <c r="E636" s="134"/>
      <c r="F636" s="134">
        <v>2.02</v>
      </c>
      <c r="G636" s="135">
        <v>1.62</v>
      </c>
      <c r="H636" s="133">
        <v>2024</v>
      </c>
      <c r="I636" s="152" t="s">
        <v>5559</v>
      </c>
    </row>
    <row r="637" spans="1:9" ht="18.75" thickBot="1" x14ac:dyDescent="0.3">
      <c r="A637" s="133" t="str">
        <f t="shared" si="9"/>
        <v>113556O</v>
      </c>
      <c r="B637" s="133" t="s">
        <v>7309</v>
      </c>
      <c r="C637" s="133" t="s">
        <v>7310</v>
      </c>
      <c r="D637" s="133" t="s">
        <v>5505</v>
      </c>
      <c r="E637" s="134"/>
      <c r="F637" s="134">
        <v>1.83</v>
      </c>
      <c r="G637" s="135">
        <v>1.46</v>
      </c>
      <c r="H637" s="133">
        <v>2011</v>
      </c>
      <c r="I637" s="152" t="s">
        <v>5787</v>
      </c>
    </row>
    <row r="638" spans="1:9" ht="18.75" thickBot="1" x14ac:dyDescent="0.3">
      <c r="A638" s="133" t="str">
        <f t="shared" si="9"/>
        <v>126085L</v>
      </c>
      <c r="B638" s="133" t="s">
        <v>7311</v>
      </c>
      <c r="C638" s="133" t="s">
        <v>7312</v>
      </c>
      <c r="D638" s="133" t="s">
        <v>5504</v>
      </c>
      <c r="E638" s="134"/>
      <c r="F638" s="134">
        <v>2.2200000000000002</v>
      </c>
      <c r="G638" s="135">
        <v>1.77</v>
      </c>
      <c r="H638" s="133">
        <v>2014</v>
      </c>
      <c r="I638" s="152" t="s">
        <v>5735</v>
      </c>
    </row>
    <row r="639" spans="1:9" ht="18.75" thickBot="1" x14ac:dyDescent="0.3">
      <c r="A639" s="133" t="str">
        <f t="shared" si="9"/>
        <v>135467H</v>
      </c>
      <c r="B639" s="133" t="s">
        <v>7895</v>
      </c>
      <c r="C639" s="133" t="s">
        <v>7896</v>
      </c>
      <c r="D639" s="133" t="s">
        <v>7537</v>
      </c>
      <c r="E639" s="134"/>
      <c r="F639" s="134">
        <v>0.52</v>
      </c>
      <c r="G639" s="135">
        <v>0.42</v>
      </c>
      <c r="H639" s="133">
        <v>2013</v>
      </c>
      <c r="I639" s="152" t="s">
        <v>5582</v>
      </c>
    </row>
    <row r="640" spans="1:9" ht="18.75" thickBot="1" x14ac:dyDescent="0.3">
      <c r="A640" s="133" t="str">
        <f t="shared" si="9"/>
        <v>013640Q</v>
      </c>
      <c r="B640" s="133" t="s">
        <v>6518</v>
      </c>
      <c r="C640" s="133" t="s">
        <v>6519</v>
      </c>
      <c r="D640" s="133" t="s">
        <v>5505</v>
      </c>
      <c r="E640" s="134"/>
      <c r="F640" s="134">
        <v>1.47</v>
      </c>
      <c r="G640" s="135">
        <v>1.17</v>
      </c>
      <c r="H640" s="133">
        <v>2016</v>
      </c>
      <c r="I640" s="152" t="s">
        <v>5850</v>
      </c>
    </row>
    <row r="641" spans="1:9" ht="18.75" thickBot="1" x14ac:dyDescent="0.3">
      <c r="A641" s="133" t="str">
        <f t="shared" si="9"/>
        <v>139024C</v>
      </c>
      <c r="B641" s="133" t="s">
        <v>7313</v>
      </c>
      <c r="C641" s="133" t="s">
        <v>7314</v>
      </c>
      <c r="D641" s="133" t="s">
        <v>5505</v>
      </c>
      <c r="E641" s="134"/>
      <c r="F641" s="134">
        <v>1.47</v>
      </c>
      <c r="G641" s="135">
        <v>1.18</v>
      </c>
      <c r="H641" s="133">
        <v>2024</v>
      </c>
      <c r="I641" s="152" t="s">
        <v>5744</v>
      </c>
    </row>
    <row r="642" spans="1:9" ht="18.75" thickBot="1" x14ac:dyDescent="0.3">
      <c r="A642" s="133" t="str">
        <f t="shared" ref="A642:A705" si="10">SUBSTITUTE(B642,CHAR(32),"")</f>
        <v>147125T</v>
      </c>
      <c r="B642" s="133" t="s">
        <v>6522</v>
      </c>
      <c r="C642" s="133" t="s">
        <v>6523</v>
      </c>
      <c r="D642" s="133" t="s">
        <v>5505</v>
      </c>
      <c r="E642" s="134"/>
      <c r="F642" s="134">
        <v>1.65</v>
      </c>
      <c r="G642" s="135">
        <v>1.32</v>
      </c>
      <c r="H642" s="133">
        <v>2018</v>
      </c>
      <c r="I642" s="152" t="s">
        <v>5657</v>
      </c>
    </row>
    <row r="643" spans="1:9" ht="18.75" thickBot="1" x14ac:dyDescent="0.3">
      <c r="A643" s="133" t="str">
        <f t="shared" si="10"/>
        <v>147796Y</v>
      </c>
      <c r="B643" s="133" t="s">
        <v>6524</v>
      </c>
      <c r="C643" s="133" t="s">
        <v>6525</v>
      </c>
      <c r="D643" s="133" t="s">
        <v>7537</v>
      </c>
      <c r="E643" s="134"/>
      <c r="F643" s="134">
        <v>0.67</v>
      </c>
      <c r="G643" s="135">
        <v>0.54</v>
      </c>
      <c r="H643" s="133">
        <v>2024</v>
      </c>
      <c r="I643" s="152" t="s">
        <v>5678</v>
      </c>
    </row>
    <row r="644" spans="1:9" ht="18.75" thickBot="1" x14ac:dyDescent="0.3">
      <c r="A644" s="133" t="str">
        <f t="shared" si="10"/>
        <v>021608C</v>
      </c>
      <c r="B644" s="133" t="s">
        <v>7897</v>
      </c>
      <c r="C644" s="133" t="s">
        <v>7898</v>
      </c>
      <c r="D644" s="133" t="s">
        <v>5505</v>
      </c>
      <c r="E644" s="134"/>
      <c r="F644" s="134">
        <v>1.55</v>
      </c>
      <c r="G644" s="135">
        <v>1.24</v>
      </c>
      <c r="H644" s="133">
        <v>2012</v>
      </c>
      <c r="I644" s="152" t="s">
        <v>5587</v>
      </c>
    </row>
    <row r="645" spans="1:9" ht="18.75" thickBot="1" x14ac:dyDescent="0.3">
      <c r="A645" s="133" t="str">
        <f t="shared" si="10"/>
        <v>140013D</v>
      </c>
      <c r="B645" s="133" t="s">
        <v>7899</v>
      </c>
      <c r="C645" s="133" t="s">
        <v>7900</v>
      </c>
      <c r="D645" s="133" t="s">
        <v>7537</v>
      </c>
      <c r="E645" s="134"/>
      <c r="F645" s="134">
        <v>0.57999999999999996</v>
      </c>
      <c r="G645" s="135">
        <v>0.47</v>
      </c>
      <c r="H645" s="133">
        <v>2012</v>
      </c>
      <c r="I645" s="152" t="s">
        <v>5654</v>
      </c>
    </row>
    <row r="646" spans="1:9" ht="18.75" thickBot="1" x14ac:dyDescent="0.3">
      <c r="A646" s="133" t="str">
        <f t="shared" si="10"/>
        <v>143826U</v>
      </c>
      <c r="B646" s="133" t="s">
        <v>6528</v>
      </c>
      <c r="C646" s="133" t="s">
        <v>6529</v>
      </c>
      <c r="D646" s="133" t="s">
        <v>5505</v>
      </c>
      <c r="E646" s="134"/>
      <c r="F646" s="134">
        <v>1.54</v>
      </c>
      <c r="G646" s="135">
        <v>1.23</v>
      </c>
      <c r="H646" s="133">
        <v>2014</v>
      </c>
      <c r="I646" s="152" t="s">
        <v>5559</v>
      </c>
    </row>
    <row r="647" spans="1:9" ht="18.75" thickBot="1" x14ac:dyDescent="0.3">
      <c r="A647" s="133" t="str">
        <f t="shared" si="10"/>
        <v>013649Z</v>
      </c>
      <c r="B647" s="133" t="s">
        <v>6532</v>
      </c>
      <c r="C647" s="133" t="s">
        <v>6533</v>
      </c>
      <c r="D647" s="133" t="s">
        <v>7537</v>
      </c>
      <c r="E647" s="134"/>
      <c r="F647" s="134">
        <v>1.1599999999999999</v>
      </c>
      <c r="G647" s="135">
        <v>0.93</v>
      </c>
      <c r="H647" s="133">
        <v>2008</v>
      </c>
      <c r="I647" s="152" t="s">
        <v>5671</v>
      </c>
    </row>
    <row r="648" spans="1:9" ht="18.75" thickBot="1" x14ac:dyDescent="0.3">
      <c r="A648" s="133" t="str">
        <f t="shared" si="10"/>
        <v>153666D</v>
      </c>
      <c r="B648" s="133" t="s">
        <v>7901</v>
      </c>
      <c r="C648" s="133" t="s">
        <v>7902</v>
      </c>
      <c r="D648" s="133" t="s">
        <v>7537</v>
      </c>
      <c r="E648" s="134"/>
      <c r="F648" s="134">
        <v>0.37</v>
      </c>
      <c r="G648" s="135">
        <v>0.28999999999999998</v>
      </c>
      <c r="H648" s="133">
        <v>2015</v>
      </c>
      <c r="I648" s="152" t="s">
        <v>5895</v>
      </c>
    </row>
    <row r="649" spans="1:9" ht="18.75" thickBot="1" x14ac:dyDescent="0.3">
      <c r="A649" s="133" t="str">
        <f t="shared" si="10"/>
        <v>013654E</v>
      </c>
      <c r="B649" s="133" t="s">
        <v>6536</v>
      </c>
      <c r="C649" s="133" t="s">
        <v>6537</v>
      </c>
      <c r="D649" s="133" t="s">
        <v>5704</v>
      </c>
      <c r="E649" s="134"/>
      <c r="F649" s="134">
        <v>2.2000000000000002</v>
      </c>
      <c r="G649" s="135">
        <v>1.76</v>
      </c>
      <c r="H649" s="133">
        <v>2024</v>
      </c>
      <c r="I649" s="152" t="s">
        <v>5744</v>
      </c>
    </row>
    <row r="650" spans="1:9" ht="18.75" thickBot="1" x14ac:dyDescent="0.3">
      <c r="A650" s="133" t="str">
        <f t="shared" si="10"/>
        <v>127814Y</v>
      </c>
      <c r="B650" s="133" t="s">
        <v>6538</v>
      </c>
      <c r="C650" s="133" t="s">
        <v>6539</v>
      </c>
      <c r="D650" s="133" t="s">
        <v>5505</v>
      </c>
      <c r="E650" s="134"/>
      <c r="F650" s="134">
        <v>1.48</v>
      </c>
      <c r="G650" s="135">
        <v>1.18</v>
      </c>
      <c r="H650" s="133">
        <v>2020</v>
      </c>
      <c r="I650" s="152" t="s">
        <v>5884</v>
      </c>
    </row>
    <row r="651" spans="1:9" ht="18.75" thickBot="1" x14ac:dyDescent="0.3">
      <c r="A651" s="133" t="str">
        <f t="shared" si="10"/>
        <v>129274C</v>
      </c>
      <c r="B651" s="133" t="s">
        <v>6540</v>
      </c>
      <c r="C651" s="133" t="s">
        <v>6541</v>
      </c>
      <c r="D651" s="133" t="s">
        <v>5505</v>
      </c>
      <c r="E651" s="134"/>
      <c r="F651" s="134">
        <v>1.57</v>
      </c>
      <c r="G651" s="135">
        <v>1.25</v>
      </c>
      <c r="H651" s="133">
        <v>2017</v>
      </c>
      <c r="I651" s="152" t="s">
        <v>5594</v>
      </c>
    </row>
    <row r="652" spans="1:9" ht="18.75" thickBot="1" x14ac:dyDescent="0.3">
      <c r="A652" s="133" t="str">
        <f t="shared" si="10"/>
        <v>159012P</v>
      </c>
      <c r="B652" s="133" t="s">
        <v>7903</v>
      </c>
      <c r="C652" s="133" t="s">
        <v>7904</v>
      </c>
      <c r="D652" s="133" t="s">
        <v>7537</v>
      </c>
      <c r="E652" s="134"/>
      <c r="F652" s="134">
        <v>0.36</v>
      </c>
      <c r="G652" s="135">
        <v>0.28999999999999998</v>
      </c>
      <c r="H652" s="133">
        <v>2019</v>
      </c>
      <c r="I652" s="152" t="s">
        <v>5598</v>
      </c>
    </row>
    <row r="653" spans="1:9" ht="18.75" thickBot="1" x14ac:dyDescent="0.3">
      <c r="A653" s="133" t="str">
        <f t="shared" si="10"/>
        <v>132702Y</v>
      </c>
      <c r="B653" s="133" t="s">
        <v>6544</v>
      </c>
      <c r="C653" s="133" t="s">
        <v>6545</v>
      </c>
      <c r="D653" s="133" t="s">
        <v>5505</v>
      </c>
      <c r="E653" s="134"/>
      <c r="F653" s="134">
        <v>1.33</v>
      </c>
      <c r="G653" s="135">
        <v>1.06</v>
      </c>
      <c r="H653" s="133">
        <v>2012</v>
      </c>
      <c r="I653" s="152" t="s">
        <v>5744</v>
      </c>
    </row>
    <row r="654" spans="1:9" ht="18.75" thickBot="1" x14ac:dyDescent="0.3">
      <c r="A654" s="133" t="str">
        <f t="shared" si="10"/>
        <v>013663N</v>
      </c>
      <c r="B654" s="133" t="s">
        <v>7905</v>
      </c>
      <c r="C654" s="133" t="s">
        <v>7906</v>
      </c>
      <c r="D654" s="133" t="s">
        <v>5504</v>
      </c>
      <c r="E654" s="134"/>
      <c r="F654" s="134">
        <v>2.52</v>
      </c>
      <c r="G654" s="135">
        <v>2.0099999999999998</v>
      </c>
      <c r="H654" s="133">
        <v>2012</v>
      </c>
      <c r="I654" s="152" t="s">
        <v>5573</v>
      </c>
    </row>
    <row r="655" spans="1:9" ht="18.75" thickBot="1" x14ac:dyDescent="0.3">
      <c r="A655" s="133" t="str">
        <f t="shared" si="10"/>
        <v>123884U</v>
      </c>
      <c r="B655" s="133" t="s">
        <v>6548</v>
      </c>
      <c r="C655" s="133" t="s">
        <v>6549</v>
      </c>
      <c r="D655" s="133" t="s">
        <v>5505</v>
      </c>
      <c r="E655" s="134"/>
      <c r="F655" s="134">
        <v>1.1399999999999999</v>
      </c>
      <c r="G655" s="135">
        <v>0.91</v>
      </c>
      <c r="H655" s="133">
        <v>2021</v>
      </c>
      <c r="I655" s="152" t="s">
        <v>5566</v>
      </c>
    </row>
    <row r="656" spans="1:9" ht="18.75" thickBot="1" x14ac:dyDescent="0.3">
      <c r="A656" s="133" t="str">
        <f t="shared" si="10"/>
        <v>103162U</v>
      </c>
      <c r="B656" s="133" t="s">
        <v>7315</v>
      </c>
      <c r="C656" s="133" t="s">
        <v>7316</v>
      </c>
      <c r="D656" s="133" t="s">
        <v>5505</v>
      </c>
      <c r="E656" s="134"/>
      <c r="F656" s="134">
        <v>1.54</v>
      </c>
      <c r="G656" s="135">
        <v>1.23</v>
      </c>
      <c r="H656" s="133">
        <v>2019</v>
      </c>
      <c r="I656" s="152" t="s">
        <v>5559</v>
      </c>
    </row>
    <row r="657" spans="1:9" ht="18.75" thickBot="1" x14ac:dyDescent="0.3">
      <c r="A657" s="133" t="str">
        <f t="shared" si="10"/>
        <v>161378L</v>
      </c>
      <c r="B657" s="133" t="s">
        <v>6550</v>
      </c>
      <c r="C657" s="133" t="s">
        <v>6551</v>
      </c>
      <c r="D657" s="133" t="s">
        <v>7543</v>
      </c>
      <c r="E657" s="134"/>
      <c r="F657" s="134">
        <v>1.89</v>
      </c>
      <c r="G657" s="135">
        <v>1.51</v>
      </c>
      <c r="H657" s="133">
        <v>2024</v>
      </c>
      <c r="I657" s="152" t="s">
        <v>5646</v>
      </c>
    </row>
    <row r="658" spans="1:9" ht="18.75" thickBot="1" x14ac:dyDescent="0.3">
      <c r="A658" s="133" t="str">
        <f t="shared" si="10"/>
        <v>129560C</v>
      </c>
      <c r="B658" s="133" t="s">
        <v>6552</v>
      </c>
      <c r="C658" s="133" t="s">
        <v>6553</v>
      </c>
      <c r="D658" s="133" t="s">
        <v>5504</v>
      </c>
      <c r="E658" s="134"/>
      <c r="F658" s="134">
        <v>3.52</v>
      </c>
      <c r="G658" s="135">
        <v>2.82</v>
      </c>
      <c r="H658" s="133">
        <v>2009</v>
      </c>
      <c r="I658" s="152" t="s">
        <v>6554</v>
      </c>
    </row>
    <row r="659" spans="1:9" ht="18.75" thickBot="1" x14ac:dyDescent="0.3">
      <c r="A659" s="133" t="str">
        <f t="shared" si="10"/>
        <v>131368Q</v>
      </c>
      <c r="B659" s="133" t="s">
        <v>6557</v>
      </c>
      <c r="C659" s="133" t="s">
        <v>6558</v>
      </c>
      <c r="D659" s="133" t="s">
        <v>5505</v>
      </c>
      <c r="E659" s="134"/>
      <c r="F659" s="134">
        <v>1.77</v>
      </c>
      <c r="G659" s="135">
        <v>1.41</v>
      </c>
      <c r="H659" s="133">
        <v>2024</v>
      </c>
      <c r="I659" s="152" t="s">
        <v>5726</v>
      </c>
    </row>
    <row r="660" spans="1:9" ht="18.75" thickBot="1" x14ac:dyDescent="0.3">
      <c r="A660" s="133" t="str">
        <f t="shared" si="10"/>
        <v>140066E</v>
      </c>
      <c r="B660" s="133" t="s">
        <v>6559</v>
      </c>
      <c r="C660" s="133" t="s">
        <v>6560</v>
      </c>
      <c r="D660" s="133" t="s">
        <v>5503</v>
      </c>
      <c r="E660" s="134"/>
      <c r="F660" s="134">
        <v>5.25</v>
      </c>
      <c r="G660" s="135">
        <v>4.2</v>
      </c>
      <c r="H660" s="133">
        <v>2017</v>
      </c>
      <c r="I660" s="152" t="s">
        <v>5635</v>
      </c>
    </row>
    <row r="661" spans="1:9" ht="18.75" thickBot="1" x14ac:dyDescent="0.3">
      <c r="A661" s="133" t="str">
        <f t="shared" si="10"/>
        <v>131205J</v>
      </c>
      <c r="B661" s="133" t="s">
        <v>7907</v>
      </c>
      <c r="C661" s="133" t="s">
        <v>7908</v>
      </c>
      <c r="D661" s="133" t="s">
        <v>5505</v>
      </c>
      <c r="E661" s="134"/>
      <c r="F661" s="134">
        <v>1.44</v>
      </c>
      <c r="G661" s="135">
        <v>1.1499999999999999</v>
      </c>
      <c r="H661" s="133">
        <v>2009</v>
      </c>
      <c r="I661" s="152" t="s">
        <v>6568</v>
      </c>
    </row>
    <row r="662" spans="1:9" ht="18.75" thickBot="1" x14ac:dyDescent="0.3">
      <c r="A662" s="133" t="str">
        <f t="shared" si="10"/>
        <v>132683F</v>
      </c>
      <c r="B662" s="133" t="s">
        <v>7317</v>
      </c>
      <c r="C662" s="133" t="s">
        <v>7318</v>
      </c>
      <c r="D662" s="133" t="s">
        <v>5504</v>
      </c>
      <c r="E662" s="134"/>
      <c r="F662" s="134">
        <v>2.72</v>
      </c>
      <c r="G662" s="135">
        <v>2.17</v>
      </c>
      <c r="H662" s="133">
        <v>2024</v>
      </c>
      <c r="I662" s="152" t="s">
        <v>5912</v>
      </c>
    </row>
    <row r="663" spans="1:9" ht="18.75" thickBot="1" x14ac:dyDescent="0.3">
      <c r="A663" s="133" t="str">
        <f t="shared" si="10"/>
        <v>153447Q</v>
      </c>
      <c r="B663" s="133" t="s">
        <v>7909</v>
      </c>
      <c r="C663" s="133" t="s">
        <v>7910</v>
      </c>
      <c r="D663" s="133" t="s">
        <v>7537</v>
      </c>
      <c r="E663" s="134"/>
      <c r="F663" s="134">
        <v>1.02</v>
      </c>
      <c r="G663" s="135">
        <v>0.81</v>
      </c>
      <c r="H663" s="133">
        <v>2017</v>
      </c>
      <c r="I663" s="152" t="s">
        <v>5895</v>
      </c>
    </row>
    <row r="664" spans="1:9" ht="18.75" thickBot="1" x14ac:dyDescent="0.3">
      <c r="A664" s="133" t="str">
        <f t="shared" si="10"/>
        <v>013683H</v>
      </c>
      <c r="B664" s="133" t="s">
        <v>7470</v>
      </c>
      <c r="C664" s="133" t="s">
        <v>7471</v>
      </c>
      <c r="D664" s="133" t="s">
        <v>26</v>
      </c>
      <c r="E664" s="134"/>
      <c r="F664" s="134">
        <v>6.37</v>
      </c>
      <c r="G664" s="135">
        <v>5.0999999999999996</v>
      </c>
      <c r="H664" s="133">
        <v>2014</v>
      </c>
      <c r="I664" s="152" t="s">
        <v>5657</v>
      </c>
    </row>
    <row r="665" spans="1:9" ht="18.75" thickBot="1" x14ac:dyDescent="0.3">
      <c r="A665" s="133" t="str">
        <f t="shared" si="10"/>
        <v>144762U</v>
      </c>
      <c r="B665" s="133" t="s">
        <v>7911</v>
      </c>
      <c r="C665" s="133" t="s">
        <v>7912</v>
      </c>
      <c r="D665" s="133" t="s">
        <v>7537</v>
      </c>
      <c r="E665" s="134"/>
      <c r="F665" s="134">
        <v>0.64</v>
      </c>
      <c r="G665" s="135">
        <v>0.51</v>
      </c>
      <c r="H665" s="133">
        <v>2012</v>
      </c>
      <c r="I665" s="152" t="s">
        <v>5912</v>
      </c>
    </row>
    <row r="666" spans="1:9" ht="18.75" thickBot="1" x14ac:dyDescent="0.3">
      <c r="A666" s="133" t="str">
        <f t="shared" si="10"/>
        <v>013692Q</v>
      </c>
      <c r="B666" s="133" t="s">
        <v>7913</v>
      </c>
      <c r="C666" s="133" t="s">
        <v>7914</v>
      </c>
      <c r="D666" s="133" t="s">
        <v>5504</v>
      </c>
      <c r="E666" s="134"/>
      <c r="F666" s="134">
        <v>3.53</v>
      </c>
      <c r="G666" s="135">
        <v>2.82</v>
      </c>
      <c r="H666" s="133">
        <v>2009</v>
      </c>
      <c r="I666" s="152" t="s">
        <v>6554</v>
      </c>
    </row>
    <row r="667" spans="1:9" ht="18.75" thickBot="1" x14ac:dyDescent="0.3">
      <c r="A667" s="133" t="str">
        <f t="shared" si="10"/>
        <v>013695T</v>
      </c>
      <c r="B667" s="133" t="s">
        <v>6563</v>
      </c>
      <c r="C667" s="133" t="s">
        <v>6564</v>
      </c>
      <c r="D667" s="133" t="s">
        <v>5505</v>
      </c>
      <c r="E667" s="134"/>
      <c r="F667" s="134">
        <v>1.41</v>
      </c>
      <c r="G667" s="135">
        <v>1.1299999999999999</v>
      </c>
      <c r="H667" s="133">
        <v>2020</v>
      </c>
      <c r="I667" s="152" t="s">
        <v>5625</v>
      </c>
    </row>
    <row r="668" spans="1:9" ht="18.75" thickBot="1" x14ac:dyDescent="0.3">
      <c r="A668" s="133" t="str">
        <f t="shared" si="10"/>
        <v>177059F</v>
      </c>
      <c r="B668" s="133" t="s">
        <v>6565</v>
      </c>
      <c r="C668" s="133" t="s">
        <v>8567</v>
      </c>
      <c r="D668" s="133" t="s">
        <v>5505</v>
      </c>
      <c r="E668" s="134"/>
      <c r="F668" s="134">
        <v>1.57</v>
      </c>
      <c r="G668" s="135">
        <v>1.26</v>
      </c>
      <c r="H668" s="133">
        <v>2024</v>
      </c>
      <c r="I668" s="152" t="s">
        <v>5625</v>
      </c>
    </row>
    <row r="669" spans="1:9" ht="18.75" thickBot="1" x14ac:dyDescent="0.3">
      <c r="A669" s="133" t="str">
        <f t="shared" si="10"/>
        <v>013698W</v>
      </c>
      <c r="B669" s="133" t="s">
        <v>6569</v>
      </c>
      <c r="C669" s="133" t="s">
        <v>6570</v>
      </c>
      <c r="D669" s="133" t="s">
        <v>5504</v>
      </c>
      <c r="E669" s="134"/>
      <c r="F669" s="134">
        <v>3.1</v>
      </c>
      <c r="G669" s="135">
        <v>2.48</v>
      </c>
      <c r="H669" s="133">
        <v>2022</v>
      </c>
      <c r="I669" s="152" t="s">
        <v>6081</v>
      </c>
    </row>
    <row r="670" spans="1:9" ht="18.75" thickBot="1" x14ac:dyDescent="0.3">
      <c r="A670" s="133" t="str">
        <f t="shared" si="10"/>
        <v>165010J</v>
      </c>
      <c r="B670" s="133" t="s">
        <v>7319</v>
      </c>
      <c r="C670" s="133" t="s">
        <v>7320</v>
      </c>
      <c r="D670" s="133" t="s">
        <v>5505</v>
      </c>
      <c r="E670" s="134"/>
      <c r="F670" s="134">
        <v>1.43</v>
      </c>
      <c r="G670" s="135">
        <v>1.1499999999999999</v>
      </c>
      <c r="H670" s="133">
        <v>2024</v>
      </c>
      <c r="I670" s="152" t="s">
        <v>5635</v>
      </c>
    </row>
    <row r="671" spans="1:9" ht="18.75" thickBot="1" x14ac:dyDescent="0.3">
      <c r="A671" s="133" t="str">
        <f t="shared" si="10"/>
        <v>138920C</v>
      </c>
      <c r="B671" s="133" t="s">
        <v>7321</v>
      </c>
      <c r="C671" s="133" t="s">
        <v>7322</v>
      </c>
      <c r="D671" s="133" t="s">
        <v>5504</v>
      </c>
      <c r="E671" s="134"/>
      <c r="F671" s="134">
        <v>3.21</v>
      </c>
      <c r="G671" s="135">
        <v>2.57</v>
      </c>
      <c r="H671" s="133">
        <v>2024</v>
      </c>
      <c r="I671" s="152" t="s">
        <v>5635</v>
      </c>
    </row>
    <row r="672" spans="1:9" ht="18.75" thickBot="1" x14ac:dyDescent="0.3">
      <c r="A672" s="133" t="str">
        <f t="shared" si="10"/>
        <v>132636K</v>
      </c>
      <c r="B672" s="133" t="s">
        <v>7915</v>
      </c>
      <c r="C672" s="133" t="s">
        <v>7916</v>
      </c>
      <c r="D672" s="133" t="s">
        <v>5505</v>
      </c>
      <c r="E672" s="134"/>
      <c r="F672" s="134">
        <v>1.21</v>
      </c>
      <c r="G672" s="135">
        <v>0.97</v>
      </c>
      <c r="H672" s="133">
        <v>2016</v>
      </c>
      <c r="I672" s="152" t="s">
        <v>5646</v>
      </c>
    </row>
    <row r="673" spans="1:9" ht="18.75" thickBot="1" x14ac:dyDescent="0.3">
      <c r="A673" s="133" t="str">
        <f t="shared" si="10"/>
        <v>013705D</v>
      </c>
      <c r="B673" s="133" t="s">
        <v>7323</v>
      </c>
      <c r="C673" s="133" t="s">
        <v>7324</v>
      </c>
      <c r="D673" s="133" t="s">
        <v>5505</v>
      </c>
      <c r="E673" s="134"/>
      <c r="F673" s="134">
        <v>2.17</v>
      </c>
      <c r="G673" s="135">
        <v>1.74</v>
      </c>
      <c r="H673" s="133">
        <v>2016</v>
      </c>
      <c r="I673" s="152" t="s">
        <v>5566</v>
      </c>
    </row>
    <row r="674" spans="1:9" ht="18.75" thickBot="1" x14ac:dyDescent="0.3">
      <c r="A674" s="133" t="str">
        <f t="shared" si="10"/>
        <v>152971Y</v>
      </c>
      <c r="B674" s="133" t="s">
        <v>6571</v>
      </c>
      <c r="C674" s="133" t="s">
        <v>6572</v>
      </c>
      <c r="D674" s="133" t="s">
        <v>5505</v>
      </c>
      <c r="E674" s="134"/>
      <c r="F674" s="134">
        <v>2.23</v>
      </c>
      <c r="G674" s="135">
        <v>1.78</v>
      </c>
      <c r="H674" s="133">
        <v>2024</v>
      </c>
      <c r="I674" s="152" t="s">
        <v>5630</v>
      </c>
    </row>
    <row r="675" spans="1:9" ht="18.75" thickBot="1" x14ac:dyDescent="0.3">
      <c r="A675" s="133" t="str">
        <f t="shared" si="10"/>
        <v>013711J</v>
      </c>
      <c r="B675" s="133" t="s">
        <v>6573</v>
      </c>
      <c r="C675" s="133" t="s">
        <v>6574</v>
      </c>
      <c r="D675" s="133" t="s">
        <v>5597</v>
      </c>
      <c r="E675" s="134"/>
      <c r="F675" s="134">
        <v>4.24</v>
      </c>
      <c r="G675" s="135">
        <v>3.39</v>
      </c>
      <c r="H675" s="133">
        <v>2024</v>
      </c>
      <c r="I675" s="152" t="s">
        <v>5556</v>
      </c>
    </row>
    <row r="676" spans="1:9" ht="18.75" thickBot="1" x14ac:dyDescent="0.3">
      <c r="A676" s="133" t="str">
        <f t="shared" si="10"/>
        <v>142516K</v>
      </c>
      <c r="B676" s="133" t="s">
        <v>6575</v>
      </c>
      <c r="C676" s="133" t="s">
        <v>6576</v>
      </c>
      <c r="D676" s="133" t="s">
        <v>7537</v>
      </c>
      <c r="E676" s="134"/>
      <c r="F676" s="134">
        <v>0.63</v>
      </c>
      <c r="G676" s="135">
        <v>0.5</v>
      </c>
      <c r="H676" s="133">
        <v>2013</v>
      </c>
      <c r="I676" s="152" t="s">
        <v>5553</v>
      </c>
    </row>
    <row r="677" spans="1:9" ht="18.75" thickBot="1" x14ac:dyDescent="0.3">
      <c r="A677" s="133" t="str">
        <f t="shared" si="10"/>
        <v>149853J</v>
      </c>
      <c r="B677" s="133" t="s">
        <v>7917</v>
      </c>
      <c r="C677" s="133" t="s">
        <v>7918</v>
      </c>
      <c r="D677" s="133" t="s">
        <v>5504</v>
      </c>
      <c r="E677" s="134"/>
      <c r="F677" s="134">
        <v>2.59</v>
      </c>
      <c r="G677" s="135">
        <v>2.0699999999999998</v>
      </c>
      <c r="H677" s="133">
        <v>2020</v>
      </c>
      <c r="I677" s="152" t="s">
        <v>5744</v>
      </c>
    </row>
    <row r="678" spans="1:9" ht="18.75" thickBot="1" x14ac:dyDescent="0.3">
      <c r="A678" s="133" t="str">
        <f t="shared" si="10"/>
        <v>013714M</v>
      </c>
      <c r="B678" s="133" t="s">
        <v>6577</v>
      </c>
      <c r="C678" s="133" t="s">
        <v>6578</v>
      </c>
      <c r="D678" s="133" t="s">
        <v>5505</v>
      </c>
      <c r="E678" s="134"/>
      <c r="F678" s="134">
        <v>1.67</v>
      </c>
      <c r="G678" s="135">
        <v>1.33</v>
      </c>
      <c r="H678" s="133">
        <v>2012</v>
      </c>
      <c r="I678" s="152" t="s">
        <v>5582</v>
      </c>
    </row>
    <row r="679" spans="1:9" ht="18.75" thickBot="1" x14ac:dyDescent="0.3">
      <c r="A679" s="133" t="str">
        <f t="shared" si="10"/>
        <v>153477Y</v>
      </c>
      <c r="B679" s="133" t="s">
        <v>7919</v>
      </c>
      <c r="C679" s="133" t="s">
        <v>7920</v>
      </c>
      <c r="D679" s="133" t="s">
        <v>7537</v>
      </c>
      <c r="E679" s="134"/>
      <c r="F679" s="134">
        <v>0.88</v>
      </c>
      <c r="G679" s="135">
        <v>0.7</v>
      </c>
      <c r="H679" s="133">
        <v>2020</v>
      </c>
      <c r="I679" s="152" t="s">
        <v>5582</v>
      </c>
    </row>
    <row r="680" spans="1:9" ht="18.75" thickBot="1" x14ac:dyDescent="0.3">
      <c r="A680" s="133" t="str">
        <f t="shared" si="10"/>
        <v>132309V</v>
      </c>
      <c r="B680" s="133" t="s">
        <v>7325</v>
      </c>
      <c r="C680" s="133" t="s">
        <v>7326</v>
      </c>
      <c r="D680" s="133" t="s">
        <v>5503</v>
      </c>
      <c r="E680" s="134"/>
      <c r="F680" s="134">
        <v>4.0999999999999996</v>
      </c>
      <c r="G680" s="135">
        <v>3.28</v>
      </c>
      <c r="H680" s="133">
        <v>2017</v>
      </c>
      <c r="I680" s="152" t="s">
        <v>5666</v>
      </c>
    </row>
    <row r="681" spans="1:9" ht="18.75" thickBot="1" x14ac:dyDescent="0.3">
      <c r="A681" s="133" t="str">
        <f t="shared" si="10"/>
        <v>013725X</v>
      </c>
      <c r="B681" s="133" t="s">
        <v>6581</v>
      </c>
      <c r="C681" s="133" t="s">
        <v>6582</v>
      </c>
      <c r="D681" s="133" t="s">
        <v>5504</v>
      </c>
      <c r="E681" s="134"/>
      <c r="F681" s="134">
        <v>2.52</v>
      </c>
      <c r="G681" s="135">
        <v>2.0099999999999998</v>
      </c>
      <c r="H681" s="133">
        <v>2018</v>
      </c>
      <c r="I681" s="152" t="s">
        <v>5594</v>
      </c>
    </row>
    <row r="682" spans="1:9" ht="18.75" thickBot="1" x14ac:dyDescent="0.3">
      <c r="A682" s="133" t="str">
        <f t="shared" si="10"/>
        <v>124642Y</v>
      </c>
      <c r="B682" s="133" t="s">
        <v>6583</v>
      </c>
      <c r="C682" s="133" t="s">
        <v>6584</v>
      </c>
      <c r="D682" s="133" t="s">
        <v>24</v>
      </c>
      <c r="E682" s="134"/>
      <c r="F682" s="134" t="s">
        <v>5552</v>
      </c>
      <c r="G682" s="135">
        <v>15.42</v>
      </c>
      <c r="H682" s="133">
        <v>2018</v>
      </c>
      <c r="I682" s="152" t="s">
        <v>5559</v>
      </c>
    </row>
    <row r="683" spans="1:9" ht="18.75" thickBot="1" x14ac:dyDescent="0.3">
      <c r="A683" s="133" t="str">
        <f t="shared" si="10"/>
        <v>134793J</v>
      </c>
      <c r="B683" s="133" t="s">
        <v>6585</v>
      </c>
      <c r="C683" s="133" t="s">
        <v>6586</v>
      </c>
      <c r="D683" s="133" t="s">
        <v>5505</v>
      </c>
      <c r="E683" s="134"/>
      <c r="F683" s="134">
        <v>1.43</v>
      </c>
      <c r="G683" s="135">
        <v>1.1399999999999999</v>
      </c>
      <c r="H683" s="133">
        <v>2017</v>
      </c>
      <c r="I683" s="152" t="s">
        <v>5895</v>
      </c>
    </row>
    <row r="684" spans="1:9" ht="18.75" thickBot="1" x14ac:dyDescent="0.3">
      <c r="A684" s="133" t="str">
        <f t="shared" si="10"/>
        <v>153594A</v>
      </c>
      <c r="B684" s="133" t="s">
        <v>6587</v>
      </c>
      <c r="C684" s="133" t="s">
        <v>6588</v>
      </c>
      <c r="D684" s="133" t="s">
        <v>5505</v>
      </c>
      <c r="E684" s="134"/>
      <c r="F684" s="134">
        <v>1.21</v>
      </c>
      <c r="G684" s="135">
        <v>0.96</v>
      </c>
      <c r="H684" s="133">
        <v>2023</v>
      </c>
      <c r="I684" s="152" t="s">
        <v>5726</v>
      </c>
    </row>
    <row r="685" spans="1:9" ht="18.75" thickBot="1" x14ac:dyDescent="0.3">
      <c r="A685" s="133" t="str">
        <f t="shared" si="10"/>
        <v>013732E</v>
      </c>
      <c r="B685" s="133" t="s">
        <v>7327</v>
      </c>
      <c r="C685" s="133" t="s">
        <v>7328</v>
      </c>
      <c r="D685" s="133" t="s">
        <v>5504</v>
      </c>
      <c r="E685" s="134"/>
      <c r="F685" s="134">
        <v>2.2799999999999998</v>
      </c>
      <c r="G685" s="135">
        <v>1.83</v>
      </c>
      <c r="H685" s="133">
        <v>2011</v>
      </c>
      <c r="I685" s="152" t="s">
        <v>5559</v>
      </c>
    </row>
    <row r="686" spans="1:9" ht="18.75" thickBot="1" x14ac:dyDescent="0.3">
      <c r="A686" s="133" t="str">
        <f t="shared" si="10"/>
        <v>146706O</v>
      </c>
      <c r="B686" s="133" t="s">
        <v>7921</v>
      </c>
      <c r="C686" s="133" t="s">
        <v>7922</v>
      </c>
      <c r="D686" s="133" t="s">
        <v>7537</v>
      </c>
      <c r="E686" s="134"/>
      <c r="F686" s="134">
        <v>0.67</v>
      </c>
      <c r="G686" s="135">
        <v>0.54</v>
      </c>
      <c r="H686" s="133">
        <v>2013</v>
      </c>
      <c r="I686" s="152" t="s">
        <v>5553</v>
      </c>
    </row>
    <row r="687" spans="1:9" ht="18.75" thickBot="1" x14ac:dyDescent="0.3">
      <c r="A687" s="133" t="str">
        <f t="shared" si="10"/>
        <v>109518G</v>
      </c>
      <c r="B687" s="133" t="s">
        <v>7923</v>
      </c>
      <c r="C687" s="133" t="s">
        <v>7924</v>
      </c>
      <c r="D687" s="133" t="s">
        <v>7537</v>
      </c>
      <c r="E687" s="134"/>
      <c r="F687" s="134">
        <v>0.73</v>
      </c>
      <c r="G687" s="135">
        <v>0.57999999999999996</v>
      </c>
      <c r="H687" s="133">
        <v>2009</v>
      </c>
      <c r="I687" s="152" t="s">
        <v>5582</v>
      </c>
    </row>
    <row r="688" spans="1:9" ht="18.75" thickBot="1" x14ac:dyDescent="0.3">
      <c r="A688" s="133" t="str">
        <f t="shared" si="10"/>
        <v>104179X</v>
      </c>
      <c r="B688" s="133" t="s">
        <v>6591</v>
      </c>
      <c r="C688" s="133" t="s">
        <v>6592</v>
      </c>
      <c r="D688" s="133" t="s">
        <v>5503</v>
      </c>
      <c r="E688" s="134"/>
      <c r="F688" s="134">
        <v>4.95</v>
      </c>
      <c r="G688" s="135">
        <v>3.96</v>
      </c>
      <c r="H688" s="133">
        <v>2011</v>
      </c>
      <c r="I688" s="152" t="s">
        <v>5556</v>
      </c>
    </row>
    <row r="689" spans="1:9" ht="18.75" thickBot="1" x14ac:dyDescent="0.3">
      <c r="A689" s="133" t="str">
        <f t="shared" si="10"/>
        <v>013744Q</v>
      </c>
      <c r="B689" s="133" t="s">
        <v>7493</v>
      </c>
      <c r="C689" s="133" t="s">
        <v>7494</v>
      </c>
      <c r="D689" s="133" t="s">
        <v>5503</v>
      </c>
      <c r="E689" s="134"/>
      <c r="F689" s="134">
        <v>4.8899999999999997</v>
      </c>
      <c r="G689" s="135">
        <v>3.91</v>
      </c>
      <c r="H689" s="133">
        <v>2010</v>
      </c>
      <c r="I689" s="152" t="s">
        <v>5912</v>
      </c>
    </row>
    <row r="690" spans="1:9" ht="18.75" thickBot="1" x14ac:dyDescent="0.3">
      <c r="A690" s="133" t="str">
        <f t="shared" si="10"/>
        <v>124636S</v>
      </c>
      <c r="B690" s="133" t="s">
        <v>7495</v>
      </c>
      <c r="C690" s="133" t="s">
        <v>7496</v>
      </c>
      <c r="D690" s="133" t="s">
        <v>26</v>
      </c>
      <c r="E690" s="134"/>
      <c r="F690" s="134">
        <v>7.73</v>
      </c>
      <c r="G690" s="135">
        <v>6.19</v>
      </c>
      <c r="H690" s="133">
        <v>2008</v>
      </c>
      <c r="I690" s="152" t="s">
        <v>5801</v>
      </c>
    </row>
    <row r="691" spans="1:9" ht="18.75" thickBot="1" x14ac:dyDescent="0.3">
      <c r="A691" s="133" t="str">
        <f t="shared" si="10"/>
        <v>013749V</v>
      </c>
      <c r="B691" s="133" t="s">
        <v>6599</v>
      </c>
      <c r="C691" s="133" t="s">
        <v>6600</v>
      </c>
      <c r="D691" s="133" t="s">
        <v>5562</v>
      </c>
      <c r="E691" s="134"/>
      <c r="F691" s="134">
        <v>5.84</v>
      </c>
      <c r="G691" s="135">
        <v>4.67</v>
      </c>
      <c r="H691" s="133">
        <v>2024</v>
      </c>
      <c r="I691" s="152" t="s">
        <v>5639</v>
      </c>
    </row>
    <row r="692" spans="1:9" ht="18.75" thickBot="1" x14ac:dyDescent="0.3">
      <c r="A692" s="133" t="str">
        <f t="shared" si="10"/>
        <v>154476J</v>
      </c>
      <c r="B692" s="133" t="s">
        <v>7925</v>
      </c>
      <c r="C692" s="133" t="s">
        <v>7926</v>
      </c>
      <c r="D692" s="133" t="s">
        <v>5505</v>
      </c>
      <c r="E692" s="134"/>
      <c r="F692" s="134">
        <v>1.52</v>
      </c>
      <c r="G692" s="135">
        <v>1.21</v>
      </c>
      <c r="H692" s="133">
        <v>2017</v>
      </c>
      <c r="I692" s="152" t="s">
        <v>5895</v>
      </c>
    </row>
    <row r="693" spans="1:9" ht="18.75" thickBot="1" x14ac:dyDescent="0.3">
      <c r="A693" s="133" t="str">
        <f t="shared" si="10"/>
        <v>013753Z</v>
      </c>
      <c r="B693" s="133" t="s">
        <v>6604</v>
      </c>
      <c r="C693" s="133" t="s">
        <v>6605</v>
      </c>
      <c r="D693" s="133" t="s">
        <v>5504</v>
      </c>
      <c r="E693" s="134"/>
      <c r="F693" s="134">
        <v>3.13</v>
      </c>
      <c r="G693" s="135">
        <v>2.5</v>
      </c>
      <c r="H693" s="133">
        <v>2009</v>
      </c>
      <c r="I693" s="152" t="s">
        <v>5601</v>
      </c>
    </row>
    <row r="694" spans="1:9" ht="18.75" thickBot="1" x14ac:dyDescent="0.3">
      <c r="A694" s="133" t="str">
        <f t="shared" si="10"/>
        <v>135957D</v>
      </c>
      <c r="B694" s="133" t="s">
        <v>6606</v>
      </c>
      <c r="C694" s="133" t="s">
        <v>6607</v>
      </c>
      <c r="D694" s="133" t="s">
        <v>7537</v>
      </c>
      <c r="E694" s="134"/>
      <c r="F694" s="134">
        <v>0.86</v>
      </c>
      <c r="G694" s="135">
        <v>0.69</v>
      </c>
      <c r="H694" s="133">
        <v>2012</v>
      </c>
      <c r="I694" s="152" t="s">
        <v>5566</v>
      </c>
    </row>
    <row r="695" spans="1:9" ht="18.75" thickBot="1" x14ac:dyDescent="0.3">
      <c r="A695" s="133" t="str">
        <f t="shared" si="10"/>
        <v>125422Y</v>
      </c>
      <c r="B695" s="133" t="s">
        <v>6608</v>
      </c>
      <c r="C695" s="133" t="s">
        <v>6609</v>
      </c>
      <c r="D695" s="133" t="s">
        <v>5504</v>
      </c>
      <c r="E695" s="134"/>
      <c r="F695" s="134">
        <v>2.97</v>
      </c>
      <c r="G695" s="135">
        <v>2.38</v>
      </c>
      <c r="H695" s="133">
        <v>2024</v>
      </c>
      <c r="I695" s="152" t="s">
        <v>5566</v>
      </c>
    </row>
    <row r="696" spans="1:9" ht="18.75" thickBot="1" x14ac:dyDescent="0.3">
      <c r="A696" s="133" t="str">
        <f t="shared" si="10"/>
        <v>129204K</v>
      </c>
      <c r="B696" s="133" t="s">
        <v>6610</v>
      </c>
      <c r="C696" s="133" t="s">
        <v>6611</v>
      </c>
      <c r="D696" s="133" t="s">
        <v>5505</v>
      </c>
      <c r="E696" s="134"/>
      <c r="F696" s="134">
        <v>1.57</v>
      </c>
      <c r="G696" s="135">
        <v>1.25</v>
      </c>
      <c r="H696" s="133">
        <v>2014</v>
      </c>
      <c r="I696" s="152" t="s">
        <v>5566</v>
      </c>
    </row>
    <row r="697" spans="1:9" ht="18.75" thickBot="1" x14ac:dyDescent="0.3">
      <c r="A697" s="133" t="str">
        <f t="shared" si="10"/>
        <v>150618Q</v>
      </c>
      <c r="B697" s="133" t="s">
        <v>7329</v>
      </c>
      <c r="C697" s="133" t="s">
        <v>7330</v>
      </c>
      <c r="D697" s="133" t="s">
        <v>5505</v>
      </c>
      <c r="E697" s="134"/>
      <c r="F697" s="134">
        <v>1.68</v>
      </c>
      <c r="G697" s="135">
        <v>1.35</v>
      </c>
      <c r="H697" s="133">
        <v>2020</v>
      </c>
      <c r="I697" s="152" t="s">
        <v>8513</v>
      </c>
    </row>
    <row r="698" spans="1:9" ht="18.75" thickBot="1" x14ac:dyDescent="0.3">
      <c r="A698" s="133" t="str">
        <f t="shared" si="10"/>
        <v>013758E</v>
      </c>
      <c r="B698" s="133" t="s">
        <v>6612</v>
      </c>
      <c r="C698" s="133" t="s">
        <v>6613</v>
      </c>
      <c r="D698" s="133" t="s">
        <v>26</v>
      </c>
      <c r="E698" s="134"/>
      <c r="F698" s="134">
        <v>6.41</v>
      </c>
      <c r="G698" s="135">
        <v>5.13</v>
      </c>
      <c r="H698" s="133">
        <v>2015</v>
      </c>
      <c r="I698" s="152" t="s">
        <v>5678</v>
      </c>
    </row>
    <row r="699" spans="1:9" ht="18.75" thickBot="1" x14ac:dyDescent="0.3">
      <c r="A699" s="133" t="str">
        <f t="shared" si="10"/>
        <v>154539C</v>
      </c>
      <c r="B699" s="133" t="s">
        <v>7333</v>
      </c>
      <c r="C699" s="133" t="s">
        <v>7334</v>
      </c>
      <c r="D699" s="133" t="s">
        <v>5505</v>
      </c>
      <c r="E699" s="134"/>
      <c r="F699" s="134">
        <v>1.36</v>
      </c>
      <c r="G699" s="135">
        <v>1.0900000000000001</v>
      </c>
      <c r="H699" s="133">
        <v>2019</v>
      </c>
      <c r="I699" s="152" t="s">
        <v>5625</v>
      </c>
    </row>
    <row r="700" spans="1:9" ht="18.75" thickBot="1" x14ac:dyDescent="0.3">
      <c r="A700" s="133" t="str">
        <f t="shared" si="10"/>
        <v>175159Q</v>
      </c>
      <c r="B700" s="133" t="s">
        <v>7927</v>
      </c>
      <c r="C700" s="133" t="s">
        <v>7928</v>
      </c>
      <c r="D700" s="133" t="s">
        <v>7537</v>
      </c>
      <c r="E700" s="134"/>
      <c r="F700" s="134">
        <v>0.54</v>
      </c>
      <c r="G700" s="135">
        <v>0.43</v>
      </c>
      <c r="H700" s="133">
        <v>2023</v>
      </c>
      <c r="I700" s="152" t="s">
        <v>5895</v>
      </c>
    </row>
    <row r="701" spans="1:9" ht="18.75" thickBot="1" x14ac:dyDescent="0.3">
      <c r="A701" s="133" t="str">
        <f t="shared" si="10"/>
        <v>141162I</v>
      </c>
      <c r="B701" s="133" t="s">
        <v>7929</v>
      </c>
      <c r="C701" s="133" t="s">
        <v>7930</v>
      </c>
      <c r="D701" s="133" t="s">
        <v>5505</v>
      </c>
      <c r="E701" s="134"/>
      <c r="F701" s="134">
        <v>1.63</v>
      </c>
      <c r="G701" s="135">
        <v>1.3</v>
      </c>
      <c r="H701" s="133">
        <v>2011</v>
      </c>
      <c r="I701" s="152" t="s">
        <v>5744</v>
      </c>
    </row>
    <row r="702" spans="1:9" ht="18.75" thickBot="1" x14ac:dyDescent="0.3">
      <c r="A702" s="133" t="str">
        <f t="shared" si="10"/>
        <v>123853P</v>
      </c>
      <c r="B702" s="133" t="s">
        <v>6618</v>
      </c>
      <c r="C702" s="133" t="s">
        <v>6619</v>
      </c>
      <c r="D702" s="133" t="s">
        <v>26</v>
      </c>
      <c r="E702" s="134"/>
      <c r="F702" s="134">
        <v>7.54</v>
      </c>
      <c r="G702" s="135">
        <v>6.03</v>
      </c>
      <c r="H702" s="133">
        <v>2016</v>
      </c>
      <c r="I702" s="152" t="s">
        <v>5657</v>
      </c>
    </row>
    <row r="703" spans="1:9" ht="18.75" thickBot="1" x14ac:dyDescent="0.3">
      <c r="A703" s="133" t="str">
        <f t="shared" si="10"/>
        <v>013775V</v>
      </c>
      <c r="B703" s="133" t="s">
        <v>7931</v>
      </c>
      <c r="C703" s="133" t="s">
        <v>7932</v>
      </c>
      <c r="D703" s="133" t="s">
        <v>5503</v>
      </c>
      <c r="E703" s="134"/>
      <c r="F703" s="134">
        <v>5.49</v>
      </c>
      <c r="G703" s="135">
        <v>4.3899999999999997</v>
      </c>
      <c r="H703" s="133">
        <v>2009</v>
      </c>
      <c r="I703" s="152" t="s">
        <v>5895</v>
      </c>
    </row>
    <row r="704" spans="1:9" ht="18.75" thickBot="1" x14ac:dyDescent="0.3">
      <c r="A704" s="133" t="str">
        <f t="shared" si="10"/>
        <v>135469J</v>
      </c>
      <c r="B704" s="133" t="s">
        <v>7335</v>
      </c>
      <c r="C704" s="133" t="s">
        <v>7336</v>
      </c>
      <c r="D704" s="133" t="s">
        <v>5505</v>
      </c>
      <c r="E704" s="134"/>
      <c r="F704" s="134">
        <v>1.1399999999999999</v>
      </c>
      <c r="G704" s="135">
        <v>0.91</v>
      </c>
      <c r="H704" s="133">
        <v>2020</v>
      </c>
      <c r="I704" s="152" t="s">
        <v>5582</v>
      </c>
    </row>
    <row r="705" spans="1:9" ht="18.75" thickBot="1" x14ac:dyDescent="0.3">
      <c r="A705" s="133" t="str">
        <f t="shared" si="10"/>
        <v>013780A</v>
      </c>
      <c r="B705" s="133" t="s">
        <v>6620</v>
      </c>
      <c r="C705" s="133" t="s">
        <v>6621</v>
      </c>
      <c r="D705" s="133" t="s">
        <v>5505</v>
      </c>
      <c r="E705" s="134"/>
      <c r="F705" s="134">
        <v>1.92</v>
      </c>
      <c r="G705" s="135">
        <v>1.53</v>
      </c>
      <c r="H705" s="133">
        <v>2024</v>
      </c>
      <c r="I705" s="152" t="s">
        <v>5556</v>
      </c>
    </row>
    <row r="706" spans="1:9" ht="18.75" thickBot="1" x14ac:dyDescent="0.3">
      <c r="A706" s="133" t="str">
        <f t="shared" ref="A706:A769" si="11">SUBSTITUTE(B706,CHAR(32),"")</f>
        <v>013782C</v>
      </c>
      <c r="B706" s="133" t="s">
        <v>7497</v>
      </c>
      <c r="C706" s="133" t="s">
        <v>7498</v>
      </c>
      <c r="D706" s="133" t="s">
        <v>5503</v>
      </c>
      <c r="E706" s="134"/>
      <c r="F706" s="134">
        <v>5.38</v>
      </c>
      <c r="G706" s="135">
        <v>4.3099999999999996</v>
      </c>
      <c r="H706" s="133">
        <v>2017</v>
      </c>
      <c r="I706" s="152" t="s">
        <v>5601</v>
      </c>
    </row>
    <row r="707" spans="1:9" ht="18.75" thickBot="1" x14ac:dyDescent="0.3">
      <c r="A707" s="133" t="str">
        <f t="shared" si="11"/>
        <v>013786G</v>
      </c>
      <c r="B707" s="133" t="s">
        <v>6624</v>
      </c>
      <c r="C707" s="133" t="s">
        <v>6625</v>
      </c>
      <c r="D707" s="133" t="s">
        <v>5505</v>
      </c>
      <c r="E707" s="134"/>
      <c r="F707" s="134">
        <v>1.56</v>
      </c>
      <c r="G707" s="135">
        <v>1.24</v>
      </c>
      <c r="H707" s="133">
        <v>2013</v>
      </c>
      <c r="I707" s="152" t="s">
        <v>5912</v>
      </c>
    </row>
    <row r="708" spans="1:9" ht="18.75" thickBot="1" x14ac:dyDescent="0.3">
      <c r="A708" s="133" t="str">
        <f t="shared" si="11"/>
        <v>139928W</v>
      </c>
      <c r="B708" s="133" t="s">
        <v>7933</v>
      </c>
      <c r="C708" s="133" t="s">
        <v>7934</v>
      </c>
      <c r="D708" s="133" t="s">
        <v>7537</v>
      </c>
      <c r="E708" s="134"/>
      <c r="F708" s="134">
        <v>0.76</v>
      </c>
      <c r="G708" s="135">
        <v>0.61</v>
      </c>
      <c r="H708" s="133">
        <v>2012</v>
      </c>
      <c r="I708" s="152" t="s">
        <v>5657</v>
      </c>
    </row>
    <row r="709" spans="1:9" ht="18.75" thickBot="1" x14ac:dyDescent="0.3">
      <c r="A709" s="133" t="str">
        <f t="shared" si="11"/>
        <v>142267V</v>
      </c>
      <c r="B709" s="133" t="s">
        <v>7935</v>
      </c>
      <c r="C709" s="133" t="s">
        <v>7936</v>
      </c>
      <c r="D709" s="133" t="s">
        <v>7537</v>
      </c>
      <c r="E709" s="134"/>
      <c r="F709" s="134">
        <v>0.8</v>
      </c>
      <c r="G709" s="135">
        <v>0.64</v>
      </c>
      <c r="H709" s="133">
        <v>2013</v>
      </c>
      <c r="I709" s="152" t="s">
        <v>5553</v>
      </c>
    </row>
    <row r="710" spans="1:9" ht="18.75" thickBot="1" x14ac:dyDescent="0.3">
      <c r="A710" s="133" t="str">
        <f t="shared" si="11"/>
        <v>137837L</v>
      </c>
      <c r="B710" s="133" t="s">
        <v>6630</v>
      </c>
      <c r="C710" s="133" t="s">
        <v>6631</v>
      </c>
      <c r="D710" s="133" t="s">
        <v>5505</v>
      </c>
      <c r="E710" s="134"/>
      <c r="F710" s="134">
        <v>1.2</v>
      </c>
      <c r="G710" s="135">
        <v>0.96</v>
      </c>
      <c r="H710" s="133">
        <v>2013</v>
      </c>
      <c r="I710" s="152" t="s">
        <v>5563</v>
      </c>
    </row>
    <row r="711" spans="1:9" ht="18.75" thickBot="1" x14ac:dyDescent="0.3">
      <c r="A711" s="133" t="str">
        <f t="shared" si="11"/>
        <v>013796Q</v>
      </c>
      <c r="B711" s="133" t="s">
        <v>6632</v>
      </c>
      <c r="C711" s="133" t="s">
        <v>6633</v>
      </c>
      <c r="D711" s="133" t="s">
        <v>5503</v>
      </c>
      <c r="E711" s="134"/>
      <c r="F711" s="134">
        <v>4.18</v>
      </c>
      <c r="G711" s="135">
        <v>3.34</v>
      </c>
      <c r="H711" s="133">
        <v>2017</v>
      </c>
      <c r="I711" s="152" t="s">
        <v>5601</v>
      </c>
    </row>
    <row r="712" spans="1:9" ht="18.75" thickBot="1" x14ac:dyDescent="0.3">
      <c r="A712" s="133" t="str">
        <f t="shared" si="11"/>
        <v>140067F</v>
      </c>
      <c r="B712" s="133" t="s">
        <v>7937</v>
      </c>
      <c r="C712" s="133" t="s">
        <v>7938</v>
      </c>
      <c r="D712" s="133" t="s">
        <v>5505</v>
      </c>
      <c r="E712" s="134"/>
      <c r="F712" s="134">
        <v>1.27</v>
      </c>
      <c r="G712" s="135">
        <v>1.01</v>
      </c>
      <c r="H712" s="133">
        <v>2019</v>
      </c>
      <c r="I712" s="152" t="s">
        <v>5635</v>
      </c>
    </row>
    <row r="713" spans="1:9" ht="18.75" thickBot="1" x14ac:dyDescent="0.3">
      <c r="A713" s="133" t="str">
        <f t="shared" si="11"/>
        <v>144760S</v>
      </c>
      <c r="B713" s="133" t="s">
        <v>7337</v>
      </c>
      <c r="C713" s="133" t="s">
        <v>7338</v>
      </c>
      <c r="D713" s="133" t="s">
        <v>7543</v>
      </c>
      <c r="E713" s="134"/>
      <c r="F713" s="134">
        <v>0.86</v>
      </c>
      <c r="G713" s="135">
        <v>0.69</v>
      </c>
      <c r="H713" s="133">
        <v>2024</v>
      </c>
      <c r="I713" s="152" t="s">
        <v>5912</v>
      </c>
    </row>
    <row r="714" spans="1:9" ht="18.75" thickBot="1" x14ac:dyDescent="0.3">
      <c r="A714" s="133" t="str">
        <f t="shared" si="11"/>
        <v>157837M</v>
      </c>
      <c r="B714" s="133" t="s">
        <v>6634</v>
      </c>
      <c r="C714" s="133" t="s">
        <v>6635</v>
      </c>
      <c r="D714" s="133" t="s">
        <v>26</v>
      </c>
      <c r="E714" s="134"/>
      <c r="F714" s="134">
        <v>7.29</v>
      </c>
      <c r="G714" s="135">
        <v>5.83</v>
      </c>
      <c r="H714" s="133">
        <v>2022</v>
      </c>
      <c r="I714" s="152" t="s">
        <v>5553</v>
      </c>
    </row>
    <row r="715" spans="1:9" ht="18.75" thickBot="1" x14ac:dyDescent="0.3">
      <c r="A715" s="133" t="str">
        <f t="shared" si="11"/>
        <v>117615R</v>
      </c>
      <c r="B715" s="133" t="s">
        <v>7939</v>
      </c>
      <c r="C715" s="133" t="s">
        <v>7940</v>
      </c>
      <c r="D715" s="133" t="s">
        <v>5505</v>
      </c>
      <c r="E715" s="134"/>
      <c r="F715" s="134">
        <v>2.09</v>
      </c>
      <c r="G715" s="135">
        <v>1.67</v>
      </c>
      <c r="H715" s="133">
        <v>2010</v>
      </c>
      <c r="I715" s="152" t="s">
        <v>5657</v>
      </c>
    </row>
    <row r="716" spans="1:9" ht="18.75" thickBot="1" x14ac:dyDescent="0.3">
      <c r="A716" s="133" t="str">
        <f t="shared" si="11"/>
        <v>111704I</v>
      </c>
      <c r="B716" s="133" t="s">
        <v>6638</v>
      </c>
      <c r="C716" s="133" t="s">
        <v>6639</v>
      </c>
      <c r="D716" s="133" t="s">
        <v>5505</v>
      </c>
      <c r="E716" s="134"/>
      <c r="F716" s="134">
        <v>1.44</v>
      </c>
      <c r="G716" s="135">
        <v>1.1499999999999999</v>
      </c>
      <c r="H716" s="133">
        <v>2024</v>
      </c>
      <c r="I716" s="152" t="s">
        <v>5744</v>
      </c>
    </row>
    <row r="717" spans="1:9" ht="18.75" thickBot="1" x14ac:dyDescent="0.3">
      <c r="A717" s="133" t="str">
        <f t="shared" si="11"/>
        <v>126919N</v>
      </c>
      <c r="B717" s="133" t="s">
        <v>6642</v>
      </c>
      <c r="C717" s="133" t="s">
        <v>6643</v>
      </c>
      <c r="D717" s="133" t="s">
        <v>5505</v>
      </c>
      <c r="E717" s="134"/>
      <c r="F717" s="134">
        <v>1.64</v>
      </c>
      <c r="G717" s="135">
        <v>1.31</v>
      </c>
      <c r="H717" s="133">
        <v>2024</v>
      </c>
      <c r="I717" s="152" t="s">
        <v>5639</v>
      </c>
    </row>
    <row r="718" spans="1:9" ht="18.75" thickBot="1" x14ac:dyDescent="0.3">
      <c r="A718" s="133" t="str">
        <f t="shared" si="11"/>
        <v>174610T</v>
      </c>
      <c r="B718" s="133" t="s">
        <v>8568</v>
      </c>
      <c r="C718" s="133" t="s">
        <v>8569</v>
      </c>
      <c r="D718" s="133" t="s">
        <v>7560</v>
      </c>
      <c r="E718" s="134"/>
      <c r="F718" s="134">
        <v>0.5</v>
      </c>
      <c r="G718" s="135">
        <v>0.4</v>
      </c>
      <c r="H718" s="133">
        <v>2024</v>
      </c>
      <c r="I718" s="152" t="s">
        <v>5559</v>
      </c>
    </row>
    <row r="719" spans="1:9" ht="18.75" thickBot="1" x14ac:dyDescent="0.3">
      <c r="A719" s="133" t="str">
        <f t="shared" si="11"/>
        <v>157316W</v>
      </c>
      <c r="B719" s="133" t="s">
        <v>6646</v>
      </c>
      <c r="C719" s="133" t="s">
        <v>6647</v>
      </c>
      <c r="D719" s="133" t="s">
        <v>5505</v>
      </c>
      <c r="E719" s="134"/>
      <c r="F719" s="134">
        <v>1.39</v>
      </c>
      <c r="G719" s="135">
        <v>1.1100000000000001</v>
      </c>
      <c r="H719" s="133">
        <v>2024</v>
      </c>
      <c r="I719" s="152" t="s">
        <v>5705</v>
      </c>
    </row>
    <row r="720" spans="1:9" ht="18.75" thickBot="1" x14ac:dyDescent="0.3">
      <c r="A720" s="133" t="str">
        <f t="shared" si="11"/>
        <v>013814I</v>
      </c>
      <c r="B720" s="133" t="s">
        <v>6650</v>
      </c>
      <c r="C720" s="133" t="s">
        <v>6651</v>
      </c>
      <c r="D720" s="133" t="s">
        <v>5505</v>
      </c>
      <c r="E720" s="134"/>
      <c r="F720" s="134">
        <v>1.55</v>
      </c>
      <c r="G720" s="135">
        <v>1.24</v>
      </c>
      <c r="H720" s="133">
        <v>2016</v>
      </c>
      <c r="I720" s="152" t="s">
        <v>5646</v>
      </c>
    </row>
    <row r="721" spans="1:9" ht="18.75" thickBot="1" x14ac:dyDescent="0.3">
      <c r="A721" s="133" t="str">
        <f t="shared" si="11"/>
        <v>182807D</v>
      </c>
      <c r="B721" s="133" t="s">
        <v>8570</v>
      </c>
      <c r="C721" s="133" t="s">
        <v>8571</v>
      </c>
      <c r="D721" s="133" t="s">
        <v>5704</v>
      </c>
      <c r="E721" s="134"/>
      <c r="F721" s="134">
        <v>3.84</v>
      </c>
      <c r="G721" s="135">
        <v>3.07</v>
      </c>
      <c r="H721" s="133">
        <v>2024</v>
      </c>
      <c r="I721" s="152" t="s">
        <v>5587</v>
      </c>
    </row>
    <row r="722" spans="1:9" ht="18.75" thickBot="1" x14ac:dyDescent="0.3">
      <c r="A722" s="133" t="str">
        <f t="shared" si="11"/>
        <v>119632G</v>
      </c>
      <c r="B722" s="133" t="s">
        <v>7499</v>
      </c>
      <c r="C722" s="133" t="s">
        <v>7500</v>
      </c>
      <c r="D722" s="133" t="s">
        <v>5503</v>
      </c>
      <c r="E722" s="134"/>
      <c r="F722" s="134">
        <v>5.86</v>
      </c>
      <c r="G722" s="135">
        <v>4.6900000000000004</v>
      </c>
      <c r="H722" s="133">
        <v>2014</v>
      </c>
      <c r="I722" s="152" t="s">
        <v>5678</v>
      </c>
    </row>
    <row r="723" spans="1:9" ht="18.75" thickBot="1" x14ac:dyDescent="0.3">
      <c r="A723" s="133" t="str">
        <f t="shared" si="11"/>
        <v>013822Q</v>
      </c>
      <c r="B723" s="133" t="s">
        <v>7523</v>
      </c>
      <c r="C723" s="133" t="s">
        <v>7524</v>
      </c>
      <c r="D723" s="133" t="s">
        <v>5504</v>
      </c>
      <c r="E723" s="134"/>
      <c r="F723" s="134">
        <v>3.38</v>
      </c>
      <c r="G723" s="135">
        <v>2.7</v>
      </c>
      <c r="H723" s="133">
        <v>2017</v>
      </c>
      <c r="I723" s="152" t="s">
        <v>5553</v>
      </c>
    </row>
    <row r="724" spans="1:9" ht="18.75" thickBot="1" x14ac:dyDescent="0.3">
      <c r="A724" s="133" t="str">
        <f t="shared" si="11"/>
        <v>013824S</v>
      </c>
      <c r="B724" s="133" t="s">
        <v>6654</v>
      </c>
      <c r="C724" s="133" t="s">
        <v>6655</v>
      </c>
      <c r="D724" s="133" t="s">
        <v>26</v>
      </c>
      <c r="E724" s="134"/>
      <c r="F724" s="134">
        <v>6.68</v>
      </c>
      <c r="G724" s="135">
        <v>5.34</v>
      </c>
      <c r="H724" s="133">
        <v>2017</v>
      </c>
      <c r="I724" s="152" t="s">
        <v>5566</v>
      </c>
    </row>
    <row r="725" spans="1:9" ht="18.75" thickBot="1" x14ac:dyDescent="0.3">
      <c r="A725" s="133" t="str">
        <f t="shared" si="11"/>
        <v>147552H</v>
      </c>
      <c r="B725" s="133" t="s">
        <v>6658</v>
      </c>
      <c r="C725" s="133" t="s">
        <v>6659</v>
      </c>
      <c r="D725" s="133" t="s">
        <v>26</v>
      </c>
      <c r="E725" s="134"/>
      <c r="F725" s="134">
        <v>12</v>
      </c>
      <c r="G725" s="135">
        <v>9.6</v>
      </c>
      <c r="H725" s="133">
        <v>2016</v>
      </c>
      <c r="I725" s="152" t="s">
        <v>5701</v>
      </c>
    </row>
    <row r="726" spans="1:9" ht="18.75" thickBot="1" x14ac:dyDescent="0.3">
      <c r="A726" s="133" t="str">
        <f t="shared" si="11"/>
        <v>142514I</v>
      </c>
      <c r="B726" s="133" t="s">
        <v>6660</v>
      </c>
      <c r="C726" s="133" t="s">
        <v>6661</v>
      </c>
      <c r="D726" s="133" t="s">
        <v>5504</v>
      </c>
      <c r="E726" s="134"/>
      <c r="F726" s="134">
        <v>2.3199999999999998</v>
      </c>
      <c r="G726" s="135">
        <v>1.85</v>
      </c>
      <c r="H726" s="133">
        <v>2024</v>
      </c>
      <c r="I726" s="152" t="s">
        <v>5553</v>
      </c>
    </row>
    <row r="727" spans="1:9" ht="18.75" thickBot="1" x14ac:dyDescent="0.3">
      <c r="A727" s="133" t="str">
        <f t="shared" si="11"/>
        <v>142515J</v>
      </c>
      <c r="B727" s="133" t="s">
        <v>7941</v>
      </c>
      <c r="C727" s="133" t="s">
        <v>7942</v>
      </c>
      <c r="D727" s="133" t="s">
        <v>7537</v>
      </c>
      <c r="E727" s="134"/>
      <c r="F727" s="134">
        <v>0.48</v>
      </c>
      <c r="G727" s="135">
        <v>0.38</v>
      </c>
      <c r="H727" s="133">
        <v>2013</v>
      </c>
      <c r="I727" s="152" t="s">
        <v>5553</v>
      </c>
    </row>
    <row r="728" spans="1:9" ht="18.75" thickBot="1" x14ac:dyDescent="0.3">
      <c r="A728" s="133" t="str">
        <f t="shared" si="11"/>
        <v>151311T</v>
      </c>
      <c r="B728" s="133" t="s">
        <v>7341</v>
      </c>
      <c r="C728" s="133" t="s">
        <v>7342</v>
      </c>
      <c r="D728" s="133" t="s">
        <v>5504</v>
      </c>
      <c r="E728" s="134"/>
      <c r="F728" s="134">
        <v>2.37</v>
      </c>
      <c r="G728" s="135">
        <v>1.89</v>
      </c>
      <c r="H728" s="133">
        <v>2014</v>
      </c>
      <c r="I728" s="152" t="s">
        <v>5912</v>
      </c>
    </row>
    <row r="729" spans="1:9" ht="18.75" thickBot="1" x14ac:dyDescent="0.3">
      <c r="A729" s="133" t="str">
        <f t="shared" si="11"/>
        <v>178279G</v>
      </c>
      <c r="B729" s="133" t="s">
        <v>8572</v>
      </c>
      <c r="C729" s="133" t="s">
        <v>8573</v>
      </c>
      <c r="D729" s="133" t="s">
        <v>5704</v>
      </c>
      <c r="E729" s="134"/>
      <c r="F729" s="134">
        <v>2.36</v>
      </c>
      <c r="G729" s="135">
        <v>1.89</v>
      </c>
      <c r="H729" s="133">
        <v>2024</v>
      </c>
      <c r="I729" s="152" t="s">
        <v>5594</v>
      </c>
    </row>
    <row r="730" spans="1:9" ht="18.75" thickBot="1" x14ac:dyDescent="0.3">
      <c r="A730" s="133" t="str">
        <f t="shared" si="11"/>
        <v>135407Z</v>
      </c>
      <c r="B730" s="133" t="s">
        <v>7501</v>
      </c>
      <c r="C730" s="133" t="s">
        <v>7502</v>
      </c>
      <c r="D730" s="133" t="s">
        <v>5504</v>
      </c>
      <c r="E730" s="134"/>
      <c r="F730" s="134">
        <v>2.84</v>
      </c>
      <c r="G730" s="135">
        <v>2.27</v>
      </c>
      <c r="H730" s="133">
        <v>2015</v>
      </c>
      <c r="I730" s="152" t="s">
        <v>5657</v>
      </c>
    </row>
    <row r="731" spans="1:9" ht="18.75" thickBot="1" x14ac:dyDescent="0.3">
      <c r="A731" s="133" t="str">
        <f t="shared" si="11"/>
        <v>123401F</v>
      </c>
      <c r="B731" s="133" t="s">
        <v>6664</v>
      </c>
      <c r="C731" s="133" t="s">
        <v>6665</v>
      </c>
      <c r="D731" s="133" t="s">
        <v>26</v>
      </c>
      <c r="E731" s="134"/>
      <c r="F731" s="134">
        <v>6.39</v>
      </c>
      <c r="G731" s="135">
        <v>5.1100000000000003</v>
      </c>
      <c r="H731" s="133">
        <v>2012</v>
      </c>
      <c r="I731" s="152" t="s">
        <v>5678</v>
      </c>
    </row>
    <row r="732" spans="1:9" ht="18.75" thickBot="1" x14ac:dyDescent="0.3">
      <c r="A732" s="133" t="str">
        <f t="shared" si="11"/>
        <v>154574Q</v>
      </c>
      <c r="B732" s="133" t="s">
        <v>7943</v>
      </c>
      <c r="C732" s="133" t="s">
        <v>7944</v>
      </c>
      <c r="D732" s="133" t="s">
        <v>7537</v>
      </c>
      <c r="E732" s="134"/>
      <c r="F732" s="134">
        <v>0.73</v>
      </c>
      <c r="G732" s="135">
        <v>0.57999999999999996</v>
      </c>
      <c r="H732" s="133">
        <v>2016</v>
      </c>
      <c r="I732" s="152" t="s">
        <v>5850</v>
      </c>
    </row>
    <row r="733" spans="1:9" ht="18.75" thickBot="1" x14ac:dyDescent="0.3">
      <c r="A733" s="133" t="str">
        <f t="shared" si="11"/>
        <v>129573P</v>
      </c>
      <c r="B733" s="133" t="s">
        <v>6666</v>
      </c>
      <c r="C733" s="133" t="s">
        <v>6667</v>
      </c>
      <c r="D733" s="133" t="s">
        <v>5504</v>
      </c>
      <c r="E733" s="134"/>
      <c r="F733" s="134">
        <v>2.88</v>
      </c>
      <c r="G733" s="135">
        <v>2.31</v>
      </c>
      <c r="H733" s="133">
        <v>2015</v>
      </c>
      <c r="I733" s="152" t="s">
        <v>5744</v>
      </c>
    </row>
    <row r="734" spans="1:9" ht="18.75" thickBot="1" x14ac:dyDescent="0.3">
      <c r="A734" s="133" t="str">
        <f t="shared" si="11"/>
        <v>133734Q</v>
      </c>
      <c r="B734" s="133" t="s">
        <v>7343</v>
      </c>
      <c r="C734" s="133" t="s">
        <v>7344</v>
      </c>
      <c r="D734" s="133" t="s">
        <v>7537</v>
      </c>
      <c r="E734" s="134"/>
      <c r="F734" s="134">
        <v>0.97</v>
      </c>
      <c r="G734" s="135">
        <v>0.78</v>
      </c>
      <c r="H734" s="133">
        <v>2013</v>
      </c>
      <c r="I734" s="152" t="s">
        <v>5705</v>
      </c>
    </row>
    <row r="735" spans="1:9" ht="18.75" thickBot="1" x14ac:dyDescent="0.3">
      <c r="A735" s="133" t="str">
        <f t="shared" si="11"/>
        <v>013836E</v>
      </c>
      <c r="B735" s="133" t="s">
        <v>6668</v>
      </c>
      <c r="C735" s="133" t="s">
        <v>6669</v>
      </c>
      <c r="D735" s="133" t="s">
        <v>26</v>
      </c>
      <c r="E735" s="134"/>
      <c r="F735" s="134">
        <v>6.22</v>
      </c>
      <c r="G735" s="135">
        <v>4.9800000000000004</v>
      </c>
      <c r="H735" s="133">
        <v>2018</v>
      </c>
      <c r="I735" s="152" t="s">
        <v>5587</v>
      </c>
    </row>
    <row r="736" spans="1:9" ht="18.75" thickBot="1" x14ac:dyDescent="0.3">
      <c r="A736" s="133" t="str">
        <f t="shared" si="11"/>
        <v>118705P</v>
      </c>
      <c r="B736" s="133" t="s">
        <v>7345</v>
      </c>
      <c r="C736" s="133" t="s">
        <v>7346</v>
      </c>
      <c r="D736" s="133" t="s">
        <v>7543</v>
      </c>
      <c r="E736" s="134"/>
      <c r="F736" s="134">
        <v>0.91</v>
      </c>
      <c r="G736" s="135">
        <v>0.73</v>
      </c>
      <c r="H736" s="133">
        <v>2024</v>
      </c>
      <c r="I736" s="152" t="s">
        <v>5735</v>
      </c>
    </row>
    <row r="737" spans="1:9" ht="18.75" thickBot="1" x14ac:dyDescent="0.3">
      <c r="A737" s="133" t="str">
        <f t="shared" si="11"/>
        <v>114568M</v>
      </c>
      <c r="B737" s="133" t="s">
        <v>7347</v>
      </c>
      <c r="C737" s="133" t="s">
        <v>7348</v>
      </c>
      <c r="D737" s="133" t="s">
        <v>5505</v>
      </c>
      <c r="E737" s="134"/>
      <c r="F737" s="134">
        <v>2.12</v>
      </c>
      <c r="G737" s="135">
        <v>1.69</v>
      </c>
      <c r="H737" s="133">
        <v>2022</v>
      </c>
      <c r="I737" s="152" t="s">
        <v>5735</v>
      </c>
    </row>
    <row r="738" spans="1:9" ht="18.75" thickBot="1" x14ac:dyDescent="0.3">
      <c r="A738" s="133" t="str">
        <f t="shared" si="11"/>
        <v>013842K</v>
      </c>
      <c r="B738" s="133" t="s">
        <v>6670</v>
      </c>
      <c r="C738" s="133" t="s">
        <v>6671</v>
      </c>
      <c r="D738" s="133" t="s">
        <v>5504</v>
      </c>
      <c r="E738" s="134"/>
      <c r="F738" s="134">
        <v>3.28</v>
      </c>
      <c r="G738" s="135">
        <v>2.62</v>
      </c>
      <c r="H738" s="133">
        <v>2011</v>
      </c>
      <c r="I738" s="152" t="s">
        <v>5594</v>
      </c>
    </row>
    <row r="739" spans="1:9" ht="18.75" thickBot="1" x14ac:dyDescent="0.3">
      <c r="A739" s="133" t="str">
        <f t="shared" si="11"/>
        <v>104194M</v>
      </c>
      <c r="B739" s="133" t="s">
        <v>6674</v>
      </c>
      <c r="C739" s="133" t="s">
        <v>6675</v>
      </c>
      <c r="D739" s="133" t="s">
        <v>5505</v>
      </c>
      <c r="E739" s="134"/>
      <c r="F739" s="134">
        <v>1.71</v>
      </c>
      <c r="G739" s="135">
        <v>1.37</v>
      </c>
      <c r="H739" s="133">
        <v>2024</v>
      </c>
      <c r="I739" s="152" t="s">
        <v>5556</v>
      </c>
    </row>
    <row r="740" spans="1:9" ht="18.75" thickBot="1" x14ac:dyDescent="0.3">
      <c r="A740" s="133" t="str">
        <f t="shared" si="11"/>
        <v>125424A</v>
      </c>
      <c r="B740" s="133" t="s">
        <v>6676</v>
      </c>
      <c r="C740" s="133" t="s">
        <v>6677</v>
      </c>
      <c r="D740" s="133" t="s">
        <v>5597</v>
      </c>
      <c r="E740" s="134"/>
      <c r="F740" s="134">
        <v>3.68</v>
      </c>
      <c r="G740" s="135">
        <v>2.94</v>
      </c>
      <c r="H740" s="133">
        <v>2024</v>
      </c>
      <c r="I740" s="152" t="s">
        <v>5563</v>
      </c>
    </row>
    <row r="741" spans="1:9" ht="18.75" thickBot="1" x14ac:dyDescent="0.3">
      <c r="A741" s="133" t="str">
        <f t="shared" si="11"/>
        <v>135396O</v>
      </c>
      <c r="B741" s="133" t="s">
        <v>7945</v>
      </c>
      <c r="C741" s="133" t="s">
        <v>7946</v>
      </c>
      <c r="D741" s="133" t="s">
        <v>5504</v>
      </c>
      <c r="E741" s="134"/>
      <c r="F741" s="134">
        <v>3.92</v>
      </c>
      <c r="G741" s="135">
        <v>3.14</v>
      </c>
      <c r="H741" s="133">
        <v>2013</v>
      </c>
      <c r="I741" s="152" t="s">
        <v>5594</v>
      </c>
    </row>
    <row r="742" spans="1:9" ht="18.75" thickBot="1" x14ac:dyDescent="0.3">
      <c r="A742" s="133" t="str">
        <f t="shared" si="11"/>
        <v>132631F</v>
      </c>
      <c r="B742" s="133" t="s">
        <v>7947</v>
      </c>
      <c r="C742" s="133" t="s">
        <v>7948</v>
      </c>
      <c r="D742" s="133" t="s">
        <v>7537</v>
      </c>
      <c r="E742" s="134"/>
      <c r="F742" s="134">
        <v>0.36</v>
      </c>
      <c r="G742" s="135">
        <v>0.28999999999999998</v>
      </c>
      <c r="H742" s="133">
        <v>2008</v>
      </c>
      <c r="I742" s="152" t="s">
        <v>5635</v>
      </c>
    </row>
    <row r="743" spans="1:9" ht="18.75" thickBot="1" x14ac:dyDescent="0.3">
      <c r="A743" s="133" t="str">
        <f t="shared" si="11"/>
        <v>132622W</v>
      </c>
      <c r="B743" s="133" t="s">
        <v>7949</v>
      </c>
      <c r="C743" s="133" t="s">
        <v>7950</v>
      </c>
      <c r="D743" s="133" t="s">
        <v>7537</v>
      </c>
      <c r="E743" s="134"/>
      <c r="F743" s="134">
        <v>0.94</v>
      </c>
      <c r="G743" s="135">
        <v>0.75</v>
      </c>
      <c r="H743" s="133">
        <v>2016</v>
      </c>
      <c r="I743" s="152" t="s">
        <v>5635</v>
      </c>
    </row>
    <row r="744" spans="1:9" ht="18.75" thickBot="1" x14ac:dyDescent="0.3">
      <c r="A744" s="133" t="str">
        <f t="shared" si="11"/>
        <v>122175B</v>
      </c>
      <c r="B744" s="133" t="s">
        <v>7951</v>
      </c>
      <c r="C744" s="133" t="s">
        <v>7952</v>
      </c>
      <c r="D744" s="133" t="s">
        <v>5505</v>
      </c>
      <c r="E744" s="134"/>
      <c r="F744" s="134">
        <v>1.29</v>
      </c>
      <c r="G744" s="135">
        <v>1.03</v>
      </c>
      <c r="H744" s="133">
        <v>2008</v>
      </c>
      <c r="I744" s="152" t="s">
        <v>5582</v>
      </c>
    </row>
    <row r="745" spans="1:9" ht="18.75" thickBot="1" x14ac:dyDescent="0.3">
      <c r="A745" s="133" t="str">
        <f t="shared" si="11"/>
        <v>109975V</v>
      </c>
      <c r="B745" s="133" t="s">
        <v>7953</v>
      </c>
      <c r="C745" s="133" t="s">
        <v>7954</v>
      </c>
      <c r="D745" s="133" t="s">
        <v>5505</v>
      </c>
      <c r="E745" s="134"/>
      <c r="F745" s="134">
        <v>1.39</v>
      </c>
      <c r="G745" s="135">
        <v>1.1100000000000001</v>
      </c>
      <c r="H745" s="133">
        <v>2016</v>
      </c>
      <c r="I745" s="152" t="s">
        <v>5615</v>
      </c>
    </row>
    <row r="746" spans="1:9" ht="18.75" thickBot="1" x14ac:dyDescent="0.3">
      <c r="A746" s="133" t="str">
        <f t="shared" si="11"/>
        <v>149634W</v>
      </c>
      <c r="B746" s="133" t="s">
        <v>7955</v>
      </c>
      <c r="C746" s="133" t="s">
        <v>7956</v>
      </c>
      <c r="D746" s="133" t="s">
        <v>7537</v>
      </c>
      <c r="E746" s="134"/>
      <c r="F746" s="134">
        <v>0.37</v>
      </c>
      <c r="G746" s="135">
        <v>0.3</v>
      </c>
      <c r="H746" s="133">
        <v>2016</v>
      </c>
      <c r="I746" s="152" t="s">
        <v>5553</v>
      </c>
    </row>
    <row r="747" spans="1:9" ht="18.75" thickBot="1" x14ac:dyDescent="0.3">
      <c r="A747" s="133" t="str">
        <f t="shared" si="11"/>
        <v>013851T</v>
      </c>
      <c r="B747" s="133" t="s">
        <v>7349</v>
      </c>
      <c r="C747" s="133" t="s">
        <v>7350</v>
      </c>
      <c r="D747" s="133" t="s">
        <v>5504</v>
      </c>
      <c r="E747" s="134"/>
      <c r="F747" s="134">
        <v>2.38</v>
      </c>
      <c r="G747" s="135">
        <v>1.9</v>
      </c>
      <c r="H747" s="133">
        <v>2024</v>
      </c>
      <c r="I747" s="152" t="s">
        <v>5553</v>
      </c>
    </row>
    <row r="748" spans="1:9" ht="18.75" thickBot="1" x14ac:dyDescent="0.3">
      <c r="A748" s="133" t="str">
        <f t="shared" si="11"/>
        <v>013861D</v>
      </c>
      <c r="B748" s="133" t="s">
        <v>6684</v>
      </c>
      <c r="C748" s="133" t="s">
        <v>6685</v>
      </c>
      <c r="D748" s="133" t="s">
        <v>5504</v>
      </c>
      <c r="E748" s="134"/>
      <c r="F748" s="134">
        <v>2.79</v>
      </c>
      <c r="G748" s="135">
        <v>2.23</v>
      </c>
      <c r="H748" s="133">
        <v>2017</v>
      </c>
      <c r="I748" s="152" t="s">
        <v>5735</v>
      </c>
    </row>
    <row r="749" spans="1:9" ht="18.75" thickBot="1" x14ac:dyDescent="0.3">
      <c r="A749" s="133" t="str">
        <f t="shared" si="11"/>
        <v>139680I</v>
      </c>
      <c r="B749" s="133" t="s">
        <v>7353</v>
      </c>
      <c r="C749" s="133" t="s">
        <v>7354</v>
      </c>
      <c r="D749" s="133" t="s">
        <v>7537</v>
      </c>
      <c r="E749" s="134"/>
      <c r="F749" s="134">
        <v>1.18</v>
      </c>
      <c r="G749" s="135">
        <v>0.95</v>
      </c>
      <c r="H749" s="133">
        <v>2013</v>
      </c>
      <c r="I749" s="152" t="s">
        <v>5666</v>
      </c>
    </row>
    <row r="750" spans="1:9" ht="18.75" thickBot="1" x14ac:dyDescent="0.3">
      <c r="A750" s="133" t="str">
        <f t="shared" si="11"/>
        <v>162663H</v>
      </c>
      <c r="B750" s="133" t="s">
        <v>8574</v>
      </c>
      <c r="C750" s="133" t="s">
        <v>8575</v>
      </c>
      <c r="D750" s="133" t="s">
        <v>5504</v>
      </c>
      <c r="E750" s="134"/>
      <c r="F750" s="134">
        <v>2.87</v>
      </c>
      <c r="G750" s="135">
        <v>2.2999999999999998</v>
      </c>
      <c r="H750" s="133">
        <v>2022</v>
      </c>
      <c r="I750" s="152" t="s">
        <v>5559</v>
      </c>
    </row>
    <row r="751" spans="1:9" ht="18.75" thickBot="1" x14ac:dyDescent="0.3">
      <c r="A751" s="133" t="str">
        <f t="shared" si="11"/>
        <v>013874Q</v>
      </c>
      <c r="B751" s="133" t="s">
        <v>6694</v>
      </c>
      <c r="C751" s="133" t="s">
        <v>6695</v>
      </c>
      <c r="D751" s="133" t="s">
        <v>26</v>
      </c>
      <c r="E751" s="134"/>
      <c r="F751" s="134">
        <v>7.82</v>
      </c>
      <c r="G751" s="135">
        <v>6.26</v>
      </c>
      <c r="H751" s="133">
        <v>2008</v>
      </c>
      <c r="I751" s="152" t="s">
        <v>5635</v>
      </c>
    </row>
    <row r="752" spans="1:9" ht="18.75" thickBot="1" x14ac:dyDescent="0.3">
      <c r="A752" s="133" t="str">
        <f t="shared" si="11"/>
        <v>113881B</v>
      </c>
      <c r="B752" s="133" t="s">
        <v>7525</v>
      </c>
      <c r="C752" s="133" t="s">
        <v>7526</v>
      </c>
      <c r="D752" s="133" t="s">
        <v>5504</v>
      </c>
      <c r="E752" s="134"/>
      <c r="F752" s="134">
        <v>2.84</v>
      </c>
      <c r="G752" s="135">
        <v>2.27</v>
      </c>
      <c r="H752" s="133">
        <v>2022</v>
      </c>
      <c r="I752" s="152" t="s">
        <v>5573</v>
      </c>
    </row>
    <row r="753" spans="1:9" ht="18.75" thickBot="1" x14ac:dyDescent="0.3">
      <c r="A753" s="133" t="str">
        <f t="shared" si="11"/>
        <v>143941F</v>
      </c>
      <c r="B753" s="133" t="s">
        <v>7957</v>
      </c>
      <c r="C753" s="133" t="s">
        <v>7958</v>
      </c>
      <c r="D753" s="133" t="s">
        <v>7537</v>
      </c>
      <c r="E753" s="134"/>
      <c r="F753" s="134">
        <v>0.74</v>
      </c>
      <c r="G753" s="135">
        <v>0.59</v>
      </c>
      <c r="H753" s="133">
        <v>2012</v>
      </c>
      <c r="I753" s="152" t="s">
        <v>5553</v>
      </c>
    </row>
    <row r="754" spans="1:9" ht="18.75" thickBot="1" x14ac:dyDescent="0.3">
      <c r="A754" s="133" t="str">
        <f t="shared" si="11"/>
        <v>132310W</v>
      </c>
      <c r="B754" s="133" t="s">
        <v>7959</v>
      </c>
      <c r="C754" s="133" t="s">
        <v>7960</v>
      </c>
      <c r="D754" s="133" t="s">
        <v>5504</v>
      </c>
      <c r="E754" s="134"/>
      <c r="F754" s="134">
        <v>2.68</v>
      </c>
      <c r="G754" s="135">
        <v>2.14</v>
      </c>
      <c r="H754" s="133">
        <v>2011</v>
      </c>
      <c r="I754" s="152" t="s">
        <v>5666</v>
      </c>
    </row>
    <row r="755" spans="1:9" ht="18.75" thickBot="1" x14ac:dyDescent="0.3">
      <c r="A755" s="133" t="str">
        <f t="shared" si="11"/>
        <v>129223D</v>
      </c>
      <c r="B755" s="133" t="s">
        <v>7961</v>
      </c>
      <c r="C755" s="133" t="s">
        <v>7962</v>
      </c>
      <c r="D755" s="133" t="s">
        <v>5505</v>
      </c>
      <c r="E755" s="134"/>
      <c r="F755" s="134">
        <v>1.24</v>
      </c>
      <c r="G755" s="135">
        <v>0.99</v>
      </c>
      <c r="H755" s="133">
        <v>2009</v>
      </c>
      <c r="I755" s="152" t="s">
        <v>5654</v>
      </c>
    </row>
    <row r="756" spans="1:9" ht="18.75" thickBot="1" x14ac:dyDescent="0.3">
      <c r="A756" s="133" t="str">
        <f t="shared" si="11"/>
        <v>163358N</v>
      </c>
      <c r="B756" s="133" t="s">
        <v>7963</v>
      </c>
      <c r="C756" s="133" t="s">
        <v>7964</v>
      </c>
      <c r="D756" s="133" t="s">
        <v>7537</v>
      </c>
      <c r="E756" s="134"/>
      <c r="F756" s="134">
        <v>0.46</v>
      </c>
      <c r="G756" s="135">
        <v>0.37</v>
      </c>
      <c r="H756" s="133">
        <v>2019</v>
      </c>
      <c r="I756" s="152" t="s">
        <v>5895</v>
      </c>
    </row>
    <row r="757" spans="1:9" ht="18.75" thickBot="1" x14ac:dyDescent="0.3">
      <c r="A757" s="133" t="str">
        <f t="shared" si="11"/>
        <v>124382Y</v>
      </c>
      <c r="B757" s="133" t="s">
        <v>7355</v>
      </c>
      <c r="C757" s="133" t="s">
        <v>7356</v>
      </c>
      <c r="D757" s="133" t="s">
        <v>26</v>
      </c>
      <c r="E757" s="134"/>
      <c r="F757" s="134">
        <v>5.94</v>
      </c>
      <c r="G757" s="135">
        <v>4.75</v>
      </c>
      <c r="H757" s="133">
        <v>2014</v>
      </c>
      <c r="I757" s="152" t="s">
        <v>5735</v>
      </c>
    </row>
    <row r="758" spans="1:9" ht="18.75" thickBot="1" x14ac:dyDescent="0.3">
      <c r="A758" s="133" t="str">
        <f t="shared" si="11"/>
        <v>168325M</v>
      </c>
      <c r="B758" s="133" t="s">
        <v>7965</v>
      </c>
      <c r="C758" s="133" t="s">
        <v>7966</v>
      </c>
      <c r="D758" s="133" t="s">
        <v>5505</v>
      </c>
      <c r="E758" s="134"/>
      <c r="F758" s="134">
        <v>1.42</v>
      </c>
      <c r="G758" s="135">
        <v>1.1299999999999999</v>
      </c>
      <c r="H758" s="133">
        <v>2023</v>
      </c>
      <c r="I758" s="152" t="s">
        <v>5678</v>
      </c>
    </row>
    <row r="759" spans="1:9" ht="18.75" thickBot="1" x14ac:dyDescent="0.3">
      <c r="A759" s="133" t="str">
        <f t="shared" si="11"/>
        <v>158296L</v>
      </c>
      <c r="B759" s="133" t="s">
        <v>6696</v>
      </c>
      <c r="C759" s="133" t="s">
        <v>6697</v>
      </c>
      <c r="D759" s="133" t="s">
        <v>5505</v>
      </c>
      <c r="E759" s="134"/>
      <c r="F759" s="134">
        <v>1.61</v>
      </c>
      <c r="G759" s="135">
        <v>1.28</v>
      </c>
      <c r="H759" s="133">
        <v>2018</v>
      </c>
      <c r="I759" s="152" t="s">
        <v>5630</v>
      </c>
    </row>
    <row r="760" spans="1:9" ht="18.75" thickBot="1" x14ac:dyDescent="0.3">
      <c r="A760" s="133" t="str">
        <f t="shared" si="11"/>
        <v>129388M</v>
      </c>
      <c r="B760" s="133" t="s">
        <v>7357</v>
      </c>
      <c r="C760" s="133" t="s">
        <v>7358</v>
      </c>
      <c r="D760" s="133" t="s">
        <v>5504</v>
      </c>
      <c r="E760" s="134"/>
      <c r="F760" s="134">
        <v>3.79</v>
      </c>
      <c r="G760" s="135">
        <v>3.03</v>
      </c>
      <c r="H760" s="133">
        <v>2013</v>
      </c>
      <c r="I760" s="152" t="s">
        <v>5615</v>
      </c>
    </row>
    <row r="761" spans="1:9" ht="18.75" thickBot="1" x14ac:dyDescent="0.3">
      <c r="A761" s="133" t="str">
        <f t="shared" si="11"/>
        <v>139929X</v>
      </c>
      <c r="B761" s="133" t="s">
        <v>7967</v>
      </c>
      <c r="C761" s="133" t="s">
        <v>7968</v>
      </c>
      <c r="D761" s="133" t="s">
        <v>7537</v>
      </c>
      <c r="E761" s="134"/>
      <c r="F761" s="134">
        <v>0.66</v>
      </c>
      <c r="G761" s="135">
        <v>0.52</v>
      </c>
      <c r="H761" s="133">
        <v>2012</v>
      </c>
      <c r="I761" s="152" t="s">
        <v>5657</v>
      </c>
    </row>
    <row r="762" spans="1:9" ht="18.75" thickBot="1" x14ac:dyDescent="0.3">
      <c r="A762" s="133" t="str">
        <f t="shared" si="11"/>
        <v>138072M</v>
      </c>
      <c r="B762" s="133" t="s">
        <v>7969</v>
      </c>
      <c r="C762" s="133" t="s">
        <v>7970</v>
      </c>
      <c r="D762" s="133" t="s">
        <v>5504</v>
      </c>
      <c r="E762" s="134"/>
      <c r="F762" s="134">
        <v>2.85</v>
      </c>
      <c r="G762" s="135">
        <v>2.2799999999999998</v>
      </c>
      <c r="H762" s="133">
        <v>2013</v>
      </c>
      <c r="I762" s="152" t="s">
        <v>5666</v>
      </c>
    </row>
    <row r="763" spans="1:9" ht="18.75" thickBot="1" x14ac:dyDescent="0.3">
      <c r="A763" s="133" t="str">
        <f t="shared" si="11"/>
        <v>156345Q</v>
      </c>
      <c r="B763" s="133" t="s">
        <v>7971</v>
      </c>
      <c r="C763" s="133" t="s">
        <v>7972</v>
      </c>
      <c r="D763" s="133" t="s">
        <v>7537</v>
      </c>
      <c r="E763" s="134"/>
      <c r="F763" s="134">
        <v>0.5</v>
      </c>
      <c r="G763" s="135">
        <v>0.4</v>
      </c>
      <c r="H763" s="133">
        <v>2018</v>
      </c>
      <c r="I763" s="152" t="s">
        <v>5587</v>
      </c>
    </row>
    <row r="764" spans="1:9" ht="18.75" thickBot="1" x14ac:dyDescent="0.3">
      <c r="A764" s="133" t="str">
        <f t="shared" si="11"/>
        <v>123885V</v>
      </c>
      <c r="B764" s="133" t="s">
        <v>7973</v>
      </c>
      <c r="C764" s="133" t="s">
        <v>7974</v>
      </c>
      <c r="D764" s="133" t="s">
        <v>7537</v>
      </c>
      <c r="E764" s="134"/>
      <c r="F764" s="134">
        <v>0.71</v>
      </c>
      <c r="G764" s="135">
        <v>0.56999999999999995</v>
      </c>
      <c r="H764" s="133">
        <v>2011</v>
      </c>
      <c r="I764" s="152" t="s">
        <v>5582</v>
      </c>
    </row>
    <row r="765" spans="1:9" ht="18.75" thickBot="1" x14ac:dyDescent="0.3">
      <c r="A765" s="133" t="str">
        <f t="shared" si="11"/>
        <v>109519H</v>
      </c>
      <c r="B765" s="133" t="s">
        <v>6706</v>
      </c>
      <c r="C765" s="133" t="s">
        <v>6707</v>
      </c>
      <c r="D765" s="133" t="s">
        <v>5505</v>
      </c>
      <c r="E765" s="134"/>
      <c r="F765" s="134">
        <v>2.09</v>
      </c>
      <c r="G765" s="135">
        <v>1.67</v>
      </c>
      <c r="H765" s="133">
        <v>2014</v>
      </c>
      <c r="I765" s="152" t="s">
        <v>5582</v>
      </c>
    </row>
    <row r="766" spans="1:9" ht="18.75" thickBot="1" x14ac:dyDescent="0.3">
      <c r="A766" s="133" t="str">
        <f t="shared" si="11"/>
        <v>103291T</v>
      </c>
      <c r="B766" s="133" t="s">
        <v>7359</v>
      </c>
      <c r="C766" s="133" t="s">
        <v>7360</v>
      </c>
      <c r="D766" s="133" t="s">
        <v>5505</v>
      </c>
      <c r="E766" s="134"/>
      <c r="F766" s="134">
        <v>1.23</v>
      </c>
      <c r="G766" s="135">
        <v>0.98</v>
      </c>
      <c r="H766" s="133">
        <v>2017</v>
      </c>
      <c r="I766" s="152" t="s">
        <v>5735</v>
      </c>
    </row>
    <row r="767" spans="1:9" ht="18.75" thickBot="1" x14ac:dyDescent="0.3">
      <c r="A767" s="133" t="str">
        <f t="shared" si="11"/>
        <v>013901R</v>
      </c>
      <c r="B767" s="133" t="s">
        <v>6708</v>
      </c>
      <c r="C767" s="133" t="s">
        <v>6709</v>
      </c>
      <c r="D767" s="133" t="s">
        <v>5504</v>
      </c>
      <c r="E767" s="134"/>
      <c r="F767" s="134">
        <v>3.8</v>
      </c>
      <c r="G767" s="135">
        <v>3.04</v>
      </c>
      <c r="H767" s="133">
        <v>2024</v>
      </c>
      <c r="I767" s="152" t="s">
        <v>5630</v>
      </c>
    </row>
    <row r="768" spans="1:9" ht="18.75" thickBot="1" x14ac:dyDescent="0.3">
      <c r="A768" s="133" t="str">
        <f t="shared" si="11"/>
        <v>173513B</v>
      </c>
      <c r="B768" s="133" t="s">
        <v>8576</v>
      </c>
      <c r="C768" s="133" t="s">
        <v>8577</v>
      </c>
      <c r="D768" s="133" t="s">
        <v>7560</v>
      </c>
      <c r="E768" s="134"/>
      <c r="F768" s="134">
        <v>1.1299999999999999</v>
      </c>
      <c r="G768" s="135">
        <v>0.91</v>
      </c>
      <c r="H768" s="133">
        <v>2024</v>
      </c>
      <c r="I768" s="152" t="s">
        <v>5598</v>
      </c>
    </row>
    <row r="769" spans="1:9" ht="18.75" thickBot="1" x14ac:dyDescent="0.3">
      <c r="A769" s="133" t="str">
        <f t="shared" si="11"/>
        <v>104060I</v>
      </c>
      <c r="B769" s="133" t="s">
        <v>6710</v>
      </c>
      <c r="C769" s="133" t="s">
        <v>6711</v>
      </c>
      <c r="D769" s="133" t="s">
        <v>5504</v>
      </c>
      <c r="E769" s="134"/>
      <c r="F769" s="134">
        <v>3.3</v>
      </c>
      <c r="G769" s="135">
        <v>2.64</v>
      </c>
      <c r="H769" s="133">
        <v>2024</v>
      </c>
      <c r="I769" s="152" t="s">
        <v>5726</v>
      </c>
    </row>
    <row r="770" spans="1:9" ht="18.75" thickBot="1" x14ac:dyDescent="0.3">
      <c r="A770" s="133" t="str">
        <f t="shared" ref="A770:A833" si="12">SUBSTITUTE(B770,CHAR(32),"")</f>
        <v>113923R</v>
      </c>
      <c r="B770" s="133" t="s">
        <v>7975</v>
      </c>
      <c r="C770" s="133" t="s">
        <v>7976</v>
      </c>
      <c r="D770" s="133" t="s">
        <v>5504</v>
      </c>
      <c r="E770" s="134"/>
      <c r="F770" s="134">
        <v>2.66</v>
      </c>
      <c r="G770" s="135">
        <v>2.13</v>
      </c>
      <c r="H770" s="133">
        <v>2009</v>
      </c>
      <c r="I770" s="152" t="s">
        <v>5615</v>
      </c>
    </row>
    <row r="771" spans="1:9" ht="18.75" thickBot="1" x14ac:dyDescent="0.3">
      <c r="A771" s="133" t="str">
        <f t="shared" si="12"/>
        <v>142504Y</v>
      </c>
      <c r="B771" s="133" t="s">
        <v>7361</v>
      </c>
      <c r="C771" s="133" t="s">
        <v>7362</v>
      </c>
      <c r="D771" s="133" t="s">
        <v>7537</v>
      </c>
      <c r="E771" s="134"/>
      <c r="F771" s="134">
        <v>0.87</v>
      </c>
      <c r="G771" s="135">
        <v>0.7</v>
      </c>
      <c r="H771" s="133">
        <v>2024</v>
      </c>
      <c r="I771" s="152" t="s">
        <v>5573</v>
      </c>
    </row>
    <row r="772" spans="1:9" ht="18.75" thickBot="1" x14ac:dyDescent="0.3">
      <c r="A772" s="133" t="str">
        <f t="shared" si="12"/>
        <v>144749H</v>
      </c>
      <c r="B772" s="133" t="s">
        <v>6718</v>
      </c>
      <c r="C772" s="133" t="s">
        <v>6719</v>
      </c>
      <c r="D772" s="133" t="s">
        <v>7537</v>
      </c>
      <c r="E772" s="134"/>
      <c r="F772" s="134">
        <v>1</v>
      </c>
      <c r="G772" s="135">
        <v>0.8</v>
      </c>
      <c r="H772" s="133">
        <v>2016</v>
      </c>
      <c r="I772" s="152" t="s">
        <v>5601</v>
      </c>
    </row>
    <row r="773" spans="1:9" ht="18.75" thickBot="1" x14ac:dyDescent="0.3">
      <c r="A773" s="133" t="str">
        <f t="shared" si="12"/>
        <v>139995L</v>
      </c>
      <c r="B773" s="133" t="s">
        <v>7977</v>
      </c>
      <c r="C773" s="133" t="s">
        <v>7978</v>
      </c>
      <c r="D773" s="133" t="s">
        <v>7537</v>
      </c>
      <c r="E773" s="134"/>
      <c r="F773" s="134">
        <v>0.64</v>
      </c>
      <c r="G773" s="135">
        <v>0.51</v>
      </c>
      <c r="H773" s="133">
        <v>2011</v>
      </c>
      <c r="I773" s="152" t="s">
        <v>5553</v>
      </c>
    </row>
    <row r="774" spans="1:9" ht="18.75" thickBot="1" x14ac:dyDescent="0.3">
      <c r="A774" s="133" t="str">
        <f t="shared" si="12"/>
        <v>166531M</v>
      </c>
      <c r="B774" s="133" t="s">
        <v>7979</v>
      </c>
      <c r="C774" s="133" t="s">
        <v>7980</v>
      </c>
      <c r="D774" s="133" t="s">
        <v>7537</v>
      </c>
      <c r="E774" s="134"/>
      <c r="F774" s="134">
        <v>0.45</v>
      </c>
      <c r="G774" s="135">
        <v>0.36</v>
      </c>
      <c r="H774" s="133">
        <v>2020</v>
      </c>
      <c r="I774" s="152" t="s">
        <v>5735</v>
      </c>
    </row>
    <row r="775" spans="1:9" ht="18.75" thickBot="1" x14ac:dyDescent="0.3">
      <c r="A775" s="133" t="str">
        <f t="shared" si="12"/>
        <v>013916G</v>
      </c>
      <c r="B775" s="133" t="s">
        <v>6720</v>
      </c>
      <c r="C775" s="133" t="s">
        <v>6721</v>
      </c>
      <c r="D775" s="133" t="s">
        <v>5503</v>
      </c>
      <c r="E775" s="134"/>
      <c r="F775" s="134">
        <v>3.39</v>
      </c>
      <c r="G775" s="135">
        <v>2.71</v>
      </c>
      <c r="H775" s="133">
        <v>2017</v>
      </c>
      <c r="I775" s="152" t="s">
        <v>5635</v>
      </c>
    </row>
    <row r="776" spans="1:9" ht="18.75" thickBot="1" x14ac:dyDescent="0.3">
      <c r="A776" s="133" t="str">
        <f t="shared" si="12"/>
        <v>013922M</v>
      </c>
      <c r="B776" s="133" t="s">
        <v>7363</v>
      </c>
      <c r="C776" s="133" t="s">
        <v>7364</v>
      </c>
      <c r="D776" s="133" t="s">
        <v>5504</v>
      </c>
      <c r="E776" s="134"/>
      <c r="F776" s="134">
        <v>2.56</v>
      </c>
      <c r="G776" s="135">
        <v>2.0499999999999998</v>
      </c>
      <c r="H776" s="133">
        <v>2024</v>
      </c>
      <c r="I776" s="152" t="s">
        <v>5895</v>
      </c>
    </row>
    <row r="777" spans="1:9" ht="18.75" thickBot="1" x14ac:dyDescent="0.3">
      <c r="A777" s="133" t="str">
        <f t="shared" si="12"/>
        <v>158860Z</v>
      </c>
      <c r="B777" s="133" t="s">
        <v>6726</v>
      </c>
      <c r="C777" s="133" t="s">
        <v>6727</v>
      </c>
      <c r="D777" s="133" t="s">
        <v>5504</v>
      </c>
      <c r="E777" s="134"/>
      <c r="F777" s="134">
        <v>2.85</v>
      </c>
      <c r="G777" s="135">
        <v>2.2799999999999998</v>
      </c>
      <c r="H777" s="133">
        <v>2024</v>
      </c>
      <c r="I777" s="152" t="s">
        <v>5625</v>
      </c>
    </row>
    <row r="778" spans="1:9" ht="18.75" thickBot="1" x14ac:dyDescent="0.3">
      <c r="A778" s="133" t="str">
        <f t="shared" si="12"/>
        <v>015350K</v>
      </c>
      <c r="B778" s="133" t="s">
        <v>6728</v>
      </c>
      <c r="C778" s="133" t="s">
        <v>6729</v>
      </c>
      <c r="D778" s="133" t="s">
        <v>26</v>
      </c>
      <c r="E778" s="134"/>
      <c r="F778" s="134">
        <v>8.35</v>
      </c>
      <c r="G778" s="135">
        <v>6.68</v>
      </c>
      <c r="H778" s="133">
        <v>2008</v>
      </c>
      <c r="I778" s="152" t="s">
        <v>5573</v>
      </c>
    </row>
    <row r="779" spans="1:9" ht="18.75" thickBot="1" x14ac:dyDescent="0.3">
      <c r="A779" s="133" t="str">
        <f t="shared" si="12"/>
        <v>148332F</v>
      </c>
      <c r="B779" s="133" t="s">
        <v>7365</v>
      </c>
      <c r="C779" s="133" t="s">
        <v>7366</v>
      </c>
      <c r="D779" s="133" t="s">
        <v>6025</v>
      </c>
      <c r="E779" s="134"/>
      <c r="F779" s="134" t="s">
        <v>5552</v>
      </c>
      <c r="G779" s="135">
        <v>6.39</v>
      </c>
      <c r="H779" s="133">
        <v>2024</v>
      </c>
      <c r="I779" s="152" t="s">
        <v>5559</v>
      </c>
    </row>
    <row r="780" spans="1:9" ht="18.75" thickBot="1" x14ac:dyDescent="0.3">
      <c r="A780" s="133" t="str">
        <f t="shared" si="12"/>
        <v>013924O</v>
      </c>
      <c r="B780" s="133" t="s">
        <v>6730</v>
      </c>
      <c r="C780" s="133" t="s">
        <v>6731</v>
      </c>
      <c r="D780" s="133" t="s">
        <v>5503</v>
      </c>
      <c r="E780" s="134"/>
      <c r="F780" s="134">
        <v>4.5199999999999996</v>
      </c>
      <c r="G780" s="135">
        <v>3.62</v>
      </c>
      <c r="H780" s="133">
        <v>2022</v>
      </c>
      <c r="I780" s="152" t="s">
        <v>5587</v>
      </c>
    </row>
    <row r="781" spans="1:9" ht="18.75" thickBot="1" x14ac:dyDescent="0.3">
      <c r="A781" s="133" t="str">
        <f t="shared" si="12"/>
        <v>168871F</v>
      </c>
      <c r="B781" s="133" t="s">
        <v>7367</v>
      </c>
      <c r="C781" s="133" t="s">
        <v>7368</v>
      </c>
      <c r="D781" s="133" t="s">
        <v>5505</v>
      </c>
      <c r="E781" s="134"/>
      <c r="F781" s="134">
        <v>1.33</v>
      </c>
      <c r="G781" s="135">
        <v>1.06</v>
      </c>
      <c r="H781" s="133">
        <v>2024</v>
      </c>
      <c r="I781" s="152" t="s">
        <v>5710</v>
      </c>
    </row>
    <row r="782" spans="1:9" ht="18.75" thickBot="1" x14ac:dyDescent="0.3">
      <c r="A782" s="133" t="str">
        <f t="shared" si="12"/>
        <v>109499N</v>
      </c>
      <c r="B782" s="133" t="s">
        <v>6734</v>
      </c>
      <c r="C782" s="133" t="s">
        <v>6735</v>
      </c>
      <c r="D782" s="133" t="s">
        <v>5505</v>
      </c>
      <c r="E782" s="134"/>
      <c r="F782" s="134">
        <v>1.79</v>
      </c>
      <c r="G782" s="135">
        <v>1.43</v>
      </c>
      <c r="H782" s="133">
        <v>2010</v>
      </c>
      <c r="I782" s="152" t="s">
        <v>5735</v>
      </c>
    </row>
    <row r="783" spans="1:9" ht="18.75" thickBot="1" x14ac:dyDescent="0.3">
      <c r="A783" s="133" t="str">
        <f t="shared" si="12"/>
        <v>114563H</v>
      </c>
      <c r="B783" s="133" t="s">
        <v>7981</v>
      </c>
      <c r="C783" s="133" t="s">
        <v>7982</v>
      </c>
      <c r="D783" s="133" t="s">
        <v>7537</v>
      </c>
      <c r="E783" s="134"/>
      <c r="F783" s="134">
        <v>0.39</v>
      </c>
      <c r="G783" s="135">
        <v>0.31</v>
      </c>
      <c r="H783" s="133">
        <v>2008</v>
      </c>
      <c r="I783" s="152" t="s">
        <v>5735</v>
      </c>
    </row>
    <row r="784" spans="1:9" ht="18.75" thickBot="1" x14ac:dyDescent="0.3">
      <c r="A784" s="133" t="str">
        <f t="shared" si="12"/>
        <v>157535J</v>
      </c>
      <c r="B784" s="133" t="s">
        <v>6736</v>
      </c>
      <c r="C784" s="133" t="s">
        <v>6737</v>
      </c>
      <c r="D784" s="133" t="s">
        <v>5704</v>
      </c>
      <c r="E784" s="134"/>
      <c r="F784" s="134">
        <v>2.12</v>
      </c>
      <c r="G784" s="135">
        <v>1.7</v>
      </c>
      <c r="H784" s="133">
        <v>2024</v>
      </c>
      <c r="I784" s="152" t="s">
        <v>5559</v>
      </c>
    </row>
    <row r="785" spans="1:9" ht="18.75" thickBot="1" x14ac:dyDescent="0.3">
      <c r="A785" s="133" t="str">
        <f t="shared" si="12"/>
        <v>113823V</v>
      </c>
      <c r="B785" s="133" t="s">
        <v>7472</v>
      </c>
      <c r="C785" s="133" t="s">
        <v>7473</v>
      </c>
      <c r="D785" s="133" t="s">
        <v>26</v>
      </c>
      <c r="E785" s="134"/>
      <c r="F785" s="134">
        <v>5.72</v>
      </c>
      <c r="G785" s="135">
        <v>4.57</v>
      </c>
      <c r="H785" s="133">
        <v>2014</v>
      </c>
      <c r="I785" s="152" t="s">
        <v>6137</v>
      </c>
    </row>
    <row r="786" spans="1:9" ht="18.75" thickBot="1" x14ac:dyDescent="0.3">
      <c r="A786" s="133" t="str">
        <f t="shared" si="12"/>
        <v>132690M</v>
      </c>
      <c r="B786" s="133" t="s">
        <v>6738</v>
      </c>
      <c r="C786" s="133" t="s">
        <v>6739</v>
      </c>
      <c r="D786" s="133" t="s">
        <v>5504</v>
      </c>
      <c r="E786" s="134"/>
      <c r="F786" s="134">
        <v>2.08</v>
      </c>
      <c r="G786" s="135">
        <v>1.67</v>
      </c>
      <c r="H786" s="133">
        <v>2010</v>
      </c>
      <c r="I786" s="152" t="s">
        <v>5625</v>
      </c>
    </row>
    <row r="787" spans="1:9" ht="18.75" thickBot="1" x14ac:dyDescent="0.3">
      <c r="A787" s="133" t="str">
        <f t="shared" si="12"/>
        <v>013932W</v>
      </c>
      <c r="B787" s="133" t="s">
        <v>6740</v>
      </c>
      <c r="C787" s="133" t="s">
        <v>6741</v>
      </c>
      <c r="D787" s="133" t="s">
        <v>5504</v>
      </c>
      <c r="E787" s="134"/>
      <c r="F787" s="134">
        <v>3.29</v>
      </c>
      <c r="G787" s="135">
        <v>2.63</v>
      </c>
      <c r="H787" s="133">
        <v>2012</v>
      </c>
      <c r="I787" s="152" t="s">
        <v>5710</v>
      </c>
    </row>
    <row r="788" spans="1:9" ht="18.75" thickBot="1" x14ac:dyDescent="0.3">
      <c r="A788" s="133" t="str">
        <f t="shared" si="12"/>
        <v>019393X</v>
      </c>
      <c r="B788" s="133" t="s">
        <v>7369</v>
      </c>
      <c r="C788" s="133" t="s">
        <v>7370</v>
      </c>
      <c r="D788" s="133" t="s">
        <v>26</v>
      </c>
      <c r="E788" s="134"/>
      <c r="F788" s="134">
        <v>6.37</v>
      </c>
      <c r="G788" s="135">
        <v>5.0999999999999996</v>
      </c>
      <c r="H788" s="133">
        <v>2008</v>
      </c>
      <c r="I788" s="152" t="s">
        <v>5671</v>
      </c>
    </row>
    <row r="789" spans="1:9" ht="18.75" thickBot="1" x14ac:dyDescent="0.3">
      <c r="A789" s="133" t="str">
        <f t="shared" si="12"/>
        <v>013933X</v>
      </c>
      <c r="B789" s="133" t="s">
        <v>6742</v>
      </c>
      <c r="C789" s="133" t="s">
        <v>6743</v>
      </c>
      <c r="D789" s="133" t="s">
        <v>26</v>
      </c>
      <c r="E789" s="134"/>
      <c r="F789" s="134">
        <v>6.11</v>
      </c>
      <c r="G789" s="135">
        <v>4.8899999999999997</v>
      </c>
      <c r="H789" s="133">
        <v>2020</v>
      </c>
      <c r="I789" s="152" t="s">
        <v>5559</v>
      </c>
    </row>
    <row r="790" spans="1:9" ht="18.75" thickBot="1" x14ac:dyDescent="0.3">
      <c r="A790" s="133" t="str">
        <f t="shared" si="12"/>
        <v>142521P</v>
      </c>
      <c r="B790" s="133" t="s">
        <v>7371</v>
      </c>
      <c r="C790" s="133" t="s">
        <v>7372</v>
      </c>
      <c r="D790" s="133" t="s">
        <v>7537</v>
      </c>
      <c r="E790" s="134"/>
      <c r="F790" s="134">
        <v>0.88</v>
      </c>
      <c r="G790" s="135">
        <v>0.71</v>
      </c>
      <c r="H790" s="133">
        <v>2016</v>
      </c>
      <c r="I790" s="152" t="s">
        <v>5553</v>
      </c>
    </row>
    <row r="791" spans="1:9" ht="18.75" thickBot="1" x14ac:dyDescent="0.3">
      <c r="A791" s="133" t="str">
        <f t="shared" si="12"/>
        <v>139996M</v>
      </c>
      <c r="B791" s="133" t="s">
        <v>7983</v>
      </c>
      <c r="C791" s="133" t="s">
        <v>7984</v>
      </c>
      <c r="D791" s="133" t="s">
        <v>7537</v>
      </c>
      <c r="E791" s="134"/>
      <c r="F791" s="134">
        <v>0.67</v>
      </c>
      <c r="G791" s="135">
        <v>0.54</v>
      </c>
      <c r="H791" s="133">
        <v>2014</v>
      </c>
      <c r="I791" s="152" t="s">
        <v>5553</v>
      </c>
    </row>
    <row r="792" spans="1:9" ht="18.75" thickBot="1" x14ac:dyDescent="0.3">
      <c r="A792" s="133" t="str">
        <f t="shared" si="12"/>
        <v>139436Y</v>
      </c>
      <c r="B792" s="133" t="s">
        <v>6748</v>
      </c>
      <c r="C792" s="133" t="s">
        <v>6749</v>
      </c>
      <c r="D792" s="133" t="s">
        <v>7543</v>
      </c>
      <c r="E792" s="134"/>
      <c r="F792" s="134">
        <v>1.1499999999999999</v>
      </c>
      <c r="G792" s="135">
        <v>0.92</v>
      </c>
      <c r="H792" s="133">
        <v>2024</v>
      </c>
      <c r="I792" s="152" t="s">
        <v>5646</v>
      </c>
    </row>
    <row r="793" spans="1:9" ht="18.75" thickBot="1" x14ac:dyDescent="0.3">
      <c r="A793" s="133" t="str">
        <f t="shared" si="12"/>
        <v>152784V</v>
      </c>
      <c r="B793" s="133" t="s">
        <v>6750</v>
      </c>
      <c r="C793" s="133" t="s">
        <v>6751</v>
      </c>
      <c r="D793" s="133" t="s">
        <v>7537</v>
      </c>
      <c r="E793" s="134"/>
      <c r="F793" s="134">
        <v>0.83</v>
      </c>
      <c r="G793" s="135">
        <v>0.66</v>
      </c>
      <c r="H793" s="133">
        <v>2018</v>
      </c>
      <c r="I793" s="152" t="s">
        <v>5582</v>
      </c>
    </row>
    <row r="794" spans="1:9" ht="18.75" thickBot="1" x14ac:dyDescent="0.3">
      <c r="A794" s="133" t="str">
        <f t="shared" si="12"/>
        <v>152785W</v>
      </c>
      <c r="B794" s="133" t="s">
        <v>7985</v>
      </c>
      <c r="C794" s="133" t="s">
        <v>7986</v>
      </c>
      <c r="D794" s="133" t="s">
        <v>7537</v>
      </c>
      <c r="E794" s="134"/>
      <c r="F794" s="134">
        <v>0.76</v>
      </c>
      <c r="G794" s="135">
        <v>0.61</v>
      </c>
      <c r="H794" s="133">
        <v>2018</v>
      </c>
      <c r="I794" s="152" t="s">
        <v>5582</v>
      </c>
    </row>
    <row r="795" spans="1:9" ht="18.75" thickBot="1" x14ac:dyDescent="0.3">
      <c r="A795" s="133" t="str">
        <f t="shared" si="12"/>
        <v>151320D</v>
      </c>
      <c r="B795" s="133" t="s">
        <v>6752</v>
      </c>
      <c r="C795" s="133" t="s">
        <v>6753</v>
      </c>
      <c r="D795" s="133" t="s">
        <v>7537</v>
      </c>
      <c r="E795" s="134"/>
      <c r="F795" s="134">
        <v>1.03</v>
      </c>
      <c r="G795" s="135">
        <v>0.82</v>
      </c>
      <c r="H795" s="133">
        <v>2020</v>
      </c>
      <c r="I795" s="152" t="s">
        <v>5582</v>
      </c>
    </row>
    <row r="796" spans="1:9" ht="18.75" thickBot="1" x14ac:dyDescent="0.3">
      <c r="A796" s="133" t="str">
        <f t="shared" si="12"/>
        <v>013942G</v>
      </c>
      <c r="B796" s="133" t="s">
        <v>7373</v>
      </c>
      <c r="C796" s="133" t="s">
        <v>7374</v>
      </c>
      <c r="D796" s="133" t="s">
        <v>5504</v>
      </c>
      <c r="E796" s="134"/>
      <c r="F796" s="134">
        <v>3.14</v>
      </c>
      <c r="G796" s="135">
        <v>2.5099999999999998</v>
      </c>
      <c r="H796" s="133">
        <v>2015</v>
      </c>
      <c r="I796" s="152" t="s">
        <v>7375</v>
      </c>
    </row>
    <row r="797" spans="1:9" ht="18.75" thickBot="1" x14ac:dyDescent="0.3">
      <c r="A797" s="133" t="str">
        <f t="shared" si="12"/>
        <v>154522J</v>
      </c>
      <c r="B797" s="133" t="s">
        <v>7376</v>
      </c>
      <c r="C797" s="133" t="s">
        <v>7377</v>
      </c>
      <c r="D797" s="133" t="s">
        <v>5504</v>
      </c>
      <c r="E797" s="134"/>
      <c r="F797" s="134">
        <v>2.83</v>
      </c>
      <c r="G797" s="135">
        <v>2.27</v>
      </c>
      <c r="H797" s="133">
        <v>2024</v>
      </c>
      <c r="I797" s="152" t="s">
        <v>5678</v>
      </c>
    </row>
    <row r="798" spans="1:9" ht="18.75" thickBot="1" x14ac:dyDescent="0.3">
      <c r="A798" s="133" t="str">
        <f t="shared" si="12"/>
        <v>114580Y</v>
      </c>
      <c r="B798" s="133" t="s">
        <v>6758</v>
      </c>
      <c r="C798" s="133" t="s">
        <v>6759</v>
      </c>
      <c r="D798" s="133" t="s">
        <v>26</v>
      </c>
      <c r="E798" s="134"/>
      <c r="F798" s="134">
        <v>6.57</v>
      </c>
      <c r="G798" s="135">
        <v>5.25</v>
      </c>
      <c r="H798" s="133">
        <v>2013</v>
      </c>
      <c r="I798" s="152" t="s">
        <v>5582</v>
      </c>
    </row>
    <row r="799" spans="1:9" ht="18.75" thickBot="1" x14ac:dyDescent="0.3">
      <c r="A799" s="133" t="str">
        <f t="shared" si="12"/>
        <v>013952Q</v>
      </c>
      <c r="B799" s="133" t="s">
        <v>6760</v>
      </c>
      <c r="C799" s="133" t="s">
        <v>6761</v>
      </c>
      <c r="D799" s="133" t="s">
        <v>5597</v>
      </c>
      <c r="E799" s="134"/>
      <c r="F799" s="134">
        <v>4.97</v>
      </c>
      <c r="G799" s="135">
        <v>3.98</v>
      </c>
      <c r="H799" s="133">
        <v>2024</v>
      </c>
      <c r="I799" s="152" t="s">
        <v>5563</v>
      </c>
    </row>
    <row r="800" spans="1:9" ht="18.75" thickBot="1" x14ac:dyDescent="0.3">
      <c r="A800" s="133" t="str">
        <f t="shared" si="12"/>
        <v>123886W</v>
      </c>
      <c r="B800" s="133" t="s">
        <v>6762</v>
      </c>
      <c r="C800" s="133" t="s">
        <v>6763</v>
      </c>
      <c r="D800" s="133" t="s">
        <v>5504</v>
      </c>
      <c r="E800" s="134"/>
      <c r="F800" s="134">
        <v>2.4</v>
      </c>
      <c r="G800" s="135">
        <v>1.92</v>
      </c>
      <c r="H800" s="133">
        <v>2014</v>
      </c>
      <c r="I800" s="152" t="s">
        <v>5594</v>
      </c>
    </row>
    <row r="801" spans="1:9" ht="18.75" thickBot="1" x14ac:dyDescent="0.3">
      <c r="A801" s="133" t="str">
        <f t="shared" si="12"/>
        <v>177533W</v>
      </c>
      <c r="B801" s="133" t="s">
        <v>8578</v>
      </c>
      <c r="C801" s="133" t="s">
        <v>8579</v>
      </c>
      <c r="D801" s="133" t="s">
        <v>5704</v>
      </c>
      <c r="E801" s="134"/>
      <c r="F801" s="134">
        <v>2.81</v>
      </c>
      <c r="G801" s="135">
        <v>2.25</v>
      </c>
      <c r="H801" s="133">
        <v>2024</v>
      </c>
      <c r="I801" s="152" t="s">
        <v>5573</v>
      </c>
    </row>
    <row r="802" spans="1:9" ht="18.75" thickBot="1" x14ac:dyDescent="0.3">
      <c r="A802" s="133" t="str">
        <f t="shared" si="12"/>
        <v>133301Z</v>
      </c>
      <c r="B802" s="133" t="s">
        <v>7378</v>
      </c>
      <c r="C802" s="133" t="s">
        <v>7379</v>
      </c>
      <c r="D802" s="133" t="s">
        <v>5505</v>
      </c>
      <c r="E802" s="134"/>
      <c r="F802" s="134">
        <v>1.8</v>
      </c>
      <c r="G802" s="135">
        <v>1.44</v>
      </c>
      <c r="H802" s="133">
        <v>2023</v>
      </c>
      <c r="I802" s="152" t="s">
        <v>6229</v>
      </c>
    </row>
    <row r="803" spans="1:9" ht="18.75" thickBot="1" x14ac:dyDescent="0.3">
      <c r="A803" s="133" t="str">
        <f t="shared" si="12"/>
        <v>177316K</v>
      </c>
      <c r="B803" s="133" t="s">
        <v>7380</v>
      </c>
      <c r="C803" s="133" t="s">
        <v>7381</v>
      </c>
      <c r="D803" s="133" t="s">
        <v>7543</v>
      </c>
      <c r="E803" s="134"/>
      <c r="F803" s="134">
        <v>1.26</v>
      </c>
      <c r="G803" s="135">
        <v>1.01</v>
      </c>
      <c r="H803" s="133">
        <v>2024</v>
      </c>
      <c r="I803" s="152" t="s">
        <v>5651</v>
      </c>
    </row>
    <row r="804" spans="1:9" ht="18.75" thickBot="1" x14ac:dyDescent="0.3">
      <c r="A804" s="133" t="str">
        <f t="shared" si="12"/>
        <v>151454Z</v>
      </c>
      <c r="B804" s="133" t="s">
        <v>7987</v>
      </c>
      <c r="C804" s="133" t="s">
        <v>7988</v>
      </c>
      <c r="D804" s="133" t="s">
        <v>5505</v>
      </c>
      <c r="E804" s="134"/>
      <c r="F804" s="134">
        <v>1.1299999999999999</v>
      </c>
      <c r="G804" s="135">
        <v>0.9</v>
      </c>
      <c r="H804" s="133">
        <v>2017</v>
      </c>
      <c r="I804" s="152" t="s">
        <v>5573</v>
      </c>
    </row>
    <row r="805" spans="1:9" ht="18.75" thickBot="1" x14ac:dyDescent="0.3">
      <c r="A805" s="133" t="str">
        <f t="shared" si="12"/>
        <v>125430G</v>
      </c>
      <c r="B805" s="133" t="s">
        <v>7989</v>
      </c>
      <c r="C805" s="133" t="s">
        <v>7990</v>
      </c>
      <c r="D805" s="133" t="s">
        <v>5504</v>
      </c>
      <c r="E805" s="134"/>
      <c r="F805" s="134">
        <v>2.39</v>
      </c>
      <c r="G805" s="135">
        <v>1.91</v>
      </c>
      <c r="H805" s="133">
        <v>2008</v>
      </c>
      <c r="I805" s="152" t="s">
        <v>5666</v>
      </c>
    </row>
    <row r="806" spans="1:9" ht="18.75" thickBot="1" x14ac:dyDescent="0.3">
      <c r="A806" s="133" t="str">
        <f t="shared" si="12"/>
        <v>154178K</v>
      </c>
      <c r="B806" s="133" t="s">
        <v>7382</v>
      </c>
      <c r="C806" s="133" t="s">
        <v>7383</v>
      </c>
      <c r="D806" s="133" t="s">
        <v>5504</v>
      </c>
      <c r="E806" s="134"/>
      <c r="F806" s="134">
        <v>2.96</v>
      </c>
      <c r="G806" s="135">
        <v>2.37</v>
      </c>
      <c r="H806" s="133">
        <v>2024</v>
      </c>
      <c r="I806" s="152" t="s">
        <v>5559</v>
      </c>
    </row>
    <row r="807" spans="1:9" ht="18.75" thickBot="1" x14ac:dyDescent="0.3">
      <c r="A807" s="133" t="str">
        <f t="shared" si="12"/>
        <v>149129X</v>
      </c>
      <c r="B807" s="133" t="s">
        <v>7384</v>
      </c>
      <c r="C807" s="133" t="s">
        <v>7385</v>
      </c>
      <c r="D807" s="133" t="s">
        <v>5505</v>
      </c>
      <c r="E807" s="134"/>
      <c r="F807" s="134">
        <v>1.81</v>
      </c>
      <c r="G807" s="135">
        <v>1.45</v>
      </c>
      <c r="H807" s="133">
        <v>2020</v>
      </c>
      <c r="I807" s="152" t="s">
        <v>5646</v>
      </c>
    </row>
    <row r="808" spans="1:9" ht="18.75" thickBot="1" x14ac:dyDescent="0.3">
      <c r="A808" s="133" t="str">
        <f t="shared" si="12"/>
        <v>149281M</v>
      </c>
      <c r="B808" s="133" t="s">
        <v>7991</v>
      </c>
      <c r="C808" s="133" t="s">
        <v>7992</v>
      </c>
      <c r="D808" s="133" t="s">
        <v>7537</v>
      </c>
      <c r="E808" s="134"/>
      <c r="F808" s="134">
        <v>0.89</v>
      </c>
      <c r="G808" s="135">
        <v>0.71</v>
      </c>
      <c r="H808" s="133">
        <v>2024</v>
      </c>
      <c r="I808" s="152" t="s">
        <v>5671</v>
      </c>
    </row>
    <row r="809" spans="1:9" ht="18.75" thickBot="1" x14ac:dyDescent="0.3">
      <c r="A809" s="133" t="str">
        <f t="shared" si="12"/>
        <v>133357D</v>
      </c>
      <c r="B809" s="133" t="s">
        <v>7388</v>
      </c>
      <c r="C809" s="133" t="s">
        <v>7389</v>
      </c>
      <c r="D809" s="133" t="s">
        <v>7543</v>
      </c>
      <c r="E809" s="134"/>
      <c r="F809" s="134">
        <v>1.23</v>
      </c>
      <c r="G809" s="135">
        <v>0.98</v>
      </c>
      <c r="H809" s="133">
        <v>2024</v>
      </c>
      <c r="I809" s="152" t="s">
        <v>5705</v>
      </c>
    </row>
    <row r="810" spans="1:9" ht="18.75" thickBot="1" x14ac:dyDescent="0.3">
      <c r="A810" s="133" t="str">
        <f t="shared" si="12"/>
        <v>154493C</v>
      </c>
      <c r="B810" s="133" t="s">
        <v>6766</v>
      </c>
      <c r="C810" s="133" t="s">
        <v>6767</v>
      </c>
      <c r="D810" s="133" t="s">
        <v>5504</v>
      </c>
      <c r="E810" s="134"/>
      <c r="F810" s="134">
        <v>2.2999999999999998</v>
      </c>
      <c r="G810" s="135">
        <v>1.84</v>
      </c>
      <c r="H810" s="133">
        <v>2024</v>
      </c>
      <c r="I810" s="152" t="s">
        <v>5625</v>
      </c>
    </row>
    <row r="811" spans="1:9" ht="18.75" thickBot="1" x14ac:dyDescent="0.3">
      <c r="A811" s="133" t="str">
        <f t="shared" si="12"/>
        <v>115313D</v>
      </c>
      <c r="B811" s="133" t="s">
        <v>6768</v>
      </c>
      <c r="C811" s="133" t="s">
        <v>6769</v>
      </c>
      <c r="D811" s="133" t="s">
        <v>5505</v>
      </c>
      <c r="E811" s="134"/>
      <c r="F811" s="134">
        <v>1.23</v>
      </c>
      <c r="G811" s="135">
        <v>0.99</v>
      </c>
      <c r="H811" s="133">
        <v>2024</v>
      </c>
      <c r="I811" s="152" t="s">
        <v>5735</v>
      </c>
    </row>
    <row r="812" spans="1:9" ht="18.75" thickBot="1" x14ac:dyDescent="0.3">
      <c r="A812" s="133" t="str">
        <f t="shared" si="12"/>
        <v>165232A</v>
      </c>
      <c r="B812" s="133" t="s">
        <v>7993</v>
      </c>
      <c r="C812" s="133" t="s">
        <v>7994</v>
      </c>
      <c r="D812" s="133" t="s">
        <v>5505</v>
      </c>
      <c r="E812" s="134"/>
      <c r="F812" s="134">
        <v>1.83</v>
      </c>
      <c r="G812" s="135">
        <v>1.46</v>
      </c>
      <c r="H812" s="133">
        <v>2020</v>
      </c>
      <c r="I812" s="152" t="s">
        <v>5639</v>
      </c>
    </row>
    <row r="813" spans="1:9" ht="18.75" thickBot="1" x14ac:dyDescent="0.3">
      <c r="A813" s="133" t="str">
        <f t="shared" si="12"/>
        <v>013973L</v>
      </c>
      <c r="B813" s="133" t="s">
        <v>6770</v>
      </c>
      <c r="C813" s="133" t="s">
        <v>6771</v>
      </c>
      <c r="D813" s="133" t="s">
        <v>5704</v>
      </c>
      <c r="E813" s="134"/>
      <c r="F813" s="134">
        <v>2.8</v>
      </c>
      <c r="G813" s="135">
        <v>2.2400000000000002</v>
      </c>
      <c r="H813" s="133">
        <v>2024</v>
      </c>
      <c r="I813" s="152" t="s">
        <v>5615</v>
      </c>
    </row>
    <row r="814" spans="1:9" ht="18.75" thickBot="1" x14ac:dyDescent="0.3">
      <c r="A814" s="133" t="str">
        <f t="shared" si="12"/>
        <v>013975N</v>
      </c>
      <c r="B814" s="133" t="s">
        <v>6772</v>
      </c>
      <c r="C814" s="133" t="s">
        <v>6773</v>
      </c>
      <c r="D814" s="133" t="s">
        <v>5504</v>
      </c>
      <c r="E814" s="134"/>
      <c r="F814" s="134">
        <v>2.35</v>
      </c>
      <c r="G814" s="135">
        <v>1.88</v>
      </c>
      <c r="H814" s="133">
        <v>2024</v>
      </c>
      <c r="I814" s="152" t="s">
        <v>5735</v>
      </c>
    </row>
    <row r="815" spans="1:9" ht="18.75" thickBot="1" x14ac:dyDescent="0.3">
      <c r="A815" s="133" t="str">
        <f t="shared" si="12"/>
        <v>132691N</v>
      </c>
      <c r="B815" s="133" t="s">
        <v>7390</v>
      </c>
      <c r="C815" s="133" t="s">
        <v>7391</v>
      </c>
      <c r="D815" s="133" t="s">
        <v>5505</v>
      </c>
      <c r="E815" s="134"/>
      <c r="F815" s="134">
        <v>1</v>
      </c>
      <c r="G815" s="135">
        <v>0.8</v>
      </c>
      <c r="H815" s="133">
        <v>2015</v>
      </c>
      <c r="I815" s="152" t="s">
        <v>5625</v>
      </c>
    </row>
    <row r="816" spans="1:9" ht="18.75" thickBot="1" x14ac:dyDescent="0.3">
      <c r="A816" s="133" t="str">
        <f t="shared" si="12"/>
        <v>132632G</v>
      </c>
      <c r="B816" s="133" t="s">
        <v>6774</v>
      </c>
      <c r="C816" s="133" t="s">
        <v>6775</v>
      </c>
      <c r="D816" s="133" t="s">
        <v>7543</v>
      </c>
      <c r="E816" s="134"/>
      <c r="F816" s="134">
        <v>1.77</v>
      </c>
      <c r="G816" s="135">
        <v>1.42</v>
      </c>
      <c r="H816" s="133">
        <v>2024</v>
      </c>
      <c r="I816" s="152" t="s">
        <v>5635</v>
      </c>
    </row>
    <row r="817" spans="1:9" ht="18.75" thickBot="1" x14ac:dyDescent="0.3">
      <c r="A817" s="133" t="str">
        <f t="shared" si="12"/>
        <v>164134G</v>
      </c>
      <c r="B817" s="133" t="s">
        <v>6776</v>
      </c>
      <c r="C817" s="133" t="s">
        <v>6777</v>
      </c>
      <c r="D817" s="133" t="s">
        <v>5505</v>
      </c>
      <c r="E817" s="134"/>
      <c r="F817" s="134">
        <v>1.76</v>
      </c>
      <c r="G817" s="135">
        <v>1.41</v>
      </c>
      <c r="H817" s="133">
        <v>2023</v>
      </c>
      <c r="I817" s="152" t="s">
        <v>5735</v>
      </c>
    </row>
    <row r="818" spans="1:9" ht="18.75" thickBot="1" x14ac:dyDescent="0.3">
      <c r="A818" s="133" t="str">
        <f t="shared" si="12"/>
        <v>136740G</v>
      </c>
      <c r="B818" s="133" t="s">
        <v>7995</v>
      </c>
      <c r="C818" s="133" t="s">
        <v>7996</v>
      </c>
      <c r="D818" s="133" t="s">
        <v>7537</v>
      </c>
      <c r="E818" s="134"/>
      <c r="F818" s="134">
        <v>0.37</v>
      </c>
      <c r="G818" s="135">
        <v>0.3</v>
      </c>
      <c r="H818" s="133">
        <v>2008</v>
      </c>
      <c r="I818" s="152" t="s">
        <v>5895</v>
      </c>
    </row>
    <row r="819" spans="1:9" ht="18.75" thickBot="1" x14ac:dyDescent="0.3">
      <c r="A819" s="133" t="str">
        <f t="shared" si="12"/>
        <v>130038M</v>
      </c>
      <c r="B819" s="133" t="s">
        <v>7997</v>
      </c>
      <c r="C819" s="133" t="s">
        <v>7998</v>
      </c>
      <c r="D819" s="133" t="s">
        <v>7537</v>
      </c>
      <c r="E819" s="134"/>
      <c r="F819" s="134">
        <v>0.85</v>
      </c>
      <c r="G819" s="135">
        <v>0.68</v>
      </c>
      <c r="H819" s="133">
        <v>2010</v>
      </c>
      <c r="I819" s="152" t="s">
        <v>5895</v>
      </c>
    </row>
    <row r="820" spans="1:9" ht="18.75" thickBot="1" x14ac:dyDescent="0.3">
      <c r="A820" s="133" t="str">
        <f t="shared" si="12"/>
        <v>162661F</v>
      </c>
      <c r="B820" s="133" t="s">
        <v>6778</v>
      </c>
      <c r="C820" s="133" t="s">
        <v>6779</v>
      </c>
      <c r="D820" s="133" t="s">
        <v>5505</v>
      </c>
      <c r="E820" s="134"/>
      <c r="F820" s="134">
        <v>2.2799999999999998</v>
      </c>
      <c r="G820" s="135">
        <v>1.82</v>
      </c>
      <c r="H820" s="133">
        <v>2024</v>
      </c>
      <c r="I820" s="152" t="s">
        <v>5744</v>
      </c>
    </row>
    <row r="821" spans="1:9" ht="18.75" thickBot="1" x14ac:dyDescent="0.3">
      <c r="A821" s="133" t="str">
        <f t="shared" si="12"/>
        <v>159109V</v>
      </c>
      <c r="B821" s="133" t="s">
        <v>7394</v>
      </c>
      <c r="C821" s="133" t="s">
        <v>7395</v>
      </c>
      <c r="D821" s="133" t="s">
        <v>7537</v>
      </c>
      <c r="E821" s="134"/>
      <c r="F821" s="134">
        <v>1</v>
      </c>
      <c r="G821" s="135">
        <v>0.8</v>
      </c>
      <c r="H821" s="133">
        <v>2022</v>
      </c>
      <c r="I821" s="152" t="s">
        <v>5912</v>
      </c>
    </row>
    <row r="822" spans="1:9" ht="18.75" thickBot="1" x14ac:dyDescent="0.3">
      <c r="A822" s="133" t="str">
        <f t="shared" si="12"/>
        <v>013981T</v>
      </c>
      <c r="B822" s="133" t="s">
        <v>7396</v>
      </c>
      <c r="C822" s="133" t="s">
        <v>7397</v>
      </c>
      <c r="D822" s="133" t="s">
        <v>5504</v>
      </c>
      <c r="E822" s="134"/>
      <c r="F822" s="134">
        <v>3.1</v>
      </c>
      <c r="G822" s="135">
        <v>2.48</v>
      </c>
      <c r="H822" s="133">
        <v>2024</v>
      </c>
      <c r="I822" s="152" t="s">
        <v>5635</v>
      </c>
    </row>
    <row r="823" spans="1:9" ht="18.75" thickBot="1" x14ac:dyDescent="0.3">
      <c r="A823" s="133" t="str">
        <f t="shared" si="12"/>
        <v>108139F</v>
      </c>
      <c r="B823" s="133" t="s">
        <v>6780</v>
      </c>
      <c r="C823" s="133" t="s">
        <v>6781</v>
      </c>
      <c r="D823" s="133" t="s">
        <v>5504</v>
      </c>
      <c r="E823" s="134"/>
      <c r="F823" s="134">
        <v>2.68</v>
      </c>
      <c r="G823" s="135">
        <v>2.14</v>
      </c>
      <c r="H823" s="133">
        <v>2024</v>
      </c>
      <c r="I823" s="152" t="s">
        <v>5563</v>
      </c>
    </row>
    <row r="824" spans="1:9" ht="18.75" thickBot="1" x14ac:dyDescent="0.3">
      <c r="A824" s="133" t="str">
        <f t="shared" si="12"/>
        <v>138083X</v>
      </c>
      <c r="B824" s="133" t="s">
        <v>7999</v>
      </c>
      <c r="C824" s="133" t="s">
        <v>8000</v>
      </c>
      <c r="D824" s="133" t="s">
        <v>7537</v>
      </c>
      <c r="E824" s="134"/>
      <c r="F824" s="134">
        <v>0.35</v>
      </c>
      <c r="G824" s="135">
        <v>0.28000000000000003</v>
      </c>
      <c r="H824" s="133">
        <v>2009</v>
      </c>
      <c r="I824" s="152" t="s">
        <v>5912</v>
      </c>
    </row>
    <row r="825" spans="1:9" ht="18.75" thickBot="1" x14ac:dyDescent="0.3">
      <c r="A825" s="133" t="str">
        <f t="shared" si="12"/>
        <v>140941V</v>
      </c>
      <c r="B825" s="133" t="s">
        <v>8001</v>
      </c>
      <c r="C825" s="133" t="s">
        <v>8002</v>
      </c>
      <c r="D825" s="133" t="s">
        <v>7537</v>
      </c>
      <c r="E825" s="134"/>
      <c r="F825" s="134">
        <v>0.72</v>
      </c>
      <c r="G825" s="135">
        <v>0.56999999999999995</v>
      </c>
      <c r="H825" s="133">
        <v>2012</v>
      </c>
      <c r="I825" s="152" t="s">
        <v>5559</v>
      </c>
    </row>
    <row r="826" spans="1:9" ht="18.75" thickBot="1" x14ac:dyDescent="0.3">
      <c r="A826" s="133" t="str">
        <f t="shared" si="12"/>
        <v>133738U</v>
      </c>
      <c r="B826" s="133" t="s">
        <v>7398</v>
      </c>
      <c r="C826" s="133" t="s">
        <v>7399</v>
      </c>
      <c r="D826" s="133" t="s">
        <v>5505</v>
      </c>
      <c r="E826" s="134"/>
      <c r="F826" s="134">
        <v>1.23</v>
      </c>
      <c r="G826" s="135">
        <v>0.99</v>
      </c>
      <c r="H826" s="133">
        <v>2019</v>
      </c>
      <c r="I826" s="152" t="s">
        <v>5566</v>
      </c>
    </row>
    <row r="827" spans="1:9" ht="18.75" thickBot="1" x14ac:dyDescent="0.3">
      <c r="A827" s="133" t="str">
        <f t="shared" si="12"/>
        <v>143260A</v>
      </c>
      <c r="B827" s="133" t="s">
        <v>6786</v>
      </c>
      <c r="C827" s="133" t="s">
        <v>6787</v>
      </c>
      <c r="D827" s="133" t="s">
        <v>7537</v>
      </c>
      <c r="E827" s="134"/>
      <c r="F827" s="134">
        <v>0.93</v>
      </c>
      <c r="G827" s="135">
        <v>0.74</v>
      </c>
      <c r="H827" s="133">
        <v>2012</v>
      </c>
      <c r="I827" s="152" t="s">
        <v>5801</v>
      </c>
    </row>
    <row r="828" spans="1:9" ht="18.75" thickBot="1" x14ac:dyDescent="0.3">
      <c r="A828" s="133" t="str">
        <f t="shared" si="12"/>
        <v>144845Z</v>
      </c>
      <c r="B828" s="133" t="s">
        <v>6788</v>
      </c>
      <c r="C828" s="133" t="s">
        <v>6789</v>
      </c>
      <c r="D828" s="133" t="s">
        <v>5504</v>
      </c>
      <c r="E828" s="134"/>
      <c r="F828" s="134">
        <v>2.81</v>
      </c>
      <c r="G828" s="135">
        <v>2.25</v>
      </c>
      <c r="H828" s="133">
        <v>2020</v>
      </c>
      <c r="I828" s="152" t="s">
        <v>5635</v>
      </c>
    </row>
    <row r="829" spans="1:9" ht="18.75" thickBot="1" x14ac:dyDescent="0.3">
      <c r="A829" s="133" t="str">
        <f t="shared" si="12"/>
        <v>138085Z</v>
      </c>
      <c r="B829" s="133" t="s">
        <v>6790</v>
      </c>
      <c r="C829" s="133" t="s">
        <v>6791</v>
      </c>
      <c r="D829" s="133" t="s">
        <v>5505</v>
      </c>
      <c r="E829" s="134"/>
      <c r="F829" s="134">
        <v>2.0099999999999998</v>
      </c>
      <c r="G829" s="135">
        <v>1.61</v>
      </c>
      <c r="H829" s="133">
        <v>2016</v>
      </c>
      <c r="I829" s="152" t="s">
        <v>5726</v>
      </c>
    </row>
    <row r="830" spans="1:9" ht="18.75" thickBot="1" x14ac:dyDescent="0.3">
      <c r="A830" s="133" t="str">
        <f t="shared" si="12"/>
        <v>169072Z</v>
      </c>
      <c r="B830" s="133" t="s">
        <v>8003</v>
      </c>
      <c r="C830" s="133" t="s">
        <v>8004</v>
      </c>
      <c r="D830" s="133" t="s">
        <v>7537</v>
      </c>
      <c r="E830" s="134"/>
      <c r="F830" s="134">
        <v>0.28999999999999998</v>
      </c>
      <c r="G830" s="135">
        <v>0.23</v>
      </c>
      <c r="H830" s="133">
        <v>2020</v>
      </c>
      <c r="I830" s="152" t="s">
        <v>5657</v>
      </c>
    </row>
    <row r="831" spans="1:9" ht="18.75" thickBot="1" x14ac:dyDescent="0.3">
      <c r="A831" s="133" t="str">
        <f t="shared" si="12"/>
        <v>014003P</v>
      </c>
      <c r="B831" s="133" t="s">
        <v>6798</v>
      </c>
      <c r="C831" s="133" t="s">
        <v>6799</v>
      </c>
      <c r="D831" s="133" t="s">
        <v>5504</v>
      </c>
      <c r="E831" s="134"/>
      <c r="F831" s="134">
        <v>2.62</v>
      </c>
      <c r="G831" s="135">
        <v>2.1</v>
      </c>
      <c r="H831" s="133">
        <v>2016</v>
      </c>
      <c r="I831" s="152" t="s">
        <v>5639</v>
      </c>
    </row>
    <row r="832" spans="1:9" ht="18.75" thickBot="1" x14ac:dyDescent="0.3">
      <c r="A832" s="133" t="str">
        <f t="shared" si="12"/>
        <v>014010W</v>
      </c>
      <c r="B832" s="133" t="s">
        <v>7400</v>
      </c>
      <c r="C832" s="133" t="s">
        <v>7401</v>
      </c>
      <c r="D832" s="133" t="s">
        <v>7537</v>
      </c>
      <c r="E832" s="134"/>
      <c r="F832" s="134">
        <v>0.85</v>
      </c>
      <c r="G832" s="135">
        <v>0.68</v>
      </c>
      <c r="H832" s="133">
        <v>2018</v>
      </c>
      <c r="I832" s="152" t="s">
        <v>5630</v>
      </c>
    </row>
    <row r="833" spans="1:9" ht="18.75" thickBot="1" x14ac:dyDescent="0.3">
      <c r="A833" s="133" t="str">
        <f t="shared" si="12"/>
        <v>014011X</v>
      </c>
      <c r="B833" s="133" t="s">
        <v>6800</v>
      </c>
      <c r="C833" s="133" t="s">
        <v>6801</v>
      </c>
      <c r="D833" s="133" t="s">
        <v>5505</v>
      </c>
      <c r="E833" s="134"/>
      <c r="F833" s="134">
        <v>1.72</v>
      </c>
      <c r="G833" s="135">
        <v>1.37</v>
      </c>
      <c r="H833" s="133">
        <v>2022</v>
      </c>
      <c r="I833" s="152" t="s">
        <v>5630</v>
      </c>
    </row>
    <row r="834" spans="1:9" ht="18.75" thickBot="1" x14ac:dyDescent="0.3">
      <c r="A834" s="133" t="str">
        <f t="shared" ref="A834:A897" si="13">SUBSTITUTE(B834,CHAR(32),"")</f>
        <v>164700X</v>
      </c>
      <c r="B834" s="133" t="s">
        <v>8005</v>
      </c>
      <c r="C834" s="133" t="s">
        <v>8006</v>
      </c>
      <c r="D834" s="133" t="s">
        <v>7560</v>
      </c>
      <c r="E834" s="134"/>
      <c r="F834" s="134">
        <v>1.01</v>
      </c>
      <c r="G834" s="135">
        <v>0.81</v>
      </c>
      <c r="H834" s="133">
        <v>2024</v>
      </c>
      <c r="I834" s="152" t="s">
        <v>5639</v>
      </c>
    </row>
    <row r="835" spans="1:9" ht="18.75" thickBot="1" x14ac:dyDescent="0.3">
      <c r="A835" s="133" t="str">
        <f t="shared" si="13"/>
        <v>152596Q</v>
      </c>
      <c r="B835" s="133" t="s">
        <v>8007</v>
      </c>
      <c r="C835" s="133" t="s">
        <v>8008</v>
      </c>
      <c r="D835" s="133" t="s">
        <v>7537</v>
      </c>
      <c r="E835" s="134"/>
      <c r="F835" s="134">
        <v>0.61</v>
      </c>
      <c r="G835" s="135">
        <v>0.49</v>
      </c>
      <c r="H835" s="133">
        <v>2015</v>
      </c>
      <c r="I835" s="152" t="s">
        <v>5601</v>
      </c>
    </row>
    <row r="836" spans="1:9" ht="18.75" thickBot="1" x14ac:dyDescent="0.3">
      <c r="A836" s="133" t="str">
        <f t="shared" si="13"/>
        <v>147173W</v>
      </c>
      <c r="B836" s="133" t="s">
        <v>6804</v>
      </c>
      <c r="C836" s="133" t="s">
        <v>6805</v>
      </c>
      <c r="D836" s="133" t="s">
        <v>5504</v>
      </c>
      <c r="E836" s="134"/>
      <c r="F836" s="134">
        <v>3.36</v>
      </c>
      <c r="G836" s="135">
        <v>2.68</v>
      </c>
      <c r="H836" s="133">
        <v>2024</v>
      </c>
      <c r="I836" s="152" t="s">
        <v>5563</v>
      </c>
    </row>
    <row r="837" spans="1:9" ht="18.75" thickBot="1" x14ac:dyDescent="0.3">
      <c r="A837" s="133" t="str">
        <f t="shared" si="13"/>
        <v>178620C</v>
      </c>
      <c r="B837" s="133" t="s">
        <v>6806</v>
      </c>
      <c r="C837" s="133" t="s">
        <v>6807</v>
      </c>
      <c r="D837" s="133" t="s">
        <v>7537</v>
      </c>
      <c r="E837" s="134"/>
      <c r="F837" s="134">
        <v>1.1599999999999999</v>
      </c>
      <c r="G837" s="135">
        <v>0.92</v>
      </c>
      <c r="H837" s="133">
        <v>2024</v>
      </c>
      <c r="I837" s="152" t="s">
        <v>5726</v>
      </c>
    </row>
    <row r="838" spans="1:9" ht="18.75" thickBot="1" x14ac:dyDescent="0.3">
      <c r="A838" s="133" t="str">
        <f t="shared" si="13"/>
        <v>170229G</v>
      </c>
      <c r="B838" s="133" t="s">
        <v>8009</v>
      </c>
      <c r="C838" s="133" t="s">
        <v>8010</v>
      </c>
      <c r="D838" s="133" t="s">
        <v>7543</v>
      </c>
      <c r="E838" s="134"/>
      <c r="F838" s="134">
        <v>1.1499999999999999</v>
      </c>
      <c r="G838" s="135">
        <v>0.92</v>
      </c>
      <c r="H838" s="133">
        <v>2024</v>
      </c>
      <c r="I838" s="152" t="s">
        <v>5587</v>
      </c>
    </row>
    <row r="839" spans="1:9" ht="18.75" thickBot="1" x14ac:dyDescent="0.3">
      <c r="A839" s="133" t="str">
        <f t="shared" si="13"/>
        <v>014021H</v>
      </c>
      <c r="B839" s="133" t="s">
        <v>7402</v>
      </c>
      <c r="C839" s="133" t="s">
        <v>7403</v>
      </c>
      <c r="D839" s="133" t="s">
        <v>24</v>
      </c>
      <c r="E839" s="134"/>
      <c r="F839" s="134" t="s">
        <v>5552</v>
      </c>
      <c r="G839" s="135">
        <v>5.68</v>
      </c>
      <c r="H839" s="133">
        <v>2022</v>
      </c>
      <c r="I839" s="152" t="s">
        <v>5625</v>
      </c>
    </row>
    <row r="840" spans="1:9" ht="18.75" thickBot="1" x14ac:dyDescent="0.3">
      <c r="A840" s="133" t="str">
        <f t="shared" si="13"/>
        <v>109291N</v>
      </c>
      <c r="B840" s="133" t="s">
        <v>7527</v>
      </c>
      <c r="C840" s="133" t="s">
        <v>7528</v>
      </c>
      <c r="D840" s="133" t="s">
        <v>5503</v>
      </c>
      <c r="E840" s="134"/>
      <c r="F840" s="134">
        <v>5.74</v>
      </c>
      <c r="G840" s="135">
        <v>4.59</v>
      </c>
      <c r="H840" s="133">
        <v>2024</v>
      </c>
      <c r="I840" s="152" t="s">
        <v>5678</v>
      </c>
    </row>
    <row r="841" spans="1:9" ht="18.75" thickBot="1" x14ac:dyDescent="0.3">
      <c r="A841" s="133" t="str">
        <f t="shared" si="13"/>
        <v>014027N</v>
      </c>
      <c r="B841" s="133" t="s">
        <v>6812</v>
      </c>
      <c r="C841" s="133" t="s">
        <v>6813</v>
      </c>
      <c r="D841" s="133" t="s">
        <v>5505</v>
      </c>
      <c r="E841" s="134"/>
      <c r="F841" s="134">
        <v>1.89</v>
      </c>
      <c r="G841" s="135">
        <v>1.51</v>
      </c>
      <c r="H841" s="133">
        <v>2010</v>
      </c>
      <c r="I841" s="152" t="s">
        <v>6229</v>
      </c>
    </row>
    <row r="842" spans="1:9" ht="18.75" thickBot="1" x14ac:dyDescent="0.3">
      <c r="A842" s="133" t="str">
        <f t="shared" si="13"/>
        <v>180098J</v>
      </c>
      <c r="B842" s="133" t="s">
        <v>6814</v>
      </c>
      <c r="C842" s="133" t="s">
        <v>6815</v>
      </c>
      <c r="D842" s="133" t="s">
        <v>5704</v>
      </c>
      <c r="E842" s="134"/>
      <c r="F842" s="134">
        <v>2.4700000000000002</v>
      </c>
      <c r="G842" s="135">
        <v>1.98</v>
      </c>
      <c r="H842" s="133">
        <v>2024</v>
      </c>
      <c r="I842" s="152" t="s">
        <v>5615</v>
      </c>
    </row>
    <row r="843" spans="1:9" ht="18.75" thickBot="1" x14ac:dyDescent="0.3">
      <c r="A843" s="133" t="str">
        <f t="shared" si="13"/>
        <v>140322A</v>
      </c>
      <c r="B843" s="133" t="s">
        <v>7404</v>
      </c>
      <c r="C843" s="133" t="s">
        <v>7405</v>
      </c>
      <c r="D843" s="133" t="s">
        <v>7537</v>
      </c>
      <c r="E843" s="134"/>
      <c r="F843" s="134">
        <v>0.98</v>
      </c>
      <c r="G843" s="135">
        <v>0.79</v>
      </c>
      <c r="H843" s="133">
        <v>2014</v>
      </c>
      <c r="I843" s="152" t="s">
        <v>5678</v>
      </c>
    </row>
    <row r="844" spans="1:9" ht="18.75" thickBot="1" x14ac:dyDescent="0.3">
      <c r="A844" s="133" t="str">
        <f t="shared" si="13"/>
        <v>103039B</v>
      </c>
      <c r="B844" s="133" t="s">
        <v>6816</v>
      </c>
      <c r="C844" s="133" t="s">
        <v>6817</v>
      </c>
      <c r="D844" s="133" t="s">
        <v>5504</v>
      </c>
      <c r="E844" s="134"/>
      <c r="F844" s="134">
        <v>2.69</v>
      </c>
      <c r="G844" s="135">
        <v>2.15</v>
      </c>
      <c r="H844" s="133">
        <v>2012</v>
      </c>
      <c r="I844" s="152" t="s">
        <v>5678</v>
      </c>
    </row>
    <row r="845" spans="1:9" ht="18.75" thickBot="1" x14ac:dyDescent="0.3">
      <c r="A845" s="133" t="str">
        <f t="shared" si="13"/>
        <v>014031R</v>
      </c>
      <c r="B845" s="133" t="s">
        <v>6820</v>
      </c>
      <c r="C845" s="133" t="s">
        <v>6821</v>
      </c>
      <c r="D845" s="133" t="s">
        <v>5503</v>
      </c>
      <c r="E845" s="134"/>
      <c r="F845" s="134">
        <v>4.1900000000000004</v>
      </c>
      <c r="G845" s="135">
        <v>3.35</v>
      </c>
      <c r="H845" s="133">
        <v>2024</v>
      </c>
      <c r="I845" s="152" t="s">
        <v>5566</v>
      </c>
    </row>
    <row r="846" spans="1:9" ht="18.75" thickBot="1" x14ac:dyDescent="0.3">
      <c r="A846" s="133" t="str">
        <f t="shared" si="13"/>
        <v>014035V</v>
      </c>
      <c r="B846" s="133" t="s">
        <v>7406</v>
      </c>
      <c r="C846" s="133" t="s">
        <v>7407</v>
      </c>
      <c r="D846" s="133" t="s">
        <v>7537</v>
      </c>
      <c r="E846" s="134"/>
      <c r="F846" s="134">
        <v>1.06</v>
      </c>
      <c r="G846" s="135">
        <v>0.85</v>
      </c>
      <c r="H846" s="133">
        <v>2019</v>
      </c>
      <c r="I846" s="152" t="s">
        <v>5582</v>
      </c>
    </row>
    <row r="847" spans="1:9" ht="18.75" thickBot="1" x14ac:dyDescent="0.3">
      <c r="A847" s="133" t="str">
        <f t="shared" si="13"/>
        <v>124449N</v>
      </c>
      <c r="B847" s="133" t="s">
        <v>6822</v>
      </c>
      <c r="C847" s="133" t="s">
        <v>6823</v>
      </c>
      <c r="D847" s="133" t="s">
        <v>26</v>
      </c>
      <c r="E847" s="134"/>
      <c r="F847" s="134">
        <v>6.58</v>
      </c>
      <c r="G847" s="135">
        <v>5.26</v>
      </c>
      <c r="H847" s="133">
        <v>2015</v>
      </c>
      <c r="I847" s="152" t="s">
        <v>5635</v>
      </c>
    </row>
    <row r="848" spans="1:9" ht="18.75" thickBot="1" x14ac:dyDescent="0.3">
      <c r="A848" s="133" t="str">
        <f t="shared" si="13"/>
        <v>141483R</v>
      </c>
      <c r="B848" s="133" t="s">
        <v>8011</v>
      </c>
      <c r="C848" s="133" t="s">
        <v>8012</v>
      </c>
      <c r="D848" s="133" t="s">
        <v>7537</v>
      </c>
      <c r="E848" s="134"/>
      <c r="F848" s="134">
        <v>0.78</v>
      </c>
      <c r="G848" s="135">
        <v>0.63</v>
      </c>
      <c r="H848" s="133">
        <v>2014</v>
      </c>
      <c r="I848" s="152" t="s">
        <v>5608</v>
      </c>
    </row>
    <row r="849" spans="1:9" ht="18.75" thickBot="1" x14ac:dyDescent="0.3">
      <c r="A849" s="133" t="str">
        <f t="shared" si="13"/>
        <v>124373P</v>
      </c>
      <c r="B849" s="133" t="s">
        <v>8013</v>
      </c>
      <c r="C849" s="133" t="s">
        <v>8014</v>
      </c>
      <c r="D849" s="133" t="s">
        <v>7537</v>
      </c>
      <c r="E849" s="134"/>
      <c r="F849" s="134">
        <v>0.21</v>
      </c>
      <c r="G849" s="135">
        <v>0.17</v>
      </c>
      <c r="H849" s="133">
        <v>2019</v>
      </c>
      <c r="I849" s="152" t="s">
        <v>5566</v>
      </c>
    </row>
    <row r="850" spans="1:9" ht="18.75" thickBot="1" x14ac:dyDescent="0.3">
      <c r="A850" s="133" t="str">
        <f t="shared" si="13"/>
        <v>113978U</v>
      </c>
      <c r="B850" s="133" t="s">
        <v>6824</v>
      </c>
      <c r="C850" s="133" t="s">
        <v>6825</v>
      </c>
      <c r="D850" s="133" t="s">
        <v>5704</v>
      </c>
      <c r="E850" s="134"/>
      <c r="F850" s="134">
        <v>2.42</v>
      </c>
      <c r="G850" s="135">
        <v>1.94</v>
      </c>
      <c r="H850" s="133">
        <v>2024</v>
      </c>
      <c r="I850" s="152" t="s">
        <v>5566</v>
      </c>
    </row>
    <row r="851" spans="1:9" ht="18.75" thickBot="1" x14ac:dyDescent="0.3">
      <c r="A851" s="133" t="str">
        <f t="shared" si="13"/>
        <v>126078E</v>
      </c>
      <c r="B851" s="133" t="s">
        <v>7408</v>
      </c>
      <c r="C851" s="133" t="s">
        <v>7409</v>
      </c>
      <c r="D851" s="133" t="s">
        <v>26</v>
      </c>
      <c r="E851" s="134"/>
      <c r="F851" s="134">
        <v>11.97</v>
      </c>
      <c r="G851" s="135">
        <v>9.57</v>
      </c>
      <c r="H851" s="133">
        <v>2010</v>
      </c>
      <c r="I851" s="152" t="s">
        <v>5735</v>
      </c>
    </row>
    <row r="852" spans="1:9" ht="18.75" thickBot="1" x14ac:dyDescent="0.3">
      <c r="A852" s="133" t="str">
        <f t="shared" si="13"/>
        <v>153875F</v>
      </c>
      <c r="B852" s="133" t="s">
        <v>8015</v>
      </c>
      <c r="C852" s="133" t="s">
        <v>8016</v>
      </c>
      <c r="D852" s="133" t="s">
        <v>7537</v>
      </c>
      <c r="E852" s="134"/>
      <c r="F852" s="134">
        <v>0.57999999999999996</v>
      </c>
      <c r="G852" s="135">
        <v>0.47</v>
      </c>
      <c r="H852" s="133">
        <v>2016</v>
      </c>
      <c r="I852" s="152" t="s">
        <v>5573</v>
      </c>
    </row>
    <row r="853" spans="1:9" ht="18.75" thickBot="1" x14ac:dyDescent="0.3">
      <c r="A853" s="133" t="str">
        <f t="shared" si="13"/>
        <v>014043D</v>
      </c>
      <c r="B853" s="133" t="s">
        <v>7505</v>
      </c>
      <c r="C853" s="133" t="s">
        <v>7506</v>
      </c>
      <c r="D853" s="133" t="s">
        <v>5503</v>
      </c>
      <c r="E853" s="134"/>
      <c r="F853" s="134">
        <v>4.93</v>
      </c>
      <c r="G853" s="135">
        <v>3.94</v>
      </c>
      <c r="H853" s="133">
        <v>2008</v>
      </c>
      <c r="I853" s="152" t="s">
        <v>5608</v>
      </c>
    </row>
    <row r="854" spans="1:9" ht="18.75" thickBot="1" x14ac:dyDescent="0.3">
      <c r="A854" s="133" t="str">
        <f t="shared" si="13"/>
        <v>142364O</v>
      </c>
      <c r="B854" s="133" t="s">
        <v>8017</v>
      </c>
      <c r="C854" s="133" t="s">
        <v>8018</v>
      </c>
      <c r="D854" s="133" t="s">
        <v>7537</v>
      </c>
      <c r="E854" s="134"/>
      <c r="F854" s="134">
        <v>0.9</v>
      </c>
      <c r="G854" s="135">
        <v>0.72</v>
      </c>
      <c r="H854" s="133">
        <v>2011</v>
      </c>
      <c r="I854" s="152" t="s">
        <v>5801</v>
      </c>
    </row>
    <row r="855" spans="1:9" ht="18.75" thickBot="1" x14ac:dyDescent="0.3">
      <c r="A855" s="133" t="str">
        <f t="shared" si="13"/>
        <v>014049J</v>
      </c>
      <c r="B855" s="133" t="s">
        <v>7410</v>
      </c>
      <c r="C855" s="133" t="s">
        <v>7411</v>
      </c>
      <c r="D855" s="133" t="s">
        <v>5562</v>
      </c>
      <c r="E855" s="134"/>
      <c r="F855" s="134">
        <v>5.55</v>
      </c>
      <c r="G855" s="135">
        <v>4.4400000000000004</v>
      </c>
      <c r="H855" s="133">
        <v>2024</v>
      </c>
      <c r="I855" s="152" t="s">
        <v>5598</v>
      </c>
    </row>
    <row r="856" spans="1:9" ht="18.75" thickBot="1" x14ac:dyDescent="0.3">
      <c r="A856" s="133" t="str">
        <f t="shared" si="13"/>
        <v>014050K</v>
      </c>
      <c r="B856" s="133" t="s">
        <v>6830</v>
      </c>
      <c r="C856" s="133" t="s">
        <v>6831</v>
      </c>
      <c r="D856" s="133" t="s">
        <v>24</v>
      </c>
      <c r="E856" s="134"/>
      <c r="F856" s="134" t="s">
        <v>5552</v>
      </c>
      <c r="G856" s="135">
        <v>10.48</v>
      </c>
      <c r="H856" s="133">
        <v>2024</v>
      </c>
      <c r="I856" s="152" t="s">
        <v>5678</v>
      </c>
    </row>
    <row r="857" spans="1:9" ht="18.75" thickBot="1" x14ac:dyDescent="0.3">
      <c r="A857" s="133" t="str">
        <f t="shared" si="13"/>
        <v>111050E</v>
      </c>
      <c r="B857" s="133" t="s">
        <v>6832</v>
      </c>
      <c r="C857" s="133" t="s">
        <v>6833</v>
      </c>
      <c r="D857" s="133" t="s">
        <v>7537</v>
      </c>
      <c r="E857" s="134"/>
      <c r="F857" s="134">
        <v>0.99</v>
      </c>
      <c r="G857" s="135">
        <v>0.79</v>
      </c>
      <c r="H857" s="133">
        <v>2024</v>
      </c>
      <c r="I857" s="152" t="s">
        <v>5710</v>
      </c>
    </row>
    <row r="858" spans="1:9" ht="18.75" thickBot="1" x14ac:dyDescent="0.3">
      <c r="A858" s="133" t="str">
        <f t="shared" si="13"/>
        <v>166476C</v>
      </c>
      <c r="B858" s="133" t="s">
        <v>6834</v>
      </c>
      <c r="C858" s="133" t="s">
        <v>6835</v>
      </c>
      <c r="D858" s="133" t="s">
        <v>7537</v>
      </c>
      <c r="E858" s="134"/>
      <c r="F858" s="134">
        <v>1</v>
      </c>
      <c r="G858" s="135">
        <v>0.8</v>
      </c>
      <c r="H858" s="133">
        <v>2023</v>
      </c>
      <c r="I858" s="152" t="s">
        <v>5726</v>
      </c>
    </row>
    <row r="859" spans="1:9" ht="18.75" thickBot="1" x14ac:dyDescent="0.3">
      <c r="A859" s="133" t="str">
        <f t="shared" si="13"/>
        <v>010178M</v>
      </c>
      <c r="B859" s="133" t="s">
        <v>6838</v>
      </c>
      <c r="C859" s="133" t="s">
        <v>6839</v>
      </c>
      <c r="D859" s="133" t="s">
        <v>5503</v>
      </c>
      <c r="E859" s="134"/>
      <c r="F859" s="134">
        <v>5.29</v>
      </c>
      <c r="G859" s="135">
        <v>4.2300000000000004</v>
      </c>
      <c r="H859" s="133">
        <v>2024</v>
      </c>
      <c r="I859" s="152" t="s">
        <v>5678</v>
      </c>
    </row>
    <row r="860" spans="1:9" ht="18.75" thickBot="1" x14ac:dyDescent="0.3">
      <c r="A860" s="133" t="str">
        <f t="shared" si="13"/>
        <v>014058S</v>
      </c>
      <c r="B860" s="133" t="s">
        <v>7412</v>
      </c>
      <c r="C860" s="133" t="s">
        <v>7413</v>
      </c>
      <c r="D860" s="133" t="s">
        <v>5503</v>
      </c>
      <c r="E860" s="134"/>
      <c r="F860" s="134">
        <v>3.82</v>
      </c>
      <c r="G860" s="135">
        <v>3.05</v>
      </c>
      <c r="H860" s="133">
        <v>2011</v>
      </c>
      <c r="I860" s="152" t="s">
        <v>5895</v>
      </c>
    </row>
    <row r="861" spans="1:9" ht="18.75" thickBot="1" x14ac:dyDescent="0.3">
      <c r="A861" s="133" t="str">
        <f t="shared" si="13"/>
        <v>014059T</v>
      </c>
      <c r="B861" s="133" t="s">
        <v>6842</v>
      </c>
      <c r="C861" s="133" t="s">
        <v>6843</v>
      </c>
      <c r="D861" s="133" t="s">
        <v>5504</v>
      </c>
      <c r="E861" s="134"/>
      <c r="F861" s="134">
        <v>3.41</v>
      </c>
      <c r="G861" s="135">
        <v>2.73</v>
      </c>
      <c r="H861" s="133">
        <v>2011</v>
      </c>
      <c r="I861" s="152" t="s">
        <v>5895</v>
      </c>
    </row>
    <row r="862" spans="1:9" ht="18.75" thickBot="1" x14ac:dyDescent="0.3">
      <c r="A862" s="133" t="str">
        <f t="shared" si="13"/>
        <v>126911F</v>
      </c>
      <c r="B862" s="133" t="s">
        <v>6844</v>
      </c>
      <c r="C862" s="133" t="s">
        <v>6845</v>
      </c>
      <c r="D862" s="133" t="s">
        <v>5505</v>
      </c>
      <c r="E862" s="134"/>
      <c r="F862" s="134">
        <v>1.73</v>
      </c>
      <c r="G862" s="135">
        <v>1.38</v>
      </c>
      <c r="H862" s="133">
        <v>2024</v>
      </c>
      <c r="I862" s="152" t="s">
        <v>5573</v>
      </c>
    </row>
    <row r="863" spans="1:9" ht="18.75" thickBot="1" x14ac:dyDescent="0.3">
      <c r="A863" s="133" t="str">
        <f t="shared" si="13"/>
        <v>014061V</v>
      </c>
      <c r="B863" s="133" t="s">
        <v>8019</v>
      </c>
      <c r="C863" s="133" t="s">
        <v>8020</v>
      </c>
      <c r="D863" s="133" t="s">
        <v>5503</v>
      </c>
      <c r="E863" s="134"/>
      <c r="F863" s="134">
        <v>4.41</v>
      </c>
      <c r="G863" s="135">
        <v>3.53</v>
      </c>
      <c r="H863" s="133">
        <v>2017</v>
      </c>
      <c r="I863" s="152" t="s">
        <v>5608</v>
      </c>
    </row>
    <row r="864" spans="1:9" ht="18.75" thickBot="1" x14ac:dyDescent="0.3">
      <c r="A864" s="133" t="str">
        <f t="shared" si="13"/>
        <v>150932G</v>
      </c>
      <c r="B864" s="133" t="s">
        <v>8021</v>
      </c>
      <c r="C864" s="133" t="s">
        <v>8022</v>
      </c>
      <c r="D864" s="133" t="s">
        <v>7537</v>
      </c>
      <c r="E864" s="134"/>
      <c r="F864" s="134">
        <v>0.35</v>
      </c>
      <c r="G864" s="135">
        <v>0.28000000000000003</v>
      </c>
      <c r="H864" s="133">
        <v>2015</v>
      </c>
      <c r="I864" s="152" t="s">
        <v>5895</v>
      </c>
    </row>
    <row r="865" spans="1:9" ht="18.75" thickBot="1" x14ac:dyDescent="0.3">
      <c r="A865" s="133" t="str">
        <f t="shared" si="13"/>
        <v>116960M</v>
      </c>
      <c r="B865" s="133" t="s">
        <v>6850</v>
      </c>
      <c r="C865" s="133" t="s">
        <v>6851</v>
      </c>
      <c r="D865" s="133" t="s">
        <v>24</v>
      </c>
      <c r="E865" s="134"/>
      <c r="F865" s="134" t="s">
        <v>5552</v>
      </c>
      <c r="G865" s="135">
        <v>10.8</v>
      </c>
      <c r="H865" s="133">
        <v>2009</v>
      </c>
      <c r="I865" s="152" t="s">
        <v>5678</v>
      </c>
    </row>
    <row r="866" spans="1:9" ht="18.75" thickBot="1" x14ac:dyDescent="0.3">
      <c r="A866" s="133" t="str">
        <f t="shared" si="13"/>
        <v>122092W</v>
      </c>
      <c r="B866" s="133" t="s">
        <v>6852</v>
      </c>
      <c r="C866" s="133" t="s">
        <v>6853</v>
      </c>
      <c r="D866" s="133" t="s">
        <v>5504</v>
      </c>
      <c r="E866" s="134"/>
      <c r="F866" s="134">
        <v>2.57</v>
      </c>
      <c r="G866" s="135">
        <v>2.0499999999999998</v>
      </c>
      <c r="H866" s="133">
        <v>2024</v>
      </c>
      <c r="I866" s="152" t="s">
        <v>5625</v>
      </c>
    </row>
    <row r="867" spans="1:9" ht="18.75" thickBot="1" x14ac:dyDescent="0.3">
      <c r="A867" s="133" t="str">
        <f t="shared" si="13"/>
        <v>014081P</v>
      </c>
      <c r="B867" s="133" t="s">
        <v>6856</v>
      </c>
      <c r="C867" s="133" t="s">
        <v>6857</v>
      </c>
      <c r="D867" s="133" t="s">
        <v>5504</v>
      </c>
      <c r="E867" s="134"/>
      <c r="F867" s="134">
        <v>3.35</v>
      </c>
      <c r="G867" s="135">
        <v>2.68</v>
      </c>
      <c r="H867" s="133">
        <v>2012</v>
      </c>
      <c r="I867" s="152" t="s">
        <v>5559</v>
      </c>
    </row>
    <row r="868" spans="1:9" ht="18.75" thickBot="1" x14ac:dyDescent="0.3">
      <c r="A868" s="133" t="str">
        <f t="shared" si="13"/>
        <v>144752K</v>
      </c>
      <c r="B868" s="133" t="s">
        <v>8023</v>
      </c>
      <c r="C868" s="133" t="s">
        <v>8024</v>
      </c>
      <c r="D868" s="133" t="s">
        <v>7537</v>
      </c>
      <c r="E868" s="134"/>
      <c r="F868" s="134">
        <v>0.53</v>
      </c>
      <c r="G868" s="135">
        <v>0.42</v>
      </c>
      <c r="H868" s="133">
        <v>2013</v>
      </c>
      <c r="I868" s="152" t="s">
        <v>5657</v>
      </c>
    </row>
    <row r="869" spans="1:9" ht="18.75" thickBot="1" x14ac:dyDescent="0.3">
      <c r="A869" s="133" t="str">
        <f t="shared" si="13"/>
        <v>157508E</v>
      </c>
      <c r="B869" s="133" t="s">
        <v>7414</v>
      </c>
      <c r="C869" s="133" t="s">
        <v>7415</v>
      </c>
      <c r="D869" s="133" t="s">
        <v>5504</v>
      </c>
      <c r="E869" s="134"/>
      <c r="F869" s="134">
        <v>2.76</v>
      </c>
      <c r="G869" s="135">
        <v>2.21</v>
      </c>
      <c r="H869" s="133">
        <v>2024</v>
      </c>
      <c r="I869" s="152" t="s">
        <v>5657</v>
      </c>
    </row>
    <row r="870" spans="1:9" ht="18.75" thickBot="1" x14ac:dyDescent="0.3">
      <c r="A870" s="133" t="str">
        <f t="shared" si="13"/>
        <v>133377X</v>
      </c>
      <c r="B870" s="133" t="s">
        <v>8025</v>
      </c>
      <c r="C870" s="133" t="s">
        <v>8026</v>
      </c>
      <c r="D870" s="133" t="s">
        <v>7537</v>
      </c>
      <c r="E870" s="134"/>
      <c r="F870" s="134">
        <v>1.02</v>
      </c>
      <c r="G870" s="135">
        <v>0.81</v>
      </c>
      <c r="H870" s="133">
        <v>2009</v>
      </c>
      <c r="I870" s="152" t="s">
        <v>5582</v>
      </c>
    </row>
    <row r="871" spans="1:9" ht="18.75" thickBot="1" x14ac:dyDescent="0.3">
      <c r="A871" s="133" t="str">
        <f t="shared" si="13"/>
        <v>152588G</v>
      </c>
      <c r="B871" s="133" t="s">
        <v>8027</v>
      </c>
      <c r="C871" s="133" t="s">
        <v>8028</v>
      </c>
      <c r="D871" s="133" t="s">
        <v>7537</v>
      </c>
      <c r="E871" s="134"/>
      <c r="F871" s="134">
        <v>0.54</v>
      </c>
      <c r="G871" s="135">
        <v>0.43</v>
      </c>
      <c r="H871" s="133">
        <v>2015</v>
      </c>
      <c r="I871" s="152" t="s">
        <v>5657</v>
      </c>
    </row>
    <row r="872" spans="1:9" ht="18.75" thickBot="1" x14ac:dyDescent="0.3">
      <c r="A872" s="133" t="str">
        <f t="shared" si="13"/>
        <v>152589H</v>
      </c>
      <c r="B872" s="133" t="s">
        <v>6858</v>
      </c>
      <c r="C872" s="133" t="s">
        <v>6859</v>
      </c>
      <c r="D872" s="133" t="s">
        <v>5505</v>
      </c>
      <c r="E872" s="134"/>
      <c r="F872" s="134">
        <v>1.29</v>
      </c>
      <c r="G872" s="135">
        <v>1.03</v>
      </c>
      <c r="H872" s="133">
        <v>2018</v>
      </c>
      <c r="I872" s="152" t="s">
        <v>5657</v>
      </c>
    </row>
    <row r="873" spans="1:9" ht="18.75" thickBot="1" x14ac:dyDescent="0.3">
      <c r="A873" s="133" t="str">
        <f t="shared" si="13"/>
        <v>134376I</v>
      </c>
      <c r="B873" s="133" t="s">
        <v>6860</v>
      </c>
      <c r="C873" s="133" t="s">
        <v>6861</v>
      </c>
      <c r="D873" s="133" t="s">
        <v>5505</v>
      </c>
      <c r="E873" s="134"/>
      <c r="F873" s="134">
        <v>1.95</v>
      </c>
      <c r="G873" s="135">
        <v>1.56</v>
      </c>
      <c r="H873" s="133">
        <v>2012</v>
      </c>
      <c r="I873" s="152" t="s">
        <v>5608</v>
      </c>
    </row>
    <row r="874" spans="1:9" ht="18.75" thickBot="1" x14ac:dyDescent="0.3">
      <c r="A874" s="133" t="str">
        <f t="shared" si="13"/>
        <v>144850E</v>
      </c>
      <c r="B874" s="133" t="s">
        <v>6862</v>
      </c>
      <c r="C874" s="133" t="s">
        <v>6863</v>
      </c>
      <c r="D874" s="133" t="s">
        <v>5505</v>
      </c>
      <c r="E874" s="134"/>
      <c r="F874" s="134">
        <v>1.2</v>
      </c>
      <c r="G874" s="135">
        <v>0.96</v>
      </c>
      <c r="H874" s="133">
        <v>2012</v>
      </c>
      <c r="I874" s="152" t="s">
        <v>5801</v>
      </c>
    </row>
    <row r="875" spans="1:9" ht="18.75" thickBot="1" x14ac:dyDescent="0.3">
      <c r="A875" s="133" t="str">
        <f t="shared" si="13"/>
        <v>126072Y</v>
      </c>
      <c r="B875" s="133" t="s">
        <v>6864</v>
      </c>
      <c r="C875" s="133" t="s">
        <v>6865</v>
      </c>
      <c r="D875" s="133" t="s">
        <v>7537</v>
      </c>
      <c r="E875" s="134"/>
      <c r="F875" s="134">
        <v>0.72</v>
      </c>
      <c r="G875" s="135">
        <v>0.57999999999999996</v>
      </c>
      <c r="H875" s="133">
        <v>2010</v>
      </c>
      <c r="I875" s="152" t="s">
        <v>5566</v>
      </c>
    </row>
    <row r="876" spans="1:9" ht="18.75" thickBot="1" x14ac:dyDescent="0.3">
      <c r="A876" s="133" t="str">
        <f t="shared" si="13"/>
        <v>160509R</v>
      </c>
      <c r="B876" s="133" t="s">
        <v>8580</v>
      </c>
      <c r="C876" s="133" t="s">
        <v>8581</v>
      </c>
      <c r="D876" s="133" t="s">
        <v>7560</v>
      </c>
      <c r="E876" s="134"/>
      <c r="F876" s="134">
        <v>1.07</v>
      </c>
      <c r="G876" s="135">
        <v>0.86</v>
      </c>
      <c r="H876" s="133">
        <v>2024</v>
      </c>
      <c r="I876" s="152" t="s">
        <v>5787</v>
      </c>
    </row>
    <row r="877" spans="1:9" ht="18.75" thickBot="1" x14ac:dyDescent="0.3">
      <c r="A877" s="133" t="str">
        <f t="shared" si="13"/>
        <v>014096E</v>
      </c>
      <c r="B877" s="133" t="s">
        <v>6866</v>
      </c>
      <c r="C877" s="133" t="s">
        <v>6867</v>
      </c>
      <c r="D877" s="133" t="s">
        <v>5503</v>
      </c>
      <c r="E877" s="134"/>
      <c r="F877" s="134">
        <v>5.5</v>
      </c>
      <c r="G877" s="135">
        <v>4.4000000000000004</v>
      </c>
      <c r="H877" s="133">
        <v>2015</v>
      </c>
      <c r="I877" s="152" t="s">
        <v>5635</v>
      </c>
    </row>
    <row r="878" spans="1:9" ht="18.75" thickBot="1" x14ac:dyDescent="0.3">
      <c r="A878" s="133" t="str">
        <f t="shared" si="13"/>
        <v>152162T</v>
      </c>
      <c r="B878" s="133" t="s">
        <v>6868</v>
      </c>
      <c r="C878" s="133" t="s">
        <v>6869</v>
      </c>
      <c r="D878" s="133" t="s">
        <v>5505</v>
      </c>
      <c r="E878" s="134"/>
      <c r="F878" s="134">
        <v>1.46</v>
      </c>
      <c r="G878" s="135">
        <v>1.1599999999999999</v>
      </c>
      <c r="H878" s="133">
        <v>2016</v>
      </c>
      <c r="I878" s="152" t="s">
        <v>5566</v>
      </c>
    </row>
    <row r="879" spans="1:9" ht="18.75" thickBot="1" x14ac:dyDescent="0.3">
      <c r="A879" s="133" t="str">
        <f t="shared" si="13"/>
        <v>136063F</v>
      </c>
      <c r="B879" s="133" t="s">
        <v>6870</v>
      </c>
      <c r="C879" s="133" t="s">
        <v>6871</v>
      </c>
      <c r="D879" s="133" t="s">
        <v>5505</v>
      </c>
      <c r="E879" s="134"/>
      <c r="F879" s="134">
        <v>1.23</v>
      </c>
      <c r="G879" s="135">
        <v>0.99</v>
      </c>
      <c r="H879" s="133">
        <v>2013</v>
      </c>
      <c r="I879" s="152" t="s">
        <v>5726</v>
      </c>
    </row>
    <row r="880" spans="1:9" ht="18.75" thickBot="1" x14ac:dyDescent="0.3">
      <c r="A880" s="133" t="str">
        <f t="shared" si="13"/>
        <v>138525X</v>
      </c>
      <c r="B880" s="133" t="s">
        <v>6872</v>
      </c>
      <c r="C880" s="133" t="s">
        <v>6873</v>
      </c>
      <c r="D880" s="133" t="s">
        <v>26</v>
      </c>
      <c r="E880" s="134"/>
      <c r="F880" s="134">
        <v>7.53</v>
      </c>
      <c r="G880" s="135">
        <v>6.03</v>
      </c>
      <c r="H880" s="133">
        <v>2017</v>
      </c>
      <c r="I880" s="152" t="s">
        <v>5744</v>
      </c>
    </row>
    <row r="881" spans="1:9" ht="18.75" thickBot="1" x14ac:dyDescent="0.3">
      <c r="A881" s="133" t="str">
        <f t="shared" si="13"/>
        <v>158718V</v>
      </c>
      <c r="B881" s="133" t="s">
        <v>6874</v>
      </c>
      <c r="C881" s="133" t="s">
        <v>6875</v>
      </c>
      <c r="D881" s="133" t="s">
        <v>7543</v>
      </c>
      <c r="E881" s="134"/>
      <c r="F881" s="134">
        <v>1.19</v>
      </c>
      <c r="G881" s="135">
        <v>0.95</v>
      </c>
      <c r="H881" s="133">
        <v>2024</v>
      </c>
      <c r="I881" s="152" t="s">
        <v>5573</v>
      </c>
    </row>
    <row r="882" spans="1:9" ht="18.75" thickBot="1" x14ac:dyDescent="0.3">
      <c r="A882" s="133" t="str">
        <f t="shared" si="13"/>
        <v>131232K</v>
      </c>
      <c r="B882" s="133" t="s">
        <v>8029</v>
      </c>
      <c r="C882" s="133" t="s">
        <v>8030</v>
      </c>
      <c r="D882" s="133" t="s">
        <v>7537</v>
      </c>
      <c r="E882" s="134"/>
      <c r="F882" s="134">
        <v>0.81</v>
      </c>
      <c r="G882" s="135">
        <v>0.65</v>
      </c>
      <c r="H882" s="133">
        <v>2014</v>
      </c>
      <c r="I882" s="152" t="s">
        <v>5657</v>
      </c>
    </row>
    <row r="883" spans="1:9" ht="18.75" thickBot="1" x14ac:dyDescent="0.3">
      <c r="A883" s="133" t="str">
        <f t="shared" si="13"/>
        <v>117485R</v>
      </c>
      <c r="B883" s="133" t="s">
        <v>6876</v>
      </c>
      <c r="C883" s="133" t="s">
        <v>6877</v>
      </c>
      <c r="D883" s="133" t="s">
        <v>5504</v>
      </c>
      <c r="E883" s="134"/>
      <c r="F883" s="134">
        <v>2.0699999999999998</v>
      </c>
      <c r="G883" s="135">
        <v>1.66</v>
      </c>
      <c r="H883" s="133">
        <v>2023</v>
      </c>
      <c r="I883" s="152" t="s">
        <v>5912</v>
      </c>
    </row>
    <row r="884" spans="1:9" ht="18.75" thickBot="1" x14ac:dyDescent="0.3">
      <c r="A884" s="133" t="str">
        <f t="shared" si="13"/>
        <v>162603S</v>
      </c>
      <c r="B884" s="133" t="s">
        <v>7416</v>
      </c>
      <c r="C884" s="133" t="s">
        <v>7417</v>
      </c>
      <c r="D884" s="133" t="s">
        <v>5505</v>
      </c>
      <c r="E884" s="134"/>
      <c r="F884" s="134">
        <v>1.82</v>
      </c>
      <c r="G884" s="135">
        <v>1.46</v>
      </c>
      <c r="H884" s="133">
        <v>2019</v>
      </c>
      <c r="I884" s="152" t="s">
        <v>5657</v>
      </c>
    </row>
    <row r="885" spans="1:9" ht="18.75" thickBot="1" x14ac:dyDescent="0.3">
      <c r="A885" s="133" t="str">
        <f t="shared" si="13"/>
        <v>017506I</v>
      </c>
      <c r="B885" s="133" t="s">
        <v>6878</v>
      </c>
      <c r="C885" s="133" t="s">
        <v>6879</v>
      </c>
      <c r="D885" s="133" t="s">
        <v>5504</v>
      </c>
      <c r="E885" s="134"/>
      <c r="F885" s="134">
        <v>2.92</v>
      </c>
      <c r="G885" s="135">
        <v>2.33</v>
      </c>
      <c r="H885" s="133">
        <v>2024</v>
      </c>
      <c r="I885" s="152" t="s">
        <v>5635</v>
      </c>
    </row>
    <row r="886" spans="1:9" ht="18.75" thickBot="1" x14ac:dyDescent="0.3">
      <c r="A886" s="133" t="str">
        <f t="shared" si="13"/>
        <v>122895T</v>
      </c>
      <c r="B886" s="133" t="s">
        <v>6880</v>
      </c>
      <c r="C886" s="133" t="s">
        <v>6881</v>
      </c>
      <c r="D886" s="133" t="s">
        <v>5504</v>
      </c>
      <c r="E886" s="134"/>
      <c r="F886" s="134">
        <v>2.1800000000000002</v>
      </c>
      <c r="G886" s="135">
        <v>1.74</v>
      </c>
      <c r="H886" s="133">
        <v>2012</v>
      </c>
      <c r="I886" s="152" t="s">
        <v>5744</v>
      </c>
    </row>
    <row r="887" spans="1:9" ht="18.75" thickBot="1" x14ac:dyDescent="0.3">
      <c r="A887" s="133" t="str">
        <f t="shared" si="13"/>
        <v>113438A</v>
      </c>
      <c r="B887" s="133" t="s">
        <v>6882</v>
      </c>
      <c r="C887" s="133" t="s">
        <v>6883</v>
      </c>
      <c r="D887" s="133" t="s">
        <v>5505</v>
      </c>
      <c r="E887" s="134"/>
      <c r="F887" s="134">
        <v>1.55</v>
      </c>
      <c r="G887" s="135">
        <v>1.24</v>
      </c>
      <c r="H887" s="133">
        <v>2008</v>
      </c>
      <c r="I887" s="152" t="s">
        <v>6229</v>
      </c>
    </row>
    <row r="888" spans="1:9" ht="18.75" thickBot="1" x14ac:dyDescent="0.3">
      <c r="A888" s="133" t="str">
        <f t="shared" si="13"/>
        <v>172477A</v>
      </c>
      <c r="B888" s="133" t="s">
        <v>8031</v>
      </c>
      <c r="C888" s="133" t="s">
        <v>8032</v>
      </c>
      <c r="D888" s="133" t="s">
        <v>7537</v>
      </c>
      <c r="E888" s="134"/>
      <c r="F888" s="134">
        <v>0.27</v>
      </c>
      <c r="G888" s="135">
        <v>0.21</v>
      </c>
      <c r="H888" s="133">
        <v>2023</v>
      </c>
      <c r="I888" s="152" t="s">
        <v>5566</v>
      </c>
    </row>
    <row r="889" spans="1:9" ht="18.75" thickBot="1" x14ac:dyDescent="0.3">
      <c r="A889" s="133" t="str">
        <f t="shared" si="13"/>
        <v>177198G</v>
      </c>
      <c r="B889" s="133" t="s">
        <v>8033</v>
      </c>
      <c r="C889" s="133" t="s">
        <v>8034</v>
      </c>
      <c r="D889" s="133" t="s">
        <v>7543</v>
      </c>
      <c r="E889" s="134"/>
      <c r="F889" s="134">
        <v>1.32</v>
      </c>
      <c r="G889" s="135">
        <v>1.06</v>
      </c>
      <c r="H889" s="133">
        <v>2024</v>
      </c>
      <c r="I889" s="152" t="s">
        <v>5573</v>
      </c>
    </row>
    <row r="890" spans="1:9" ht="18.75" thickBot="1" x14ac:dyDescent="0.3">
      <c r="A890" s="133" t="str">
        <f t="shared" si="13"/>
        <v>149333T</v>
      </c>
      <c r="B890" s="133" t="s">
        <v>8035</v>
      </c>
      <c r="C890" s="133" t="s">
        <v>8036</v>
      </c>
      <c r="D890" s="133" t="s">
        <v>7537</v>
      </c>
      <c r="E890" s="134"/>
      <c r="F890" s="134">
        <v>0.55000000000000004</v>
      </c>
      <c r="G890" s="135">
        <v>0.44</v>
      </c>
      <c r="H890" s="133">
        <v>2022</v>
      </c>
      <c r="I890" s="152" t="s">
        <v>5651</v>
      </c>
    </row>
    <row r="891" spans="1:9" ht="18.75" thickBot="1" x14ac:dyDescent="0.3">
      <c r="A891" s="133" t="str">
        <f t="shared" si="13"/>
        <v>014116Y</v>
      </c>
      <c r="B891" s="133" t="s">
        <v>7418</v>
      </c>
      <c r="C891" s="133" t="s">
        <v>7419</v>
      </c>
      <c r="D891" s="133" t="s">
        <v>5504</v>
      </c>
      <c r="E891" s="134"/>
      <c r="F891" s="134">
        <v>2.23</v>
      </c>
      <c r="G891" s="135">
        <v>1.78</v>
      </c>
      <c r="H891" s="133">
        <v>2015</v>
      </c>
      <c r="I891" s="152" t="s">
        <v>5678</v>
      </c>
    </row>
    <row r="892" spans="1:9" ht="18.75" thickBot="1" x14ac:dyDescent="0.3">
      <c r="A892" s="133" t="str">
        <f t="shared" si="13"/>
        <v>147038Z</v>
      </c>
      <c r="B892" s="133" t="s">
        <v>7420</v>
      </c>
      <c r="C892" s="133" t="s">
        <v>7421</v>
      </c>
      <c r="D892" s="133" t="s">
        <v>5504</v>
      </c>
      <c r="E892" s="134"/>
      <c r="F892" s="134">
        <v>1.81</v>
      </c>
      <c r="G892" s="135">
        <v>1.44</v>
      </c>
      <c r="H892" s="133">
        <v>2019</v>
      </c>
      <c r="I892" s="152" t="s">
        <v>5573</v>
      </c>
    </row>
    <row r="893" spans="1:9" ht="18.75" thickBot="1" x14ac:dyDescent="0.3">
      <c r="A893" s="133" t="str">
        <f t="shared" si="13"/>
        <v>159467J</v>
      </c>
      <c r="B893" s="133" t="s">
        <v>6884</v>
      </c>
      <c r="C893" s="133" t="s">
        <v>6885</v>
      </c>
      <c r="D893" s="133" t="s">
        <v>5504</v>
      </c>
      <c r="E893" s="134"/>
      <c r="F893" s="134">
        <v>2.37</v>
      </c>
      <c r="G893" s="135">
        <v>1.89</v>
      </c>
      <c r="H893" s="133">
        <v>2019</v>
      </c>
      <c r="I893" s="152" t="s">
        <v>5678</v>
      </c>
    </row>
    <row r="894" spans="1:9" ht="18.75" thickBot="1" x14ac:dyDescent="0.3">
      <c r="A894" s="133" t="str">
        <f t="shared" si="13"/>
        <v>111888K</v>
      </c>
      <c r="B894" s="133" t="s">
        <v>6888</v>
      </c>
      <c r="C894" s="133" t="s">
        <v>6889</v>
      </c>
      <c r="D894" s="133" t="s">
        <v>5504</v>
      </c>
      <c r="E894" s="134"/>
      <c r="F894" s="134">
        <v>2.17</v>
      </c>
      <c r="G894" s="135">
        <v>1.73</v>
      </c>
      <c r="H894" s="133">
        <v>2020</v>
      </c>
      <c r="I894" s="152" t="s">
        <v>5744</v>
      </c>
    </row>
    <row r="895" spans="1:9" ht="18.75" thickBot="1" x14ac:dyDescent="0.3">
      <c r="A895" s="133" t="str">
        <f t="shared" si="13"/>
        <v>014136S</v>
      </c>
      <c r="B895" s="133" t="s">
        <v>6890</v>
      </c>
      <c r="C895" s="133" t="s">
        <v>6891</v>
      </c>
      <c r="D895" s="133" t="s">
        <v>26</v>
      </c>
      <c r="E895" s="134"/>
      <c r="F895" s="134">
        <v>5.74</v>
      </c>
      <c r="G895" s="135">
        <v>4.59</v>
      </c>
      <c r="H895" s="133">
        <v>2018</v>
      </c>
      <c r="I895" s="152" t="s">
        <v>5573</v>
      </c>
    </row>
    <row r="896" spans="1:9" ht="18.75" thickBot="1" x14ac:dyDescent="0.3">
      <c r="A896" s="133" t="str">
        <f t="shared" si="13"/>
        <v>177173E</v>
      </c>
      <c r="B896" s="133" t="s">
        <v>8582</v>
      </c>
      <c r="C896" s="133" t="s">
        <v>8583</v>
      </c>
      <c r="D896" s="133" t="s">
        <v>7560</v>
      </c>
      <c r="E896" s="134"/>
      <c r="F896" s="134">
        <v>0.99</v>
      </c>
      <c r="G896" s="135">
        <v>0.79</v>
      </c>
      <c r="H896" s="133">
        <v>2024</v>
      </c>
      <c r="I896" s="152" t="s">
        <v>5787</v>
      </c>
    </row>
    <row r="897" spans="1:9" ht="18.75" thickBot="1" x14ac:dyDescent="0.3">
      <c r="A897" s="133" t="str">
        <f t="shared" si="13"/>
        <v>132283V</v>
      </c>
      <c r="B897" s="133" t="s">
        <v>8037</v>
      </c>
      <c r="C897" s="133" t="s">
        <v>8038</v>
      </c>
      <c r="D897" s="133" t="s">
        <v>7537</v>
      </c>
      <c r="E897" s="134"/>
      <c r="F897" s="134">
        <v>0.52</v>
      </c>
      <c r="G897" s="135">
        <v>0.42</v>
      </c>
      <c r="H897" s="133">
        <v>2010</v>
      </c>
      <c r="I897" s="152" t="s">
        <v>5654</v>
      </c>
    </row>
    <row r="898" spans="1:9" ht="18.75" thickBot="1" x14ac:dyDescent="0.3">
      <c r="A898" s="133" t="str">
        <f t="shared" ref="A898:A961" si="14">SUBSTITUTE(B898,CHAR(32),"")</f>
        <v>132284W</v>
      </c>
      <c r="B898" s="133" t="s">
        <v>8039</v>
      </c>
      <c r="C898" s="133" t="s">
        <v>8040</v>
      </c>
      <c r="D898" s="133" t="s">
        <v>7537</v>
      </c>
      <c r="E898" s="134"/>
      <c r="F898" s="134">
        <v>0.65</v>
      </c>
      <c r="G898" s="135">
        <v>0.52</v>
      </c>
      <c r="H898" s="133">
        <v>2009</v>
      </c>
      <c r="I898" s="152" t="s">
        <v>5654</v>
      </c>
    </row>
    <row r="899" spans="1:9" ht="18.75" thickBot="1" x14ac:dyDescent="0.3">
      <c r="A899" s="133" t="str">
        <f t="shared" si="14"/>
        <v>132285X</v>
      </c>
      <c r="B899" s="133" t="s">
        <v>8041</v>
      </c>
      <c r="C899" s="133" t="s">
        <v>8042</v>
      </c>
      <c r="D899" s="133" t="s">
        <v>7537</v>
      </c>
      <c r="E899" s="134"/>
      <c r="F899" s="134">
        <v>0.83</v>
      </c>
      <c r="G899" s="135">
        <v>0.66</v>
      </c>
      <c r="H899" s="133">
        <v>2010</v>
      </c>
      <c r="I899" s="152" t="s">
        <v>5654</v>
      </c>
    </row>
    <row r="900" spans="1:9" ht="18.75" thickBot="1" x14ac:dyDescent="0.3">
      <c r="A900" s="133" t="str">
        <f t="shared" si="14"/>
        <v>169455Q</v>
      </c>
      <c r="B900" s="133" t="s">
        <v>8584</v>
      </c>
      <c r="C900" s="133" t="s">
        <v>8585</v>
      </c>
      <c r="D900" s="133" t="s">
        <v>7560</v>
      </c>
      <c r="E900" s="134"/>
      <c r="F900" s="134">
        <v>1.02</v>
      </c>
      <c r="G900" s="135">
        <v>0.82</v>
      </c>
      <c r="H900" s="133">
        <v>2024</v>
      </c>
      <c r="I900" s="152" t="s">
        <v>5601</v>
      </c>
    </row>
    <row r="901" spans="1:9" ht="18.75" thickBot="1" x14ac:dyDescent="0.3">
      <c r="A901" s="133" t="str">
        <f t="shared" si="14"/>
        <v>134848M</v>
      </c>
      <c r="B901" s="133" t="s">
        <v>8043</v>
      </c>
      <c r="C901" s="133" t="s">
        <v>8044</v>
      </c>
      <c r="D901" s="133" t="s">
        <v>5505</v>
      </c>
      <c r="E901" s="134"/>
      <c r="F901" s="134">
        <v>1.39</v>
      </c>
      <c r="G901" s="135">
        <v>1.1100000000000001</v>
      </c>
      <c r="H901" s="133">
        <v>2009</v>
      </c>
      <c r="I901" s="152" t="s">
        <v>5639</v>
      </c>
    </row>
    <row r="902" spans="1:9" ht="18.75" thickBot="1" x14ac:dyDescent="0.3">
      <c r="A902" s="133" t="str">
        <f t="shared" si="14"/>
        <v>152546L</v>
      </c>
      <c r="B902" s="133" t="s">
        <v>6894</v>
      </c>
      <c r="C902" s="133" t="s">
        <v>6895</v>
      </c>
      <c r="D902" s="133" t="s">
        <v>5503</v>
      </c>
      <c r="E902" s="134"/>
      <c r="F902" s="134">
        <v>5.41</v>
      </c>
      <c r="G902" s="135">
        <v>4.33</v>
      </c>
      <c r="H902" s="133">
        <v>2024</v>
      </c>
      <c r="I902" s="152" t="s">
        <v>5573</v>
      </c>
    </row>
    <row r="903" spans="1:9" ht="18.75" thickBot="1" x14ac:dyDescent="0.3">
      <c r="A903" s="133" t="str">
        <f t="shared" si="14"/>
        <v>137915L</v>
      </c>
      <c r="B903" s="133" t="s">
        <v>7422</v>
      </c>
      <c r="C903" s="133" t="s">
        <v>7423</v>
      </c>
      <c r="D903" s="133" t="s">
        <v>5504</v>
      </c>
      <c r="E903" s="134"/>
      <c r="F903" s="134">
        <v>3.05</v>
      </c>
      <c r="G903" s="135">
        <v>2.44</v>
      </c>
      <c r="H903" s="133">
        <v>2017</v>
      </c>
      <c r="I903" s="152" t="s">
        <v>5657</v>
      </c>
    </row>
    <row r="904" spans="1:9" ht="18.75" thickBot="1" x14ac:dyDescent="0.3">
      <c r="A904" s="133" t="str">
        <f t="shared" si="14"/>
        <v>014149F</v>
      </c>
      <c r="B904" s="133" t="s">
        <v>6896</v>
      </c>
      <c r="C904" s="133" t="s">
        <v>6897</v>
      </c>
      <c r="D904" s="133" t="s">
        <v>5704</v>
      </c>
      <c r="E904" s="134"/>
      <c r="F904" s="134">
        <v>3.59</v>
      </c>
      <c r="G904" s="135">
        <v>2.87</v>
      </c>
      <c r="H904" s="133">
        <v>2024</v>
      </c>
      <c r="I904" s="152" t="s">
        <v>5563</v>
      </c>
    </row>
    <row r="905" spans="1:9" ht="18.75" thickBot="1" x14ac:dyDescent="0.3">
      <c r="A905" s="133" t="str">
        <f t="shared" si="14"/>
        <v>132717N</v>
      </c>
      <c r="B905" s="133" t="s">
        <v>6902</v>
      </c>
      <c r="C905" s="133" t="s">
        <v>6903</v>
      </c>
      <c r="D905" s="133" t="s">
        <v>5505</v>
      </c>
      <c r="E905" s="134"/>
      <c r="F905" s="134">
        <v>1.47</v>
      </c>
      <c r="G905" s="135">
        <v>1.17</v>
      </c>
      <c r="H905" s="133">
        <v>2009</v>
      </c>
      <c r="I905" s="152" t="s">
        <v>5639</v>
      </c>
    </row>
    <row r="906" spans="1:9" ht="18.75" thickBot="1" x14ac:dyDescent="0.3">
      <c r="A906" s="133" t="str">
        <f t="shared" si="14"/>
        <v>147422R</v>
      </c>
      <c r="B906" s="133" t="s">
        <v>8045</v>
      </c>
      <c r="C906" s="133" t="s">
        <v>8046</v>
      </c>
      <c r="D906" s="133" t="s">
        <v>5505</v>
      </c>
      <c r="E906" s="134"/>
      <c r="F906" s="134">
        <v>1.32</v>
      </c>
      <c r="G906" s="135">
        <v>1.05</v>
      </c>
      <c r="H906" s="133">
        <v>2015</v>
      </c>
      <c r="I906" s="152" t="s">
        <v>5635</v>
      </c>
    </row>
    <row r="907" spans="1:9" ht="18.75" thickBot="1" x14ac:dyDescent="0.3">
      <c r="A907" s="133" t="str">
        <f t="shared" si="14"/>
        <v>129212S</v>
      </c>
      <c r="B907" s="133" t="s">
        <v>7426</v>
      </c>
      <c r="C907" s="133" t="s">
        <v>7427</v>
      </c>
      <c r="D907" s="133" t="s">
        <v>26</v>
      </c>
      <c r="E907" s="134"/>
      <c r="F907" s="134">
        <v>8.6300000000000008</v>
      </c>
      <c r="G907" s="135">
        <v>6.91</v>
      </c>
      <c r="H907" s="133">
        <v>2024</v>
      </c>
      <c r="I907" s="152" t="s">
        <v>5594</v>
      </c>
    </row>
    <row r="908" spans="1:9" ht="18.75" thickBot="1" x14ac:dyDescent="0.3">
      <c r="A908" s="133" t="str">
        <f t="shared" si="14"/>
        <v>156727F</v>
      </c>
      <c r="B908" s="133" t="s">
        <v>6906</v>
      </c>
      <c r="C908" s="133" t="s">
        <v>6907</v>
      </c>
      <c r="D908" s="133" t="s">
        <v>5504</v>
      </c>
      <c r="E908" s="134"/>
      <c r="F908" s="134">
        <v>2.77</v>
      </c>
      <c r="G908" s="135">
        <v>2.21</v>
      </c>
      <c r="H908" s="133">
        <v>2024</v>
      </c>
      <c r="I908" s="152" t="s">
        <v>5635</v>
      </c>
    </row>
    <row r="909" spans="1:9" ht="18.75" thickBot="1" x14ac:dyDescent="0.3">
      <c r="A909" s="133" t="str">
        <f t="shared" si="14"/>
        <v>014165V</v>
      </c>
      <c r="B909" s="133" t="s">
        <v>6908</v>
      </c>
      <c r="C909" s="133" t="s">
        <v>6909</v>
      </c>
      <c r="D909" s="133" t="s">
        <v>5505</v>
      </c>
      <c r="E909" s="134"/>
      <c r="F909" s="134">
        <v>2.13</v>
      </c>
      <c r="G909" s="135">
        <v>1.7</v>
      </c>
      <c r="H909" s="133">
        <v>2008</v>
      </c>
      <c r="I909" s="152" t="s">
        <v>5566</v>
      </c>
    </row>
    <row r="910" spans="1:9" ht="18.75" thickBot="1" x14ac:dyDescent="0.3">
      <c r="A910" s="133" t="str">
        <f t="shared" si="14"/>
        <v>147307R</v>
      </c>
      <c r="B910" s="133" t="s">
        <v>8586</v>
      </c>
      <c r="C910" s="133" t="s">
        <v>8587</v>
      </c>
      <c r="D910" s="133" t="s">
        <v>5505</v>
      </c>
      <c r="E910" s="134"/>
      <c r="F910" s="134">
        <v>1.87</v>
      </c>
      <c r="G910" s="135">
        <v>1.49</v>
      </c>
      <c r="H910" s="133">
        <v>2018</v>
      </c>
      <c r="I910" s="152" t="s">
        <v>5635</v>
      </c>
    </row>
    <row r="911" spans="1:9" ht="18.75" thickBot="1" x14ac:dyDescent="0.3">
      <c r="A911" s="133" t="str">
        <f t="shared" si="14"/>
        <v>023229L</v>
      </c>
      <c r="B911" s="133" t="s">
        <v>7428</v>
      </c>
      <c r="C911" s="133" t="s">
        <v>7429</v>
      </c>
      <c r="D911" s="133" t="s">
        <v>5503</v>
      </c>
      <c r="E911" s="134"/>
      <c r="F911" s="134">
        <v>4.13</v>
      </c>
      <c r="G911" s="135">
        <v>3.3</v>
      </c>
      <c r="H911" s="133">
        <v>2020</v>
      </c>
      <c r="I911" s="152" t="s">
        <v>5671</v>
      </c>
    </row>
    <row r="912" spans="1:9" ht="18.75" thickBot="1" x14ac:dyDescent="0.3">
      <c r="A912" s="133" t="str">
        <f t="shared" si="14"/>
        <v>157107T</v>
      </c>
      <c r="B912" s="133" t="s">
        <v>8047</v>
      </c>
      <c r="C912" s="133" t="s">
        <v>8048</v>
      </c>
      <c r="D912" s="133" t="s">
        <v>7537</v>
      </c>
      <c r="E912" s="134"/>
      <c r="F912" s="134">
        <v>0.37</v>
      </c>
      <c r="G912" s="135">
        <v>0.3</v>
      </c>
      <c r="H912" s="133">
        <v>2016</v>
      </c>
      <c r="I912" s="152" t="s">
        <v>5608</v>
      </c>
    </row>
    <row r="913" spans="1:9" ht="18.75" thickBot="1" x14ac:dyDescent="0.3">
      <c r="A913" s="133" t="str">
        <f t="shared" si="14"/>
        <v>162977Z</v>
      </c>
      <c r="B913" s="133" t="s">
        <v>8049</v>
      </c>
      <c r="C913" s="133" t="s">
        <v>8050</v>
      </c>
      <c r="D913" s="133" t="s">
        <v>5505</v>
      </c>
      <c r="E913" s="134"/>
      <c r="F913" s="134">
        <v>1.68</v>
      </c>
      <c r="G913" s="135">
        <v>1.34</v>
      </c>
      <c r="H913" s="133">
        <v>2019</v>
      </c>
      <c r="I913" s="152" t="s">
        <v>5587</v>
      </c>
    </row>
    <row r="914" spans="1:9" ht="18.75" thickBot="1" x14ac:dyDescent="0.3">
      <c r="A914" s="133" t="str">
        <f t="shared" si="14"/>
        <v>118147D</v>
      </c>
      <c r="B914" s="133" t="s">
        <v>6912</v>
      </c>
      <c r="C914" s="133" t="s">
        <v>6913</v>
      </c>
      <c r="D914" s="133" t="s">
        <v>5505</v>
      </c>
      <c r="E914" s="134"/>
      <c r="F914" s="134">
        <v>2.2400000000000002</v>
      </c>
      <c r="G914" s="135">
        <v>1.79</v>
      </c>
      <c r="H914" s="133">
        <v>2017</v>
      </c>
      <c r="I914" s="152" t="s">
        <v>5559</v>
      </c>
    </row>
    <row r="915" spans="1:9" ht="18.75" thickBot="1" x14ac:dyDescent="0.3">
      <c r="A915" s="133" t="str">
        <f t="shared" si="14"/>
        <v>137385B</v>
      </c>
      <c r="B915" s="133" t="s">
        <v>6914</v>
      </c>
      <c r="C915" s="133" t="s">
        <v>6915</v>
      </c>
      <c r="D915" s="133" t="s">
        <v>5503</v>
      </c>
      <c r="E915" s="134"/>
      <c r="F915" s="134">
        <v>4.8099999999999996</v>
      </c>
      <c r="G915" s="135">
        <v>3.85</v>
      </c>
      <c r="H915" s="133">
        <v>2024</v>
      </c>
      <c r="I915" s="152" t="s">
        <v>5678</v>
      </c>
    </row>
    <row r="916" spans="1:9" ht="18.75" thickBot="1" x14ac:dyDescent="0.3">
      <c r="A916" s="133" t="str">
        <f t="shared" si="14"/>
        <v>149641D</v>
      </c>
      <c r="B916" s="133" t="s">
        <v>8051</v>
      </c>
      <c r="C916" s="133" t="s">
        <v>8052</v>
      </c>
      <c r="D916" s="133" t="s">
        <v>7537</v>
      </c>
      <c r="E916" s="134"/>
      <c r="F916" s="134">
        <v>0.25</v>
      </c>
      <c r="G916" s="135">
        <v>0.2</v>
      </c>
      <c r="H916" s="133">
        <v>2018</v>
      </c>
      <c r="I916" s="152" t="s">
        <v>5787</v>
      </c>
    </row>
    <row r="917" spans="1:9" ht="18.75" thickBot="1" x14ac:dyDescent="0.3">
      <c r="A917" s="133" t="str">
        <f t="shared" si="14"/>
        <v>103185R</v>
      </c>
      <c r="B917" s="133" t="s">
        <v>6916</v>
      </c>
      <c r="C917" s="133" t="s">
        <v>6917</v>
      </c>
      <c r="D917" s="133" t="s">
        <v>5504</v>
      </c>
      <c r="E917" s="134"/>
      <c r="F917" s="134">
        <v>2.17</v>
      </c>
      <c r="G917" s="135">
        <v>1.74</v>
      </c>
      <c r="H917" s="133">
        <v>2015</v>
      </c>
      <c r="I917" s="152" t="s">
        <v>5710</v>
      </c>
    </row>
    <row r="918" spans="1:9" ht="18.75" thickBot="1" x14ac:dyDescent="0.3">
      <c r="A918" s="133" t="str">
        <f t="shared" si="14"/>
        <v>154565F</v>
      </c>
      <c r="B918" s="133" t="s">
        <v>6920</v>
      </c>
      <c r="C918" s="133" t="s">
        <v>6921</v>
      </c>
      <c r="D918" s="133" t="s">
        <v>7537</v>
      </c>
      <c r="E918" s="134"/>
      <c r="F918" s="134">
        <v>0.89</v>
      </c>
      <c r="G918" s="135">
        <v>0.71</v>
      </c>
      <c r="H918" s="133">
        <v>2022</v>
      </c>
      <c r="I918" s="152" t="s">
        <v>5556</v>
      </c>
    </row>
    <row r="919" spans="1:9" ht="18.75" thickBot="1" x14ac:dyDescent="0.3">
      <c r="A919" s="133" t="str">
        <f t="shared" si="14"/>
        <v>168393L</v>
      </c>
      <c r="B919" s="133" t="s">
        <v>6922</v>
      </c>
      <c r="C919" s="133" t="s">
        <v>6923</v>
      </c>
      <c r="D919" s="133" t="s">
        <v>5505</v>
      </c>
      <c r="E919" s="134"/>
      <c r="F919" s="134">
        <v>1.73</v>
      </c>
      <c r="G919" s="135">
        <v>1.38</v>
      </c>
      <c r="H919" s="133">
        <v>2021</v>
      </c>
      <c r="I919" s="152" t="s">
        <v>5582</v>
      </c>
    </row>
    <row r="920" spans="1:9" ht="18.75" thickBot="1" x14ac:dyDescent="0.3">
      <c r="A920" s="133" t="str">
        <f t="shared" si="14"/>
        <v>142464K</v>
      </c>
      <c r="B920" s="133" t="s">
        <v>7430</v>
      </c>
      <c r="C920" s="133" t="s">
        <v>7431</v>
      </c>
      <c r="D920" s="133" t="s">
        <v>7537</v>
      </c>
      <c r="E920" s="134"/>
      <c r="F920" s="134">
        <v>0.34</v>
      </c>
      <c r="G920" s="135">
        <v>0.27</v>
      </c>
      <c r="H920" s="133">
        <v>2015</v>
      </c>
      <c r="I920" s="152" t="s">
        <v>5566</v>
      </c>
    </row>
    <row r="921" spans="1:9" ht="18.75" thickBot="1" x14ac:dyDescent="0.3">
      <c r="A921" s="133" t="str">
        <f t="shared" si="14"/>
        <v>126697Z</v>
      </c>
      <c r="B921" s="133" t="s">
        <v>7432</v>
      </c>
      <c r="C921" s="133" t="s">
        <v>7433</v>
      </c>
      <c r="D921" s="133" t="s">
        <v>5505</v>
      </c>
      <c r="E921" s="134"/>
      <c r="F921" s="134">
        <v>1.2</v>
      </c>
      <c r="G921" s="135">
        <v>0.96</v>
      </c>
      <c r="H921" s="133">
        <v>2009</v>
      </c>
      <c r="I921" s="152" t="s">
        <v>6229</v>
      </c>
    </row>
    <row r="922" spans="1:9" ht="18.75" thickBot="1" x14ac:dyDescent="0.3">
      <c r="A922" s="133" t="str">
        <f t="shared" si="14"/>
        <v>135312I</v>
      </c>
      <c r="B922" s="133" t="s">
        <v>7434</v>
      </c>
      <c r="C922" s="133" t="s">
        <v>7435</v>
      </c>
      <c r="D922" s="133" t="s">
        <v>5504</v>
      </c>
      <c r="E922" s="134"/>
      <c r="F922" s="134">
        <v>3.32</v>
      </c>
      <c r="G922" s="135">
        <v>2.66</v>
      </c>
      <c r="H922" s="133">
        <v>2024</v>
      </c>
      <c r="I922" s="152" t="s">
        <v>6229</v>
      </c>
    </row>
    <row r="923" spans="1:9" ht="18.75" thickBot="1" x14ac:dyDescent="0.3">
      <c r="A923" s="133" t="str">
        <f t="shared" si="14"/>
        <v>149591Z</v>
      </c>
      <c r="B923" s="133" t="s">
        <v>8053</v>
      </c>
      <c r="C923" s="133" t="s">
        <v>8054</v>
      </c>
      <c r="D923" s="133" t="s">
        <v>7537</v>
      </c>
      <c r="E923" s="134"/>
      <c r="F923" s="134">
        <v>0.72</v>
      </c>
      <c r="G923" s="135">
        <v>0.56999999999999995</v>
      </c>
      <c r="H923" s="133">
        <v>2019</v>
      </c>
      <c r="I923" s="152" t="s">
        <v>7375</v>
      </c>
    </row>
    <row r="924" spans="1:9" ht="18.75" thickBot="1" x14ac:dyDescent="0.3">
      <c r="A924" s="133" t="str">
        <f t="shared" si="14"/>
        <v>014192W</v>
      </c>
      <c r="B924" s="133" t="s">
        <v>7507</v>
      </c>
      <c r="C924" s="133" t="s">
        <v>7508</v>
      </c>
      <c r="D924" s="133" t="s">
        <v>5503</v>
      </c>
      <c r="E924" s="134"/>
      <c r="F924" s="134">
        <v>3.06</v>
      </c>
      <c r="G924" s="135">
        <v>2.4500000000000002</v>
      </c>
      <c r="H924" s="133">
        <v>2023</v>
      </c>
      <c r="I924" s="152" t="s">
        <v>5912</v>
      </c>
    </row>
    <row r="925" spans="1:9" ht="18.75" thickBot="1" x14ac:dyDescent="0.3">
      <c r="A925" s="133" t="str">
        <f t="shared" si="14"/>
        <v>176839R</v>
      </c>
      <c r="B925" s="133" t="s">
        <v>6930</v>
      </c>
      <c r="C925" s="133" t="s">
        <v>6931</v>
      </c>
      <c r="D925" s="133" t="s">
        <v>7537</v>
      </c>
      <c r="E925" s="134"/>
      <c r="F925" s="134">
        <v>0.72</v>
      </c>
      <c r="G925" s="135">
        <v>0.57999999999999996</v>
      </c>
      <c r="H925" s="133">
        <v>2024</v>
      </c>
      <c r="I925" s="152" t="s">
        <v>5678</v>
      </c>
    </row>
    <row r="926" spans="1:9" ht="18.75" thickBot="1" x14ac:dyDescent="0.3">
      <c r="A926" s="133" t="str">
        <f t="shared" si="14"/>
        <v>167800R</v>
      </c>
      <c r="B926" s="133" t="s">
        <v>8055</v>
      </c>
      <c r="C926" s="133" t="s">
        <v>8056</v>
      </c>
      <c r="D926" s="133" t="s">
        <v>5505</v>
      </c>
      <c r="E926" s="134"/>
      <c r="F926" s="134">
        <v>1.68</v>
      </c>
      <c r="G926" s="135">
        <v>1.35</v>
      </c>
      <c r="H926" s="133">
        <v>2024</v>
      </c>
      <c r="I926" s="152" t="s">
        <v>5563</v>
      </c>
    </row>
    <row r="927" spans="1:9" ht="18.75" thickBot="1" x14ac:dyDescent="0.3">
      <c r="A927" s="133" t="str">
        <f t="shared" si="14"/>
        <v>162777G</v>
      </c>
      <c r="B927" s="133" t="s">
        <v>6932</v>
      </c>
      <c r="C927" s="133" t="s">
        <v>6933</v>
      </c>
      <c r="D927" s="133" t="s">
        <v>5505</v>
      </c>
      <c r="E927" s="134"/>
      <c r="F927" s="134">
        <v>1.38</v>
      </c>
      <c r="G927" s="135">
        <v>1.1000000000000001</v>
      </c>
      <c r="H927" s="133">
        <v>2024</v>
      </c>
      <c r="I927" s="152" t="s">
        <v>5651</v>
      </c>
    </row>
    <row r="928" spans="1:9" ht="18.75" thickBot="1" x14ac:dyDescent="0.3">
      <c r="A928" s="133" t="str">
        <f t="shared" si="14"/>
        <v>179968S</v>
      </c>
      <c r="B928" s="133" t="s">
        <v>8588</v>
      </c>
      <c r="C928" s="133" t="s">
        <v>8589</v>
      </c>
      <c r="D928" s="133" t="s">
        <v>7560</v>
      </c>
      <c r="E928" s="134"/>
      <c r="F928" s="134">
        <v>1.18</v>
      </c>
      <c r="G928" s="135">
        <v>0.95</v>
      </c>
      <c r="H928" s="133">
        <v>2024</v>
      </c>
      <c r="I928" s="152" t="s">
        <v>5710</v>
      </c>
    </row>
    <row r="929" spans="1:9" ht="18.75" thickBot="1" x14ac:dyDescent="0.3">
      <c r="A929" s="133" t="str">
        <f t="shared" si="14"/>
        <v>166221A</v>
      </c>
      <c r="B929" s="133" t="s">
        <v>7436</v>
      </c>
      <c r="C929" s="133" t="s">
        <v>7437</v>
      </c>
      <c r="D929" s="133" t="s">
        <v>5505</v>
      </c>
      <c r="E929" s="134"/>
      <c r="F929" s="134">
        <v>1.43</v>
      </c>
      <c r="G929" s="135">
        <v>1.1399999999999999</v>
      </c>
      <c r="H929" s="133">
        <v>2024</v>
      </c>
      <c r="I929" s="152" t="s">
        <v>5573</v>
      </c>
    </row>
    <row r="930" spans="1:9" ht="18.75" thickBot="1" x14ac:dyDescent="0.3">
      <c r="A930" s="133" t="str">
        <f t="shared" si="14"/>
        <v>124951V</v>
      </c>
      <c r="B930" s="133" t="s">
        <v>6934</v>
      </c>
      <c r="C930" s="133" t="s">
        <v>6935</v>
      </c>
      <c r="D930" s="133" t="s">
        <v>5505</v>
      </c>
      <c r="E930" s="134"/>
      <c r="F930" s="134">
        <v>1.47</v>
      </c>
      <c r="G930" s="135">
        <v>1.17</v>
      </c>
      <c r="H930" s="133">
        <v>2017</v>
      </c>
      <c r="I930" s="152" t="s">
        <v>5678</v>
      </c>
    </row>
    <row r="931" spans="1:9" ht="18.75" thickBot="1" x14ac:dyDescent="0.3">
      <c r="A931" s="133" t="str">
        <f t="shared" si="14"/>
        <v>014200E</v>
      </c>
      <c r="B931" s="133" t="s">
        <v>6936</v>
      </c>
      <c r="C931" s="133" t="s">
        <v>6937</v>
      </c>
      <c r="D931" s="133" t="s">
        <v>5505</v>
      </c>
      <c r="E931" s="134"/>
      <c r="F931" s="134">
        <v>1.6</v>
      </c>
      <c r="G931" s="135">
        <v>1.28</v>
      </c>
      <c r="H931" s="133">
        <v>2013</v>
      </c>
      <c r="I931" s="152" t="s">
        <v>6137</v>
      </c>
    </row>
    <row r="932" spans="1:9" ht="18.75" thickBot="1" x14ac:dyDescent="0.3">
      <c r="A932" s="133" t="str">
        <f t="shared" si="14"/>
        <v>109508W</v>
      </c>
      <c r="B932" s="133" t="s">
        <v>6938</v>
      </c>
      <c r="C932" s="133" t="s">
        <v>6939</v>
      </c>
      <c r="D932" s="133" t="s">
        <v>26</v>
      </c>
      <c r="E932" s="134"/>
      <c r="F932" s="134">
        <v>4.4800000000000004</v>
      </c>
      <c r="G932" s="135">
        <v>3.58</v>
      </c>
      <c r="H932" s="133">
        <v>2015</v>
      </c>
      <c r="I932" s="152" t="s">
        <v>5594</v>
      </c>
    </row>
    <row r="933" spans="1:9" ht="18.75" thickBot="1" x14ac:dyDescent="0.3">
      <c r="A933" s="133" t="str">
        <f t="shared" si="14"/>
        <v>175258Y</v>
      </c>
      <c r="B933" s="133" t="s">
        <v>8057</v>
      </c>
      <c r="C933" s="133" t="s">
        <v>8058</v>
      </c>
      <c r="D933" s="133" t="s">
        <v>5504</v>
      </c>
      <c r="E933" s="134"/>
      <c r="F933" s="134">
        <v>3.98</v>
      </c>
      <c r="G933" s="135">
        <v>3.19</v>
      </c>
      <c r="H933" s="133">
        <v>2024</v>
      </c>
      <c r="I933" s="152" t="s">
        <v>5657</v>
      </c>
    </row>
    <row r="934" spans="1:9" ht="18.75" thickBot="1" x14ac:dyDescent="0.3">
      <c r="A934" s="133" t="str">
        <f t="shared" si="14"/>
        <v>014206K</v>
      </c>
      <c r="B934" s="133" t="s">
        <v>6946</v>
      </c>
      <c r="C934" s="133" t="s">
        <v>6947</v>
      </c>
      <c r="D934" s="133" t="s">
        <v>5503</v>
      </c>
      <c r="E934" s="134"/>
      <c r="F934" s="134">
        <v>3.38</v>
      </c>
      <c r="G934" s="135">
        <v>2.71</v>
      </c>
      <c r="H934" s="133">
        <v>2010</v>
      </c>
      <c r="I934" s="152" t="s">
        <v>5566</v>
      </c>
    </row>
    <row r="935" spans="1:9" ht="18.75" thickBot="1" x14ac:dyDescent="0.3">
      <c r="A935" s="133" t="str">
        <f t="shared" si="14"/>
        <v>014207L</v>
      </c>
      <c r="B935" s="133" t="s">
        <v>7438</v>
      </c>
      <c r="C935" s="133" t="s">
        <v>7439</v>
      </c>
      <c r="D935" s="133" t="s">
        <v>5505</v>
      </c>
      <c r="E935" s="134"/>
      <c r="F935" s="134">
        <v>1.67</v>
      </c>
      <c r="G935" s="135">
        <v>1.33</v>
      </c>
      <c r="H935" s="133">
        <v>2017</v>
      </c>
      <c r="I935" s="152" t="s">
        <v>5850</v>
      </c>
    </row>
    <row r="936" spans="1:9" ht="18.75" thickBot="1" x14ac:dyDescent="0.3">
      <c r="A936" s="133" t="str">
        <f t="shared" si="14"/>
        <v>137894Q</v>
      </c>
      <c r="B936" s="133" t="s">
        <v>6948</v>
      </c>
      <c r="C936" s="133" t="s">
        <v>6949</v>
      </c>
      <c r="D936" s="133" t="s">
        <v>5503</v>
      </c>
      <c r="E936" s="134"/>
      <c r="F936" s="134">
        <v>4.7699999999999996</v>
      </c>
      <c r="G936" s="135">
        <v>3.81</v>
      </c>
      <c r="H936" s="133">
        <v>2019</v>
      </c>
      <c r="I936" s="152" t="s">
        <v>5553</v>
      </c>
    </row>
    <row r="937" spans="1:9" ht="18.75" thickBot="1" x14ac:dyDescent="0.3">
      <c r="A937" s="133" t="str">
        <f t="shared" si="14"/>
        <v>014209N</v>
      </c>
      <c r="B937" s="133" t="s">
        <v>6950</v>
      </c>
      <c r="C937" s="133" t="s">
        <v>6951</v>
      </c>
      <c r="D937" s="133" t="s">
        <v>5504</v>
      </c>
      <c r="E937" s="134"/>
      <c r="F937" s="134">
        <v>3.15</v>
      </c>
      <c r="G937" s="135">
        <v>2.52</v>
      </c>
      <c r="H937" s="133">
        <v>2019</v>
      </c>
      <c r="I937" s="152" t="s">
        <v>5735</v>
      </c>
    </row>
    <row r="938" spans="1:9" ht="18.75" thickBot="1" x14ac:dyDescent="0.3">
      <c r="A938" s="133" t="str">
        <f t="shared" si="14"/>
        <v>105958I</v>
      </c>
      <c r="B938" s="133" t="s">
        <v>8059</v>
      </c>
      <c r="C938" s="133" t="s">
        <v>8060</v>
      </c>
      <c r="D938" s="133" t="s">
        <v>5505</v>
      </c>
      <c r="E938" s="134"/>
      <c r="F938" s="134">
        <v>0.8</v>
      </c>
      <c r="G938" s="135">
        <v>0.64</v>
      </c>
      <c r="H938" s="133">
        <v>2022</v>
      </c>
      <c r="I938" s="152" t="s">
        <v>8061</v>
      </c>
    </row>
    <row r="939" spans="1:9" ht="18.75" thickBot="1" x14ac:dyDescent="0.3">
      <c r="A939" s="133" t="str">
        <f t="shared" si="14"/>
        <v>152513A</v>
      </c>
      <c r="B939" s="133" t="s">
        <v>8062</v>
      </c>
      <c r="C939" s="133" t="s">
        <v>8063</v>
      </c>
      <c r="D939" s="133" t="s">
        <v>7537</v>
      </c>
      <c r="E939" s="134"/>
      <c r="F939" s="134">
        <v>0.75</v>
      </c>
      <c r="G939" s="135">
        <v>0.6</v>
      </c>
      <c r="H939" s="133">
        <v>2016</v>
      </c>
      <c r="I939" s="152" t="s">
        <v>5615</v>
      </c>
    </row>
    <row r="940" spans="1:9" ht="18.75" thickBot="1" x14ac:dyDescent="0.3">
      <c r="A940" s="133" t="str">
        <f t="shared" si="14"/>
        <v>014216U</v>
      </c>
      <c r="B940" s="133" t="s">
        <v>6956</v>
      </c>
      <c r="C940" s="133" t="s">
        <v>6957</v>
      </c>
      <c r="D940" s="133" t="s">
        <v>5597</v>
      </c>
      <c r="E940" s="134"/>
      <c r="F940" s="134">
        <v>5.93</v>
      </c>
      <c r="G940" s="135">
        <v>4.75</v>
      </c>
      <c r="H940" s="133">
        <v>2024</v>
      </c>
      <c r="I940" s="152" t="s">
        <v>5646</v>
      </c>
    </row>
    <row r="941" spans="1:9" ht="18.75" thickBot="1" x14ac:dyDescent="0.3">
      <c r="A941" s="133" t="str">
        <f t="shared" si="14"/>
        <v>014217V</v>
      </c>
      <c r="B941" s="133" t="s">
        <v>6958</v>
      </c>
      <c r="C941" s="133" t="s">
        <v>6959</v>
      </c>
      <c r="D941" s="133" t="s">
        <v>5504</v>
      </c>
      <c r="E941" s="134"/>
      <c r="F941" s="134">
        <v>3.12</v>
      </c>
      <c r="G941" s="135">
        <v>2.4900000000000002</v>
      </c>
      <c r="H941" s="133">
        <v>2024</v>
      </c>
      <c r="I941" s="152" t="s">
        <v>5553</v>
      </c>
    </row>
    <row r="942" spans="1:9" ht="18.75" thickBot="1" x14ac:dyDescent="0.3">
      <c r="A942" s="133" t="str">
        <f t="shared" si="14"/>
        <v>160032Y</v>
      </c>
      <c r="B942" s="133" t="s">
        <v>6960</v>
      </c>
      <c r="C942" s="133" t="s">
        <v>6961</v>
      </c>
      <c r="D942" s="133" t="s">
        <v>5503</v>
      </c>
      <c r="E942" s="134"/>
      <c r="F942" s="134">
        <v>4.82</v>
      </c>
      <c r="G942" s="135">
        <v>3.85</v>
      </c>
      <c r="H942" s="133">
        <v>2024</v>
      </c>
      <c r="I942" s="152" t="s">
        <v>5563</v>
      </c>
    </row>
    <row r="943" spans="1:9" ht="18.75" thickBot="1" x14ac:dyDescent="0.3">
      <c r="A943" s="133" t="str">
        <f t="shared" si="14"/>
        <v>154289F</v>
      </c>
      <c r="B943" s="133" t="s">
        <v>6966</v>
      </c>
      <c r="C943" s="133" t="s">
        <v>6967</v>
      </c>
      <c r="D943" s="133" t="s">
        <v>5504</v>
      </c>
      <c r="E943" s="134"/>
      <c r="F943" s="134">
        <v>2.4900000000000002</v>
      </c>
      <c r="G943" s="135">
        <v>1.99</v>
      </c>
      <c r="H943" s="133">
        <v>2024</v>
      </c>
      <c r="I943" s="152" t="s">
        <v>5594</v>
      </c>
    </row>
    <row r="944" spans="1:9" ht="18.75" thickBot="1" x14ac:dyDescent="0.3">
      <c r="A944" s="133" t="str">
        <f t="shared" si="14"/>
        <v>014227F</v>
      </c>
      <c r="B944" s="133" t="s">
        <v>6968</v>
      </c>
      <c r="C944" s="133" t="s">
        <v>6969</v>
      </c>
      <c r="D944" s="133" t="s">
        <v>5503</v>
      </c>
      <c r="E944" s="134"/>
      <c r="F944" s="134">
        <v>4.72</v>
      </c>
      <c r="G944" s="135">
        <v>3.77</v>
      </c>
      <c r="H944" s="133">
        <v>2010</v>
      </c>
      <c r="I944" s="152" t="s">
        <v>5630</v>
      </c>
    </row>
    <row r="945" spans="1:9" ht="18.75" thickBot="1" x14ac:dyDescent="0.3">
      <c r="A945" s="133" t="str">
        <f t="shared" si="14"/>
        <v>149318C</v>
      </c>
      <c r="B945" s="133" t="s">
        <v>7440</v>
      </c>
      <c r="C945" s="133" t="s">
        <v>7441</v>
      </c>
      <c r="D945" s="133" t="s">
        <v>5505</v>
      </c>
      <c r="E945" s="134"/>
      <c r="F945" s="134">
        <v>1.51</v>
      </c>
      <c r="G945" s="135">
        <v>1.21</v>
      </c>
      <c r="H945" s="133">
        <v>2019</v>
      </c>
      <c r="I945" s="152" t="s">
        <v>5553</v>
      </c>
    </row>
    <row r="946" spans="1:9" ht="18.75" thickBot="1" x14ac:dyDescent="0.3">
      <c r="A946" s="133" t="str">
        <f t="shared" si="14"/>
        <v>123847J</v>
      </c>
      <c r="B946" s="133" t="s">
        <v>8064</v>
      </c>
      <c r="C946" s="133" t="s">
        <v>8065</v>
      </c>
      <c r="D946" s="133" t="s">
        <v>5505</v>
      </c>
      <c r="E946" s="134"/>
      <c r="F946" s="134">
        <v>1.69</v>
      </c>
      <c r="G946" s="135">
        <v>1.35</v>
      </c>
      <c r="H946" s="133">
        <v>2010</v>
      </c>
      <c r="I946" s="152" t="s">
        <v>5671</v>
      </c>
    </row>
    <row r="947" spans="1:9" ht="18.75" thickBot="1" x14ac:dyDescent="0.3">
      <c r="A947" s="133" t="str">
        <f t="shared" si="14"/>
        <v>014238Q</v>
      </c>
      <c r="B947" s="133" t="s">
        <v>6970</v>
      </c>
      <c r="C947" s="133" t="s">
        <v>6971</v>
      </c>
      <c r="D947" s="133" t="s">
        <v>5562</v>
      </c>
      <c r="E947" s="134"/>
      <c r="F947" s="134">
        <v>5.66</v>
      </c>
      <c r="G947" s="135">
        <v>4.53</v>
      </c>
      <c r="H947" s="133">
        <v>2024</v>
      </c>
      <c r="I947" s="152" t="s">
        <v>5559</v>
      </c>
    </row>
    <row r="948" spans="1:9" ht="18.75" thickBot="1" x14ac:dyDescent="0.3">
      <c r="A948" s="133" t="str">
        <f t="shared" si="14"/>
        <v>178428T</v>
      </c>
      <c r="B948" s="133" t="s">
        <v>8066</v>
      </c>
      <c r="C948" s="133" t="s">
        <v>8067</v>
      </c>
      <c r="D948" s="133" t="s">
        <v>7537</v>
      </c>
      <c r="E948" s="134"/>
      <c r="F948" s="134">
        <v>0.78</v>
      </c>
      <c r="G948" s="135">
        <v>0.63</v>
      </c>
      <c r="H948" s="133">
        <v>2024</v>
      </c>
      <c r="I948" s="152" t="s">
        <v>5563</v>
      </c>
    </row>
    <row r="949" spans="1:9" ht="18.75" thickBot="1" x14ac:dyDescent="0.3">
      <c r="A949" s="133" t="str">
        <f t="shared" si="14"/>
        <v>152004X</v>
      </c>
      <c r="B949" s="133" t="s">
        <v>8068</v>
      </c>
      <c r="C949" s="133" t="s">
        <v>8069</v>
      </c>
      <c r="D949" s="133" t="s">
        <v>7537</v>
      </c>
      <c r="E949" s="134"/>
      <c r="F949" s="134">
        <v>0.81</v>
      </c>
      <c r="G949" s="135">
        <v>0.65</v>
      </c>
      <c r="H949" s="133">
        <v>2016</v>
      </c>
      <c r="I949" s="152" t="s">
        <v>5678</v>
      </c>
    </row>
    <row r="950" spans="1:9" ht="18.75" thickBot="1" x14ac:dyDescent="0.3">
      <c r="A950" s="133" t="str">
        <f t="shared" si="14"/>
        <v>156935G</v>
      </c>
      <c r="B950" s="133" t="s">
        <v>8070</v>
      </c>
      <c r="C950" s="133" t="s">
        <v>8071</v>
      </c>
      <c r="D950" s="133" t="s">
        <v>7537</v>
      </c>
      <c r="E950" s="134"/>
      <c r="F950" s="134">
        <v>0.46</v>
      </c>
      <c r="G950" s="135">
        <v>0.37</v>
      </c>
      <c r="H950" s="133">
        <v>2016</v>
      </c>
      <c r="I950" s="152" t="s">
        <v>5608</v>
      </c>
    </row>
    <row r="951" spans="1:9" ht="18.75" thickBot="1" x14ac:dyDescent="0.3">
      <c r="A951" s="133" t="str">
        <f t="shared" si="14"/>
        <v>153028K</v>
      </c>
      <c r="B951" s="133" t="s">
        <v>8072</v>
      </c>
      <c r="C951" s="133" t="s">
        <v>8073</v>
      </c>
      <c r="D951" s="133" t="s">
        <v>7537</v>
      </c>
      <c r="E951" s="134"/>
      <c r="F951" s="134">
        <v>1.01</v>
      </c>
      <c r="G951" s="135">
        <v>0.8</v>
      </c>
      <c r="H951" s="133">
        <v>2017</v>
      </c>
      <c r="I951" s="152" t="s">
        <v>5587</v>
      </c>
    </row>
    <row r="952" spans="1:9" ht="18.75" thickBot="1" x14ac:dyDescent="0.3">
      <c r="A952" s="133" t="str">
        <f t="shared" si="14"/>
        <v>014259L</v>
      </c>
      <c r="B952" s="133" t="s">
        <v>8590</v>
      </c>
      <c r="C952" s="133" t="s">
        <v>8591</v>
      </c>
      <c r="D952" s="133" t="s">
        <v>7560</v>
      </c>
      <c r="E952" s="134"/>
      <c r="F952" s="134">
        <v>1.06</v>
      </c>
      <c r="G952" s="135">
        <v>0.85</v>
      </c>
      <c r="H952" s="133">
        <v>2024</v>
      </c>
      <c r="I952" s="152" t="s">
        <v>5553</v>
      </c>
    </row>
    <row r="953" spans="1:9" ht="18.75" thickBot="1" x14ac:dyDescent="0.3">
      <c r="A953" s="133" t="str">
        <f t="shared" si="14"/>
        <v>014263P</v>
      </c>
      <c r="B953" s="133" t="s">
        <v>6982</v>
      </c>
      <c r="C953" s="133" t="s">
        <v>6983</v>
      </c>
      <c r="D953" s="133" t="s">
        <v>5504</v>
      </c>
      <c r="E953" s="134"/>
      <c r="F953" s="134">
        <v>2.2599999999999998</v>
      </c>
      <c r="G953" s="135">
        <v>1.81</v>
      </c>
      <c r="H953" s="133">
        <v>2011</v>
      </c>
      <c r="I953" s="152" t="s">
        <v>5787</v>
      </c>
    </row>
    <row r="954" spans="1:9" ht="18.75" thickBot="1" x14ac:dyDescent="0.3">
      <c r="A954" s="133" t="str">
        <f t="shared" si="14"/>
        <v>132937Z</v>
      </c>
      <c r="B954" s="133" t="s">
        <v>6984</v>
      </c>
      <c r="C954" s="133" t="s">
        <v>6985</v>
      </c>
      <c r="D954" s="133" t="s">
        <v>5504</v>
      </c>
      <c r="E954" s="134"/>
      <c r="F954" s="134">
        <v>2.27</v>
      </c>
      <c r="G954" s="135">
        <v>1.81</v>
      </c>
      <c r="H954" s="133">
        <v>2020</v>
      </c>
      <c r="I954" s="152" t="s">
        <v>5553</v>
      </c>
    </row>
    <row r="955" spans="1:9" ht="18.75" thickBot="1" x14ac:dyDescent="0.3">
      <c r="A955" s="133" t="str">
        <f t="shared" si="14"/>
        <v>014269V</v>
      </c>
      <c r="B955" s="133" t="s">
        <v>6988</v>
      </c>
      <c r="C955" s="133" t="s">
        <v>6989</v>
      </c>
      <c r="D955" s="133" t="s">
        <v>5503</v>
      </c>
      <c r="E955" s="134"/>
      <c r="F955" s="134">
        <v>4.8</v>
      </c>
      <c r="G955" s="135">
        <v>3.84</v>
      </c>
      <c r="H955" s="133">
        <v>2023</v>
      </c>
      <c r="I955" s="152" t="s">
        <v>5559</v>
      </c>
    </row>
    <row r="956" spans="1:9" ht="18.75" thickBot="1" x14ac:dyDescent="0.3">
      <c r="A956" s="133" t="str">
        <f t="shared" si="14"/>
        <v>014271X</v>
      </c>
      <c r="B956" s="133" t="s">
        <v>6990</v>
      </c>
      <c r="C956" s="133" t="s">
        <v>6991</v>
      </c>
      <c r="D956" s="133" t="s">
        <v>26</v>
      </c>
      <c r="E956" s="134"/>
      <c r="F956" s="134">
        <v>6.2</v>
      </c>
      <c r="G956" s="135">
        <v>4.96</v>
      </c>
      <c r="H956" s="133">
        <v>2020</v>
      </c>
      <c r="I956" s="152" t="s">
        <v>5566</v>
      </c>
    </row>
    <row r="957" spans="1:9" ht="18.75" thickBot="1" x14ac:dyDescent="0.3">
      <c r="A957" s="133" t="str">
        <f t="shared" si="14"/>
        <v>140021L</v>
      </c>
      <c r="B957" s="133" t="s">
        <v>6997</v>
      </c>
      <c r="C957" s="133" t="s">
        <v>6998</v>
      </c>
      <c r="D957" s="133" t="s">
        <v>5505</v>
      </c>
      <c r="E957" s="134"/>
      <c r="F957" s="134">
        <v>1.64</v>
      </c>
      <c r="G957" s="135">
        <v>1.31</v>
      </c>
      <c r="H957" s="133">
        <v>2024</v>
      </c>
      <c r="I957" s="152" t="s">
        <v>5710</v>
      </c>
    </row>
    <row r="958" spans="1:9" ht="18.75" thickBot="1" x14ac:dyDescent="0.3">
      <c r="A958" s="133" t="str">
        <f t="shared" si="14"/>
        <v>109607R</v>
      </c>
      <c r="B958" s="133" t="s">
        <v>6999</v>
      </c>
      <c r="C958" s="133" t="s">
        <v>7000</v>
      </c>
      <c r="D958" s="133" t="s">
        <v>5597</v>
      </c>
      <c r="E958" s="134"/>
      <c r="F958" s="134">
        <v>3.5</v>
      </c>
      <c r="G958" s="135">
        <v>2.8</v>
      </c>
      <c r="H958" s="133">
        <v>2024</v>
      </c>
      <c r="I958" s="152" t="s">
        <v>5553</v>
      </c>
    </row>
    <row r="959" spans="1:9" ht="18.75" thickBot="1" x14ac:dyDescent="0.3">
      <c r="A959" s="133" t="str">
        <f t="shared" si="14"/>
        <v>134307R</v>
      </c>
      <c r="B959" s="133" t="s">
        <v>7442</v>
      </c>
      <c r="C959" s="133" t="s">
        <v>7443</v>
      </c>
      <c r="D959" s="133" t="s">
        <v>7537</v>
      </c>
      <c r="E959" s="134"/>
      <c r="F959" s="134">
        <v>1.1399999999999999</v>
      </c>
      <c r="G959" s="135">
        <v>0.91</v>
      </c>
      <c r="H959" s="133">
        <v>2022</v>
      </c>
      <c r="I959" s="152" t="s">
        <v>5566</v>
      </c>
    </row>
    <row r="960" spans="1:9" ht="18.75" thickBot="1" x14ac:dyDescent="0.3">
      <c r="A960" s="133" t="str">
        <f t="shared" si="14"/>
        <v>156411M</v>
      </c>
      <c r="B960" s="133" t="s">
        <v>8074</v>
      </c>
      <c r="C960" s="133" t="s">
        <v>8075</v>
      </c>
      <c r="D960" s="133" t="s">
        <v>7537</v>
      </c>
      <c r="E960" s="134"/>
      <c r="F960" s="134">
        <v>0.52</v>
      </c>
      <c r="G960" s="135">
        <v>0.41</v>
      </c>
      <c r="H960" s="133">
        <v>2016</v>
      </c>
      <c r="I960" s="152" t="s">
        <v>5594</v>
      </c>
    </row>
    <row r="961" spans="1:9" ht="18.75" thickBot="1" x14ac:dyDescent="0.3">
      <c r="A961" s="133" t="str">
        <f t="shared" si="14"/>
        <v>137384A</v>
      </c>
      <c r="B961" s="133" t="s">
        <v>7444</v>
      </c>
      <c r="C961" s="133" t="s">
        <v>7445</v>
      </c>
      <c r="D961" s="133" t="s">
        <v>5504</v>
      </c>
      <c r="E961" s="134"/>
      <c r="F961" s="134">
        <v>2.52</v>
      </c>
      <c r="G961" s="135">
        <v>2.02</v>
      </c>
      <c r="H961" s="133">
        <v>2014</v>
      </c>
      <c r="I961" s="152" t="s">
        <v>5678</v>
      </c>
    </row>
    <row r="962" spans="1:9" ht="18.75" thickBot="1" x14ac:dyDescent="0.3">
      <c r="A962" s="133" t="str">
        <f>SUBSTITUTE(B962,CHAR(32),"")</f>
        <v>143709H</v>
      </c>
      <c r="B962" s="133" t="s">
        <v>8076</v>
      </c>
      <c r="C962" s="133" t="s">
        <v>8077</v>
      </c>
      <c r="D962" s="133" t="s">
        <v>7537</v>
      </c>
      <c r="E962" s="134"/>
      <c r="F962" s="134">
        <v>0.49</v>
      </c>
      <c r="G962" s="135">
        <v>0.39</v>
      </c>
      <c r="H962" s="133">
        <v>2012</v>
      </c>
      <c r="I962" s="152" t="s">
        <v>5553</v>
      </c>
    </row>
    <row r="963" spans="1:9" ht="18.75" thickBot="1" x14ac:dyDescent="0.3">
      <c r="A963" s="133" t="str">
        <f>SUBSTITUTE(B963,CHAR(32),"")</f>
        <v>014288O</v>
      </c>
      <c r="B963" s="133" t="s">
        <v>7446</v>
      </c>
      <c r="C963" s="133" t="s">
        <v>7447</v>
      </c>
      <c r="D963" s="133" t="s">
        <v>5503</v>
      </c>
      <c r="E963" s="134"/>
      <c r="F963" s="134">
        <v>5.41</v>
      </c>
      <c r="G963" s="135">
        <v>4.32</v>
      </c>
      <c r="H963" s="133">
        <v>2012</v>
      </c>
      <c r="I963" s="152" t="s">
        <v>5895</v>
      </c>
    </row>
    <row r="964" spans="1:9" ht="18.75" thickBot="1" x14ac:dyDescent="0.3">
      <c r="A964" s="133" t="str">
        <f>SUBSTITUTE(B964,CHAR(32),"")</f>
        <v>113891L</v>
      </c>
      <c r="B964" s="133" t="s">
        <v>7005</v>
      </c>
      <c r="C964" s="133" t="s">
        <v>7006</v>
      </c>
      <c r="D964" s="133" t="s">
        <v>5505</v>
      </c>
      <c r="E964" s="134"/>
      <c r="F964" s="134">
        <v>1.52</v>
      </c>
      <c r="G964" s="135">
        <v>1.22</v>
      </c>
      <c r="H964" s="133">
        <v>2024</v>
      </c>
      <c r="I964" s="152" t="s">
        <v>5625</v>
      </c>
    </row>
    <row r="965" spans="1:9" ht="18" x14ac:dyDescent="0.25">
      <c r="A965" s="152" t="str">
        <f>SUBSTITUTE(B965,CHAR(32),"")</f>
        <v>138059Z</v>
      </c>
      <c r="B965" s="152" t="s">
        <v>7007</v>
      </c>
      <c r="C965" s="152" t="s">
        <v>7008</v>
      </c>
      <c r="D965" s="152" t="s">
        <v>5505</v>
      </c>
      <c r="E965" s="153"/>
      <c r="F965" s="153">
        <v>1.47</v>
      </c>
      <c r="G965" s="154">
        <v>1.17</v>
      </c>
      <c r="H965" s="152">
        <v>2016</v>
      </c>
      <c r="I965" s="152" t="s">
        <v>5582</v>
      </c>
    </row>
    <row r="966" spans="1:9" ht="18" x14ac:dyDescent="0.25">
      <c r="A966" s="152" t="str">
        <f t="shared" ref="A966:A1004" si="15">SUBSTITUTE(B966,CHAR(32),"")</f>
        <v>149535N</v>
      </c>
      <c r="B966" s="152" t="s">
        <v>8078</v>
      </c>
      <c r="C966" s="152" t="s">
        <v>8079</v>
      </c>
      <c r="D966" s="152" t="s">
        <v>5505</v>
      </c>
      <c r="E966" s="153"/>
      <c r="F966" s="153">
        <v>1.45</v>
      </c>
      <c r="G966" s="154">
        <v>1.1599999999999999</v>
      </c>
      <c r="H966" s="152">
        <v>2020</v>
      </c>
      <c r="I966" s="152" t="s">
        <v>5587</v>
      </c>
    </row>
    <row r="967" spans="1:9" ht="18" x14ac:dyDescent="0.25">
      <c r="A967" s="152" t="str">
        <f t="shared" si="15"/>
        <v>133258I</v>
      </c>
      <c r="B967" s="152" t="s">
        <v>8080</v>
      </c>
      <c r="C967" s="152" t="s">
        <v>8081</v>
      </c>
      <c r="D967" s="152" t="s">
        <v>5505</v>
      </c>
      <c r="E967" s="153"/>
      <c r="F967" s="153">
        <v>1.34</v>
      </c>
      <c r="G967" s="154">
        <v>1.07</v>
      </c>
      <c r="H967" s="152">
        <v>2024</v>
      </c>
      <c r="I967" s="152" t="s">
        <v>5635</v>
      </c>
    </row>
    <row r="968" spans="1:9" ht="18" x14ac:dyDescent="0.25">
      <c r="A968" s="152" t="str">
        <f t="shared" si="15"/>
        <v>014308I</v>
      </c>
      <c r="B968" s="152" t="s">
        <v>7009</v>
      </c>
      <c r="C968" s="152" t="s">
        <v>7010</v>
      </c>
      <c r="D968" s="152" t="s">
        <v>26</v>
      </c>
      <c r="E968" s="153"/>
      <c r="F968" s="153">
        <v>6.52</v>
      </c>
      <c r="G968" s="154">
        <v>5.21</v>
      </c>
      <c r="H968" s="152">
        <v>2024</v>
      </c>
      <c r="I968" s="152" t="s">
        <v>5582</v>
      </c>
    </row>
    <row r="969" spans="1:9" ht="18" x14ac:dyDescent="0.25">
      <c r="A969" s="152" t="str">
        <f t="shared" si="15"/>
        <v>018351V</v>
      </c>
      <c r="B969" s="152" t="s">
        <v>7013</v>
      </c>
      <c r="C969" s="152" t="s">
        <v>7014</v>
      </c>
      <c r="D969" s="152" t="s">
        <v>7543</v>
      </c>
      <c r="E969" s="153"/>
      <c r="F969" s="153">
        <v>1.17</v>
      </c>
      <c r="G969" s="154">
        <v>0.94</v>
      </c>
      <c r="H969" s="152">
        <v>2024</v>
      </c>
      <c r="I969" s="152" t="s">
        <v>5705</v>
      </c>
    </row>
    <row r="970" spans="1:9" ht="18" x14ac:dyDescent="0.25">
      <c r="A970" s="152" t="str">
        <f t="shared" si="15"/>
        <v>135321R</v>
      </c>
      <c r="B970" s="152" t="s">
        <v>7017</v>
      </c>
      <c r="C970" s="152" t="s">
        <v>7018</v>
      </c>
      <c r="D970" s="152" t="s">
        <v>7537</v>
      </c>
      <c r="E970" s="153"/>
      <c r="F970" s="153">
        <v>0.79</v>
      </c>
      <c r="G970" s="154">
        <v>0.63</v>
      </c>
      <c r="H970" s="152">
        <v>2014</v>
      </c>
      <c r="I970" s="152" t="s">
        <v>5768</v>
      </c>
    </row>
    <row r="971" spans="1:9" ht="18" x14ac:dyDescent="0.25">
      <c r="A971" s="152" t="str">
        <f t="shared" si="15"/>
        <v>014318S</v>
      </c>
      <c r="B971" s="152" t="s">
        <v>7019</v>
      </c>
      <c r="C971" s="152" t="s">
        <v>7020</v>
      </c>
      <c r="D971" s="152" t="s">
        <v>5704</v>
      </c>
      <c r="E971" s="153"/>
      <c r="F971" s="153">
        <v>1.98</v>
      </c>
      <c r="G971" s="154">
        <v>1.59</v>
      </c>
      <c r="H971" s="152">
        <v>2024</v>
      </c>
      <c r="I971" s="152" t="s">
        <v>5625</v>
      </c>
    </row>
    <row r="972" spans="1:9" ht="18" x14ac:dyDescent="0.25">
      <c r="A972" s="152" t="str">
        <f t="shared" si="15"/>
        <v>014321V</v>
      </c>
      <c r="B972" s="152" t="s">
        <v>7021</v>
      </c>
      <c r="C972" s="152" t="s">
        <v>7022</v>
      </c>
      <c r="D972" s="152" t="s">
        <v>26</v>
      </c>
      <c r="E972" s="153"/>
      <c r="F972" s="153">
        <v>8.06</v>
      </c>
      <c r="G972" s="154">
        <v>6.45</v>
      </c>
      <c r="H972" s="152">
        <v>2023</v>
      </c>
      <c r="I972" s="152" t="s">
        <v>5566</v>
      </c>
    </row>
    <row r="973" spans="1:9" ht="18" x14ac:dyDescent="0.25">
      <c r="A973" s="152" t="str">
        <f t="shared" si="15"/>
        <v>113559R</v>
      </c>
      <c r="B973" s="152" t="s">
        <v>7450</v>
      </c>
      <c r="C973" s="152" t="s">
        <v>7451</v>
      </c>
      <c r="D973" s="152" t="s">
        <v>5503</v>
      </c>
      <c r="E973" s="153"/>
      <c r="F973" s="153">
        <v>4.16</v>
      </c>
      <c r="G973" s="154">
        <v>3.33</v>
      </c>
      <c r="H973" s="152">
        <v>2015</v>
      </c>
      <c r="I973" s="152" t="s">
        <v>5657</v>
      </c>
    </row>
    <row r="974" spans="1:9" ht="18" x14ac:dyDescent="0.25">
      <c r="A974" s="152" t="str">
        <f t="shared" si="15"/>
        <v>122158K</v>
      </c>
      <c r="B974" s="152" t="s">
        <v>7027</v>
      </c>
      <c r="C974" s="152" t="s">
        <v>7028</v>
      </c>
      <c r="D974" s="152" t="s">
        <v>5505</v>
      </c>
      <c r="E974" s="153"/>
      <c r="F974" s="153">
        <v>1.63</v>
      </c>
      <c r="G974" s="154">
        <v>1.31</v>
      </c>
      <c r="H974" s="152">
        <v>2014</v>
      </c>
      <c r="I974" s="152" t="s">
        <v>5639</v>
      </c>
    </row>
    <row r="975" spans="1:9" ht="18" x14ac:dyDescent="0.25">
      <c r="A975" s="152" t="str">
        <f t="shared" si="15"/>
        <v>153252D</v>
      </c>
      <c r="B975" s="152" t="s">
        <v>8082</v>
      </c>
      <c r="C975" s="152" t="s">
        <v>8083</v>
      </c>
      <c r="D975" s="152" t="s">
        <v>7537</v>
      </c>
      <c r="E975" s="153"/>
      <c r="F975" s="153">
        <v>0.46</v>
      </c>
      <c r="G975" s="154">
        <v>0.37</v>
      </c>
      <c r="H975" s="152">
        <v>2015</v>
      </c>
      <c r="I975" s="152" t="s">
        <v>5594</v>
      </c>
    </row>
    <row r="976" spans="1:9" ht="18" x14ac:dyDescent="0.25">
      <c r="A976" s="152" t="str">
        <f t="shared" si="15"/>
        <v>017665L</v>
      </c>
      <c r="B976" s="152" t="s">
        <v>7031</v>
      </c>
      <c r="C976" s="152" t="s">
        <v>7032</v>
      </c>
      <c r="D976" s="152" t="s">
        <v>5505</v>
      </c>
      <c r="E976" s="153"/>
      <c r="F976" s="153">
        <v>1.52</v>
      </c>
      <c r="G976" s="154">
        <v>1.21</v>
      </c>
      <c r="H976" s="152">
        <v>2013</v>
      </c>
      <c r="I976" s="152" t="s">
        <v>6229</v>
      </c>
    </row>
    <row r="977" spans="1:9" ht="18" x14ac:dyDescent="0.25">
      <c r="A977" s="152" t="str">
        <f t="shared" si="15"/>
        <v>147794W</v>
      </c>
      <c r="B977" s="152" t="s">
        <v>8084</v>
      </c>
      <c r="C977" s="152" t="s">
        <v>8085</v>
      </c>
      <c r="D977" s="152" t="s">
        <v>7537</v>
      </c>
      <c r="E977" s="153"/>
      <c r="F977" s="153">
        <v>0.94</v>
      </c>
      <c r="G977" s="154">
        <v>0.75</v>
      </c>
      <c r="H977" s="152">
        <v>2013</v>
      </c>
      <c r="I977" s="152" t="s">
        <v>5678</v>
      </c>
    </row>
    <row r="978" spans="1:9" ht="18" x14ac:dyDescent="0.25">
      <c r="A978" s="152" t="str">
        <f t="shared" si="15"/>
        <v>014337L</v>
      </c>
      <c r="B978" s="152" t="s">
        <v>7033</v>
      </c>
      <c r="C978" s="152" t="s">
        <v>7034</v>
      </c>
      <c r="D978" s="152" t="s">
        <v>5505</v>
      </c>
      <c r="E978" s="153"/>
      <c r="F978" s="153">
        <v>2.09</v>
      </c>
      <c r="G978" s="154">
        <v>1.67</v>
      </c>
      <c r="H978" s="152">
        <v>2024</v>
      </c>
      <c r="I978" s="152" t="s">
        <v>5566</v>
      </c>
    </row>
    <row r="979" spans="1:9" ht="18" x14ac:dyDescent="0.25">
      <c r="A979" s="152" t="str">
        <f t="shared" si="15"/>
        <v>121975J</v>
      </c>
      <c r="B979" s="152" t="s">
        <v>7037</v>
      </c>
      <c r="C979" s="152" t="s">
        <v>7038</v>
      </c>
      <c r="D979" s="152" t="s">
        <v>5504</v>
      </c>
      <c r="E979" s="153"/>
      <c r="F979" s="153">
        <v>2.5</v>
      </c>
      <c r="G979" s="154">
        <v>2</v>
      </c>
      <c r="H979" s="152">
        <v>2015</v>
      </c>
      <c r="I979" s="152" t="s">
        <v>5573</v>
      </c>
    </row>
    <row r="980" spans="1:9" ht="18" x14ac:dyDescent="0.25">
      <c r="A980" s="152" t="str">
        <f t="shared" si="15"/>
        <v>156249L</v>
      </c>
      <c r="B980" s="152" t="s">
        <v>8086</v>
      </c>
      <c r="C980" s="152" t="s">
        <v>8087</v>
      </c>
      <c r="D980" s="152" t="s">
        <v>7543</v>
      </c>
      <c r="E980" s="153"/>
      <c r="F980" s="153">
        <v>1.2</v>
      </c>
      <c r="G980" s="154">
        <v>0.96</v>
      </c>
      <c r="H980" s="152">
        <v>2024</v>
      </c>
      <c r="I980" s="152" t="s">
        <v>5671</v>
      </c>
    </row>
    <row r="981" spans="1:9" ht="18" x14ac:dyDescent="0.25">
      <c r="A981" s="152" t="str">
        <f t="shared" si="15"/>
        <v>142654S</v>
      </c>
      <c r="B981" s="152" t="s">
        <v>8088</v>
      </c>
      <c r="C981" s="152" t="s">
        <v>8089</v>
      </c>
      <c r="D981" s="152" t="s">
        <v>7537</v>
      </c>
      <c r="E981" s="153"/>
      <c r="F981" s="153">
        <v>0.59</v>
      </c>
      <c r="G981" s="154">
        <v>0.47</v>
      </c>
      <c r="H981" s="152">
        <v>2011</v>
      </c>
      <c r="I981" s="152" t="s">
        <v>5563</v>
      </c>
    </row>
    <row r="982" spans="1:9" ht="18" x14ac:dyDescent="0.25">
      <c r="A982" s="152" t="str">
        <f t="shared" si="15"/>
        <v>181923S</v>
      </c>
      <c r="B982" s="152" t="s">
        <v>8592</v>
      </c>
      <c r="C982" s="152" t="s">
        <v>8593</v>
      </c>
      <c r="D982" s="152" t="s">
        <v>5704</v>
      </c>
      <c r="E982" s="153"/>
      <c r="F982" s="153">
        <v>2.76</v>
      </c>
      <c r="G982" s="154">
        <v>2.21</v>
      </c>
      <c r="H982" s="152">
        <v>2024</v>
      </c>
      <c r="I982" s="152" t="s">
        <v>5735</v>
      </c>
    </row>
    <row r="983" spans="1:9" ht="18" x14ac:dyDescent="0.25">
      <c r="A983" s="152" t="str">
        <f t="shared" si="15"/>
        <v>166108C</v>
      </c>
      <c r="B983" s="152" t="s">
        <v>8090</v>
      </c>
      <c r="C983" s="152" t="s">
        <v>8091</v>
      </c>
      <c r="D983" s="152" t="s">
        <v>7537</v>
      </c>
      <c r="E983" s="153"/>
      <c r="F983" s="153">
        <v>0.31</v>
      </c>
      <c r="G983" s="154">
        <v>0.25</v>
      </c>
      <c r="H983" s="152">
        <v>2019</v>
      </c>
      <c r="I983" s="152" t="s">
        <v>5895</v>
      </c>
    </row>
    <row r="984" spans="1:9" ht="18" x14ac:dyDescent="0.25">
      <c r="A984" s="152" t="str">
        <f t="shared" si="15"/>
        <v>143726Y</v>
      </c>
      <c r="B984" s="152" t="s">
        <v>8092</v>
      </c>
      <c r="C984" s="152" t="s">
        <v>8093</v>
      </c>
      <c r="D984" s="152" t="s">
        <v>5505</v>
      </c>
      <c r="E984" s="153"/>
      <c r="F984" s="153">
        <v>1.42</v>
      </c>
      <c r="G984" s="154">
        <v>1.1299999999999999</v>
      </c>
      <c r="H984" s="152">
        <v>2012</v>
      </c>
      <c r="I984" s="152" t="s">
        <v>5657</v>
      </c>
    </row>
    <row r="985" spans="1:9" ht="18" x14ac:dyDescent="0.25">
      <c r="A985" s="152" t="str">
        <f t="shared" si="15"/>
        <v>113963F</v>
      </c>
      <c r="B985" s="152" t="s">
        <v>7041</v>
      </c>
      <c r="C985" s="152" t="s">
        <v>7042</v>
      </c>
      <c r="D985" s="152" t="s">
        <v>5505</v>
      </c>
      <c r="E985" s="153"/>
      <c r="F985" s="153">
        <v>1.4</v>
      </c>
      <c r="G985" s="154">
        <v>1.1200000000000001</v>
      </c>
      <c r="H985" s="152">
        <v>2014</v>
      </c>
      <c r="I985" s="152" t="s">
        <v>5615</v>
      </c>
    </row>
    <row r="986" spans="1:9" ht="18" x14ac:dyDescent="0.25">
      <c r="A986" s="152" t="str">
        <f t="shared" si="15"/>
        <v>014348W</v>
      </c>
      <c r="B986" s="152" t="s">
        <v>7043</v>
      </c>
      <c r="C986" s="152" t="s">
        <v>7044</v>
      </c>
      <c r="D986" s="152" t="s">
        <v>5505</v>
      </c>
      <c r="E986" s="153"/>
      <c r="F986" s="153">
        <v>1.61</v>
      </c>
      <c r="G986" s="154">
        <v>1.29</v>
      </c>
      <c r="H986" s="152">
        <v>2021</v>
      </c>
      <c r="I986" s="152" t="s">
        <v>5735</v>
      </c>
    </row>
    <row r="987" spans="1:9" ht="18" x14ac:dyDescent="0.25">
      <c r="A987" s="152" t="str">
        <f t="shared" si="15"/>
        <v>133009T</v>
      </c>
      <c r="B987" s="152" t="s">
        <v>7531</v>
      </c>
      <c r="C987" s="152" t="s">
        <v>7532</v>
      </c>
      <c r="D987" s="152" t="s">
        <v>5504</v>
      </c>
      <c r="E987" s="153"/>
      <c r="F987" s="153">
        <v>3.84</v>
      </c>
      <c r="G987" s="154">
        <v>3.07</v>
      </c>
      <c r="H987" s="152">
        <v>2009</v>
      </c>
      <c r="I987" s="152" t="s">
        <v>5559</v>
      </c>
    </row>
    <row r="988" spans="1:9" ht="18" x14ac:dyDescent="0.25">
      <c r="A988" s="152" t="str">
        <f t="shared" si="15"/>
        <v>168882S</v>
      </c>
      <c r="B988" s="152" t="s">
        <v>7045</v>
      </c>
      <c r="C988" s="152" t="s">
        <v>7046</v>
      </c>
      <c r="D988" s="152" t="s">
        <v>5597</v>
      </c>
      <c r="E988" s="153"/>
      <c r="F988" s="153">
        <v>4.03</v>
      </c>
      <c r="G988" s="154">
        <v>3.22</v>
      </c>
      <c r="H988" s="152">
        <v>2024</v>
      </c>
      <c r="I988" s="152" t="s">
        <v>5678</v>
      </c>
    </row>
    <row r="989" spans="1:9" ht="18" x14ac:dyDescent="0.25">
      <c r="A989" s="152" t="str">
        <f t="shared" si="15"/>
        <v>136062E</v>
      </c>
      <c r="B989" s="152" t="s">
        <v>7452</v>
      </c>
      <c r="C989" s="152" t="s">
        <v>7453</v>
      </c>
      <c r="D989" s="152" t="s">
        <v>5505</v>
      </c>
      <c r="E989" s="153"/>
      <c r="F989" s="153">
        <v>2.1</v>
      </c>
      <c r="G989" s="154">
        <v>1.68</v>
      </c>
      <c r="H989" s="152">
        <v>2020</v>
      </c>
      <c r="I989" s="152" t="s">
        <v>5912</v>
      </c>
    </row>
    <row r="990" spans="1:9" ht="18" x14ac:dyDescent="0.25">
      <c r="A990" s="152" t="str">
        <f t="shared" si="15"/>
        <v>171108M</v>
      </c>
      <c r="B990" s="152" t="s">
        <v>7047</v>
      </c>
      <c r="C990" s="152" t="s">
        <v>7048</v>
      </c>
      <c r="D990" s="152" t="s">
        <v>7543</v>
      </c>
      <c r="E990" s="153"/>
      <c r="F990" s="153">
        <v>1.24</v>
      </c>
      <c r="G990" s="154">
        <v>0.99</v>
      </c>
      <c r="H990" s="152">
        <v>2024</v>
      </c>
      <c r="I990" s="152" t="s">
        <v>5573</v>
      </c>
    </row>
    <row r="991" spans="1:9" ht="18" x14ac:dyDescent="0.25">
      <c r="A991" s="152" t="str">
        <f t="shared" si="15"/>
        <v>182166G</v>
      </c>
      <c r="B991" s="152" t="s">
        <v>8594</v>
      </c>
      <c r="C991" s="152" t="s">
        <v>8595</v>
      </c>
      <c r="D991" s="152" t="s">
        <v>7543</v>
      </c>
      <c r="E991" s="153"/>
      <c r="F991" s="153">
        <v>2.06</v>
      </c>
      <c r="G991" s="154">
        <v>1.64</v>
      </c>
      <c r="H991" s="152">
        <v>2024</v>
      </c>
      <c r="I991" s="152" t="s">
        <v>5582</v>
      </c>
    </row>
    <row r="992" spans="1:9" ht="18" x14ac:dyDescent="0.25">
      <c r="A992" s="152" t="str">
        <f t="shared" si="15"/>
        <v>120852E</v>
      </c>
      <c r="B992" s="152" t="s">
        <v>7049</v>
      </c>
      <c r="C992" s="152" t="s">
        <v>7050</v>
      </c>
      <c r="D992" s="152" t="s">
        <v>5504</v>
      </c>
      <c r="E992" s="153"/>
      <c r="F992" s="153">
        <v>2.4</v>
      </c>
      <c r="G992" s="154">
        <v>1.92</v>
      </c>
      <c r="H992" s="152">
        <v>2017</v>
      </c>
      <c r="I992" s="152" t="s">
        <v>5657</v>
      </c>
    </row>
    <row r="993" spans="1:9" ht="18" x14ac:dyDescent="0.25">
      <c r="A993" s="152" t="str">
        <f t="shared" si="15"/>
        <v>173924Y</v>
      </c>
      <c r="B993" s="152" t="s">
        <v>8094</v>
      </c>
      <c r="C993" s="152" t="s">
        <v>8095</v>
      </c>
      <c r="D993" s="152" t="s">
        <v>5504</v>
      </c>
      <c r="E993" s="153"/>
      <c r="F993" s="153">
        <v>3.92</v>
      </c>
      <c r="G993" s="154">
        <v>3.13</v>
      </c>
      <c r="H993" s="152">
        <v>2022</v>
      </c>
      <c r="I993" s="152" t="s">
        <v>5587</v>
      </c>
    </row>
    <row r="994" spans="1:9" ht="18" x14ac:dyDescent="0.25">
      <c r="A994" s="152" t="str">
        <f t="shared" si="15"/>
        <v>142325B</v>
      </c>
      <c r="B994" s="152" t="s">
        <v>7454</v>
      </c>
      <c r="C994" s="152" t="s">
        <v>7455</v>
      </c>
      <c r="D994" s="152" t="s">
        <v>5505</v>
      </c>
      <c r="E994" s="153"/>
      <c r="F994" s="153">
        <v>1.93</v>
      </c>
      <c r="G994" s="154">
        <v>1.54</v>
      </c>
      <c r="H994" s="152">
        <v>2020</v>
      </c>
      <c r="I994" s="152" t="s">
        <v>5912</v>
      </c>
    </row>
    <row r="995" spans="1:9" ht="18" x14ac:dyDescent="0.25">
      <c r="A995" s="152" t="str">
        <f t="shared" si="15"/>
        <v>014354C</v>
      </c>
      <c r="B995" s="152" t="s">
        <v>7055</v>
      </c>
      <c r="C995" s="152" t="s">
        <v>7056</v>
      </c>
      <c r="D995" s="152" t="s">
        <v>5505</v>
      </c>
      <c r="E995" s="153"/>
      <c r="F995" s="153">
        <v>1.42</v>
      </c>
      <c r="G995" s="154">
        <v>1.1399999999999999</v>
      </c>
      <c r="H995" s="152">
        <v>2019</v>
      </c>
      <c r="I995" s="152" t="s">
        <v>5635</v>
      </c>
    </row>
    <row r="996" spans="1:9" ht="18" x14ac:dyDescent="0.25">
      <c r="A996" s="152" t="str">
        <f t="shared" si="15"/>
        <v>160033Z</v>
      </c>
      <c r="B996" s="152" t="s">
        <v>8096</v>
      </c>
      <c r="C996" s="152" t="s">
        <v>8097</v>
      </c>
      <c r="D996" s="152" t="s">
        <v>7537</v>
      </c>
      <c r="E996" s="153"/>
      <c r="F996" s="153">
        <v>1.08</v>
      </c>
      <c r="G996" s="154">
        <v>0.87</v>
      </c>
      <c r="H996" s="152">
        <v>2017</v>
      </c>
      <c r="I996" s="152" t="s">
        <v>5608</v>
      </c>
    </row>
    <row r="997" spans="1:9" ht="18" x14ac:dyDescent="0.25">
      <c r="A997" s="152" t="str">
        <f t="shared" si="15"/>
        <v>020532S</v>
      </c>
      <c r="B997" s="152" t="s">
        <v>7059</v>
      </c>
      <c r="C997" s="152" t="s">
        <v>7060</v>
      </c>
      <c r="D997" s="152" t="s">
        <v>24</v>
      </c>
      <c r="E997" s="153"/>
      <c r="F997" s="153" t="s">
        <v>5552</v>
      </c>
      <c r="G997" s="154">
        <v>14.31</v>
      </c>
      <c r="H997" s="152">
        <v>2009</v>
      </c>
      <c r="I997" s="152" t="s">
        <v>5553</v>
      </c>
    </row>
    <row r="998" spans="1:9" ht="18" x14ac:dyDescent="0.25">
      <c r="A998" s="152" t="str">
        <f t="shared" si="15"/>
        <v>140068G</v>
      </c>
      <c r="B998" s="152" t="s">
        <v>7063</v>
      </c>
      <c r="C998" s="152" t="s">
        <v>7064</v>
      </c>
      <c r="D998" s="152" t="s">
        <v>5505</v>
      </c>
      <c r="E998" s="153"/>
      <c r="F998" s="153">
        <v>1.4</v>
      </c>
      <c r="G998" s="154">
        <v>1.1200000000000001</v>
      </c>
      <c r="H998" s="152">
        <v>2016</v>
      </c>
      <c r="I998" s="152" t="s">
        <v>5635</v>
      </c>
    </row>
    <row r="999" spans="1:9" ht="18" x14ac:dyDescent="0.25">
      <c r="A999" s="152" t="str">
        <f t="shared" si="15"/>
        <v>162785Q</v>
      </c>
      <c r="B999" s="152" t="s">
        <v>7067</v>
      </c>
      <c r="C999" s="152" t="s">
        <v>7068</v>
      </c>
      <c r="D999" s="152" t="s">
        <v>5504</v>
      </c>
      <c r="E999" s="153"/>
      <c r="F999" s="153">
        <v>2.63</v>
      </c>
      <c r="G999" s="154">
        <v>2.11</v>
      </c>
      <c r="H999" s="152">
        <v>2022</v>
      </c>
      <c r="I999" s="152" t="s">
        <v>5553</v>
      </c>
    </row>
    <row r="1000" spans="1:9" ht="18" x14ac:dyDescent="0.25">
      <c r="A1000" s="152" t="str">
        <f t="shared" si="15"/>
        <v>177291H</v>
      </c>
      <c r="B1000" s="152" t="s">
        <v>8098</v>
      </c>
      <c r="C1000" s="152" t="s">
        <v>7457</v>
      </c>
      <c r="D1000" s="152" t="s">
        <v>7537</v>
      </c>
      <c r="E1000" s="153"/>
      <c r="F1000" s="153">
        <v>0.76</v>
      </c>
      <c r="G1000" s="154">
        <v>0.61</v>
      </c>
      <c r="H1000" s="152">
        <v>2023</v>
      </c>
      <c r="I1000" s="152" t="s">
        <v>5768</v>
      </c>
    </row>
    <row r="1001" spans="1:9" ht="18" x14ac:dyDescent="0.25">
      <c r="A1001" s="152" t="str">
        <f t="shared" si="15"/>
        <v>159110W</v>
      </c>
      <c r="B1001" s="152" t="s">
        <v>7458</v>
      </c>
      <c r="C1001" s="152" t="s">
        <v>7459</v>
      </c>
      <c r="D1001" s="152" t="s">
        <v>5505</v>
      </c>
      <c r="E1001" s="153"/>
      <c r="F1001" s="153">
        <v>1.23</v>
      </c>
      <c r="G1001" s="154">
        <v>0.99</v>
      </c>
      <c r="H1001" s="152">
        <v>2024</v>
      </c>
      <c r="I1001" s="152" t="s">
        <v>5912</v>
      </c>
    </row>
    <row r="1002" spans="1:9" ht="18" x14ac:dyDescent="0.25">
      <c r="A1002" s="152" t="str">
        <f t="shared" si="15"/>
        <v>154638K</v>
      </c>
      <c r="B1002" s="152" t="s">
        <v>7460</v>
      </c>
      <c r="C1002" s="152" t="s">
        <v>7461</v>
      </c>
      <c r="D1002" s="152" t="s">
        <v>7543</v>
      </c>
      <c r="E1002" s="153"/>
      <c r="F1002" s="153">
        <v>1.88</v>
      </c>
      <c r="G1002" s="154">
        <v>1.5</v>
      </c>
      <c r="H1002" s="152">
        <v>2024</v>
      </c>
      <c r="I1002" s="152" t="s">
        <v>5559</v>
      </c>
    </row>
    <row r="1003" spans="1:9" ht="18" x14ac:dyDescent="0.25">
      <c r="A1003" s="152" t="str">
        <f t="shared" si="15"/>
        <v>014360I</v>
      </c>
      <c r="B1003" s="152" t="s">
        <v>7069</v>
      </c>
      <c r="C1003" s="152" t="s">
        <v>7070</v>
      </c>
      <c r="D1003" s="152" t="s">
        <v>5505</v>
      </c>
      <c r="E1003" s="153"/>
      <c r="F1003" s="153">
        <v>1.78</v>
      </c>
      <c r="G1003" s="154">
        <v>1.43</v>
      </c>
      <c r="H1003" s="152">
        <v>2020</v>
      </c>
      <c r="I1003" s="152" t="s">
        <v>5912</v>
      </c>
    </row>
    <row r="1004" spans="1:9" ht="18.75" thickBot="1" x14ac:dyDescent="0.3">
      <c r="A1004" s="133" t="str">
        <f t="shared" si="15"/>
        <v>014364M</v>
      </c>
      <c r="B1004" s="133" t="s">
        <v>7071</v>
      </c>
      <c r="C1004" s="133" t="s">
        <v>7072</v>
      </c>
      <c r="D1004" s="133" t="s">
        <v>5504</v>
      </c>
      <c r="E1004" s="134"/>
      <c r="F1004" s="134">
        <v>3.39</v>
      </c>
      <c r="G1004" s="135">
        <v>2.71</v>
      </c>
      <c r="H1004" s="133">
        <v>2024</v>
      </c>
      <c r="I1004" s="152" t="s">
        <v>5630</v>
      </c>
    </row>
  </sheetData>
  <sheetProtection algorithmName="SHA-512" hashValue="D3uQW70rPSRR/oJ6wzCb2umyiNDi+/lT3E1H9w8aHyfE44DiHIg9ltjFdQFop6ZQvYAX6mspTE1ug5MYRplhPw==" saltValue="PeR/++ZGuWn/3Q+QHxaaVA==" spinCount="100000" sheet="1" objects="1" scenarios="1"/>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5248-8FEA-4091-8C40-FD822B10EDD4}">
  <sheetPr codeName="Feuil12"/>
  <dimension ref="A1:I346"/>
  <sheetViews>
    <sheetView topLeftCell="A302" workbookViewId="0">
      <selection activeCell="J343" sqref="J343"/>
    </sheetView>
  </sheetViews>
  <sheetFormatPr baseColWidth="10" defaultRowHeight="15" x14ac:dyDescent="0.25"/>
  <cols>
    <col min="3" max="3" width="44" bestFit="1" customWidth="1"/>
    <col min="4" max="5" width="11.85546875" customWidth="1"/>
    <col min="6" max="7" width="16.42578125" customWidth="1"/>
    <col min="9" max="9" width="65.42578125" bestFit="1" customWidth="1"/>
  </cols>
  <sheetData>
    <row r="1" spans="1:9" ht="15.75" thickBot="1" x14ac:dyDescent="0.3">
      <c r="A1" t="s">
        <v>27</v>
      </c>
      <c r="B1" s="130" t="s">
        <v>5545</v>
      </c>
      <c r="C1" s="130" t="s">
        <v>5546</v>
      </c>
      <c r="D1" s="130" t="s">
        <v>5512</v>
      </c>
      <c r="E1" s="130" t="s">
        <v>8596</v>
      </c>
      <c r="F1" s="131" t="s">
        <v>5547</v>
      </c>
      <c r="G1" s="131" t="s">
        <v>5548</v>
      </c>
      <c r="H1" s="132" t="s">
        <v>5549</v>
      </c>
      <c r="I1" s="130" t="s">
        <v>10</v>
      </c>
    </row>
    <row r="2" spans="1:9" ht="18.75" thickBot="1" x14ac:dyDescent="0.3">
      <c r="A2" t="str">
        <f t="shared" ref="A2:A65" si="0">SUBSTITUTE(B2,CHAR(32),"")</f>
        <v>126763N</v>
      </c>
      <c r="B2" s="133" t="s">
        <v>5571</v>
      </c>
      <c r="C2" s="133" t="s">
        <v>5572</v>
      </c>
      <c r="D2" s="133" t="s">
        <v>26</v>
      </c>
      <c r="E2" s="133"/>
      <c r="F2" s="134">
        <v>3.49</v>
      </c>
      <c r="G2" s="134">
        <v>2.79</v>
      </c>
      <c r="H2" s="135">
        <v>2010</v>
      </c>
      <c r="I2" s="133" t="s">
        <v>5573</v>
      </c>
    </row>
    <row r="3" spans="1:9" ht="18.75" thickBot="1" x14ac:dyDescent="0.3">
      <c r="A3" t="str">
        <f t="shared" si="0"/>
        <v>012406E</v>
      </c>
      <c r="B3" s="133" t="s">
        <v>5574</v>
      </c>
      <c r="C3" s="133" t="s">
        <v>5575</v>
      </c>
      <c r="D3" s="133" t="s">
        <v>26</v>
      </c>
      <c r="E3" s="133"/>
      <c r="F3" s="134">
        <v>3.74</v>
      </c>
      <c r="G3" s="134">
        <v>2.99</v>
      </c>
      <c r="H3" s="135">
        <v>2019</v>
      </c>
      <c r="I3" s="133" t="s">
        <v>5559</v>
      </c>
    </row>
    <row r="4" spans="1:9" ht="18.75" thickBot="1" x14ac:dyDescent="0.3">
      <c r="A4" t="str">
        <f t="shared" si="0"/>
        <v>012412K</v>
      </c>
      <c r="B4" s="133" t="s">
        <v>7078</v>
      </c>
      <c r="C4" s="133" t="s">
        <v>7079</v>
      </c>
      <c r="D4" s="133" t="s">
        <v>5503</v>
      </c>
      <c r="E4" s="133"/>
      <c r="F4" s="134">
        <v>2.95</v>
      </c>
      <c r="G4" s="134">
        <v>2.36</v>
      </c>
      <c r="H4" s="135">
        <v>2024</v>
      </c>
      <c r="I4" s="133" t="s">
        <v>5744</v>
      </c>
    </row>
    <row r="5" spans="1:9" ht="18.75" thickBot="1" x14ac:dyDescent="0.3">
      <c r="A5" t="str">
        <f t="shared" si="0"/>
        <v>124674E</v>
      </c>
      <c r="B5" s="133" t="s">
        <v>7082</v>
      </c>
      <c r="C5" s="133" t="s">
        <v>7083</v>
      </c>
      <c r="D5" s="133" t="s">
        <v>5503</v>
      </c>
      <c r="E5" s="133"/>
      <c r="F5" s="134">
        <v>1.64</v>
      </c>
      <c r="G5" s="134">
        <v>1.31</v>
      </c>
      <c r="H5" s="135">
        <v>2019</v>
      </c>
      <c r="I5" s="133" t="s">
        <v>5587</v>
      </c>
    </row>
    <row r="6" spans="1:9" ht="18.75" thickBot="1" x14ac:dyDescent="0.3">
      <c r="A6" t="str">
        <f t="shared" si="0"/>
        <v>012435H</v>
      </c>
      <c r="B6" s="133" t="s">
        <v>5588</v>
      </c>
      <c r="C6" s="133" t="s">
        <v>5589</v>
      </c>
      <c r="D6" s="133" t="s">
        <v>26</v>
      </c>
      <c r="E6" s="133"/>
      <c r="F6" s="134">
        <v>4.1900000000000004</v>
      </c>
      <c r="G6" s="134">
        <v>3.35</v>
      </c>
      <c r="H6" s="135">
        <v>2024</v>
      </c>
      <c r="I6" s="133" t="s">
        <v>5553</v>
      </c>
    </row>
    <row r="7" spans="1:9" ht="18.75" thickBot="1" x14ac:dyDescent="0.3">
      <c r="A7" t="str">
        <f t="shared" si="0"/>
        <v>150616N</v>
      </c>
      <c r="B7" s="133" t="s">
        <v>5609</v>
      </c>
      <c r="C7" s="133" t="s">
        <v>5610</v>
      </c>
      <c r="D7" s="133" t="s">
        <v>26</v>
      </c>
      <c r="E7" s="133"/>
      <c r="F7" s="134">
        <v>4.0999999999999996</v>
      </c>
      <c r="G7" s="134">
        <v>3.28</v>
      </c>
      <c r="H7" s="135">
        <v>2020</v>
      </c>
      <c r="I7" s="133" t="s">
        <v>5601</v>
      </c>
    </row>
    <row r="8" spans="1:9" ht="18.75" thickBot="1" x14ac:dyDescent="0.3">
      <c r="A8" t="str">
        <f t="shared" si="0"/>
        <v>110992Y</v>
      </c>
      <c r="B8" s="133" t="s">
        <v>5616</v>
      </c>
      <c r="C8" s="133" t="s">
        <v>5617</v>
      </c>
      <c r="D8" s="133" t="s">
        <v>26</v>
      </c>
      <c r="E8" s="133"/>
      <c r="F8" s="134">
        <v>3.59</v>
      </c>
      <c r="G8" s="134">
        <v>2.87</v>
      </c>
      <c r="H8" s="135">
        <v>2022</v>
      </c>
      <c r="I8" s="133" t="s">
        <v>5559</v>
      </c>
    </row>
    <row r="9" spans="1:9" ht="18.75" thickBot="1" x14ac:dyDescent="0.3">
      <c r="A9" t="str">
        <f t="shared" si="0"/>
        <v>162414M</v>
      </c>
      <c r="B9" s="133" t="s">
        <v>5623</v>
      </c>
      <c r="C9" s="133" t="s">
        <v>5624</v>
      </c>
      <c r="D9" s="133" t="s">
        <v>5503</v>
      </c>
      <c r="E9" s="133"/>
      <c r="F9" s="134">
        <v>2.63</v>
      </c>
      <c r="G9" s="134">
        <v>2.11</v>
      </c>
      <c r="H9" s="135">
        <v>2024</v>
      </c>
      <c r="I9" s="133" t="s">
        <v>5625</v>
      </c>
    </row>
    <row r="10" spans="1:9" ht="18.75" thickBot="1" x14ac:dyDescent="0.3">
      <c r="A10" t="str">
        <f t="shared" si="0"/>
        <v>103412K</v>
      </c>
      <c r="B10" s="133" t="s">
        <v>5626</v>
      </c>
      <c r="C10" s="133" t="s">
        <v>5627</v>
      </c>
      <c r="D10" s="133" t="s">
        <v>5503</v>
      </c>
      <c r="E10" s="133"/>
      <c r="F10" s="134">
        <v>2.84</v>
      </c>
      <c r="G10" s="134">
        <v>2.27</v>
      </c>
      <c r="H10" s="135">
        <v>2024</v>
      </c>
      <c r="I10" s="133" t="s">
        <v>5587</v>
      </c>
    </row>
    <row r="11" spans="1:9" ht="18.75" thickBot="1" x14ac:dyDescent="0.3">
      <c r="A11" t="str">
        <f t="shared" si="0"/>
        <v>149859Q</v>
      </c>
      <c r="B11" s="133" t="s">
        <v>5644</v>
      </c>
      <c r="C11" s="133" t="s">
        <v>5645</v>
      </c>
      <c r="D11" s="133" t="s">
        <v>5503</v>
      </c>
      <c r="E11" s="133"/>
      <c r="F11" s="134">
        <v>1.44</v>
      </c>
      <c r="G11" s="134">
        <v>1.1499999999999999</v>
      </c>
      <c r="H11" s="135">
        <v>2023</v>
      </c>
      <c r="I11" s="133" t="s">
        <v>5646</v>
      </c>
    </row>
    <row r="12" spans="1:9" ht="18.75" thickBot="1" x14ac:dyDescent="0.3">
      <c r="A12" t="str">
        <f t="shared" si="0"/>
        <v>136073P</v>
      </c>
      <c r="B12" s="133" t="s">
        <v>5652</v>
      </c>
      <c r="C12" s="133" t="s">
        <v>5653</v>
      </c>
      <c r="D12" s="133" t="s">
        <v>26</v>
      </c>
      <c r="E12" s="133"/>
      <c r="F12" s="134">
        <v>3.68</v>
      </c>
      <c r="G12" s="134">
        <v>2.94</v>
      </c>
      <c r="H12" s="135">
        <v>2018</v>
      </c>
      <c r="I12" s="133" t="s">
        <v>5654</v>
      </c>
    </row>
    <row r="13" spans="1:9" ht="18.75" thickBot="1" x14ac:dyDescent="0.3">
      <c r="A13" t="str">
        <f t="shared" si="0"/>
        <v>012474U</v>
      </c>
      <c r="B13" s="133" t="s">
        <v>5655</v>
      </c>
      <c r="C13" s="133" t="s">
        <v>5656</v>
      </c>
      <c r="D13" s="133" t="s">
        <v>26</v>
      </c>
      <c r="E13" s="133"/>
      <c r="F13" s="134">
        <v>3.5</v>
      </c>
      <c r="G13" s="134">
        <v>2.8</v>
      </c>
      <c r="H13" s="135">
        <v>2023</v>
      </c>
      <c r="I13" s="133" t="s">
        <v>5657</v>
      </c>
    </row>
    <row r="14" spans="1:9" ht="18.75" thickBot="1" x14ac:dyDescent="0.3">
      <c r="A14" t="str">
        <f t="shared" si="0"/>
        <v>103243X</v>
      </c>
      <c r="B14" s="133" t="s">
        <v>5672</v>
      </c>
      <c r="C14" s="133" t="s">
        <v>5673</v>
      </c>
      <c r="D14" s="133" t="s">
        <v>5503</v>
      </c>
      <c r="E14" s="133"/>
      <c r="F14" s="134">
        <v>3.04</v>
      </c>
      <c r="G14" s="134">
        <v>2.4300000000000002</v>
      </c>
      <c r="H14" s="135">
        <v>2012</v>
      </c>
      <c r="I14" s="133" t="s">
        <v>5566</v>
      </c>
    </row>
    <row r="15" spans="1:9" ht="18.75" thickBot="1" x14ac:dyDescent="0.3">
      <c r="A15" t="str">
        <f t="shared" si="0"/>
        <v>012498S</v>
      </c>
      <c r="B15" s="133" t="s">
        <v>5676</v>
      </c>
      <c r="C15" s="133" t="s">
        <v>5677</v>
      </c>
      <c r="D15" s="133" t="s">
        <v>25</v>
      </c>
      <c r="E15" s="133"/>
      <c r="F15" s="134" t="s">
        <v>5552</v>
      </c>
      <c r="G15" s="134">
        <v>6.86</v>
      </c>
      <c r="H15" s="135">
        <v>2024</v>
      </c>
      <c r="I15" s="133" t="s">
        <v>5678</v>
      </c>
    </row>
    <row r="16" spans="1:9" ht="18.75" thickBot="1" x14ac:dyDescent="0.3">
      <c r="A16" t="str">
        <f t="shared" si="0"/>
        <v>123077T</v>
      </c>
      <c r="B16" s="133" t="s">
        <v>7084</v>
      </c>
      <c r="C16" s="133" t="s">
        <v>7085</v>
      </c>
      <c r="D16" s="133" t="s">
        <v>25</v>
      </c>
      <c r="E16" s="133"/>
      <c r="F16" s="134" t="s">
        <v>5552</v>
      </c>
      <c r="G16" s="134">
        <v>6.42</v>
      </c>
      <c r="H16" s="135">
        <v>2010</v>
      </c>
      <c r="I16" s="133" t="s">
        <v>5635</v>
      </c>
    </row>
    <row r="17" spans="1:9" ht="18.75" thickBot="1" x14ac:dyDescent="0.3">
      <c r="A17" t="str">
        <f t="shared" si="0"/>
        <v>012508C</v>
      </c>
      <c r="B17" s="133" t="s">
        <v>5683</v>
      </c>
      <c r="C17" s="133" t="s">
        <v>5684</v>
      </c>
      <c r="D17" s="133" t="s">
        <v>25</v>
      </c>
      <c r="E17" s="133"/>
      <c r="F17" s="134" t="s">
        <v>5552</v>
      </c>
      <c r="G17" s="134">
        <v>5.82</v>
      </c>
      <c r="H17" s="135">
        <v>2024</v>
      </c>
      <c r="I17" s="133" t="s">
        <v>5563</v>
      </c>
    </row>
    <row r="18" spans="1:9" ht="18.75" thickBot="1" x14ac:dyDescent="0.3">
      <c r="A18" t="str">
        <f t="shared" si="0"/>
        <v>106421D</v>
      </c>
      <c r="B18" s="133" t="s">
        <v>5687</v>
      </c>
      <c r="C18" s="133" t="s">
        <v>5688</v>
      </c>
      <c r="D18" s="133" t="s">
        <v>25</v>
      </c>
      <c r="E18" s="133"/>
      <c r="F18" s="134" t="s">
        <v>5552</v>
      </c>
      <c r="G18" s="134">
        <v>3.8</v>
      </c>
      <c r="H18" s="135">
        <v>2018</v>
      </c>
      <c r="I18" s="133" t="s">
        <v>5563</v>
      </c>
    </row>
    <row r="19" spans="1:9" ht="18.75" thickBot="1" x14ac:dyDescent="0.3">
      <c r="A19" t="str">
        <f t="shared" si="0"/>
        <v>012514I</v>
      </c>
      <c r="B19" s="133" t="s">
        <v>5689</v>
      </c>
      <c r="C19" s="133" t="s">
        <v>5690</v>
      </c>
      <c r="D19" s="133" t="s">
        <v>5503</v>
      </c>
      <c r="E19" s="133"/>
      <c r="F19" s="134">
        <v>2.6</v>
      </c>
      <c r="G19" s="134">
        <v>2.08</v>
      </c>
      <c r="H19" s="135">
        <v>2010</v>
      </c>
      <c r="I19" s="133" t="s">
        <v>5630</v>
      </c>
    </row>
    <row r="20" spans="1:9" ht="18.75" thickBot="1" x14ac:dyDescent="0.3">
      <c r="A20" t="str">
        <f t="shared" si="0"/>
        <v>012515J</v>
      </c>
      <c r="B20" s="133" t="s">
        <v>5691</v>
      </c>
      <c r="C20" s="133" t="s">
        <v>5692</v>
      </c>
      <c r="D20" s="133" t="s">
        <v>24</v>
      </c>
      <c r="E20" s="133"/>
      <c r="F20" s="134" t="s">
        <v>5552</v>
      </c>
      <c r="G20" s="134">
        <v>9.98</v>
      </c>
      <c r="H20" s="135">
        <v>2020</v>
      </c>
      <c r="I20" s="133" t="s">
        <v>5553</v>
      </c>
    </row>
    <row r="21" spans="1:9" ht="18.75" thickBot="1" x14ac:dyDescent="0.3">
      <c r="A21" t="str">
        <f t="shared" si="0"/>
        <v>117766M</v>
      </c>
      <c r="B21" s="133" t="s">
        <v>5693</v>
      </c>
      <c r="C21" s="133" t="s">
        <v>5694</v>
      </c>
      <c r="D21" s="133" t="s">
        <v>26</v>
      </c>
      <c r="E21" s="133"/>
      <c r="F21" s="134">
        <v>5.52</v>
      </c>
      <c r="G21" s="134">
        <v>4.42</v>
      </c>
      <c r="H21" s="135">
        <v>2010</v>
      </c>
      <c r="I21" s="133" t="s">
        <v>5630</v>
      </c>
    </row>
    <row r="22" spans="1:9" ht="18.75" thickBot="1" x14ac:dyDescent="0.3">
      <c r="A22" t="str">
        <f t="shared" si="0"/>
        <v>012531Z</v>
      </c>
      <c r="B22" s="133" t="s">
        <v>5699</v>
      </c>
      <c r="C22" s="133" t="s">
        <v>5700</v>
      </c>
      <c r="D22" s="133" t="s">
        <v>24</v>
      </c>
      <c r="E22" s="133"/>
      <c r="F22" s="134" t="s">
        <v>5552</v>
      </c>
      <c r="G22" s="134">
        <v>11.32</v>
      </c>
      <c r="H22" s="135">
        <v>2012</v>
      </c>
      <c r="I22" s="133" t="s">
        <v>5701</v>
      </c>
    </row>
    <row r="23" spans="1:9" ht="18.75" thickBot="1" x14ac:dyDescent="0.3">
      <c r="A23" t="str">
        <f t="shared" si="0"/>
        <v>105548O</v>
      </c>
      <c r="B23" s="133" t="s">
        <v>7094</v>
      </c>
      <c r="C23" s="133" t="s">
        <v>7095</v>
      </c>
      <c r="D23" s="133" t="s">
        <v>25</v>
      </c>
      <c r="E23" s="133"/>
      <c r="F23" s="134" t="s">
        <v>5552</v>
      </c>
      <c r="G23" s="134">
        <v>8.76</v>
      </c>
      <c r="H23" s="135">
        <v>2014</v>
      </c>
      <c r="I23" s="133" t="s">
        <v>5657</v>
      </c>
    </row>
    <row r="24" spans="1:9" ht="18.75" thickBot="1" x14ac:dyDescent="0.3">
      <c r="A24" t="str">
        <f t="shared" si="0"/>
        <v>012557Z</v>
      </c>
      <c r="B24" s="133" t="s">
        <v>5722</v>
      </c>
      <c r="C24" s="133" t="s">
        <v>5723</v>
      </c>
      <c r="D24" s="133" t="s">
        <v>25</v>
      </c>
      <c r="E24" s="133"/>
      <c r="F24" s="134" t="s">
        <v>5552</v>
      </c>
      <c r="G24" s="134">
        <v>8.0399999999999991</v>
      </c>
      <c r="H24" s="135">
        <v>2008</v>
      </c>
      <c r="I24" s="133" t="s">
        <v>5594</v>
      </c>
    </row>
    <row r="25" spans="1:9" ht="18.75" thickBot="1" x14ac:dyDescent="0.3">
      <c r="A25" t="str">
        <f t="shared" si="0"/>
        <v>012558A</v>
      </c>
      <c r="B25" s="133" t="s">
        <v>7464</v>
      </c>
      <c r="C25" s="133" t="s">
        <v>7465</v>
      </c>
      <c r="D25" s="133" t="s">
        <v>25</v>
      </c>
      <c r="E25" s="133"/>
      <c r="F25" s="134" t="s">
        <v>5552</v>
      </c>
      <c r="G25" s="134">
        <v>5</v>
      </c>
      <c r="H25" s="135">
        <v>2012</v>
      </c>
      <c r="I25" s="133" t="s">
        <v>5657</v>
      </c>
    </row>
    <row r="26" spans="1:9" ht="18.75" thickBot="1" x14ac:dyDescent="0.3">
      <c r="A26" t="str">
        <f t="shared" si="0"/>
        <v>117442A</v>
      </c>
      <c r="B26" s="133" t="s">
        <v>5727</v>
      </c>
      <c r="C26" s="133" t="s">
        <v>5728</v>
      </c>
      <c r="D26" s="133" t="s">
        <v>26</v>
      </c>
      <c r="E26" s="133"/>
      <c r="F26" s="134">
        <v>5.16</v>
      </c>
      <c r="G26" s="134">
        <v>4.13</v>
      </c>
      <c r="H26" s="135">
        <v>2011</v>
      </c>
      <c r="I26" s="133" t="s">
        <v>5594</v>
      </c>
    </row>
    <row r="27" spans="1:9" ht="18.75" thickBot="1" x14ac:dyDescent="0.3">
      <c r="A27" t="str">
        <f t="shared" si="0"/>
        <v>126980W</v>
      </c>
      <c r="B27" s="133" t="s">
        <v>5747</v>
      </c>
      <c r="C27" s="133" t="s">
        <v>5748</v>
      </c>
      <c r="D27" s="133" t="s">
        <v>25</v>
      </c>
      <c r="E27" s="133"/>
      <c r="F27" s="134" t="s">
        <v>5552</v>
      </c>
      <c r="G27" s="134">
        <v>7.73</v>
      </c>
      <c r="H27" s="135">
        <v>2015</v>
      </c>
      <c r="I27" s="133" t="s">
        <v>5553</v>
      </c>
    </row>
    <row r="28" spans="1:9" ht="18.75" thickBot="1" x14ac:dyDescent="0.3">
      <c r="A28" t="str">
        <f t="shared" si="0"/>
        <v>149275F</v>
      </c>
      <c r="B28" s="133" t="s">
        <v>5749</v>
      </c>
      <c r="C28" s="133" t="s">
        <v>5750</v>
      </c>
      <c r="D28" s="133" t="s">
        <v>5503</v>
      </c>
      <c r="E28" s="133"/>
      <c r="F28" s="134">
        <v>1.66</v>
      </c>
      <c r="G28" s="134">
        <v>1.33</v>
      </c>
      <c r="H28" s="135">
        <v>2019</v>
      </c>
      <c r="I28" s="133" t="s">
        <v>5635</v>
      </c>
    </row>
    <row r="29" spans="1:9" ht="18.75" thickBot="1" x14ac:dyDescent="0.3">
      <c r="A29" t="str">
        <f t="shared" si="0"/>
        <v>012583Z</v>
      </c>
      <c r="B29" s="133" t="s">
        <v>5751</v>
      </c>
      <c r="C29" s="133" t="s">
        <v>5752</v>
      </c>
      <c r="D29" s="133" t="s">
        <v>5503</v>
      </c>
      <c r="E29" s="133"/>
      <c r="F29" s="134">
        <v>2.71</v>
      </c>
      <c r="G29" s="134">
        <v>2.17</v>
      </c>
      <c r="H29" s="135">
        <v>2023</v>
      </c>
      <c r="I29" s="133" t="s">
        <v>5563</v>
      </c>
    </row>
    <row r="30" spans="1:9" ht="18.75" thickBot="1" x14ac:dyDescent="0.3">
      <c r="A30" t="str">
        <f t="shared" si="0"/>
        <v>140314S</v>
      </c>
      <c r="B30" s="133" t="s">
        <v>5759</v>
      </c>
      <c r="C30" s="133" t="s">
        <v>5760</v>
      </c>
      <c r="D30" s="133" t="s">
        <v>5503</v>
      </c>
      <c r="E30" s="133"/>
      <c r="F30" s="134">
        <v>2.72</v>
      </c>
      <c r="G30" s="134">
        <v>2.17</v>
      </c>
      <c r="H30" s="135">
        <v>2023</v>
      </c>
      <c r="I30" s="133" t="s">
        <v>5657</v>
      </c>
    </row>
    <row r="31" spans="1:9" ht="18.75" thickBot="1" x14ac:dyDescent="0.3">
      <c r="A31" t="str">
        <f t="shared" si="0"/>
        <v>105944U</v>
      </c>
      <c r="B31" s="133" t="s">
        <v>5763</v>
      </c>
      <c r="C31" s="133" t="s">
        <v>5764</v>
      </c>
      <c r="D31" s="133" t="s">
        <v>25</v>
      </c>
      <c r="E31" s="133"/>
      <c r="F31" s="134" t="s">
        <v>5552</v>
      </c>
      <c r="G31" s="134">
        <v>5.35</v>
      </c>
      <c r="H31" s="135">
        <v>2020</v>
      </c>
      <c r="I31" s="133" t="s">
        <v>5635</v>
      </c>
    </row>
    <row r="32" spans="1:9" ht="18.75" thickBot="1" x14ac:dyDescent="0.3">
      <c r="A32" t="str">
        <f t="shared" si="0"/>
        <v>142512G</v>
      </c>
      <c r="B32" s="133" t="s">
        <v>7098</v>
      </c>
      <c r="C32" s="133" t="s">
        <v>7099</v>
      </c>
      <c r="D32" s="133" t="s">
        <v>25</v>
      </c>
      <c r="E32" s="133"/>
      <c r="F32" s="134" t="s">
        <v>5552</v>
      </c>
      <c r="G32" s="134">
        <v>4.55</v>
      </c>
      <c r="H32" s="135">
        <v>2019</v>
      </c>
      <c r="I32" s="133" t="s">
        <v>5553</v>
      </c>
    </row>
    <row r="33" spans="1:9" ht="18.75" thickBot="1" x14ac:dyDescent="0.3">
      <c r="A33" t="str">
        <f t="shared" si="0"/>
        <v>156100Z</v>
      </c>
      <c r="B33" s="133" t="s">
        <v>5766</v>
      </c>
      <c r="C33" s="133" t="s">
        <v>5767</v>
      </c>
      <c r="D33" s="133" t="s">
        <v>5503</v>
      </c>
      <c r="E33" s="133"/>
      <c r="F33" s="134">
        <v>1.98</v>
      </c>
      <c r="G33" s="134">
        <v>1.58</v>
      </c>
      <c r="H33" s="135">
        <v>2024</v>
      </c>
      <c r="I33" s="133" t="s">
        <v>5768</v>
      </c>
    </row>
    <row r="34" spans="1:9" ht="18.75" thickBot="1" x14ac:dyDescent="0.3">
      <c r="A34" t="str">
        <f t="shared" si="0"/>
        <v>155821W</v>
      </c>
      <c r="B34" s="133" t="s">
        <v>5769</v>
      </c>
      <c r="C34" s="133" t="s">
        <v>5770</v>
      </c>
      <c r="D34" s="133" t="s">
        <v>5503</v>
      </c>
      <c r="E34" s="133"/>
      <c r="F34" s="134">
        <v>1.47</v>
      </c>
      <c r="G34" s="134">
        <v>1.17</v>
      </c>
      <c r="H34" s="135">
        <v>2023</v>
      </c>
      <c r="I34" s="133" t="s">
        <v>5587</v>
      </c>
    </row>
    <row r="35" spans="1:9" ht="18.75" thickBot="1" x14ac:dyDescent="0.3">
      <c r="A35" t="str">
        <f t="shared" si="0"/>
        <v>133831J</v>
      </c>
      <c r="B35" s="133" t="s">
        <v>7106</v>
      </c>
      <c r="C35" s="133" t="s">
        <v>7107</v>
      </c>
      <c r="D35" s="133" t="s">
        <v>5503</v>
      </c>
      <c r="E35" s="133"/>
      <c r="F35" s="134">
        <v>1.45</v>
      </c>
      <c r="G35" s="134">
        <v>1.1599999999999999</v>
      </c>
      <c r="H35" s="135">
        <v>2023</v>
      </c>
      <c r="I35" s="133" t="s">
        <v>5768</v>
      </c>
    </row>
    <row r="36" spans="1:9" ht="18.75" thickBot="1" x14ac:dyDescent="0.3">
      <c r="A36" t="str">
        <f t="shared" si="0"/>
        <v>161827Z</v>
      </c>
      <c r="B36" s="133" t="s">
        <v>7110</v>
      </c>
      <c r="C36" s="133" t="s">
        <v>7111</v>
      </c>
      <c r="D36" s="133" t="s">
        <v>26</v>
      </c>
      <c r="E36" s="133"/>
      <c r="F36" s="134">
        <v>4.8499999999999996</v>
      </c>
      <c r="G36" s="134">
        <v>3.88</v>
      </c>
      <c r="H36" s="135">
        <v>2024</v>
      </c>
      <c r="I36" s="133" t="s">
        <v>5671</v>
      </c>
    </row>
    <row r="37" spans="1:9" ht="18.75" thickBot="1" x14ac:dyDescent="0.3">
      <c r="A37" t="str">
        <f t="shared" si="0"/>
        <v>149332S</v>
      </c>
      <c r="B37" s="133" t="s">
        <v>7112</v>
      </c>
      <c r="C37" s="133" t="s">
        <v>7113</v>
      </c>
      <c r="D37" s="133" t="s">
        <v>5503</v>
      </c>
      <c r="E37" s="133"/>
      <c r="F37" s="134">
        <v>1.05</v>
      </c>
      <c r="G37" s="134">
        <v>0.84</v>
      </c>
      <c r="H37" s="135">
        <v>2023</v>
      </c>
      <c r="I37" s="133" t="s">
        <v>5598</v>
      </c>
    </row>
    <row r="38" spans="1:9" ht="18.75" thickBot="1" x14ac:dyDescent="0.3">
      <c r="A38" t="str">
        <f t="shared" si="0"/>
        <v>138257P</v>
      </c>
      <c r="B38" s="133" t="s">
        <v>7116</v>
      </c>
      <c r="C38" s="133" t="s">
        <v>7117</v>
      </c>
      <c r="D38" s="133" t="s">
        <v>5503</v>
      </c>
      <c r="E38" s="133"/>
      <c r="F38" s="134">
        <v>1.65</v>
      </c>
      <c r="G38" s="134">
        <v>1.32</v>
      </c>
      <c r="H38" s="135">
        <v>2018</v>
      </c>
      <c r="I38" s="133" t="s">
        <v>5657</v>
      </c>
    </row>
    <row r="39" spans="1:9" ht="18.75" thickBot="1" x14ac:dyDescent="0.3">
      <c r="A39" t="str">
        <f t="shared" si="0"/>
        <v>137099B</v>
      </c>
      <c r="B39" s="133" t="s">
        <v>7118</v>
      </c>
      <c r="C39" s="133" t="s">
        <v>7119</v>
      </c>
      <c r="D39" s="133" t="s">
        <v>26</v>
      </c>
      <c r="E39" s="133"/>
      <c r="F39" s="134">
        <v>3.52</v>
      </c>
      <c r="G39" s="134">
        <v>2.82</v>
      </c>
      <c r="H39" s="135">
        <v>2017</v>
      </c>
      <c r="I39" s="133" t="s">
        <v>5787</v>
      </c>
    </row>
    <row r="40" spans="1:9" ht="18.75" thickBot="1" x14ac:dyDescent="0.3">
      <c r="A40" t="str">
        <f t="shared" si="0"/>
        <v>132716M</v>
      </c>
      <c r="B40" s="133" t="s">
        <v>5783</v>
      </c>
      <c r="C40" s="133" t="s">
        <v>5784</v>
      </c>
      <c r="D40" s="133" t="s">
        <v>26</v>
      </c>
      <c r="E40" s="133"/>
      <c r="F40" s="134">
        <v>3.22</v>
      </c>
      <c r="G40" s="134">
        <v>2.58</v>
      </c>
      <c r="H40" s="135">
        <v>2015</v>
      </c>
      <c r="I40" s="133" t="s">
        <v>5639</v>
      </c>
    </row>
    <row r="41" spans="1:9" ht="18.75" thickBot="1" x14ac:dyDescent="0.3">
      <c r="A41" t="str">
        <f t="shared" si="0"/>
        <v>012657V</v>
      </c>
      <c r="B41" s="133" t="s">
        <v>5785</v>
      </c>
      <c r="C41" s="133" t="s">
        <v>5786</v>
      </c>
      <c r="D41" s="133" t="s">
        <v>25</v>
      </c>
      <c r="E41" s="133"/>
      <c r="F41" s="134" t="s">
        <v>5552</v>
      </c>
      <c r="G41" s="134">
        <v>5.25</v>
      </c>
      <c r="H41" s="135">
        <v>2014</v>
      </c>
      <c r="I41" s="133" t="s">
        <v>5787</v>
      </c>
    </row>
    <row r="42" spans="1:9" ht="18.75" thickBot="1" x14ac:dyDescent="0.3">
      <c r="A42" t="str">
        <f t="shared" si="0"/>
        <v>012659X</v>
      </c>
      <c r="B42" s="133" t="s">
        <v>7466</v>
      </c>
      <c r="C42" s="133" t="s">
        <v>7467</v>
      </c>
      <c r="D42" s="133" t="s">
        <v>25</v>
      </c>
      <c r="E42" s="133"/>
      <c r="F42" s="134" t="s">
        <v>5552</v>
      </c>
      <c r="G42" s="134">
        <v>3.51</v>
      </c>
      <c r="H42" s="135">
        <v>2015</v>
      </c>
      <c r="I42" s="133" t="s">
        <v>5646</v>
      </c>
    </row>
    <row r="43" spans="1:9" ht="18.75" thickBot="1" x14ac:dyDescent="0.3">
      <c r="A43" t="str">
        <f t="shared" si="0"/>
        <v>012665D</v>
      </c>
      <c r="B43" s="133" t="s">
        <v>5788</v>
      </c>
      <c r="C43" s="133" t="s">
        <v>5789</v>
      </c>
      <c r="D43" s="133" t="s">
        <v>26</v>
      </c>
      <c r="E43" s="133"/>
      <c r="F43" s="134">
        <v>3.5</v>
      </c>
      <c r="G43" s="134">
        <v>2.8</v>
      </c>
      <c r="H43" s="135">
        <v>2023</v>
      </c>
      <c r="I43" s="133" t="s">
        <v>8513</v>
      </c>
    </row>
    <row r="44" spans="1:9" ht="18.75" thickBot="1" x14ac:dyDescent="0.3">
      <c r="A44" t="str">
        <f t="shared" si="0"/>
        <v>103467N</v>
      </c>
      <c r="B44" s="133" t="s">
        <v>5793</v>
      </c>
      <c r="C44" s="133" t="s">
        <v>5794</v>
      </c>
      <c r="D44" s="133" t="s">
        <v>25</v>
      </c>
      <c r="E44" s="133"/>
      <c r="F44" s="134" t="s">
        <v>5552</v>
      </c>
      <c r="G44" s="134">
        <v>4.43</v>
      </c>
      <c r="H44" s="135">
        <v>2019</v>
      </c>
      <c r="I44" s="133" t="s">
        <v>5598</v>
      </c>
    </row>
    <row r="45" spans="1:9" ht="18.75" thickBot="1" x14ac:dyDescent="0.3">
      <c r="A45" t="str">
        <f t="shared" si="0"/>
        <v>012671J</v>
      </c>
      <c r="B45" s="133" t="s">
        <v>5802</v>
      </c>
      <c r="C45" s="133" t="s">
        <v>5803</v>
      </c>
      <c r="D45" s="133" t="s">
        <v>5503</v>
      </c>
      <c r="E45" s="133"/>
      <c r="F45" s="134">
        <v>2.41</v>
      </c>
      <c r="G45" s="134">
        <v>1.93</v>
      </c>
      <c r="H45" s="135">
        <v>2013</v>
      </c>
      <c r="I45" s="133" t="s">
        <v>5792</v>
      </c>
    </row>
    <row r="46" spans="1:9" ht="18.75" thickBot="1" x14ac:dyDescent="0.3">
      <c r="A46" t="str">
        <f t="shared" si="0"/>
        <v>120633T</v>
      </c>
      <c r="B46" s="133" t="s">
        <v>7126</v>
      </c>
      <c r="C46" s="133" t="s">
        <v>7127</v>
      </c>
      <c r="D46" s="133" t="s">
        <v>26</v>
      </c>
      <c r="E46" s="133"/>
      <c r="F46" s="134">
        <v>3.08</v>
      </c>
      <c r="G46" s="134">
        <v>2.46</v>
      </c>
      <c r="H46" s="135">
        <v>2015</v>
      </c>
      <c r="I46" s="133" t="s">
        <v>5657</v>
      </c>
    </row>
    <row r="47" spans="1:9" ht="18.75" thickBot="1" x14ac:dyDescent="0.3">
      <c r="A47" t="str">
        <f t="shared" si="0"/>
        <v>145284W</v>
      </c>
      <c r="B47" s="133" t="s">
        <v>5806</v>
      </c>
      <c r="C47" s="133" t="s">
        <v>5807</v>
      </c>
      <c r="D47" s="133" t="s">
        <v>5503</v>
      </c>
      <c r="E47" s="133"/>
      <c r="F47" s="134">
        <v>2.37</v>
      </c>
      <c r="G47" s="134">
        <v>1.89</v>
      </c>
      <c r="H47" s="135">
        <v>2024</v>
      </c>
      <c r="I47" s="133" t="s">
        <v>5625</v>
      </c>
    </row>
    <row r="48" spans="1:9" ht="18.75" thickBot="1" x14ac:dyDescent="0.3">
      <c r="A48" t="str">
        <f t="shared" si="0"/>
        <v>103163V</v>
      </c>
      <c r="B48" s="133" t="s">
        <v>5808</v>
      </c>
      <c r="C48" s="133" t="s">
        <v>5809</v>
      </c>
      <c r="D48" s="133" t="s">
        <v>25</v>
      </c>
      <c r="E48" s="133"/>
      <c r="F48" s="134" t="s">
        <v>5552</v>
      </c>
      <c r="G48" s="134">
        <v>5.33</v>
      </c>
      <c r="H48" s="135">
        <v>2020</v>
      </c>
      <c r="I48" s="133" t="s">
        <v>5566</v>
      </c>
    </row>
    <row r="49" spans="1:9" ht="18.75" thickBot="1" x14ac:dyDescent="0.3">
      <c r="A49" t="str">
        <f t="shared" si="0"/>
        <v>164694Q</v>
      </c>
      <c r="B49" s="133" t="s">
        <v>8518</v>
      </c>
      <c r="C49" s="133" t="s">
        <v>8519</v>
      </c>
      <c r="D49" s="133" t="s">
        <v>5597</v>
      </c>
      <c r="E49" s="133"/>
      <c r="F49" s="134">
        <v>2.46</v>
      </c>
      <c r="G49" s="134">
        <v>1.96</v>
      </c>
      <c r="H49" s="135">
        <v>2024</v>
      </c>
      <c r="I49" s="133" t="s">
        <v>5587</v>
      </c>
    </row>
    <row r="50" spans="1:9" ht="18.75" thickBot="1" x14ac:dyDescent="0.3">
      <c r="A50" t="str">
        <f t="shared" si="0"/>
        <v>138254M</v>
      </c>
      <c r="B50" s="133" t="s">
        <v>5820</v>
      </c>
      <c r="C50" s="133" t="s">
        <v>5821</v>
      </c>
      <c r="D50" s="133" t="s">
        <v>5503</v>
      </c>
      <c r="E50" s="133"/>
      <c r="F50" s="134">
        <v>2.86</v>
      </c>
      <c r="G50" s="134">
        <v>2.29</v>
      </c>
      <c r="H50" s="135">
        <v>2023</v>
      </c>
      <c r="I50" s="133" t="s">
        <v>5587</v>
      </c>
    </row>
    <row r="51" spans="1:9" ht="18.75" thickBot="1" x14ac:dyDescent="0.3">
      <c r="A51" t="str">
        <f t="shared" si="0"/>
        <v>012727N</v>
      </c>
      <c r="B51" s="133" t="s">
        <v>5828</v>
      </c>
      <c r="C51" s="133" t="s">
        <v>5829</v>
      </c>
      <c r="D51" s="133" t="s">
        <v>26</v>
      </c>
      <c r="E51" s="133"/>
      <c r="F51" s="134">
        <v>3.56</v>
      </c>
      <c r="G51" s="134">
        <v>2.84</v>
      </c>
      <c r="H51" s="135">
        <v>2024</v>
      </c>
      <c r="I51" s="133" t="s">
        <v>5553</v>
      </c>
    </row>
    <row r="52" spans="1:9" ht="18.75" thickBot="1" x14ac:dyDescent="0.3">
      <c r="A52" t="str">
        <f t="shared" si="0"/>
        <v>126098Y</v>
      </c>
      <c r="B52" s="133" t="s">
        <v>5836</v>
      </c>
      <c r="C52" s="133" t="s">
        <v>5837</v>
      </c>
      <c r="D52" s="133" t="s">
        <v>26</v>
      </c>
      <c r="E52" s="133"/>
      <c r="F52" s="134">
        <v>3.01</v>
      </c>
      <c r="G52" s="134">
        <v>2.41</v>
      </c>
      <c r="H52" s="135">
        <v>2020</v>
      </c>
      <c r="I52" s="133" t="s">
        <v>5582</v>
      </c>
    </row>
    <row r="53" spans="1:9" ht="18.75" thickBot="1" x14ac:dyDescent="0.3">
      <c r="A53" t="str">
        <f t="shared" si="0"/>
        <v>012734U</v>
      </c>
      <c r="B53" s="133" t="s">
        <v>7132</v>
      </c>
      <c r="C53" s="133" t="s">
        <v>7133</v>
      </c>
      <c r="D53" s="133" t="s">
        <v>26</v>
      </c>
      <c r="E53" s="133"/>
      <c r="F53" s="134">
        <v>3.8</v>
      </c>
      <c r="G53" s="134">
        <v>3.04</v>
      </c>
      <c r="H53" s="135">
        <v>2024</v>
      </c>
      <c r="I53" s="133" t="s">
        <v>5563</v>
      </c>
    </row>
    <row r="54" spans="1:9" ht="18.75" thickBot="1" x14ac:dyDescent="0.3">
      <c r="A54" t="str">
        <f t="shared" si="0"/>
        <v>012736W</v>
      </c>
      <c r="B54" s="133" t="s">
        <v>5840</v>
      </c>
      <c r="C54" s="133" t="s">
        <v>5841</v>
      </c>
      <c r="D54" s="133" t="s">
        <v>26</v>
      </c>
      <c r="E54" s="133"/>
      <c r="F54" s="134">
        <v>4.45</v>
      </c>
      <c r="G54" s="134">
        <v>3.56</v>
      </c>
      <c r="H54" s="135">
        <v>2018</v>
      </c>
      <c r="I54" s="133" t="s">
        <v>5787</v>
      </c>
    </row>
    <row r="55" spans="1:9" ht="18.75" thickBot="1" x14ac:dyDescent="0.3">
      <c r="A55" t="str">
        <f t="shared" si="0"/>
        <v>012743D</v>
      </c>
      <c r="B55" s="133" t="s">
        <v>7134</v>
      </c>
      <c r="C55" s="133" t="s">
        <v>7135</v>
      </c>
      <c r="D55" s="133" t="s">
        <v>25</v>
      </c>
      <c r="E55" s="133"/>
      <c r="F55" s="134" t="s">
        <v>5552</v>
      </c>
      <c r="G55" s="134">
        <v>8.8000000000000007</v>
      </c>
      <c r="H55" s="135">
        <v>2010</v>
      </c>
      <c r="I55" s="133" t="s">
        <v>5635</v>
      </c>
    </row>
    <row r="56" spans="1:9" ht="18.75" thickBot="1" x14ac:dyDescent="0.3">
      <c r="A56" t="str">
        <f t="shared" si="0"/>
        <v>012745F</v>
      </c>
      <c r="B56" s="133" t="s">
        <v>5844</v>
      </c>
      <c r="C56" s="133" t="s">
        <v>5845</v>
      </c>
      <c r="D56" s="133" t="s">
        <v>26</v>
      </c>
      <c r="E56" s="133"/>
      <c r="F56" s="134">
        <v>4.5599999999999996</v>
      </c>
      <c r="G56" s="134">
        <v>3.64</v>
      </c>
      <c r="H56" s="135">
        <v>2024</v>
      </c>
      <c r="I56" s="133" t="s">
        <v>5582</v>
      </c>
    </row>
    <row r="57" spans="1:9" ht="18.75" thickBot="1" x14ac:dyDescent="0.3">
      <c r="A57" t="str">
        <f t="shared" si="0"/>
        <v>127828M</v>
      </c>
      <c r="B57" s="133" t="s">
        <v>7474</v>
      </c>
      <c r="C57" s="133" t="s">
        <v>7475</v>
      </c>
      <c r="D57" s="133" t="s">
        <v>26</v>
      </c>
      <c r="E57" s="133"/>
      <c r="F57" s="134">
        <v>4.58</v>
      </c>
      <c r="G57" s="134">
        <v>3.67</v>
      </c>
      <c r="H57" s="135">
        <v>2013</v>
      </c>
      <c r="I57" s="133" t="s">
        <v>5666</v>
      </c>
    </row>
    <row r="58" spans="1:9" ht="18.75" thickBot="1" x14ac:dyDescent="0.3">
      <c r="A58" t="str">
        <f t="shared" si="0"/>
        <v>012754O</v>
      </c>
      <c r="B58" s="133" t="s">
        <v>5851</v>
      </c>
      <c r="C58" s="133" t="s">
        <v>5852</v>
      </c>
      <c r="D58" s="133" t="s">
        <v>26</v>
      </c>
      <c r="E58" s="133"/>
      <c r="F58" s="134">
        <v>4.37</v>
      </c>
      <c r="G58" s="134">
        <v>3.5</v>
      </c>
      <c r="H58" s="135">
        <v>2014</v>
      </c>
      <c r="I58" s="133" t="s">
        <v>5853</v>
      </c>
    </row>
    <row r="59" spans="1:9" ht="18.75" thickBot="1" x14ac:dyDescent="0.3">
      <c r="A59" t="str">
        <f t="shared" si="0"/>
        <v>012768C</v>
      </c>
      <c r="B59" s="133" t="s">
        <v>5856</v>
      </c>
      <c r="C59" s="133" t="s">
        <v>5857</v>
      </c>
      <c r="D59" s="133" t="s">
        <v>5503</v>
      </c>
      <c r="E59" s="133"/>
      <c r="F59" s="134">
        <v>3.13</v>
      </c>
      <c r="G59" s="134">
        <v>2.5099999999999998</v>
      </c>
      <c r="H59" s="135">
        <v>2014</v>
      </c>
      <c r="I59" s="133" t="s">
        <v>5598</v>
      </c>
    </row>
    <row r="60" spans="1:9" ht="18.75" thickBot="1" x14ac:dyDescent="0.3">
      <c r="A60" t="str">
        <f t="shared" si="0"/>
        <v>012772G</v>
      </c>
      <c r="B60" s="133" t="s">
        <v>5860</v>
      </c>
      <c r="C60" s="133" t="s">
        <v>5861</v>
      </c>
      <c r="D60" s="133" t="s">
        <v>5503</v>
      </c>
      <c r="E60" s="133"/>
      <c r="F60" s="134">
        <v>1.37</v>
      </c>
      <c r="G60" s="134">
        <v>1.1000000000000001</v>
      </c>
      <c r="H60" s="135">
        <v>2010</v>
      </c>
      <c r="I60" s="133" t="s">
        <v>5678</v>
      </c>
    </row>
    <row r="61" spans="1:9" ht="18.75" thickBot="1" x14ac:dyDescent="0.3">
      <c r="A61" t="str">
        <f t="shared" si="0"/>
        <v>117428M</v>
      </c>
      <c r="B61" s="133" t="s">
        <v>7476</v>
      </c>
      <c r="C61" s="133" t="s">
        <v>7477</v>
      </c>
      <c r="D61" s="133" t="s">
        <v>26</v>
      </c>
      <c r="E61" s="133"/>
      <c r="F61" s="134">
        <v>3.82</v>
      </c>
      <c r="G61" s="134">
        <v>3.05</v>
      </c>
      <c r="H61" s="135">
        <v>2016</v>
      </c>
      <c r="I61" s="133" t="s">
        <v>5768</v>
      </c>
    </row>
    <row r="62" spans="1:9" ht="18.75" thickBot="1" x14ac:dyDescent="0.3">
      <c r="A62" t="str">
        <f t="shared" si="0"/>
        <v>012774I</v>
      </c>
      <c r="B62" s="133" t="s">
        <v>7136</v>
      </c>
      <c r="C62" s="133" t="s">
        <v>7137</v>
      </c>
      <c r="D62" s="133" t="s">
        <v>5503</v>
      </c>
      <c r="E62" s="133"/>
      <c r="F62" s="134">
        <v>1.94</v>
      </c>
      <c r="G62" s="134">
        <v>1.55</v>
      </c>
      <c r="H62" s="135">
        <v>2023</v>
      </c>
      <c r="I62" s="133" t="s">
        <v>5678</v>
      </c>
    </row>
    <row r="63" spans="1:9" ht="18.75" thickBot="1" x14ac:dyDescent="0.3">
      <c r="A63" t="str">
        <f t="shared" si="0"/>
        <v>166693N</v>
      </c>
      <c r="B63" s="133" t="s">
        <v>5870</v>
      </c>
      <c r="C63" s="133" t="s">
        <v>5871</v>
      </c>
      <c r="D63" s="133" t="s">
        <v>5597</v>
      </c>
      <c r="E63" s="133"/>
      <c r="F63" s="134">
        <v>2.37</v>
      </c>
      <c r="G63" s="134">
        <v>1.89</v>
      </c>
      <c r="H63" s="135">
        <v>2024</v>
      </c>
      <c r="I63" s="133" t="s">
        <v>5726</v>
      </c>
    </row>
    <row r="64" spans="1:9" ht="18.75" thickBot="1" x14ac:dyDescent="0.3">
      <c r="A64" t="str">
        <f t="shared" si="0"/>
        <v>111340I</v>
      </c>
      <c r="B64" s="133" t="s">
        <v>7140</v>
      </c>
      <c r="C64" s="133" t="s">
        <v>7141</v>
      </c>
      <c r="D64" s="133" t="s">
        <v>5503</v>
      </c>
      <c r="E64" s="133"/>
      <c r="F64" s="134">
        <v>1.78</v>
      </c>
      <c r="G64" s="134">
        <v>1.42</v>
      </c>
      <c r="H64" s="135">
        <v>2019</v>
      </c>
      <c r="I64" s="133" t="s">
        <v>5559</v>
      </c>
    </row>
    <row r="65" spans="1:9" ht="18.75" thickBot="1" x14ac:dyDescent="0.3">
      <c r="A65" t="str">
        <f t="shared" si="0"/>
        <v>123440S</v>
      </c>
      <c r="B65" s="133" t="s">
        <v>7462</v>
      </c>
      <c r="C65" s="133" t="s">
        <v>7463</v>
      </c>
      <c r="D65" s="133" t="s">
        <v>5765</v>
      </c>
      <c r="E65" s="133"/>
      <c r="F65" s="134" t="s">
        <v>5552</v>
      </c>
      <c r="G65" s="134">
        <v>20.95</v>
      </c>
      <c r="H65" s="135">
        <v>2014</v>
      </c>
      <c r="I65" s="133" t="s">
        <v>5678</v>
      </c>
    </row>
    <row r="66" spans="1:9" ht="18.75" thickBot="1" x14ac:dyDescent="0.3">
      <c r="A66" t="str">
        <f t="shared" ref="A66:A129" si="1">SUBSTITUTE(B66,CHAR(32),"")</f>
        <v>111093V</v>
      </c>
      <c r="B66" s="133" t="s">
        <v>7509</v>
      </c>
      <c r="C66" s="133" t="s">
        <v>7510</v>
      </c>
      <c r="D66" s="133" t="s">
        <v>5503</v>
      </c>
      <c r="E66" s="133"/>
      <c r="F66" s="134">
        <v>2.4700000000000002</v>
      </c>
      <c r="G66" s="134">
        <v>1.98</v>
      </c>
      <c r="H66" s="135">
        <v>2015</v>
      </c>
      <c r="I66" s="133" t="s">
        <v>5701</v>
      </c>
    </row>
    <row r="67" spans="1:9" ht="18.75" thickBot="1" x14ac:dyDescent="0.3">
      <c r="A67" t="str">
        <f t="shared" si="1"/>
        <v>117592U</v>
      </c>
      <c r="B67" s="133" t="s">
        <v>5887</v>
      </c>
      <c r="C67" s="133" t="s">
        <v>5888</v>
      </c>
      <c r="D67" s="133" t="s">
        <v>5503</v>
      </c>
      <c r="E67" s="133"/>
      <c r="F67" s="134">
        <v>2.78</v>
      </c>
      <c r="G67" s="134">
        <v>2.23</v>
      </c>
      <c r="H67" s="135">
        <v>2023</v>
      </c>
      <c r="I67" s="133" t="s">
        <v>5657</v>
      </c>
    </row>
    <row r="68" spans="1:9" ht="18.75" thickBot="1" x14ac:dyDescent="0.3">
      <c r="A68" t="str">
        <f t="shared" si="1"/>
        <v>012800I</v>
      </c>
      <c r="B68" s="133" t="s">
        <v>5891</v>
      </c>
      <c r="C68" s="133" t="s">
        <v>5892</v>
      </c>
      <c r="D68" s="133" t="s">
        <v>26</v>
      </c>
      <c r="E68" s="133"/>
      <c r="F68" s="134">
        <v>3.68</v>
      </c>
      <c r="G68" s="134">
        <v>2.94</v>
      </c>
      <c r="H68" s="135">
        <v>2024</v>
      </c>
      <c r="I68" s="133" t="s">
        <v>5639</v>
      </c>
    </row>
    <row r="69" spans="1:9" ht="18.75" thickBot="1" x14ac:dyDescent="0.3">
      <c r="A69" t="str">
        <f t="shared" si="1"/>
        <v>012810S</v>
      </c>
      <c r="B69" s="133" t="s">
        <v>5896</v>
      </c>
      <c r="C69" s="133" t="s">
        <v>5897</v>
      </c>
      <c r="D69" s="133" t="s">
        <v>26</v>
      </c>
      <c r="E69" s="133"/>
      <c r="F69" s="134">
        <v>3.44</v>
      </c>
      <c r="G69" s="134">
        <v>2.75</v>
      </c>
      <c r="H69" s="135">
        <v>2013</v>
      </c>
      <c r="I69" s="133" t="s">
        <v>5553</v>
      </c>
    </row>
    <row r="70" spans="1:9" ht="18.75" thickBot="1" x14ac:dyDescent="0.3">
      <c r="A70" t="str">
        <f t="shared" si="1"/>
        <v>157233F</v>
      </c>
      <c r="B70" s="133" t="s">
        <v>5906</v>
      </c>
      <c r="C70" s="133" t="s">
        <v>5907</v>
      </c>
      <c r="D70" s="133" t="s">
        <v>5503</v>
      </c>
      <c r="E70" s="133"/>
      <c r="F70" s="134">
        <v>1.61</v>
      </c>
      <c r="G70" s="134">
        <v>1.29</v>
      </c>
      <c r="H70" s="135">
        <v>2024</v>
      </c>
      <c r="I70" s="133" t="s">
        <v>5678</v>
      </c>
    </row>
    <row r="71" spans="1:9" ht="18.75" thickBot="1" x14ac:dyDescent="0.3">
      <c r="A71" t="str">
        <f t="shared" si="1"/>
        <v>123238Y</v>
      </c>
      <c r="B71" s="133" t="s">
        <v>5913</v>
      </c>
      <c r="C71" s="133" t="s">
        <v>5914</v>
      </c>
      <c r="D71" s="133" t="s">
        <v>5503</v>
      </c>
      <c r="E71" s="133"/>
      <c r="F71" s="134">
        <v>1.08</v>
      </c>
      <c r="G71" s="134">
        <v>0.87</v>
      </c>
      <c r="H71" s="135">
        <v>2008</v>
      </c>
      <c r="I71" s="133" t="s">
        <v>5678</v>
      </c>
    </row>
    <row r="72" spans="1:9" ht="18.75" thickBot="1" x14ac:dyDescent="0.3">
      <c r="A72" t="str">
        <f t="shared" si="1"/>
        <v>121672S</v>
      </c>
      <c r="B72" s="133" t="s">
        <v>7150</v>
      </c>
      <c r="C72" s="133" t="s">
        <v>7151</v>
      </c>
      <c r="D72" s="133" t="s">
        <v>26</v>
      </c>
      <c r="E72" s="133"/>
      <c r="F72" s="134">
        <v>3.62</v>
      </c>
      <c r="G72" s="134">
        <v>2.89</v>
      </c>
      <c r="H72" s="135">
        <v>2010</v>
      </c>
      <c r="I72" s="133" t="s">
        <v>5671</v>
      </c>
    </row>
    <row r="73" spans="1:9" ht="18.75" thickBot="1" x14ac:dyDescent="0.3">
      <c r="A73" t="str">
        <f t="shared" si="1"/>
        <v>153123N</v>
      </c>
      <c r="B73" s="133" t="s">
        <v>5923</v>
      </c>
      <c r="C73" s="133" t="s">
        <v>5924</v>
      </c>
      <c r="D73" s="133" t="s">
        <v>26</v>
      </c>
      <c r="E73" s="133"/>
      <c r="F73" s="134">
        <v>5.2</v>
      </c>
      <c r="G73" s="134">
        <v>4.16</v>
      </c>
      <c r="H73" s="135">
        <v>2024</v>
      </c>
      <c r="I73" s="133" t="s">
        <v>5701</v>
      </c>
    </row>
    <row r="74" spans="1:9" ht="18.75" thickBot="1" x14ac:dyDescent="0.3">
      <c r="A74" t="str">
        <f t="shared" si="1"/>
        <v>141770S</v>
      </c>
      <c r="B74" s="133" t="s">
        <v>7158</v>
      </c>
      <c r="C74" s="133" t="s">
        <v>7159</v>
      </c>
      <c r="D74" s="133" t="s">
        <v>5503</v>
      </c>
      <c r="E74" s="133"/>
      <c r="F74" s="134">
        <v>3.12</v>
      </c>
      <c r="G74" s="134">
        <v>2.5</v>
      </c>
      <c r="H74" s="135">
        <v>2019</v>
      </c>
      <c r="I74" s="133" t="s">
        <v>5657</v>
      </c>
    </row>
    <row r="75" spans="1:9" ht="18.75" thickBot="1" x14ac:dyDescent="0.3">
      <c r="A75" t="str">
        <f t="shared" si="1"/>
        <v>131196A</v>
      </c>
      <c r="B75" s="133" t="s">
        <v>5937</v>
      </c>
      <c r="C75" s="133" t="s">
        <v>5938</v>
      </c>
      <c r="D75" s="133" t="s">
        <v>5503</v>
      </c>
      <c r="E75" s="133"/>
      <c r="F75" s="134">
        <v>1.9</v>
      </c>
      <c r="G75" s="134">
        <v>1.52</v>
      </c>
      <c r="H75" s="135">
        <v>2024</v>
      </c>
      <c r="I75" s="133" t="s">
        <v>5625</v>
      </c>
    </row>
    <row r="76" spans="1:9" ht="18.75" thickBot="1" x14ac:dyDescent="0.3">
      <c r="A76" t="str">
        <f t="shared" si="1"/>
        <v>012898C</v>
      </c>
      <c r="B76" s="133" t="s">
        <v>5943</v>
      </c>
      <c r="C76" s="133" t="s">
        <v>5944</v>
      </c>
      <c r="D76" s="133" t="s">
        <v>24</v>
      </c>
      <c r="E76" s="133"/>
      <c r="F76" s="134" t="s">
        <v>5552</v>
      </c>
      <c r="G76" s="134">
        <v>9.8000000000000007</v>
      </c>
      <c r="H76" s="135">
        <v>2010</v>
      </c>
      <c r="I76" s="133" t="s">
        <v>5559</v>
      </c>
    </row>
    <row r="77" spans="1:9" ht="18.75" thickBot="1" x14ac:dyDescent="0.3">
      <c r="A77" t="str">
        <f t="shared" si="1"/>
        <v>012903H</v>
      </c>
      <c r="B77" s="133" t="s">
        <v>5951</v>
      </c>
      <c r="C77" s="133" t="s">
        <v>5952</v>
      </c>
      <c r="D77" s="133" t="s">
        <v>5503</v>
      </c>
      <c r="E77" s="133"/>
      <c r="F77" s="134">
        <v>2.86</v>
      </c>
      <c r="G77" s="134">
        <v>2.29</v>
      </c>
      <c r="H77" s="135">
        <v>2024</v>
      </c>
      <c r="I77" s="133" t="s">
        <v>5639</v>
      </c>
    </row>
    <row r="78" spans="1:9" ht="18.75" thickBot="1" x14ac:dyDescent="0.3">
      <c r="A78" t="str">
        <f t="shared" si="1"/>
        <v>012912Q</v>
      </c>
      <c r="B78" s="133" t="s">
        <v>5953</v>
      </c>
      <c r="C78" s="133" t="s">
        <v>5954</v>
      </c>
      <c r="D78" s="133" t="s">
        <v>25</v>
      </c>
      <c r="E78" s="133"/>
      <c r="F78" s="134" t="s">
        <v>5552</v>
      </c>
      <c r="G78" s="134">
        <v>5.05</v>
      </c>
      <c r="H78" s="135">
        <v>2016</v>
      </c>
      <c r="I78" s="133" t="s">
        <v>5553</v>
      </c>
    </row>
    <row r="79" spans="1:9" ht="18.75" thickBot="1" x14ac:dyDescent="0.3">
      <c r="A79" t="str">
        <f t="shared" si="1"/>
        <v>012913R</v>
      </c>
      <c r="B79" s="133" t="s">
        <v>5955</v>
      </c>
      <c r="C79" s="133" t="s">
        <v>5956</v>
      </c>
      <c r="D79" s="133" t="s">
        <v>26</v>
      </c>
      <c r="E79" s="133"/>
      <c r="F79" s="134">
        <v>4.2</v>
      </c>
      <c r="G79" s="134">
        <v>3.36</v>
      </c>
      <c r="H79" s="135">
        <v>2023</v>
      </c>
      <c r="I79" s="133" t="s">
        <v>5553</v>
      </c>
    </row>
    <row r="80" spans="1:9" ht="18.75" thickBot="1" x14ac:dyDescent="0.3">
      <c r="A80" t="str">
        <f t="shared" si="1"/>
        <v>016878E</v>
      </c>
      <c r="B80" s="133" t="s">
        <v>5957</v>
      </c>
      <c r="C80" s="133" t="s">
        <v>5958</v>
      </c>
      <c r="D80" s="133" t="s">
        <v>24</v>
      </c>
      <c r="E80" s="133"/>
      <c r="F80" s="134" t="s">
        <v>5552</v>
      </c>
      <c r="G80" s="134">
        <v>9.2799999999999994</v>
      </c>
      <c r="H80" s="135">
        <v>2020</v>
      </c>
      <c r="I80" s="133" t="s">
        <v>5678</v>
      </c>
    </row>
    <row r="81" spans="1:9" ht="18.75" thickBot="1" x14ac:dyDescent="0.3">
      <c r="A81" t="str">
        <f t="shared" si="1"/>
        <v>150854X</v>
      </c>
      <c r="B81" s="133" t="s">
        <v>5959</v>
      </c>
      <c r="C81" s="133" t="s">
        <v>5960</v>
      </c>
      <c r="D81" s="133" t="s">
        <v>26</v>
      </c>
      <c r="E81" s="133"/>
      <c r="F81" s="134">
        <v>3.82</v>
      </c>
      <c r="G81" s="134">
        <v>3.06</v>
      </c>
      <c r="H81" s="135">
        <v>2024</v>
      </c>
      <c r="I81" s="133" t="s">
        <v>5701</v>
      </c>
    </row>
    <row r="82" spans="1:9" ht="18.75" thickBot="1" x14ac:dyDescent="0.3">
      <c r="A82" t="str">
        <f t="shared" si="1"/>
        <v>143224Q</v>
      </c>
      <c r="B82" s="133" t="s">
        <v>5965</v>
      </c>
      <c r="C82" s="133" t="s">
        <v>5966</v>
      </c>
      <c r="D82" s="133" t="s">
        <v>5503</v>
      </c>
      <c r="E82" s="133"/>
      <c r="F82" s="134">
        <v>2.4500000000000002</v>
      </c>
      <c r="G82" s="134">
        <v>1.96</v>
      </c>
      <c r="H82" s="135">
        <v>2019</v>
      </c>
      <c r="I82" s="133" t="s">
        <v>5895</v>
      </c>
    </row>
    <row r="83" spans="1:9" ht="18.75" thickBot="1" x14ac:dyDescent="0.3">
      <c r="A83" t="str">
        <f t="shared" si="1"/>
        <v>012929H</v>
      </c>
      <c r="B83" s="133" t="s">
        <v>5967</v>
      </c>
      <c r="C83" s="133" t="s">
        <v>5968</v>
      </c>
      <c r="D83" s="133" t="s">
        <v>26</v>
      </c>
      <c r="E83" s="133"/>
      <c r="F83" s="134">
        <v>2.06</v>
      </c>
      <c r="G83" s="134">
        <v>1.65</v>
      </c>
      <c r="H83" s="135">
        <v>2018</v>
      </c>
      <c r="I83" s="133" t="s">
        <v>5646</v>
      </c>
    </row>
    <row r="84" spans="1:9" ht="18.75" thickBot="1" x14ac:dyDescent="0.3">
      <c r="A84" t="str">
        <f t="shared" si="1"/>
        <v>012932K</v>
      </c>
      <c r="B84" s="133" t="s">
        <v>5971</v>
      </c>
      <c r="C84" s="133" t="s">
        <v>5972</v>
      </c>
      <c r="D84" s="133" t="s">
        <v>5503</v>
      </c>
      <c r="E84" s="133"/>
      <c r="F84" s="134">
        <v>2.82</v>
      </c>
      <c r="G84" s="134">
        <v>2.25</v>
      </c>
      <c r="H84" s="135">
        <v>2012</v>
      </c>
      <c r="I84" s="133" t="s">
        <v>5587</v>
      </c>
    </row>
    <row r="85" spans="1:9" ht="18.75" thickBot="1" x14ac:dyDescent="0.3">
      <c r="A85" t="str">
        <f t="shared" si="1"/>
        <v>103504Y</v>
      </c>
      <c r="B85" s="133" t="s">
        <v>5977</v>
      </c>
      <c r="C85" s="133" t="s">
        <v>5978</v>
      </c>
      <c r="D85" s="133" t="s">
        <v>5503</v>
      </c>
      <c r="E85" s="133"/>
      <c r="F85" s="134">
        <v>2.4500000000000002</v>
      </c>
      <c r="G85" s="134">
        <v>1.96</v>
      </c>
      <c r="H85" s="135">
        <v>2013</v>
      </c>
      <c r="I85" s="133" t="s">
        <v>5792</v>
      </c>
    </row>
    <row r="86" spans="1:9" ht="18.75" thickBot="1" x14ac:dyDescent="0.3">
      <c r="A86" t="str">
        <f t="shared" si="1"/>
        <v>133703L</v>
      </c>
      <c r="B86" s="133" t="s">
        <v>7172</v>
      </c>
      <c r="C86" s="133" t="s">
        <v>7173</v>
      </c>
      <c r="D86" s="133" t="s">
        <v>5597</v>
      </c>
      <c r="E86" s="133"/>
      <c r="F86" s="134">
        <v>0.77</v>
      </c>
      <c r="G86" s="134">
        <v>0.61</v>
      </c>
      <c r="H86" s="135">
        <v>2024</v>
      </c>
      <c r="I86" s="133" t="s">
        <v>5895</v>
      </c>
    </row>
    <row r="87" spans="1:9" ht="18.75" thickBot="1" x14ac:dyDescent="0.3">
      <c r="A87" t="str">
        <f t="shared" si="1"/>
        <v>138937T</v>
      </c>
      <c r="B87" s="133" t="s">
        <v>7511</v>
      </c>
      <c r="C87" s="133" t="s">
        <v>7512</v>
      </c>
      <c r="D87" s="133" t="s">
        <v>5503</v>
      </c>
      <c r="E87" s="133"/>
      <c r="F87" s="134">
        <v>2.69</v>
      </c>
      <c r="G87" s="134">
        <v>2.15</v>
      </c>
      <c r="H87" s="135">
        <v>2015</v>
      </c>
      <c r="I87" s="133" t="s">
        <v>6229</v>
      </c>
    </row>
    <row r="88" spans="1:9" ht="18.75" thickBot="1" x14ac:dyDescent="0.3">
      <c r="A88" t="str">
        <f t="shared" si="1"/>
        <v>020210I</v>
      </c>
      <c r="B88" s="133" t="s">
        <v>5997</v>
      </c>
      <c r="C88" s="133" t="s">
        <v>5998</v>
      </c>
      <c r="D88" s="133" t="s">
        <v>26</v>
      </c>
      <c r="E88" s="133"/>
      <c r="F88" s="134">
        <v>3.61</v>
      </c>
      <c r="G88" s="134">
        <v>2.89</v>
      </c>
      <c r="H88" s="135">
        <v>2013</v>
      </c>
      <c r="I88" s="133" t="s">
        <v>5556</v>
      </c>
    </row>
    <row r="89" spans="1:9" ht="18.75" thickBot="1" x14ac:dyDescent="0.3">
      <c r="A89" t="str">
        <f t="shared" si="1"/>
        <v>012990Q</v>
      </c>
      <c r="B89" s="133" t="s">
        <v>6003</v>
      </c>
      <c r="C89" s="133" t="s">
        <v>6004</v>
      </c>
      <c r="D89" s="133" t="s">
        <v>5503</v>
      </c>
      <c r="E89" s="133"/>
      <c r="F89" s="134">
        <v>1.1100000000000001</v>
      </c>
      <c r="G89" s="134">
        <v>0.89</v>
      </c>
      <c r="H89" s="135">
        <v>2018</v>
      </c>
      <c r="I89" s="133" t="s">
        <v>5646</v>
      </c>
    </row>
    <row r="90" spans="1:9" ht="18.75" thickBot="1" x14ac:dyDescent="0.3">
      <c r="A90" t="str">
        <f t="shared" si="1"/>
        <v>012998Y</v>
      </c>
      <c r="B90" s="133" t="s">
        <v>6007</v>
      </c>
      <c r="C90" s="133" t="s">
        <v>6008</v>
      </c>
      <c r="D90" s="133" t="s">
        <v>5503</v>
      </c>
      <c r="E90" s="133"/>
      <c r="F90" s="134">
        <v>2.73</v>
      </c>
      <c r="G90" s="134">
        <v>2.19</v>
      </c>
      <c r="H90" s="135">
        <v>2011</v>
      </c>
      <c r="I90" s="133" t="s">
        <v>5587</v>
      </c>
    </row>
    <row r="91" spans="1:9" ht="18.75" thickBot="1" x14ac:dyDescent="0.3">
      <c r="A91" t="str">
        <f t="shared" si="1"/>
        <v>020257D</v>
      </c>
      <c r="B91" s="133" t="s">
        <v>7184</v>
      </c>
      <c r="C91" s="133" t="s">
        <v>7185</v>
      </c>
      <c r="D91" s="133" t="s">
        <v>26</v>
      </c>
      <c r="E91" s="133"/>
      <c r="F91" s="134">
        <v>4.7300000000000004</v>
      </c>
      <c r="G91" s="134">
        <v>3.78</v>
      </c>
      <c r="H91" s="135">
        <v>2020</v>
      </c>
      <c r="I91" s="133" t="s">
        <v>5735</v>
      </c>
    </row>
    <row r="92" spans="1:9" ht="18.75" thickBot="1" x14ac:dyDescent="0.3">
      <c r="A92" t="str">
        <f t="shared" si="1"/>
        <v>140297B</v>
      </c>
      <c r="B92" s="133" t="s">
        <v>6015</v>
      </c>
      <c r="C92" s="133" t="s">
        <v>6016</v>
      </c>
      <c r="D92" s="133" t="s">
        <v>26</v>
      </c>
      <c r="E92" s="133"/>
      <c r="F92" s="134">
        <v>4.21</v>
      </c>
      <c r="G92" s="134">
        <v>3.36</v>
      </c>
      <c r="H92" s="135">
        <v>2024</v>
      </c>
      <c r="I92" s="133" t="s">
        <v>5625</v>
      </c>
    </row>
    <row r="93" spans="1:9" ht="18.75" thickBot="1" x14ac:dyDescent="0.3">
      <c r="A93" t="str">
        <f t="shared" si="1"/>
        <v>013010K</v>
      </c>
      <c r="B93" s="133" t="s">
        <v>6017</v>
      </c>
      <c r="C93" s="133" t="s">
        <v>6018</v>
      </c>
      <c r="D93" s="133" t="s">
        <v>5597</v>
      </c>
      <c r="E93" s="133"/>
      <c r="F93" s="134">
        <v>2.34</v>
      </c>
      <c r="G93" s="134">
        <v>1.87</v>
      </c>
      <c r="H93" s="135">
        <v>2024</v>
      </c>
      <c r="I93" s="133" t="s">
        <v>5678</v>
      </c>
    </row>
    <row r="94" spans="1:9" ht="18.75" thickBot="1" x14ac:dyDescent="0.3">
      <c r="A94" t="str">
        <f t="shared" si="1"/>
        <v>127857P</v>
      </c>
      <c r="B94" s="133" t="s">
        <v>7478</v>
      </c>
      <c r="C94" s="133" t="s">
        <v>7479</v>
      </c>
      <c r="D94" s="133" t="s">
        <v>26</v>
      </c>
      <c r="E94" s="133"/>
      <c r="F94" s="134">
        <v>3.89</v>
      </c>
      <c r="G94" s="134">
        <v>3.11</v>
      </c>
      <c r="H94" s="135">
        <v>2008</v>
      </c>
      <c r="I94" s="133" t="s">
        <v>5853</v>
      </c>
    </row>
    <row r="95" spans="1:9" ht="18.75" thickBot="1" x14ac:dyDescent="0.3">
      <c r="A95" t="str">
        <f t="shared" si="1"/>
        <v>134929P</v>
      </c>
      <c r="B95" s="133" t="s">
        <v>6023</v>
      </c>
      <c r="C95" s="133" t="s">
        <v>6024</v>
      </c>
      <c r="D95" s="133" t="s">
        <v>6025</v>
      </c>
      <c r="E95" s="133"/>
      <c r="F95" s="134" t="s">
        <v>5552</v>
      </c>
      <c r="G95" s="134">
        <v>8.9600000000000009</v>
      </c>
      <c r="H95" s="135">
        <v>2024</v>
      </c>
      <c r="I95" s="133" t="s">
        <v>5635</v>
      </c>
    </row>
    <row r="96" spans="1:9" ht="18.75" thickBot="1" x14ac:dyDescent="0.3">
      <c r="A96" t="str">
        <f t="shared" si="1"/>
        <v>129845B</v>
      </c>
      <c r="B96" s="133" t="s">
        <v>6026</v>
      </c>
      <c r="C96" s="133" t="s">
        <v>6024</v>
      </c>
      <c r="D96" s="133" t="s">
        <v>5503</v>
      </c>
      <c r="E96" s="133"/>
      <c r="F96" s="134">
        <v>3.05</v>
      </c>
      <c r="G96" s="134">
        <v>2.44</v>
      </c>
      <c r="H96" s="135">
        <v>2017</v>
      </c>
      <c r="I96" s="133" t="s">
        <v>5850</v>
      </c>
    </row>
    <row r="97" spans="1:9" ht="18.75" thickBot="1" x14ac:dyDescent="0.3">
      <c r="A97" t="str">
        <f t="shared" si="1"/>
        <v>013027B</v>
      </c>
      <c r="B97" s="133" t="s">
        <v>7468</v>
      </c>
      <c r="C97" s="133" t="s">
        <v>7469</v>
      </c>
      <c r="D97" s="133" t="s">
        <v>25</v>
      </c>
      <c r="E97" s="133"/>
      <c r="F97" s="134" t="s">
        <v>5552</v>
      </c>
      <c r="G97" s="134">
        <v>6</v>
      </c>
      <c r="H97" s="135">
        <v>2010</v>
      </c>
      <c r="I97" s="133" t="s">
        <v>5895</v>
      </c>
    </row>
    <row r="98" spans="1:9" ht="18.75" thickBot="1" x14ac:dyDescent="0.3">
      <c r="A98" t="str">
        <f t="shared" si="1"/>
        <v>013038M</v>
      </c>
      <c r="B98" s="133" t="s">
        <v>6035</v>
      </c>
      <c r="C98" s="133" t="s">
        <v>6036</v>
      </c>
      <c r="D98" s="133" t="s">
        <v>5503</v>
      </c>
      <c r="E98" s="133"/>
      <c r="F98" s="134">
        <v>2.4</v>
      </c>
      <c r="G98" s="134">
        <v>1.92</v>
      </c>
      <c r="H98" s="135">
        <v>2014</v>
      </c>
      <c r="I98" s="133" t="s">
        <v>5651</v>
      </c>
    </row>
    <row r="99" spans="1:9" ht="18.75" thickBot="1" x14ac:dyDescent="0.3">
      <c r="A99" t="str">
        <f t="shared" si="1"/>
        <v>105931H</v>
      </c>
      <c r="B99" s="133" t="s">
        <v>7480</v>
      </c>
      <c r="C99" s="133" t="s">
        <v>7481</v>
      </c>
      <c r="D99" s="133" t="s">
        <v>26</v>
      </c>
      <c r="E99" s="133"/>
      <c r="F99" s="134">
        <v>4.34</v>
      </c>
      <c r="G99" s="134">
        <v>3.47</v>
      </c>
      <c r="H99" s="135">
        <v>2008</v>
      </c>
      <c r="I99" s="133" t="s">
        <v>7482</v>
      </c>
    </row>
    <row r="100" spans="1:9" ht="18.75" thickBot="1" x14ac:dyDescent="0.3">
      <c r="A100" t="str">
        <f t="shared" si="1"/>
        <v>148225P</v>
      </c>
      <c r="B100" s="133" t="s">
        <v>7196</v>
      </c>
      <c r="C100" s="133" t="s">
        <v>7197</v>
      </c>
      <c r="D100" s="133" t="s">
        <v>26</v>
      </c>
      <c r="E100" s="133"/>
      <c r="F100" s="134">
        <v>4.2699999999999996</v>
      </c>
      <c r="G100" s="134">
        <v>3.41</v>
      </c>
      <c r="H100" s="135">
        <v>2024</v>
      </c>
      <c r="I100" s="133" t="s">
        <v>5710</v>
      </c>
    </row>
    <row r="101" spans="1:9" ht="18.75" thickBot="1" x14ac:dyDescent="0.3">
      <c r="A101" t="str">
        <f t="shared" si="1"/>
        <v>113925T</v>
      </c>
      <c r="B101" s="133" t="s">
        <v>7198</v>
      </c>
      <c r="C101" s="133" t="s">
        <v>7199</v>
      </c>
      <c r="D101" s="133" t="s">
        <v>5503</v>
      </c>
      <c r="E101" s="133"/>
      <c r="F101" s="134">
        <v>3.22</v>
      </c>
      <c r="G101" s="134">
        <v>2.58</v>
      </c>
      <c r="H101" s="135">
        <v>2018</v>
      </c>
      <c r="I101" s="133" t="s">
        <v>5615</v>
      </c>
    </row>
    <row r="102" spans="1:9" ht="18.75" thickBot="1" x14ac:dyDescent="0.3">
      <c r="A102" t="str">
        <f t="shared" si="1"/>
        <v>013058G</v>
      </c>
      <c r="B102" s="133" t="s">
        <v>6053</v>
      </c>
      <c r="C102" s="133" t="s">
        <v>6054</v>
      </c>
      <c r="D102" s="133" t="s">
        <v>26</v>
      </c>
      <c r="E102" s="133"/>
      <c r="F102" s="134">
        <v>4.8600000000000003</v>
      </c>
      <c r="G102" s="134">
        <v>3.89</v>
      </c>
      <c r="H102" s="135">
        <v>2023</v>
      </c>
      <c r="I102" s="133" t="s">
        <v>5566</v>
      </c>
    </row>
    <row r="103" spans="1:9" ht="18.75" thickBot="1" x14ac:dyDescent="0.3">
      <c r="A103" t="str">
        <f t="shared" si="1"/>
        <v>013061J</v>
      </c>
      <c r="B103" s="133" t="s">
        <v>6060</v>
      </c>
      <c r="C103" s="133" t="s">
        <v>6061</v>
      </c>
      <c r="D103" s="133" t="s">
        <v>6059</v>
      </c>
      <c r="E103" s="133"/>
      <c r="F103" s="134" t="s">
        <v>5552</v>
      </c>
      <c r="G103" s="134">
        <v>34.840000000000003</v>
      </c>
      <c r="H103" s="135">
        <v>2024</v>
      </c>
      <c r="I103" s="133" t="s">
        <v>5678</v>
      </c>
    </row>
    <row r="104" spans="1:9" ht="18.75" thickBot="1" x14ac:dyDescent="0.3">
      <c r="A104" t="str">
        <f t="shared" si="1"/>
        <v>013068Q</v>
      </c>
      <c r="B104" s="133" t="s">
        <v>7533</v>
      </c>
      <c r="C104" s="133" t="s">
        <v>7534</v>
      </c>
      <c r="D104" s="133" t="s">
        <v>5562</v>
      </c>
      <c r="E104" s="133"/>
      <c r="F104" s="134">
        <v>3.62</v>
      </c>
      <c r="G104" s="134">
        <v>2.89</v>
      </c>
      <c r="H104" s="135">
        <v>2024</v>
      </c>
      <c r="I104" s="133" t="s">
        <v>5553</v>
      </c>
    </row>
    <row r="105" spans="1:9" ht="18.75" thickBot="1" x14ac:dyDescent="0.3">
      <c r="A105" t="str">
        <f t="shared" si="1"/>
        <v>108071P</v>
      </c>
      <c r="B105" s="133" t="s">
        <v>6070</v>
      </c>
      <c r="C105" s="133" t="s">
        <v>6071</v>
      </c>
      <c r="D105" s="133" t="s">
        <v>5503</v>
      </c>
      <c r="E105" s="133"/>
      <c r="F105" s="134">
        <v>1.74</v>
      </c>
      <c r="G105" s="134">
        <v>1.39</v>
      </c>
      <c r="H105" s="135">
        <v>2016</v>
      </c>
      <c r="I105" s="133" t="s">
        <v>5787</v>
      </c>
    </row>
    <row r="106" spans="1:9" ht="18.75" thickBot="1" x14ac:dyDescent="0.3">
      <c r="A106" t="str">
        <f t="shared" si="1"/>
        <v>106022U</v>
      </c>
      <c r="B106" s="133" t="s">
        <v>6082</v>
      </c>
      <c r="C106" s="133" t="s">
        <v>6083</v>
      </c>
      <c r="D106" s="133" t="s">
        <v>5638</v>
      </c>
      <c r="E106" s="133"/>
      <c r="F106" s="134" t="s">
        <v>5552</v>
      </c>
      <c r="G106" s="134">
        <v>4.92</v>
      </c>
      <c r="H106" s="135">
        <v>2024</v>
      </c>
      <c r="I106" s="133" t="s">
        <v>5625</v>
      </c>
    </row>
    <row r="107" spans="1:9" ht="18.75" thickBot="1" x14ac:dyDescent="0.3">
      <c r="A107" t="str">
        <f t="shared" si="1"/>
        <v>111136M</v>
      </c>
      <c r="B107" s="133" t="s">
        <v>6086</v>
      </c>
      <c r="C107" s="133" t="s">
        <v>6087</v>
      </c>
      <c r="D107" s="133" t="s">
        <v>5503</v>
      </c>
      <c r="E107" s="133"/>
      <c r="F107" s="134">
        <v>1.92</v>
      </c>
      <c r="G107" s="134">
        <v>1.53</v>
      </c>
      <c r="H107" s="135">
        <v>2014</v>
      </c>
      <c r="I107" s="133" t="s">
        <v>5678</v>
      </c>
    </row>
    <row r="108" spans="1:9" ht="18.75" thickBot="1" x14ac:dyDescent="0.3">
      <c r="A108" t="str">
        <f t="shared" si="1"/>
        <v>113683L</v>
      </c>
      <c r="B108" s="133" t="s">
        <v>7202</v>
      </c>
      <c r="C108" s="133" t="s">
        <v>7203</v>
      </c>
      <c r="D108" s="133" t="s">
        <v>26</v>
      </c>
      <c r="E108" s="133"/>
      <c r="F108" s="134">
        <v>3.92</v>
      </c>
      <c r="G108" s="134">
        <v>3.14</v>
      </c>
      <c r="H108" s="135">
        <v>2024</v>
      </c>
      <c r="I108" s="133" t="s">
        <v>5895</v>
      </c>
    </row>
    <row r="109" spans="1:9" ht="18.75" thickBot="1" x14ac:dyDescent="0.3">
      <c r="A109" t="str">
        <f t="shared" si="1"/>
        <v>113921P</v>
      </c>
      <c r="B109" s="133" t="s">
        <v>6092</v>
      </c>
      <c r="C109" s="133" t="s">
        <v>6093</v>
      </c>
      <c r="D109" s="133" t="s">
        <v>24</v>
      </c>
      <c r="E109" s="133"/>
      <c r="F109" s="134" t="s">
        <v>5552</v>
      </c>
      <c r="G109" s="134">
        <v>10.02</v>
      </c>
      <c r="H109" s="135">
        <v>2018</v>
      </c>
      <c r="I109" s="133" t="s">
        <v>5615</v>
      </c>
    </row>
    <row r="110" spans="1:9" ht="18.75" thickBot="1" x14ac:dyDescent="0.3">
      <c r="A110" t="str">
        <f t="shared" si="1"/>
        <v>013107D</v>
      </c>
      <c r="B110" s="133" t="s">
        <v>6094</v>
      </c>
      <c r="C110" s="133" t="s">
        <v>6095</v>
      </c>
      <c r="D110" s="133" t="s">
        <v>25</v>
      </c>
      <c r="E110" s="133"/>
      <c r="F110" s="134" t="s">
        <v>5552</v>
      </c>
      <c r="G110" s="134">
        <v>6.9</v>
      </c>
      <c r="H110" s="135">
        <v>2018</v>
      </c>
      <c r="I110" s="133" t="s">
        <v>5559</v>
      </c>
    </row>
    <row r="111" spans="1:9" ht="18.75" thickBot="1" x14ac:dyDescent="0.3">
      <c r="A111" t="str">
        <f t="shared" si="1"/>
        <v>013110G</v>
      </c>
      <c r="B111" s="133" t="s">
        <v>6100</v>
      </c>
      <c r="C111" s="133" t="s">
        <v>6101</v>
      </c>
      <c r="D111" s="133" t="s">
        <v>5503</v>
      </c>
      <c r="E111" s="133"/>
      <c r="F111" s="134">
        <v>2.8</v>
      </c>
      <c r="G111" s="134">
        <v>2.2400000000000002</v>
      </c>
      <c r="H111" s="135">
        <v>2013</v>
      </c>
      <c r="I111" s="133" t="s">
        <v>5651</v>
      </c>
    </row>
    <row r="112" spans="1:9" ht="18.75" thickBot="1" x14ac:dyDescent="0.3">
      <c r="A112" t="str">
        <f t="shared" si="1"/>
        <v>156543F</v>
      </c>
      <c r="B112" s="133" t="s">
        <v>6102</v>
      </c>
      <c r="C112" s="133" t="s">
        <v>6103</v>
      </c>
      <c r="D112" s="133" t="s">
        <v>5503</v>
      </c>
      <c r="E112" s="133"/>
      <c r="F112" s="134">
        <v>2.96</v>
      </c>
      <c r="G112" s="134">
        <v>2.37</v>
      </c>
      <c r="H112" s="135">
        <v>2020</v>
      </c>
      <c r="I112" s="133" t="s">
        <v>5559</v>
      </c>
    </row>
    <row r="113" spans="1:9" ht="18.75" thickBot="1" x14ac:dyDescent="0.3">
      <c r="A113" t="str">
        <f t="shared" si="1"/>
        <v>013113J</v>
      </c>
      <c r="B113" s="133" t="s">
        <v>6104</v>
      </c>
      <c r="C113" s="133" t="s">
        <v>6105</v>
      </c>
      <c r="D113" s="133" t="s">
        <v>25</v>
      </c>
      <c r="E113" s="133"/>
      <c r="F113" s="134" t="s">
        <v>5552</v>
      </c>
      <c r="G113" s="134">
        <v>7.16</v>
      </c>
      <c r="H113" s="135">
        <v>2014</v>
      </c>
      <c r="I113" s="133" t="s">
        <v>5792</v>
      </c>
    </row>
    <row r="114" spans="1:9" ht="18.75" thickBot="1" x14ac:dyDescent="0.3">
      <c r="A114" t="str">
        <f t="shared" si="1"/>
        <v>013114K</v>
      </c>
      <c r="B114" s="133" t="s">
        <v>6106</v>
      </c>
      <c r="C114" s="133" t="s">
        <v>6107</v>
      </c>
      <c r="D114" s="133" t="s">
        <v>26</v>
      </c>
      <c r="E114" s="133"/>
      <c r="F114" s="134">
        <v>3.63</v>
      </c>
      <c r="G114" s="134">
        <v>2.91</v>
      </c>
      <c r="H114" s="135">
        <v>2020</v>
      </c>
      <c r="I114" s="133" t="s">
        <v>5559</v>
      </c>
    </row>
    <row r="115" spans="1:9" ht="18.75" thickBot="1" x14ac:dyDescent="0.3">
      <c r="A115" t="str">
        <f t="shared" si="1"/>
        <v>013118O</v>
      </c>
      <c r="B115" s="133" t="s">
        <v>6108</v>
      </c>
      <c r="C115" s="133" t="s">
        <v>6109</v>
      </c>
      <c r="D115" s="133" t="s">
        <v>26</v>
      </c>
      <c r="E115" s="133"/>
      <c r="F115" s="134">
        <v>3.51</v>
      </c>
      <c r="G115" s="134">
        <v>2.81</v>
      </c>
      <c r="H115" s="135">
        <v>2017</v>
      </c>
      <c r="I115" s="133" t="s">
        <v>5630</v>
      </c>
    </row>
    <row r="116" spans="1:9" ht="18.75" thickBot="1" x14ac:dyDescent="0.3">
      <c r="A116" t="str">
        <f t="shared" si="1"/>
        <v>020751D</v>
      </c>
      <c r="B116" s="133" t="s">
        <v>6110</v>
      </c>
      <c r="C116" s="133" t="s">
        <v>6109</v>
      </c>
      <c r="D116" s="133" t="s">
        <v>5503</v>
      </c>
      <c r="E116" s="133"/>
      <c r="F116" s="134">
        <v>2.78</v>
      </c>
      <c r="G116" s="134">
        <v>2.2200000000000002</v>
      </c>
      <c r="H116" s="135">
        <v>2024</v>
      </c>
      <c r="I116" s="133" t="s">
        <v>5553</v>
      </c>
    </row>
    <row r="117" spans="1:9" ht="18.75" thickBot="1" x14ac:dyDescent="0.3">
      <c r="A117" t="str">
        <f t="shared" si="1"/>
        <v>013119P</v>
      </c>
      <c r="B117" s="133" t="s">
        <v>8530</v>
      </c>
      <c r="C117" s="133" t="s">
        <v>6109</v>
      </c>
      <c r="D117" s="133" t="s">
        <v>26</v>
      </c>
      <c r="E117" s="133"/>
      <c r="F117" s="134">
        <v>4.18</v>
      </c>
      <c r="G117" s="134">
        <v>3.34</v>
      </c>
      <c r="H117" s="135">
        <v>2013</v>
      </c>
      <c r="I117" s="133" t="s">
        <v>5657</v>
      </c>
    </row>
    <row r="118" spans="1:9" ht="18.75" thickBot="1" x14ac:dyDescent="0.3">
      <c r="A118" t="str">
        <f t="shared" si="1"/>
        <v>103334K</v>
      </c>
      <c r="B118" s="133" t="s">
        <v>6113</v>
      </c>
      <c r="C118" s="133" t="s">
        <v>6114</v>
      </c>
      <c r="D118" s="133" t="s">
        <v>26</v>
      </c>
      <c r="E118" s="133"/>
      <c r="F118" s="134">
        <v>5.4</v>
      </c>
      <c r="G118" s="134">
        <v>4.32</v>
      </c>
      <c r="H118" s="135">
        <v>2020</v>
      </c>
      <c r="I118" s="133" t="s">
        <v>8513</v>
      </c>
    </row>
    <row r="119" spans="1:9" ht="18.75" thickBot="1" x14ac:dyDescent="0.3">
      <c r="A119" t="str">
        <f t="shared" si="1"/>
        <v>013122S</v>
      </c>
      <c r="B119" s="133" t="s">
        <v>7513</v>
      </c>
      <c r="C119" s="133" t="s">
        <v>7514</v>
      </c>
      <c r="D119" s="133" t="s">
        <v>5503</v>
      </c>
      <c r="E119" s="133"/>
      <c r="F119" s="134">
        <v>2.12</v>
      </c>
      <c r="G119" s="134">
        <v>1.7</v>
      </c>
      <c r="H119" s="135">
        <v>2010</v>
      </c>
      <c r="I119" s="133" t="s">
        <v>5615</v>
      </c>
    </row>
    <row r="120" spans="1:9" ht="18.75" thickBot="1" x14ac:dyDescent="0.3">
      <c r="A120" t="str">
        <f t="shared" si="1"/>
        <v>013126W</v>
      </c>
      <c r="B120" s="133" t="s">
        <v>6115</v>
      </c>
      <c r="C120" s="133" t="s">
        <v>6116</v>
      </c>
      <c r="D120" s="133" t="s">
        <v>5503</v>
      </c>
      <c r="E120" s="133"/>
      <c r="F120" s="134">
        <v>2.34</v>
      </c>
      <c r="G120" s="134">
        <v>1.87</v>
      </c>
      <c r="H120" s="135">
        <v>2024</v>
      </c>
      <c r="I120" s="133" t="s">
        <v>5744</v>
      </c>
    </row>
    <row r="121" spans="1:9" ht="18.75" thickBot="1" x14ac:dyDescent="0.3">
      <c r="A121" t="str">
        <f t="shared" si="1"/>
        <v>126908C</v>
      </c>
      <c r="B121" s="133" t="s">
        <v>6119</v>
      </c>
      <c r="C121" s="133" t="s">
        <v>6120</v>
      </c>
      <c r="D121" s="133" t="s">
        <v>25</v>
      </c>
      <c r="E121" s="133"/>
      <c r="F121" s="134" t="s">
        <v>5552</v>
      </c>
      <c r="G121" s="134">
        <v>6.51</v>
      </c>
      <c r="H121" s="135">
        <v>2018</v>
      </c>
      <c r="I121" s="133" t="s">
        <v>5559</v>
      </c>
    </row>
    <row r="122" spans="1:9" ht="18.75" thickBot="1" x14ac:dyDescent="0.3">
      <c r="A122" t="str">
        <f t="shared" si="1"/>
        <v>126909D</v>
      </c>
      <c r="B122" s="133" t="s">
        <v>6121</v>
      </c>
      <c r="C122" s="133" t="s">
        <v>6122</v>
      </c>
      <c r="D122" s="133" t="s">
        <v>26</v>
      </c>
      <c r="E122" s="133"/>
      <c r="F122" s="134">
        <v>2.72</v>
      </c>
      <c r="G122" s="134">
        <v>2.17</v>
      </c>
      <c r="H122" s="135">
        <v>2019</v>
      </c>
      <c r="I122" s="133" t="s">
        <v>5625</v>
      </c>
    </row>
    <row r="123" spans="1:9" ht="18.75" thickBot="1" x14ac:dyDescent="0.3">
      <c r="A123" t="str">
        <f t="shared" si="1"/>
        <v>104154Y</v>
      </c>
      <c r="B123" s="133" t="s">
        <v>6123</v>
      </c>
      <c r="C123" s="133" t="s">
        <v>6124</v>
      </c>
      <c r="D123" s="133" t="s">
        <v>5597</v>
      </c>
      <c r="E123" s="133"/>
      <c r="F123" s="134">
        <v>3.46</v>
      </c>
      <c r="G123" s="134">
        <v>2.77</v>
      </c>
      <c r="H123" s="135">
        <v>2024</v>
      </c>
      <c r="I123" s="133" t="s">
        <v>5556</v>
      </c>
    </row>
    <row r="124" spans="1:9" ht="18.75" thickBot="1" x14ac:dyDescent="0.3">
      <c r="A124" t="str">
        <f t="shared" si="1"/>
        <v>013144O</v>
      </c>
      <c r="B124" s="133" t="s">
        <v>7206</v>
      </c>
      <c r="C124" s="133" t="s">
        <v>7207</v>
      </c>
      <c r="D124" s="133" t="s">
        <v>24</v>
      </c>
      <c r="E124" s="133"/>
      <c r="F124" s="134" t="s">
        <v>5552</v>
      </c>
      <c r="G124" s="134">
        <v>11.59</v>
      </c>
      <c r="H124" s="135">
        <v>2022</v>
      </c>
      <c r="I124" s="133" t="s">
        <v>5678</v>
      </c>
    </row>
    <row r="125" spans="1:9" ht="18.75" thickBot="1" x14ac:dyDescent="0.3">
      <c r="A125" t="str">
        <f t="shared" si="1"/>
        <v>158352X</v>
      </c>
      <c r="B125" s="133" t="s">
        <v>7208</v>
      </c>
      <c r="C125" s="133" t="s">
        <v>7209</v>
      </c>
      <c r="D125" s="133" t="s">
        <v>26</v>
      </c>
      <c r="E125" s="133"/>
      <c r="F125" s="134">
        <v>4.3099999999999996</v>
      </c>
      <c r="G125" s="134">
        <v>3.45</v>
      </c>
      <c r="H125" s="135">
        <v>2024</v>
      </c>
      <c r="I125" s="133" t="s">
        <v>5563</v>
      </c>
    </row>
    <row r="126" spans="1:9" ht="18.75" thickBot="1" x14ac:dyDescent="0.3">
      <c r="A126" t="str">
        <f t="shared" si="1"/>
        <v>013156A</v>
      </c>
      <c r="B126" s="133" t="s">
        <v>7210</v>
      </c>
      <c r="C126" s="133" t="s">
        <v>7211</v>
      </c>
      <c r="D126" s="133" t="s">
        <v>26</v>
      </c>
      <c r="E126" s="133"/>
      <c r="F126" s="134">
        <v>5.66</v>
      </c>
      <c r="G126" s="134">
        <v>4.53</v>
      </c>
      <c r="H126" s="135">
        <v>2024</v>
      </c>
      <c r="I126" s="133" t="s">
        <v>5657</v>
      </c>
    </row>
    <row r="127" spans="1:9" ht="18.75" thickBot="1" x14ac:dyDescent="0.3">
      <c r="A127" t="str">
        <f t="shared" si="1"/>
        <v>013164I</v>
      </c>
      <c r="B127" s="133" t="s">
        <v>7214</v>
      </c>
      <c r="C127" s="133" t="s">
        <v>7215</v>
      </c>
      <c r="D127" s="133" t="s">
        <v>5503</v>
      </c>
      <c r="E127" s="133"/>
      <c r="F127" s="134">
        <v>2.56</v>
      </c>
      <c r="G127" s="134">
        <v>2.0499999999999998</v>
      </c>
      <c r="H127" s="135">
        <v>2020</v>
      </c>
      <c r="I127" s="133" t="s">
        <v>5556</v>
      </c>
    </row>
    <row r="128" spans="1:9" ht="18.75" thickBot="1" x14ac:dyDescent="0.3">
      <c r="A128" t="str">
        <f t="shared" si="1"/>
        <v>013168M</v>
      </c>
      <c r="B128" s="133" t="s">
        <v>6151</v>
      </c>
      <c r="C128" s="133" t="s">
        <v>6152</v>
      </c>
      <c r="D128" s="133" t="s">
        <v>26</v>
      </c>
      <c r="E128" s="133"/>
      <c r="F128" s="134">
        <v>3.77</v>
      </c>
      <c r="G128" s="134">
        <v>3.02</v>
      </c>
      <c r="H128" s="135">
        <v>2024</v>
      </c>
      <c r="I128" s="133" t="s">
        <v>5787</v>
      </c>
    </row>
    <row r="129" spans="1:9" ht="18.75" thickBot="1" x14ac:dyDescent="0.3">
      <c r="A129" t="str">
        <f t="shared" si="1"/>
        <v>125022O</v>
      </c>
      <c r="B129" s="133" t="s">
        <v>6155</v>
      </c>
      <c r="C129" s="133" t="s">
        <v>6156</v>
      </c>
      <c r="D129" s="133" t="s">
        <v>5503</v>
      </c>
      <c r="E129" s="133"/>
      <c r="F129" s="134">
        <v>2.57</v>
      </c>
      <c r="G129" s="134">
        <v>2.06</v>
      </c>
      <c r="H129" s="135">
        <v>2020</v>
      </c>
      <c r="I129" s="133" t="s">
        <v>5768</v>
      </c>
    </row>
    <row r="130" spans="1:9" ht="18.75" thickBot="1" x14ac:dyDescent="0.3">
      <c r="A130" t="str">
        <f t="shared" ref="A130:A193" si="2">SUBSTITUTE(B130,CHAR(32),"")</f>
        <v>125441R</v>
      </c>
      <c r="B130" s="133" t="s">
        <v>6157</v>
      </c>
      <c r="C130" s="133" t="s">
        <v>6158</v>
      </c>
      <c r="D130" s="133" t="s">
        <v>5503</v>
      </c>
      <c r="E130" s="133"/>
      <c r="F130" s="134">
        <v>2.92</v>
      </c>
      <c r="G130" s="134">
        <v>2.33</v>
      </c>
      <c r="H130" s="135">
        <v>2018</v>
      </c>
      <c r="I130" s="133" t="s">
        <v>5587</v>
      </c>
    </row>
    <row r="131" spans="1:9" ht="18.75" thickBot="1" x14ac:dyDescent="0.3">
      <c r="A131" t="str">
        <f t="shared" si="2"/>
        <v>120365L</v>
      </c>
      <c r="B131" s="133" t="s">
        <v>6159</v>
      </c>
      <c r="C131" s="133" t="s">
        <v>6160</v>
      </c>
      <c r="D131" s="133" t="s">
        <v>26</v>
      </c>
      <c r="E131" s="133"/>
      <c r="F131" s="134">
        <v>3.77</v>
      </c>
      <c r="G131" s="134">
        <v>3.02</v>
      </c>
      <c r="H131" s="135">
        <v>2020</v>
      </c>
      <c r="I131" s="133" t="s">
        <v>5635</v>
      </c>
    </row>
    <row r="132" spans="1:9" ht="18.75" thickBot="1" x14ac:dyDescent="0.3">
      <c r="A132" t="str">
        <f t="shared" si="2"/>
        <v>104033H</v>
      </c>
      <c r="B132" s="133" t="s">
        <v>6167</v>
      </c>
      <c r="C132" s="133" t="s">
        <v>6168</v>
      </c>
      <c r="D132" s="133" t="s">
        <v>5597</v>
      </c>
      <c r="E132" s="133"/>
      <c r="F132" s="134">
        <v>3.4</v>
      </c>
      <c r="G132" s="134">
        <v>2.72</v>
      </c>
      <c r="H132" s="135">
        <v>2024</v>
      </c>
      <c r="I132" s="133" t="s">
        <v>5573</v>
      </c>
    </row>
    <row r="133" spans="1:9" ht="18.75" thickBot="1" x14ac:dyDescent="0.3">
      <c r="A133" t="str">
        <f t="shared" si="2"/>
        <v>013197P</v>
      </c>
      <c r="B133" s="133" t="s">
        <v>7483</v>
      </c>
      <c r="C133" s="133" t="s">
        <v>7484</v>
      </c>
      <c r="D133" s="133" t="s">
        <v>26</v>
      </c>
      <c r="E133" s="133"/>
      <c r="F133" s="134">
        <v>4.45</v>
      </c>
      <c r="G133" s="134">
        <v>3.56</v>
      </c>
      <c r="H133" s="135">
        <v>2014</v>
      </c>
      <c r="I133" s="133" t="s">
        <v>5582</v>
      </c>
    </row>
    <row r="134" spans="1:9" ht="18.75" thickBot="1" x14ac:dyDescent="0.3">
      <c r="A134" t="str">
        <f t="shared" si="2"/>
        <v>127176K</v>
      </c>
      <c r="B134" s="133" t="s">
        <v>6171</v>
      </c>
      <c r="C134" s="133" t="s">
        <v>6172</v>
      </c>
      <c r="D134" s="133" t="s">
        <v>25</v>
      </c>
      <c r="E134" s="133"/>
      <c r="F134" s="134" t="s">
        <v>5552</v>
      </c>
      <c r="G134" s="134">
        <v>5.87</v>
      </c>
      <c r="H134" s="135">
        <v>2009</v>
      </c>
      <c r="I134" s="133" t="s">
        <v>5594</v>
      </c>
    </row>
    <row r="135" spans="1:9" ht="18.75" thickBot="1" x14ac:dyDescent="0.3">
      <c r="A135" t="str">
        <f t="shared" si="2"/>
        <v>135326W</v>
      </c>
      <c r="B135" s="133" t="s">
        <v>6173</v>
      </c>
      <c r="C135" s="133" t="s">
        <v>6174</v>
      </c>
      <c r="D135" s="133" t="s">
        <v>26</v>
      </c>
      <c r="E135" s="133"/>
      <c r="F135" s="134">
        <v>4.47</v>
      </c>
      <c r="G135" s="134">
        <v>3.57</v>
      </c>
      <c r="H135" s="135">
        <v>2024</v>
      </c>
      <c r="I135" s="133" t="s">
        <v>5787</v>
      </c>
    </row>
    <row r="136" spans="1:9" ht="18.75" thickBot="1" x14ac:dyDescent="0.3">
      <c r="A136" t="str">
        <f t="shared" si="2"/>
        <v>013205X</v>
      </c>
      <c r="B136" s="133" t="s">
        <v>7515</v>
      </c>
      <c r="C136" s="133" t="s">
        <v>7516</v>
      </c>
      <c r="D136" s="133" t="s">
        <v>5503</v>
      </c>
      <c r="E136" s="133"/>
      <c r="F136" s="134">
        <v>2.33</v>
      </c>
      <c r="G136" s="134">
        <v>1.86</v>
      </c>
      <c r="H136" s="135">
        <v>2008</v>
      </c>
      <c r="I136" s="133" t="s">
        <v>5630</v>
      </c>
    </row>
    <row r="137" spans="1:9" ht="18.75" thickBot="1" x14ac:dyDescent="0.3">
      <c r="A137" t="str">
        <f t="shared" si="2"/>
        <v>103750K</v>
      </c>
      <c r="B137" s="133" t="s">
        <v>7222</v>
      </c>
      <c r="C137" s="133" t="s">
        <v>7223</v>
      </c>
      <c r="D137" s="133" t="s">
        <v>25</v>
      </c>
      <c r="E137" s="133"/>
      <c r="F137" s="134" t="s">
        <v>5552</v>
      </c>
      <c r="G137" s="134">
        <v>7.91</v>
      </c>
      <c r="H137" s="135">
        <v>2023</v>
      </c>
      <c r="I137" s="133" t="s">
        <v>5625</v>
      </c>
    </row>
    <row r="138" spans="1:9" ht="18.75" thickBot="1" x14ac:dyDescent="0.3">
      <c r="A138" t="str">
        <f t="shared" si="2"/>
        <v>013214G</v>
      </c>
      <c r="B138" s="133" t="s">
        <v>7517</v>
      </c>
      <c r="C138" s="133" t="s">
        <v>7518</v>
      </c>
      <c r="D138" s="133" t="s">
        <v>5503</v>
      </c>
      <c r="E138" s="133"/>
      <c r="F138" s="134">
        <v>3.09</v>
      </c>
      <c r="G138" s="134">
        <v>2.4700000000000002</v>
      </c>
      <c r="H138" s="135">
        <v>2020</v>
      </c>
      <c r="I138" s="133" t="s">
        <v>5601</v>
      </c>
    </row>
    <row r="139" spans="1:9" ht="18.75" thickBot="1" x14ac:dyDescent="0.3">
      <c r="A139" t="str">
        <f t="shared" si="2"/>
        <v>013215H</v>
      </c>
      <c r="B139" s="133" t="s">
        <v>6191</v>
      </c>
      <c r="C139" s="133" t="s">
        <v>6192</v>
      </c>
      <c r="D139" s="133" t="s">
        <v>26</v>
      </c>
      <c r="E139" s="133"/>
      <c r="F139" s="134">
        <v>4.8600000000000003</v>
      </c>
      <c r="G139" s="134">
        <v>3.89</v>
      </c>
      <c r="H139" s="135">
        <v>2013</v>
      </c>
      <c r="I139" s="133" t="s">
        <v>5671</v>
      </c>
    </row>
    <row r="140" spans="1:9" ht="18.75" thickBot="1" x14ac:dyDescent="0.3">
      <c r="A140" t="str">
        <f t="shared" si="2"/>
        <v>138123L</v>
      </c>
      <c r="B140" s="133" t="s">
        <v>7224</v>
      </c>
      <c r="C140" s="133" t="s">
        <v>7225</v>
      </c>
      <c r="D140" s="133" t="s">
        <v>5503</v>
      </c>
      <c r="E140" s="133"/>
      <c r="F140" s="134">
        <v>1.1599999999999999</v>
      </c>
      <c r="G140" s="134">
        <v>0.93</v>
      </c>
      <c r="H140" s="135">
        <v>2023</v>
      </c>
      <c r="I140" s="133" t="s">
        <v>5768</v>
      </c>
    </row>
    <row r="141" spans="1:9" ht="18.75" thickBot="1" x14ac:dyDescent="0.3">
      <c r="A141" t="str">
        <f t="shared" si="2"/>
        <v>013216I</v>
      </c>
      <c r="B141" s="133" t="s">
        <v>6193</v>
      </c>
      <c r="C141" s="133" t="s">
        <v>6194</v>
      </c>
      <c r="D141" s="133" t="s">
        <v>26</v>
      </c>
      <c r="E141" s="133"/>
      <c r="F141" s="134">
        <v>4.07</v>
      </c>
      <c r="G141" s="134">
        <v>3.25</v>
      </c>
      <c r="H141" s="135">
        <v>2024</v>
      </c>
      <c r="I141" s="133" t="s">
        <v>5556</v>
      </c>
    </row>
    <row r="142" spans="1:9" ht="18.75" thickBot="1" x14ac:dyDescent="0.3">
      <c r="A142" t="str">
        <f t="shared" si="2"/>
        <v>013233Z</v>
      </c>
      <c r="B142" s="133" t="s">
        <v>6207</v>
      </c>
      <c r="C142" s="133" t="s">
        <v>6208</v>
      </c>
      <c r="D142" s="133" t="s">
        <v>5503</v>
      </c>
      <c r="E142" s="133"/>
      <c r="F142" s="134">
        <v>1.77</v>
      </c>
      <c r="G142" s="134">
        <v>1.41</v>
      </c>
      <c r="H142" s="135">
        <v>2024</v>
      </c>
      <c r="I142" s="133" t="s">
        <v>5726</v>
      </c>
    </row>
    <row r="143" spans="1:9" ht="18.75" thickBot="1" x14ac:dyDescent="0.3">
      <c r="A143" t="str">
        <f t="shared" si="2"/>
        <v>013234A</v>
      </c>
      <c r="B143" s="133" t="s">
        <v>6209</v>
      </c>
      <c r="C143" s="133" t="s">
        <v>6210</v>
      </c>
      <c r="D143" s="133" t="s">
        <v>5503</v>
      </c>
      <c r="E143" s="133"/>
      <c r="F143" s="134">
        <v>2.42</v>
      </c>
      <c r="G143" s="134">
        <v>1.94</v>
      </c>
      <c r="H143" s="135">
        <v>2024</v>
      </c>
      <c r="I143" s="133" t="s">
        <v>5726</v>
      </c>
    </row>
    <row r="144" spans="1:9" ht="18.75" thickBot="1" x14ac:dyDescent="0.3">
      <c r="A144" t="str">
        <f t="shared" si="2"/>
        <v>145606G</v>
      </c>
      <c r="B144" s="133" t="s">
        <v>6215</v>
      </c>
      <c r="C144" s="133" t="s">
        <v>6216</v>
      </c>
      <c r="D144" s="133" t="s">
        <v>26</v>
      </c>
      <c r="E144" s="133"/>
      <c r="F144" s="134">
        <v>3.47</v>
      </c>
      <c r="G144" s="134">
        <v>2.78</v>
      </c>
      <c r="H144" s="135">
        <v>2020</v>
      </c>
      <c r="I144" s="133" t="s">
        <v>5559</v>
      </c>
    </row>
    <row r="145" spans="1:9" ht="18.75" thickBot="1" x14ac:dyDescent="0.3">
      <c r="A145" t="str">
        <f t="shared" si="2"/>
        <v>111337F</v>
      </c>
      <c r="B145" s="133" t="s">
        <v>6230</v>
      </c>
      <c r="C145" s="133" t="s">
        <v>6231</v>
      </c>
      <c r="D145" s="133" t="s">
        <v>5503</v>
      </c>
      <c r="E145" s="133"/>
      <c r="F145" s="134">
        <v>2.92</v>
      </c>
      <c r="G145" s="134">
        <v>2.33</v>
      </c>
      <c r="H145" s="135">
        <v>2022</v>
      </c>
      <c r="I145" s="133" t="s">
        <v>5678</v>
      </c>
    </row>
    <row r="146" spans="1:9" ht="18.75" thickBot="1" x14ac:dyDescent="0.3">
      <c r="A146" t="str">
        <f t="shared" si="2"/>
        <v>013265F</v>
      </c>
      <c r="B146" s="133" t="s">
        <v>7485</v>
      </c>
      <c r="C146" s="133" t="s">
        <v>7486</v>
      </c>
      <c r="D146" s="133" t="s">
        <v>26</v>
      </c>
      <c r="E146" s="133"/>
      <c r="F146" s="134">
        <v>3.89</v>
      </c>
      <c r="G146" s="134">
        <v>3.11</v>
      </c>
      <c r="H146" s="135">
        <v>2008</v>
      </c>
      <c r="I146" s="133" t="s">
        <v>5678</v>
      </c>
    </row>
    <row r="147" spans="1:9" ht="18.75" thickBot="1" x14ac:dyDescent="0.3">
      <c r="A147" t="str">
        <f t="shared" si="2"/>
        <v>113786K</v>
      </c>
      <c r="B147" s="133" t="s">
        <v>6240</v>
      </c>
      <c r="C147" s="133" t="s">
        <v>6241</v>
      </c>
      <c r="D147" s="133" t="s">
        <v>25</v>
      </c>
      <c r="E147" s="133"/>
      <c r="F147" s="134" t="s">
        <v>5552</v>
      </c>
      <c r="G147" s="134">
        <v>5.21</v>
      </c>
      <c r="H147" s="135">
        <v>2024</v>
      </c>
      <c r="I147" s="133" t="s">
        <v>5787</v>
      </c>
    </row>
    <row r="148" spans="1:9" ht="18.75" thickBot="1" x14ac:dyDescent="0.3">
      <c r="A148" t="str">
        <f t="shared" si="2"/>
        <v>150497J</v>
      </c>
      <c r="B148" s="133" t="s">
        <v>6244</v>
      </c>
      <c r="C148" s="133" t="s">
        <v>6245</v>
      </c>
      <c r="D148" s="133" t="s">
        <v>5503</v>
      </c>
      <c r="E148" s="133"/>
      <c r="F148" s="134">
        <v>2</v>
      </c>
      <c r="G148" s="134">
        <v>1.6</v>
      </c>
      <c r="H148" s="135">
        <v>2024</v>
      </c>
      <c r="I148" s="133" t="s">
        <v>5895</v>
      </c>
    </row>
    <row r="149" spans="1:9" ht="18.75" thickBot="1" x14ac:dyDescent="0.3">
      <c r="A149" t="str">
        <f t="shared" si="2"/>
        <v>020209H</v>
      </c>
      <c r="B149" s="133" t="s">
        <v>7487</v>
      </c>
      <c r="C149" s="133" t="s">
        <v>7488</v>
      </c>
      <c r="D149" s="133" t="s">
        <v>26</v>
      </c>
      <c r="E149" s="133"/>
      <c r="F149" s="134">
        <v>5</v>
      </c>
      <c r="G149" s="134">
        <v>4</v>
      </c>
      <c r="H149" s="135">
        <v>2020</v>
      </c>
      <c r="I149" s="133" t="s">
        <v>5587</v>
      </c>
    </row>
    <row r="150" spans="1:9" ht="18.75" thickBot="1" x14ac:dyDescent="0.3">
      <c r="A150" t="str">
        <f t="shared" si="2"/>
        <v>135962I</v>
      </c>
      <c r="B150" s="133" t="s">
        <v>6259</v>
      </c>
      <c r="C150" s="133" t="s">
        <v>6260</v>
      </c>
      <c r="D150" s="133" t="s">
        <v>25</v>
      </c>
      <c r="E150" s="133"/>
      <c r="F150" s="134" t="s">
        <v>5552</v>
      </c>
      <c r="G150" s="134">
        <v>9.7200000000000006</v>
      </c>
      <c r="H150" s="135">
        <v>2024</v>
      </c>
      <c r="I150" s="133" t="s">
        <v>5566</v>
      </c>
    </row>
    <row r="151" spans="1:9" ht="18.75" thickBot="1" x14ac:dyDescent="0.3">
      <c r="A151" t="str">
        <f t="shared" si="2"/>
        <v>150323V</v>
      </c>
      <c r="B151" s="133" t="s">
        <v>7238</v>
      </c>
      <c r="C151" s="133" t="s">
        <v>7239</v>
      </c>
      <c r="D151" s="133" t="s">
        <v>5503</v>
      </c>
      <c r="E151" s="133"/>
      <c r="F151" s="134">
        <v>2.11</v>
      </c>
      <c r="G151" s="134">
        <v>1.69</v>
      </c>
      <c r="H151" s="135">
        <v>2024</v>
      </c>
      <c r="I151" s="133" t="s">
        <v>5787</v>
      </c>
    </row>
    <row r="152" spans="1:9" ht="18.75" thickBot="1" x14ac:dyDescent="0.3">
      <c r="A152" t="str">
        <f t="shared" si="2"/>
        <v>013309X</v>
      </c>
      <c r="B152" s="133" t="s">
        <v>6261</v>
      </c>
      <c r="C152" s="133" t="s">
        <v>6262</v>
      </c>
      <c r="D152" s="133" t="s">
        <v>5503</v>
      </c>
      <c r="E152" s="133"/>
      <c r="F152" s="134">
        <v>3.13</v>
      </c>
      <c r="G152" s="134">
        <v>2.5</v>
      </c>
      <c r="H152" s="135">
        <v>2016</v>
      </c>
      <c r="I152" s="133" t="s">
        <v>5710</v>
      </c>
    </row>
    <row r="153" spans="1:9" ht="18.75" thickBot="1" x14ac:dyDescent="0.3">
      <c r="A153" t="str">
        <f t="shared" si="2"/>
        <v>013317F</v>
      </c>
      <c r="B153" s="133" t="s">
        <v>6263</v>
      </c>
      <c r="C153" s="133" t="s">
        <v>6264</v>
      </c>
      <c r="D153" s="133" t="s">
        <v>5503</v>
      </c>
      <c r="E153" s="133"/>
      <c r="F153" s="134">
        <v>2</v>
      </c>
      <c r="G153" s="134">
        <v>1.6</v>
      </c>
      <c r="H153" s="135">
        <v>2010</v>
      </c>
      <c r="I153" s="133" t="s">
        <v>5559</v>
      </c>
    </row>
    <row r="154" spans="1:9" ht="18.75" thickBot="1" x14ac:dyDescent="0.3">
      <c r="A154" t="str">
        <f t="shared" si="2"/>
        <v>013320I</v>
      </c>
      <c r="B154" s="133" t="s">
        <v>6265</v>
      </c>
      <c r="C154" s="133" t="s">
        <v>6266</v>
      </c>
      <c r="D154" s="133" t="s">
        <v>25</v>
      </c>
      <c r="E154" s="133"/>
      <c r="F154" s="134" t="s">
        <v>5552</v>
      </c>
      <c r="G154" s="134">
        <v>5.14</v>
      </c>
      <c r="H154" s="135">
        <v>2009</v>
      </c>
      <c r="I154" s="133" t="s">
        <v>5563</v>
      </c>
    </row>
    <row r="155" spans="1:9" ht="18.75" thickBot="1" x14ac:dyDescent="0.3">
      <c r="A155" t="str">
        <f t="shared" si="2"/>
        <v>013325N</v>
      </c>
      <c r="B155" s="133" t="s">
        <v>6269</v>
      </c>
      <c r="C155" s="133" t="s">
        <v>6270</v>
      </c>
      <c r="D155" s="133" t="s">
        <v>26</v>
      </c>
      <c r="E155" s="133"/>
      <c r="F155" s="134">
        <v>4.3499999999999996</v>
      </c>
      <c r="G155" s="134">
        <v>3.48</v>
      </c>
      <c r="H155" s="135">
        <v>2024</v>
      </c>
      <c r="I155" s="133" t="s">
        <v>5559</v>
      </c>
    </row>
    <row r="156" spans="1:9" ht="18.75" thickBot="1" x14ac:dyDescent="0.3">
      <c r="A156" t="str">
        <f t="shared" si="2"/>
        <v>135310G</v>
      </c>
      <c r="B156" s="133" t="s">
        <v>7244</v>
      </c>
      <c r="C156" s="133" t="s">
        <v>7245</v>
      </c>
      <c r="D156" s="133" t="s">
        <v>26</v>
      </c>
      <c r="E156" s="133"/>
      <c r="F156" s="134">
        <v>4.4400000000000004</v>
      </c>
      <c r="G156" s="134">
        <v>3.55</v>
      </c>
      <c r="H156" s="135">
        <v>2017</v>
      </c>
      <c r="I156" s="133" t="s">
        <v>6229</v>
      </c>
    </row>
    <row r="157" spans="1:9" ht="18.75" thickBot="1" x14ac:dyDescent="0.3">
      <c r="A157" t="str">
        <f t="shared" si="2"/>
        <v>013335X</v>
      </c>
      <c r="B157" s="133" t="s">
        <v>6277</v>
      </c>
      <c r="C157" s="133" t="s">
        <v>6278</v>
      </c>
      <c r="D157" s="133" t="s">
        <v>5503</v>
      </c>
      <c r="E157" s="133"/>
      <c r="F157" s="134">
        <v>1.97</v>
      </c>
      <c r="G157" s="134">
        <v>1.57</v>
      </c>
      <c r="H157" s="135">
        <v>2024</v>
      </c>
      <c r="I157" s="133" t="s">
        <v>5559</v>
      </c>
    </row>
    <row r="158" spans="1:9" ht="18.75" thickBot="1" x14ac:dyDescent="0.3">
      <c r="A158" t="str">
        <f t="shared" si="2"/>
        <v>114567L</v>
      </c>
      <c r="B158" s="133" t="s">
        <v>6279</v>
      </c>
      <c r="C158" s="133" t="s">
        <v>6280</v>
      </c>
      <c r="D158" s="133" t="s">
        <v>26</v>
      </c>
      <c r="E158" s="133"/>
      <c r="F158" s="134">
        <v>3.75</v>
      </c>
      <c r="G158" s="134">
        <v>3</v>
      </c>
      <c r="H158" s="135">
        <v>2011</v>
      </c>
      <c r="I158" s="133" t="s">
        <v>5563</v>
      </c>
    </row>
    <row r="159" spans="1:9" ht="18.75" thickBot="1" x14ac:dyDescent="0.3">
      <c r="A159" t="str">
        <f t="shared" si="2"/>
        <v>108816G</v>
      </c>
      <c r="B159" s="133" t="s">
        <v>6281</v>
      </c>
      <c r="C159" s="133" t="s">
        <v>6282</v>
      </c>
      <c r="D159" s="133" t="s">
        <v>26</v>
      </c>
      <c r="E159" s="133"/>
      <c r="F159" s="134">
        <v>3.69</v>
      </c>
      <c r="G159" s="134">
        <v>2.95</v>
      </c>
      <c r="H159" s="135">
        <v>2010</v>
      </c>
      <c r="I159" s="133" t="s">
        <v>5792</v>
      </c>
    </row>
    <row r="160" spans="1:9" ht="18.75" thickBot="1" x14ac:dyDescent="0.3">
      <c r="A160" t="str">
        <f t="shared" si="2"/>
        <v>013345H</v>
      </c>
      <c r="B160" s="133" t="s">
        <v>6289</v>
      </c>
      <c r="C160" s="133" t="s">
        <v>6290</v>
      </c>
      <c r="D160" s="133" t="s">
        <v>5638</v>
      </c>
      <c r="E160" s="133"/>
      <c r="F160" s="134" t="s">
        <v>5552</v>
      </c>
      <c r="G160" s="134">
        <v>5.96</v>
      </c>
      <c r="H160" s="135">
        <v>2024</v>
      </c>
      <c r="I160" s="133" t="s">
        <v>5912</v>
      </c>
    </row>
    <row r="161" spans="1:9" ht="18.75" thickBot="1" x14ac:dyDescent="0.3">
      <c r="A161" t="str">
        <f t="shared" si="2"/>
        <v>013348K</v>
      </c>
      <c r="B161" s="133" t="s">
        <v>7246</v>
      </c>
      <c r="C161" s="133" t="s">
        <v>7247</v>
      </c>
      <c r="D161" s="133" t="s">
        <v>5503</v>
      </c>
      <c r="E161" s="133"/>
      <c r="F161" s="134">
        <v>3.11</v>
      </c>
      <c r="G161" s="134">
        <v>2.4900000000000002</v>
      </c>
      <c r="H161" s="135">
        <v>2015</v>
      </c>
      <c r="I161" s="133" t="s">
        <v>5710</v>
      </c>
    </row>
    <row r="162" spans="1:9" ht="18.75" thickBot="1" x14ac:dyDescent="0.3">
      <c r="A162" t="str">
        <f t="shared" si="2"/>
        <v>013354Q</v>
      </c>
      <c r="B162" s="133" t="s">
        <v>6299</v>
      </c>
      <c r="C162" s="133" t="s">
        <v>6300</v>
      </c>
      <c r="D162" s="133" t="s">
        <v>5503</v>
      </c>
      <c r="E162" s="133"/>
      <c r="F162" s="134">
        <v>3.29</v>
      </c>
      <c r="G162" s="134">
        <v>2.63</v>
      </c>
      <c r="H162" s="135">
        <v>2017</v>
      </c>
      <c r="I162" s="133" t="s">
        <v>5657</v>
      </c>
    </row>
    <row r="163" spans="1:9" ht="18.75" thickBot="1" x14ac:dyDescent="0.3">
      <c r="A163" t="str">
        <f t="shared" si="2"/>
        <v>013358U</v>
      </c>
      <c r="B163" s="133" t="s">
        <v>6307</v>
      </c>
      <c r="C163" s="133" t="s">
        <v>6308</v>
      </c>
      <c r="D163" s="133" t="s">
        <v>25</v>
      </c>
      <c r="E163" s="133"/>
      <c r="F163" s="134" t="s">
        <v>5552</v>
      </c>
      <c r="G163" s="134">
        <v>6.75</v>
      </c>
      <c r="H163" s="135">
        <v>2020</v>
      </c>
      <c r="I163" s="133" t="s">
        <v>5635</v>
      </c>
    </row>
    <row r="164" spans="1:9" ht="18.75" thickBot="1" x14ac:dyDescent="0.3">
      <c r="A164" t="str">
        <f t="shared" si="2"/>
        <v>113957Z</v>
      </c>
      <c r="B164" s="133" t="s">
        <v>6311</v>
      </c>
      <c r="C164" s="133" t="s">
        <v>6312</v>
      </c>
      <c r="D164" s="133" t="s">
        <v>5503</v>
      </c>
      <c r="E164" s="133"/>
      <c r="F164" s="134">
        <v>2.56</v>
      </c>
      <c r="G164" s="134">
        <v>2.04</v>
      </c>
      <c r="H164" s="135">
        <v>2017</v>
      </c>
      <c r="I164" s="133" t="s">
        <v>5630</v>
      </c>
    </row>
    <row r="165" spans="1:9" ht="18.75" thickBot="1" x14ac:dyDescent="0.3">
      <c r="A165" t="str">
        <f t="shared" si="2"/>
        <v>155028J</v>
      </c>
      <c r="B165" s="133" t="s">
        <v>7248</v>
      </c>
      <c r="C165" s="133" t="s">
        <v>7249</v>
      </c>
      <c r="D165" s="133" t="s">
        <v>5503</v>
      </c>
      <c r="E165" s="133"/>
      <c r="F165" s="134">
        <v>1.3</v>
      </c>
      <c r="G165" s="134">
        <v>1.04</v>
      </c>
      <c r="H165" s="135">
        <v>2024</v>
      </c>
      <c r="I165" s="133" t="s">
        <v>5587</v>
      </c>
    </row>
    <row r="166" spans="1:9" ht="18.75" thickBot="1" x14ac:dyDescent="0.3">
      <c r="A166" t="str">
        <f t="shared" si="2"/>
        <v>122105J</v>
      </c>
      <c r="B166" s="133" t="s">
        <v>6313</v>
      </c>
      <c r="C166" s="133" t="s">
        <v>6314</v>
      </c>
      <c r="D166" s="133" t="s">
        <v>5503</v>
      </c>
      <c r="E166" s="133"/>
      <c r="F166" s="134">
        <v>1.25</v>
      </c>
      <c r="G166" s="134">
        <v>1</v>
      </c>
      <c r="H166" s="135">
        <v>2022</v>
      </c>
      <c r="I166" s="133" t="s">
        <v>5787</v>
      </c>
    </row>
    <row r="167" spans="1:9" ht="18.75" thickBot="1" x14ac:dyDescent="0.3">
      <c r="A167" t="str">
        <f t="shared" si="2"/>
        <v>109512A</v>
      </c>
      <c r="B167" s="133" t="s">
        <v>6315</v>
      </c>
      <c r="C167" s="133" t="s">
        <v>6316</v>
      </c>
      <c r="D167" s="133" t="s">
        <v>25</v>
      </c>
      <c r="E167" s="133"/>
      <c r="F167" s="134" t="s">
        <v>5552</v>
      </c>
      <c r="G167" s="134">
        <v>8.1999999999999993</v>
      </c>
      <c r="H167" s="135">
        <v>2017</v>
      </c>
      <c r="I167" s="133" t="s">
        <v>5654</v>
      </c>
    </row>
    <row r="168" spans="1:9" ht="18.75" thickBot="1" x14ac:dyDescent="0.3">
      <c r="A168" t="str">
        <f t="shared" si="2"/>
        <v>013365B</v>
      </c>
      <c r="B168" s="133" t="s">
        <v>6319</v>
      </c>
      <c r="C168" s="133" t="s">
        <v>6320</v>
      </c>
      <c r="D168" s="133" t="s">
        <v>26</v>
      </c>
      <c r="E168" s="133"/>
      <c r="F168" s="134">
        <v>4.71</v>
      </c>
      <c r="G168" s="134">
        <v>3.77</v>
      </c>
      <c r="H168" s="135">
        <v>2024</v>
      </c>
      <c r="I168" s="133" t="s">
        <v>5705</v>
      </c>
    </row>
    <row r="169" spans="1:9" ht="18.75" thickBot="1" x14ac:dyDescent="0.3">
      <c r="A169" t="str">
        <f t="shared" si="2"/>
        <v>142208O</v>
      </c>
      <c r="B169" s="133" t="s">
        <v>6335</v>
      </c>
      <c r="C169" s="133" t="s">
        <v>6336</v>
      </c>
      <c r="D169" s="133" t="s">
        <v>5503</v>
      </c>
      <c r="E169" s="133"/>
      <c r="F169" s="134">
        <v>2.0099999999999998</v>
      </c>
      <c r="G169" s="134">
        <v>1.61</v>
      </c>
      <c r="H169" s="135">
        <v>2012</v>
      </c>
      <c r="I169" s="133" t="s">
        <v>5559</v>
      </c>
    </row>
    <row r="170" spans="1:9" ht="18.75" thickBot="1" x14ac:dyDescent="0.3">
      <c r="A170" t="str">
        <f t="shared" si="2"/>
        <v>169100E</v>
      </c>
      <c r="B170" s="133" t="s">
        <v>8547</v>
      </c>
      <c r="C170" s="133" t="s">
        <v>8548</v>
      </c>
      <c r="D170" s="133" t="s">
        <v>5597</v>
      </c>
      <c r="E170" s="133"/>
      <c r="F170" s="134">
        <v>2.44</v>
      </c>
      <c r="G170" s="134">
        <v>1.95</v>
      </c>
      <c r="H170" s="135">
        <v>2024</v>
      </c>
      <c r="I170" s="133" t="s">
        <v>5895</v>
      </c>
    </row>
    <row r="171" spans="1:9" ht="18.75" thickBot="1" x14ac:dyDescent="0.3">
      <c r="A171" t="str">
        <f t="shared" si="2"/>
        <v>017581F</v>
      </c>
      <c r="B171" s="133" t="s">
        <v>6337</v>
      </c>
      <c r="C171" s="133" t="s">
        <v>6338</v>
      </c>
      <c r="D171" s="133" t="s">
        <v>5765</v>
      </c>
      <c r="E171" s="133"/>
      <c r="F171" s="134" t="s">
        <v>5552</v>
      </c>
      <c r="G171" s="134">
        <v>26.14</v>
      </c>
      <c r="H171" s="135">
        <v>2024</v>
      </c>
      <c r="I171" s="133" t="s">
        <v>5615</v>
      </c>
    </row>
    <row r="172" spans="1:9" ht="18.75" thickBot="1" x14ac:dyDescent="0.3">
      <c r="A172" t="str">
        <f t="shared" si="2"/>
        <v>143257X</v>
      </c>
      <c r="B172" s="133" t="s">
        <v>6345</v>
      </c>
      <c r="C172" s="133" t="s">
        <v>6346</v>
      </c>
      <c r="D172" s="133" t="s">
        <v>26</v>
      </c>
      <c r="E172" s="133"/>
      <c r="F172" s="134">
        <v>4.0599999999999996</v>
      </c>
      <c r="G172" s="134">
        <v>3.25</v>
      </c>
      <c r="H172" s="135">
        <v>2024</v>
      </c>
      <c r="I172" s="133" t="s">
        <v>5744</v>
      </c>
    </row>
    <row r="173" spans="1:9" ht="18.75" thickBot="1" x14ac:dyDescent="0.3">
      <c r="A173" t="str">
        <f t="shared" si="2"/>
        <v>013399J</v>
      </c>
      <c r="B173" s="133" t="s">
        <v>6349</v>
      </c>
      <c r="C173" s="133" t="s">
        <v>6350</v>
      </c>
      <c r="D173" s="133" t="s">
        <v>26</v>
      </c>
      <c r="E173" s="133"/>
      <c r="F173" s="134">
        <v>6.07</v>
      </c>
      <c r="G173" s="134">
        <v>4.8600000000000003</v>
      </c>
      <c r="H173" s="135">
        <v>2022</v>
      </c>
      <c r="I173" s="133" t="s">
        <v>5895</v>
      </c>
    </row>
    <row r="174" spans="1:9" ht="18.75" thickBot="1" x14ac:dyDescent="0.3">
      <c r="A174" t="str">
        <f t="shared" si="2"/>
        <v>118718C</v>
      </c>
      <c r="B174" s="133" t="s">
        <v>6353</v>
      </c>
      <c r="C174" s="133" t="s">
        <v>1442</v>
      </c>
      <c r="D174" s="133" t="s">
        <v>26</v>
      </c>
      <c r="E174" s="133"/>
      <c r="F174" s="134">
        <v>3.65</v>
      </c>
      <c r="G174" s="134">
        <v>2.92</v>
      </c>
      <c r="H174" s="135">
        <v>2022</v>
      </c>
      <c r="I174" s="133" t="s">
        <v>5566</v>
      </c>
    </row>
    <row r="175" spans="1:9" ht="18.75" thickBot="1" x14ac:dyDescent="0.3">
      <c r="A175" t="str">
        <f t="shared" si="2"/>
        <v>136976I</v>
      </c>
      <c r="B175" s="133" t="s">
        <v>7252</v>
      </c>
      <c r="C175" s="133" t="s">
        <v>7253</v>
      </c>
      <c r="D175" s="133" t="s">
        <v>5503</v>
      </c>
      <c r="E175" s="133"/>
      <c r="F175" s="134">
        <v>2.82</v>
      </c>
      <c r="G175" s="134">
        <v>2.25</v>
      </c>
      <c r="H175" s="135">
        <v>2016</v>
      </c>
      <c r="I175" s="133" t="s">
        <v>5787</v>
      </c>
    </row>
    <row r="176" spans="1:9" ht="18.75" thickBot="1" x14ac:dyDescent="0.3">
      <c r="A176" t="str">
        <f t="shared" si="2"/>
        <v>124758K</v>
      </c>
      <c r="B176" s="133" t="s">
        <v>6356</v>
      </c>
      <c r="C176" s="133" t="s">
        <v>6357</v>
      </c>
      <c r="D176" s="133" t="s">
        <v>5503</v>
      </c>
      <c r="E176" s="133"/>
      <c r="F176" s="134">
        <v>1.96</v>
      </c>
      <c r="G176" s="134">
        <v>1.57</v>
      </c>
      <c r="H176" s="135">
        <v>2024</v>
      </c>
      <c r="I176" s="133" t="s">
        <v>5625</v>
      </c>
    </row>
    <row r="177" spans="1:9" ht="18.75" thickBot="1" x14ac:dyDescent="0.3">
      <c r="A177" t="str">
        <f t="shared" si="2"/>
        <v>013415Z</v>
      </c>
      <c r="B177" s="133" t="s">
        <v>6358</v>
      </c>
      <c r="C177" s="133" t="s">
        <v>6359</v>
      </c>
      <c r="D177" s="133" t="s">
        <v>26</v>
      </c>
      <c r="E177" s="133"/>
      <c r="F177" s="134">
        <v>3.57</v>
      </c>
      <c r="G177" s="134">
        <v>2.86</v>
      </c>
      <c r="H177" s="135">
        <v>2024</v>
      </c>
      <c r="I177" s="133" t="s">
        <v>5582</v>
      </c>
    </row>
    <row r="178" spans="1:9" ht="18.75" thickBot="1" x14ac:dyDescent="0.3">
      <c r="A178" t="str">
        <f t="shared" si="2"/>
        <v>013423H</v>
      </c>
      <c r="B178" s="133" t="s">
        <v>6362</v>
      </c>
      <c r="C178" s="133" t="s">
        <v>6363</v>
      </c>
      <c r="D178" s="133" t="s">
        <v>25</v>
      </c>
      <c r="E178" s="133"/>
      <c r="F178" s="134" t="s">
        <v>5552</v>
      </c>
      <c r="G178" s="134">
        <v>5</v>
      </c>
      <c r="H178" s="135">
        <v>2019</v>
      </c>
      <c r="I178" s="133" t="s">
        <v>5787</v>
      </c>
    </row>
    <row r="179" spans="1:9" ht="18.75" thickBot="1" x14ac:dyDescent="0.3">
      <c r="A179" t="str">
        <f t="shared" si="2"/>
        <v>013425J</v>
      </c>
      <c r="B179" s="133" t="s">
        <v>6368</v>
      </c>
      <c r="C179" s="133" t="s">
        <v>6369</v>
      </c>
      <c r="D179" s="133" t="s">
        <v>5562</v>
      </c>
      <c r="E179" s="133"/>
      <c r="F179" s="134">
        <v>4.3</v>
      </c>
      <c r="G179" s="134">
        <v>3.44</v>
      </c>
      <c r="H179" s="135">
        <v>2024</v>
      </c>
      <c r="I179" s="133" t="s">
        <v>5563</v>
      </c>
    </row>
    <row r="180" spans="1:9" ht="18.75" thickBot="1" x14ac:dyDescent="0.3">
      <c r="A180" t="str">
        <f t="shared" si="2"/>
        <v>013428M</v>
      </c>
      <c r="B180" s="133" t="s">
        <v>6370</v>
      </c>
      <c r="C180" s="133" t="s">
        <v>6371</v>
      </c>
      <c r="D180" s="133" t="s">
        <v>5503</v>
      </c>
      <c r="E180" s="133"/>
      <c r="F180" s="134">
        <v>1.65</v>
      </c>
      <c r="G180" s="134">
        <v>1.32</v>
      </c>
      <c r="H180" s="135">
        <v>2024</v>
      </c>
      <c r="I180" s="133" t="s">
        <v>5678</v>
      </c>
    </row>
    <row r="181" spans="1:9" ht="18.75" thickBot="1" x14ac:dyDescent="0.3">
      <c r="A181" t="str">
        <f t="shared" si="2"/>
        <v>132470A</v>
      </c>
      <c r="B181" s="133" t="s">
        <v>6372</v>
      </c>
      <c r="C181" s="133" t="s">
        <v>6373</v>
      </c>
      <c r="D181" s="133" t="s">
        <v>5503</v>
      </c>
      <c r="E181" s="133"/>
      <c r="F181" s="134">
        <v>2.09</v>
      </c>
      <c r="G181" s="134">
        <v>1.67</v>
      </c>
      <c r="H181" s="135">
        <v>2019</v>
      </c>
      <c r="I181" s="133" t="s">
        <v>5630</v>
      </c>
    </row>
    <row r="182" spans="1:9" ht="18.75" thickBot="1" x14ac:dyDescent="0.3">
      <c r="A182" t="str">
        <f t="shared" si="2"/>
        <v>118148E</v>
      </c>
      <c r="B182" s="133" t="s">
        <v>6382</v>
      </c>
      <c r="C182" s="133" t="s">
        <v>6383</v>
      </c>
      <c r="D182" s="133" t="s">
        <v>5503</v>
      </c>
      <c r="E182" s="133"/>
      <c r="F182" s="134">
        <v>3.03</v>
      </c>
      <c r="G182" s="134">
        <v>2.42</v>
      </c>
      <c r="H182" s="135">
        <v>2013</v>
      </c>
      <c r="I182" s="133" t="s">
        <v>5559</v>
      </c>
    </row>
    <row r="183" spans="1:9" ht="18.75" thickBot="1" x14ac:dyDescent="0.3">
      <c r="A183" t="str">
        <f t="shared" si="2"/>
        <v>136221H</v>
      </c>
      <c r="B183" s="133" t="s">
        <v>7262</v>
      </c>
      <c r="C183" s="133" t="s">
        <v>7263</v>
      </c>
      <c r="D183" s="133" t="s">
        <v>5503</v>
      </c>
      <c r="E183" s="133"/>
      <c r="F183" s="134">
        <v>1.36</v>
      </c>
      <c r="G183" s="134">
        <v>1.08</v>
      </c>
      <c r="H183" s="135">
        <v>2011</v>
      </c>
      <c r="I183" s="133" t="s">
        <v>5559</v>
      </c>
    </row>
    <row r="184" spans="1:9" ht="18.75" thickBot="1" x14ac:dyDescent="0.3">
      <c r="A184" t="str">
        <f t="shared" si="2"/>
        <v>136220G</v>
      </c>
      <c r="B184" s="133" t="s">
        <v>6384</v>
      </c>
      <c r="C184" s="133" t="s">
        <v>6385</v>
      </c>
      <c r="D184" s="133" t="s">
        <v>5503</v>
      </c>
      <c r="E184" s="133"/>
      <c r="F184" s="134">
        <v>1.34</v>
      </c>
      <c r="G184" s="134">
        <v>1.07</v>
      </c>
      <c r="H184" s="135">
        <v>2024</v>
      </c>
      <c r="I184" s="133" t="s">
        <v>5559</v>
      </c>
    </row>
    <row r="185" spans="1:9" ht="18.75" thickBot="1" x14ac:dyDescent="0.3">
      <c r="A185" t="str">
        <f t="shared" si="2"/>
        <v>013447F</v>
      </c>
      <c r="B185" s="133" t="s">
        <v>6386</v>
      </c>
      <c r="C185" s="133" t="s">
        <v>6387</v>
      </c>
      <c r="D185" s="133" t="s">
        <v>5503</v>
      </c>
      <c r="E185" s="133"/>
      <c r="F185" s="134">
        <v>3</v>
      </c>
      <c r="G185" s="134">
        <v>2.4</v>
      </c>
      <c r="H185" s="135">
        <v>2023</v>
      </c>
      <c r="I185" s="133" t="s">
        <v>5635</v>
      </c>
    </row>
    <row r="186" spans="1:9" ht="18.75" thickBot="1" x14ac:dyDescent="0.3">
      <c r="A186" t="str">
        <f t="shared" si="2"/>
        <v>123838A</v>
      </c>
      <c r="B186" s="133" t="s">
        <v>7268</v>
      </c>
      <c r="C186" s="133" t="s">
        <v>7269</v>
      </c>
      <c r="D186" s="133" t="s">
        <v>5503</v>
      </c>
      <c r="E186" s="133"/>
      <c r="F186" s="134">
        <v>2.09</v>
      </c>
      <c r="G186" s="134">
        <v>1.67</v>
      </c>
      <c r="H186" s="135">
        <v>2024</v>
      </c>
      <c r="I186" s="133" t="s">
        <v>5573</v>
      </c>
    </row>
    <row r="187" spans="1:9" ht="18.75" thickBot="1" x14ac:dyDescent="0.3">
      <c r="A187" t="str">
        <f t="shared" si="2"/>
        <v>013475H</v>
      </c>
      <c r="B187" s="133" t="s">
        <v>6398</v>
      </c>
      <c r="C187" s="133" t="s">
        <v>6399</v>
      </c>
      <c r="D187" s="133" t="s">
        <v>25</v>
      </c>
      <c r="E187" s="133"/>
      <c r="F187" s="134" t="s">
        <v>5552</v>
      </c>
      <c r="G187" s="134">
        <v>6.03</v>
      </c>
      <c r="H187" s="135">
        <v>2010</v>
      </c>
      <c r="I187" s="133" t="s">
        <v>5566</v>
      </c>
    </row>
    <row r="188" spans="1:9" ht="18.75" thickBot="1" x14ac:dyDescent="0.3">
      <c r="A188" t="str">
        <f t="shared" si="2"/>
        <v>013479L</v>
      </c>
      <c r="B188" s="133" t="s">
        <v>6402</v>
      </c>
      <c r="C188" s="133" t="s">
        <v>6403</v>
      </c>
      <c r="D188" s="133" t="s">
        <v>26</v>
      </c>
      <c r="E188" s="133"/>
      <c r="F188" s="134">
        <v>5.91</v>
      </c>
      <c r="G188" s="134">
        <v>4.7300000000000004</v>
      </c>
      <c r="H188" s="135">
        <v>2020</v>
      </c>
      <c r="I188" s="133" t="s">
        <v>5566</v>
      </c>
    </row>
    <row r="189" spans="1:9" ht="18.75" thickBot="1" x14ac:dyDescent="0.3">
      <c r="A189" t="str">
        <f t="shared" si="2"/>
        <v>134791H</v>
      </c>
      <c r="B189" s="133" t="s">
        <v>6404</v>
      </c>
      <c r="C189" s="133" t="s">
        <v>6405</v>
      </c>
      <c r="D189" s="133" t="s">
        <v>26</v>
      </c>
      <c r="E189" s="133"/>
      <c r="F189" s="134">
        <v>3.82</v>
      </c>
      <c r="G189" s="134">
        <v>3.05</v>
      </c>
      <c r="H189" s="135">
        <v>2015</v>
      </c>
      <c r="I189" s="133" t="s">
        <v>5895</v>
      </c>
    </row>
    <row r="190" spans="1:9" ht="18.75" thickBot="1" x14ac:dyDescent="0.3">
      <c r="A190" t="str">
        <f t="shared" si="2"/>
        <v>013483P</v>
      </c>
      <c r="B190" s="133" t="s">
        <v>7519</v>
      </c>
      <c r="C190" s="133" t="s">
        <v>7520</v>
      </c>
      <c r="D190" s="133" t="s">
        <v>5503</v>
      </c>
      <c r="E190" s="133"/>
      <c r="F190" s="134">
        <v>1.72</v>
      </c>
      <c r="G190" s="134">
        <v>1.37</v>
      </c>
      <c r="H190" s="135">
        <v>2010</v>
      </c>
      <c r="I190" s="133" t="s">
        <v>5657</v>
      </c>
    </row>
    <row r="191" spans="1:9" ht="18.75" thickBot="1" x14ac:dyDescent="0.3">
      <c r="A191" t="str">
        <f t="shared" si="2"/>
        <v>108073R</v>
      </c>
      <c r="B191" s="133" t="s">
        <v>7276</v>
      </c>
      <c r="C191" s="133" t="s">
        <v>7277</v>
      </c>
      <c r="D191" s="133" t="s">
        <v>5503</v>
      </c>
      <c r="E191" s="133"/>
      <c r="F191" s="134">
        <v>2.92</v>
      </c>
      <c r="G191" s="134">
        <v>2.34</v>
      </c>
      <c r="H191" s="135">
        <v>2011</v>
      </c>
      <c r="I191" s="133" t="s">
        <v>6229</v>
      </c>
    </row>
    <row r="192" spans="1:9" ht="18.75" thickBot="1" x14ac:dyDescent="0.3">
      <c r="A192" t="str">
        <f t="shared" si="2"/>
        <v>013542W</v>
      </c>
      <c r="B192" s="133" t="s">
        <v>6420</v>
      </c>
      <c r="C192" s="133" t="s">
        <v>6421</v>
      </c>
      <c r="D192" s="133" t="s">
        <v>26</v>
      </c>
      <c r="E192" s="133"/>
      <c r="F192" s="134">
        <v>5.32</v>
      </c>
      <c r="G192" s="134">
        <v>4.26</v>
      </c>
      <c r="H192" s="135">
        <v>2024</v>
      </c>
      <c r="I192" s="133" t="s">
        <v>5563</v>
      </c>
    </row>
    <row r="193" spans="1:9" ht="18.75" thickBot="1" x14ac:dyDescent="0.3">
      <c r="A193" t="str">
        <f t="shared" si="2"/>
        <v>126075B</v>
      </c>
      <c r="B193" s="133" t="s">
        <v>7489</v>
      </c>
      <c r="C193" s="133" t="s">
        <v>7490</v>
      </c>
      <c r="D193" s="133" t="s">
        <v>26</v>
      </c>
      <c r="E193" s="133"/>
      <c r="F193" s="134">
        <v>4.6500000000000004</v>
      </c>
      <c r="G193" s="134">
        <v>3.72</v>
      </c>
      <c r="H193" s="135">
        <v>2011</v>
      </c>
      <c r="I193" s="133" t="s">
        <v>5566</v>
      </c>
    </row>
    <row r="194" spans="1:9" ht="18.75" thickBot="1" x14ac:dyDescent="0.3">
      <c r="A194" t="str">
        <f t="shared" ref="A194:A257" si="3">SUBSTITUTE(B194,CHAR(32),"")</f>
        <v>140428C</v>
      </c>
      <c r="B194" s="133" t="s">
        <v>6426</v>
      </c>
      <c r="C194" s="133" t="s">
        <v>6427</v>
      </c>
      <c r="D194" s="133" t="s">
        <v>5503</v>
      </c>
      <c r="E194" s="133"/>
      <c r="F194" s="134">
        <v>1.37</v>
      </c>
      <c r="G194" s="134">
        <v>1.0900000000000001</v>
      </c>
      <c r="H194" s="135">
        <v>2016</v>
      </c>
      <c r="I194" s="133" t="s">
        <v>5768</v>
      </c>
    </row>
    <row r="195" spans="1:9" ht="18.75" thickBot="1" x14ac:dyDescent="0.3">
      <c r="A195" t="str">
        <f t="shared" si="3"/>
        <v>140324C</v>
      </c>
      <c r="B195" s="133" t="s">
        <v>7521</v>
      </c>
      <c r="C195" s="133" t="s">
        <v>7522</v>
      </c>
      <c r="D195" s="133" t="s">
        <v>5503</v>
      </c>
      <c r="E195" s="133"/>
      <c r="F195" s="134">
        <v>0.83</v>
      </c>
      <c r="G195" s="134">
        <v>0.66</v>
      </c>
      <c r="H195" s="135">
        <v>2010</v>
      </c>
      <c r="I195" s="133" t="s">
        <v>5559</v>
      </c>
    </row>
    <row r="196" spans="1:9" ht="18.75" thickBot="1" x14ac:dyDescent="0.3">
      <c r="A196" t="str">
        <f t="shared" si="3"/>
        <v>117441Z</v>
      </c>
      <c r="B196" s="133" t="s">
        <v>6430</v>
      </c>
      <c r="C196" s="133" t="s">
        <v>6431</v>
      </c>
      <c r="D196" s="133" t="s">
        <v>26</v>
      </c>
      <c r="E196" s="133"/>
      <c r="F196" s="134">
        <v>3.29</v>
      </c>
      <c r="G196" s="134">
        <v>2.63</v>
      </c>
      <c r="H196" s="135">
        <v>2014</v>
      </c>
      <c r="I196" s="133" t="s">
        <v>5787</v>
      </c>
    </row>
    <row r="197" spans="1:9" ht="18.75" thickBot="1" x14ac:dyDescent="0.3">
      <c r="A197" t="str">
        <f t="shared" si="3"/>
        <v>013513T</v>
      </c>
      <c r="B197" s="133" t="s">
        <v>6432</v>
      </c>
      <c r="C197" s="133" t="s">
        <v>6433</v>
      </c>
      <c r="D197" s="133" t="s">
        <v>5503</v>
      </c>
      <c r="E197" s="133"/>
      <c r="F197" s="134">
        <v>1.78</v>
      </c>
      <c r="G197" s="134">
        <v>1.43</v>
      </c>
      <c r="H197" s="135">
        <v>2015</v>
      </c>
      <c r="I197" s="133" t="s">
        <v>5556</v>
      </c>
    </row>
    <row r="198" spans="1:9" ht="18.75" thickBot="1" x14ac:dyDescent="0.3">
      <c r="A198" t="str">
        <f t="shared" si="3"/>
        <v>013514U</v>
      </c>
      <c r="B198" s="133" t="s">
        <v>6434</v>
      </c>
      <c r="C198" s="133" t="s">
        <v>6435</v>
      </c>
      <c r="D198" s="133" t="s">
        <v>5765</v>
      </c>
      <c r="E198" s="133"/>
      <c r="F198" s="134" t="s">
        <v>5552</v>
      </c>
      <c r="G198" s="134">
        <v>24.22</v>
      </c>
      <c r="H198" s="135">
        <v>2024</v>
      </c>
      <c r="I198" s="133" t="s">
        <v>5556</v>
      </c>
    </row>
    <row r="199" spans="1:9" ht="18.75" thickBot="1" x14ac:dyDescent="0.3">
      <c r="A199" t="str">
        <f t="shared" si="3"/>
        <v>138060A</v>
      </c>
      <c r="B199" s="133" t="s">
        <v>6436</v>
      </c>
      <c r="C199" s="133" t="s">
        <v>6437</v>
      </c>
      <c r="D199" s="133" t="s">
        <v>26</v>
      </c>
      <c r="E199" s="133"/>
      <c r="F199" s="134">
        <v>3.54</v>
      </c>
      <c r="G199" s="134">
        <v>2.83</v>
      </c>
      <c r="H199" s="135">
        <v>2024</v>
      </c>
      <c r="I199" s="133" t="s">
        <v>5601</v>
      </c>
    </row>
    <row r="200" spans="1:9" ht="18.75" thickBot="1" x14ac:dyDescent="0.3">
      <c r="A200" t="str">
        <f t="shared" si="3"/>
        <v>013526G</v>
      </c>
      <c r="B200" s="133" t="s">
        <v>6448</v>
      </c>
      <c r="C200" s="133" t="s">
        <v>6449</v>
      </c>
      <c r="D200" s="133" t="s">
        <v>5503</v>
      </c>
      <c r="E200" s="133"/>
      <c r="F200" s="134">
        <v>1.81</v>
      </c>
      <c r="G200" s="134">
        <v>1.45</v>
      </c>
      <c r="H200" s="135">
        <v>2024</v>
      </c>
      <c r="I200" s="133" t="s">
        <v>5678</v>
      </c>
    </row>
    <row r="201" spans="1:9" ht="18.75" thickBot="1" x14ac:dyDescent="0.3">
      <c r="A201" t="str">
        <f t="shared" si="3"/>
        <v>145291D</v>
      </c>
      <c r="B201" s="133" t="s">
        <v>7284</v>
      </c>
      <c r="C201" s="133" t="s">
        <v>7285</v>
      </c>
      <c r="D201" s="133" t="s">
        <v>5503</v>
      </c>
      <c r="E201" s="133"/>
      <c r="F201" s="134">
        <v>2.2400000000000002</v>
      </c>
      <c r="G201" s="134">
        <v>1.79</v>
      </c>
      <c r="H201" s="135">
        <v>2024</v>
      </c>
      <c r="I201" s="133" t="s">
        <v>5787</v>
      </c>
    </row>
    <row r="202" spans="1:9" ht="18.75" thickBot="1" x14ac:dyDescent="0.3">
      <c r="A202" t="str">
        <f t="shared" si="3"/>
        <v>013546A</v>
      </c>
      <c r="B202" s="133" t="s">
        <v>6460</v>
      </c>
      <c r="C202" s="133" t="s">
        <v>6461</v>
      </c>
      <c r="D202" s="133" t="s">
        <v>5503</v>
      </c>
      <c r="E202" s="133"/>
      <c r="F202" s="134">
        <v>1.85</v>
      </c>
      <c r="G202" s="134">
        <v>1.48</v>
      </c>
      <c r="H202" s="135">
        <v>2024</v>
      </c>
      <c r="I202" s="133" t="s">
        <v>6229</v>
      </c>
    </row>
    <row r="203" spans="1:9" ht="18.75" thickBot="1" x14ac:dyDescent="0.3">
      <c r="A203" t="str">
        <f t="shared" si="3"/>
        <v>013550E</v>
      </c>
      <c r="B203" s="133" t="s">
        <v>6464</v>
      </c>
      <c r="C203" s="133" t="s">
        <v>6465</v>
      </c>
      <c r="D203" s="133" t="s">
        <v>26</v>
      </c>
      <c r="E203" s="133"/>
      <c r="F203" s="134">
        <v>4.17</v>
      </c>
      <c r="G203" s="134">
        <v>3.33</v>
      </c>
      <c r="H203" s="135">
        <v>2020</v>
      </c>
      <c r="I203" s="133" t="s">
        <v>5598</v>
      </c>
    </row>
    <row r="204" spans="1:9" ht="18.75" thickBot="1" x14ac:dyDescent="0.3">
      <c r="A204" t="str">
        <f t="shared" si="3"/>
        <v>013557L</v>
      </c>
      <c r="B204" s="133" t="s">
        <v>6472</v>
      </c>
      <c r="C204" s="133" t="s">
        <v>6473</v>
      </c>
      <c r="D204" s="133" t="s">
        <v>26</v>
      </c>
      <c r="E204" s="133"/>
      <c r="F204" s="134">
        <v>3.09</v>
      </c>
      <c r="G204" s="134">
        <v>2.4700000000000002</v>
      </c>
      <c r="H204" s="135">
        <v>2012</v>
      </c>
      <c r="I204" s="133" t="s">
        <v>5598</v>
      </c>
    </row>
    <row r="205" spans="1:9" ht="18.75" thickBot="1" x14ac:dyDescent="0.3">
      <c r="A205" t="str">
        <f t="shared" si="3"/>
        <v>154179L</v>
      </c>
      <c r="B205" s="133" t="s">
        <v>7288</v>
      </c>
      <c r="C205" s="133" t="s">
        <v>7289</v>
      </c>
      <c r="D205" s="133" t="s">
        <v>5503</v>
      </c>
      <c r="E205" s="133"/>
      <c r="F205" s="134">
        <v>1.71</v>
      </c>
      <c r="G205" s="134">
        <v>1.37</v>
      </c>
      <c r="H205" s="135">
        <v>2024</v>
      </c>
      <c r="I205" s="133" t="s">
        <v>5559</v>
      </c>
    </row>
    <row r="206" spans="1:9" ht="18.75" thickBot="1" x14ac:dyDescent="0.3">
      <c r="A206" t="str">
        <f t="shared" si="3"/>
        <v>020242O</v>
      </c>
      <c r="B206" s="133" t="s">
        <v>8559</v>
      </c>
      <c r="C206" s="133" t="s">
        <v>8560</v>
      </c>
      <c r="D206" s="133" t="s">
        <v>26</v>
      </c>
      <c r="E206" s="133"/>
      <c r="F206" s="134">
        <v>4.17</v>
      </c>
      <c r="G206" s="134">
        <v>3.34</v>
      </c>
      <c r="H206" s="135">
        <v>2012</v>
      </c>
      <c r="I206" s="133" t="s">
        <v>5587</v>
      </c>
    </row>
    <row r="207" spans="1:9" ht="18.75" thickBot="1" x14ac:dyDescent="0.3">
      <c r="A207" t="str">
        <f t="shared" si="3"/>
        <v>103239T</v>
      </c>
      <c r="B207" s="133" t="s">
        <v>7491</v>
      </c>
      <c r="C207" s="133" t="s">
        <v>7492</v>
      </c>
      <c r="D207" s="133" t="s">
        <v>26</v>
      </c>
      <c r="E207" s="133"/>
      <c r="F207" s="134">
        <v>5.58</v>
      </c>
      <c r="G207" s="134">
        <v>4.46</v>
      </c>
      <c r="H207" s="135">
        <v>2009</v>
      </c>
      <c r="I207" s="133" t="s">
        <v>5787</v>
      </c>
    </row>
    <row r="208" spans="1:9" ht="18.75" thickBot="1" x14ac:dyDescent="0.3">
      <c r="A208" t="str">
        <f t="shared" si="3"/>
        <v>013592U</v>
      </c>
      <c r="B208" s="133" t="s">
        <v>6494</v>
      </c>
      <c r="C208" s="133" t="s">
        <v>6495</v>
      </c>
      <c r="D208" s="133" t="s">
        <v>26</v>
      </c>
      <c r="E208" s="133"/>
      <c r="F208" s="134">
        <v>5.34</v>
      </c>
      <c r="G208" s="134">
        <v>4.2699999999999996</v>
      </c>
      <c r="H208" s="135">
        <v>2010</v>
      </c>
      <c r="I208" s="133" t="s">
        <v>5598</v>
      </c>
    </row>
    <row r="209" spans="1:9" ht="18.75" thickBot="1" x14ac:dyDescent="0.3">
      <c r="A209" t="str">
        <f t="shared" si="3"/>
        <v>155170N</v>
      </c>
      <c r="B209" s="133" t="s">
        <v>6502</v>
      </c>
      <c r="C209" s="133" t="s">
        <v>6503</v>
      </c>
      <c r="D209" s="133" t="s">
        <v>26</v>
      </c>
      <c r="E209" s="133"/>
      <c r="F209" s="134">
        <v>3.66</v>
      </c>
      <c r="G209" s="134">
        <v>2.93</v>
      </c>
      <c r="H209" s="135">
        <v>2024</v>
      </c>
      <c r="I209" s="133" t="s">
        <v>5735</v>
      </c>
    </row>
    <row r="210" spans="1:9" ht="18.75" thickBot="1" x14ac:dyDescent="0.3">
      <c r="A210" t="str">
        <f t="shared" si="3"/>
        <v>161463D</v>
      </c>
      <c r="B210" s="133" t="s">
        <v>7298</v>
      </c>
      <c r="C210" s="133" t="s">
        <v>7299</v>
      </c>
      <c r="D210" s="133" t="s">
        <v>5503</v>
      </c>
      <c r="E210" s="133"/>
      <c r="F210" s="134">
        <v>2.93</v>
      </c>
      <c r="G210" s="134">
        <v>2.35</v>
      </c>
      <c r="H210" s="135">
        <v>2024</v>
      </c>
      <c r="I210" s="133" t="s">
        <v>5671</v>
      </c>
    </row>
    <row r="211" spans="1:9" ht="18.75" thickBot="1" x14ac:dyDescent="0.3">
      <c r="A211" t="str">
        <f t="shared" si="3"/>
        <v>013608K</v>
      </c>
      <c r="B211" s="133" t="s">
        <v>6510</v>
      </c>
      <c r="C211" s="133" t="s">
        <v>6511</v>
      </c>
      <c r="D211" s="133" t="s">
        <v>25</v>
      </c>
      <c r="E211" s="133"/>
      <c r="F211" s="134" t="s">
        <v>5552</v>
      </c>
      <c r="G211" s="134">
        <v>5.62</v>
      </c>
      <c r="H211" s="135">
        <v>2013</v>
      </c>
      <c r="I211" s="133" t="s">
        <v>5678</v>
      </c>
    </row>
    <row r="212" spans="1:9" ht="18.75" thickBot="1" x14ac:dyDescent="0.3">
      <c r="A212" t="str">
        <f t="shared" si="3"/>
        <v>013618U</v>
      </c>
      <c r="B212" s="133" t="s">
        <v>6512</v>
      </c>
      <c r="C212" s="133" t="s">
        <v>6513</v>
      </c>
      <c r="D212" s="133" t="s">
        <v>5503</v>
      </c>
      <c r="E212" s="133"/>
      <c r="F212" s="134">
        <v>2.42</v>
      </c>
      <c r="G212" s="134">
        <v>1.93</v>
      </c>
      <c r="H212" s="135">
        <v>2020</v>
      </c>
      <c r="I212" s="133" t="s">
        <v>5895</v>
      </c>
    </row>
    <row r="213" spans="1:9" ht="18.75" thickBot="1" x14ac:dyDescent="0.3">
      <c r="A213" t="str">
        <f t="shared" si="3"/>
        <v>119631F</v>
      </c>
      <c r="B213" s="133" t="s">
        <v>7300</v>
      </c>
      <c r="C213" s="133" t="s">
        <v>7301</v>
      </c>
      <c r="D213" s="133" t="s">
        <v>5503</v>
      </c>
      <c r="E213" s="133"/>
      <c r="F213" s="134">
        <v>1.57</v>
      </c>
      <c r="G213" s="134">
        <v>1.26</v>
      </c>
      <c r="H213" s="135">
        <v>2024</v>
      </c>
      <c r="I213" s="133" t="s">
        <v>5678</v>
      </c>
    </row>
    <row r="214" spans="1:9" ht="18.75" thickBot="1" x14ac:dyDescent="0.3">
      <c r="A214" t="str">
        <f t="shared" si="3"/>
        <v>107940O</v>
      </c>
      <c r="B214" s="133" t="s">
        <v>6516</v>
      </c>
      <c r="C214" s="133" t="s">
        <v>6517</v>
      </c>
      <c r="D214" s="133" t="s">
        <v>5503</v>
      </c>
      <c r="E214" s="133"/>
      <c r="F214" s="134">
        <v>2.04</v>
      </c>
      <c r="G214" s="134">
        <v>1.63</v>
      </c>
      <c r="H214" s="135">
        <v>2017</v>
      </c>
      <c r="I214" s="133" t="s">
        <v>5582</v>
      </c>
    </row>
    <row r="215" spans="1:9" ht="18.75" thickBot="1" x14ac:dyDescent="0.3">
      <c r="A215" t="str">
        <f t="shared" si="3"/>
        <v>148333G</v>
      </c>
      <c r="B215" s="133" t="s">
        <v>7304</v>
      </c>
      <c r="C215" s="133" t="s">
        <v>7305</v>
      </c>
      <c r="D215" s="133" t="s">
        <v>5503</v>
      </c>
      <c r="E215" s="133"/>
      <c r="F215" s="134">
        <v>2.39</v>
      </c>
      <c r="G215" s="134">
        <v>1.91</v>
      </c>
      <c r="H215" s="135">
        <v>2024</v>
      </c>
      <c r="I215" s="133" t="s">
        <v>5559</v>
      </c>
    </row>
    <row r="216" spans="1:9" ht="18.75" thickBot="1" x14ac:dyDescent="0.3">
      <c r="A216" t="str">
        <f t="shared" si="3"/>
        <v>013654E</v>
      </c>
      <c r="B216" s="133" t="s">
        <v>6536</v>
      </c>
      <c r="C216" s="133" t="s">
        <v>6537</v>
      </c>
      <c r="D216" s="133" t="s">
        <v>5503</v>
      </c>
      <c r="E216" s="133"/>
      <c r="F216" s="134">
        <v>1.2</v>
      </c>
      <c r="G216" s="134">
        <v>0.96</v>
      </c>
      <c r="H216" s="135">
        <v>2023</v>
      </c>
      <c r="I216" s="133" t="s">
        <v>5744</v>
      </c>
    </row>
    <row r="217" spans="1:9" ht="18.75" thickBot="1" x14ac:dyDescent="0.3">
      <c r="A217" t="str">
        <f t="shared" si="3"/>
        <v>161378L</v>
      </c>
      <c r="B217" s="133" t="s">
        <v>6550</v>
      </c>
      <c r="C217" s="133" t="s">
        <v>6551</v>
      </c>
      <c r="D217" s="133" t="s">
        <v>5503</v>
      </c>
      <c r="E217" s="133"/>
      <c r="F217" s="134">
        <v>1.79</v>
      </c>
      <c r="G217" s="134">
        <v>1.43</v>
      </c>
      <c r="H217" s="135">
        <v>2023</v>
      </c>
      <c r="I217" s="133" t="s">
        <v>5646</v>
      </c>
    </row>
    <row r="218" spans="1:9" ht="18.75" thickBot="1" x14ac:dyDescent="0.3">
      <c r="A218" t="str">
        <f t="shared" si="3"/>
        <v>129560C</v>
      </c>
      <c r="B218" s="133" t="s">
        <v>6552</v>
      </c>
      <c r="C218" s="133" t="s">
        <v>6553</v>
      </c>
      <c r="D218" s="133" t="s">
        <v>26</v>
      </c>
      <c r="E218" s="133"/>
      <c r="F218" s="134">
        <v>3.73</v>
      </c>
      <c r="G218" s="134">
        <v>2.98</v>
      </c>
      <c r="H218" s="135">
        <v>2009</v>
      </c>
      <c r="I218" s="133" t="s">
        <v>6554</v>
      </c>
    </row>
    <row r="219" spans="1:9" ht="18.75" thickBot="1" x14ac:dyDescent="0.3">
      <c r="A219" t="str">
        <f t="shared" si="3"/>
        <v>132683F</v>
      </c>
      <c r="B219" s="133" t="s">
        <v>7317</v>
      </c>
      <c r="C219" s="133" t="s">
        <v>7318</v>
      </c>
      <c r="D219" s="133" t="s">
        <v>5503</v>
      </c>
      <c r="E219" s="133"/>
      <c r="F219" s="134">
        <v>2.19</v>
      </c>
      <c r="G219" s="134">
        <v>1.75</v>
      </c>
      <c r="H219" s="135">
        <v>2024</v>
      </c>
      <c r="I219" s="133" t="s">
        <v>5912</v>
      </c>
    </row>
    <row r="220" spans="1:9" ht="18.75" thickBot="1" x14ac:dyDescent="0.3">
      <c r="A220" t="str">
        <f t="shared" si="3"/>
        <v>013683H</v>
      </c>
      <c r="B220" s="133" t="s">
        <v>7470</v>
      </c>
      <c r="C220" s="133" t="s">
        <v>7471</v>
      </c>
      <c r="D220" s="133" t="s">
        <v>25</v>
      </c>
      <c r="E220" s="133"/>
      <c r="F220" s="134" t="s">
        <v>5552</v>
      </c>
      <c r="G220" s="134">
        <v>5.6</v>
      </c>
      <c r="H220" s="135">
        <v>2009</v>
      </c>
      <c r="I220" s="133" t="s">
        <v>5657</v>
      </c>
    </row>
    <row r="221" spans="1:9" ht="18.75" thickBot="1" x14ac:dyDescent="0.3">
      <c r="A221" t="str">
        <f t="shared" si="3"/>
        <v>013696U</v>
      </c>
      <c r="B221" s="133" t="s">
        <v>6566</v>
      </c>
      <c r="C221" s="133" t="s">
        <v>6567</v>
      </c>
      <c r="D221" s="133" t="s">
        <v>25</v>
      </c>
      <c r="E221" s="133"/>
      <c r="F221" s="134" t="s">
        <v>5552</v>
      </c>
      <c r="G221" s="134">
        <v>8.68</v>
      </c>
      <c r="H221" s="135">
        <v>2008</v>
      </c>
      <c r="I221" s="133" t="s">
        <v>6568</v>
      </c>
    </row>
    <row r="222" spans="1:9" ht="18.75" thickBot="1" x14ac:dyDescent="0.3">
      <c r="A222" t="str">
        <f t="shared" si="3"/>
        <v>152971Y</v>
      </c>
      <c r="B222" s="133" t="s">
        <v>6571</v>
      </c>
      <c r="C222" s="133" t="s">
        <v>6572</v>
      </c>
      <c r="D222" s="133" t="s">
        <v>5503</v>
      </c>
      <c r="E222" s="133"/>
      <c r="F222" s="134">
        <v>2.4700000000000002</v>
      </c>
      <c r="G222" s="134">
        <v>1.97</v>
      </c>
      <c r="H222" s="135">
        <v>2024</v>
      </c>
      <c r="I222" s="133" t="s">
        <v>5630</v>
      </c>
    </row>
    <row r="223" spans="1:9" ht="18.75" thickBot="1" x14ac:dyDescent="0.3">
      <c r="A223" t="str">
        <f t="shared" si="3"/>
        <v>013711J</v>
      </c>
      <c r="B223" s="133" t="s">
        <v>6573</v>
      </c>
      <c r="C223" s="133" t="s">
        <v>6574</v>
      </c>
      <c r="D223" s="133" t="s">
        <v>26</v>
      </c>
      <c r="E223" s="133"/>
      <c r="F223" s="134">
        <v>3.52</v>
      </c>
      <c r="G223" s="134">
        <v>2.81</v>
      </c>
      <c r="H223" s="135">
        <v>2024</v>
      </c>
      <c r="I223" s="133" t="s">
        <v>5556</v>
      </c>
    </row>
    <row r="224" spans="1:9" ht="18.75" thickBot="1" x14ac:dyDescent="0.3">
      <c r="A224" t="str">
        <f t="shared" si="3"/>
        <v>132309V</v>
      </c>
      <c r="B224" s="133" t="s">
        <v>7325</v>
      </c>
      <c r="C224" s="133" t="s">
        <v>7326</v>
      </c>
      <c r="D224" s="133" t="s">
        <v>26</v>
      </c>
      <c r="E224" s="133"/>
      <c r="F224" s="134">
        <v>4.3600000000000003</v>
      </c>
      <c r="G224" s="134">
        <v>3.48</v>
      </c>
      <c r="H224" s="135">
        <v>2017</v>
      </c>
      <c r="I224" s="133" t="s">
        <v>5666</v>
      </c>
    </row>
    <row r="225" spans="1:9" ht="18.75" thickBot="1" x14ac:dyDescent="0.3">
      <c r="A225" t="str">
        <f t="shared" si="3"/>
        <v>013725X</v>
      </c>
      <c r="B225" s="133" t="s">
        <v>6581</v>
      </c>
      <c r="C225" s="133" t="s">
        <v>6582</v>
      </c>
      <c r="D225" s="133" t="s">
        <v>5503</v>
      </c>
      <c r="E225" s="133"/>
      <c r="F225" s="134">
        <v>3.33</v>
      </c>
      <c r="G225" s="134">
        <v>2.67</v>
      </c>
      <c r="H225" s="135">
        <v>2013</v>
      </c>
      <c r="I225" s="133" t="s">
        <v>5594</v>
      </c>
    </row>
    <row r="226" spans="1:9" ht="18.75" thickBot="1" x14ac:dyDescent="0.3">
      <c r="A226" t="str">
        <f t="shared" si="3"/>
        <v>124642Y</v>
      </c>
      <c r="B226" s="133" t="s">
        <v>6583</v>
      </c>
      <c r="C226" s="133" t="s">
        <v>6584</v>
      </c>
      <c r="D226" s="133" t="s">
        <v>25</v>
      </c>
      <c r="E226" s="133"/>
      <c r="F226" s="134" t="s">
        <v>5552</v>
      </c>
      <c r="G226" s="134">
        <v>5.88</v>
      </c>
      <c r="H226" s="135">
        <v>2014</v>
      </c>
      <c r="I226" s="133" t="s">
        <v>5559</v>
      </c>
    </row>
    <row r="227" spans="1:9" ht="18.75" thickBot="1" x14ac:dyDescent="0.3">
      <c r="A227" t="str">
        <f t="shared" si="3"/>
        <v>104179X</v>
      </c>
      <c r="B227" s="133" t="s">
        <v>6591</v>
      </c>
      <c r="C227" s="133" t="s">
        <v>6592</v>
      </c>
      <c r="D227" s="133" t="s">
        <v>26</v>
      </c>
      <c r="E227" s="133"/>
      <c r="F227" s="134">
        <v>5.05</v>
      </c>
      <c r="G227" s="134">
        <v>4.04</v>
      </c>
      <c r="H227" s="135">
        <v>2013</v>
      </c>
      <c r="I227" s="133" t="s">
        <v>5556</v>
      </c>
    </row>
    <row r="228" spans="1:9" ht="18.75" thickBot="1" x14ac:dyDescent="0.3">
      <c r="A228" t="str">
        <f t="shared" si="3"/>
        <v>013738K</v>
      </c>
      <c r="B228" s="133" t="s">
        <v>6593</v>
      </c>
      <c r="C228" s="133" t="s">
        <v>6594</v>
      </c>
      <c r="D228" s="133" t="s">
        <v>5503</v>
      </c>
      <c r="E228" s="133"/>
      <c r="F228" s="134">
        <v>3.23</v>
      </c>
      <c r="G228" s="134">
        <v>2.58</v>
      </c>
      <c r="H228" s="135">
        <v>2011</v>
      </c>
      <c r="I228" s="133" t="s">
        <v>5582</v>
      </c>
    </row>
    <row r="229" spans="1:9" ht="18.75" thickBot="1" x14ac:dyDescent="0.3">
      <c r="A229" t="str">
        <f t="shared" si="3"/>
        <v>013744Q</v>
      </c>
      <c r="B229" s="133" t="s">
        <v>7493</v>
      </c>
      <c r="C229" s="133" t="s">
        <v>7494</v>
      </c>
      <c r="D229" s="133" t="s">
        <v>26</v>
      </c>
      <c r="E229" s="133"/>
      <c r="F229" s="134">
        <v>4.97</v>
      </c>
      <c r="G229" s="134">
        <v>3.97</v>
      </c>
      <c r="H229" s="135">
        <v>2010</v>
      </c>
      <c r="I229" s="133" t="s">
        <v>5912</v>
      </c>
    </row>
    <row r="230" spans="1:9" ht="18.75" thickBot="1" x14ac:dyDescent="0.3">
      <c r="A230" t="str">
        <f t="shared" si="3"/>
        <v>124636S</v>
      </c>
      <c r="B230" s="133" t="s">
        <v>7495</v>
      </c>
      <c r="C230" s="133" t="s">
        <v>7496</v>
      </c>
      <c r="D230" s="133" t="s">
        <v>26</v>
      </c>
      <c r="E230" s="133"/>
      <c r="F230" s="134">
        <v>5.33</v>
      </c>
      <c r="G230" s="134">
        <v>4.26</v>
      </c>
      <c r="H230" s="135">
        <v>2008</v>
      </c>
      <c r="I230" s="133" t="s">
        <v>5801</v>
      </c>
    </row>
    <row r="231" spans="1:9" ht="18.75" thickBot="1" x14ac:dyDescent="0.3">
      <c r="A231" t="str">
        <f t="shared" si="3"/>
        <v>013749V</v>
      </c>
      <c r="B231" s="133" t="s">
        <v>6599</v>
      </c>
      <c r="C231" s="133" t="s">
        <v>6600</v>
      </c>
      <c r="D231" s="133" t="s">
        <v>5638</v>
      </c>
      <c r="E231" s="133"/>
      <c r="F231" s="134" t="s">
        <v>5552</v>
      </c>
      <c r="G231" s="134">
        <v>4.1399999999999997</v>
      </c>
      <c r="H231" s="135">
        <v>2024</v>
      </c>
      <c r="I231" s="133" t="s">
        <v>5639</v>
      </c>
    </row>
    <row r="232" spans="1:9" ht="18.75" thickBot="1" x14ac:dyDescent="0.3">
      <c r="A232" t="str">
        <f t="shared" si="3"/>
        <v>013753Z</v>
      </c>
      <c r="B232" s="133" t="s">
        <v>6604</v>
      </c>
      <c r="C232" s="133" t="s">
        <v>6605</v>
      </c>
      <c r="D232" s="133" t="s">
        <v>5503</v>
      </c>
      <c r="E232" s="133"/>
      <c r="F232" s="134">
        <v>1.38</v>
      </c>
      <c r="G232" s="134">
        <v>1.1100000000000001</v>
      </c>
      <c r="H232" s="135">
        <v>2016</v>
      </c>
      <c r="I232" s="133" t="s">
        <v>5601</v>
      </c>
    </row>
    <row r="233" spans="1:9" ht="18.75" thickBot="1" x14ac:dyDescent="0.3">
      <c r="A233" t="str">
        <f t="shared" si="3"/>
        <v>013758E</v>
      </c>
      <c r="B233" s="133" t="s">
        <v>6612</v>
      </c>
      <c r="C233" s="133" t="s">
        <v>6613</v>
      </c>
      <c r="D233" s="133" t="s">
        <v>26</v>
      </c>
      <c r="E233" s="133"/>
      <c r="F233" s="134">
        <v>4.45</v>
      </c>
      <c r="G233" s="134">
        <v>3.56</v>
      </c>
      <c r="H233" s="135">
        <v>2018</v>
      </c>
      <c r="I233" s="133" t="s">
        <v>5678</v>
      </c>
    </row>
    <row r="234" spans="1:9" ht="18.75" thickBot="1" x14ac:dyDescent="0.3">
      <c r="A234" t="str">
        <f t="shared" si="3"/>
        <v>123853P</v>
      </c>
      <c r="B234" s="133" t="s">
        <v>6618</v>
      </c>
      <c r="C234" s="133" t="s">
        <v>6619</v>
      </c>
      <c r="D234" s="133" t="s">
        <v>26</v>
      </c>
      <c r="E234" s="133"/>
      <c r="F234" s="134">
        <v>5.0599999999999996</v>
      </c>
      <c r="G234" s="134">
        <v>4.04</v>
      </c>
      <c r="H234" s="135">
        <v>2015</v>
      </c>
      <c r="I234" s="133" t="s">
        <v>5657</v>
      </c>
    </row>
    <row r="235" spans="1:9" ht="18.75" thickBot="1" x14ac:dyDescent="0.3">
      <c r="A235" t="str">
        <f t="shared" si="3"/>
        <v>013780A</v>
      </c>
      <c r="B235" s="133" t="s">
        <v>6620</v>
      </c>
      <c r="C235" s="133" t="s">
        <v>6621</v>
      </c>
      <c r="D235" s="133" t="s">
        <v>5503</v>
      </c>
      <c r="E235" s="133"/>
      <c r="F235" s="134">
        <v>2.15</v>
      </c>
      <c r="G235" s="134">
        <v>1.72</v>
      </c>
      <c r="H235" s="135">
        <v>2024</v>
      </c>
      <c r="I235" s="133" t="s">
        <v>5556</v>
      </c>
    </row>
    <row r="236" spans="1:9" ht="18.75" thickBot="1" x14ac:dyDescent="0.3">
      <c r="A236" t="str">
        <f t="shared" si="3"/>
        <v>013782C</v>
      </c>
      <c r="B236" s="133" t="s">
        <v>7497</v>
      </c>
      <c r="C236" s="133" t="s">
        <v>7498</v>
      </c>
      <c r="D236" s="133" t="s">
        <v>26</v>
      </c>
      <c r="E236" s="133"/>
      <c r="F236" s="134">
        <v>4.09</v>
      </c>
      <c r="G236" s="134">
        <v>3.27</v>
      </c>
      <c r="H236" s="135">
        <v>2016</v>
      </c>
      <c r="I236" s="133" t="s">
        <v>5601</v>
      </c>
    </row>
    <row r="237" spans="1:9" ht="18.75" thickBot="1" x14ac:dyDescent="0.3">
      <c r="A237" t="str">
        <f t="shared" si="3"/>
        <v>013789J</v>
      </c>
      <c r="B237" s="133" t="s">
        <v>6626</v>
      </c>
      <c r="C237" s="133" t="s">
        <v>6627</v>
      </c>
      <c r="D237" s="133" t="s">
        <v>26</v>
      </c>
      <c r="E237" s="133"/>
      <c r="F237" s="134">
        <v>3.96</v>
      </c>
      <c r="G237" s="134">
        <v>3.16</v>
      </c>
      <c r="H237" s="135">
        <v>2020</v>
      </c>
      <c r="I237" s="133" t="s">
        <v>5598</v>
      </c>
    </row>
    <row r="238" spans="1:9" ht="18.75" thickBot="1" x14ac:dyDescent="0.3">
      <c r="A238" t="str">
        <f t="shared" si="3"/>
        <v>013796Q</v>
      </c>
      <c r="B238" s="133" t="s">
        <v>6632</v>
      </c>
      <c r="C238" s="133" t="s">
        <v>6633</v>
      </c>
      <c r="D238" s="133" t="s">
        <v>26</v>
      </c>
      <c r="E238" s="133"/>
      <c r="F238" s="134">
        <v>3.82</v>
      </c>
      <c r="G238" s="134">
        <v>3.05</v>
      </c>
      <c r="H238" s="135">
        <v>2024</v>
      </c>
      <c r="I238" s="133" t="s">
        <v>5601</v>
      </c>
    </row>
    <row r="239" spans="1:9" ht="18.75" thickBot="1" x14ac:dyDescent="0.3">
      <c r="A239" t="str">
        <f t="shared" si="3"/>
        <v>157837M</v>
      </c>
      <c r="B239" s="133" t="s">
        <v>6634</v>
      </c>
      <c r="C239" s="133" t="s">
        <v>6635</v>
      </c>
      <c r="D239" s="133" t="s">
        <v>26</v>
      </c>
      <c r="E239" s="133"/>
      <c r="F239" s="134">
        <v>4.75</v>
      </c>
      <c r="G239" s="134">
        <v>3.8</v>
      </c>
      <c r="H239" s="135">
        <v>2022</v>
      </c>
      <c r="I239" s="133" t="s">
        <v>5553</v>
      </c>
    </row>
    <row r="240" spans="1:9" ht="18.75" thickBot="1" x14ac:dyDescent="0.3">
      <c r="A240" t="str">
        <f t="shared" si="3"/>
        <v>156975A</v>
      </c>
      <c r="B240" s="133" t="s">
        <v>7339</v>
      </c>
      <c r="C240" s="133" t="s">
        <v>7340</v>
      </c>
      <c r="D240" s="133" t="s">
        <v>25</v>
      </c>
      <c r="E240" s="133"/>
      <c r="F240" s="134" t="s">
        <v>5552</v>
      </c>
      <c r="G240" s="134">
        <v>5.8</v>
      </c>
      <c r="H240" s="135">
        <v>2020</v>
      </c>
      <c r="I240" s="133" t="s">
        <v>5615</v>
      </c>
    </row>
    <row r="241" spans="1:9" ht="18.75" thickBot="1" x14ac:dyDescent="0.3">
      <c r="A241" t="str">
        <f t="shared" si="3"/>
        <v>013814I</v>
      </c>
      <c r="B241" s="133" t="s">
        <v>6650</v>
      </c>
      <c r="C241" s="133" t="s">
        <v>6651</v>
      </c>
      <c r="D241" s="133" t="s">
        <v>5503</v>
      </c>
      <c r="E241" s="133"/>
      <c r="F241" s="134">
        <v>1.17</v>
      </c>
      <c r="G241" s="134">
        <v>0.94</v>
      </c>
      <c r="H241" s="135">
        <v>2017</v>
      </c>
      <c r="I241" s="133" t="s">
        <v>5646</v>
      </c>
    </row>
    <row r="242" spans="1:9" ht="18.75" thickBot="1" x14ac:dyDescent="0.3">
      <c r="A242" t="str">
        <f t="shared" si="3"/>
        <v>182807D</v>
      </c>
      <c r="B242" s="133" t="s">
        <v>8570</v>
      </c>
      <c r="C242" s="133" t="s">
        <v>8571</v>
      </c>
      <c r="D242" s="133" t="s">
        <v>5597</v>
      </c>
      <c r="E242" s="133"/>
      <c r="F242" s="134">
        <v>3</v>
      </c>
      <c r="G242" s="134">
        <v>2.4</v>
      </c>
      <c r="H242" s="135">
        <v>2024</v>
      </c>
      <c r="I242" s="133" t="s">
        <v>5587</v>
      </c>
    </row>
    <row r="243" spans="1:9" ht="18.75" thickBot="1" x14ac:dyDescent="0.3">
      <c r="A243" t="str">
        <f t="shared" si="3"/>
        <v>119632G</v>
      </c>
      <c r="B243" s="133" t="s">
        <v>7499</v>
      </c>
      <c r="C243" s="133" t="s">
        <v>7500</v>
      </c>
      <c r="D243" s="133" t="s">
        <v>26</v>
      </c>
      <c r="E243" s="133"/>
      <c r="F243" s="134">
        <v>3.43</v>
      </c>
      <c r="G243" s="134">
        <v>2.74</v>
      </c>
      <c r="H243" s="135">
        <v>2015</v>
      </c>
      <c r="I243" s="133" t="s">
        <v>5678</v>
      </c>
    </row>
    <row r="244" spans="1:9" ht="18.75" thickBot="1" x14ac:dyDescent="0.3">
      <c r="A244" t="str">
        <f t="shared" si="3"/>
        <v>013822Q</v>
      </c>
      <c r="B244" s="133" t="s">
        <v>7523</v>
      </c>
      <c r="C244" s="133" t="s">
        <v>7524</v>
      </c>
      <c r="D244" s="133" t="s">
        <v>5503</v>
      </c>
      <c r="E244" s="133"/>
      <c r="F244" s="134">
        <v>3.16</v>
      </c>
      <c r="G244" s="134">
        <v>2.52</v>
      </c>
      <c r="H244" s="135">
        <v>2017</v>
      </c>
      <c r="I244" s="133" t="s">
        <v>5553</v>
      </c>
    </row>
    <row r="245" spans="1:9" ht="18.75" thickBot="1" x14ac:dyDescent="0.3">
      <c r="A245" t="str">
        <f t="shared" si="3"/>
        <v>013824S</v>
      </c>
      <c r="B245" s="133" t="s">
        <v>6654</v>
      </c>
      <c r="C245" s="133" t="s">
        <v>6655</v>
      </c>
      <c r="D245" s="133" t="s">
        <v>25</v>
      </c>
      <c r="E245" s="133"/>
      <c r="F245" s="134" t="s">
        <v>5552</v>
      </c>
      <c r="G245" s="134">
        <v>6.04</v>
      </c>
      <c r="H245" s="135">
        <v>2011</v>
      </c>
      <c r="I245" s="133" t="s">
        <v>5566</v>
      </c>
    </row>
    <row r="246" spans="1:9" ht="18.75" thickBot="1" x14ac:dyDescent="0.3">
      <c r="A246" t="str">
        <f t="shared" si="3"/>
        <v>147552H</v>
      </c>
      <c r="B246" s="133" t="s">
        <v>6658</v>
      </c>
      <c r="C246" s="133" t="s">
        <v>6659</v>
      </c>
      <c r="D246" s="133" t="s">
        <v>26</v>
      </c>
      <c r="E246" s="133"/>
      <c r="F246" s="134">
        <v>5.85</v>
      </c>
      <c r="G246" s="134">
        <v>4.68</v>
      </c>
      <c r="H246" s="135">
        <v>2016</v>
      </c>
      <c r="I246" s="133" t="s">
        <v>5701</v>
      </c>
    </row>
    <row r="247" spans="1:9" ht="18.75" thickBot="1" x14ac:dyDescent="0.3">
      <c r="A247" t="str">
        <f t="shared" si="3"/>
        <v>142514I</v>
      </c>
      <c r="B247" s="133" t="s">
        <v>6660</v>
      </c>
      <c r="C247" s="133" t="s">
        <v>6661</v>
      </c>
      <c r="D247" s="133" t="s">
        <v>5503</v>
      </c>
      <c r="E247" s="133"/>
      <c r="F247" s="134">
        <v>2.27</v>
      </c>
      <c r="G247" s="134">
        <v>1.81</v>
      </c>
      <c r="H247" s="135">
        <v>2023</v>
      </c>
      <c r="I247" s="133" t="s">
        <v>5553</v>
      </c>
    </row>
    <row r="248" spans="1:9" ht="18.75" thickBot="1" x14ac:dyDescent="0.3">
      <c r="A248" t="str">
        <f t="shared" si="3"/>
        <v>135407Z</v>
      </c>
      <c r="B248" s="133" t="s">
        <v>7501</v>
      </c>
      <c r="C248" s="133" t="s">
        <v>7502</v>
      </c>
      <c r="D248" s="133" t="s">
        <v>26</v>
      </c>
      <c r="E248" s="133"/>
      <c r="F248" s="134">
        <v>3.65</v>
      </c>
      <c r="G248" s="134">
        <v>2.92</v>
      </c>
      <c r="H248" s="135">
        <v>2015</v>
      </c>
      <c r="I248" s="133" t="s">
        <v>5657</v>
      </c>
    </row>
    <row r="249" spans="1:9" ht="18.75" thickBot="1" x14ac:dyDescent="0.3">
      <c r="A249" t="str">
        <f t="shared" si="3"/>
        <v>123401F</v>
      </c>
      <c r="B249" s="133" t="s">
        <v>6664</v>
      </c>
      <c r="C249" s="133" t="s">
        <v>6665</v>
      </c>
      <c r="D249" s="133" t="s">
        <v>25</v>
      </c>
      <c r="E249" s="133"/>
      <c r="F249" s="134" t="s">
        <v>5552</v>
      </c>
      <c r="G249" s="134">
        <v>6.35</v>
      </c>
      <c r="H249" s="135">
        <v>2011</v>
      </c>
      <c r="I249" s="133" t="s">
        <v>5678</v>
      </c>
    </row>
    <row r="250" spans="1:9" ht="18.75" thickBot="1" x14ac:dyDescent="0.3">
      <c r="A250" t="str">
        <f t="shared" si="3"/>
        <v>013836E</v>
      </c>
      <c r="B250" s="133" t="s">
        <v>6668</v>
      </c>
      <c r="C250" s="133" t="s">
        <v>6669</v>
      </c>
      <c r="D250" s="133" t="s">
        <v>26</v>
      </c>
      <c r="E250" s="133"/>
      <c r="F250" s="134">
        <v>4.74</v>
      </c>
      <c r="G250" s="134">
        <v>3.79</v>
      </c>
      <c r="H250" s="135">
        <v>2015</v>
      </c>
      <c r="I250" s="133" t="s">
        <v>5587</v>
      </c>
    </row>
    <row r="251" spans="1:9" ht="18.75" thickBot="1" x14ac:dyDescent="0.3">
      <c r="A251" t="str">
        <f t="shared" si="3"/>
        <v>104194M</v>
      </c>
      <c r="B251" s="133" t="s">
        <v>6674</v>
      </c>
      <c r="C251" s="133" t="s">
        <v>6675</v>
      </c>
      <c r="D251" s="133" t="s">
        <v>5503</v>
      </c>
      <c r="E251" s="133"/>
      <c r="F251" s="134">
        <v>1.73</v>
      </c>
      <c r="G251" s="134">
        <v>1.38</v>
      </c>
      <c r="H251" s="135">
        <v>2024</v>
      </c>
      <c r="I251" s="133" t="s">
        <v>5556</v>
      </c>
    </row>
    <row r="252" spans="1:9" ht="18.75" thickBot="1" x14ac:dyDescent="0.3">
      <c r="A252" t="str">
        <f t="shared" si="3"/>
        <v>125424A</v>
      </c>
      <c r="B252" s="133" t="s">
        <v>6676</v>
      </c>
      <c r="C252" s="133" t="s">
        <v>6677</v>
      </c>
      <c r="D252" s="133" t="s">
        <v>5562</v>
      </c>
      <c r="E252" s="133"/>
      <c r="F252" s="134">
        <v>3.64</v>
      </c>
      <c r="G252" s="134">
        <v>2.91</v>
      </c>
      <c r="H252" s="135">
        <v>2024</v>
      </c>
      <c r="I252" s="133" t="s">
        <v>5563</v>
      </c>
    </row>
    <row r="253" spans="1:9" ht="18.75" thickBot="1" x14ac:dyDescent="0.3">
      <c r="A253" t="str">
        <f t="shared" si="3"/>
        <v>013851T</v>
      </c>
      <c r="B253" s="133" t="s">
        <v>7349</v>
      </c>
      <c r="C253" s="133" t="s">
        <v>7350</v>
      </c>
      <c r="D253" s="133" t="s">
        <v>5503</v>
      </c>
      <c r="E253" s="133"/>
      <c r="F253" s="134">
        <v>2.61</v>
      </c>
      <c r="G253" s="134">
        <v>2.09</v>
      </c>
      <c r="H253" s="135">
        <v>2023</v>
      </c>
      <c r="I253" s="133" t="s">
        <v>5553</v>
      </c>
    </row>
    <row r="254" spans="1:9" ht="18.75" thickBot="1" x14ac:dyDescent="0.3">
      <c r="A254" t="str">
        <f t="shared" si="3"/>
        <v>013852U</v>
      </c>
      <c r="B254" s="133" t="s">
        <v>7351</v>
      </c>
      <c r="C254" s="133" t="s">
        <v>7352</v>
      </c>
      <c r="D254" s="133" t="s">
        <v>24</v>
      </c>
      <c r="E254" s="133"/>
      <c r="F254" s="134" t="s">
        <v>5552</v>
      </c>
      <c r="G254" s="134">
        <v>15.86</v>
      </c>
      <c r="H254" s="135">
        <v>2024</v>
      </c>
      <c r="I254" s="133" t="s">
        <v>5556</v>
      </c>
    </row>
    <row r="255" spans="1:9" ht="18.75" thickBot="1" x14ac:dyDescent="0.3">
      <c r="A255" t="str">
        <f t="shared" si="3"/>
        <v>162663H</v>
      </c>
      <c r="B255" s="133" t="s">
        <v>8574</v>
      </c>
      <c r="C255" s="133" t="s">
        <v>8575</v>
      </c>
      <c r="D255" s="133" t="s">
        <v>5503</v>
      </c>
      <c r="E255" s="133"/>
      <c r="F255" s="134">
        <v>2.27</v>
      </c>
      <c r="G255" s="134">
        <v>1.82</v>
      </c>
      <c r="H255" s="135">
        <v>2020</v>
      </c>
      <c r="I255" s="133" t="s">
        <v>5559</v>
      </c>
    </row>
    <row r="256" spans="1:9" ht="18.75" thickBot="1" x14ac:dyDescent="0.3">
      <c r="A256" t="str">
        <f t="shared" si="3"/>
        <v>013874Q</v>
      </c>
      <c r="B256" s="133" t="s">
        <v>6694</v>
      </c>
      <c r="C256" s="133" t="s">
        <v>6695</v>
      </c>
      <c r="D256" s="133" t="s">
        <v>26</v>
      </c>
      <c r="E256" s="133"/>
      <c r="F256" s="134">
        <v>4.88</v>
      </c>
      <c r="G256" s="134">
        <v>3.9</v>
      </c>
      <c r="H256" s="135">
        <v>2014</v>
      </c>
      <c r="I256" s="133" t="s">
        <v>5635</v>
      </c>
    </row>
    <row r="257" spans="1:9" ht="18.75" thickBot="1" x14ac:dyDescent="0.3">
      <c r="A257" t="str">
        <f t="shared" si="3"/>
        <v>113881B</v>
      </c>
      <c r="B257" s="133" t="s">
        <v>7525</v>
      </c>
      <c r="C257" s="133" t="s">
        <v>7526</v>
      </c>
      <c r="D257" s="133" t="s">
        <v>5503</v>
      </c>
      <c r="E257" s="133"/>
      <c r="F257" s="134">
        <v>2.23</v>
      </c>
      <c r="G257" s="134">
        <v>1.78</v>
      </c>
      <c r="H257" s="135">
        <v>2022</v>
      </c>
      <c r="I257" s="133" t="s">
        <v>5573</v>
      </c>
    </row>
    <row r="258" spans="1:9" ht="18.75" thickBot="1" x14ac:dyDescent="0.3">
      <c r="A258" t="str">
        <f t="shared" ref="A258:A321" si="4">SUBSTITUTE(B258,CHAR(32),"")</f>
        <v>124382Y</v>
      </c>
      <c r="B258" s="133" t="s">
        <v>7355</v>
      </c>
      <c r="C258" s="133" t="s">
        <v>7356</v>
      </c>
      <c r="D258" s="133" t="s">
        <v>25</v>
      </c>
      <c r="E258" s="133"/>
      <c r="F258" s="134" t="s">
        <v>5552</v>
      </c>
      <c r="G258" s="134">
        <v>5.18</v>
      </c>
      <c r="H258" s="135">
        <v>2009</v>
      </c>
      <c r="I258" s="133" t="s">
        <v>5735</v>
      </c>
    </row>
    <row r="259" spans="1:9" ht="18.75" thickBot="1" x14ac:dyDescent="0.3">
      <c r="A259" t="str">
        <f t="shared" si="4"/>
        <v>013901R</v>
      </c>
      <c r="B259" s="133" t="s">
        <v>6708</v>
      </c>
      <c r="C259" s="133" t="s">
        <v>6709</v>
      </c>
      <c r="D259" s="133" t="s">
        <v>5597</v>
      </c>
      <c r="E259" s="133"/>
      <c r="F259" s="134">
        <v>3.11</v>
      </c>
      <c r="G259" s="134">
        <v>2.48</v>
      </c>
      <c r="H259" s="135">
        <v>2024</v>
      </c>
      <c r="I259" s="133" t="s">
        <v>5630</v>
      </c>
    </row>
    <row r="260" spans="1:9" ht="18.75" thickBot="1" x14ac:dyDescent="0.3">
      <c r="A260" t="str">
        <f t="shared" si="4"/>
        <v>104060I</v>
      </c>
      <c r="B260" s="133" t="s">
        <v>6710</v>
      </c>
      <c r="C260" s="133" t="s">
        <v>6711</v>
      </c>
      <c r="D260" s="133" t="s">
        <v>5597</v>
      </c>
      <c r="E260" s="133"/>
      <c r="F260" s="134">
        <v>2.5099999999999998</v>
      </c>
      <c r="G260" s="134">
        <v>2.0099999999999998</v>
      </c>
      <c r="H260" s="135">
        <v>2024</v>
      </c>
      <c r="I260" s="133" t="s">
        <v>5726</v>
      </c>
    </row>
    <row r="261" spans="1:9" ht="18.75" thickBot="1" x14ac:dyDescent="0.3">
      <c r="A261" t="str">
        <f t="shared" si="4"/>
        <v>013916G</v>
      </c>
      <c r="B261" s="133" t="s">
        <v>6720</v>
      </c>
      <c r="C261" s="133" t="s">
        <v>6721</v>
      </c>
      <c r="D261" s="133" t="s">
        <v>5503</v>
      </c>
      <c r="E261" s="133"/>
      <c r="F261" s="134">
        <v>2.2000000000000002</v>
      </c>
      <c r="G261" s="134">
        <v>1.76</v>
      </c>
      <c r="H261" s="135">
        <v>2016</v>
      </c>
      <c r="I261" s="133" t="s">
        <v>5635</v>
      </c>
    </row>
    <row r="262" spans="1:9" ht="18.75" thickBot="1" x14ac:dyDescent="0.3">
      <c r="A262" t="str">
        <f t="shared" si="4"/>
        <v>013922M</v>
      </c>
      <c r="B262" s="133" t="s">
        <v>7363</v>
      </c>
      <c r="C262" s="133" t="s">
        <v>7364</v>
      </c>
      <c r="D262" s="133" t="s">
        <v>5503</v>
      </c>
      <c r="E262" s="133"/>
      <c r="F262" s="134">
        <v>2.57</v>
      </c>
      <c r="G262" s="134">
        <v>2.0499999999999998</v>
      </c>
      <c r="H262" s="135">
        <v>2024</v>
      </c>
      <c r="I262" s="133" t="s">
        <v>5895</v>
      </c>
    </row>
    <row r="263" spans="1:9" ht="18.75" thickBot="1" x14ac:dyDescent="0.3">
      <c r="A263" t="str">
        <f t="shared" si="4"/>
        <v>158860Z</v>
      </c>
      <c r="B263" s="133" t="s">
        <v>6726</v>
      </c>
      <c r="C263" s="133" t="s">
        <v>6727</v>
      </c>
      <c r="D263" s="133" t="s">
        <v>5562</v>
      </c>
      <c r="E263" s="133"/>
      <c r="F263" s="134">
        <v>3.52</v>
      </c>
      <c r="G263" s="134">
        <v>2.82</v>
      </c>
      <c r="H263" s="135">
        <v>2024</v>
      </c>
      <c r="I263" s="133" t="s">
        <v>5625</v>
      </c>
    </row>
    <row r="264" spans="1:9" ht="18.75" thickBot="1" x14ac:dyDescent="0.3">
      <c r="A264" t="str">
        <f t="shared" si="4"/>
        <v>015350K</v>
      </c>
      <c r="B264" s="133" t="s">
        <v>6728</v>
      </c>
      <c r="C264" s="133" t="s">
        <v>6729</v>
      </c>
      <c r="D264" s="133" t="s">
        <v>25</v>
      </c>
      <c r="E264" s="133"/>
      <c r="F264" s="134" t="s">
        <v>5552</v>
      </c>
      <c r="G264" s="134">
        <v>5.29</v>
      </c>
      <c r="H264" s="135">
        <v>2013</v>
      </c>
      <c r="I264" s="133" t="s">
        <v>5573</v>
      </c>
    </row>
    <row r="265" spans="1:9" ht="18.75" thickBot="1" x14ac:dyDescent="0.3">
      <c r="A265" t="str">
        <f t="shared" si="4"/>
        <v>148332F</v>
      </c>
      <c r="B265" s="133" t="s">
        <v>7365</v>
      </c>
      <c r="C265" s="133" t="s">
        <v>7366</v>
      </c>
      <c r="D265" s="133" t="s">
        <v>25</v>
      </c>
      <c r="E265" s="133"/>
      <c r="F265" s="134" t="s">
        <v>5552</v>
      </c>
      <c r="G265" s="134">
        <v>7.55</v>
      </c>
      <c r="H265" s="135">
        <v>2024</v>
      </c>
      <c r="I265" s="133" t="s">
        <v>5559</v>
      </c>
    </row>
    <row r="266" spans="1:9" ht="18.75" thickBot="1" x14ac:dyDescent="0.3">
      <c r="A266" t="str">
        <f t="shared" si="4"/>
        <v>157535J</v>
      </c>
      <c r="B266" s="133" t="s">
        <v>6736</v>
      </c>
      <c r="C266" s="133" t="s">
        <v>6737</v>
      </c>
      <c r="D266" s="133" t="s">
        <v>5503</v>
      </c>
      <c r="E266" s="133"/>
      <c r="F266" s="134">
        <v>2.59</v>
      </c>
      <c r="G266" s="134">
        <v>2.0699999999999998</v>
      </c>
      <c r="H266" s="135">
        <v>2017</v>
      </c>
      <c r="I266" s="133" t="s">
        <v>5559</v>
      </c>
    </row>
    <row r="267" spans="1:9" ht="18.75" thickBot="1" x14ac:dyDescent="0.3">
      <c r="A267" t="str">
        <f t="shared" si="4"/>
        <v>113823V</v>
      </c>
      <c r="B267" s="133" t="s">
        <v>7472</v>
      </c>
      <c r="C267" s="133" t="s">
        <v>7473</v>
      </c>
      <c r="D267" s="133" t="s">
        <v>25</v>
      </c>
      <c r="E267" s="133"/>
      <c r="F267" s="134" t="s">
        <v>5552</v>
      </c>
      <c r="G267" s="134">
        <v>6.15</v>
      </c>
      <c r="H267" s="135">
        <v>2009</v>
      </c>
      <c r="I267" s="133" t="s">
        <v>6137</v>
      </c>
    </row>
    <row r="268" spans="1:9" ht="18.75" thickBot="1" x14ac:dyDescent="0.3">
      <c r="A268" t="str">
        <f t="shared" si="4"/>
        <v>013932W</v>
      </c>
      <c r="B268" s="133" t="s">
        <v>6740</v>
      </c>
      <c r="C268" s="133" t="s">
        <v>6741</v>
      </c>
      <c r="D268" s="133" t="s">
        <v>26</v>
      </c>
      <c r="E268" s="133"/>
      <c r="F268" s="134">
        <v>3.58</v>
      </c>
      <c r="G268" s="134">
        <v>2.86</v>
      </c>
      <c r="H268" s="135">
        <v>2012</v>
      </c>
      <c r="I268" s="133" t="s">
        <v>5710</v>
      </c>
    </row>
    <row r="269" spans="1:9" ht="18.75" thickBot="1" x14ac:dyDescent="0.3">
      <c r="A269" t="str">
        <f t="shared" si="4"/>
        <v>019393X</v>
      </c>
      <c r="B269" s="133" t="s">
        <v>7369</v>
      </c>
      <c r="C269" s="133" t="s">
        <v>7370</v>
      </c>
      <c r="D269" s="133" t="s">
        <v>26</v>
      </c>
      <c r="E269" s="133"/>
      <c r="F269" s="134">
        <v>5.51</v>
      </c>
      <c r="G269" s="134">
        <v>4.41</v>
      </c>
      <c r="H269" s="135">
        <v>2009</v>
      </c>
      <c r="I269" s="133" t="s">
        <v>5671</v>
      </c>
    </row>
    <row r="270" spans="1:9" ht="18.75" thickBot="1" x14ac:dyDescent="0.3">
      <c r="A270" t="str">
        <f t="shared" si="4"/>
        <v>013933X</v>
      </c>
      <c r="B270" s="133" t="s">
        <v>6742</v>
      </c>
      <c r="C270" s="133" t="s">
        <v>6743</v>
      </c>
      <c r="D270" s="133" t="s">
        <v>26</v>
      </c>
      <c r="E270" s="133"/>
      <c r="F270" s="134">
        <v>3.88</v>
      </c>
      <c r="G270" s="134">
        <v>3.1</v>
      </c>
      <c r="H270" s="135">
        <v>2020</v>
      </c>
      <c r="I270" s="133" t="s">
        <v>5559</v>
      </c>
    </row>
    <row r="271" spans="1:9" ht="18.75" thickBot="1" x14ac:dyDescent="0.3">
      <c r="A271" t="str">
        <f t="shared" si="4"/>
        <v>139436Y</v>
      </c>
      <c r="B271" s="133" t="s">
        <v>6748</v>
      </c>
      <c r="C271" s="133" t="s">
        <v>6749</v>
      </c>
      <c r="D271" s="133" t="s">
        <v>5503</v>
      </c>
      <c r="E271" s="133"/>
      <c r="F271" s="134">
        <v>1.34</v>
      </c>
      <c r="G271" s="134">
        <v>1.07</v>
      </c>
      <c r="H271" s="135">
        <v>2015</v>
      </c>
      <c r="I271" s="133" t="s">
        <v>5646</v>
      </c>
    </row>
    <row r="272" spans="1:9" ht="18.75" thickBot="1" x14ac:dyDescent="0.3">
      <c r="A272" t="str">
        <f t="shared" si="4"/>
        <v>154522J</v>
      </c>
      <c r="B272" s="133" t="s">
        <v>7376</v>
      </c>
      <c r="C272" s="133" t="s">
        <v>7377</v>
      </c>
      <c r="D272" s="133" t="s">
        <v>5562</v>
      </c>
      <c r="E272" s="133"/>
      <c r="F272" s="134">
        <v>2.87</v>
      </c>
      <c r="G272" s="134">
        <v>2.2999999999999998</v>
      </c>
      <c r="H272" s="135">
        <v>2024</v>
      </c>
      <c r="I272" s="133" t="s">
        <v>5678</v>
      </c>
    </row>
    <row r="273" spans="1:9" ht="18.75" thickBot="1" x14ac:dyDescent="0.3">
      <c r="A273" t="str">
        <f t="shared" si="4"/>
        <v>114580Y</v>
      </c>
      <c r="B273" s="133" t="s">
        <v>6758</v>
      </c>
      <c r="C273" s="133" t="s">
        <v>6759</v>
      </c>
      <c r="D273" s="133" t="s">
        <v>26</v>
      </c>
      <c r="E273" s="133"/>
      <c r="F273" s="134">
        <v>5.48</v>
      </c>
      <c r="G273" s="134">
        <v>4.3899999999999997</v>
      </c>
      <c r="H273" s="135">
        <v>2013</v>
      </c>
      <c r="I273" s="133" t="s">
        <v>5582</v>
      </c>
    </row>
    <row r="274" spans="1:9" ht="18.75" thickBot="1" x14ac:dyDescent="0.3">
      <c r="A274" t="str">
        <f t="shared" si="4"/>
        <v>013952Q</v>
      </c>
      <c r="B274" s="133" t="s">
        <v>6760</v>
      </c>
      <c r="C274" s="133" t="s">
        <v>6761</v>
      </c>
      <c r="D274" s="133" t="s">
        <v>5562</v>
      </c>
      <c r="E274" s="133"/>
      <c r="F274" s="134">
        <v>3.46</v>
      </c>
      <c r="G274" s="134">
        <v>2.76</v>
      </c>
      <c r="H274" s="135">
        <v>2024</v>
      </c>
      <c r="I274" s="133" t="s">
        <v>5563</v>
      </c>
    </row>
    <row r="275" spans="1:9" ht="18.75" thickBot="1" x14ac:dyDescent="0.3">
      <c r="A275" t="str">
        <f t="shared" si="4"/>
        <v>133301Z</v>
      </c>
      <c r="B275" s="133" t="s">
        <v>7378</v>
      </c>
      <c r="C275" s="133" t="s">
        <v>7379</v>
      </c>
      <c r="D275" s="133" t="s">
        <v>5503</v>
      </c>
      <c r="E275" s="133"/>
      <c r="F275" s="134">
        <v>1.69</v>
      </c>
      <c r="G275" s="134">
        <v>1.35</v>
      </c>
      <c r="H275" s="135">
        <v>2019</v>
      </c>
      <c r="I275" s="133" t="s">
        <v>6229</v>
      </c>
    </row>
    <row r="276" spans="1:9" ht="18.75" thickBot="1" x14ac:dyDescent="0.3">
      <c r="A276" t="str">
        <f t="shared" si="4"/>
        <v>154178K</v>
      </c>
      <c r="B276" s="133" t="s">
        <v>7382</v>
      </c>
      <c r="C276" s="133" t="s">
        <v>7383</v>
      </c>
      <c r="D276" s="133" t="s">
        <v>5503</v>
      </c>
      <c r="E276" s="133"/>
      <c r="F276" s="134">
        <v>2.81</v>
      </c>
      <c r="G276" s="134">
        <v>2.2400000000000002</v>
      </c>
      <c r="H276" s="135">
        <v>2024</v>
      </c>
      <c r="I276" s="133" t="s">
        <v>5559</v>
      </c>
    </row>
    <row r="277" spans="1:9" ht="18.75" thickBot="1" x14ac:dyDescent="0.3">
      <c r="A277" t="str">
        <f t="shared" si="4"/>
        <v>149129X</v>
      </c>
      <c r="B277" s="133" t="s">
        <v>7384</v>
      </c>
      <c r="C277" s="133" t="s">
        <v>7385</v>
      </c>
      <c r="D277" s="133" t="s">
        <v>5503</v>
      </c>
      <c r="E277" s="133"/>
      <c r="F277" s="134">
        <v>2</v>
      </c>
      <c r="G277" s="134">
        <v>1.6</v>
      </c>
      <c r="H277" s="135">
        <v>2024</v>
      </c>
      <c r="I277" s="133" t="s">
        <v>5646</v>
      </c>
    </row>
    <row r="278" spans="1:9" ht="18.75" thickBot="1" x14ac:dyDescent="0.3">
      <c r="A278" t="str">
        <f t="shared" si="4"/>
        <v>013974M</v>
      </c>
      <c r="B278" s="133" t="s">
        <v>7503</v>
      </c>
      <c r="C278" s="133" t="s">
        <v>7504</v>
      </c>
      <c r="D278" s="133" t="s">
        <v>26</v>
      </c>
      <c r="E278" s="133"/>
      <c r="F278" s="134">
        <v>4.68</v>
      </c>
      <c r="G278" s="134">
        <v>3.74</v>
      </c>
      <c r="H278" s="135">
        <v>2011</v>
      </c>
      <c r="I278" s="133" t="s">
        <v>5608</v>
      </c>
    </row>
    <row r="279" spans="1:9" ht="18.75" thickBot="1" x14ac:dyDescent="0.3">
      <c r="A279" t="str">
        <f t="shared" si="4"/>
        <v>013975N</v>
      </c>
      <c r="B279" s="133" t="s">
        <v>6772</v>
      </c>
      <c r="C279" s="133" t="s">
        <v>6773</v>
      </c>
      <c r="D279" s="133" t="s">
        <v>26</v>
      </c>
      <c r="E279" s="133"/>
      <c r="F279" s="134">
        <v>2.13</v>
      </c>
      <c r="G279" s="134">
        <v>1.7</v>
      </c>
      <c r="H279" s="135">
        <v>2022</v>
      </c>
      <c r="I279" s="133" t="s">
        <v>5735</v>
      </c>
    </row>
    <row r="280" spans="1:9" ht="18.75" thickBot="1" x14ac:dyDescent="0.3">
      <c r="A280" t="str">
        <f t="shared" si="4"/>
        <v>132632G</v>
      </c>
      <c r="B280" s="133" t="s">
        <v>6774</v>
      </c>
      <c r="C280" s="133" t="s">
        <v>6775</v>
      </c>
      <c r="D280" s="133" t="s">
        <v>5503</v>
      </c>
      <c r="E280" s="133"/>
      <c r="F280" s="134">
        <v>2.13</v>
      </c>
      <c r="G280" s="134">
        <v>1.7</v>
      </c>
      <c r="H280" s="135">
        <v>2018</v>
      </c>
      <c r="I280" s="133" t="s">
        <v>5635</v>
      </c>
    </row>
    <row r="281" spans="1:9" ht="18.75" thickBot="1" x14ac:dyDescent="0.3">
      <c r="A281" t="str">
        <f t="shared" si="4"/>
        <v>013981T</v>
      </c>
      <c r="B281" s="133" t="s">
        <v>7396</v>
      </c>
      <c r="C281" s="133" t="s">
        <v>7397</v>
      </c>
      <c r="D281" s="133" t="s">
        <v>5503</v>
      </c>
      <c r="E281" s="133"/>
      <c r="F281" s="134">
        <v>2.34</v>
      </c>
      <c r="G281" s="134">
        <v>1.87</v>
      </c>
      <c r="H281" s="135">
        <v>2024</v>
      </c>
      <c r="I281" s="133" t="s">
        <v>5635</v>
      </c>
    </row>
    <row r="282" spans="1:9" ht="18.75" thickBot="1" x14ac:dyDescent="0.3">
      <c r="A282" t="str">
        <f t="shared" si="4"/>
        <v>108139F</v>
      </c>
      <c r="B282" s="133" t="s">
        <v>6780</v>
      </c>
      <c r="C282" s="133" t="s">
        <v>6781</v>
      </c>
      <c r="D282" s="133" t="s">
        <v>5503</v>
      </c>
      <c r="E282" s="133"/>
      <c r="F282" s="134">
        <v>2.4500000000000002</v>
      </c>
      <c r="G282" s="134">
        <v>1.96</v>
      </c>
      <c r="H282" s="135">
        <v>2020</v>
      </c>
      <c r="I282" s="133" t="s">
        <v>5563</v>
      </c>
    </row>
    <row r="283" spans="1:9" ht="18.75" thickBot="1" x14ac:dyDescent="0.3">
      <c r="A283" t="str">
        <f t="shared" si="4"/>
        <v>144845Z</v>
      </c>
      <c r="B283" s="133" t="s">
        <v>6788</v>
      </c>
      <c r="C283" s="133" t="s">
        <v>6789</v>
      </c>
      <c r="D283" s="133" t="s">
        <v>5503</v>
      </c>
      <c r="E283" s="133"/>
      <c r="F283" s="134">
        <v>2.21</v>
      </c>
      <c r="G283" s="134">
        <v>1.76</v>
      </c>
      <c r="H283" s="135">
        <v>2020</v>
      </c>
      <c r="I283" s="133" t="s">
        <v>5635</v>
      </c>
    </row>
    <row r="284" spans="1:9" ht="18.75" thickBot="1" x14ac:dyDescent="0.3">
      <c r="A284" t="str">
        <f t="shared" si="4"/>
        <v>014003P</v>
      </c>
      <c r="B284" s="133" t="s">
        <v>6798</v>
      </c>
      <c r="C284" s="133" t="s">
        <v>6799</v>
      </c>
      <c r="D284" s="133" t="s">
        <v>5503</v>
      </c>
      <c r="E284" s="133"/>
      <c r="F284" s="134">
        <v>1.98</v>
      </c>
      <c r="G284" s="134">
        <v>1.58</v>
      </c>
      <c r="H284" s="135">
        <v>2015</v>
      </c>
      <c r="I284" s="133" t="s">
        <v>5639</v>
      </c>
    </row>
    <row r="285" spans="1:9" ht="18.75" thickBot="1" x14ac:dyDescent="0.3">
      <c r="A285" t="str">
        <f t="shared" si="4"/>
        <v>147173W</v>
      </c>
      <c r="B285" s="133" t="s">
        <v>6804</v>
      </c>
      <c r="C285" s="133" t="s">
        <v>6805</v>
      </c>
      <c r="D285" s="133" t="s">
        <v>5503</v>
      </c>
      <c r="E285" s="133"/>
      <c r="F285" s="134">
        <v>2.19</v>
      </c>
      <c r="G285" s="134">
        <v>1.75</v>
      </c>
      <c r="H285" s="135">
        <v>2020</v>
      </c>
      <c r="I285" s="133" t="s">
        <v>5563</v>
      </c>
    </row>
    <row r="286" spans="1:9" ht="18.75" thickBot="1" x14ac:dyDescent="0.3">
      <c r="A286" t="str">
        <f t="shared" si="4"/>
        <v>014021H</v>
      </c>
      <c r="B286" s="133" t="s">
        <v>7402</v>
      </c>
      <c r="C286" s="133" t="s">
        <v>7403</v>
      </c>
      <c r="D286" s="133" t="s">
        <v>25</v>
      </c>
      <c r="E286" s="133"/>
      <c r="F286" s="134" t="s">
        <v>5552</v>
      </c>
      <c r="G286" s="134">
        <v>4.01</v>
      </c>
      <c r="H286" s="135">
        <v>2023</v>
      </c>
      <c r="I286" s="133" t="s">
        <v>5625</v>
      </c>
    </row>
    <row r="287" spans="1:9" ht="18.75" thickBot="1" x14ac:dyDescent="0.3">
      <c r="A287" t="str">
        <f t="shared" si="4"/>
        <v>109291N</v>
      </c>
      <c r="B287" s="133" t="s">
        <v>7527</v>
      </c>
      <c r="C287" s="133" t="s">
        <v>7528</v>
      </c>
      <c r="D287" s="133" t="s">
        <v>5562</v>
      </c>
      <c r="E287" s="133"/>
      <c r="F287" s="134">
        <v>3.66</v>
      </c>
      <c r="G287" s="134">
        <v>2.93</v>
      </c>
      <c r="H287" s="135">
        <v>2024</v>
      </c>
      <c r="I287" s="133" t="s">
        <v>5678</v>
      </c>
    </row>
    <row r="288" spans="1:9" ht="18.75" thickBot="1" x14ac:dyDescent="0.3">
      <c r="A288" t="str">
        <f t="shared" si="4"/>
        <v>014026M</v>
      </c>
      <c r="B288" s="133" t="s">
        <v>6810</v>
      </c>
      <c r="C288" s="133" t="s">
        <v>6811</v>
      </c>
      <c r="D288" s="133" t="s">
        <v>24</v>
      </c>
      <c r="E288" s="133"/>
      <c r="F288" s="134" t="s">
        <v>5552</v>
      </c>
      <c r="G288" s="134">
        <v>13.37</v>
      </c>
      <c r="H288" s="135">
        <v>2015</v>
      </c>
      <c r="I288" s="133" t="s">
        <v>5635</v>
      </c>
    </row>
    <row r="289" spans="1:9" ht="18.75" thickBot="1" x14ac:dyDescent="0.3">
      <c r="A289" t="str">
        <f t="shared" si="4"/>
        <v>014031R</v>
      </c>
      <c r="B289" s="133" t="s">
        <v>6820</v>
      </c>
      <c r="C289" s="133" t="s">
        <v>6821</v>
      </c>
      <c r="D289" s="133" t="s">
        <v>5503</v>
      </c>
      <c r="E289" s="133"/>
      <c r="F289" s="134">
        <v>3.36</v>
      </c>
      <c r="G289" s="134">
        <v>2.69</v>
      </c>
      <c r="H289" s="135">
        <v>2024</v>
      </c>
      <c r="I289" s="133" t="s">
        <v>5566</v>
      </c>
    </row>
    <row r="290" spans="1:9" ht="18.75" thickBot="1" x14ac:dyDescent="0.3">
      <c r="A290" t="str">
        <f t="shared" si="4"/>
        <v>124449N</v>
      </c>
      <c r="B290" s="133" t="s">
        <v>6822</v>
      </c>
      <c r="C290" s="133" t="s">
        <v>6823</v>
      </c>
      <c r="D290" s="133" t="s">
        <v>26</v>
      </c>
      <c r="E290" s="133"/>
      <c r="F290" s="134">
        <v>4.5999999999999996</v>
      </c>
      <c r="G290" s="134">
        <v>3.68</v>
      </c>
      <c r="H290" s="135">
        <v>2014</v>
      </c>
      <c r="I290" s="133" t="s">
        <v>5635</v>
      </c>
    </row>
    <row r="291" spans="1:9" ht="18.75" thickBot="1" x14ac:dyDescent="0.3">
      <c r="A291" t="str">
        <f t="shared" si="4"/>
        <v>126078E</v>
      </c>
      <c r="B291" s="133" t="s">
        <v>7408</v>
      </c>
      <c r="C291" s="133" t="s">
        <v>7409</v>
      </c>
      <c r="D291" s="133" t="s">
        <v>25</v>
      </c>
      <c r="E291" s="133"/>
      <c r="F291" s="134" t="s">
        <v>5552</v>
      </c>
      <c r="G291" s="134">
        <v>4.91</v>
      </c>
      <c r="H291" s="135">
        <v>2010</v>
      </c>
      <c r="I291" s="133" t="s">
        <v>5735</v>
      </c>
    </row>
    <row r="292" spans="1:9" ht="18.75" thickBot="1" x14ac:dyDescent="0.3">
      <c r="A292" t="str">
        <f t="shared" si="4"/>
        <v>014043D</v>
      </c>
      <c r="B292" s="133" t="s">
        <v>7505</v>
      </c>
      <c r="C292" s="133" t="s">
        <v>7506</v>
      </c>
      <c r="D292" s="133" t="s">
        <v>26</v>
      </c>
      <c r="E292" s="133"/>
      <c r="F292" s="134">
        <v>4.6100000000000003</v>
      </c>
      <c r="G292" s="134">
        <v>3.69</v>
      </c>
      <c r="H292" s="135">
        <v>2008</v>
      </c>
      <c r="I292" s="133" t="s">
        <v>5608</v>
      </c>
    </row>
    <row r="293" spans="1:9" ht="18.75" thickBot="1" x14ac:dyDescent="0.3">
      <c r="A293" t="str">
        <f t="shared" si="4"/>
        <v>014049J</v>
      </c>
      <c r="B293" s="133" t="s">
        <v>7410</v>
      </c>
      <c r="C293" s="133" t="s">
        <v>7411</v>
      </c>
      <c r="D293" s="133" t="s">
        <v>26</v>
      </c>
      <c r="E293" s="133"/>
      <c r="F293" s="134">
        <v>5.34</v>
      </c>
      <c r="G293" s="134">
        <v>4.2699999999999996</v>
      </c>
      <c r="H293" s="135">
        <v>2024</v>
      </c>
      <c r="I293" s="133" t="s">
        <v>5598</v>
      </c>
    </row>
    <row r="294" spans="1:9" ht="18.75" thickBot="1" x14ac:dyDescent="0.3">
      <c r="A294" t="str">
        <f t="shared" si="4"/>
        <v>014050K</v>
      </c>
      <c r="B294" s="133" t="s">
        <v>6830</v>
      </c>
      <c r="C294" s="133" t="s">
        <v>6831</v>
      </c>
      <c r="D294" s="133" t="s">
        <v>25</v>
      </c>
      <c r="E294" s="133"/>
      <c r="F294" s="134" t="s">
        <v>5552</v>
      </c>
      <c r="G294" s="134">
        <v>8.06</v>
      </c>
      <c r="H294" s="135">
        <v>2024</v>
      </c>
      <c r="I294" s="133" t="s">
        <v>5678</v>
      </c>
    </row>
    <row r="295" spans="1:9" ht="18.75" thickBot="1" x14ac:dyDescent="0.3">
      <c r="A295" t="str">
        <f t="shared" si="4"/>
        <v>010178M</v>
      </c>
      <c r="B295" s="133" t="s">
        <v>6838</v>
      </c>
      <c r="C295" s="133" t="s">
        <v>6839</v>
      </c>
      <c r="D295" s="133" t="s">
        <v>26</v>
      </c>
      <c r="E295" s="133"/>
      <c r="F295" s="134">
        <v>4.42</v>
      </c>
      <c r="G295" s="134">
        <v>3.53</v>
      </c>
      <c r="H295" s="135">
        <v>2024</v>
      </c>
      <c r="I295" s="133" t="s">
        <v>5678</v>
      </c>
    </row>
    <row r="296" spans="1:9" ht="18.75" thickBot="1" x14ac:dyDescent="0.3">
      <c r="A296" t="str">
        <f t="shared" si="4"/>
        <v>014058S</v>
      </c>
      <c r="B296" s="133" t="s">
        <v>7412</v>
      </c>
      <c r="C296" s="133" t="s">
        <v>7413</v>
      </c>
      <c r="D296" s="133" t="s">
        <v>26</v>
      </c>
      <c r="E296" s="133"/>
      <c r="F296" s="134">
        <v>3.18</v>
      </c>
      <c r="G296" s="134">
        <v>2.5499999999999998</v>
      </c>
      <c r="H296" s="135">
        <v>2011</v>
      </c>
      <c r="I296" s="133" t="s">
        <v>5895</v>
      </c>
    </row>
    <row r="297" spans="1:9" ht="18.75" thickBot="1" x14ac:dyDescent="0.3">
      <c r="A297" t="str">
        <f t="shared" si="4"/>
        <v>014059T</v>
      </c>
      <c r="B297" s="133" t="s">
        <v>6842</v>
      </c>
      <c r="C297" s="133" t="s">
        <v>6843</v>
      </c>
      <c r="D297" s="133" t="s">
        <v>5503</v>
      </c>
      <c r="E297" s="133"/>
      <c r="F297" s="134">
        <v>2.17</v>
      </c>
      <c r="G297" s="134">
        <v>1.74</v>
      </c>
      <c r="H297" s="135">
        <v>2011</v>
      </c>
      <c r="I297" s="133" t="s">
        <v>5895</v>
      </c>
    </row>
    <row r="298" spans="1:9" ht="18.75" thickBot="1" x14ac:dyDescent="0.3">
      <c r="A298" t="str">
        <f t="shared" si="4"/>
        <v>116960M</v>
      </c>
      <c r="B298" s="133" t="s">
        <v>6850</v>
      </c>
      <c r="C298" s="133" t="s">
        <v>6851</v>
      </c>
      <c r="D298" s="133" t="s">
        <v>25</v>
      </c>
      <c r="E298" s="133"/>
      <c r="F298" s="134" t="s">
        <v>5552</v>
      </c>
      <c r="G298" s="134">
        <v>5.88</v>
      </c>
      <c r="H298" s="135">
        <v>2020</v>
      </c>
      <c r="I298" s="133" t="s">
        <v>5678</v>
      </c>
    </row>
    <row r="299" spans="1:9" ht="18.75" thickBot="1" x14ac:dyDescent="0.3">
      <c r="A299" t="str">
        <f t="shared" si="4"/>
        <v>122092W</v>
      </c>
      <c r="B299" s="133" t="s">
        <v>6852</v>
      </c>
      <c r="C299" s="133" t="s">
        <v>6853</v>
      </c>
      <c r="D299" s="133" t="s">
        <v>5503</v>
      </c>
      <c r="E299" s="133"/>
      <c r="F299" s="134">
        <v>2.92</v>
      </c>
      <c r="G299" s="134">
        <v>2.33</v>
      </c>
      <c r="H299" s="135">
        <v>2019</v>
      </c>
      <c r="I299" s="133" t="s">
        <v>5625</v>
      </c>
    </row>
    <row r="300" spans="1:9" ht="18.75" thickBot="1" x14ac:dyDescent="0.3">
      <c r="A300" t="str">
        <f t="shared" si="4"/>
        <v>014081P</v>
      </c>
      <c r="B300" s="133" t="s">
        <v>6856</v>
      </c>
      <c r="C300" s="133" t="s">
        <v>6857</v>
      </c>
      <c r="D300" s="133" t="s">
        <v>5503</v>
      </c>
      <c r="E300" s="133"/>
      <c r="F300" s="134">
        <v>2.35</v>
      </c>
      <c r="G300" s="134">
        <v>1.88</v>
      </c>
      <c r="H300" s="135">
        <v>2010</v>
      </c>
      <c r="I300" s="133" t="s">
        <v>5559</v>
      </c>
    </row>
    <row r="301" spans="1:9" ht="18.75" thickBot="1" x14ac:dyDescent="0.3">
      <c r="A301" t="str">
        <f t="shared" si="4"/>
        <v>157508E</v>
      </c>
      <c r="B301" s="133" t="s">
        <v>7414</v>
      </c>
      <c r="C301" s="133" t="s">
        <v>7415</v>
      </c>
      <c r="D301" s="133" t="s">
        <v>5503</v>
      </c>
      <c r="E301" s="133"/>
      <c r="F301" s="134">
        <v>2.36</v>
      </c>
      <c r="G301" s="134">
        <v>1.89</v>
      </c>
      <c r="H301" s="135">
        <v>2024</v>
      </c>
      <c r="I301" s="133" t="s">
        <v>5657</v>
      </c>
    </row>
    <row r="302" spans="1:9" ht="18.75" thickBot="1" x14ac:dyDescent="0.3">
      <c r="A302" t="str">
        <f t="shared" si="4"/>
        <v>014096E</v>
      </c>
      <c r="B302" s="133" t="s">
        <v>6866</v>
      </c>
      <c r="C302" s="133" t="s">
        <v>6867</v>
      </c>
      <c r="D302" s="133" t="s">
        <v>26</v>
      </c>
      <c r="E302" s="133"/>
      <c r="F302" s="134">
        <v>2.77</v>
      </c>
      <c r="G302" s="134">
        <v>2.21</v>
      </c>
      <c r="H302" s="135">
        <v>2020</v>
      </c>
      <c r="I302" s="133" t="s">
        <v>5635</v>
      </c>
    </row>
    <row r="303" spans="1:9" ht="18.75" thickBot="1" x14ac:dyDescent="0.3">
      <c r="A303" t="str">
        <f t="shared" si="4"/>
        <v>138525X</v>
      </c>
      <c r="B303" s="133" t="s">
        <v>6872</v>
      </c>
      <c r="C303" s="133" t="s">
        <v>6873</v>
      </c>
      <c r="D303" s="133" t="s">
        <v>26</v>
      </c>
      <c r="E303" s="133"/>
      <c r="F303" s="134">
        <v>3.73</v>
      </c>
      <c r="G303" s="134">
        <v>2.98</v>
      </c>
      <c r="H303" s="135">
        <v>2023</v>
      </c>
      <c r="I303" s="133" t="s">
        <v>5744</v>
      </c>
    </row>
    <row r="304" spans="1:9" ht="18.75" thickBot="1" x14ac:dyDescent="0.3">
      <c r="A304" t="str">
        <f t="shared" si="4"/>
        <v>117485R</v>
      </c>
      <c r="B304" s="133" t="s">
        <v>6876</v>
      </c>
      <c r="C304" s="133" t="s">
        <v>6877</v>
      </c>
      <c r="D304" s="133" t="s">
        <v>5503</v>
      </c>
      <c r="E304" s="133"/>
      <c r="F304" s="134">
        <v>1.9</v>
      </c>
      <c r="G304" s="134">
        <v>1.52</v>
      </c>
      <c r="H304" s="135">
        <v>2024</v>
      </c>
      <c r="I304" s="133" t="s">
        <v>5912</v>
      </c>
    </row>
    <row r="305" spans="1:9" ht="18.75" thickBot="1" x14ac:dyDescent="0.3">
      <c r="A305" t="str">
        <f t="shared" si="4"/>
        <v>122895T</v>
      </c>
      <c r="B305" s="133" t="s">
        <v>6880</v>
      </c>
      <c r="C305" s="133" t="s">
        <v>6881</v>
      </c>
      <c r="D305" s="133" t="s">
        <v>5503</v>
      </c>
      <c r="E305" s="133"/>
      <c r="F305" s="134">
        <v>2.2799999999999998</v>
      </c>
      <c r="G305" s="134">
        <v>1.83</v>
      </c>
      <c r="H305" s="135">
        <v>2012</v>
      </c>
      <c r="I305" s="133" t="s">
        <v>5744</v>
      </c>
    </row>
    <row r="306" spans="1:9" ht="18.75" thickBot="1" x14ac:dyDescent="0.3">
      <c r="A306" t="str">
        <f t="shared" si="4"/>
        <v>159467J</v>
      </c>
      <c r="B306" s="133" t="s">
        <v>6884</v>
      </c>
      <c r="C306" s="133" t="s">
        <v>6885</v>
      </c>
      <c r="D306" s="133" t="s">
        <v>26</v>
      </c>
      <c r="E306" s="133"/>
      <c r="F306" s="134">
        <v>2.5499999999999998</v>
      </c>
      <c r="G306" s="134">
        <v>2.04</v>
      </c>
      <c r="H306" s="135">
        <v>2020</v>
      </c>
      <c r="I306" s="133" t="s">
        <v>5678</v>
      </c>
    </row>
    <row r="307" spans="1:9" ht="18.75" thickBot="1" x14ac:dyDescent="0.3">
      <c r="A307" t="str">
        <f t="shared" si="4"/>
        <v>111888K</v>
      </c>
      <c r="B307" s="133" t="s">
        <v>6888</v>
      </c>
      <c r="C307" s="133" t="s">
        <v>6889</v>
      </c>
      <c r="D307" s="133" t="s">
        <v>5503</v>
      </c>
      <c r="E307" s="133"/>
      <c r="F307" s="134">
        <v>1.69</v>
      </c>
      <c r="G307" s="134">
        <v>1.35</v>
      </c>
      <c r="H307" s="135">
        <v>2024</v>
      </c>
      <c r="I307" s="133" t="s">
        <v>5744</v>
      </c>
    </row>
    <row r="308" spans="1:9" ht="18.75" thickBot="1" x14ac:dyDescent="0.3">
      <c r="A308" t="str">
        <f t="shared" si="4"/>
        <v>014149F</v>
      </c>
      <c r="B308" s="133" t="s">
        <v>6896</v>
      </c>
      <c r="C308" s="133" t="s">
        <v>6897</v>
      </c>
      <c r="D308" s="133" t="s">
        <v>26</v>
      </c>
      <c r="E308" s="133"/>
      <c r="F308" s="134">
        <v>3.5</v>
      </c>
      <c r="G308" s="134">
        <v>2.8</v>
      </c>
      <c r="H308" s="135">
        <v>2024</v>
      </c>
      <c r="I308" s="133" t="s">
        <v>5563</v>
      </c>
    </row>
    <row r="309" spans="1:9" ht="18.75" thickBot="1" x14ac:dyDescent="0.3">
      <c r="A309" t="str">
        <f t="shared" si="4"/>
        <v>129212S</v>
      </c>
      <c r="B309" s="133" t="s">
        <v>7426</v>
      </c>
      <c r="C309" s="133" t="s">
        <v>7427</v>
      </c>
      <c r="D309" s="133" t="s">
        <v>26</v>
      </c>
      <c r="E309" s="133"/>
      <c r="F309" s="134">
        <v>5.83</v>
      </c>
      <c r="G309" s="134">
        <v>4.66</v>
      </c>
      <c r="H309" s="135">
        <v>2024</v>
      </c>
      <c r="I309" s="133" t="s">
        <v>5594</v>
      </c>
    </row>
    <row r="310" spans="1:9" ht="18.75" thickBot="1" x14ac:dyDescent="0.3">
      <c r="A310" t="str">
        <f t="shared" si="4"/>
        <v>023229L</v>
      </c>
      <c r="B310" s="133" t="s">
        <v>7428</v>
      </c>
      <c r="C310" s="133" t="s">
        <v>7429</v>
      </c>
      <c r="D310" s="133" t="s">
        <v>26</v>
      </c>
      <c r="E310" s="133"/>
      <c r="F310" s="134">
        <v>3.86</v>
      </c>
      <c r="G310" s="134">
        <v>3.09</v>
      </c>
      <c r="H310" s="135">
        <v>2020</v>
      </c>
      <c r="I310" s="133" t="s">
        <v>5671</v>
      </c>
    </row>
    <row r="311" spans="1:9" ht="18.75" thickBot="1" x14ac:dyDescent="0.3">
      <c r="A311" t="str">
        <f t="shared" si="4"/>
        <v>137385B</v>
      </c>
      <c r="B311" s="133" t="s">
        <v>6914</v>
      </c>
      <c r="C311" s="133" t="s">
        <v>6915</v>
      </c>
      <c r="D311" s="133" t="s">
        <v>26</v>
      </c>
      <c r="E311" s="133"/>
      <c r="F311" s="134">
        <v>3.95</v>
      </c>
      <c r="G311" s="134">
        <v>3.16</v>
      </c>
      <c r="H311" s="135">
        <v>2024</v>
      </c>
      <c r="I311" s="133" t="s">
        <v>5678</v>
      </c>
    </row>
    <row r="312" spans="1:9" ht="18.75" thickBot="1" x14ac:dyDescent="0.3">
      <c r="A312" t="str">
        <f t="shared" si="4"/>
        <v>103185R</v>
      </c>
      <c r="B312" s="133" t="s">
        <v>6916</v>
      </c>
      <c r="C312" s="133" t="s">
        <v>6917</v>
      </c>
      <c r="D312" s="133" t="s">
        <v>5503</v>
      </c>
      <c r="E312" s="133"/>
      <c r="F312" s="134">
        <v>2.19</v>
      </c>
      <c r="G312" s="134">
        <v>1.75</v>
      </c>
      <c r="H312" s="135">
        <v>2016</v>
      </c>
      <c r="I312" s="133" t="s">
        <v>5710</v>
      </c>
    </row>
    <row r="313" spans="1:9" ht="18.75" thickBot="1" x14ac:dyDescent="0.3">
      <c r="A313" t="str">
        <f t="shared" si="4"/>
        <v>135312I</v>
      </c>
      <c r="B313" s="133" t="s">
        <v>7434</v>
      </c>
      <c r="C313" s="133" t="s">
        <v>7435</v>
      </c>
      <c r="D313" s="133" t="s">
        <v>5503</v>
      </c>
      <c r="E313" s="133"/>
      <c r="F313" s="134">
        <v>2.5</v>
      </c>
      <c r="G313" s="134">
        <v>2</v>
      </c>
      <c r="H313" s="135">
        <v>2024</v>
      </c>
      <c r="I313" s="133" t="s">
        <v>6229</v>
      </c>
    </row>
    <row r="314" spans="1:9" ht="18.75" thickBot="1" x14ac:dyDescent="0.3">
      <c r="A314" t="str">
        <f t="shared" si="4"/>
        <v>014192W</v>
      </c>
      <c r="B314" s="133" t="s">
        <v>7507</v>
      </c>
      <c r="C314" s="133" t="s">
        <v>7508</v>
      </c>
      <c r="D314" s="133" t="s">
        <v>26</v>
      </c>
      <c r="E314" s="133"/>
      <c r="F314" s="134">
        <v>2.5299999999999998</v>
      </c>
      <c r="G314" s="134">
        <v>2.02</v>
      </c>
      <c r="H314" s="135">
        <v>2023</v>
      </c>
      <c r="I314" s="133" t="s">
        <v>5912</v>
      </c>
    </row>
    <row r="315" spans="1:9" ht="18.75" thickBot="1" x14ac:dyDescent="0.3">
      <c r="A315" t="str">
        <f t="shared" si="4"/>
        <v>109508W</v>
      </c>
      <c r="B315" s="133" t="s">
        <v>6938</v>
      </c>
      <c r="C315" s="133" t="s">
        <v>6939</v>
      </c>
      <c r="D315" s="133" t="s">
        <v>26</v>
      </c>
      <c r="E315" s="133"/>
      <c r="F315" s="134">
        <v>4.25</v>
      </c>
      <c r="G315" s="134">
        <v>3.4</v>
      </c>
      <c r="H315" s="135">
        <v>2015</v>
      </c>
      <c r="I315" s="133" t="s">
        <v>5594</v>
      </c>
    </row>
    <row r="316" spans="1:9" ht="18.75" thickBot="1" x14ac:dyDescent="0.3">
      <c r="A316" t="str">
        <f t="shared" si="4"/>
        <v>126326S</v>
      </c>
      <c r="B316" s="133" t="s">
        <v>6942</v>
      </c>
      <c r="C316" s="133" t="s">
        <v>6943</v>
      </c>
      <c r="D316" s="133" t="s">
        <v>26</v>
      </c>
      <c r="E316" s="133"/>
      <c r="F316" s="134">
        <v>5.71</v>
      </c>
      <c r="G316" s="134">
        <v>4.5599999999999996</v>
      </c>
      <c r="H316" s="135">
        <v>2009</v>
      </c>
      <c r="I316" s="133" t="s">
        <v>5553</v>
      </c>
    </row>
    <row r="317" spans="1:9" ht="18.75" thickBot="1" x14ac:dyDescent="0.3">
      <c r="A317" t="str">
        <f t="shared" si="4"/>
        <v>014206K</v>
      </c>
      <c r="B317" s="133" t="s">
        <v>6946</v>
      </c>
      <c r="C317" s="133" t="s">
        <v>6947</v>
      </c>
      <c r="D317" s="133" t="s">
        <v>5503</v>
      </c>
      <c r="E317" s="133"/>
      <c r="F317" s="134">
        <v>2.98</v>
      </c>
      <c r="G317" s="134">
        <v>2.39</v>
      </c>
      <c r="H317" s="135">
        <v>2014</v>
      </c>
      <c r="I317" s="133" t="s">
        <v>5566</v>
      </c>
    </row>
    <row r="318" spans="1:9" ht="18.75" thickBot="1" x14ac:dyDescent="0.3">
      <c r="A318" t="str">
        <f t="shared" si="4"/>
        <v>137894Q</v>
      </c>
      <c r="B318" s="133" t="s">
        <v>6948</v>
      </c>
      <c r="C318" s="133" t="s">
        <v>6949</v>
      </c>
      <c r="D318" s="133" t="s">
        <v>26</v>
      </c>
      <c r="E318" s="133"/>
      <c r="F318" s="134">
        <v>3.6</v>
      </c>
      <c r="G318" s="134">
        <v>2.88</v>
      </c>
      <c r="H318" s="135">
        <v>2019</v>
      </c>
      <c r="I318" s="133" t="s">
        <v>5553</v>
      </c>
    </row>
    <row r="319" spans="1:9" ht="18.75" thickBot="1" x14ac:dyDescent="0.3">
      <c r="A319" t="str">
        <f t="shared" si="4"/>
        <v>014209N</v>
      </c>
      <c r="B319" s="133" t="s">
        <v>6950</v>
      </c>
      <c r="C319" s="133" t="s">
        <v>6951</v>
      </c>
      <c r="D319" s="133" t="s">
        <v>26</v>
      </c>
      <c r="E319" s="133"/>
      <c r="F319" s="134">
        <v>2.75</v>
      </c>
      <c r="G319" s="134">
        <v>2.2000000000000002</v>
      </c>
      <c r="H319" s="135">
        <v>2019</v>
      </c>
      <c r="I319" s="133" t="s">
        <v>5735</v>
      </c>
    </row>
    <row r="320" spans="1:9" ht="18.75" thickBot="1" x14ac:dyDescent="0.3">
      <c r="A320" t="str">
        <f t="shared" si="4"/>
        <v>014216U</v>
      </c>
      <c r="B320" s="133" t="s">
        <v>6956</v>
      </c>
      <c r="C320" s="133" t="s">
        <v>6957</v>
      </c>
      <c r="D320" s="133" t="s">
        <v>26</v>
      </c>
      <c r="E320" s="133"/>
      <c r="F320" s="134">
        <v>5.13</v>
      </c>
      <c r="G320" s="134">
        <v>4.0999999999999996</v>
      </c>
      <c r="H320" s="135">
        <v>2024</v>
      </c>
      <c r="I320" s="133" t="s">
        <v>5646</v>
      </c>
    </row>
    <row r="321" spans="1:9" ht="18.75" thickBot="1" x14ac:dyDescent="0.3">
      <c r="A321" t="str">
        <f t="shared" si="4"/>
        <v>014217V</v>
      </c>
      <c r="B321" s="133" t="s">
        <v>6958</v>
      </c>
      <c r="C321" s="133" t="s">
        <v>6959</v>
      </c>
      <c r="D321" s="133" t="s">
        <v>5597</v>
      </c>
      <c r="E321" s="133"/>
      <c r="F321" s="134">
        <v>3.18</v>
      </c>
      <c r="G321" s="134">
        <v>2.54</v>
      </c>
      <c r="H321" s="135">
        <v>2024</v>
      </c>
      <c r="I321" s="133" t="s">
        <v>5553</v>
      </c>
    </row>
    <row r="322" spans="1:9" ht="18.75" thickBot="1" x14ac:dyDescent="0.3">
      <c r="A322" t="str">
        <f t="shared" ref="A322:A336" si="5">SUBSTITUTE(B322,CHAR(32),"")</f>
        <v>160032Y</v>
      </c>
      <c r="B322" s="133" t="s">
        <v>6960</v>
      </c>
      <c r="C322" s="133" t="s">
        <v>6961</v>
      </c>
      <c r="D322" s="133" t="s">
        <v>26</v>
      </c>
      <c r="E322" s="133"/>
      <c r="F322" s="134">
        <v>4.47</v>
      </c>
      <c r="G322" s="134">
        <v>3.57</v>
      </c>
      <c r="H322" s="135">
        <v>2024</v>
      </c>
      <c r="I322" s="133" t="s">
        <v>5563</v>
      </c>
    </row>
    <row r="323" spans="1:9" ht="18.75" thickBot="1" x14ac:dyDescent="0.3">
      <c r="A323" t="str">
        <f t="shared" si="5"/>
        <v>014227F</v>
      </c>
      <c r="B323" s="133" t="s">
        <v>6968</v>
      </c>
      <c r="C323" s="133" t="s">
        <v>6969</v>
      </c>
      <c r="D323" s="133" t="s">
        <v>26</v>
      </c>
      <c r="E323" s="133"/>
      <c r="F323" s="134">
        <v>4.21</v>
      </c>
      <c r="G323" s="134">
        <v>3.37</v>
      </c>
      <c r="H323" s="135">
        <v>2010</v>
      </c>
      <c r="I323" s="133" t="s">
        <v>5630</v>
      </c>
    </row>
    <row r="324" spans="1:9" ht="18.75" thickBot="1" x14ac:dyDescent="0.3">
      <c r="A324" t="str">
        <f t="shared" si="5"/>
        <v>014238Q</v>
      </c>
      <c r="B324" s="133" t="s">
        <v>6970</v>
      </c>
      <c r="C324" s="133" t="s">
        <v>6971</v>
      </c>
      <c r="D324" s="133" t="s">
        <v>26</v>
      </c>
      <c r="E324" s="133"/>
      <c r="F324" s="134">
        <v>4.6399999999999997</v>
      </c>
      <c r="G324" s="134">
        <v>3.71</v>
      </c>
      <c r="H324" s="135">
        <v>2023</v>
      </c>
      <c r="I324" s="133" t="s">
        <v>5559</v>
      </c>
    </row>
    <row r="325" spans="1:9" ht="18.75" thickBot="1" x14ac:dyDescent="0.3">
      <c r="A325" t="str">
        <f t="shared" si="5"/>
        <v>162729E</v>
      </c>
      <c r="B325" s="133" t="s">
        <v>7529</v>
      </c>
      <c r="C325" s="133" t="s">
        <v>7530</v>
      </c>
      <c r="D325" s="133" t="s">
        <v>5503</v>
      </c>
      <c r="E325" s="133"/>
      <c r="F325" s="134">
        <v>2.4700000000000002</v>
      </c>
      <c r="G325" s="134">
        <v>1.98</v>
      </c>
      <c r="H325" s="135">
        <v>2018</v>
      </c>
      <c r="I325" s="133" t="s">
        <v>5768</v>
      </c>
    </row>
    <row r="326" spans="1:9" ht="18.75" thickBot="1" x14ac:dyDescent="0.3">
      <c r="A326" t="str">
        <f t="shared" si="5"/>
        <v>014251D</v>
      </c>
      <c r="B326" s="133" t="s">
        <v>6978</v>
      </c>
      <c r="C326" s="133" t="s">
        <v>6979</v>
      </c>
      <c r="D326" s="133" t="s">
        <v>5503</v>
      </c>
      <c r="E326" s="133"/>
      <c r="F326" s="134">
        <v>2</v>
      </c>
      <c r="G326" s="134">
        <v>1.6</v>
      </c>
      <c r="H326" s="135">
        <v>2010</v>
      </c>
      <c r="I326" s="133" t="s">
        <v>5566</v>
      </c>
    </row>
    <row r="327" spans="1:9" ht="18.75" thickBot="1" x14ac:dyDescent="0.3">
      <c r="A327" t="str">
        <f t="shared" si="5"/>
        <v>014269V</v>
      </c>
      <c r="B327" s="133" t="s">
        <v>6988</v>
      </c>
      <c r="C327" s="133" t="s">
        <v>6989</v>
      </c>
      <c r="D327" s="133" t="s">
        <v>26</v>
      </c>
      <c r="E327" s="133"/>
      <c r="F327" s="134">
        <v>3.92</v>
      </c>
      <c r="G327" s="134">
        <v>3.13</v>
      </c>
      <c r="H327" s="135">
        <v>2023</v>
      </c>
      <c r="I327" s="133" t="s">
        <v>5559</v>
      </c>
    </row>
    <row r="328" spans="1:9" ht="18.75" thickBot="1" x14ac:dyDescent="0.3">
      <c r="A328" t="str">
        <f t="shared" si="5"/>
        <v>014271X</v>
      </c>
      <c r="B328" s="133" t="s">
        <v>6990</v>
      </c>
      <c r="C328" s="133" t="s">
        <v>6991</v>
      </c>
      <c r="D328" s="133" t="s">
        <v>26</v>
      </c>
      <c r="E328" s="133"/>
      <c r="F328" s="134">
        <v>5.89</v>
      </c>
      <c r="G328" s="134">
        <v>4.71</v>
      </c>
      <c r="H328" s="135">
        <v>2010</v>
      </c>
      <c r="I328" s="133" t="s">
        <v>5566</v>
      </c>
    </row>
    <row r="329" spans="1:9" ht="18.75" thickBot="1" x14ac:dyDescent="0.3">
      <c r="A329" t="str">
        <f t="shared" si="5"/>
        <v>127631X</v>
      </c>
      <c r="B329" s="133" t="s">
        <v>6995</v>
      </c>
      <c r="C329" s="133" t="s">
        <v>6996</v>
      </c>
      <c r="D329" s="133" t="s">
        <v>26</v>
      </c>
      <c r="E329" s="133"/>
      <c r="F329" s="134">
        <v>4.95</v>
      </c>
      <c r="G329" s="134">
        <v>3.96</v>
      </c>
      <c r="H329" s="135">
        <v>2008</v>
      </c>
      <c r="I329" s="133" t="s">
        <v>5635</v>
      </c>
    </row>
    <row r="330" spans="1:9" ht="18.75" thickBot="1" x14ac:dyDescent="0.3">
      <c r="A330" t="str">
        <f t="shared" si="5"/>
        <v>140021L</v>
      </c>
      <c r="B330" s="133" t="s">
        <v>6997</v>
      </c>
      <c r="C330" s="133" t="s">
        <v>6998</v>
      </c>
      <c r="D330" s="133" t="s">
        <v>5503</v>
      </c>
      <c r="E330" s="133"/>
      <c r="F330" s="134">
        <v>1.97</v>
      </c>
      <c r="G330" s="134">
        <v>1.57</v>
      </c>
      <c r="H330" s="135">
        <v>2024</v>
      </c>
      <c r="I330" s="133" t="s">
        <v>5710</v>
      </c>
    </row>
    <row r="331" spans="1:9" ht="18.75" thickBot="1" x14ac:dyDescent="0.3">
      <c r="A331" t="str">
        <f t="shared" si="5"/>
        <v>109607R</v>
      </c>
      <c r="B331" s="133" t="s">
        <v>6999</v>
      </c>
      <c r="C331" s="133" t="s">
        <v>7000</v>
      </c>
      <c r="D331" s="133" t="s">
        <v>5562</v>
      </c>
      <c r="E331" s="133"/>
      <c r="F331" s="134">
        <v>3.61</v>
      </c>
      <c r="G331" s="134">
        <v>2.89</v>
      </c>
      <c r="H331" s="135">
        <v>2024</v>
      </c>
      <c r="I331" s="133" t="s">
        <v>5553</v>
      </c>
    </row>
    <row r="332" spans="1:9" ht="18.75" thickBot="1" x14ac:dyDescent="0.3">
      <c r="A332" t="str">
        <f t="shared" si="5"/>
        <v>137384A</v>
      </c>
      <c r="B332" s="133" t="s">
        <v>7444</v>
      </c>
      <c r="C332" s="133" t="s">
        <v>7445</v>
      </c>
      <c r="D332" s="133" t="s">
        <v>5503</v>
      </c>
      <c r="E332" s="133"/>
      <c r="F332" s="134">
        <v>1.91</v>
      </c>
      <c r="G332" s="134">
        <v>1.53</v>
      </c>
      <c r="H332" s="135">
        <v>2010</v>
      </c>
      <c r="I332" s="133" t="s">
        <v>5678</v>
      </c>
    </row>
    <row r="333" spans="1:9" ht="18.75" thickBot="1" x14ac:dyDescent="0.3">
      <c r="A333" t="str">
        <f t="shared" si="5"/>
        <v>014288O</v>
      </c>
      <c r="B333" s="133" t="s">
        <v>7446</v>
      </c>
      <c r="C333" s="133" t="s">
        <v>7447</v>
      </c>
      <c r="D333" s="133" t="s">
        <v>26</v>
      </c>
      <c r="E333" s="133"/>
      <c r="F333" s="134">
        <v>4.26</v>
      </c>
      <c r="G333" s="134">
        <v>3.41</v>
      </c>
      <c r="H333" s="135">
        <v>2012</v>
      </c>
      <c r="I333" s="133" t="s">
        <v>5895</v>
      </c>
    </row>
    <row r="334" spans="1:9" ht="18.75" thickBot="1" x14ac:dyDescent="0.3">
      <c r="A334" t="str">
        <f t="shared" si="5"/>
        <v>014308I</v>
      </c>
      <c r="B334" s="133" t="s">
        <v>7009</v>
      </c>
      <c r="C334" s="133" t="s">
        <v>7010</v>
      </c>
      <c r="D334" s="133" t="s">
        <v>25</v>
      </c>
      <c r="E334" s="133"/>
      <c r="F334" s="134" t="s">
        <v>5552</v>
      </c>
      <c r="G334" s="134">
        <v>5.59</v>
      </c>
      <c r="H334" s="135">
        <v>2017</v>
      </c>
      <c r="I334" s="133" t="s">
        <v>5582</v>
      </c>
    </row>
    <row r="335" spans="1:9" ht="18.75" thickBot="1" x14ac:dyDescent="0.3">
      <c r="A335" t="str">
        <f t="shared" si="5"/>
        <v>014318S</v>
      </c>
      <c r="B335" s="133" t="s">
        <v>7019</v>
      </c>
      <c r="C335" s="133" t="s">
        <v>7020</v>
      </c>
      <c r="D335" s="133" t="s">
        <v>5503</v>
      </c>
      <c r="E335" s="133"/>
      <c r="F335" s="134">
        <v>2.0699999999999998</v>
      </c>
      <c r="G335" s="134">
        <v>1.66</v>
      </c>
      <c r="H335" s="135">
        <v>2024</v>
      </c>
      <c r="I335" s="133" t="s">
        <v>5625</v>
      </c>
    </row>
    <row r="336" spans="1:9" ht="18.75" thickBot="1" x14ac:dyDescent="0.3">
      <c r="A336" t="str">
        <f t="shared" si="5"/>
        <v>014321V</v>
      </c>
      <c r="B336" s="133" t="s">
        <v>7021</v>
      </c>
      <c r="C336" s="133" t="s">
        <v>7022</v>
      </c>
      <c r="D336" s="133" t="s">
        <v>25</v>
      </c>
      <c r="E336" s="133"/>
      <c r="F336" s="134" t="s">
        <v>5552</v>
      </c>
      <c r="G336" s="134">
        <v>3.89</v>
      </c>
      <c r="H336" s="135">
        <v>2023</v>
      </c>
      <c r="I336" s="133" t="s">
        <v>5566</v>
      </c>
    </row>
    <row r="337" spans="1:9" ht="18" x14ac:dyDescent="0.25">
      <c r="A337" t="str">
        <f t="shared" ref="A337:A346" si="6">SUBSTITUTE(B337,CHAR(32),"")</f>
        <v>113559R</v>
      </c>
      <c r="B337" s="152" t="s">
        <v>7450</v>
      </c>
      <c r="C337" s="152" t="s">
        <v>7451</v>
      </c>
      <c r="D337" s="152" t="s">
        <v>5503</v>
      </c>
      <c r="E337" s="152"/>
      <c r="F337" s="153">
        <v>3.26</v>
      </c>
      <c r="G337" s="153">
        <v>2.61</v>
      </c>
      <c r="H337" s="154">
        <v>2015</v>
      </c>
      <c r="I337" s="152" t="s">
        <v>5657</v>
      </c>
    </row>
    <row r="338" spans="1:9" ht="18" x14ac:dyDescent="0.25">
      <c r="A338" t="str">
        <f t="shared" si="6"/>
        <v>017665L</v>
      </c>
      <c r="B338" s="152" t="s">
        <v>7031</v>
      </c>
      <c r="C338" s="152" t="s">
        <v>7032</v>
      </c>
      <c r="D338" s="152" t="s">
        <v>5503</v>
      </c>
      <c r="E338" s="152"/>
      <c r="F338" s="153">
        <v>1.7</v>
      </c>
      <c r="G338" s="153">
        <v>1.36</v>
      </c>
      <c r="H338" s="154">
        <v>2018</v>
      </c>
      <c r="I338" s="152" t="s">
        <v>6229</v>
      </c>
    </row>
    <row r="339" spans="1:9" ht="18" x14ac:dyDescent="0.25">
      <c r="A339" t="str">
        <f t="shared" si="6"/>
        <v>014339N</v>
      </c>
      <c r="B339" s="152" t="s">
        <v>7035</v>
      </c>
      <c r="C339" s="152" t="s">
        <v>7036</v>
      </c>
      <c r="D339" s="152" t="s">
        <v>5503</v>
      </c>
      <c r="E339" s="152"/>
      <c r="F339" s="153">
        <v>2.76</v>
      </c>
      <c r="G339" s="153">
        <v>2.21</v>
      </c>
      <c r="H339" s="154">
        <v>2014</v>
      </c>
      <c r="I339" s="152" t="s">
        <v>5587</v>
      </c>
    </row>
    <row r="340" spans="1:9" ht="18" x14ac:dyDescent="0.25">
      <c r="A340" t="str">
        <f t="shared" si="6"/>
        <v>014348W</v>
      </c>
      <c r="B340" s="152" t="s">
        <v>7043</v>
      </c>
      <c r="C340" s="152" t="s">
        <v>7044</v>
      </c>
      <c r="D340" s="152" t="s">
        <v>5503</v>
      </c>
      <c r="E340" s="152"/>
      <c r="F340" s="153">
        <v>2.09</v>
      </c>
      <c r="G340" s="153">
        <v>1.67</v>
      </c>
      <c r="H340" s="154">
        <v>2014</v>
      </c>
      <c r="I340" s="152" t="s">
        <v>5735</v>
      </c>
    </row>
    <row r="341" spans="1:9" ht="18" x14ac:dyDescent="0.25">
      <c r="A341" t="str">
        <f t="shared" si="6"/>
        <v>133009T</v>
      </c>
      <c r="B341" s="152" t="s">
        <v>7531</v>
      </c>
      <c r="C341" s="152" t="s">
        <v>7532</v>
      </c>
      <c r="D341" s="152" t="s">
        <v>5503</v>
      </c>
      <c r="E341" s="152"/>
      <c r="F341" s="153">
        <v>3.25</v>
      </c>
      <c r="G341" s="153">
        <v>2.6</v>
      </c>
      <c r="H341" s="154">
        <v>2010</v>
      </c>
      <c r="I341" s="152" t="s">
        <v>5559</v>
      </c>
    </row>
    <row r="342" spans="1:9" ht="18" x14ac:dyDescent="0.25">
      <c r="A342" t="str">
        <f t="shared" si="6"/>
        <v>168882S</v>
      </c>
      <c r="B342" s="152" t="s">
        <v>7045</v>
      </c>
      <c r="C342" s="152" t="s">
        <v>7046</v>
      </c>
      <c r="D342" s="152" t="s">
        <v>5503</v>
      </c>
      <c r="E342" s="152"/>
      <c r="F342" s="153">
        <v>2.76</v>
      </c>
      <c r="G342" s="153">
        <v>2.21</v>
      </c>
      <c r="H342" s="154">
        <v>2024</v>
      </c>
      <c r="I342" s="152" t="s">
        <v>5678</v>
      </c>
    </row>
    <row r="343" spans="1:9" ht="18" x14ac:dyDescent="0.25">
      <c r="A343" t="str">
        <f t="shared" si="6"/>
        <v>142325B</v>
      </c>
      <c r="B343" s="152" t="s">
        <v>7454</v>
      </c>
      <c r="C343" s="152" t="s">
        <v>7455</v>
      </c>
      <c r="D343" s="152" t="s">
        <v>5503</v>
      </c>
      <c r="E343" s="152"/>
      <c r="F343" s="153">
        <v>2.62</v>
      </c>
      <c r="G343" s="153">
        <v>2.1</v>
      </c>
      <c r="H343" s="154">
        <v>2019</v>
      </c>
      <c r="I343" s="152" t="s">
        <v>5912</v>
      </c>
    </row>
    <row r="344" spans="1:9" ht="18" x14ac:dyDescent="0.25">
      <c r="A344" t="str">
        <f t="shared" si="6"/>
        <v>020532S</v>
      </c>
      <c r="B344" s="152" t="s">
        <v>7059</v>
      </c>
      <c r="C344" s="152" t="s">
        <v>7060</v>
      </c>
      <c r="D344" s="152" t="s">
        <v>24</v>
      </c>
      <c r="E344" s="152"/>
      <c r="F344" s="153" t="s">
        <v>5552</v>
      </c>
      <c r="G344" s="153">
        <v>12.15</v>
      </c>
      <c r="H344" s="154">
        <v>2008</v>
      </c>
      <c r="I344" s="152" t="s">
        <v>5553</v>
      </c>
    </row>
    <row r="345" spans="1:9" ht="18" x14ac:dyDescent="0.25">
      <c r="A345" t="str">
        <f t="shared" si="6"/>
        <v>162785Q</v>
      </c>
      <c r="B345" s="152" t="s">
        <v>7067</v>
      </c>
      <c r="C345" s="152" t="s">
        <v>7068</v>
      </c>
      <c r="D345" s="152" t="s">
        <v>5503</v>
      </c>
      <c r="E345" s="152"/>
      <c r="F345" s="153">
        <v>2.09</v>
      </c>
      <c r="G345" s="153">
        <v>1.67</v>
      </c>
      <c r="H345" s="154">
        <v>2023</v>
      </c>
      <c r="I345" s="152" t="s">
        <v>5553</v>
      </c>
    </row>
    <row r="346" spans="1:9" ht="18" x14ac:dyDescent="0.25">
      <c r="A346" t="str">
        <f t="shared" si="6"/>
        <v>014364M</v>
      </c>
      <c r="B346" s="152" t="s">
        <v>7071</v>
      </c>
      <c r="C346" s="152" t="s">
        <v>7072</v>
      </c>
      <c r="D346" s="152" t="s">
        <v>5562</v>
      </c>
      <c r="E346" s="152"/>
      <c r="F346" s="153">
        <v>3.78</v>
      </c>
      <c r="G346" s="153">
        <v>3.02</v>
      </c>
      <c r="H346" s="154">
        <v>2024</v>
      </c>
      <c r="I346" s="152" t="s">
        <v>5630</v>
      </c>
    </row>
  </sheetData>
  <sheetProtection algorithmName="SHA-512" hashValue="g0sj/zAqPdcuX/G2RPdeRQVNUAG0AEfAoC8E2MdmmhrWKiR1bx1qyjFQpJIvxNxMSbdUXLtyRh1hCoDqZWbrBg==" saltValue="PXYMOaI4aSAy7WBWDv8jBw==" spinCount="100000" sheet="1" objects="1" scenarios="1"/>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BA998-CCFE-4683-BFBA-F99CFD4C15CD}">
  <sheetPr codeName="Feuil13"/>
  <dimension ref="A1:I689"/>
  <sheetViews>
    <sheetView topLeftCell="A645" workbookViewId="0">
      <selection activeCell="J688" sqref="J688"/>
    </sheetView>
  </sheetViews>
  <sheetFormatPr baseColWidth="10" defaultRowHeight="15" x14ac:dyDescent="0.25"/>
  <cols>
    <col min="1" max="1" width="12.85546875" bestFit="1" customWidth="1"/>
    <col min="2" max="2" width="13.42578125" bestFit="1" customWidth="1"/>
    <col min="3" max="3" width="44" bestFit="1" customWidth="1"/>
    <col min="4" max="4" width="11.85546875" customWidth="1"/>
    <col min="5" max="6" width="16.42578125" customWidth="1"/>
    <col min="9" max="9" width="65.42578125" bestFit="1" customWidth="1"/>
  </cols>
  <sheetData>
    <row r="1" spans="1:9" ht="15.75" thickBot="1" x14ac:dyDescent="0.3">
      <c r="A1" s="130" t="s">
        <v>27</v>
      </c>
      <c r="B1" s="130" t="s">
        <v>5545</v>
      </c>
      <c r="C1" s="130" t="s">
        <v>5546</v>
      </c>
      <c r="D1" s="130" t="s">
        <v>5512</v>
      </c>
      <c r="E1" s="130" t="s">
        <v>8132</v>
      </c>
      <c r="F1" s="131" t="s">
        <v>5547</v>
      </c>
      <c r="G1" s="131" t="s">
        <v>5548</v>
      </c>
      <c r="H1" s="132" t="s">
        <v>5549</v>
      </c>
      <c r="I1" s="130" t="s">
        <v>10</v>
      </c>
    </row>
    <row r="2" spans="1:9" ht="18.75" thickBot="1" x14ac:dyDescent="0.3">
      <c r="A2" s="133" t="str">
        <f t="shared" ref="A2:A65" si="0">SUBSTITUTE(B2,CHAR(32),"")</f>
        <v>012385J</v>
      </c>
      <c r="B2" s="133" t="s">
        <v>5550</v>
      </c>
      <c r="C2" s="133" t="s">
        <v>5551</v>
      </c>
      <c r="D2" s="133" t="s">
        <v>5765</v>
      </c>
      <c r="E2" s="134"/>
      <c r="F2" s="134" t="s">
        <v>5552</v>
      </c>
      <c r="G2" s="135">
        <v>6.48</v>
      </c>
      <c r="H2" s="133">
        <v>2008</v>
      </c>
      <c r="I2" s="152" t="s">
        <v>5553</v>
      </c>
    </row>
    <row r="3" spans="1:9" ht="18.75" thickBot="1" x14ac:dyDescent="0.3">
      <c r="A3" s="133" t="str">
        <f t="shared" si="0"/>
        <v>153675N</v>
      </c>
      <c r="B3" s="133" t="s">
        <v>5554</v>
      </c>
      <c r="C3" s="133" t="s">
        <v>5555</v>
      </c>
      <c r="D3" s="133" t="s">
        <v>5503</v>
      </c>
      <c r="E3" s="134"/>
      <c r="F3" s="134">
        <v>1.18</v>
      </c>
      <c r="G3" s="135">
        <v>1.05</v>
      </c>
      <c r="H3" s="133">
        <v>2023</v>
      </c>
      <c r="I3" s="152" t="s">
        <v>5556</v>
      </c>
    </row>
    <row r="4" spans="1:9" ht="18.75" thickBot="1" x14ac:dyDescent="0.3">
      <c r="A4" s="133" t="str">
        <f t="shared" si="0"/>
        <v>133369P</v>
      </c>
      <c r="B4" s="133" t="s">
        <v>7074</v>
      </c>
      <c r="C4" s="133" t="s">
        <v>7075</v>
      </c>
      <c r="D4" s="133" t="s">
        <v>5504</v>
      </c>
      <c r="E4" s="134"/>
      <c r="F4" s="134">
        <v>0.7</v>
      </c>
      <c r="G4" s="135">
        <v>0.62</v>
      </c>
      <c r="H4" s="133">
        <v>2016</v>
      </c>
      <c r="I4" s="152" t="s">
        <v>5582</v>
      </c>
    </row>
    <row r="5" spans="1:9" ht="18.75" thickBot="1" x14ac:dyDescent="0.3">
      <c r="A5" s="133" t="str">
        <f t="shared" si="0"/>
        <v>152728J</v>
      </c>
      <c r="B5" s="133" t="s">
        <v>7076</v>
      </c>
      <c r="C5" s="133" t="s">
        <v>7077</v>
      </c>
      <c r="D5" s="133" t="s">
        <v>5504</v>
      </c>
      <c r="E5" s="134"/>
      <c r="F5" s="134">
        <v>0.73</v>
      </c>
      <c r="G5" s="135">
        <v>0.65</v>
      </c>
      <c r="H5" s="133">
        <v>2019</v>
      </c>
      <c r="I5" s="152" t="s">
        <v>5912</v>
      </c>
    </row>
    <row r="6" spans="1:9" ht="18.75" thickBot="1" x14ac:dyDescent="0.3">
      <c r="A6" s="133" t="str">
        <f t="shared" si="0"/>
        <v>141158E</v>
      </c>
      <c r="B6" s="133" t="s">
        <v>5557</v>
      </c>
      <c r="C6" s="133" t="s">
        <v>5558</v>
      </c>
      <c r="D6" s="133" t="s">
        <v>5503</v>
      </c>
      <c r="E6" s="134"/>
      <c r="F6" s="134">
        <v>1.1200000000000001</v>
      </c>
      <c r="G6" s="135">
        <v>0.99</v>
      </c>
      <c r="H6" s="133">
        <v>2018</v>
      </c>
      <c r="I6" s="152" t="s">
        <v>5559</v>
      </c>
    </row>
    <row r="7" spans="1:9" ht="18.75" thickBot="1" x14ac:dyDescent="0.3">
      <c r="A7" s="133" t="str">
        <f t="shared" si="0"/>
        <v>012403B</v>
      </c>
      <c r="B7" s="133" t="s">
        <v>5567</v>
      </c>
      <c r="C7" s="133" t="s">
        <v>5568</v>
      </c>
      <c r="D7" s="133" t="s">
        <v>5503</v>
      </c>
      <c r="E7" s="134"/>
      <c r="F7" s="134">
        <v>1.1000000000000001</v>
      </c>
      <c r="G7" s="135">
        <v>0.98</v>
      </c>
      <c r="H7" s="133">
        <v>2018</v>
      </c>
      <c r="I7" s="152" t="s">
        <v>5566</v>
      </c>
    </row>
    <row r="8" spans="1:9" ht="18.75" thickBot="1" x14ac:dyDescent="0.3">
      <c r="A8" s="133" t="str">
        <f t="shared" si="0"/>
        <v>179264C</v>
      </c>
      <c r="B8" s="133" t="s">
        <v>8597</v>
      </c>
      <c r="C8" s="133" t="s">
        <v>8598</v>
      </c>
      <c r="D8" s="133" t="s">
        <v>5704</v>
      </c>
      <c r="E8" s="134"/>
      <c r="F8" s="134">
        <v>0.86</v>
      </c>
      <c r="G8" s="135">
        <v>0.77</v>
      </c>
      <c r="H8" s="133">
        <v>2024</v>
      </c>
      <c r="I8" s="152" t="s">
        <v>5630</v>
      </c>
    </row>
    <row r="9" spans="1:9" ht="18.75" thickBot="1" x14ac:dyDescent="0.3">
      <c r="A9" s="133" t="str">
        <f t="shared" si="0"/>
        <v>126763N</v>
      </c>
      <c r="B9" s="133" t="s">
        <v>5571</v>
      </c>
      <c r="C9" s="133" t="s">
        <v>5572</v>
      </c>
      <c r="D9" s="133" t="s">
        <v>5503</v>
      </c>
      <c r="E9" s="134"/>
      <c r="F9" s="134">
        <v>1.41</v>
      </c>
      <c r="G9" s="135">
        <v>1.25</v>
      </c>
      <c r="H9" s="133">
        <v>2010</v>
      </c>
      <c r="I9" s="152" t="s">
        <v>5573</v>
      </c>
    </row>
    <row r="10" spans="1:9" ht="18.75" thickBot="1" x14ac:dyDescent="0.3">
      <c r="A10" s="133" t="str">
        <f t="shared" si="0"/>
        <v>012406E</v>
      </c>
      <c r="B10" s="133" t="s">
        <v>5574</v>
      </c>
      <c r="C10" s="133" t="s">
        <v>5575</v>
      </c>
      <c r="D10" s="133" t="s">
        <v>5503</v>
      </c>
      <c r="E10" s="134"/>
      <c r="F10" s="134">
        <v>1.37</v>
      </c>
      <c r="G10" s="135">
        <v>1.22</v>
      </c>
      <c r="H10" s="133">
        <v>2020</v>
      </c>
      <c r="I10" s="152" t="s">
        <v>5559</v>
      </c>
    </row>
    <row r="11" spans="1:9" ht="18.75" thickBot="1" x14ac:dyDescent="0.3">
      <c r="A11" s="133" t="str">
        <f t="shared" si="0"/>
        <v>012410I</v>
      </c>
      <c r="B11" s="133" t="s">
        <v>5576</v>
      </c>
      <c r="C11" s="133" t="s">
        <v>5577</v>
      </c>
      <c r="D11" s="133" t="s">
        <v>5503</v>
      </c>
      <c r="E11" s="134"/>
      <c r="F11" s="134">
        <v>0.8</v>
      </c>
      <c r="G11" s="135">
        <v>0.71</v>
      </c>
      <c r="H11" s="133">
        <v>2016</v>
      </c>
      <c r="I11" s="152" t="s">
        <v>5553</v>
      </c>
    </row>
    <row r="12" spans="1:9" ht="18.75" thickBot="1" x14ac:dyDescent="0.3">
      <c r="A12" s="133" t="str">
        <f t="shared" si="0"/>
        <v>120146A</v>
      </c>
      <c r="B12" s="133" t="s">
        <v>5578</v>
      </c>
      <c r="C12" s="133" t="s">
        <v>5579</v>
      </c>
      <c r="D12" s="133" t="s">
        <v>5503</v>
      </c>
      <c r="E12" s="134"/>
      <c r="F12" s="134">
        <v>1.2</v>
      </c>
      <c r="G12" s="135">
        <v>1.06</v>
      </c>
      <c r="H12" s="133">
        <v>2011</v>
      </c>
      <c r="I12" s="152" t="s">
        <v>5566</v>
      </c>
    </row>
    <row r="13" spans="1:9" ht="18.75" thickBot="1" x14ac:dyDescent="0.3">
      <c r="A13" s="133" t="str">
        <f t="shared" si="0"/>
        <v>012412K</v>
      </c>
      <c r="B13" s="133" t="s">
        <v>7078</v>
      </c>
      <c r="C13" s="133" t="s">
        <v>7079</v>
      </c>
      <c r="D13" s="133" t="s">
        <v>5503</v>
      </c>
      <c r="E13" s="134"/>
      <c r="F13" s="134">
        <v>1.04</v>
      </c>
      <c r="G13" s="135">
        <v>0.93</v>
      </c>
      <c r="H13" s="133">
        <v>2023</v>
      </c>
      <c r="I13" s="152" t="s">
        <v>5744</v>
      </c>
    </row>
    <row r="14" spans="1:9" ht="18.75" thickBot="1" x14ac:dyDescent="0.3">
      <c r="A14" s="133" t="str">
        <f t="shared" si="0"/>
        <v>150722D</v>
      </c>
      <c r="B14" s="133" t="s">
        <v>7080</v>
      </c>
      <c r="C14" s="133" t="s">
        <v>7081</v>
      </c>
      <c r="D14" s="133" t="s">
        <v>5504</v>
      </c>
      <c r="E14" s="134"/>
      <c r="F14" s="134">
        <v>0.38</v>
      </c>
      <c r="G14" s="135">
        <v>0.34</v>
      </c>
      <c r="H14" s="133">
        <v>2016</v>
      </c>
      <c r="I14" s="152" t="s">
        <v>5792</v>
      </c>
    </row>
    <row r="15" spans="1:9" ht="18.75" thickBot="1" x14ac:dyDescent="0.3">
      <c r="A15" s="133" t="str">
        <f t="shared" si="0"/>
        <v>124674E</v>
      </c>
      <c r="B15" s="133" t="s">
        <v>7082</v>
      </c>
      <c r="C15" s="133" t="s">
        <v>7083</v>
      </c>
      <c r="D15" s="133" t="s">
        <v>5503</v>
      </c>
      <c r="E15" s="134"/>
      <c r="F15" s="134">
        <v>1.25</v>
      </c>
      <c r="G15" s="135">
        <v>1.1100000000000001</v>
      </c>
      <c r="H15" s="133">
        <v>2019</v>
      </c>
      <c r="I15" s="152" t="s">
        <v>5587</v>
      </c>
    </row>
    <row r="16" spans="1:9" ht="18.75" thickBot="1" x14ac:dyDescent="0.3">
      <c r="A16" s="133" t="str">
        <f t="shared" si="0"/>
        <v>012435H</v>
      </c>
      <c r="B16" s="133" t="s">
        <v>5588</v>
      </c>
      <c r="C16" s="133" t="s">
        <v>5589</v>
      </c>
      <c r="D16" s="133" t="s">
        <v>26</v>
      </c>
      <c r="E16" s="134"/>
      <c r="F16" s="134">
        <v>2.2000000000000002</v>
      </c>
      <c r="G16" s="135">
        <v>1.96</v>
      </c>
      <c r="H16" s="133">
        <v>2024</v>
      </c>
      <c r="I16" s="152" t="s">
        <v>5553</v>
      </c>
    </row>
    <row r="17" spans="1:9" ht="18.75" thickBot="1" x14ac:dyDescent="0.3">
      <c r="A17" s="133" t="str">
        <f t="shared" si="0"/>
        <v>105582W</v>
      </c>
      <c r="B17" s="133" t="s">
        <v>5590</v>
      </c>
      <c r="C17" s="133" t="s">
        <v>5591</v>
      </c>
      <c r="D17" s="133" t="s">
        <v>5504</v>
      </c>
      <c r="E17" s="134"/>
      <c r="F17" s="134">
        <v>0.98</v>
      </c>
      <c r="G17" s="135">
        <v>0.87</v>
      </c>
      <c r="H17" s="133">
        <v>2011</v>
      </c>
      <c r="I17" s="152" t="s">
        <v>5587</v>
      </c>
    </row>
    <row r="18" spans="1:9" ht="18.75" thickBot="1" x14ac:dyDescent="0.3">
      <c r="A18" s="133" t="str">
        <f t="shared" si="0"/>
        <v>012438K</v>
      </c>
      <c r="B18" s="133" t="s">
        <v>5592</v>
      </c>
      <c r="C18" s="133" t="s">
        <v>5593</v>
      </c>
      <c r="D18" s="133" t="s">
        <v>26</v>
      </c>
      <c r="E18" s="134"/>
      <c r="F18" s="134">
        <v>1.83</v>
      </c>
      <c r="G18" s="135">
        <v>1.62</v>
      </c>
      <c r="H18" s="133">
        <v>2019</v>
      </c>
      <c r="I18" s="152" t="s">
        <v>5594</v>
      </c>
    </row>
    <row r="19" spans="1:9" ht="18.75" thickBot="1" x14ac:dyDescent="0.3">
      <c r="A19" s="133" t="str">
        <f t="shared" si="0"/>
        <v>170920H</v>
      </c>
      <c r="B19" s="133" t="s">
        <v>5595</v>
      </c>
      <c r="C19" s="133" t="s">
        <v>5596</v>
      </c>
      <c r="D19" s="133" t="s">
        <v>5504</v>
      </c>
      <c r="E19" s="134"/>
      <c r="F19" s="134">
        <v>0.87</v>
      </c>
      <c r="G19" s="135">
        <v>0.78</v>
      </c>
      <c r="H19" s="133">
        <v>2024</v>
      </c>
      <c r="I19" s="152" t="s">
        <v>5598</v>
      </c>
    </row>
    <row r="20" spans="1:9" ht="18.75" thickBot="1" x14ac:dyDescent="0.3">
      <c r="A20" s="133" t="str">
        <f t="shared" si="0"/>
        <v>142400Y</v>
      </c>
      <c r="B20" s="133" t="s">
        <v>5599</v>
      </c>
      <c r="C20" s="133" t="s">
        <v>5600</v>
      </c>
      <c r="D20" s="133" t="s">
        <v>5503</v>
      </c>
      <c r="E20" s="134"/>
      <c r="F20" s="134">
        <v>1.33</v>
      </c>
      <c r="G20" s="135">
        <v>1.18</v>
      </c>
      <c r="H20" s="133">
        <v>2023</v>
      </c>
      <c r="I20" s="152" t="s">
        <v>5601</v>
      </c>
    </row>
    <row r="21" spans="1:9" ht="18.75" thickBot="1" x14ac:dyDescent="0.3">
      <c r="A21" s="133" t="str">
        <f t="shared" si="0"/>
        <v>143412W</v>
      </c>
      <c r="B21" s="133" t="s">
        <v>5604</v>
      </c>
      <c r="C21" s="133" t="s">
        <v>5605</v>
      </c>
      <c r="D21" s="133" t="s">
        <v>5504</v>
      </c>
      <c r="E21" s="134"/>
      <c r="F21" s="134">
        <v>0.63</v>
      </c>
      <c r="G21" s="135">
        <v>0.56000000000000005</v>
      </c>
      <c r="H21" s="133">
        <v>2015</v>
      </c>
      <c r="I21" s="152" t="s">
        <v>5598</v>
      </c>
    </row>
    <row r="22" spans="1:9" ht="18.75" thickBot="1" x14ac:dyDescent="0.3">
      <c r="A22" s="133" t="str">
        <f t="shared" si="0"/>
        <v>150616N</v>
      </c>
      <c r="B22" s="133" t="s">
        <v>5609</v>
      </c>
      <c r="C22" s="133" t="s">
        <v>5610</v>
      </c>
      <c r="D22" s="133" t="s">
        <v>5503</v>
      </c>
      <c r="E22" s="134"/>
      <c r="F22" s="134">
        <v>1.39</v>
      </c>
      <c r="G22" s="135">
        <v>1.23</v>
      </c>
      <c r="H22" s="133">
        <v>2020</v>
      </c>
      <c r="I22" s="152" t="s">
        <v>5601</v>
      </c>
    </row>
    <row r="23" spans="1:9" ht="18.75" thickBot="1" x14ac:dyDescent="0.3">
      <c r="A23" s="133" t="str">
        <f t="shared" si="0"/>
        <v>125423Z</v>
      </c>
      <c r="B23" s="133" t="s">
        <v>5613</v>
      </c>
      <c r="C23" s="133" t="s">
        <v>5614</v>
      </c>
      <c r="D23" s="133" t="s">
        <v>5503</v>
      </c>
      <c r="E23" s="134"/>
      <c r="F23" s="134">
        <v>1.04</v>
      </c>
      <c r="G23" s="135">
        <v>0.93</v>
      </c>
      <c r="H23" s="133">
        <v>2020</v>
      </c>
      <c r="I23" s="152" t="s">
        <v>5615</v>
      </c>
    </row>
    <row r="24" spans="1:9" ht="18.75" thickBot="1" x14ac:dyDescent="0.3">
      <c r="A24" s="133" t="str">
        <f t="shared" si="0"/>
        <v>110992Y</v>
      </c>
      <c r="B24" s="133" t="s">
        <v>5616</v>
      </c>
      <c r="C24" s="133" t="s">
        <v>5617</v>
      </c>
      <c r="D24" s="133" t="s">
        <v>26</v>
      </c>
      <c r="E24" s="134"/>
      <c r="F24" s="134">
        <v>2.06</v>
      </c>
      <c r="G24" s="135">
        <v>1.83</v>
      </c>
      <c r="H24" s="133">
        <v>2024</v>
      </c>
      <c r="I24" s="152" t="s">
        <v>5559</v>
      </c>
    </row>
    <row r="25" spans="1:9" ht="18.75" thickBot="1" x14ac:dyDescent="0.3">
      <c r="A25" s="133" t="str">
        <f t="shared" si="0"/>
        <v>012444Q</v>
      </c>
      <c r="B25" s="133" t="s">
        <v>5618</v>
      </c>
      <c r="C25" s="133" t="s">
        <v>5619</v>
      </c>
      <c r="D25" s="133" t="s">
        <v>5504</v>
      </c>
      <c r="E25" s="134"/>
      <c r="F25" s="134">
        <v>0.72</v>
      </c>
      <c r="G25" s="135">
        <v>0.64</v>
      </c>
      <c r="H25" s="133">
        <v>2024</v>
      </c>
      <c r="I25" s="152" t="s">
        <v>5615</v>
      </c>
    </row>
    <row r="26" spans="1:9" ht="18.75" thickBot="1" x14ac:dyDescent="0.3">
      <c r="A26" s="133" t="str">
        <f t="shared" si="0"/>
        <v>162414M</v>
      </c>
      <c r="B26" s="133" t="s">
        <v>5623</v>
      </c>
      <c r="C26" s="133" t="s">
        <v>5624</v>
      </c>
      <c r="D26" s="133" t="s">
        <v>5503</v>
      </c>
      <c r="E26" s="134"/>
      <c r="F26" s="134">
        <v>1.74</v>
      </c>
      <c r="G26" s="135">
        <v>1.55</v>
      </c>
      <c r="H26" s="133">
        <v>2024</v>
      </c>
      <c r="I26" s="152" t="s">
        <v>5625</v>
      </c>
    </row>
    <row r="27" spans="1:9" ht="18.75" thickBot="1" x14ac:dyDescent="0.3">
      <c r="A27" s="133" t="str">
        <f t="shared" si="0"/>
        <v>103412K</v>
      </c>
      <c r="B27" s="133" t="s">
        <v>5626</v>
      </c>
      <c r="C27" s="133" t="s">
        <v>5627</v>
      </c>
      <c r="D27" s="133" t="s">
        <v>5503</v>
      </c>
      <c r="E27" s="134"/>
      <c r="F27" s="134">
        <v>1.45</v>
      </c>
      <c r="G27" s="135">
        <v>1.29</v>
      </c>
      <c r="H27" s="133">
        <v>2024</v>
      </c>
      <c r="I27" s="152" t="s">
        <v>5587</v>
      </c>
    </row>
    <row r="28" spans="1:9" ht="18.75" thickBot="1" x14ac:dyDescent="0.3">
      <c r="A28" s="133" t="str">
        <f t="shared" si="0"/>
        <v>012453Z</v>
      </c>
      <c r="B28" s="133" t="s">
        <v>5628</v>
      </c>
      <c r="C28" s="133" t="s">
        <v>5629</v>
      </c>
      <c r="D28" s="133" t="s">
        <v>5597</v>
      </c>
      <c r="E28" s="134"/>
      <c r="F28" s="134">
        <v>0.92</v>
      </c>
      <c r="G28" s="135">
        <v>0.82</v>
      </c>
      <c r="H28" s="133">
        <v>2024</v>
      </c>
      <c r="I28" s="152" t="s">
        <v>5630</v>
      </c>
    </row>
    <row r="29" spans="1:9" ht="18.75" thickBot="1" x14ac:dyDescent="0.3">
      <c r="A29" s="133" t="str">
        <f t="shared" si="0"/>
        <v>117483P</v>
      </c>
      <c r="B29" s="133" t="s">
        <v>5631</v>
      </c>
      <c r="C29" s="133" t="s">
        <v>5632</v>
      </c>
      <c r="D29" s="133" t="s">
        <v>5503</v>
      </c>
      <c r="E29" s="134"/>
      <c r="F29" s="134">
        <v>1.06</v>
      </c>
      <c r="G29" s="135">
        <v>0.95</v>
      </c>
      <c r="H29" s="133">
        <v>2020</v>
      </c>
      <c r="I29" s="152" t="s">
        <v>5598</v>
      </c>
    </row>
    <row r="30" spans="1:9" ht="18.75" thickBot="1" x14ac:dyDescent="0.3">
      <c r="A30" s="133" t="str">
        <f t="shared" si="0"/>
        <v>127624Q</v>
      </c>
      <c r="B30" s="133" t="s">
        <v>5633</v>
      </c>
      <c r="C30" s="133" t="s">
        <v>5634</v>
      </c>
      <c r="D30" s="133" t="s">
        <v>5503</v>
      </c>
      <c r="E30" s="134"/>
      <c r="F30" s="134">
        <v>1.02</v>
      </c>
      <c r="G30" s="135">
        <v>0.91</v>
      </c>
      <c r="H30" s="133">
        <v>2011</v>
      </c>
      <c r="I30" s="152" t="s">
        <v>5635</v>
      </c>
    </row>
    <row r="31" spans="1:9" ht="18.75" thickBot="1" x14ac:dyDescent="0.3">
      <c r="A31" s="133" t="str">
        <f t="shared" si="0"/>
        <v>117347J</v>
      </c>
      <c r="B31" s="133" t="s">
        <v>5640</v>
      </c>
      <c r="C31" s="133" t="s">
        <v>5641</v>
      </c>
      <c r="D31" s="133" t="s">
        <v>5504</v>
      </c>
      <c r="E31" s="134"/>
      <c r="F31" s="134">
        <v>0.88</v>
      </c>
      <c r="G31" s="135">
        <v>0.79</v>
      </c>
      <c r="H31" s="133">
        <v>2010</v>
      </c>
      <c r="I31" s="152" t="s">
        <v>5582</v>
      </c>
    </row>
    <row r="32" spans="1:9" ht="18.75" thickBot="1" x14ac:dyDescent="0.3">
      <c r="A32" s="133" t="str">
        <f t="shared" si="0"/>
        <v>149859Q</v>
      </c>
      <c r="B32" s="133" t="s">
        <v>5644</v>
      </c>
      <c r="C32" s="133" t="s">
        <v>5645</v>
      </c>
      <c r="D32" s="133" t="s">
        <v>5704</v>
      </c>
      <c r="E32" s="134"/>
      <c r="F32" s="134">
        <v>0.96</v>
      </c>
      <c r="G32" s="135">
        <v>0.85</v>
      </c>
      <c r="H32" s="133">
        <v>2024</v>
      </c>
      <c r="I32" s="152" t="s">
        <v>5646</v>
      </c>
    </row>
    <row r="33" spans="1:9" ht="18.75" thickBot="1" x14ac:dyDescent="0.3">
      <c r="A33" s="133" t="str">
        <f t="shared" si="0"/>
        <v>132694Q</v>
      </c>
      <c r="B33" s="133" t="s">
        <v>5649</v>
      </c>
      <c r="C33" s="133" t="s">
        <v>5650</v>
      </c>
      <c r="D33" s="133" t="s">
        <v>5503</v>
      </c>
      <c r="E33" s="134"/>
      <c r="F33" s="134">
        <v>1.1100000000000001</v>
      </c>
      <c r="G33" s="135">
        <v>0.98</v>
      </c>
      <c r="H33" s="133">
        <v>2013</v>
      </c>
      <c r="I33" s="152" t="s">
        <v>5651</v>
      </c>
    </row>
    <row r="34" spans="1:9" ht="18.75" thickBot="1" x14ac:dyDescent="0.3">
      <c r="A34" s="133" t="str">
        <f t="shared" si="0"/>
        <v>136073P</v>
      </c>
      <c r="B34" s="133" t="s">
        <v>5652</v>
      </c>
      <c r="C34" s="133" t="s">
        <v>5653</v>
      </c>
      <c r="D34" s="133" t="s">
        <v>5503</v>
      </c>
      <c r="E34" s="134"/>
      <c r="F34" s="134">
        <v>1.44</v>
      </c>
      <c r="G34" s="135">
        <v>1.28</v>
      </c>
      <c r="H34" s="133">
        <v>2019</v>
      </c>
      <c r="I34" s="152" t="s">
        <v>5654</v>
      </c>
    </row>
    <row r="35" spans="1:9" ht="18.75" thickBot="1" x14ac:dyDescent="0.3">
      <c r="A35" s="133" t="str">
        <f t="shared" si="0"/>
        <v>012474U</v>
      </c>
      <c r="B35" s="133" t="s">
        <v>5655</v>
      </c>
      <c r="C35" s="133" t="s">
        <v>5656</v>
      </c>
      <c r="D35" s="133" t="s">
        <v>5503</v>
      </c>
      <c r="E35" s="134"/>
      <c r="F35" s="134">
        <v>1.31</v>
      </c>
      <c r="G35" s="135">
        <v>1.17</v>
      </c>
      <c r="H35" s="133">
        <v>2024</v>
      </c>
      <c r="I35" s="152" t="s">
        <v>5657</v>
      </c>
    </row>
    <row r="36" spans="1:9" ht="18.75" thickBot="1" x14ac:dyDescent="0.3">
      <c r="A36" s="133" t="str">
        <f t="shared" si="0"/>
        <v>120806K</v>
      </c>
      <c r="B36" s="133" t="s">
        <v>5658</v>
      </c>
      <c r="C36" s="133" t="s">
        <v>5659</v>
      </c>
      <c r="D36" s="133" t="s">
        <v>5504</v>
      </c>
      <c r="E36" s="134"/>
      <c r="F36" s="134">
        <v>0.82</v>
      </c>
      <c r="G36" s="135">
        <v>0.73</v>
      </c>
      <c r="H36" s="133">
        <v>2023</v>
      </c>
      <c r="I36" s="152" t="s">
        <v>5594</v>
      </c>
    </row>
    <row r="37" spans="1:9" ht="18.75" thickBot="1" x14ac:dyDescent="0.3">
      <c r="A37" s="133" t="str">
        <f t="shared" si="0"/>
        <v>169431P</v>
      </c>
      <c r="B37" s="133" t="s">
        <v>5660</v>
      </c>
      <c r="C37" s="133" t="s">
        <v>5661</v>
      </c>
      <c r="D37" s="133" t="s">
        <v>5503</v>
      </c>
      <c r="E37" s="134"/>
      <c r="F37" s="134">
        <v>1.07</v>
      </c>
      <c r="G37" s="135">
        <v>0.95</v>
      </c>
      <c r="H37" s="133">
        <v>2024</v>
      </c>
      <c r="I37" s="152" t="s">
        <v>5582</v>
      </c>
    </row>
    <row r="38" spans="1:9" ht="18.75" thickBot="1" x14ac:dyDescent="0.3">
      <c r="A38" s="133" t="str">
        <f t="shared" si="0"/>
        <v>155884P</v>
      </c>
      <c r="B38" s="133" t="s">
        <v>5662</v>
      </c>
      <c r="C38" s="133" t="s">
        <v>5663</v>
      </c>
      <c r="D38" s="133" t="s">
        <v>5504</v>
      </c>
      <c r="E38" s="134"/>
      <c r="F38" s="134">
        <v>0.92</v>
      </c>
      <c r="G38" s="135">
        <v>0.82</v>
      </c>
      <c r="H38" s="133">
        <v>2020</v>
      </c>
      <c r="I38" s="152" t="s">
        <v>5556</v>
      </c>
    </row>
    <row r="39" spans="1:9" ht="18.75" thickBot="1" x14ac:dyDescent="0.3">
      <c r="A39" s="133" t="str">
        <f t="shared" si="0"/>
        <v>163284H</v>
      </c>
      <c r="B39" s="133" t="s">
        <v>5667</v>
      </c>
      <c r="C39" s="133" t="s">
        <v>5668</v>
      </c>
      <c r="D39" s="133" t="s">
        <v>5504</v>
      </c>
      <c r="E39" s="134"/>
      <c r="F39" s="134">
        <v>0.56999999999999995</v>
      </c>
      <c r="G39" s="135">
        <v>0.51</v>
      </c>
      <c r="H39" s="133">
        <v>2024</v>
      </c>
      <c r="I39" s="152" t="s">
        <v>5615</v>
      </c>
    </row>
    <row r="40" spans="1:9" ht="18.75" thickBot="1" x14ac:dyDescent="0.3">
      <c r="A40" s="133" t="str">
        <f t="shared" si="0"/>
        <v>103243X</v>
      </c>
      <c r="B40" s="133" t="s">
        <v>5672</v>
      </c>
      <c r="C40" s="133" t="s">
        <v>5673</v>
      </c>
      <c r="D40" s="133" t="s">
        <v>5503</v>
      </c>
      <c r="E40" s="134"/>
      <c r="F40" s="134">
        <v>1.36</v>
      </c>
      <c r="G40" s="135">
        <v>1.21</v>
      </c>
      <c r="H40" s="133">
        <v>2011</v>
      </c>
      <c r="I40" s="152" t="s">
        <v>5566</v>
      </c>
    </row>
    <row r="41" spans="1:9" ht="18.75" thickBot="1" x14ac:dyDescent="0.3">
      <c r="A41" s="133" t="str">
        <f t="shared" si="0"/>
        <v>012498S</v>
      </c>
      <c r="B41" s="133" t="s">
        <v>5676</v>
      </c>
      <c r="C41" s="133" t="s">
        <v>5677</v>
      </c>
      <c r="D41" s="133" t="s">
        <v>24</v>
      </c>
      <c r="E41" s="134"/>
      <c r="F41" s="134" t="s">
        <v>5552</v>
      </c>
      <c r="G41" s="135">
        <v>2.79</v>
      </c>
      <c r="H41" s="133">
        <v>2024</v>
      </c>
      <c r="I41" s="152" t="s">
        <v>5678</v>
      </c>
    </row>
    <row r="42" spans="1:9" ht="18.75" thickBot="1" x14ac:dyDescent="0.3">
      <c r="A42" s="133" t="str">
        <f t="shared" si="0"/>
        <v>125431H</v>
      </c>
      <c r="B42" s="133" t="s">
        <v>5681</v>
      </c>
      <c r="C42" s="133" t="s">
        <v>5682</v>
      </c>
      <c r="D42" s="133" t="s">
        <v>5503</v>
      </c>
      <c r="E42" s="134"/>
      <c r="F42" s="134">
        <v>1.0900000000000001</v>
      </c>
      <c r="G42" s="135">
        <v>0.97</v>
      </c>
      <c r="H42" s="133">
        <v>2015</v>
      </c>
      <c r="I42" s="152" t="s">
        <v>5666</v>
      </c>
    </row>
    <row r="43" spans="1:9" ht="18.75" thickBot="1" x14ac:dyDescent="0.3">
      <c r="A43" s="133" t="str">
        <f t="shared" si="0"/>
        <v>123077T</v>
      </c>
      <c r="B43" s="133" t="s">
        <v>7084</v>
      </c>
      <c r="C43" s="133" t="s">
        <v>7085</v>
      </c>
      <c r="D43" s="133" t="s">
        <v>24</v>
      </c>
      <c r="E43" s="134"/>
      <c r="F43" s="134" t="s">
        <v>5552</v>
      </c>
      <c r="G43" s="135">
        <v>2.7</v>
      </c>
      <c r="H43" s="133">
        <v>2009</v>
      </c>
      <c r="I43" s="152" t="s">
        <v>5635</v>
      </c>
    </row>
    <row r="44" spans="1:9" ht="18.75" thickBot="1" x14ac:dyDescent="0.3">
      <c r="A44" s="133" t="str">
        <f t="shared" si="0"/>
        <v>138043J</v>
      </c>
      <c r="B44" s="133" t="s">
        <v>7086</v>
      </c>
      <c r="C44" s="133" t="s">
        <v>7087</v>
      </c>
      <c r="D44" s="133" t="s">
        <v>5504</v>
      </c>
      <c r="E44" s="134"/>
      <c r="F44" s="134">
        <v>0.55000000000000004</v>
      </c>
      <c r="G44" s="135">
        <v>0.49</v>
      </c>
      <c r="H44" s="133">
        <v>2009</v>
      </c>
      <c r="I44" s="152" t="s">
        <v>5566</v>
      </c>
    </row>
    <row r="45" spans="1:9" ht="18.75" thickBot="1" x14ac:dyDescent="0.3">
      <c r="A45" s="133" t="str">
        <f t="shared" si="0"/>
        <v>138042I</v>
      </c>
      <c r="B45" s="133" t="s">
        <v>7088</v>
      </c>
      <c r="C45" s="133" t="s">
        <v>7089</v>
      </c>
      <c r="D45" s="133" t="s">
        <v>5504</v>
      </c>
      <c r="E45" s="134"/>
      <c r="F45" s="134">
        <v>0.16</v>
      </c>
      <c r="G45" s="135">
        <v>0.14000000000000001</v>
      </c>
      <c r="H45" s="133">
        <v>2009</v>
      </c>
      <c r="I45" s="152" t="s">
        <v>5566</v>
      </c>
    </row>
    <row r="46" spans="1:9" ht="18.75" thickBot="1" x14ac:dyDescent="0.3">
      <c r="A46" s="133" t="str">
        <f t="shared" si="0"/>
        <v>012508C</v>
      </c>
      <c r="B46" s="133" t="s">
        <v>5683</v>
      </c>
      <c r="C46" s="133" t="s">
        <v>5684</v>
      </c>
      <c r="D46" s="133" t="s">
        <v>24</v>
      </c>
      <c r="E46" s="134"/>
      <c r="F46" s="134" t="s">
        <v>5552</v>
      </c>
      <c r="G46" s="135">
        <v>2.63</v>
      </c>
      <c r="H46" s="133">
        <v>2024</v>
      </c>
      <c r="I46" s="152" t="s">
        <v>5563</v>
      </c>
    </row>
    <row r="47" spans="1:9" ht="18.75" thickBot="1" x14ac:dyDescent="0.3">
      <c r="A47" s="133" t="str">
        <f t="shared" si="0"/>
        <v>106421D</v>
      </c>
      <c r="B47" s="133" t="s">
        <v>5687</v>
      </c>
      <c r="C47" s="133" t="s">
        <v>5688</v>
      </c>
      <c r="D47" s="133" t="s">
        <v>24</v>
      </c>
      <c r="E47" s="134"/>
      <c r="F47" s="134" t="s">
        <v>5552</v>
      </c>
      <c r="G47" s="135">
        <v>2.4</v>
      </c>
      <c r="H47" s="133">
        <v>2011</v>
      </c>
      <c r="I47" s="152" t="s">
        <v>5563</v>
      </c>
    </row>
    <row r="48" spans="1:9" ht="18.75" thickBot="1" x14ac:dyDescent="0.3">
      <c r="A48" s="133" t="str">
        <f t="shared" si="0"/>
        <v>012514I</v>
      </c>
      <c r="B48" s="133" t="s">
        <v>5689</v>
      </c>
      <c r="C48" s="133" t="s">
        <v>5690</v>
      </c>
      <c r="D48" s="133" t="s">
        <v>5503</v>
      </c>
      <c r="E48" s="134"/>
      <c r="F48" s="134">
        <v>1.46</v>
      </c>
      <c r="G48" s="135">
        <v>1.3</v>
      </c>
      <c r="H48" s="133">
        <v>2010</v>
      </c>
      <c r="I48" s="152" t="s">
        <v>5630</v>
      </c>
    </row>
    <row r="49" spans="1:9" ht="18.75" thickBot="1" x14ac:dyDescent="0.3">
      <c r="A49" s="133" t="str">
        <f t="shared" si="0"/>
        <v>012515J</v>
      </c>
      <c r="B49" s="133" t="s">
        <v>5691</v>
      </c>
      <c r="C49" s="133" t="s">
        <v>5692</v>
      </c>
      <c r="D49" s="133" t="s">
        <v>24</v>
      </c>
      <c r="E49" s="134"/>
      <c r="F49" s="134" t="s">
        <v>5552</v>
      </c>
      <c r="G49" s="135">
        <v>4.5</v>
      </c>
      <c r="H49" s="133">
        <v>2024</v>
      </c>
      <c r="I49" s="152" t="s">
        <v>5553</v>
      </c>
    </row>
    <row r="50" spans="1:9" ht="18.75" thickBot="1" x14ac:dyDescent="0.3">
      <c r="A50" s="133" t="str">
        <f t="shared" si="0"/>
        <v>117766M</v>
      </c>
      <c r="B50" s="133" t="s">
        <v>5693</v>
      </c>
      <c r="C50" s="133" t="s">
        <v>5694</v>
      </c>
      <c r="D50" s="133" t="s">
        <v>26</v>
      </c>
      <c r="E50" s="134"/>
      <c r="F50" s="134">
        <v>2.1</v>
      </c>
      <c r="G50" s="135">
        <v>1.87</v>
      </c>
      <c r="H50" s="133">
        <v>2010</v>
      </c>
      <c r="I50" s="152" t="s">
        <v>5630</v>
      </c>
    </row>
    <row r="51" spans="1:9" ht="18.75" thickBot="1" x14ac:dyDescent="0.3">
      <c r="A51" s="133" t="str">
        <f t="shared" si="0"/>
        <v>140096I</v>
      </c>
      <c r="B51" s="133" t="s">
        <v>5697</v>
      </c>
      <c r="C51" s="133" t="s">
        <v>5698</v>
      </c>
      <c r="D51" s="133" t="s">
        <v>5504</v>
      </c>
      <c r="E51" s="134"/>
      <c r="F51" s="134">
        <v>0.43</v>
      </c>
      <c r="G51" s="135">
        <v>0.38</v>
      </c>
      <c r="H51" s="133">
        <v>2010</v>
      </c>
      <c r="I51" s="152" t="s">
        <v>5651</v>
      </c>
    </row>
    <row r="52" spans="1:9" ht="18.75" thickBot="1" x14ac:dyDescent="0.3">
      <c r="A52" s="133" t="str">
        <f t="shared" si="0"/>
        <v>152729K</v>
      </c>
      <c r="B52" s="133" t="s">
        <v>7090</v>
      </c>
      <c r="C52" s="133" t="s">
        <v>7091</v>
      </c>
      <c r="D52" s="133" t="s">
        <v>5504</v>
      </c>
      <c r="E52" s="134"/>
      <c r="F52" s="134">
        <v>0.54</v>
      </c>
      <c r="G52" s="135">
        <v>0.48</v>
      </c>
      <c r="H52" s="133">
        <v>2020</v>
      </c>
      <c r="I52" s="152" t="s">
        <v>5912</v>
      </c>
    </row>
    <row r="53" spans="1:9" ht="18.75" thickBot="1" x14ac:dyDescent="0.3">
      <c r="A53" s="133" t="str">
        <f t="shared" si="0"/>
        <v>012531Z</v>
      </c>
      <c r="B53" s="133" t="s">
        <v>5699</v>
      </c>
      <c r="C53" s="133" t="s">
        <v>5700</v>
      </c>
      <c r="D53" s="133" t="s">
        <v>24</v>
      </c>
      <c r="E53" s="134"/>
      <c r="F53" s="134" t="s">
        <v>5552</v>
      </c>
      <c r="G53" s="135">
        <v>2.31</v>
      </c>
      <c r="H53" s="133">
        <v>2012</v>
      </c>
      <c r="I53" s="152" t="s">
        <v>5701</v>
      </c>
    </row>
    <row r="54" spans="1:9" ht="18.75" thickBot="1" x14ac:dyDescent="0.3">
      <c r="A54" s="133" t="str">
        <f t="shared" si="0"/>
        <v>138061B</v>
      </c>
      <c r="B54" s="133" t="s">
        <v>5702</v>
      </c>
      <c r="C54" s="133" t="s">
        <v>5703</v>
      </c>
      <c r="D54" s="133" t="s">
        <v>5504</v>
      </c>
      <c r="E54" s="134"/>
      <c r="F54" s="134">
        <v>0.84</v>
      </c>
      <c r="G54" s="135">
        <v>0.75</v>
      </c>
      <c r="H54" s="133">
        <v>2024</v>
      </c>
      <c r="I54" s="152" t="s">
        <v>5705</v>
      </c>
    </row>
    <row r="55" spans="1:9" ht="18.75" thickBot="1" x14ac:dyDescent="0.3">
      <c r="A55" s="133" t="str">
        <f t="shared" si="0"/>
        <v>140106S</v>
      </c>
      <c r="B55" s="133" t="s">
        <v>5706</v>
      </c>
      <c r="C55" s="133" t="s">
        <v>5707</v>
      </c>
      <c r="D55" s="133" t="s">
        <v>5503</v>
      </c>
      <c r="E55" s="134"/>
      <c r="F55" s="134">
        <v>1.06</v>
      </c>
      <c r="G55" s="135">
        <v>0.94</v>
      </c>
      <c r="H55" s="133">
        <v>2011</v>
      </c>
      <c r="I55" s="152" t="s">
        <v>5630</v>
      </c>
    </row>
    <row r="56" spans="1:9" ht="18.75" thickBot="1" x14ac:dyDescent="0.3">
      <c r="A56" s="133" t="str">
        <f t="shared" si="0"/>
        <v>135324U</v>
      </c>
      <c r="B56" s="133" t="s">
        <v>5708</v>
      </c>
      <c r="C56" s="133" t="s">
        <v>5709</v>
      </c>
      <c r="D56" s="133" t="s">
        <v>5503</v>
      </c>
      <c r="E56" s="134"/>
      <c r="F56" s="134">
        <v>1.26</v>
      </c>
      <c r="G56" s="135">
        <v>1.1200000000000001</v>
      </c>
      <c r="H56" s="133">
        <v>2018</v>
      </c>
      <c r="I56" s="152" t="s">
        <v>5710</v>
      </c>
    </row>
    <row r="57" spans="1:9" ht="18.75" thickBot="1" x14ac:dyDescent="0.3">
      <c r="A57" s="133" t="str">
        <f t="shared" si="0"/>
        <v>012538G</v>
      </c>
      <c r="B57" s="133" t="s">
        <v>7092</v>
      </c>
      <c r="C57" s="133" t="s">
        <v>7093</v>
      </c>
      <c r="D57" s="133" t="s">
        <v>5503</v>
      </c>
      <c r="E57" s="134"/>
      <c r="F57" s="134">
        <v>1.07</v>
      </c>
      <c r="G57" s="135">
        <v>0.95</v>
      </c>
      <c r="H57" s="133">
        <v>2011</v>
      </c>
      <c r="I57" s="152" t="s">
        <v>5657</v>
      </c>
    </row>
    <row r="58" spans="1:9" ht="18.75" thickBot="1" x14ac:dyDescent="0.3">
      <c r="A58" s="133" t="str">
        <f t="shared" si="0"/>
        <v>105548O</v>
      </c>
      <c r="B58" s="133" t="s">
        <v>7094</v>
      </c>
      <c r="C58" s="133" t="s">
        <v>7095</v>
      </c>
      <c r="D58" s="133" t="s">
        <v>24</v>
      </c>
      <c r="E58" s="134"/>
      <c r="F58" s="134" t="s">
        <v>5552</v>
      </c>
      <c r="G58" s="135">
        <v>2.5</v>
      </c>
      <c r="H58" s="133">
        <v>2009</v>
      </c>
      <c r="I58" s="152" t="s">
        <v>5657</v>
      </c>
    </row>
    <row r="59" spans="1:9" ht="18.75" thickBot="1" x14ac:dyDescent="0.3">
      <c r="A59" s="133" t="str">
        <f t="shared" si="0"/>
        <v>137827B</v>
      </c>
      <c r="B59" s="133" t="s">
        <v>5711</v>
      </c>
      <c r="C59" s="133" t="s">
        <v>5712</v>
      </c>
      <c r="D59" s="133" t="s">
        <v>5503</v>
      </c>
      <c r="E59" s="134"/>
      <c r="F59" s="134">
        <v>1.04</v>
      </c>
      <c r="G59" s="135">
        <v>0.93</v>
      </c>
      <c r="H59" s="133">
        <v>2011</v>
      </c>
      <c r="I59" s="152" t="s">
        <v>5563</v>
      </c>
    </row>
    <row r="60" spans="1:9" ht="18.75" thickBot="1" x14ac:dyDescent="0.3">
      <c r="A60" s="133" t="str">
        <f t="shared" si="0"/>
        <v>012551T</v>
      </c>
      <c r="B60" s="133" t="s">
        <v>7567</v>
      </c>
      <c r="C60" s="133" t="s">
        <v>7568</v>
      </c>
      <c r="D60" s="133" t="s">
        <v>5704</v>
      </c>
      <c r="E60" s="134"/>
      <c r="F60" s="134">
        <v>0.87</v>
      </c>
      <c r="G60" s="135">
        <v>0.77</v>
      </c>
      <c r="H60" s="133">
        <v>2024</v>
      </c>
      <c r="I60" s="152" t="s">
        <v>5639</v>
      </c>
    </row>
    <row r="61" spans="1:9" ht="18.75" thickBot="1" x14ac:dyDescent="0.3">
      <c r="A61" s="133" t="str">
        <f t="shared" si="0"/>
        <v>169262F</v>
      </c>
      <c r="B61" s="133" t="s">
        <v>7096</v>
      </c>
      <c r="C61" s="133" t="s">
        <v>7097</v>
      </c>
      <c r="D61" s="133" t="s">
        <v>5504</v>
      </c>
      <c r="E61" s="134"/>
      <c r="F61" s="134">
        <v>0.5</v>
      </c>
      <c r="G61" s="135">
        <v>0.44</v>
      </c>
      <c r="H61" s="133">
        <v>2024</v>
      </c>
      <c r="I61" s="152" t="s">
        <v>5912</v>
      </c>
    </row>
    <row r="62" spans="1:9" ht="18.75" thickBot="1" x14ac:dyDescent="0.3">
      <c r="A62" s="133" t="str">
        <f t="shared" si="0"/>
        <v>012557Z</v>
      </c>
      <c r="B62" s="133" t="s">
        <v>5722</v>
      </c>
      <c r="C62" s="133" t="s">
        <v>5723</v>
      </c>
      <c r="D62" s="133" t="s">
        <v>24</v>
      </c>
      <c r="E62" s="134"/>
      <c r="F62" s="134" t="s">
        <v>5552</v>
      </c>
      <c r="G62" s="135">
        <v>3.31</v>
      </c>
      <c r="H62" s="133">
        <v>2014</v>
      </c>
      <c r="I62" s="152" t="s">
        <v>5594</v>
      </c>
    </row>
    <row r="63" spans="1:9" ht="18.75" thickBot="1" x14ac:dyDescent="0.3">
      <c r="A63" s="133" t="str">
        <f t="shared" si="0"/>
        <v>138084Y</v>
      </c>
      <c r="B63" s="133" t="s">
        <v>5724</v>
      </c>
      <c r="C63" s="133" t="s">
        <v>5725</v>
      </c>
      <c r="D63" s="133" t="s">
        <v>5504</v>
      </c>
      <c r="E63" s="134"/>
      <c r="F63" s="134">
        <v>0.6</v>
      </c>
      <c r="G63" s="135">
        <v>0.54</v>
      </c>
      <c r="H63" s="133">
        <v>2010</v>
      </c>
      <c r="I63" s="152" t="s">
        <v>5726</v>
      </c>
    </row>
    <row r="64" spans="1:9" ht="18.75" thickBot="1" x14ac:dyDescent="0.3">
      <c r="A64" s="133" t="str">
        <f t="shared" si="0"/>
        <v>012567J</v>
      </c>
      <c r="B64" s="133" t="s">
        <v>5731</v>
      </c>
      <c r="C64" s="133" t="s">
        <v>5732</v>
      </c>
      <c r="D64" s="133" t="s">
        <v>5562</v>
      </c>
      <c r="E64" s="134"/>
      <c r="F64" s="134">
        <v>1.73</v>
      </c>
      <c r="G64" s="135">
        <v>1.54</v>
      </c>
      <c r="H64" s="133">
        <v>2024</v>
      </c>
      <c r="I64" s="152" t="s">
        <v>5630</v>
      </c>
    </row>
    <row r="65" spans="1:9" ht="18.75" thickBot="1" x14ac:dyDescent="0.3">
      <c r="A65" s="133" t="str">
        <f t="shared" si="0"/>
        <v>129205L</v>
      </c>
      <c r="B65" s="133" t="s">
        <v>5736</v>
      </c>
      <c r="C65" s="133" t="s">
        <v>5737</v>
      </c>
      <c r="D65" s="133" t="s">
        <v>5504</v>
      </c>
      <c r="E65" s="134"/>
      <c r="F65" s="134">
        <v>0.67</v>
      </c>
      <c r="G65" s="135">
        <v>0.6</v>
      </c>
      <c r="H65" s="133">
        <v>2013</v>
      </c>
      <c r="I65" s="152" t="s">
        <v>5735</v>
      </c>
    </row>
    <row r="66" spans="1:9" ht="18.75" thickBot="1" x14ac:dyDescent="0.3">
      <c r="A66" s="133" t="str">
        <f t="shared" ref="A66:A129" si="1">SUBSTITUTE(B66,CHAR(32),"")</f>
        <v>012579V</v>
      </c>
      <c r="B66" s="133" t="s">
        <v>5742</v>
      </c>
      <c r="C66" s="133" t="s">
        <v>5743</v>
      </c>
      <c r="D66" s="133" t="s">
        <v>5504</v>
      </c>
      <c r="E66" s="134"/>
      <c r="F66" s="134">
        <v>0.92</v>
      </c>
      <c r="G66" s="135">
        <v>0.82</v>
      </c>
      <c r="H66" s="133">
        <v>2009</v>
      </c>
      <c r="I66" s="152" t="s">
        <v>5744</v>
      </c>
    </row>
    <row r="67" spans="1:9" ht="18.75" thickBot="1" x14ac:dyDescent="0.3">
      <c r="A67" s="133" t="str">
        <f t="shared" si="1"/>
        <v>135082M</v>
      </c>
      <c r="B67" s="133" t="s">
        <v>5745</v>
      </c>
      <c r="C67" s="133" t="s">
        <v>5746</v>
      </c>
      <c r="D67" s="133" t="s">
        <v>26</v>
      </c>
      <c r="E67" s="134"/>
      <c r="F67" s="134">
        <v>1.32</v>
      </c>
      <c r="G67" s="135">
        <v>1.18</v>
      </c>
      <c r="H67" s="133">
        <v>2018</v>
      </c>
      <c r="I67" s="152" t="s">
        <v>5657</v>
      </c>
    </row>
    <row r="68" spans="1:9" ht="18.75" thickBot="1" x14ac:dyDescent="0.3">
      <c r="A68" s="133" t="str">
        <f t="shared" si="1"/>
        <v>126980W</v>
      </c>
      <c r="B68" s="133" t="s">
        <v>5747</v>
      </c>
      <c r="C68" s="133" t="s">
        <v>5748</v>
      </c>
      <c r="D68" s="133" t="s">
        <v>24</v>
      </c>
      <c r="E68" s="134"/>
      <c r="F68" s="134" t="s">
        <v>5552</v>
      </c>
      <c r="G68" s="135">
        <v>2.87</v>
      </c>
      <c r="H68" s="133">
        <v>2011</v>
      </c>
      <c r="I68" s="152" t="s">
        <v>5553</v>
      </c>
    </row>
    <row r="69" spans="1:9" ht="18.75" thickBot="1" x14ac:dyDescent="0.3">
      <c r="A69" s="133" t="str">
        <f t="shared" si="1"/>
        <v>149275F</v>
      </c>
      <c r="B69" s="133" t="s">
        <v>5749</v>
      </c>
      <c r="C69" s="133" t="s">
        <v>5750</v>
      </c>
      <c r="D69" s="133" t="s">
        <v>5503</v>
      </c>
      <c r="E69" s="134"/>
      <c r="F69" s="134">
        <v>1.1100000000000001</v>
      </c>
      <c r="G69" s="135">
        <v>0.99</v>
      </c>
      <c r="H69" s="133">
        <v>2020</v>
      </c>
      <c r="I69" s="152" t="s">
        <v>5635</v>
      </c>
    </row>
    <row r="70" spans="1:9" ht="18.75" thickBot="1" x14ac:dyDescent="0.3">
      <c r="A70" s="133" t="str">
        <f t="shared" si="1"/>
        <v>012583Z</v>
      </c>
      <c r="B70" s="133" t="s">
        <v>5751</v>
      </c>
      <c r="C70" s="133" t="s">
        <v>5752</v>
      </c>
      <c r="D70" s="133" t="s">
        <v>5503</v>
      </c>
      <c r="E70" s="134"/>
      <c r="F70" s="134">
        <v>1.31</v>
      </c>
      <c r="G70" s="135">
        <v>1.1599999999999999</v>
      </c>
      <c r="H70" s="133">
        <v>2019</v>
      </c>
      <c r="I70" s="152" t="s">
        <v>5563</v>
      </c>
    </row>
    <row r="71" spans="1:9" ht="18.75" thickBot="1" x14ac:dyDescent="0.3">
      <c r="A71" s="133" t="str">
        <f t="shared" si="1"/>
        <v>012585B</v>
      </c>
      <c r="B71" s="133" t="s">
        <v>5755</v>
      </c>
      <c r="C71" s="133" t="s">
        <v>5756</v>
      </c>
      <c r="D71" s="133" t="s">
        <v>5503</v>
      </c>
      <c r="E71" s="134"/>
      <c r="F71" s="134">
        <v>1.44</v>
      </c>
      <c r="G71" s="135">
        <v>1.28</v>
      </c>
      <c r="H71" s="133">
        <v>2024</v>
      </c>
      <c r="I71" s="152" t="s">
        <v>5573</v>
      </c>
    </row>
    <row r="72" spans="1:9" ht="18.75" thickBot="1" x14ac:dyDescent="0.3">
      <c r="A72" s="133" t="str">
        <f t="shared" si="1"/>
        <v>152269K</v>
      </c>
      <c r="B72" s="133" t="s">
        <v>5757</v>
      </c>
      <c r="C72" s="133" t="s">
        <v>5758</v>
      </c>
      <c r="D72" s="133" t="s">
        <v>5504</v>
      </c>
      <c r="E72" s="134"/>
      <c r="F72" s="134">
        <v>0.81</v>
      </c>
      <c r="G72" s="135">
        <v>0.72</v>
      </c>
      <c r="H72" s="133">
        <v>2019</v>
      </c>
      <c r="I72" s="152" t="s">
        <v>5630</v>
      </c>
    </row>
    <row r="73" spans="1:9" ht="18.75" thickBot="1" x14ac:dyDescent="0.3">
      <c r="A73" s="133" t="str">
        <f t="shared" si="1"/>
        <v>140314S</v>
      </c>
      <c r="B73" s="133" t="s">
        <v>5759</v>
      </c>
      <c r="C73" s="133" t="s">
        <v>5760</v>
      </c>
      <c r="D73" s="133" t="s">
        <v>5503</v>
      </c>
      <c r="E73" s="134"/>
      <c r="F73" s="134">
        <v>1.31</v>
      </c>
      <c r="G73" s="135">
        <v>1.17</v>
      </c>
      <c r="H73" s="133">
        <v>2024</v>
      </c>
      <c r="I73" s="152" t="s">
        <v>5657</v>
      </c>
    </row>
    <row r="74" spans="1:9" ht="18.75" thickBot="1" x14ac:dyDescent="0.3">
      <c r="A74" s="133" t="str">
        <f t="shared" si="1"/>
        <v>012594K</v>
      </c>
      <c r="B74" s="133" t="s">
        <v>5761</v>
      </c>
      <c r="C74" s="133" t="s">
        <v>5762</v>
      </c>
      <c r="D74" s="133" t="s">
        <v>5597</v>
      </c>
      <c r="E74" s="134"/>
      <c r="F74" s="134">
        <v>0.83</v>
      </c>
      <c r="G74" s="135">
        <v>0.74</v>
      </c>
      <c r="H74" s="133">
        <v>2024</v>
      </c>
      <c r="I74" s="152" t="s">
        <v>5573</v>
      </c>
    </row>
    <row r="75" spans="1:9" ht="18.75" thickBot="1" x14ac:dyDescent="0.3">
      <c r="A75" s="133" t="str">
        <f t="shared" si="1"/>
        <v>105944U</v>
      </c>
      <c r="B75" s="133" t="s">
        <v>5763</v>
      </c>
      <c r="C75" s="133" t="s">
        <v>5764</v>
      </c>
      <c r="D75" s="133" t="s">
        <v>24</v>
      </c>
      <c r="E75" s="134"/>
      <c r="F75" s="134" t="s">
        <v>5552</v>
      </c>
      <c r="G75" s="135">
        <v>2.2599999999999998</v>
      </c>
      <c r="H75" s="133">
        <v>2018</v>
      </c>
      <c r="I75" s="152" t="s">
        <v>5635</v>
      </c>
    </row>
    <row r="76" spans="1:9" ht="18.75" thickBot="1" x14ac:dyDescent="0.3">
      <c r="A76" s="133" t="str">
        <f t="shared" si="1"/>
        <v>142512G</v>
      </c>
      <c r="B76" s="133" t="s">
        <v>7098</v>
      </c>
      <c r="C76" s="133" t="s">
        <v>7099</v>
      </c>
      <c r="D76" s="133" t="s">
        <v>24</v>
      </c>
      <c r="E76" s="134"/>
      <c r="F76" s="134" t="s">
        <v>5552</v>
      </c>
      <c r="G76" s="135">
        <v>2.64</v>
      </c>
      <c r="H76" s="133">
        <v>2019</v>
      </c>
      <c r="I76" s="152" t="s">
        <v>5553</v>
      </c>
    </row>
    <row r="77" spans="1:9" ht="18.75" thickBot="1" x14ac:dyDescent="0.3">
      <c r="A77" s="133" t="str">
        <f t="shared" si="1"/>
        <v>111024E</v>
      </c>
      <c r="B77" s="133" t="s">
        <v>7100</v>
      </c>
      <c r="C77" s="133" t="s">
        <v>7101</v>
      </c>
      <c r="D77" s="133" t="s">
        <v>26</v>
      </c>
      <c r="E77" s="134"/>
      <c r="F77" s="134">
        <v>1.79</v>
      </c>
      <c r="G77" s="135">
        <v>1.59</v>
      </c>
      <c r="H77" s="133">
        <v>2009</v>
      </c>
      <c r="I77" s="152" t="s">
        <v>5615</v>
      </c>
    </row>
    <row r="78" spans="1:9" ht="18.75" thickBot="1" x14ac:dyDescent="0.3">
      <c r="A78" s="133" t="str">
        <f t="shared" si="1"/>
        <v>156100Z</v>
      </c>
      <c r="B78" s="133" t="s">
        <v>5766</v>
      </c>
      <c r="C78" s="133" t="s">
        <v>5767</v>
      </c>
      <c r="D78" s="133" t="s">
        <v>5503</v>
      </c>
      <c r="E78" s="134"/>
      <c r="F78" s="134">
        <v>1.1299999999999999</v>
      </c>
      <c r="G78" s="135">
        <v>1.01</v>
      </c>
      <c r="H78" s="133">
        <v>2024</v>
      </c>
      <c r="I78" s="152" t="s">
        <v>5768</v>
      </c>
    </row>
    <row r="79" spans="1:9" ht="18.75" thickBot="1" x14ac:dyDescent="0.3">
      <c r="A79" s="133" t="str">
        <f t="shared" si="1"/>
        <v>115140M</v>
      </c>
      <c r="B79" s="133" t="s">
        <v>7102</v>
      </c>
      <c r="C79" s="133" t="s">
        <v>7103</v>
      </c>
      <c r="D79" s="133" t="s">
        <v>5503</v>
      </c>
      <c r="E79" s="134"/>
      <c r="F79" s="134">
        <v>0.99</v>
      </c>
      <c r="G79" s="135">
        <v>0.88</v>
      </c>
      <c r="H79" s="133">
        <v>2015</v>
      </c>
      <c r="I79" s="152" t="s">
        <v>5801</v>
      </c>
    </row>
    <row r="80" spans="1:9" ht="18.75" thickBot="1" x14ac:dyDescent="0.3">
      <c r="A80" s="133" t="str">
        <f t="shared" si="1"/>
        <v>155821W</v>
      </c>
      <c r="B80" s="133" t="s">
        <v>5769</v>
      </c>
      <c r="C80" s="133" t="s">
        <v>5770</v>
      </c>
      <c r="D80" s="133" t="s">
        <v>5504</v>
      </c>
      <c r="E80" s="134"/>
      <c r="F80" s="134">
        <v>0.87</v>
      </c>
      <c r="G80" s="135">
        <v>0.78</v>
      </c>
      <c r="H80" s="133">
        <v>2023</v>
      </c>
      <c r="I80" s="152" t="s">
        <v>5587</v>
      </c>
    </row>
    <row r="81" spans="1:9" ht="18.75" thickBot="1" x14ac:dyDescent="0.3">
      <c r="A81" s="133" t="str">
        <f t="shared" si="1"/>
        <v>136750Q</v>
      </c>
      <c r="B81" s="133" t="s">
        <v>7104</v>
      </c>
      <c r="C81" s="133" t="s">
        <v>7105</v>
      </c>
      <c r="D81" s="133" t="s">
        <v>5503</v>
      </c>
      <c r="E81" s="134"/>
      <c r="F81" s="134">
        <v>1.25</v>
      </c>
      <c r="G81" s="135">
        <v>1.1100000000000001</v>
      </c>
      <c r="H81" s="133">
        <v>2019</v>
      </c>
      <c r="I81" s="152" t="s">
        <v>5630</v>
      </c>
    </row>
    <row r="82" spans="1:9" ht="18.75" thickBot="1" x14ac:dyDescent="0.3">
      <c r="A82" s="133" t="str">
        <f t="shared" si="1"/>
        <v>133831J</v>
      </c>
      <c r="B82" s="133" t="s">
        <v>7106</v>
      </c>
      <c r="C82" s="133" t="s">
        <v>7107</v>
      </c>
      <c r="D82" s="133" t="s">
        <v>5504</v>
      </c>
      <c r="E82" s="134"/>
      <c r="F82" s="134">
        <v>0.89</v>
      </c>
      <c r="G82" s="135">
        <v>0.79</v>
      </c>
      <c r="H82" s="133">
        <v>2023</v>
      </c>
      <c r="I82" s="152" t="s">
        <v>5768</v>
      </c>
    </row>
    <row r="83" spans="1:9" ht="18.75" thickBot="1" x14ac:dyDescent="0.3">
      <c r="A83" s="133" t="str">
        <f t="shared" si="1"/>
        <v>160443V</v>
      </c>
      <c r="B83" s="133" t="s">
        <v>7108</v>
      </c>
      <c r="C83" s="133" t="s">
        <v>7109</v>
      </c>
      <c r="D83" s="133" t="s">
        <v>5504</v>
      </c>
      <c r="E83" s="134"/>
      <c r="F83" s="134">
        <v>0.67</v>
      </c>
      <c r="G83" s="135">
        <v>0.59</v>
      </c>
      <c r="H83" s="133">
        <v>2019</v>
      </c>
      <c r="I83" s="152" t="s">
        <v>5601</v>
      </c>
    </row>
    <row r="84" spans="1:9" ht="18.75" thickBot="1" x14ac:dyDescent="0.3">
      <c r="A84" s="133" t="str">
        <f t="shared" si="1"/>
        <v>112124M</v>
      </c>
      <c r="B84" s="133" t="s">
        <v>5771</v>
      </c>
      <c r="C84" s="133" t="s">
        <v>5772</v>
      </c>
      <c r="D84" s="133" t="s">
        <v>5503</v>
      </c>
      <c r="E84" s="134"/>
      <c r="F84" s="134">
        <v>1.1100000000000001</v>
      </c>
      <c r="G84" s="135">
        <v>0.99</v>
      </c>
      <c r="H84" s="133">
        <v>2011</v>
      </c>
      <c r="I84" s="152" t="s">
        <v>5639</v>
      </c>
    </row>
    <row r="85" spans="1:9" ht="18.75" thickBot="1" x14ac:dyDescent="0.3">
      <c r="A85" s="133" t="str">
        <f t="shared" si="1"/>
        <v>161827Z</v>
      </c>
      <c r="B85" s="133" t="s">
        <v>7110</v>
      </c>
      <c r="C85" s="133" t="s">
        <v>7111</v>
      </c>
      <c r="D85" s="133" t="s">
        <v>26</v>
      </c>
      <c r="E85" s="134"/>
      <c r="F85" s="134">
        <v>2.16</v>
      </c>
      <c r="G85" s="135">
        <v>1.92</v>
      </c>
      <c r="H85" s="133">
        <v>2024</v>
      </c>
      <c r="I85" s="152" t="s">
        <v>5671</v>
      </c>
    </row>
    <row r="86" spans="1:9" ht="18.75" thickBot="1" x14ac:dyDescent="0.3">
      <c r="A86" s="133" t="str">
        <f t="shared" si="1"/>
        <v>149332S</v>
      </c>
      <c r="B86" s="133" t="s">
        <v>7112</v>
      </c>
      <c r="C86" s="133" t="s">
        <v>7113</v>
      </c>
      <c r="D86" s="133" t="s">
        <v>5503</v>
      </c>
      <c r="E86" s="134"/>
      <c r="F86" s="134">
        <v>1.39</v>
      </c>
      <c r="G86" s="135">
        <v>1.23</v>
      </c>
      <c r="H86" s="133">
        <v>2024</v>
      </c>
      <c r="I86" s="152" t="s">
        <v>5598</v>
      </c>
    </row>
    <row r="87" spans="1:9" ht="18.75" thickBot="1" x14ac:dyDescent="0.3">
      <c r="A87" s="133" t="str">
        <f t="shared" si="1"/>
        <v>149537Q</v>
      </c>
      <c r="B87" s="133" t="s">
        <v>7114</v>
      </c>
      <c r="C87" s="133" t="s">
        <v>7115</v>
      </c>
      <c r="D87" s="133" t="s">
        <v>5504</v>
      </c>
      <c r="E87" s="134"/>
      <c r="F87" s="134">
        <v>0.54</v>
      </c>
      <c r="G87" s="135">
        <v>0.48</v>
      </c>
      <c r="H87" s="133">
        <v>2024</v>
      </c>
      <c r="I87" s="152" t="s">
        <v>5646</v>
      </c>
    </row>
    <row r="88" spans="1:9" ht="18.75" thickBot="1" x14ac:dyDescent="0.3">
      <c r="A88" s="133" t="str">
        <f t="shared" si="1"/>
        <v>132270I</v>
      </c>
      <c r="B88" s="133" t="s">
        <v>5777</v>
      </c>
      <c r="C88" s="133" t="s">
        <v>5778</v>
      </c>
      <c r="D88" s="133" t="s">
        <v>5504</v>
      </c>
      <c r="E88" s="134"/>
      <c r="F88" s="134">
        <v>0.71</v>
      </c>
      <c r="G88" s="135">
        <v>0.63</v>
      </c>
      <c r="H88" s="133">
        <v>2010</v>
      </c>
      <c r="I88" s="152" t="s">
        <v>5701</v>
      </c>
    </row>
    <row r="89" spans="1:9" ht="18.75" thickBot="1" x14ac:dyDescent="0.3">
      <c r="A89" s="133" t="str">
        <f t="shared" si="1"/>
        <v>138257P</v>
      </c>
      <c r="B89" s="133" t="s">
        <v>7116</v>
      </c>
      <c r="C89" s="133" t="s">
        <v>7117</v>
      </c>
      <c r="D89" s="133" t="s">
        <v>5503</v>
      </c>
      <c r="E89" s="134"/>
      <c r="F89" s="134">
        <v>1.1000000000000001</v>
      </c>
      <c r="G89" s="135">
        <v>0.97</v>
      </c>
      <c r="H89" s="133">
        <v>2016</v>
      </c>
      <c r="I89" s="152" t="s">
        <v>5657</v>
      </c>
    </row>
    <row r="90" spans="1:9" ht="18.75" thickBot="1" x14ac:dyDescent="0.3">
      <c r="A90" s="133" t="str">
        <f t="shared" si="1"/>
        <v>012652Q</v>
      </c>
      <c r="B90" s="133" t="s">
        <v>5779</v>
      </c>
      <c r="C90" s="133" t="s">
        <v>5780</v>
      </c>
      <c r="D90" s="133" t="s">
        <v>5504</v>
      </c>
      <c r="E90" s="134"/>
      <c r="F90" s="134">
        <v>0.89</v>
      </c>
      <c r="G90" s="135">
        <v>0.79</v>
      </c>
      <c r="H90" s="133">
        <v>2010</v>
      </c>
      <c r="I90" s="152" t="s">
        <v>5646</v>
      </c>
    </row>
    <row r="91" spans="1:9" ht="18.75" thickBot="1" x14ac:dyDescent="0.3">
      <c r="A91" s="133" t="str">
        <f t="shared" si="1"/>
        <v>137099B</v>
      </c>
      <c r="B91" s="133" t="s">
        <v>7118</v>
      </c>
      <c r="C91" s="133" t="s">
        <v>7119</v>
      </c>
      <c r="D91" s="133" t="s">
        <v>26</v>
      </c>
      <c r="E91" s="134"/>
      <c r="F91" s="134">
        <v>1.97</v>
      </c>
      <c r="G91" s="135">
        <v>1.75</v>
      </c>
      <c r="H91" s="133">
        <v>2019</v>
      </c>
      <c r="I91" s="152" t="s">
        <v>5787</v>
      </c>
    </row>
    <row r="92" spans="1:9" ht="18.75" thickBot="1" x14ac:dyDescent="0.3">
      <c r="A92" s="133" t="str">
        <f t="shared" si="1"/>
        <v>132716M</v>
      </c>
      <c r="B92" s="133" t="s">
        <v>5783</v>
      </c>
      <c r="C92" s="133" t="s">
        <v>5784</v>
      </c>
      <c r="D92" s="133" t="s">
        <v>5597</v>
      </c>
      <c r="E92" s="134"/>
      <c r="F92" s="134">
        <v>0.85</v>
      </c>
      <c r="G92" s="135">
        <v>0.76</v>
      </c>
      <c r="H92" s="133">
        <v>2024</v>
      </c>
      <c r="I92" s="152" t="s">
        <v>5639</v>
      </c>
    </row>
    <row r="93" spans="1:9" ht="18.75" thickBot="1" x14ac:dyDescent="0.3">
      <c r="A93" s="133" t="str">
        <f t="shared" si="1"/>
        <v>012657V</v>
      </c>
      <c r="B93" s="133" t="s">
        <v>5785</v>
      </c>
      <c r="C93" s="133" t="s">
        <v>5786</v>
      </c>
      <c r="D93" s="133" t="s">
        <v>24</v>
      </c>
      <c r="E93" s="134"/>
      <c r="F93" s="134" t="s">
        <v>5552</v>
      </c>
      <c r="G93" s="135">
        <v>2.35</v>
      </c>
      <c r="H93" s="133">
        <v>2014</v>
      </c>
      <c r="I93" s="152" t="s">
        <v>5787</v>
      </c>
    </row>
    <row r="94" spans="1:9" ht="18.75" thickBot="1" x14ac:dyDescent="0.3">
      <c r="A94" s="133" t="str">
        <f t="shared" si="1"/>
        <v>180137B</v>
      </c>
      <c r="B94" s="133" t="s">
        <v>8514</v>
      </c>
      <c r="C94" s="133" t="s">
        <v>8515</v>
      </c>
      <c r="D94" s="133" t="s">
        <v>5704</v>
      </c>
      <c r="E94" s="134"/>
      <c r="F94" s="134">
        <v>0.89</v>
      </c>
      <c r="G94" s="135">
        <v>0.79</v>
      </c>
      <c r="H94" s="133">
        <v>2024</v>
      </c>
      <c r="I94" s="152" t="s">
        <v>5630</v>
      </c>
    </row>
    <row r="95" spans="1:9" ht="18.75" thickBot="1" x14ac:dyDescent="0.3">
      <c r="A95" s="133" t="str">
        <f t="shared" si="1"/>
        <v>133354A</v>
      </c>
      <c r="B95" s="133" t="s">
        <v>7120</v>
      </c>
      <c r="C95" s="133" t="s">
        <v>7121</v>
      </c>
      <c r="D95" s="133" t="s">
        <v>5503</v>
      </c>
      <c r="E95" s="134"/>
      <c r="F95" s="134">
        <v>1.33</v>
      </c>
      <c r="G95" s="135">
        <v>1.18</v>
      </c>
      <c r="H95" s="133">
        <v>2015</v>
      </c>
      <c r="I95" s="152" t="s">
        <v>5705</v>
      </c>
    </row>
    <row r="96" spans="1:9" ht="18.75" thickBot="1" x14ac:dyDescent="0.3">
      <c r="A96" s="133" t="str">
        <f t="shared" si="1"/>
        <v>146910K</v>
      </c>
      <c r="B96" s="133" t="s">
        <v>7122</v>
      </c>
      <c r="C96" s="133" t="s">
        <v>7123</v>
      </c>
      <c r="D96" s="133" t="s">
        <v>5504</v>
      </c>
      <c r="E96" s="134"/>
      <c r="F96" s="134">
        <v>0.78</v>
      </c>
      <c r="G96" s="135">
        <v>0.7</v>
      </c>
      <c r="H96" s="133">
        <v>2015</v>
      </c>
      <c r="I96" s="152" t="s">
        <v>6229</v>
      </c>
    </row>
    <row r="97" spans="1:9" ht="18.75" thickBot="1" x14ac:dyDescent="0.3">
      <c r="A97" s="133" t="str">
        <f t="shared" si="1"/>
        <v>012665D</v>
      </c>
      <c r="B97" s="133" t="s">
        <v>5788</v>
      </c>
      <c r="C97" s="133" t="s">
        <v>5789</v>
      </c>
      <c r="D97" s="133" t="s">
        <v>24</v>
      </c>
      <c r="E97" s="134"/>
      <c r="F97" s="134" t="s">
        <v>5552</v>
      </c>
      <c r="G97" s="135">
        <v>1.84</v>
      </c>
      <c r="H97" s="133">
        <v>2018</v>
      </c>
      <c r="I97" s="152" t="s">
        <v>8513</v>
      </c>
    </row>
    <row r="98" spans="1:9" ht="18.75" thickBot="1" x14ac:dyDescent="0.3">
      <c r="A98" s="133" t="str">
        <f t="shared" si="1"/>
        <v>165442D</v>
      </c>
      <c r="B98" s="133" t="s">
        <v>5790</v>
      </c>
      <c r="C98" s="133" t="s">
        <v>5791</v>
      </c>
      <c r="D98" s="133" t="s">
        <v>5504</v>
      </c>
      <c r="E98" s="134"/>
      <c r="F98" s="134">
        <v>0.91</v>
      </c>
      <c r="G98" s="135">
        <v>0.81</v>
      </c>
      <c r="H98" s="133">
        <v>2019</v>
      </c>
      <c r="I98" s="152" t="s">
        <v>5792</v>
      </c>
    </row>
    <row r="99" spans="1:9" ht="18.75" thickBot="1" x14ac:dyDescent="0.3">
      <c r="A99" s="133" t="str">
        <f t="shared" si="1"/>
        <v>103467N</v>
      </c>
      <c r="B99" s="133" t="s">
        <v>5793</v>
      </c>
      <c r="C99" s="133" t="s">
        <v>5794</v>
      </c>
      <c r="D99" s="133" t="s">
        <v>26</v>
      </c>
      <c r="E99" s="134"/>
      <c r="F99" s="134">
        <v>1.69</v>
      </c>
      <c r="G99" s="135">
        <v>1.5</v>
      </c>
      <c r="H99" s="133">
        <v>2019</v>
      </c>
      <c r="I99" s="152" t="s">
        <v>5598</v>
      </c>
    </row>
    <row r="100" spans="1:9" ht="18.75" thickBot="1" x14ac:dyDescent="0.3">
      <c r="A100" s="133" t="str">
        <f t="shared" si="1"/>
        <v>157616X</v>
      </c>
      <c r="B100" s="133" t="s">
        <v>5795</v>
      </c>
      <c r="C100" s="133" t="s">
        <v>5796</v>
      </c>
      <c r="D100" s="133" t="s">
        <v>5597</v>
      </c>
      <c r="E100" s="134"/>
      <c r="F100" s="134">
        <v>1.27</v>
      </c>
      <c r="G100" s="135">
        <v>1.1299999999999999</v>
      </c>
      <c r="H100" s="133">
        <v>2024</v>
      </c>
      <c r="I100" s="152" t="s">
        <v>5701</v>
      </c>
    </row>
    <row r="101" spans="1:9" ht="18.75" thickBot="1" x14ac:dyDescent="0.3">
      <c r="A101" s="133" t="str">
        <f t="shared" si="1"/>
        <v>012670I</v>
      </c>
      <c r="B101" s="133" t="s">
        <v>7124</v>
      </c>
      <c r="C101" s="133" t="s">
        <v>7125</v>
      </c>
      <c r="D101" s="133" t="s">
        <v>5503</v>
      </c>
      <c r="E101" s="134"/>
      <c r="F101" s="134">
        <v>1.1399999999999999</v>
      </c>
      <c r="G101" s="135">
        <v>1.01</v>
      </c>
      <c r="H101" s="133">
        <v>2012</v>
      </c>
      <c r="I101" s="152" t="s">
        <v>5594</v>
      </c>
    </row>
    <row r="102" spans="1:9" ht="18.75" thickBot="1" x14ac:dyDescent="0.3">
      <c r="A102" s="133" t="str">
        <f t="shared" si="1"/>
        <v>012671J</v>
      </c>
      <c r="B102" s="133" t="s">
        <v>5802</v>
      </c>
      <c r="C102" s="133" t="s">
        <v>5803</v>
      </c>
      <c r="D102" s="133" t="s">
        <v>5503</v>
      </c>
      <c r="E102" s="134"/>
      <c r="F102" s="134">
        <v>1.53</v>
      </c>
      <c r="G102" s="135">
        <v>1.37</v>
      </c>
      <c r="H102" s="133">
        <v>2012</v>
      </c>
      <c r="I102" s="152" t="s">
        <v>5792</v>
      </c>
    </row>
    <row r="103" spans="1:9" ht="18.75" thickBot="1" x14ac:dyDescent="0.3">
      <c r="A103" s="133" t="str">
        <f t="shared" si="1"/>
        <v>120633T</v>
      </c>
      <c r="B103" s="133" t="s">
        <v>7126</v>
      </c>
      <c r="C103" s="133" t="s">
        <v>7127</v>
      </c>
      <c r="D103" s="133" t="s">
        <v>5503</v>
      </c>
      <c r="E103" s="134"/>
      <c r="F103" s="134">
        <v>1.01</v>
      </c>
      <c r="G103" s="135">
        <v>0.9</v>
      </c>
      <c r="H103" s="133">
        <v>2015</v>
      </c>
      <c r="I103" s="152" t="s">
        <v>5657</v>
      </c>
    </row>
    <row r="104" spans="1:9" ht="18.75" thickBot="1" x14ac:dyDescent="0.3">
      <c r="A104" s="133" t="str">
        <f t="shared" si="1"/>
        <v>156244F</v>
      </c>
      <c r="B104" s="133" t="s">
        <v>5804</v>
      </c>
      <c r="C104" s="133" t="s">
        <v>5805</v>
      </c>
      <c r="D104" s="133" t="s">
        <v>5504</v>
      </c>
      <c r="E104" s="134"/>
      <c r="F104" s="134">
        <v>0.8</v>
      </c>
      <c r="G104" s="135">
        <v>0.71</v>
      </c>
      <c r="H104" s="133">
        <v>2024</v>
      </c>
      <c r="I104" s="152" t="s">
        <v>5582</v>
      </c>
    </row>
    <row r="105" spans="1:9" ht="18.75" thickBot="1" x14ac:dyDescent="0.3">
      <c r="A105" s="133" t="str">
        <f t="shared" si="1"/>
        <v>145284W</v>
      </c>
      <c r="B105" s="133" t="s">
        <v>5806</v>
      </c>
      <c r="C105" s="133" t="s">
        <v>5807</v>
      </c>
      <c r="D105" s="133" t="s">
        <v>5503</v>
      </c>
      <c r="E105" s="134"/>
      <c r="F105" s="134">
        <v>1.1499999999999999</v>
      </c>
      <c r="G105" s="135">
        <v>1.02</v>
      </c>
      <c r="H105" s="133">
        <v>2024</v>
      </c>
      <c r="I105" s="152" t="s">
        <v>5625</v>
      </c>
    </row>
    <row r="106" spans="1:9" ht="18.75" thickBot="1" x14ac:dyDescent="0.3">
      <c r="A106" s="133" t="str">
        <f t="shared" si="1"/>
        <v>103163V</v>
      </c>
      <c r="B106" s="133" t="s">
        <v>5808</v>
      </c>
      <c r="C106" s="133" t="s">
        <v>5809</v>
      </c>
      <c r="D106" s="133" t="s">
        <v>5503</v>
      </c>
      <c r="E106" s="134"/>
      <c r="F106" s="134">
        <v>1.51</v>
      </c>
      <c r="G106" s="135">
        <v>1.34</v>
      </c>
      <c r="H106" s="133">
        <v>2016</v>
      </c>
      <c r="I106" s="152" t="s">
        <v>5566</v>
      </c>
    </row>
    <row r="107" spans="1:9" ht="18.75" thickBot="1" x14ac:dyDescent="0.3">
      <c r="A107" s="133" t="str">
        <f t="shared" si="1"/>
        <v>162978A</v>
      </c>
      <c r="B107" s="133" t="s">
        <v>7128</v>
      </c>
      <c r="C107" s="133" t="s">
        <v>7129</v>
      </c>
      <c r="D107" s="133" t="s">
        <v>5504</v>
      </c>
      <c r="E107" s="134"/>
      <c r="F107" s="134">
        <v>0.75</v>
      </c>
      <c r="G107" s="135">
        <v>0.66</v>
      </c>
      <c r="H107" s="133">
        <v>2024</v>
      </c>
      <c r="I107" s="152" t="s">
        <v>5587</v>
      </c>
    </row>
    <row r="108" spans="1:9" ht="18.75" thickBot="1" x14ac:dyDescent="0.3">
      <c r="A108" s="133" t="str">
        <f t="shared" si="1"/>
        <v>011504M</v>
      </c>
      <c r="B108" s="133" t="s">
        <v>5816</v>
      </c>
      <c r="C108" s="133" t="s">
        <v>5817</v>
      </c>
      <c r="D108" s="133" t="s">
        <v>5503</v>
      </c>
      <c r="E108" s="134"/>
      <c r="F108" s="134">
        <v>1.06</v>
      </c>
      <c r="G108" s="135">
        <v>0.94</v>
      </c>
      <c r="H108" s="133">
        <v>2014</v>
      </c>
      <c r="I108" s="152" t="s">
        <v>5801</v>
      </c>
    </row>
    <row r="109" spans="1:9" ht="18.75" thickBot="1" x14ac:dyDescent="0.3">
      <c r="A109" s="133" t="str">
        <f t="shared" si="1"/>
        <v>182330K</v>
      </c>
      <c r="B109" s="133" t="s">
        <v>8520</v>
      </c>
      <c r="C109" s="133" t="s">
        <v>8521</v>
      </c>
      <c r="D109" s="133" t="s">
        <v>5704</v>
      </c>
      <c r="E109" s="134"/>
      <c r="F109" s="134">
        <v>0.52</v>
      </c>
      <c r="G109" s="135">
        <v>0.47</v>
      </c>
      <c r="H109" s="133">
        <v>2024</v>
      </c>
      <c r="I109" s="152" t="s">
        <v>5726</v>
      </c>
    </row>
    <row r="110" spans="1:9" ht="18.75" thickBot="1" x14ac:dyDescent="0.3">
      <c r="A110" s="133" t="str">
        <f t="shared" si="1"/>
        <v>138254M</v>
      </c>
      <c r="B110" s="133" t="s">
        <v>5820</v>
      </c>
      <c r="C110" s="133" t="s">
        <v>5821</v>
      </c>
      <c r="D110" s="133" t="s">
        <v>5503</v>
      </c>
      <c r="E110" s="134"/>
      <c r="F110" s="134">
        <v>1.71</v>
      </c>
      <c r="G110" s="135">
        <v>1.52</v>
      </c>
      <c r="H110" s="133">
        <v>2024</v>
      </c>
      <c r="I110" s="152" t="s">
        <v>5587</v>
      </c>
    </row>
    <row r="111" spans="1:9" ht="18.75" thickBot="1" x14ac:dyDescent="0.3">
      <c r="A111" s="133" t="str">
        <f t="shared" si="1"/>
        <v>154343P</v>
      </c>
      <c r="B111" s="133" t="s">
        <v>5822</v>
      </c>
      <c r="C111" s="133" t="s">
        <v>5823</v>
      </c>
      <c r="D111" s="133" t="s">
        <v>5503</v>
      </c>
      <c r="E111" s="134"/>
      <c r="F111" s="134">
        <v>1.19</v>
      </c>
      <c r="G111" s="135">
        <v>1.06</v>
      </c>
      <c r="H111" s="133">
        <v>2018</v>
      </c>
      <c r="I111" s="152" t="s">
        <v>5556</v>
      </c>
    </row>
    <row r="112" spans="1:9" ht="18.75" thickBot="1" x14ac:dyDescent="0.3">
      <c r="A112" s="133" t="str">
        <f t="shared" si="1"/>
        <v>012726M</v>
      </c>
      <c r="B112" s="133" t="s">
        <v>5826</v>
      </c>
      <c r="C112" s="133" t="s">
        <v>5827</v>
      </c>
      <c r="D112" s="133" t="s">
        <v>5504</v>
      </c>
      <c r="E112" s="134"/>
      <c r="F112" s="134">
        <v>0.69</v>
      </c>
      <c r="G112" s="135">
        <v>0.61</v>
      </c>
      <c r="H112" s="133">
        <v>2024</v>
      </c>
      <c r="I112" s="152" t="s">
        <v>5792</v>
      </c>
    </row>
    <row r="113" spans="1:9" ht="18.75" thickBot="1" x14ac:dyDescent="0.3">
      <c r="A113" s="133" t="str">
        <f t="shared" si="1"/>
        <v>012727N</v>
      </c>
      <c r="B113" s="133" t="s">
        <v>5828</v>
      </c>
      <c r="C113" s="133" t="s">
        <v>5829</v>
      </c>
      <c r="D113" s="133" t="s">
        <v>5562</v>
      </c>
      <c r="E113" s="134"/>
      <c r="F113" s="134">
        <v>1.69</v>
      </c>
      <c r="G113" s="135">
        <v>1.5</v>
      </c>
      <c r="H113" s="133">
        <v>2024</v>
      </c>
      <c r="I113" s="152" t="s">
        <v>5553</v>
      </c>
    </row>
    <row r="114" spans="1:9" ht="18.75" thickBot="1" x14ac:dyDescent="0.3">
      <c r="A114" s="133" t="str">
        <f t="shared" si="1"/>
        <v>138109X</v>
      </c>
      <c r="B114" s="133" t="s">
        <v>7130</v>
      </c>
      <c r="C114" s="133" t="s">
        <v>7131</v>
      </c>
      <c r="D114" s="133" t="s">
        <v>5503</v>
      </c>
      <c r="E114" s="134"/>
      <c r="F114" s="134">
        <v>1.51</v>
      </c>
      <c r="G114" s="135">
        <v>1.34</v>
      </c>
      <c r="H114" s="133">
        <v>2019</v>
      </c>
      <c r="I114" s="152" t="s">
        <v>5582</v>
      </c>
    </row>
    <row r="115" spans="1:9" ht="18.75" thickBot="1" x14ac:dyDescent="0.3">
      <c r="A115" s="133" t="str">
        <f t="shared" si="1"/>
        <v>162915G</v>
      </c>
      <c r="B115" s="133" t="s">
        <v>5830</v>
      </c>
      <c r="C115" s="133" t="s">
        <v>5831</v>
      </c>
      <c r="D115" s="133" t="s">
        <v>5504</v>
      </c>
      <c r="E115" s="134"/>
      <c r="F115" s="134">
        <v>0.6</v>
      </c>
      <c r="G115" s="135">
        <v>0.54</v>
      </c>
      <c r="H115" s="133">
        <v>2019</v>
      </c>
      <c r="I115" s="152" t="s">
        <v>5582</v>
      </c>
    </row>
    <row r="116" spans="1:9" ht="18.75" thickBot="1" x14ac:dyDescent="0.3">
      <c r="A116" s="133" t="str">
        <f t="shared" si="1"/>
        <v>152435Q</v>
      </c>
      <c r="B116" s="133" t="s">
        <v>5832</v>
      </c>
      <c r="C116" s="133" t="s">
        <v>5833</v>
      </c>
      <c r="D116" s="133" t="s">
        <v>5504</v>
      </c>
      <c r="E116" s="134"/>
      <c r="F116" s="134">
        <v>0.51</v>
      </c>
      <c r="G116" s="135">
        <v>0.45</v>
      </c>
      <c r="H116" s="133">
        <v>2024</v>
      </c>
      <c r="I116" s="152" t="s">
        <v>5582</v>
      </c>
    </row>
    <row r="117" spans="1:9" ht="18.75" thickBot="1" x14ac:dyDescent="0.3">
      <c r="A117" s="133" t="str">
        <f t="shared" si="1"/>
        <v>126098Y</v>
      </c>
      <c r="B117" s="133" t="s">
        <v>5836</v>
      </c>
      <c r="C117" s="133" t="s">
        <v>5837</v>
      </c>
      <c r="D117" s="133" t="s">
        <v>5503</v>
      </c>
      <c r="E117" s="134"/>
      <c r="F117" s="134">
        <v>1.69</v>
      </c>
      <c r="G117" s="135">
        <v>1.5</v>
      </c>
      <c r="H117" s="133">
        <v>2019</v>
      </c>
      <c r="I117" s="152" t="s">
        <v>5582</v>
      </c>
    </row>
    <row r="118" spans="1:9" ht="18.75" thickBot="1" x14ac:dyDescent="0.3">
      <c r="A118" s="133" t="str">
        <f t="shared" si="1"/>
        <v>012734U</v>
      </c>
      <c r="B118" s="133" t="s">
        <v>7132</v>
      </c>
      <c r="C118" s="133" t="s">
        <v>7133</v>
      </c>
      <c r="D118" s="133" t="s">
        <v>26</v>
      </c>
      <c r="E118" s="134"/>
      <c r="F118" s="134">
        <v>2</v>
      </c>
      <c r="G118" s="135">
        <v>1.78</v>
      </c>
      <c r="H118" s="133">
        <v>2024</v>
      </c>
      <c r="I118" s="152" t="s">
        <v>5563</v>
      </c>
    </row>
    <row r="119" spans="1:9" ht="18.75" thickBot="1" x14ac:dyDescent="0.3">
      <c r="A119" s="133" t="str">
        <f t="shared" si="1"/>
        <v>012736W</v>
      </c>
      <c r="B119" s="133" t="s">
        <v>5840</v>
      </c>
      <c r="C119" s="133" t="s">
        <v>5841</v>
      </c>
      <c r="D119" s="133" t="s">
        <v>26</v>
      </c>
      <c r="E119" s="134"/>
      <c r="F119" s="134">
        <v>2.23</v>
      </c>
      <c r="G119" s="135">
        <v>1.98</v>
      </c>
      <c r="H119" s="133">
        <v>2024</v>
      </c>
      <c r="I119" s="152" t="s">
        <v>5787</v>
      </c>
    </row>
    <row r="120" spans="1:9" ht="18.75" thickBot="1" x14ac:dyDescent="0.3">
      <c r="A120" s="133" t="str">
        <f t="shared" si="1"/>
        <v>150128H</v>
      </c>
      <c r="B120" s="133" t="s">
        <v>5842</v>
      </c>
      <c r="C120" s="133" t="s">
        <v>5843</v>
      </c>
      <c r="D120" s="133" t="s">
        <v>5504</v>
      </c>
      <c r="E120" s="134"/>
      <c r="F120" s="134">
        <v>0.92</v>
      </c>
      <c r="G120" s="135">
        <v>0.81</v>
      </c>
      <c r="H120" s="133">
        <v>2017</v>
      </c>
      <c r="I120" s="152" t="s">
        <v>5594</v>
      </c>
    </row>
    <row r="121" spans="1:9" ht="18.75" thickBot="1" x14ac:dyDescent="0.3">
      <c r="A121" s="133" t="str">
        <f t="shared" si="1"/>
        <v>012743D</v>
      </c>
      <c r="B121" s="133" t="s">
        <v>7134</v>
      </c>
      <c r="C121" s="133" t="s">
        <v>7135</v>
      </c>
      <c r="D121" s="133" t="s">
        <v>24</v>
      </c>
      <c r="E121" s="134"/>
      <c r="F121" s="134" t="s">
        <v>5552</v>
      </c>
      <c r="G121" s="135">
        <v>3.03</v>
      </c>
      <c r="H121" s="133">
        <v>2024</v>
      </c>
      <c r="I121" s="152" t="s">
        <v>5635</v>
      </c>
    </row>
    <row r="122" spans="1:9" ht="18.75" thickBot="1" x14ac:dyDescent="0.3">
      <c r="A122" s="133" t="str">
        <f t="shared" si="1"/>
        <v>012745F</v>
      </c>
      <c r="B122" s="133" t="s">
        <v>5844</v>
      </c>
      <c r="C122" s="133" t="s">
        <v>5845</v>
      </c>
      <c r="D122" s="133" t="s">
        <v>5503</v>
      </c>
      <c r="E122" s="134"/>
      <c r="F122" s="134">
        <v>1.69</v>
      </c>
      <c r="G122" s="135">
        <v>1.51</v>
      </c>
      <c r="H122" s="133">
        <v>2024</v>
      </c>
      <c r="I122" s="152" t="s">
        <v>5582</v>
      </c>
    </row>
    <row r="123" spans="1:9" ht="18.75" thickBot="1" x14ac:dyDescent="0.3">
      <c r="A123" s="133" t="str">
        <f t="shared" si="1"/>
        <v>130928S</v>
      </c>
      <c r="B123" s="133" t="s">
        <v>5848</v>
      </c>
      <c r="C123" s="133" t="s">
        <v>5849</v>
      </c>
      <c r="D123" s="133" t="s">
        <v>5503</v>
      </c>
      <c r="E123" s="134"/>
      <c r="F123" s="134">
        <v>1.01</v>
      </c>
      <c r="G123" s="135">
        <v>0.9</v>
      </c>
      <c r="H123" s="133">
        <v>2011</v>
      </c>
      <c r="I123" s="152" t="s">
        <v>5850</v>
      </c>
    </row>
    <row r="124" spans="1:9" ht="18.75" thickBot="1" x14ac:dyDescent="0.3">
      <c r="A124" s="133" t="str">
        <f t="shared" si="1"/>
        <v>012754O</v>
      </c>
      <c r="B124" s="133" t="s">
        <v>5851</v>
      </c>
      <c r="C124" s="133" t="s">
        <v>5852</v>
      </c>
      <c r="D124" s="133" t="s">
        <v>26</v>
      </c>
      <c r="E124" s="134"/>
      <c r="F124" s="134">
        <v>1.73</v>
      </c>
      <c r="G124" s="135">
        <v>1.54</v>
      </c>
      <c r="H124" s="133">
        <v>2014</v>
      </c>
      <c r="I124" s="152" t="s">
        <v>5853</v>
      </c>
    </row>
    <row r="125" spans="1:9" ht="18.75" thickBot="1" x14ac:dyDescent="0.3">
      <c r="A125" s="133" t="str">
        <f t="shared" si="1"/>
        <v>012762W</v>
      </c>
      <c r="B125" s="133" t="s">
        <v>5854</v>
      </c>
      <c r="C125" s="133" t="s">
        <v>5855</v>
      </c>
      <c r="D125" s="133" t="s">
        <v>5504</v>
      </c>
      <c r="E125" s="134"/>
      <c r="F125" s="134">
        <v>0.61</v>
      </c>
      <c r="G125" s="135">
        <v>0.55000000000000004</v>
      </c>
      <c r="H125" s="133">
        <v>2011</v>
      </c>
      <c r="I125" s="152" t="s">
        <v>5646</v>
      </c>
    </row>
    <row r="126" spans="1:9" ht="18.75" thickBot="1" x14ac:dyDescent="0.3">
      <c r="A126" s="133" t="str">
        <f t="shared" si="1"/>
        <v>012768C</v>
      </c>
      <c r="B126" s="133" t="s">
        <v>5856</v>
      </c>
      <c r="C126" s="133" t="s">
        <v>5857</v>
      </c>
      <c r="D126" s="133" t="s">
        <v>26</v>
      </c>
      <c r="E126" s="134"/>
      <c r="F126" s="134">
        <v>1.26</v>
      </c>
      <c r="G126" s="135">
        <v>1.1200000000000001</v>
      </c>
      <c r="H126" s="133">
        <v>2020</v>
      </c>
      <c r="I126" s="152" t="s">
        <v>5598</v>
      </c>
    </row>
    <row r="127" spans="1:9" ht="18.75" thickBot="1" x14ac:dyDescent="0.3">
      <c r="A127" s="133" t="str">
        <f t="shared" si="1"/>
        <v>012772G</v>
      </c>
      <c r="B127" s="133" t="s">
        <v>5860</v>
      </c>
      <c r="C127" s="133" t="s">
        <v>5861</v>
      </c>
      <c r="D127" s="133" t="s">
        <v>5504</v>
      </c>
      <c r="E127" s="134"/>
      <c r="F127" s="134">
        <v>0.93</v>
      </c>
      <c r="G127" s="135">
        <v>0.83</v>
      </c>
      <c r="H127" s="133">
        <v>2009</v>
      </c>
      <c r="I127" s="152" t="s">
        <v>5678</v>
      </c>
    </row>
    <row r="128" spans="1:9" ht="18.75" thickBot="1" x14ac:dyDescent="0.3">
      <c r="A128" s="133" t="str">
        <f t="shared" si="1"/>
        <v>012774I</v>
      </c>
      <c r="B128" s="133" t="s">
        <v>7136</v>
      </c>
      <c r="C128" s="133" t="s">
        <v>7137</v>
      </c>
      <c r="D128" s="133" t="s">
        <v>5597</v>
      </c>
      <c r="E128" s="134"/>
      <c r="F128" s="134">
        <v>0.9</v>
      </c>
      <c r="G128" s="135">
        <v>0.8</v>
      </c>
      <c r="H128" s="133">
        <v>2024</v>
      </c>
      <c r="I128" s="152" t="s">
        <v>5678</v>
      </c>
    </row>
    <row r="129" spans="1:9" ht="18.75" thickBot="1" x14ac:dyDescent="0.3">
      <c r="A129" s="133" t="str">
        <f t="shared" si="1"/>
        <v>163351F</v>
      </c>
      <c r="B129" s="133" t="s">
        <v>5862</v>
      </c>
      <c r="C129" s="133" t="s">
        <v>5863</v>
      </c>
      <c r="D129" s="133" t="s">
        <v>5504</v>
      </c>
      <c r="E129" s="134"/>
      <c r="F129" s="134">
        <v>0.59</v>
      </c>
      <c r="G129" s="135">
        <v>0.53</v>
      </c>
      <c r="H129" s="133">
        <v>2024</v>
      </c>
      <c r="I129" s="152" t="s">
        <v>5787</v>
      </c>
    </row>
    <row r="130" spans="1:9" ht="18.75" thickBot="1" x14ac:dyDescent="0.3">
      <c r="A130" s="133" t="str">
        <f t="shared" ref="A130:A193" si="2">SUBSTITUTE(B130,CHAR(32),"")</f>
        <v>146710S</v>
      </c>
      <c r="B130" s="133" t="s">
        <v>7138</v>
      </c>
      <c r="C130" s="133" t="s">
        <v>7139</v>
      </c>
      <c r="D130" s="133" t="s">
        <v>5504</v>
      </c>
      <c r="E130" s="134"/>
      <c r="F130" s="134">
        <v>0.66</v>
      </c>
      <c r="G130" s="135">
        <v>0.59</v>
      </c>
      <c r="H130" s="133">
        <v>2024</v>
      </c>
      <c r="I130" s="152" t="s">
        <v>5553</v>
      </c>
    </row>
    <row r="131" spans="1:9" ht="18.75" thickBot="1" x14ac:dyDescent="0.3">
      <c r="A131" s="133" t="str">
        <f t="shared" si="2"/>
        <v>166693N</v>
      </c>
      <c r="B131" s="133" t="s">
        <v>5870</v>
      </c>
      <c r="C131" s="133" t="s">
        <v>5871</v>
      </c>
      <c r="D131" s="133" t="s">
        <v>5503</v>
      </c>
      <c r="E131" s="134"/>
      <c r="F131" s="134">
        <v>1.31</v>
      </c>
      <c r="G131" s="135">
        <v>1.1599999999999999</v>
      </c>
      <c r="H131" s="133">
        <v>2024</v>
      </c>
      <c r="I131" s="152" t="s">
        <v>5726</v>
      </c>
    </row>
    <row r="132" spans="1:9" ht="18.75" thickBot="1" x14ac:dyDescent="0.3">
      <c r="A132" s="133" t="str">
        <f t="shared" si="2"/>
        <v>132646U</v>
      </c>
      <c r="B132" s="133" t="s">
        <v>5872</v>
      </c>
      <c r="C132" s="133" t="s">
        <v>5873</v>
      </c>
      <c r="D132" s="133" t="s">
        <v>26</v>
      </c>
      <c r="E132" s="134"/>
      <c r="F132" s="134">
        <v>1.92</v>
      </c>
      <c r="G132" s="135">
        <v>1.71</v>
      </c>
      <c r="H132" s="133">
        <v>2013</v>
      </c>
      <c r="I132" s="152" t="s">
        <v>5787</v>
      </c>
    </row>
    <row r="133" spans="1:9" ht="18.75" thickBot="1" x14ac:dyDescent="0.3">
      <c r="A133" s="133" t="str">
        <f t="shared" si="2"/>
        <v>133746C</v>
      </c>
      <c r="B133" s="133" t="s">
        <v>5876</v>
      </c>
      <c r="C133" s="133" t="s">
        <v>5877</v>
      </c>
      <c r="D133" s="133" t="s">
        <v>5504</v>
      </c>
      <c r="E133" s="134"/>
      <c r="F133" s="134">
        <v>0.72</v>
      </c>
      <c r="G133" s="135">
        <v>0.64</v>
      </c>
      <c r="H133" s="133">
        <v>2015</v>
      </c>
      <c r="I133" s="152" t="s">
        <v>5666</v>
      </c>
    </row>
    <row r="134" spans="1:9" ht="18.75" thickBot="1" x14ac:dyDescent="0.3">
      <c r="A134" s="133" t="str">
        <f t="shared" si="2"/>
        <v>111340I</v>
      </c>
      <c r="B134" s="133" t="s">
        <v>7140</v>
      </c>
      <c r="C134" s="133" t="s">
        <v>7141</v>
      </c>
      <c r="D134" s="133" t="s">
        <v>26</v>
      </c>
      <c r="E134" s="134"/>
      <c r="F134" s="134">
        <v>1.77</v>
      </c>
      <c r="G134" s="135">
        <v>1.58</v>
      </c>
      <c r="H134" s="133">
        <v>2019</v>
      </c>
      <c r="I134" s="152" t="s">
        <v>5559</v>
      </c>
    </row>
    <row r="135" spans="1:9" ht="18.75" thickBot="1" x14ac:dyDescent="0.3">
      <c r="A135" s="133" t="str">
        <f t="shared" si="2"/>
        <v>012795D</v>
      </c>
      <c r="B135" s="133" t="s">
        <v>5878</v>
      </c>
      <c r="C135" s="133" t="s">
        <v>5879</v>
      </c>
      <c r="D135" s="133" t="s">
        <v>5503</v>
      </c>
      <c r="E135" s="134"/>
      <c r="F135" s="134">
        <v>1.1499999999999999</v>
      </c>
      <c r="G135" s="135">
        <v>1.02</v>
      </c>
      <c r="H135" s="133">
        <v>2010</v>
      </c>
      <c r="I135" s="152" t="s">
        <v>5573</v>
      </c>
    </row>
    <row r="136" spans="1:9" ht="18.75" thickBot="1" x14ac:dyDescent="0.3">
      <c r="A136" s="133" t="str">
        <f t="shared" si="2"/>
        <v>111054I</v>
      </c>
      <c r="B136" s="133" t="s">
        <v>5880</v>
      </c>
      <c r="C136" s="133" t="s">
        <v>5881</v>
      </c>
      <c r="D136" s="133" t="s">
        <v>5504</v>
      </c>
      <c r="E136" s="134"/>
      <c r="F136" s="134">
        <v>0.87</v>
      </c>
      <c r="G136" s="135">
        <v>0.77</v>
      </c>
      <c r="H136" s="133">
        <v>2016</v>
      </c>
      <c r="I136" s="152" t="s">
        <v>5566</v>
      </c>
    </row>
    <row r="137" spans="1:9" ht="18.75" thickBot="1" x14ac:dyDescent="0.3">
      <c r="A137" s="133" t="str">
        <f t="shared" si="2"/>
        <v>127812W</v>
      </c>
      <c r="B137" s="133" t="s">
        <v>5882</v>
      </c>
      <c r="C137" s="133" t="s">
        <v>5883</v>
      </c>
      <c r="D137" s="133" t="s">
        <v>5504</v>
      </c>
      <c r="E137" s="134"/>
      <c r="F137" s="134">
        <v>0.83</v>
      </c>
      <c r="G137" s="135">
        <v>0.74</v>
      </c>
      <c r="H137" s="133">
        <v>2009</v>
      </c>
      <c r="I137" s="152" t="s">
        <v>5884</v>
      </c>
    </row>
    <row r="138" spans="1:9" ht="18.75" thickBot="1" x14ac:dyDescent="0.3">
      <c r="A138" s="133" t="str">
        <f t="shared" si="2"/>
        <v>119524C</v>
      </c>
      <c r="B138" s="133" t="s">
        <v>5885</v>
      </c>
      <c r="C138" s="133" t="s">
        <v>5886</v>
      </c>
      <c r="D138" s="133" t="s">
        <v>5503</v>
      </c>
      <c r="E138" s="134"/>
      <c r="F138" s="134">
        <v>1.49</v>
      </c>
      <c r="G138" s="135">
        <v>1.33</v>
      </c>
      <c r="H138" s="133">
        <v>2023</v>
      </c>
      <c r="I138" s="152" t="s">
        <v>5646</v>
      </c>
    </row>
    <row r="139" spans="1:9" ht="18.75" thickBot="1" x14ac:dyDescent="0.3">
      <c r="A139" s="133" t="str">
        <f t="shared" si="2"/>
        <v>117592U</v>
      </c>
      <c r="B139" s="133" t="s">
        <v>5887</v>
      </c>
      <c r="C139" s="133" t="s">
        <v>5888</v>
      </c>
      <c r="D139" s="133" t="s">
        <v>26</v>
      </c>
      <c r="E139" s="134"/>
      <c r="F139" s="134">
        <v>1.84</v>
      </c>
      <c r="G139" s="135">
        <v>1.64</v>
      </c>
      <c r="H139" s="133">
        <v>2022</v>
      </c>
      <c r="I139" s="152" t="s">
        <v>5657</v>
      </c>
    </row>
    <row r="140" spans="1:9" ht="18.75" thickBot="1" x14ac:dyDescent="0.3">
      <c r="A140" s="133" t="str">
        <f t="shared" si="2"/>
        <v>113490A</v>
      </c>
      <c r="B140" s="133" t="s">
        <v>7142</v>
      </c>
      <c r="C140" s="133" t="s">
        <v>7143</v>
      </c>
      <c r="D140" s="133" t="s">
        <v>5503</v>
      </c>
      <c r="E140" s="134"/>
      <c r="F140" s="134">
        <v>1.17</v>
      </c>
      <c r="G140" s="135">
        <v>1.04</v>
      </c>
      <c r="H140" s="133">
        <v>2017</v>
      </c>
      <c r="I140" s="152" t="s">
        <v>5710</v>
      </c>
    </row>
    <row r="141" spans="1:9" ht="18.75" thickBot="1" x14ac:dyDescent="0.3">
      <c r="A141" s="133" t="str">
        <f t="shared" si="2"/>
        <v>012800I</v>
      </c>
      <c r="B141" s="133" t="s">
        <v>5891</v>
      </c>
      <c r="C141" s="133" t="s">
        <v>5892</v>
      </c>
      <c r="D141" s="133" t="s">
        <v>5562</v>
      </c>
      <c r="E141" s="134"/>
      <c r="F141" s="134">
        <v>1.63</v>
      </c>
      <c r="G141" s="135">
        <v>1.45</v>
      </c>
      <c r="H141" s="133">
        <v>2024</v>
      </c>
      <c r="I141" s="152" t="s">
        <v>5639</v>
      </c>
    </row>
    <row r="142" spans="1:9" ht="18.75" thickBot="1" x14ac:dyDescent="0.3">
      <c r="A142" s="133" t="str">
        <f t="shared" si="2"/>
        <v>012810S</v>
      </c>
      <c r="B142" s="133" t="s">
        <v>5896</v>
      </c>
      <c r="C142" s="133" t="s">
        <v>5897</v>
      </c>
      <c r="D142" s="133" t="s">
        <v>5503</v>
      </c>
      <c r="E142" s="134"/>
      <c r="F142" s="134">
        <v>1.61</v>
      </c>
      <c r="G142" s="135">
        <v>1.43</v>
      </c>
      <c r="H142" s="133">
        <v>2020</v>
      </c>
      <c r="I142" s="152" t="s">
        <v>5553</v>
      </c>
    </row>
    <row r="143" spans="1:9" ht="18.75" thickBot="1" x14ac:dyDescent="0.3">
      <c r="A143" s="133" t="str">
        <f t="shared" si="2"/>
        <v>012814W</v>
      </c>
      <c r="B143" s="133" t="s">
        <v>7144</v>
      </c>
      <c r="C143" s="133" t="s">
        <v>7145</v>
      </c>
      <c r="D143" s="133" t="s">
        <v>5504</v>
      </c>
      <c r="E143" s="134"/>
      <c r="F143" s="134">
        <v>0.49</v>
      </c>
      <c r="G143" s="135">
        <v>0.44</v>
      </c>
      <c r="H143" s="133">
        <v>2013</v>
      </c>
      <c r="I143" s="152" t="s">
        <v>6137</v>
      </c>
    </row>
    <row r="144" spans="1:9" ht="18.75" thickBot="1" x14ac:dyDescent="0.3">
      <c r="A144" s="133" t="str">
        <f t="shared" si="2"/>
        <v>012375Z</v>
      </c>
      <c r="B144" s="133" t="s">
        <v>7146</v>
      </c>
      <c r="C144" s="133" t="s">
        <v>7147</v>
      </c>
      <c r="D144" s="133" t="s">
        <v>5504</v>
      </c>
      <c r="E144" s="134"/>
      <c r="F144" s="134">
        <v>0.82</v>
      </c>
      <c r="G144" s="135">
        <v>0.72</v>
      </c>
      <c r="H144" s="133">
        <v>2011</v>
      </c>
      <c r="I144" s="152" t="s">
        <v>5630</v>
      </c>
    </row>
    <row r="145" spans="1:9" ht="18.75" thickBot="1" x14ac:dyDescent="0.3">
      <c r="A145" s="133" t="str">
        <f t="shared" si="2"/>
        <v>171278X</v>
      </c>
      <c r="B145" s="133" t="s">
        <v>5898</v>
      </c>
      <c r="C145" s="133" t="s">
        <v>5899</v>
      </c>
      <c r="D145" s="133" t="s">
        <v>5597</v>
      </c>
      <c r="E145" s="134"/>
      <c r="F145" s="134">
        <v>1.1100000000000001</v>
      </c>
      <c r="G145" s="135">
        <v>0.99</v>
      </c>
      <c r="H145" s="133">
        <v>2024</v>
      </c>
      <c r="I145" s="152" t="s">
        <v>5710</v>
      </c>
    </row>
    <row r="146" spans="1:9" ht="18.75" thickBot="1" x14ac:dyDescent="0.3">
      <c r="A146" s="133" t="str">
        <f t="shared" si="2"/>
        <v>114560E</v>
      </c>
      <c r="B146" s="133" t="s">
        <v>5904</v>
      </c>
      <c r="C146" s="133" t="s">
        <v>5905</v>
      </c>
      <c r="D146" s="133" t="s">
        <v>5504</v>
      </c>
      <c r="E146" s="134"/>
      <c r="F146" s="134">
        <v>0.76</v>
      </c>
      <c r="G146" s="135">
        <v>0.67</v>
      </c>
      <c r="H146" s="133">
        <v>2019</v>
      </c>
      <c r="I146" s="152" t="s">
        <v>5566</v>
      </c>
    </row>
    <row r="147" spans="1:9" ht="18.75" thickBot="1" x14ac:dyDescent="0.3">
      <c r="A147" s="133" t="str">
        <f t="shared" si="2"/>
        <v>157233F</v>
      </c>
      <c r="B147" s="133" t="s">
        <v>5906</v>
      </c>
      <c r="C147" s="133" t="s">
        <v>5907</v>
      </c>
      <c r="D147" s="133" t="s">
        <v>5503</v>
      </c>
      <c r="E147" s="134"/>
      <c r="F147" s="134">
        <v>1.36</v>
      </c>
      <c r="G147" s="135">
        <v>1.21</v>
      </c>
      <c r="H147" s="133">
        <v>2024</v>
      </c>
      <c r="I147" s="152" t="s">
        <v>5678</v>
      </c>
    </row>
    <row r="148" spans="1:9" ht="18.75" thickBot="1" x14ac:dyDescent="0.3">
      <c r="A148" s="133" t="str">
        <f t="shared" si="2"/>
        <v>140069H</v>
      </c>
      <c r="B148" s="133" t="s">
        <v>5910</v>
      </c>
      <c r="C148" s="133" t="s">
        <v>5911</v>
      </c>
      <c r="D148" s="133" t="s">
        <v>5503</v>
      </c>
      <c r="E148" s="134"/>
      <c r="F148" s="134">
        <v>0.95</v>
      </c>
      <c r="G148" s="135">
        <v>0.84</v>
      </c>
      <c r="H148" s="133">
        <v>2015</v>
      </c>
      <c r="I148" s="152" t="s">
        <v>5912</v>
      </c>
    </row>
    <row r="149" spans="1:9" ht="18.75" thickBot="1" x14ac:dyDescent="0.3">
      <c r="A149" s="133" t="str">
        <f t="shared" si="2"/>
        <v>117429N</v>
      </c>
      <c r="B149" s="133" t="s">
        <v>7148</v>
      </c>
      <c r="C149" s="133" t="s">
        <v>7149</v>
      </c>
      <c r="D149" s="133" t="s">
        <v>5504</v>
      </c>
      <c r="E149" s="134"/>
      <c r="F149" s="134">
        <v>0.91</v>
      </c>
      <c r="G149" s="135">
        <v>0.81</v>
      </c>
      <c r="H149" s="133">
        <v>2014</v>
      </c>
      <c r="I149" s="152" t="s">
        <v>5787</v>
      </c>
    </row>
    <row r="150" spans="1:9" ht="18.75" thickBot="1" x14ac:dyDescent="0.3">
      <c r="A150" s="133" t="str">
        <f t="shared" si="2"/>
        <v>123238Y</v>
      </c>
      <c r="B150" s="133" t="s">
        <v>5913</v>
      </c>
      <c r="C150" s="133" t="s">
        <v>5914</v>
      </c>
      <c r="D150" s="133" t="s">
        <v>5504</v>
      </c>
      <c r="E150" s="134"/>
      <c r="F150" s="134">
        <v>0.7</v>
      </c>
      <c r="G150" s="135">
        <v>0.63</v>
      </c>
      <c r="H150" s="133">
        <v>2008</v>
      </c>
      <c r="I150" s="152" t="s">
        <v>5678</v>
      </c>
    </row>
    <row r="151" spans="1:9" ht="18.75" thickBot="1" x14ac:dyDescent="0.3">
      <c r="A151" s="133" t="str">
        <f t="shared" si="2"/>
        <v>121672S</v>
      </c>
      <c r="B151" s="133" t="s">
        <v>7150</v>
      </c>
      <c r="C151" s="133" t="s">
        <v>7151</v>
      </c>
      <c r="D151" s="133" t="s">
        <v>5503</v>
      </c>
      <c r="E151" s="134"/>
      <c r="F151" s="134">
        <v>1.21</v>
      </c>
      <c r="G151" s="135">
        <v>1.08</v>
      </c>
      <c r="H151" s="133">
        <v>2015</v>
      </c>
      <c r="I151" s="152" t="s">
        <v>5671</v>
      </c>
    </row>
    <row r="152" spans="1:9" ht="18.75" thickBot="1" x14ac:dyDescent="0.3">
      <c r="A152" s="133" t="str">
        <f t="shared" si="2"/>
        <v>139189L</v>
      </c>
      <c r="B152" s="133" t="s">
        <v>7152</v>
      </c>
      <c r="C152" s="133" t="s">
        <v>7153</v>
      </c>
      <c r="D152" s="133" t="s">
        <v>5504</v>
      </c>
      <c r="E152" s="134"/>
      <c r="F152" s="134">
        <v>0.42</v>
      </c>
      <c r="G152" s="135">
        <v>0.37</v>
      </c>
      <c r="H152" s="133">
        <v>2020</v>
      </c>
      <c r="I152" s="152" t="s">
        <v>5735</v>
      </c>
    </row>
    <row r="153" spans="1:9" ht="18.75" thickBot="1" x14ac:dyDescent="0.3">
      <c r="A153" s="133" t="str">
        <f t="shared" si="2"/>
        <v>142373X</v>
      </c>
      <c r="B153" s="133" t="s">
        <v>7154</v>
      </c>
      <c r="C153" s="133" t="s">
        <v>7155</v>
      </c>
      <c r="D153" s="133" t="s">
        <v>5504</v>
      </c>
      <c r="E153" s="134"/>
      <c r="F153" s="134">
        <v>0.66</v>
      </c>
      <c r="G153" s="135">
        <v>0.57999999999999996</v>
      </c>
      <c r="H153" s="133">
        <v>2019</v>
      </c>
      <c r="I153" s="152" t="s">
        <v>5912</v>
      </c>
    </row>
    <row r="154" spans="1:9" ht="18.75" thickBot="1" x14ac:dyDescent="0.3">
      <c r="A154" s="133" t="str">
        <f t="shared" si="2"/>
        <v>153123N</v>
      </c>
      <c r="B154" s="133" t="s">
        <v>5923</v>
      </c>
      <c r="C154" s="133" t="s">
        <v>5924</v>
      </c>
      <c r="D154" s="133" t="s">
        <v>26</v>
      </c>
      <c r="E154" s="134"/>
      <c r="F154" s="134">
        <v>1.98</v>
      </c>
      <c r="G154" s="135">
        <v>1.76</v>
      </c>
      <c r="H154" s="133">
        <v>2024</v>
      </c>
      <c r="I154" s="152" t="s">
        <v>5701</v>
      </c>
    </row>
    <row r="155" spans="1:9" ht="18.75" thickBot="1" x14ac:dyDescent="0.3">
      <c r="A155" s="133" t="str">
        <f t="shared" si="2"/>
        <v>135955B</v>
      </c>
      <c r="B155" s="133" t="s">
        <v>7156</v>
      </c>
      <c r="C155" s="133" t="s">
        <v>7157</v>
      </c>
      <c r="D155" s="133" t="s">
        <v>5503</v>
      </c>
      <c r="E155" s="134"/>
      <c r="F155" s="134">
        <v>1.31</v>
      </c>
      <c r="G155" s="135">
        <v>1.17</v>
      </c>
      <c r="H155" s="133">
        <v>2021</v>
      </c>
      <c r="I155" s="152" t="s">
        <v>5566</v>
      </c>
    </row>
    <row r="156" spans="1:9" ht="18.75" thickBot="1" x14ac:dyDescent="0.3">
      <c r="A156" s="133" t="str">
        <f t="shared" si="2"/>
        <v>141770S</v>
      </c>
      <c r="B156" s="133" t="s">
        <v>7158</v>
      </c>
      <c r="C156" s="133" t="s">
        <v>7159</v>
      </c>
      <c r="D156" s="133" t="s">
        <v>5503</v>
      </c>
      <c r="E156" s="134"/>
      <c r="F156" s="134">
        <v>1.64</v>
      </c>
      <c r="G156" s="135">
        <v>1.46</v>
      </c>
      <c r="H156" s="133">
        <v>2019</v>
      </c>
      <c r="I156" s="152" t="s">
        <v>5657</v>
      </c>
    </row>
    <row r="157" spans="1:9" ht="18.75" thickBot="1" x14ac:dyDescent="0.3">
      <c r="A157" s="133" t="str">
        <f t="shared" si="2"/>
        <v>012879J</v>
      </c>
      <c r="B157" s="133" t="s">
        <v>5931</v>
      </c>
      <c r="C157" s="133" t="s">
        <v>5932</v>
      </c>
      <c r="D157" s="133" t="s">
        <v>5504</v>
      </c>
      <c r="E157" s="134"/>
      <c r="F157" s="134">
        <v>0.86</v>
      </c>
      <c r="G157" s="135">
        <v>0.76</v>
      </c>
      <c r="H157" s="133">
        <v>2012</v>
      </c>
      <c r="I157" s="152" t="s">
        <v>5563</v>
      </c>
    </row>
    <row r="158" spans="1:9" ht="18.75" thickBot="1" x14ac:dyDescent="0.3">
      <c r="A158" s="133" t="str">
        <f t="shared" si="2"/>
        <v>156770C</v>
      </c>
      <c r="B158" s="133" t="s">
        <v>7160</v>
      </c>
      <c r="C158" s="133" t="s">
        <v>7161</v>
      </c>
      <c r="D158" s="133" t="s">
        <v>5504</v>
      </c>
      <c r="E158" s="134"/>
      <c r="F158" s="134">
        <v>0.14000000000000001</v>
      </c>
      <c r="G158" s="135">
        <v>0.12</v>
      </c>
      <c r="H158" s="133">
        <v>2017</v>
      </c>
      <c r="I158" s="152" t="s">
        <v>5553</v>
      </c>
    </row>
    <row r="159" spans="1:9" ht="18.75" thickBot="1" x14ac:dyDescent="0.3">
      <c r="A159" s="133" t="str">
        <f t="shared" si="2"/>
        <v>178260L</v>
      </c>
      <c r="B159" s="133" t="s">
        <v>7162</v>
      </c>
      <c r="C159" s="133" t="s">
        <v>7163</v>
      </c>
      <c r="D159" s="133" t="s">
        <v>5503</v>
      </c>
      <c r="E159" s="134"/>
      <c r="F159" s="134">
        <v>1.07</v>
      </c>
      <c r="G159" s="135">
        <v>0.95</v>
      </c>
      <c r="H159" s="133">
        <v>2023</v>
      </c>
      <c r="I159" s="152" t="s">
        <v>5701</v>
      </c>
    </row>
    <row r="160" spans="1:9" ht="18.75" thickBot="1" x14ac:dyDescent="0.3">
      <c r="A160" s="133" t="str">
        <f t="shared" si="2"/>
        <v>132875P</v>
      </c>
      <c r="B160" s="133" t="s">
        <v>5933</v>
      </c>
      <c r="C160" s="133" t="s">
        <v>5934</v>
      </c>
      <c r="D160" s="133" t="s">
        <v>5504</v>
      </c>
      <c r="E160" s="134"/>
      <c r="F160" s="134">
        <v>0.82</v>
      </c>
      <c r="G160" s="135">
        <v>0.73</v>
      </c>
      <c r="H160" s="133">
        <v>2015</v>
      </c>
      <c r="I160" s="152" t="s">
        <v>5657</v>
      </c>
    </row>
    <row r="161" spans="1:9" ht="18.75" thickBot="1" x14ac:dyDescent="0.3">
      <c r="A161" s="133" t="str">
        <f t="shared" si="2"/>
        <v>181784R</v>
      </c>
      <c r="B161" s="133" t="s">
        <v>8522</v>
      </c>
      <c r="C161" s="133" t="s">
        <v>8523</v>
      </c>
      <c r="D161" s="133" t="s">
        <v>5704</v>
      </c>
      <c r="E161" s="134"/>
      <c r="F161" s="134">
        <v>0.54</v>
      </c>
      <c r="G161" s="135">
        <v>0.48</v>
      </c>
      <c r="H161" s="133">
        <v>2024</v>
      </c>
      <c r="I161" s="152" t="s">
        <v>5651</v>
      </c>
    </row>
    <row r="162" spans="1:9" ht="18.75" thickBot="1" x14ac:dyDescent="0.3">
      <c r="A162" s="133" t="str">
        <f t="shared" si="2"/>
        <v>131196A</v>
      </c>
      <c r="B162" s="133" t="s">
        <v>5937</v>
      </c>
      <c r="C162" s="133" t="s">
        <v>5938</v>
      </c>
      <c r="D162" s="133" t="s">
        <v>5503</v>
      </c>
      <c r="E162" s="134"/>
      <c r="F162" s="134">
        <v>1.1599999999999999</v>
      </c>
      <c r="G162" s="135">
        <v>1.03</v>
      </c>
      <c r="H162" s="133">
        <v>2024</v>
      </c>
      <c r="I162" s="152" t="s">
        <v>5625</v>
      </c>
    </row>
    <row r="163" spans="1:9" ht="18.75" thickBot="1" x14ac:dyDescent="0.3">
      <c r="A163" s="133" t="str">
        <f t="shared" si="2"/>
        <v>148183T</v>
      </c>
      <c r="B163" s="133" t="s">
        <v>5939</v>
      </c>
      <c r="C163" s="133" t="s">
        <v>5940</v>
      </c>
      <c r="D163" s="133" t="s">
        <v>5503</v>
      </c>
      <c r="E163" s="134"/>
      <c r="F163" s="134">
        <v>1.17</v>
      </c>
      <c r="G163" s="135">
        <v>1.04</v>
      </c>
      <c r="H163" s="133">
        <v>2022</v>
      </c>
      <c r="I163" s="152" t="s">
        <v>5582</v>
      </c>
    </row>
    <row r="164" spans="1:9" ht="18.75" thickBot="1" x14ac:dyDescent="0.3">
      <c r="A164" s="133" t="str">
        <f t="shared" si="2"/>
        <v>143555J</v>
      </c>
      <c r="B164" s="133" t="s">
        <v>7164</v>
      </c>
      <c r="C164" s="133" t="s">
        <v>7165</v>
      </c>
      <c r="D164" s="133" t="s">
        <v>5504</v>
      </c>
      <c r="E164" s="134"/>
      <c r="F164" s="134">
        <v>0.69</v>
      </c>
      <c r="G164" s="135">
        <v>0.62</v>
      </c>
      <c r="H164" s="133">
        <v>2012</v>
      </c>
      <c r="I164" s="152" t="s">
        <v>5744</v>
      </c>
    </row>
    <row r="165" spans="1:9" ht="18.75" thickBot="1" x14ac:dyDescent="0.3">
      <c r="A165" s="133" t="str">
        <f t="shared" si="2"/>
        <v>100865L</v>
      </c>
      <c r="B165" s="133" t="s">
        <v>7166</v>
      </c>
      <c r="C165" s="133" t="s">
        <v>7167</v>
      </c>
      <c r="D165" s="133" t="s">
        <v>5503</v>
      </c>
      <c r="E165" s="134"/>
      <c r="F165" s="134">
        <v>1.04</v>
      </c>
      <c r="G165" s="135">
        <v>0.92</v>
      </c>
      <c r="H165" s="133">
        <v>2011</v>
      </c>
      <c r="I165" s="152" t="s">
        <v>5635</v>
      </c>
    </row>
    <row r="166" spans="1:9" ht="18.75" thickBot="1" x14ac:dyDescent="0.3">
      <c r="A166" s="133" t="str">
        <f t="shared" si="2"/>
        <v>140334M</v>
      </c>
      <c r="B166" s="133" t="s">
        <v>5945</v>
      </c>
      <c r="C166" s="133" t="s">
        <v>5946</v>
      </c>
      <c r="D166" s="133" t="s">
        <v>5504</v>
      </c>
      <c r="E166" s="134"/>
      <c r="F166" s="134">
        <v>0.93</v>
      </c>
      <c r="G166" s="135">
        <v>0.83</v>
      </c>
      <c r="H166" s="133">
        <v>2008</v>
      </c>
      <c r="I166" s="152" t="s">
        <v>5615</v>
      </c>
    </row>
    <row r="167" spans="1:9" ht="18.75" thickBot="1" x14ac:dyDescent="0.3">
      <c r="A167" s="133" t="str">
        <f t="shared" si="2"/>
        <v>012903H</v>
      </c>
      <c r="B167" s="133" t="s">
        <v>5951</v>
      </c>
      <c r="C167" s="133" t="s">
        <v>5952</v>
      </c>
      <c r="D167" s="133" t="s">
        <v>5503</v>
      </c>
      <c r="E167" s="134"/>
      <c r="F167" s="134">
        <v>1.37</v>
      </c>
      <c r="G167" s="135">
        <v>1.22</v>
      </c>
      <c r="H167" s="133">
        <v>2024</v>
      </c>
      <c r="I167" s="152" t="s">
        <v>5639</v>
      </c>
    </row>
    <row r="168" spans="1:9" ht="18.75" thickBot="1" x14ac:dyDescent="0.3">
      <c r="A168" s="133" t="str">
        <f t="shared" si="2"/>
        <v>012912Q</v>
      </c>
      <c r="B168" s="133" t="s">
        <v>5953</v>
      </c>
      <c r="C168" s="133" t="s">
        <v>5954</v>
      </c>
      <c r="D168" s="133" t="s">
        <v>24</v>
      </c>
      <c r="E168" s="134"/>
      <c r="F168" s="134" t="s">
        <v>5552</v>
      </c>
      <c r="G168" s="135">
        <v>2</v>
      </c>
      <c r="H168" s="133">
        <v>2020</v>
      </c>
      <c r="I168" s="152" t="s">
        <v>5553</v>
      </c>
    </row>
    <row r="169" spans="1:9" ht="18.75" thickBot="1" x14ac:dyDescent="0.3">
      <c r="A169" s="133" t="str">
        <f t="shared" si="2"/>
        <v>012913R</v>
      </c>
      <c r="B169" s="133" t="s">
        <v>5955</v>
      </c>
      <c r="C169" s="133" t="s">
        <v>5956</v>
      </c>
      <c r="D169" s="133" t="s">
        <v>26</v>
      </c>
      <c r="E169" s="134"/>
      <c r="F169" s="134">
        <v>2.4700000000000002</v>
      </c>
      <c r="G169" s="135">
        <v>2.2000000000000002</v>
      </c>
      <c r="H169" s="133">
        <v>2019</v>
      </c>
      <c r="I169" s="152" t="s">
        <v>5553</v>
      </c>
    </row>
    <row r="170" spans="1:9" ht="18.75" thickBot="1" x14ac:dyDescent="0.3">
      <c r="A170" s="133" t="str">
        <f t="shared" si="2"/>
        <v>016878E</v>
      </c>
      <c r="B170" s="133" t="s">
        <v>5957</v>
      </c>
      <c r="C170" s="133" t="s">
        <v>5958</v>
      </c>
      <c r="D170" s="133" t="s">
        <v>24</v>
      </c>
      <c r="E170" s="134"/>
      <c r="F170" s="134" t="s">
        <v>5552</v>
      </c>
      <c r="G170" s="135">
        <v>3.38</v>
      </c>
      <c r="H170" s="133">
        <v>2013</v>
      </c>
      <c r="I170" s="152" t="s">
        <v>5678</v>
      </c>
    </row>
    <row r="171" spans="1:9" ht="18.75" thickBot="1" x14ac:dyDescent="0.3">
      <c r="A171" s="133" t="str">
        <f t="shared" si="2"/>
        <v>150854X</v>
      </c>
      <c r="B171" s="133" t="s">
        <v>5959</v>
      </c>
      <c r="C171" s="133" t="s">
        <v>5960</v>
      </c>
      <c r="D171" s="133" t="s">
        <v>26</v>
      </c>
      <c r="E171" s="134"/>
      <c r="F171" s="134">
        <v>1.88</v>
      </c>
      <c r="G171" s="135">
        <v>1.67</v>
      </c>
      <c r="H171" s="133">
        <v>2024</v>
      </c>
      <c r="I171" s="152" t="s">
        <v>5701</v>
      </c>
    </row>
    <row r="172" spans="1:9" ht="18.75" thickBot="1" x14ac:dyDescent="0.3">
      <c r="A172" s="133" t="str">
        <f t="shared" si="2"/>
        <v>163276Z</v>
      </c>
      <c r="B172" s="133" t="s">
        <v>7168</v>
      </c>
      <c r="C172" s="133" t="s">
        <v>7169</v>
      </c>
      <c r="D172" s="133" t="s">
        <v>5504</v>
      </c>
      <c r="E172" s="134"/>
      <c r="F172" s="134">
        <v>0.94</v>
      </c>
      <c r="G172" s="135">
        <v>0.83</v>
      </c>
      <c r="H172" s="133">
        <v>2024</v>
      </c>
      <c r="I172" s="152" t="s">
        <v>5701</v>
      </c>
    </row>
    <row r="173" spans="1:9" ht="18.75" thickBot="1" x14ac:dyDescent="0.3">
      <c r="A173" s="133" t="str">
        <f t="shared" si="2"/>
        <v>144281H</v>
      </c>
      <c r="B173" s="133" t="s">
        <v>7170</v>
      </c>
      <c r="C173" s="133" t="s">
        <v>7171</v>
      </c>
      <c r="D173" s="133" t="s">
        <v>5504</v>
      </c>
      <c r="E173" s="134"/>
      <c r="F173" s="134">
        <v>0.66</v>
      </c>
      <c r="G173" s="135">
        <v>0.57999999999999996</v>
      </c>
      <c r="H173" s="133">
        <v>2018</v>
      </c>
      <c r="I173" s="152" t="s">
        <v>5559</v>
      </c>
    </row>
    <row r="174" spans="1:9" ht="18.75" thickBot="1" x14ac:dyDescent="0.3">
      <c r="A174" s="133" t="str">
        <f t="shared" si="2"/>
        <v>143224Q</v>
      </c>
      <c r="B174" s="133" t="s">
        <v>5965</v>
      </c>
      <c r="C174" s="133" t="s">
        <v>5966</v>
      </c>
      <c r="D174" s="133" t="s">
        <v>5503</v>
      </c>
      <c r="E174" s="134"/>
      <c r="F174" s="134">
        <v>1.4</v>
      </c>
      <c r="G174" s="135">
        <v>1.24</v>
      </c>
      <c r="H174" s="133">
        <v>2019</v>
      </c>
      <c r="I174" s="152" t="s">
        <v>5895</v>
      </c>
    </row>
    <row r="175" spans="1:9" ht="18.75" thickBot="1" x14ac:dyDescent="0.3">
      <c r="A175" s="133" t="str">
        <f t="shared" si="2"/>
        <v>012929H</v>
      </c>
      <c r="B175" s="133" t="s">
        <v>5967</v>
      </c>
      <c r="C175" s="133" t="s">
        <v>5968</v>
      </c>
      <c r="D175" s="133" t="s">
        <v>5503</v>
      </c>
      <c r="E175" s="134"/>
      <c r="F175" s="134">
        <v>1.08</v>
      </c>
      <c r="G175" s="135">
        <v>0.96</v>
      </c>
      <c r="H175" s="133">
        <v>2019</v>
      </c>
      <c r="I175" s="152" t="s">
        <v>5646</v>
      </c>
    </row>
    <row r="176" spans="1:9" ht="18.75" thickBot="1" x14ac:dyDescent="0.3">
      <c r="A176" s="133" t="str">
        <f t="shared" si="2"/>
        <v>110989V</v>
      </c>
      <c r="B176" s="133" t="s">
        <v>5969</v>
      </c>
      <c r="C176" s="133" t="s">
        <v>5970</v>
      </c>
      <c r="D176" s="133" t="s">
        <v>5503</v>
      </c>
      <c r="E176" s="134"/>
      <c r="F176" s="134">
        <v>1.25</v>
      </c>
      <c r="G176" s="135">
        <v>1.1100000000000001</v>
      </c>
      <c r="H176" s="133">
        <v>2017</v>
      </c>
      <c r="I176" s="152" t="s">
        <v>5895</v>
      </c>
    </row>
    <row r="177" spans="1:9" ht="18.75" thickBot="1" x14ac:dyDescent="0.3">
      <c r="A177" s="133" t="str">
        <f t="shared" si="2"/>
        <v>177060G</v>
      </c>
      <c r="B177" s="133" t="s">
        <v>7671</v>
      </c>
      <c r="C177" s="133" t="s">
        <v>7672</v>
      </c>
      <c r="D177" s="133" t="s">
        <v>5704</v>
      </c>
      <c r="E177" s="134"/>
      <c r="F177" s="134">
        <v>0.68</v>
      </c>
      <c r="G177" s="135">
        <v>0.61</v>
      </c>
      <c r="H177" s="133">
        <v>2024</v>
      </c>
      <c r="I177" s="152" t="s">
        <v>5625</v>
      </c>
    </row>
    <row r="178" spans="1:9" ht="18.75" thickBot="1" x14ac:dyDescent="0.3">
      <c r="A178" s="133" t="str">
        <f t="shared" si="2"/>
        <v>012932K</v>
      </c>
      <c r="B178" s="133" t="s">
        <v>5971</v>
      </c>
      <c r="C178" s="133" t="s">
        <v>5972</v>
      </c>
      <c r="D178" s="133" t="s">
        <v>5503</v>
      </c>
      <c r="E178" s="134"/>
      <c r="F178" s="134">
        <v>1.61</v>
      </c>
      <c r="G178" s="135">
        <v>1.43</v>
      </c>
      <c r="H178" s="133">
        <v>2012</v>
      </c>
      <c r="I178" s="152" t="s">
        <v>5587</v>
      </c>
    </row>
    <row r="179" spans="1:9" ht="18.75" thickBot="1" x14ac:dyDescent="0.3">
      <c r="A179" s="133" t="str">
        <f t="shared" si="2"/>
        <v>012935N</v>
      </c>
      <c r="B179" s="133" t="s">
        <v>5973</v>
      </c>
      <c r="C179" s="133" t="s">
        <v>5974</v>
      </c>
      <c r="D179" s="133" t="s">
        <v>5504</v>
      </c>
      <c r="E179" s="134"/>
      <c r="F179" s="134">
        <v>0.71</v>
      </c>
      <c r="G179" s="135">
        <v>0.63</v>
      </c>
      <c r="H179" s="133">
        <v>2024</v>
      </c>
      <c r="I179" s="152" t="s">
        <v>5563</v>
      </c>
    </row>
    <row r="180" spans="1:9" ht="18.75" thickBot="1" x14ac:dyDescent="0.3">
      <c r="A180" s="133" t="str">
        <f t="shared" si="2"/>
        <v>166094M</v>
      </c>
      <c r="B180" s="133" t="s">
        <v>5975</v>
      </c>
      <c r="C180" s="133" t="s">
        <v>5976</v>
      </c>
      <c r="D180" s="133" t="s">
        <v>5503</v>
      </c>
      <c r="E180" s="134"/>
      <c r="F180" s="134">
        <v>1.25</v>
      </c>
      <c r="G180" s="135">
        <v>1.1200000000000001</v>
      </c>
      <c r="H180" s="133">
        <v>2022</v>
      </c>
      <c r="I180" s="152" t="s">
        <v>5601</v>
      </c>
    </row>
    <row r="181" spans="1:9" ht="18.75" thickBot="1" x14ac:dyDescent="0.3">
      <c r="A181" s="133" t="str">
        <f t="shared" si="2"/>
        <v>103504Y</v>
      </c>
      <c r="B181" s="133" t="s">
        <v>5977</v>
      </c>
      <c r="C181" s="133" t="s">
        <v>5978</v>
      </c>
      <c r="D181" s="133" t="s">
        <v>5503</v>
      </c>
      <c r="E181" s="134"/>
      <c r="F181" s="134">
        <v>1.27</v>
      </c>
      <c r="G181" s="135">
        <v>1.1299999999999999</v>
      </c>
      <c r="H181" s="133">
        <v>2013</v>
      </c>
      <c r="I181" s="152" t="s">
        <v>5792</v>
      </c>
    </row>
    <row r="182" spans="1:9" ht="18.75" thickBot="1" x14ac:dyDescent="0.3">
      <c r="A182" s="133" t="str">
        <f t="shared" si="2"/>
        <v>141457R</v>
      </c>
      <c r="B182" s="133" t="s">
        <v>5979</v>
      </c>
      <c r="C182" s="133" t="s">
        <v>5980</v>
      </c>
      <c r="D182" s="133" t="s">
        <v>5504</v>
      </c>
      <c r="E182" s="134"/>
      <c r="F182" s="134">
        <v>0.88</v>
      </c>
      <c r="G182" s="135">
        <v>0.78</v>
      </c>
      <c r="H182" s="133">
        <v>2018</v>
      </c>
      <c r="I182" s="152" t="s">
        <v>5735</v>
      </c>
    </row>
    <row r="183" spans="1:9" ht="18.75" thickBot="1" x14ac:dyDescent="0.3">
      <c r="A183" s="133" t="str">
        <f t="shared" si="2"/>
        <v>135462C</v>
      </c>
      <c r="B183" s="133" t="s">
        <v>5985</v>
      </c>
      <c r="C183" s="133" t="s">
        <v>5986</v>
      </c>
      <c r="D183" s="133" t="s">
        <v>5503</v>
      </c>
      <c r="E183" s="134"/>
      <c r="F183" s="134">
        <v>1.33</v>
      </c>
      <c r="G183" s="135">
        <v>1.18</v>
      </c>
      <c r="H183" s="133">
        <v>2019</v>
      </c>
      <c r="I183" s="152" t="s">
        <v>5582</v>
      </c>
    </row>
    <row r="184" spans="1:9" ht="18.75" thickBot="1" x14ac:dyDescent="0.3">
      <c r="A184" s="133" t="str">
        <f t="shared" si="2"/>
        <v>133703L</v>
      </c>
      <c r="B184" s="133" t="s">
        <v>7172</v>
      </c>
      <c r="C184" s="133" t="s">
        <v>7173</v>
      </c>
      <c r="D184" s="133" t="s">
        <v>5504</v>
      </c>
      <c r="E184" s="134"/>
      <c r="F184" s="134">
        <v>0.51</v>
      </c>
      <c r="G184" s="135">
        <v>0.46</v>
      </c>
      <c r="H184" s="133">
        <v>2024</v>
      </c>
      <c r="I184" s="152" t="s">
        <v>5895</v>
      </c>
    </row>
    <row r="185" spans="1:9" ht="18.75" thickBot="1" x14ac:dyDescent="0.3">
      <c r="A185" s="133" t="str">
        <f t="shared" si="2"/>
        <v>124893P</v>
      </c>
      <c r="B185" s="133" t="s">
        <v>7174</v>
      </c>
      <c r="C185" s="133" t="s">
        <v>7175</v>
      </c>
      <c r="D185" s="133" t="s">
        <v>5504</v>
      </c>
      <c r="E185" s="134"/>
      <c r="F185" s="134">
        <v>0.86</v>
      </c>
      <c r="G185" s="135">
        <v>0.77</v>
      </c>
      <c r="H185" s="133">
        <v>2011</v>
      </c>
      <c r="I185" s="152" t="s">
        <v>5666</v>
      </c>
    </row>
    <row r="186" spans="1:9" ht="18.75" thickBot="1" x14ac:dyDescent="0.3">
      <c r="A186" s="133" t="str">
        <f t="shared" si="2"/>
        <v>104243J</v>
      </c>
      <c r="B186" s="133" t="s">
        <v>5987</v>
      </c>
      <c r="C186" s="133" t="s">
        <v>5988</v>
      </c>
      <c r="D186" s="133" t="s">
        <v>5503</v>
      </c>
      <c r="E186" s="134"/>
      <c r="F186" s="134">
        <v>1.32</v>
      </c>
      <c r="G186" s="135">
        <v>1.17</v>
      </c>
      <c r="H186" s="133">
        <v>2009</v>
      </c>
      <c r="I186" s="152" t="s">
        <v>5587</v>
      </c>
    </row>
    <row r="187" spans="1:9" ht="18.75" thickBot="1" x14ac:dyDescent="0.3">
      <c r="A187" s="133" t="str">
        <f t="shared" si="2"/>
        <v>124369L</v>
      </c>
      <c r="B187" s="133" t="s">
        <v>7176</v>
      </c>
      <c r="C187" s="133" t="s">
        <v>7177</v>
      </c>
      <c r="D187" s="133" t="s">
        <v>5503</v>
      </c>
      <c r="E187" s="134"/>
      <c r="F187" s="134">
        <v>0.97</v>
      </c>
      <c r="G187" s="135">
        <v>0.86</v>
      </c>
      <c r="H187" s="133">
        <v>2021</v>
      </c>
      <c r="I187" s="152" t="s">
        <v>5566</v>
      </c>
    </row>
    <row r="188" spans="1:9" ht="18.75" thickBot="1" x14ac:dyDescent="0.3">
      <c r="A188" s="133" t="str">
        <f t="shared" si="2"/>
        <v>020658O</v>
      </c>
      <c r="B188" s="133" t="s">
        <v>5991</v>
      </c>
      <c r="C188" s="133" t="s">
        <v>5992</v>
      </c>
      <c r="D188" s="133" t="s">
        <v>24</v>
      </c>
      <c r="E188" s="134"/>
      <c r="F188" s="134" t="s">
        <v>5552</v>
      </c>
      <c r="G188" s="135">
        <v>2.34</v>
      </c>
      <c r="H188" s="133">
        <v>2008</v>
      </c>
      <c r="I188" s="152" t="s">
        <v>5598</v>
      </c>
    </row>
    <row r="189" spans="1:9" ht="18.75" thickBot="1" x14ac:dyDescent="0.3">
      <c r="A189" s="133" t="str">
        <f t="shared" si="2"/>
        <v>104112I</v>
      </c>
      <c r="B189" s="133" t="s">
        <v>5995</v>
      </c>
      <c r="C189" s="133" t="s">
        <v>5996</v>
      </c>
      <c r="D189" s="133" t="s">
        <v>5503</v>
      </c>
      <c r="E189" s="134"/>
      <c r="F189" s="134">
        <v>1.1100000000000001</v>
      </c>
      <c r="G189" s="135">
        <v>0.99</v>
      </c>
      <c r="H189" s="133">
        <v>2023</v>
      </c>
      <c r="I189" s="152" t="s">
        <v>5594</v>
      </c>
    </row>
    <row r="190" spans="1:9" ht="18.75" thickBot="1" x14ac:dyDescent="0.3">
      <c r="A190" s="133" t="str">
        <f t="shared" si="2"/>
        <v>129203J</v>
      </c>
      <c r="B190" s="133" t="s">
        <v>7178</v>
      </c>
      <c r="C190" s="133" t="s">
        <v>7179</v>
      </c>
      <c r="D190" s="133" t="s">
        <v>5504</v>
      </c>
      <c r="E190" s="134"/>
      <c r="F190" s="134">
        <v>0.59</v>
      </c>
      <c r="G190" s="135">
        <v>0.52</v>
      </c>
      <c r="H190" s="133">
        <v>2011</v>
      </c>
      <c r="I190" s="152" t="s">
        <v>5566</v>
      </c>
    </row>
    <row r="191" spans="1:9" ht="18.75" thickBot="1" x14ac:dyDescent="0.3">
      <c r="A191" s="133" t="str">
        <f t="shared" si="2"/>
        <v>147797Z</v>
      </c>
      <c r="B191" s="133" t="s">
        <v>7180</v>
      </c>
      <c r="C191" s="133" t="s">
        <v>7181</v>
      </c>
      <c r="D191" s="133" t="s">
        <v>5504</v>
      </c>
      <c r="E191" s="134"/>
      <c r="F191" s="134">
        <v>0.87</v>
      </c>
      <c r="G191" s="135">
        <v>0.78</v>
      </c>
      <c r="H191" s="133">
        <v>2018</v>
      </c>
      <c r="I191" s="152" t="s">
        <v>5559</v>
      </c>
    </row>
    <row r="192" spans="1:9" ht="18.75" thickBot="1" x14ac:dyDescent="0.3">
      <c r="A192" s="133" t="str">
        <f t="shared" si="2"/>
        <v>012990Q</v>
      </c>
      <c r="B192" s="133" t="s">
        <v>6003</v>
      </c>
      <c r="C192" s="133" t="s">
        <v>6004</v>
      </c>
      <c r="D192" s="133" t="s">
        <v>5504</v>
      </c>
      <c r="E192" s="134"/>
      <c r="F192" s="134">
        <v>0.63</v>
      </c>
      <c r="G192" s="135">
        <v>0.56000000000000005</v>
      </c>
      <c r="H192" s="133">
        <v>2023</v>
      </c>
      <c r="I192" s="152" t="s">
        <v>5646</v>
      </c>
    </row>
    <row r="193" spans="1:9" ht="18.75" thickBot="1" x14ac:dyDescent="0.3">
      <c r="A193" s="133" t="str">
        <f t="shared" si="2"/>
        <v>148884F</v>
      </c>
      <c r="B193" s="133" t="s">
        <v>6005</v>
      </c>
      <c r="C193" s="133" t="s">
        <v>6006</v>
      </c>
      <c r="D193" s="133" t="s">
        <v>5504</v>
      </c>
      <c r="E193" s="134"/>
      <c r="F193" s="134">
        <v>0.96</v>
      </c>
      <c r="G193" s="135">
        <v>0.85</v>
      </c>
      <c r="H193" s="133">
        <v>2024</v>
      </c>
      <c r="I193" s="152" t="s">
        <v>5582</v>
      </c>
    </row>
    <row r="194" spans="1:9" ht="18.75" thickBot="1" x14ac:dyDescent="0.3">
      <c r="A194" s="133" t="str">
        <f t="shared" ref="A194:A257" si="3">SUBSTITUTE(B194,CHAR(32),"")</f>
        <v>012998Y</v>
      </c>
      <c r="B194" s="133" t="s">
        <v>6007</v>
      </c>
      <c r="C194" s="133" t="s">
        <v>6008</v>
      </c>
      <c r="D194" s="133" t="s">
        <v>26</v>
      </c>
      <c r="E194" s="134"/>
      <c r="F194" s="134">
        <v>1.96</v>
      </c>
      <c r="G194" s="135">
        <v>1.74</v>
      </c>
      <c r="H194" s="133">
        <v>2013</v>
      </c>
      <c r="I194" s="152" t="s">
        <v>5587</v>
      </c>
    </row>
    <row r="195" spans="1:9" ht="18.75" thickBot="1" x14ac:dyDescent="0.3">
      <c r="A195" s="133" t="str">
        <f t="shared" si="3"/>
        <v>178674L</v>
      </c>
      <c r="B195" s="133" t="s">
        <v>6009</v>
      </c>
      <c r="C195" s="133" t="s">
        <v>6010</v>
      </c>
      <c r="D195" s="133" t="s">
        <v>5504</v>
      </c>
      <c r="E195" s="134"/>
      <c r="F195" s="134">
        <v>0.96</v>
      </c>
      <c r="G195" s="135">
        <v>0.85</v>
      </c>
      <c r="H195" s="133">
        <v>2024</v>
      </c>
      <c r="I195" s="152" t="s">
        <v>5582</v>
      </c>
    </row>
    <row r="196" spans="1:9" ht="18.75" thickBot="1" x14ac:dyDescent="0.3">
      <c r="A196" s="133" t="str">
        <f t="shared" si="3"/>
        <v>123909T</v>
      </c>
      <c r="B196" s="133" t="s">
        <v>7182</v>
      </c>
      <c r="C196" s="133" t="s">
        <v>7183</v>
      </c>
      <c r="D196" s="133" t="s">
        <v>5504</v>
      </c>
      <c r="E196" s="134"/>
      <c r="F196" s="134">
        <v>0.53</v>
      </c>
      <c r="G196" s="135">
        <v>0.47</v>
      </c>
      <c r="H196" s="133">
        <v>2024</v>
      </c>
      <c r="I196" s="152" t="s">
        <v>5701</v>
      </c>
    </row>
    <row r="197" spans="1:9" ht="18.75" thickBot="1" x14ac:dyDescent="0.3">
      <c r="A197" s="133" t="str">
        <f t="shared" si="3"/>
        <v>154263C</v>
      </c>
      <c r="B197" s="133" t="s">
        <v>6011</v>
      </c>
      <c r="C197" s="133" t="s">
        <v>6012</v>
      </c>
      <c r="D197" s="133" t="s">
        <v>5704</v>
      </c>
      <c r="E197" s="134"/>
      <c r="F197" s="134">
        <v>0.84</v>
      </c>
      <c r="G197" s="135">
        <v>0.75</v>
      </c>
      <c r="H197" s="133">
        <v>2024</v>
      </c>
      <c r="I197" s="152" t="s">
        <v>5598</v>
      </c>
    </row>
    <row r="198" spans="1:9" ht="18.75" thickBot="1" x14ac:dyDescent="0.3">
      <c r="A198" s="133" t="str">
        <f t="shared" si="3"/>
        <v>020257D</v>
      </c>
      <c r="B198" s="133" t="s">
        <v>7184</v>
      </c>
      <c r="C198" s="133" t="s">
        <v>7185</v>
      </c>
      <c r="D198" s="133" t="s">
        <v>5503</v>
      </c>
      <c r="E198" s="134"/>
      <c r="F198" s="134">
        <v>1.39</v>
      </c>
      <c r="G198" s="135">
        <v>1.24</v>
      </c>
      <c r="H198" s="133">
        <v>2020</v>
      </c>
      <c r="I198" s="152" t="s">
        <v>5735</v>
      </c>
    </row>
    <row r="199" spans="1:9" ht="18.75" thickBot="1" x14ac:dyDescent="0.3">
      <c r="A199" s="133" t="str">
        <f t="shared" si="3"/>
        <v>138062C</v>
      </c>
      <c r="B199" s="133" t="s">
        <v>6013</v>
      </c>
      <c r="C199" s="133" t="s">
        <v>6014</v>
      </c>
      <c r="D199" s="133" t="s">
        <v>5504</v>
      </c>
      <c r="E199" s="134"/>
      <c r="F199" s="134">
        <v>0.65</v>
      </c>
      <c r="G199" s="135">
        <v>0.57999999999999996</v>
      </c>
      <c r="H199" s="133">
        <v>2011</v>
      </c>
      <c r="I199" s="152" t="s">
        <v>5705</v>
      </c>
    </row>
    <row r="200" spans="1:9" ht="18.75" thickBot="1" x14ac:dyDescent="0.3">
      <c r="A200" s="133" t="str">
        <f t="shared" si="3"/>
        <v>140297B</v>
      </c>
      <c r="B200" s="133" t="s">
        <v>6015</v>
      </c>
      <c r="C200" s="133" t="s">
        <v>6016</v>
      </c>
      <c r="D200" s="133" t="s">
        <v>26</v>
      </c>
      <c r="E200" s="134"/>
      <c r="F200" s="134">
        <v>1.76</v>
      </c>
      <c r="G200" s="135">
        <v>1.56</v>
      </c>
      <c r="H200" s="133">
        <v>2024</v>
      </c>
      <c r="I200" s="152" t="s">
        <v>5625</v>
      </c>
    </row>
    <row r="201" spans="1:9" ht="18.75" thickBot="1" x14ac:dyDescent="0.3">
      <c r="A201" s="133" t="str">
        <f t="shared" si="3"/>
        <v>163127M</v>
      </c>
      <c r="B201" s="133" t="s">
        <v>7186</v>
      </c>
      <c r="C201" s="133" t="s">
        <v>7187</v>
      </c>
      <c r="D201" s="133" t="s">
        <v>5597</v>
      </c>
      <c r="E201" s="134"/>
      <c r="F201" s="134">
        <v>1.05</v>
      </c>
      <c r="G201" s="135">
        <v>0.94</v>
      </c>
      <c r="H201" s="133">
        <v>2024</v>
      </c>
      <c r="I201" s="152" t="s">
        <v>5639</v>
      </c>
    </row>
    <row r="202" spans="1:9" ht="18.75" thickBot="1" x14ac:dyDescent="0.3">
      <c r="A202" s="133" t="str">
        <f t="shared" si="3"/>
        <v>013010K</v>
      </c>
      <c r="B202" s="133" t="s">
        <v>6017</v>
      </c>
      <c r="C202" s="133" t="s">
        <v>6018</v>
      </c>
      <c r="D202" s="133" t="s">
        <v>5503</v>
      </c>
      <c r="E202" s="134"/>
      <c r="F202" s="134">
        <v>1.24</v>
      </c>
      <c r="G202" s="135">
        <v>1.1000000000000001</v>
      </c>
      <c r="H202" s="133">
        <v>2024</v>
      </c>
      <c r="I202" s="152" t="s">
        <v>5678</v>
      </c>
    </row>
    <row r="203" spans="1:9" ht="18.75" thickBot="1" x14ac:dyDescent="0.3">
      <c r="A203" s="133" t="str">
        <f t="shared" si="3"/>
        <v>146714W</v>
      </c>
      <c r="B203" s="133" t="s">
        <v>6019</v>
      </c>
      <c r="C203" s="133" t="s">
        <v>6020</v>
      </c>
      <c r="D203" s="133" t="s">
        <v>5504</v>
      </c>
      <c r="E203" s="134"/>
      <c r="F203" s="134">
        <v>0.48</v>
      </c>
      <c r="G203" s="135">
        <v>0.42</v>
      </c>
      <c r="H203" s="133">
        <v>2023</v>
      </c>
      <c r="I203" s="152" t="s">
        <v>5625</v>
      </c>
    </row>
    <row r="204" spans="1:9" ht="18.75" thickBot="1" x14ac:dyDescent="0.3">
      <c r="A204" s="133" t="str">
        <f t="shared" si="3"/>
        <v>134929P</v>
      </c>
      <c r="B204" s="133" t="s">
        <v>6023</v>
      </c>
      <c r="C204" s="133" t="s">
        <v>6024</v>
      </c>
      <c r="D204" s="133" t="s">
        <v>24</v>
      </c>
      <c r="E204" s="134"/>
      <c r="F204" s="134" t="s">
        <v>5552</v>
      </c>
      <c r="G204" s="135">
        <v>2.5099999999999998</v>
      </c>
      <c r="H204" s="133">
        <v>2023</v>
      </c>
      <c r="I204" s="152" t="s">
        <v>5635</v>
      </c>
    </row>
    <row r="205" spans="1:9" ht="18.75" thickBot="1" x14ac:dyDescent="0.3">
      <c r="A205" s="133" t="str">
        <f t="shared" si="3"/>
        <v>129845B</v>
      </c>
      <c r="B205" s="133" t="s">
        <v>6026</v>
      </c>
      <c r="C205" s="133" t="s">
        <v>6024</v>
      </c>
      <c r="D205" s="133" t="s">
        <v>5503</v>
      </c>
      <c r="E205" s="134"/>
      <c r="F205" s="134">
        <v>1.66</v>
      </c>
      <c r="G205" s="135">
        <v>1.48</v>
      </c>
      <c r="H205" s="133">
        <v>2017</v>
      </c>
      <c r="I205" s="152" t="s">
        <v>5850</v>
      </c>
    </row>
    <row r="206" spans="1:9" ht="18.75" thickBot="1" x14ac:dyDescent="0.3">
      <c r="A206" s="133" t="str">
        <f t="shared" si="3"/>
        <v>117582K</v>
      </c>
      <c r="B206" s="133" t="s">
        <v>6027</v>
      </c>
      <c r="C206" s="133" t="s">
        <v>6028</v>
      </c>
      <c r="D206" s="133" t="s">
        <v>5503</v>
      </c>
      <c r="E206" s="134"/>
      <c r="F206" s="134">
        <v>1.35</v>
      </c>
      <c r="G206" s="135">
        <v>1.2</v>
      </c>
      <c r="H206" s="133">
        <v>2009</v>
      </c>
      <c r="I206" s="152" t="s">
        <v>5553</v>
      </c>
    </row>
    <row r="207" spans="1:9" ht="18.75" thickBot="1" x14ac:dyDescent="0.3">
      <c r="A207" s="133" t="str">
        <f t="shared" si="3"/>
        <v>145804W</v>
      </c>
      <c r="B207" s="133" t="s">
        <v>7188</v>
      </c>
      <c r="C207" s="133" t="s">
        <v>7189</v>
      </c>
      <c r="D207" s="133" t="s">
        <v>5504</v>
      </c>
      <c r="E207" s="134"/>
      <c r="F207" s="134">
        <v>0.79</v>
      </c>
      <c r="G207" s="135">
        <v>0.7</v>
      </c>
      <c r="H207" s="133">
        <v>2024</v>
      </c>
      <c r="I207" s="152" t="s">
        <v>5553</v>
      </c>
    </row>
    <row r="208" spans="1:9" ht="18.75" thickBot="1" x14ac:dyDescent="0.3">
      <c r="A208" s="133" t="str">
        <f t="shared" si="3"/>
        <v>141486U</v>
      </c>
      <c r="B208" s="133" t="s">
        <v>8528</v>
      </c>
      <c r="C208" s="133" t="s">
        <v>8529</v>
      </c>
      <c r="D208" s="133" t="s">
        <v>5704</v>
      </c>
      <c r="E208" s="134"/>
      <c r="F208" s="134">
        <v>0.49</v>
      </c>
      <c r="G208" s="135">
        <v>0.44</v>
      </c>
      <c r="H208" s="133">
        <v>2024</v>
      </c>
      <c r="I208" s="152" t="s">
        <v>5768</v>
      </c>
    </row>
    <row r="209" spans="1:9" ht="18.75" thickBot="1" x14ac:dyDescent="0.3">
      <c r="A209" s="133" t="str">
        <f t="shared" si="3"/>
        <v>013026A</v>
      </c>
      <c r="B209" s="133" t="s">
        <v>6029</v>
      </c>
      <c r="C209" s="133" t="s">
        <v>6030</v>
      </c>
      <c r="D209" s="133" t="s">
        <v>5504</v>
      </c>
      <c r="E209" s="134"/>
      <c r="F209" s="134">
        <v>0.69</v>
      </c>
      <c r="G209" s="135">
        <v>0.61</v>
      </c>
      <c r="H209" s="133">
        <v>2024</v>
      </c>
      <c r="I209" s="152" t="s">
        <v>5651</v>
      </c>
    </row>
    <row r="210" spans="1:9" ht="18.75" thickBot="1" x14ac:dyDescent="0.3">
      <c r="A210" s="133" t="str">
        <f t="shared" si="3"/>
        <v>169261E</v>
      </c>
      <c r="B210" s="133" t="s">
        <v>6031</v>
      </c>
      <c r="C210" s="133" t="s">
        <v>6032</v>
      </c>
      <c r="D210" s="133" t="s">
        <v>5504</v>
      </c>
      <c r="E210" s="134"/>
      <c r="F210" s="134">
        <v>0.66</v>
      </c>
      <c r="G210" s="135">
        <v>0.59</v>
      </c>
      <c r="H210" s="133">
        <v>2023</v>
      </c>
      <c r="I210" s="152" t="s">
        <v>5895</v>
      </c>
    </row>
    <row r="211" spans="1:9" ht="18.75" thickBot="1" x14ac:dyDescent="0.3">
      <c r="A211" s="133" t="str">
        <f t="shared" si="3"/>
        <v>129413L</v>
      </c>
      <c r="B211" s="133" t="s">
        <v>7190</v>
      </c>
      <c r="C211" s="133" t="s">
        <v>7191</v>
      </c>
      <c r="D211" s="133" t="s">
        <v>5504</v>
      </c>
      <c r="E211" s="134"/>
      <c r="F211" s="134">
        <v>0.24</v>
      </c>
      <c r="G211" s="135">
        <v>0.21</v>
      </c>
      <c r="H211" s="133">
        <v>2011</v>
      </c>
      <c r="I211" s="152" t="s">
        <v>5556</v>
      </c>
    </row>
    <row r="212" spans="1:9" ht="18.75" thickBot="1" x14ac:dyDescent="0.3">
      <c r="A212" s="133" t="str">
        <f t="shared" si="3"/>
        <v>165469H</v>
      </c>
      <c r="B212" s="133" t="s">
        <v>7192</v>
      </c>
      <c r="C212" s="133" t="s">
        <v>7193</v>
      </c>
      <c r="D212" s="133" t="s">
        <v>5504</v>
      </c>
      <c r="E212" s="134"/>
      <c r="F212" s="134">
        <v>0.55000000000000004</v>
      </c>
      <c r="G212" s="135">
        <v>0.49</v>
      </c>
      <c r="H212" s="133">
        <v>2023</v>
      </c>
      <c r="I212" s="152" t="s">
        <v>5895</v>
      </c>
    </row>
    <row r="213" spans="1:9" ht="18.75" thickBot="1" x14ac:dyDescent="0.3">
      <c r="A213" s="133" t="str">
        <f t="shared" si="3"/>
        <v>013038M</v>
      </c>
      <c r="B213" s="133" t="s">
        <v>6035</v>
      </c>
      <c r="C213" s="133" t="s">
        <v>6036</v>
      </c>
      <c r="D213" s="133" t="s">
        <v>5503</v>
      </c>
      <c r="E213" s="134"/>
      <c r="F213" s="134">
        <v>1.2</v>
      </c>
      <c r="G213" s="135">
        <v>1.06</v>
      </c>
      <c r="H213" s="133">
        <v>2014</v>
      </c>
      <c r="I213" s="152" t="s">
        <v>5651</v>
      </c>
    </row>
    <row r="214" spans="1:9" ht="18.75" thickBot="1" x14ac:dyDescent="0.3">
      <c r="A214" s="133" t="str">
        <f t="shared" si="3"/>
        <v>133265P</v>
      </c>
      <c r="B214" s="133" t="s">
        <v>6037</v>
      </c>
      <c r="C214" s="133" t="s">
        <v>6038</v>
      </c>
      <c r="D214" s="133" t="s">
        <v>5503</v>
      </c>
      <c r="E214" s="134"/>
      <c r="F214" s="134">
        <v>1.55</v>
      </c>
      <c r="G214" s="135">
        <v>1.38</v>
      </c>
      <c r="H214" s="133">
        <v>2016</v>
      </c>
      <c r="I214" s="152" t="s">
        <v>5726</v>
      </c>
    </row>
    <row r="215" spans="1:9" ht="18.75" thickBot="1" x14ac:dyDescent="0.3">
      <c r="A215" s="133" t="str">
        <f t="shared" si="3"/>
        <v>146395P</v>
      </c>
      <c r="B215" s="133" t="s">
        <v>6039</v>
      </c>
      <c r="C215" s="133" t="s">
        <v>6040</v>
      </c>
      <c r="D215" s="133" t="s">
        <v>5503</v>
      </c>
      <c r="E215" s="134"/>
      <c r="F215" s="134">
        <v>1.03</v>
      </c>
      <c r="G215" s="135">
        <v>0.92</v>
      </c>
      <c r="H215" s="133">
        <v>2023</v>
      </c>
      <c r="I215" s="152" t="s">
        <v>5566</v>
      </c>
    </row>
    <row r="216" spans="1:9" ht="18.75" thickBot="1" x14ac:dyDescent="0.3">
      <c r="A216" s="133" t="str">
        <f t="shared" si="3"/>
        <v>013043R</v>
      </c>
      <c r="B216" s="133" t="s">
        <v>6041</v>
      </c>
      <c r="C216" s="133" t="s">
        <v>6042</v>
      </c>
      <c r="D216" s="133" t="s">
        <v>5504</v>
      </c>
      <c r="E216" s="134"/>
      <c r="F216" s="134">
        <v>0.64</v>
      </c>
      <c r="G216" s="135">
        <v>0.56999999999999995</v>
      </c>
      <c r="H216" s="133">
        <v>2011</v>
      </c>
      <c r="I216" s="152" t="s">
        <v>5615</v>
      </c>
    </row>
    <row r="217" spans="1:9" ht="18.75" thickBot="1" x14ac:dyDescent="0.3">
      <c r="A217" s="133" t="str">
        <f t="shared" si="3"/>
        <v>136703V</v>
      </c>
      <c r="B217" s="133" t="s">
        <v>7194</v>
      </c>
      <c r="C217" s="133" t="s">
        <v>7195</v>
      </c>
      <c r="D217" s="133" t="s">
        <v>5504</v>
      </c>
      <c r="E217" s="134"/>
      <c r="F217" s="134">
        <v>0.75</v>
      </c>
      <c r="G217" s="135">
        <v>0.66</v>
      </c>
      <c r="H217" s="133">
        <v>2022</v>
      </c>
      <c r="I217" s="152" t="s">
        <v>5710</v>
      </c>
    </row>
    <row r="218" spans="1:9" ht="18.75" thickBot="1" x14ac:dyDescent="0.3">
      <c r="A218" s="133" t="str">
        <f t="shared" si="3"/>
        <v>148225P</v>
      </c>
      <c r="B218" s="133" t="s">
        <v>7196</v>
      </c>
      <c r="C218" s="133" t="s">
        <v>7197</v>
      </c>
      <c r="D218" s="133" t="s">
        <v>5503</v>
      </c>
      <c r="E218" s="134"/>
      <c r="F218" s="134">
        <v>1.21</v>
      </c>
      <c r="G218" s="135">
        <v>1.07</v>
      </c>
      <c r="H218" s="133">
        <v>2020</v>
      </c>
      <c r="I218" s="152" t="s">
        <v>5710</v>
      </c>
    </row>
    <row r="219" spans="1:9" ht="18.75" thickBot="1" x14ac:dyDescent="0.3">
      <c r="A219" s="133" t="str">
        <f t="shared" si="3"/>
        <v>113925T</v>
      </c>
      <c r="B219" s="133" t="s">
        <v>7198</v>
      </c>
      <c r="C219" s="133" t="s">
        <v>7199</v>
      </c>
      <c r="D219" s="133" t="s">
        <v>26</v>
      </c>
      <c r="E219" s="134"/>
      <c r="F219" s="134">
        <v>1.63</v>
      </c>
      <c r="G219" s="135">
        <v>1.45</v>
      </c>
      <c r="H219" s="133">
        <v>2016</v>
      </c>
      <c r="I219" s="152" t="s">
        <v>5615</v>
      </c>
    </row>
    <row r="220" spans="1:9" ht="18.75" thickBot="1" x14ac:dyDescent="0.3">
      <c r="A220" s="133" t="str">
        <f t="shared" si="3"/>
        <v>134792I</v>
      </c>
      <c r="B220" s="133" t="s">
        <v>6051</v>
      </c>
      <c r="C220" s="133" t="s">
        <v>6052</v>
      </c>
      <c r="D220" s="133" t="s">
        <v>5503</v>
      </c>
      <c r="E220" s="134"/>
      <c r="F220" s="134">
        <v>1.22</v>
      </c>
      <c r="G220" s="135">
        <v>1.0900000000000001</v>
      </c>
      <c r="H220" s="133">
        <v>2015</v>
      </c>
      <c r="I220" s="152" t="s">
        <v>5895</v>
      </c>
    </row>
    <row r="221" spans="1:9" ht="18.75" thickBot="1" x14ac:dyDescent="0.3">
      <c r="A221" s="133" t="str">
        <f t="shared" si="3"/>
        <v>013058G</v>
      </c>
      <c r="B221" s="133" t="s">
        <v>6053</v>
      </c>
      <c r="C221" s="133" t="s">
        <v>6054</v>
      </c>
      <c r="D221" s="133" t="s">
        <v>24</v>
      </c>
      <c r="E221" s="134"/>
      <c r="F221" s="134" t="s">
        <v>5552</v>
      </c>
      <c r="G221" s="135">
        <v>2.41</v>
      </c>
      <c r="H221" s="133">
        <v>2009</v>
      </c>
      <c r="I221" s="152" t="s">
        <v>5566</v>
      </c>
    </row>
    <row r="222" spans="1:9" ht="18.75" thickBot="1" x14ac:dyDescent="0.3">
      <c r="A222" s="133" t="str">
        <f t="shared" si="3"/>
        <v>013061J</v>
      </c>
      <c r="B222" s="133" t="s">
        <v>6060</v>
      </c>
      <c r="C222" s="133" t="s">
        <v>6061</v>
      </c>
      <c r="D222" s="133" t="s">
        <v>5765</v>
      </c>
      <c r="E222" s="134"/>
      <c r="F222" s="134" t="s">
        <v>5552</v>
      </c>
      <c r="G222" s="135">
        <v>7.09</v>
      </c>
      <c r="H222" s="133">
        <v>2012</v>
      </c>
      <c r="I222" s="152" t="s">
        <v>5678</v>
      </c>
    </row>
    <row r="223" spans="1:9" ht="18.75" thickBot="1" x14ac:dyDescent="0.3">
      <c r="A223" s="133" t="str">
        <f t="shared" si="3"/>
        <v>172629Q</v>
      </c>
      <c r="B223" s="133" t="s">
        <v>6064</v>
      </c>
      <c r="C223" s="133" t="s">
        <v>6065</v>
      </c>
      <c r="D223" s="133" t="s">
        <v>5504</v>
      </c>
      <c r="E223" s="134"/>
      <c r="F223" s="134">
        <v>0.77</v>
      </c>
      <c r="G223" s="135">
        <v>0.68</v>
      </c>
      <c r="H223" s="133">
        <v>2024</v>
      </c>
      <c r="I223" s="152" t="s">
        <v>5726</v>
      </c>
    </row>
    <row r="224" spans="1:9" ht="18.75" thickBot="1" x14ac:dyDescent="0.3">
      <c r="A224" s="133" t="str">
        <f t="shared" si="3"/>
        <v>013071T</v>
      </c>
      <c r="B224" s="133" t="s">
        <v>7200</v>
      </c>
      <c r="C224" s="133" t="s">
        <v>7201</v>
      </c>
      <c r="D224" s="133" t="s">
        <v>5504</v>
      </c>
      <c r="E224" s="134"/>
      <c r="F224" s="134">
        <v>0.76</v>
      </c>
      <c r="G224" s="135">
        <v>0.68</v>
      </c>
      <c r="H224" s="133">
        <v>2013</v>
      </c>
      <c r="I224" s="152" t="s">
        <v>5678</v>
      </c>
    </row>
    <row r="225" spans="1:9" ht="18.75" thickBot="1" x14ac:dyDescent="0.3">
      <c r="A225" s="133" t="str">
        <f t="shared" si="3"/>
        <v>126916K</v>
      </c>
      <c r="B225" s="133" t="s">
        <v>6066</v>
      </c>
      <c r="C225" s="133" t="s">
        <v>6067</v>
      </c>
      <c r="D225" s="133" t="s">
        <v>5504</v>
      </c>
      <c r="E225" s="134"/>
      <c r="F225" s="134">
        <v>0.84</v>
      </c>
      <c r="G225" s="135">
        <v>0.74</v>
      </c>
      <c r="H225" s="133">
        <v>2010</v>
      </c>
      <c r="I225" s="152" t="s">
        <v>5639</v>
      </c>
    </row>
    <row r="226" spans="1:9" ht="18.75" thickBot="1" x14ac:dyDescent="0.3">
      <c r="A226" s="133" t="str">
        <f t="shared" si="3"/>
        <v>108071P</v>
      </c>
      <c r="B226" s="133" t="s">
        <v>6070</v>
      </c>
      <c r="C226" s="133" t="s">
        <v>6071</v>
      </c>
      <c r="D226" s="133" t="s">
        <v>5597</v>
      </c>
      <c r="E226" s="134"/>
      <c r="F226" s="134">
        <v>0.99</v>
      </c>
      <c r="G226" s="135">
        <v>0.88</v>
      </c>
      <c r="H226" s="133">
        <v>2024</v>
      </c>
      <c r="I226" s="152" t="s">
        <v>5787</v>
      </c>
    </row>
    <row r="227" spans="1:9" ht="18.75" thickBot="1" x14ac:dyDescent="0.3">
      <c r="A227" s="133" t="str">
        <f t="shared" si="3"/>
        <v>148066R</v>
      </c>
      <c r="B227" s="133" t="s">
        <v>6075</v>
      </c>
      <c r="C227" s="133" t="s">
        <v>6076</v>
      </c>
      <c r="D227" s="133" t="s">
        <v>5504</v>
      </c>
      <c r="E227" s="134"/>
      <c r="F227" s="134">
        <v>0.39</v>
      </c>
      <c r="G227" s="135">
        <v>0.35</v>
      </c>
      <c r="H227" s="133">
        <v>2024</v>
      </c>
      <c r="I227" s="152" t="s">
        <v>5563</v>
      </c>
    </row>
    <row r="228" spans="1:9" ht="18.75" thickBot="1" x14ac:dyDescent="0.3">
      <c r="A228" s="133" t="str">
        <f t="shared" si="3"/>
        <v>013082E</v>
      </c>
      <c r="B228" s="133" t="s">
        <v>6077</v>
      </c>
      <c r="C228" s="133" t="s">
        <v>6078</v>
      </c>
      <c r="D228" s="133" t="s">
        <v>5503</v>
      </c>
      <c r="E228" s="134"/>
      <c r="F228" s="134">
        <v>1.6</v>
      </c>
      <c r="G228" s="135">
        <v>1.42</v>
      </c>
      <c r="H228" s="133">
        <v>2010</v>
      </c>
      <c r="I228" s="152" t="s">
        <v>5710</v>
      </c>
    </row>
    <row r="229" spans="1:9" ht="18.75" thickBot="1" x14ac:dyDescent="0.3">
      <c r="A229" s="133" t="str">
        <f t="shared" si="3"/>
        <v>106022U</v>
      </c>
      <c r="B229" s="133" t="s">
        <v>6082</v>
      </c>
      <c r="C229" s="133" t="s">
        <v>6083</v>
      </c>
      <c r="D229" s="133" t="s">
        <v>24</v>
      </c>
      <c r="E229" s="134"/>
      <c r="F229" s="134" t="s">
        <v>5552</v>
      </c>
      <c r="G229" s="135">
        <v>1.24</v>
      </c>
      <c r="H229" s="133">
        <v>2020</v>
      </c>
      <c r="I229" s="152" t="s">
        <v>5625</v>
      </c>
    </row>
    <row r="230" spans="1:9" ht="18.75" thickBot="1" x14ac:dyDescent="0.3">
      <c r="A230" s="133" t="str">
        <f t="shared" si="3"/>
        <v>111136M</v>
      </c>
      <c r="B230" s="133" t="s">
        <v>6086</v>
      </c>
      <c r="C230" s="133" t="s">
        <v>6087</v>
      </c>
      <c r="D230" s="133" t="s">
        <v>5503</v>
      </c>
      <c r="E230" s="134"/>
      <c r="F230" s="134">
        <v>0.88</v>
      </c>
      <c r="G230" s="135">
        <v>0.79</v>
      </c>
      <c r="H230" s="133">
        <v>2017</v>
      </c>
      <c r="I230" s="152" t="s">
        <v>5678</v>
      </c>
    </row>
    <row r="231" spans="1:9" ht="18.75" thickBot="1" x14ac:dyDescent="0.3">
      <c r="A231" s="133" t="str">
        <f t="shared" si="3"/>
        <v>113683L</v>
      </c>
      <c r="B231" s="133" t="s">
        <v>7202</v>
      </c>
      <c r="C231" s="133" t="s">
        <v>7203</v>
      </c>
      <c r="D231" s="133" t="s">
        <v>26</v>
      </c>
      <c r="E231" s="134"/>
      <c r="F231" s="134">
        <v>2.09</v>
      </c>
      <c r="G231" s="135">
        <v>1.86</v>
      </c>
      <c r="H231" s="133">
        <v>2024</v>
      </c>
      <c r="I231" s="152" t="s">
        <v>5895</v>
      </c>
    </row>
    <row r="232" spans="1:9" ht="18.75" thickBot="1" x14ac:dyDescent="0.3">
      <c r="A232" s="133" t="str">
        <f t="shared" si="3"/>
        <v>130149T</v>
      </c>
      <c r="B232" s="133" t="s">
        <v>7204</v>
      </c>
      <c r="C232" s="133" t="s">
        <v>7205</v>
      </c>
      <c r="D232" s="133" t="s">
        <v>5504</v>
      </c>
      <c r="E232" s="134"/>
      <c r="F232" s="134">
        <v>0.72</v>
      </c>
      <c r="G232" s="135">
        <v>0.64</v>
      </c>
      <c r="H232" s="133">
        <v>2019</v>
      </c>
      <c r="I232" s="152" t="s">
        <v>5587</v>
      </c>
    </row>
    <row r="233" spans="1:9" ht="18.75" thickBot="1" x14ac:dyDescent="0.3">
      <c r="A233" s="133" t="str">
        <f t="shared" si="3"/>
        <v>120708Q</v>
      </c>
      <c r="B233" s="133" t="s">
        <v>6090</v>
      </c>
      <c r="C233" s="133" t="s">
        <v>6091</v>
      </c>
      <c r="D233" s="133" t="s">
        <v>5504</v>
      </c>
      <c r="E233" s="134"/>
      <c r="F233" s="134">
        <v>0.83</v>
      </c>
      <c r="G233" s="135">
        <v>0.74</v>
      </c>
      <c r="H233" s="133">
        <v>2012</v>
      </c>
      <c r="I233" s="152" t="s">
        <v>5639</v>
      </c>
    </row>
    <row r="234" spans="1:9" ht="18.75" thickBot="1" x14ac:dyDescent="0.3">
      <c r="A234" s="133" t="str">
        <f t="shared" si="3"/>
        <v>113921P</v>
      </c>
      <c r="B234" s="133" t="s">
        <v>6092</v>
      </c>
      <c r="C234" s="133" t="s">
        <v>6093</v>
      </c>
      <c r="D234" s="133" t="s">
        <v>24</v>
      </c>
      <c r="E234" s="134"/>
      <c r="F234" s="134" t="s">
        <v>5552</v>
      </c>
      <c r="G234" s="135">
        <v>2.34</v>
      </c>
      <c r="H234" s="133">
        <v>2018</v>
      </c>
      <c r="I234" s="152" t="s">
        <v>5615</v>
      </c>
    </row>
    <row r="235" spans="1:9" ht="18.75" thickBot="1" x14ac:dyDescent="0.3">
      <c r="A235" s="133" t="str">
        <f t="shared" si="3"/>
        <v>013107D</v>
      </c>
      <c r="B235" s="133" t="s">
        <v>6094</v>
      </c>
      <c r="C235" s="133" t="s">
        <v>6095</v>
      </c>
      <c r="D235" s="133" t="s">
        <v>24</v>
      </c>
      <c r="E235" s="134"/>
      <c r="F235" s="134" t="s">
        <v>5552</v>
      </c>
      <c r="G235" s="135">
        <v>2.8</v>
      </c>
      <c r="H235" s="133">
        <v>2016</v>
      </c>
      <c r="I235" s="152" t="s">
        <v>5559</v>
      </c>
    </row>
    <row r="236" spans="1:9" ht="18.75" thickBot="1" x14ac:dyDescent="0.3">
      <c r="A236" s="133" t="str">
        <f t="shared" si="3"/>
        <v>013110G</v>
      </c>
      <c r="B236" s="133" t="s">
        <v>6100</v>
      </c>
      <c r="C236" s="133" t="s">
        <v>6101</v>
      </c>
      <c r="D236" s="133" t="s">
        <v>5503</v>
      </c>
      <c r="E236" s="134"/>
      <c r="F236" s="134">
        <v>1.38</v>
      </c>
      <c r="G236" s="135">
        <v>1.23</v>
      </c>
      <c r="H236" s="133">
        <v>2013</v>
      </c>
      <c r="I236" s="152" t="s">
        <v>5651</v>
      </c>
    </row>
    <row r="237" spans="1:9" ht="18.75" thickBot="1" x14ac:dyDescent="0.3">
      <c r="A237" s="133" t="str">
        <f t="shared" si="3"/>
        <v>156543F</v>
      </c>
      <c r="B237" s="133" t="s">
        <v>6102</v>
      </c>
      <c r="C237" s="133" t="s">
        <v>6103</v>
      </c>
      <c r="D237" s="133" t="s">
        <v>5503</v>
      </c>
      <c r="E237" s="134"/>
      <c r="F237" s="134">
        <v>1.1599999999999999</v>
      </c>
      <c r="G237" s="135">
        <v>1.03</v>
      </c>
      <c r="H237" s="133">
        <v>2022</v>
      </c>
      <c r="I237" s="152" t="s">
        <v>5559</v>
      </c>
    </row>
    <row r="238" spans="1:9" ht="18.75" thickBot="1" x14ac:dyDescent="0.3">
      <c r="A238" s="133" t="str">
        <f t="shared" si="3"/>
        <v>013113J</v>
      </c>
      <c r="B238" s="133" t="s">
        <v>6104</v>
      </c>
      <c r="C238" s="133" t="s">
        <v>6105</v>
      </c>
      <c r="D238" s="133" t="s">
        <v>24</v>
      </c>
      <c r="E238" s="134"/>
      <c r="F238" s="134" t="s">
        <v>5552</v>
      </c>
      <c r="G238" s="135">
        <v>2.76</v>
      </c>
      <c r="H238" s="133">
        <v>2014</v>
      </c>
      <c r="I238" s="152" t="s">
        <v>5792</v>
      </c>
    </row>
    <row r="239" spans="1:9" ht="18.75" thickBot="1" x14ac:dyDescent="0.3">
      <c r="A239" s="133" t="str">
        <f t="shared" si="3"/>
        <v>013118O</v>
      </c>
      <c r="B239" s="133" t="s">
        <v>6108</v>
      </c>
      <c r="C239" s="133" t="s">
        <v>6109</v>
      </c>
      <c r="D239" s="133" t="s">
        <v>5503</v>
      </c>
      <c r="E239" s="134"/>
      <c r="F239" s="134">
        <v>1.22</v>
      </c>
      <c r="G239" s="135">
        <v>1.0900000000000001</v>
      </c>
      <c r="H239" s="133">
        <v>2010</v>
      </c>
      <c r="I239" s="152" t="s">
        <v>5630</v>
      </c>
    </row>
    <row r="240" spans="1:9" ht="18.75" thickBot="1" x14ac:dyDescent="0.3">
      <c r="A240" s="133" t="str">
        <f t="shared" si="3"/>
        <v>020751D</v>
      </c>
      <c r="B240" s="133" t="s">
        <v>6110</v>
      </c>
      <c r="C240" s="133" t="s">
        <v>6109</v>
      </c>
      <c r="D240" s="133" t="s">
        <v>5503</v>
      </c>
      <c r="E240" s="134"/>
      <c r="F240" s="134">
        <v>1.41</v>
      </c>
      <c r="G240" s="135">
        <v>1.25</v>
      </c>
      <c r="H240" s="133">
        <v>2024</v>
      </c>
      <c r="I240" s="152" t="s">
        <v>5553</v>
      </c>
    </row>
    <row r="241" spans="1:9" ht="18.75" thickBot="1" x14ac:dyDescent="0.3">
      <c r="A241" s="133" t="str">
        <f t="shared" si="3"/>
        <v>103334K</v>
      </c>
      <c r="B241" s="133" t="s">
        <v>6113</v>
      </c>
      <c r="C241" s="133" t="s">
        <v>6114</v>
      </c>
      <c r="D241" s="133" t="s">
        <v>24</v>
      </c>
      <c r="E241" s="134"/>
      <c r="F241" s="134" t="s">
        <v>5552</v>
      </c>
      <c r="G241" s="135">
        <v>2.4500000000000002</v>
      </c>
      <c r="H241" s="133">
        <v>2018</v>
      </c>
      <c r="I241" s="152" t="s">
        <v>8513</v>
      </c>
    </row>
    <row r="242" spans="1:9" ht="18.75" thickBot="1" x14ac:dyDescent="0.3">
      <c r="A242" s="133" t="str">
        <f t="shared" si="3"/>
        <v>013126W</v>
      </c>
      <c r="B242" s="133" t="s">
        <v>6115</v>
      </c>
      <c r="C242" s="133" t="s">
        <v>6116</v>
      </c>
      <c r="D242" s="133" t="s">
        <v>5597</v>
      </c>
      <c r="E242" s="134"/>
      <c r="F242" s="134">
        <v>0.86</v>
      </c>
      <c r="G242" s="135">
        <v>0.76</v>
      </c>
      <c r="H242" s="133">
        <v>2024</v>
      </c>
      <c r="I242" s="152" t="s">
        <v>5744</v>
      </c>
    </row>
    <row r="243" spans="1:9" ht="18.75" thickBot="1" x14ac:dyDescent="0.3">
      <c r="A243" s="133" t="str">
        <f t="shared" si="3"/>
        <v>126908C</v>
      </c>
      <c r="B243" s="133" t="s">
        <v>6119</v>
      </c>
      <c r="C243" s="133" t="s">
        <v>6120</v>
      </c>
      <c r="D243" s="133" t="s">
        <v>5503</v>
      </c>
      <c r="E243" s="134"/>
      <c r="F243" s="134">
        <v>1.72</v>
      </c>
      <c r="G243" s="135">
        <v>1.53</v>
      </c>
      <c r="H243" s="133">
        <v>2010</v>
      </c>
      <c r="I243" s="152" t="s">
        <v>5559</v>
      </c>
    </row>
    <row r="244" spans="1:9" ht="18.75" thickBot="1" x14ac:dyDescent="0.3">
      <c r="A244" s="133" t="str">
        <f t="shared" si="3"/>
        <v>126909D</v>
      </c>
      <c r="B244" s="133" t="s">
        <v>6121</v>
      </c>
      <c r="C244" s="133" t="s">
        <v>6122</v>
      </c>
      <c r="D244" s="133" t="s">
        <v>5503</v>
      </c>
      <c r="E244" s="134"/>
      <c r="F244" s="134">
        <v>1.65</v>
      </c>
      <c r="G244" s="135">
        <v>1.47</v>
      </c>
      <c r="H244" s="133">
        <v>2019</v>
      </c>
      <c r="I244" s="152" t="s">
        <v>5625</v>
      </c>
    </row>
    <row r="245" spans="1:9" ht="18.75" thickBot="1" x14ac:dyDescent="0.3">
      <c r="A245" s="133" t="str">
        <f t="shared" si="3"/>
        <v>104154Y</v>
      </c>
      <c r="B245" s="133" t="s">
        <v>6123</v>
      </c>
      <c r="C245" s="133" t="s">
        <v>6124</v>
      </c>
      <c r="D245" s="133" t="s">
        <v>5503</v>
      </c>
      <c r="E245" s="134"/>
      <c r="F245" s="134">
        <v>1.33</v>
      </c>
      <c r="G245" s="135">
        <v>1.18</v>
      </c>
      <c r="H245" s="133">
        <v>2024</v>
      </c>
      <c r="I245" s="152" t="s">
        <v>5556</v>
      </c>
    </row>
    <row r="246" spans="1:9" ht="18.75" thickBot="1" x14ac:dyDescent="0.3">
      <c r="A246" s="133" t="str">
        <f t="shared" si="3"/>
        <v>013144O</v>
      </c>
      <c r="B246" s="133" t="s">
        <v>7206</v>
      </c>
      <c r="C246" s="133" t="s">
        <v>7207</v>
      </c>
      <c r="D246" s="133" t="s">
        <v>24</v>
      </c>
      <c r="E246" s="134"/>
      <c r="F246" s="134" t="s">
        <v>5552</v>
      </c>
      <c r="G246" s="135">
        <v>3.61</v>
      </c>
      <c r="H246" s="133">
        <v>2024</v>
      </c>
      <c r="I246" s="152" t="s">
        <v>5678</v>
      </c>
    </row>
    <row r="247" spans="1:9" ht="18.75" thickBot="1" x14ac:dyDescent="0.3">
      <c r="A247" s="133" t="str">
        <f t="shared" si="3"/>
        <v>169253W</v>
      </c>
      <c r="B247" s="133" t="s">
        <v>6125</v>
      </c>
      <c r="C247" s="133" t="s">
        <v>6126</v>
      </c>
      <c r="D247" s="133" t="s">
        <v>5597</v>
      </c>
      <c r="E247" s="134"/>
      <c r="F247" s="134">
        <v>1.01</v>
      </c>
      <c r="G247" s="135">
        <v>0.9</v>
      </c>
      <c r="H247" s="133">
        <v>2024</v>
      </c>
      <c r="I247" s="152" t="s">
        <v>5582</v>
      </c>
    </row>
    <row r="248" spans="1:9" ht="18.75" thickBot="1" x14ac:dyDescent="0.3">
      <c r="A248" s="133" t="str">
        <f t="shared" si="3"/>
        <v>142845B</v>
      </c>
      <c r="B248" s="133" t="s">
        <v>6127</v>
      </c>
      <c r="C248" s="133" t="s">
        <v>6128</v>
      </c>
      <c r="D248" s="133" t="s">
        <v>5503</v>
      </c>
      <c r="E248" s="134"/>
      <c r="F248" s="134">
        <v>1.69</v>
      </c>
      <c r="G248" s="135">
        <v>1.5</v>
      </c>
      <c r="H248" s="133">
        <v>2013</v>
      </c>
      <c r="I248" s="152" t="s">
        <v>6081</v>
      </c>
    </row>
    <row r="249" spans="1:9" ht="18.75" thickBot="1" x14ac:dyDescent="0.3">
      <c r="A249" s="133" t="str">
        <f t="shared" si="3"/>
        <v>013150U</v>
      </c>
      <c r="B249" s="133" t="s">
        <v>6131</v>
      </c>
      <c r="C249" s="133" t="s">
        <v>6132</v>
      </c>
      <c r="D249" s="133" t="s">
        <v>5503</v>
      </c>
      <c r="E249" s="134"/>
      <c r="F249" s="134">
        <v>0.86</v>
      </c>
      <c r="G249" s="135">
        <v>0.76</v>
      </c>
      <c r="H249" s="133">
        <v>2009</v>
      </c>
      <c r="I249" s="152" t="s">
        <v>5608</v>
      </c>
    </row>
    <row r="250" spans="1:9" ht="18.75" thickBot="1" x14ac:dyDescent="0.3">
      <c r="A250" s="133" t="str">
        <f t="shared" si="3"/>
        <v>158352X</v>
      </c>
      <c r="B250" s="133" t="s">
        <v>7208</v>
      </c>
      <c r="C250" s="133" t="s">
        <v>7209</v>
      </c>
      <c r="D250" s="133" t="s">
        <v>26</v>
      </c>
      <c r="E250" s="134"/>
      <c r="F250" s="134">
        <v>2</v>
      </c>
      <c r="G250" s="135">
        <v>1.78</v>
      </c>
      <c r="H250" s="133">
        <v>2024</v>
      </c>
      <c r="I250" s="152" t="s">
        <v>5563</v>
      </c>
    </row>
    <row r="251" spans="1:9" ht="18.75" thickBot="1" x14ac:dyDescent="0.3">
      <c r="A251" s="133" t="str">
        <f t="shared" si="3"/>
        <v>117604G</v>
      </c>
      <c r="B251" s="133" t="s">
        <v>6135</v>
      </c>
      <c r="C251" s="133" t="s">
        <v>6136</v>
      </c>
      <c r="D251" s="133" t="s">
        <v>5503</v>
      </c>
      <c r="E251" s="134"/>
      <c r="F251" s="134">
        <v>1.02</v>
      </c>
      <c r="G251" s="135">
        <v>0.91</v>
      </c>
      <c r="H251" s="133">
        <v>2013</v>
      </c>
      <c r="I251" s="152" t="s">
        <v>6137</v>
      </c>
    </row>
    <row r="252" spans="1:9" ht="18.75" thickBot="1" x14ac:dyDescent="0.3">
      <c r="A252" s="133" t="str">
        <f t="shared" si="3"/>
        <v>113877X</v>
      </c>
      <c r="B252" s="133" t="s">
        <v>6138</v>
      </c>
      <c r="C252" s="133" t="s">
        <v>6139</v>
      </c>
      <c r="D252" s="133" t="s">
        <v>5503</v>
      </c>
      <c r="E252" s="134"/>
      <c r="F252" s="134">
        <v>1</v>
      </c>
      <c r="G252" s="135">
        <v>0.89</v>
      </c>
      <c r="H252" s="133">
        <v>2009</v>
      </c>
      <c r="I252" s="152" t="s">
        <v>5573</v>
      </c>
    </row>
    <row r="253" spans="1:9" ht="18.75" thickBot="1" x14ac:dyDescent="0.3">
      <c r="A253" s="133" t="str">
        <f t="shared" si="3"/>
        <v>013156A</v>
      </c>
      <c r="B253" s="133" t="s">
        <v>7210</v>
      </c>
      <c r="C253" s="133" t="s">
        <v>7211</v>
      </c>
      <c r="D253" s="133" t="s">
        <v>26</v>
      </c>
      <c r="E253" s="134"/>
      <c r="F253" s="134">
        <v>2</v>
      </c>
      <c r="G253" s="135">
        <v>1.78</v>
      </c>
      <c r="H253" s="133">
        <v>2024</v>
      </c>
      <c r="I253" s="152" t="s">
        <v>5657</v>
      </c>
    </row>
    <row r="254" spans="1:9" ht="18.75" thickBot="1" x14ac:dyDescent="0.3">
      <c r="A254" s="133" t="str">
        <f t="shared" si="3"/>
        <v>152532W</v>
      </c>
      <c r="B254" s="133" t="s">
        <v>6140</v>
      </c>
      <c r="C254" s="133" t="s">
        <v>6141</v>
      </c>
      <c r="D254" s="133" t="s">
        <v>5503</v>
      </c>
      <c r="E254" s="134"/>
      <c r="F254" s="134">
        <v>1.59</v>
      </c>
      <c r="G254" s="135">
        <v>1.42</v>
      </c>
      <c r="H254" s="133">
        <v>2024</v>
      </c>
      <c r="I254" s="152" t="s">
        <v>5573</v>
      </c>
    </row>
    <row r="255" spans="1:9" ht="18.75" thickBot="1" x14ac:dyDescent="0.3">
      <c r="A255" s="133" t="str">
        <f t="shared" si="3"/>
        <v>155958V</v>
      </c>
      <c r="B255" s="133" t="s">
        <v>7212</v>
      </c>
      <c r="C255" s="133" t="s">
        <v>7213</v>
      </c>
      <c r="D255" s="133" t="s">
        <v>5504</v>
      </c>
      <c r="E255" s="134"/>
      <c r="F255" s="134">
        <v>0.53</v>
      </c>
      <c r="G255" s="135">
        <v>0.47</v>
      </c>
      <c r="H255" s="133">
        <v>2019</v>
      </c>
      <c r="I255" s="152" t="s">
        <v>5566</v>
      </c>
    </row>
    <row r="256" spans="1:9" ht="18.75" thickBot="1" x14ac:dyDescent="0.3">
      <c r="A256" s="133" t="str">
        <f t="shared" si="3"/>
        <v>013164I</v>
      </c>
      <c r="B256" s="133" t="s">
        <v>7214</v>
      </c>
      <c r="C256" s="133" t="s">
        <v>7215</v>
      </c>
      <c r="D256" s="133" t="s">
        <v>5503</v>
      </c>
      <c r="E256" s="134"/>
      <c r="F256" s="134">
        <v>1.22</v>
      </c>
      <c r="G256" s="135">
        <v>1.08</v>
      </c>
      <c r="H256" s="133">
        <v>2020</v>
      </c>
      <c r="I256" s="152" t="s">
        <v>5556</v>
      </c>
    </row>
    <row r="257" spans="1:9" ht="18.75" thickBot="1" x14ac:dyDescent="0.3">
      <c r="A257" s="133" t="str">
        <f t="shared" si="3"/>
        <v>129151J</v>
      </c>
      <c r="B257" s="133" t="s">
        <v>6149</v>
      </c>
      <c r="C257" s="133" t="s">
        <v>6150</v>
      </c>
      <c r="D257" s="133" t="s">
        <v>5504</v>
      </c>
      <c r="E257" s="134"/>
      <c r="F257" s="134">
        <v>0.67</v>
      </c>
      <c r="G257" s="135">
        <v>0.6</v>
      </c>
      <c r="H257" s="133">
        <v>2009</v>
      </c>
      <c r="I257" s="152" t="s">
        <v>5635</v>
      </c>
    </row>
    <row r="258" spans="1:9" ht="18.75" thickBot="1" x14ac:dyDescent="0.3">
      <c r="A258" s="133" t="str">
        <f t="shared" ref="A258:A321" si="4">SUBSTITUTE(B258,CHAR(32),"")</f>
        <v>013168M</v>
      </c>
      <c r="B258" s="133" t="s">
        <v>6151</v>
      </c>
      <c r="C258" s="133" t="s">
        <v>6152</v>
      </c>
      <c r="D258" s="133" t="s">
        <v>26</v>
      </c>
      <c r="E258" s="134"/>
      <c r="F258" s="134">
        <v>1.91</v>
      </c>
      <c r="G258" s="135">
        <v>1.7</v>
      </c>
      <c r="H258" s="133">
        <v>2024</v>
      </c>
      <c r="I258" s="152" t="s">
        <v>5787</v>
      </c>
    </row>
    <row r="259" spans="1:9" ht="18.75" thickBot="1" x14ac:dyDescent="0.3">
      <c r="A259" s="133" t="str">
        <f t="shared" si="4"/>
        <v>125425B</v>
      </c>
      <c r="B259" s="133" t="s">
        <v>7216</v>
      </c>
      <c r="C259" s="133" t="s">
        <v>7217</v>
      </c>
      <c r="D259" s="133" t="s">
        <v>5503</v>
      </c>
      <c r="E259" s="134"/>
      <c r="F259" s="134">
        <v>1.07</v>
      </c>
      <c r="G259" s="135">
        <v>0.96</v>
      </c>
      <c r="H259" s="133">
        <v>2009</v>
      </c>
      <c r="I259" s="152" t="s">
        <v>5853</v>
      </c>
    </row>
    <row r="260" spans="1:9" ht="18.75" thickBot="1" x14ac:dyDescent="0.3">
      <c r="A260" s="133" t="str">
        <f t="shared" si="4"/>
        <v>125022O</v>
      </c>
      <c r="B260" s="133" t="s">
        <v>6155</v>
      </c>
      <c r="C260" s="133" t="s">
        <v>6156</v>
      </c>
      <c r="D260" s="133" t="s">
        <v>5503</v>
      </c>
      <c r="E260" s="134"/>
      <c r="F260" s="134">
        <v>1.51</v>
      </c>
      <c r="G260" s="135">
        <v>1.35</v>
      </c>
      <c r="H260" s="133">
        <v>2022</v>
      </c>
      <c r="I260" s="152" t="s">
        <v>5768</v>
      </c>
    </row>
    <row r="261" spans="1:9" ht="18.75" thickBot="1" x14ac:dyDescent="0.3">
      <c r="A261" s="133" t="str">
        <f t="shared" si="4"/>
        <v>125441R</v>
      </c>
      <c r="B261" s="133" t="s">
        <v>6157</v>
      </c>
      <c r="C261" s="133" t="s">
        <v>6158</v>
      </c>
      <c r="D261" s="133" t="s">
        <v>6025</v>
      </c>
      <c r="E261" s="134"/>
      <c r="F261" s="134" t="s">
        <v>5552</v>
      </c>
      <c r="G261" s="135">
        <v>1.74</v>
      </c>
      <c r="H261" s="133">
        <v>2024</v>
      </c>
      <c r="I261" s="152" t="s">
        <v>5587</v>
      </c>
    </row>
    <row r="262" spans="1:9" ht="18.75" thickBot="1" x14ac:dyDescent="0.3">
      <c r="A262" s="133" t="str">
        <f t="shared" si="4"/>
        <v>157090A</v>
      </c>
      <c r="B262" s="133" t="s">
        <v>8537</v>
      </c>
      <c r="C262" s="133" t="s">
        <v>8538</v>
      </c>
      <c r="D262" s="133" t="s">
        <v>5704</v>
      </c>
      <c r="E262" s="134"/>
      <c r="F262" s="134">
        <v>0.7</v>
      </c>
      <c r="G262" s="135">
        <v>0.62</v>
      </c>
      <c r="H262" s="133">
        <v>2024</v>
      </c>
      <c r="I262" s="152" t="s">
        <v>5646</v>
      </c>
    </row>
    <row r="263" spans="1:9" ht="18.75" thickBot="1" x14ac:dyDescent="0.3">
      <c r="A263" s="133" t="str">
        <f t="shared" si="4"/>
        <v>177716V</v>
      </c>
      <c r="B263" s="133" t="s">
        <v>7735</v>
      </c>
      <c r="C263" s="133" t="s">
        <v>7736</v>
      </c>
      <c r="D263" s="133" t="s">
        <v>5597</v>
      </c>
      <c r="E263" s="134"/>
      <c r="F263" s="134">
        <v>1.1599999999999999</v>
      </c>
      <c r="G263" s="135">
        <v>1.03</v>
      </c>
      <c r="H263" s="133">
        <v>2024</v>
      </c>
      <c r="I263" s="152" t="s">
        <v>5710</v>
      </c>
    </row>
    <row r="264" spans="1:9" ht="18.75" thickBot="1" x14ac:dyDescent="0.3">
      <c r="A264" s="133" t="str">
        <f t="shared" si="4"/>
        <v>120365L</v>
      </c>
      <c r="B264" s="133" t="s">
        <v>6159</v>
      </c>
      <c r="C264" s="133" t="s">
        <v>6160</v>
      </c>
      <c r="D264" s="133" t="s">
        <v>26</v>
      </c>
      <c r="E264" s="134"/>
      <c r="F264" s="134">
        <v>2.16</v>
      </c>
      <c r="G264" s="135">
        <v>1.92</v>
      </c>
      <c r="H264" s="133">
        <v>2020</v>
      </c>
      <c r="I264" s="152" t="s">
        <v>5635</v>
      </c>
    </row>
    <row r="265" spans="1:9" ht="18.75" thickBot="1" x14ac:dyDescent="0.3">
      <c r="A265" s="133" t="str">
        <f t="shared" si="4"/>
        <v>013183B</v>
      </c>
      <c r="B265" s="133" t="s">
        <v>6161</v>
      </c>
      <c r="C265" s="133" t="s">
        <v>6162</v>
      </c>
      <c r="D265" s="133" t="s">
        <v>26</v>
      </c>
      <c r="E265" s="134"/>
      <c r="F265" s="134">
        <v>1.4</v>
      </c>
      <c r="G265" s="135">
        <v>1.24</v>
      </c>
      <c r="H265" s="133">
        <v>2019</v>
      </c>
      <c r="I265" s="152" t="s">
        <v>5671</v>
      </c>
    </row>
    <row r="266" spans="1:9" ht="18.75" thickBot="1" x14ac:dyDescent="0.3">
      <c r="A266" s="133" t="str">
        <f t="shared" si="4"/>
        <v>142664C</v>
      </c>
      <c r="B266" s="133" t="s">
        <v>6163</v>
      </c>
      <c r="C266" s="133" t="s">
        <v>6164</v>
      </c>
      <c r="D266" s="133" t="s">
        <v>5504</v>
      </c>
      <c r="E266" s="134"/>
      <c r="F266" s="134">
        <v>0.84</v>
      </c>
      <c r="G266" s="135">
        <v>0.75</v>
      </c>
      <c r="H266" s="133">
        <v>2024</v>
      </c>
      <c r="I266" s="152" t="s">
        <v>5646</v>
      </c>
    </row>
    <row r="267" spans="1:9" ht="18.75" thickBot="1" x14ac:dyDescent="0.3">
      <c r="A267" s="133" t="str">
        <f t="shared" si="4"/>
        <v>013193L</v>
      </c>
      <c r="B267" s="133" t="s">
        <v>6165</v>
      </c>
      <c r="C267" s="133" t="s">
        <v>6166</v>
      </c>
      <c r="D267" s="133" t="s">
        <v>5503</v>
      </c>
      <c r="E267" s="134"/>
      <c r="F267" s="134">
        <v>1.01</v>
      </c>
      <c r="G267" s="135">
        <v>0.9</v>
      </c>
      <c r="H267" s="133">
        <v>2015</v>
      </c>
      <c r="I267" s="152" t="s">
        <v>5587</v>
      </c>
    </row>
    <row r="268" spans="1:9" ht="18.75" thickBot="1" x14ac:dyDescent="0.3">
      <c r="A268" s="133" t="str">
        <f t="shared" si="4"/>
        <v>104033H</v>
      </c>
      <c r="B268" s="133" t="s">
        <v>6167</v>
      </c>
      <c r="C268" s="133" t="s">
        <v>6168</v>
      </c>
      <c r="D268" s="133" t="s">
        <v>5503</v>
      </c>
      <c r="E268" s="134"/>
      <c r="F268" s="134">
        <v>1.51</v>
      </c>
      <c r="G268" s="135">
        <v>1.34</v>
      </c>
      <c r="H268" s="133">
        <v>2024</v>
      </c>
      <c r="I268" s="152" t="s">
        <v>5573</v>
      </c>
    </row>
    <row r="269" spans="1:9" ht="18.75" thickBot="1" x14ac:dyDescent="0.3">
      <c r="A269" s="133" t="str">
        <f t="shared" si="4"/>
        <v>124960E</v>
      </c>
      <c r="B269" s="133" t="s">
        <v>6169</v>
      </c>
      <c r="C269" s="133" t="s">
        <v>6170</v>
      </c>
      <c r="D269" s="133" t="s">
        <v>5503</v>
      </c>
      <c r="E269" s="134"/>
      <c r="F269" s="134">
        <v>1.53</v>
      </c>
      <c r="G269" s="135">
        <v>1.36</v>
      </c>
      <c r="H269" s="133">
        <v>2008</v>
      </c>
      <c r="I269" s="152" t="s">
        <v>5587</v>
      </c>
    </row>
    <row r="270" spans="1:9" ht="18.75" thickBot="1" x14ac:dyDescent="0.3">
      <c r="A270" s="133" t="str">
        <f t="shared" si="4"/>
        <v>127176K</v>
      </c>
      <c r="B270" s="133" t="s">
        <v>6171</v>
      </c>
      <c r="C270" s="133" t="s">
        <v>6172</v>
      </c>
      <c r="D270" s="133" t="s">
        <v>24</v>
      </c>
      <c r="E270" s="134"/>
      <c r="F270" s="134" t="s">
        <v>5552</v>
      </c>
      <c r="G270" s="135">
        <v>2.54</v>
      </c>
      <c r="H270" s="133">
        <v>2009</v>
      </c>
      <c r="I270" s="152" t="s">
        <v>5594</v>
      </c>
    </row>
    <row r="271" spans="1:9" ht="18.75" thickBot="1" x14ac:dyDescent="0.3">
      <c r="A271" s="133" t="str">
        <f t="shared" si="4"/>
        <v>135326W</v>
      </c>
      <c r="B271" s="133" t="s">
        <v>6173</v>
      </c>
      <c r="C271" s="133" t="s">
        <v>6174</v>
      </c>
      <c r="D271" s="133" t="s">
        <v>26</v>
      </c>
      <c r="E271" s="134"/>
      <c r="F271" s="134">
        <v>1.97</v>
      </c>
      <c r="G271" s="135">
        <v>1.75</v>
      </c>
      <c r="H271" s="133">
        <v>2024</v>
      </c>
      <c r="I271" s="152" t="s">
        <v>5787</v>
      </c>
    </row>
    <row r="272" spans="1:9" ht="18.75" thickBot="1" x14ac:dyDescent="0.3">
      <c r="A272" s="133" t="str">
        <f t="shared" si="4"/>
        <v>146580S</v>
      </c>
      <c r="B272" s="133" t="s">
        <v>7218</v>
      </c>
      <c r="C272" s="133" t="s">
        <v>7219</v>
      </c>
      <c r="D272" s="133" t="s">
        <v>5504</v>
      </c>
      <c r="E272" s="134"/>
      <c r="F272" s="134">
        <v>0.3</v>
      </c>
      <c r="G272" s="135">
        <v>0.27</v>
      </c>
      <c r="H272" s="133">
        <v>2022</v>
      </c>
      <c r="I272" s="152" t="s">
        <v>5556</v>
      </c>
    </row>
    <row r="273" spans="1:9" ht="18.75" thickBot="1" x14ac:dyDescent="0.3">
      <c r="A273" s="133" t="str">
        <f t="shared" si="4"/>
        <v>103321X</v>
      </c>
      <c r="B273" s="133" t="s">
        <v>6177</v>
      </c>
      <c r="C273" s="133" t="s">
        <v>6178</v>
      </c>
      <c r="D273" s="133" t="s">
        <v>5504</v>
      </c>
      <c r="E273" s="134"/>
      <c r="F273" s="134">
        <v>0.47</v>
      </c>
      <c r="G273" s="135">
        <v>0.42</v>
      </c>
      <c r="H273" s="133">
        <v>2018</v>
      </c>
      <c r="I273" s="152" t="s">
        <v>5594</v>
      </c>
    </row>
    <row r="274" spans="1:9" ht="18.75" thickBot="1" x14ac:dyDescent="0.3">
      <c r="A274" s="133" t="str">
        <f t="shared" si="4"/>
        <v>013203V</v>
      </c>
      <c r="B274" s="133" t="s">
        <v>6181</v>
      </c>
      <c r="C274" s="133" t="s">
        <v>6182</v>
      </c>
      <c r="D274" s="133" t="s">
        <v>5503</v>
      </c>
      <c r="E274" s="134"/>
      <c r="F274" s="134">
        <v>1.46</v>
      </c>
      <c r="G274" s="135">
        <v>1.3</v>
      </c>
      <c r="H274" s="133">
        <v>2012</v>
      </c>
      <c r="I274" s="152" t="s">
        <v>5654</v>
      </c>
    </row>
    <row r="275" spans="1:9" ht="18.75" thickBot="1" x14ac:dyDescent="0.3">
      <c r="A275" s="133" t="str">
        <f t="shared" si="4"/>
        <v>117363Z</v>
      </c>
      <c r="B275" s="133" t="s">
        <v>6183</v>
      </c>
      <c r="C275" s="133" t="s">
        <v>6184</v>
      </c>
      <c r="D275" s="133" t="s">
        <v>5504</v>
      </c>
      <c r="E275" s="134"/>
      <c r="F275" s="134">
        <v>0.6</v>
      </c>
      <c r="G275" s="135">
        <v>0.53</v>
      </c>
      <c r="H275" s="133">
        <v>2016</v>
      </c>
      <c r="I275" s="152" t="s">
        <v>5654</v>
      </c>
    </row>
    <row r="276" spans="1:9" ht="18.75" thickBot="1" x14ac:dyDescent="0.3">
      <c r="A276" s="133" t="str">
        <f t="shared" si="4"/>
        <v>149944H</v>
      </c>
      <c r="B276" s="133" t="s">
        <v>7220</v>
      </c>
      <c r="C276" s="133" t="s">
        <v>7221</v>
      </c>
      <c r="D276" s="133" t="s">
        <v>5504</v>
      </c>
      <c r="E276" s="134"/>
      <c r="F276" s="134">
        <v>0.71</v>
      </c>
      <c r="G276" s="135">
        <v>0.63</v>
      </c>
      <c r="H276" s="133">
        <v>2020</v>
      </c>
      <c r="I276" s="152" t="s">
        <v>5556</v>
      </c>
    </row>
    <row r="277" spans="1:9" ht="18.75" thickBot="1" x14ac:dyDescent="0.3">
      <c r="A277" s="133" t="str">
        <f t="shared" si="4"/>
        <v>142675N</v>
      </c>
      <c r="B277" s="133" t="s">
        <v>6185</v>
      </c>
      <c r="C277" s="133" t="s">
        <v>6186</v>
      </c>
      <c r="D277" s="133" t="s">
        <v>5504</v>
      </c>
      <c r="E277" s="134"/>
      <c r="F277" s="134">
        <v>0.94</v>
      </c>
      <c r="G277" s="135">
        <v>0.83</v>
      </c>
      <c r="H277" s="133">
        <v>2015</v>
      </c>
      <c r="I277" s="152" t="s">
        <v>5657</v>
      </c>
    </row>
    <row r="278" spans="1:9" ht="18.75" thickBot="1" x14ac:dyDescent="0.3">
      <c r="A278" s="133" t="str">
        <f t="shared" si="4"/>
        <v>103750K</v>
      </c>
      <c r="B278" s="133" t="s">
        <v>7222</v>
      </c>
      <c r="C278" s="133" t="s">
        <v>7223</v>
      </c>
      <c r="D278" s="133" t="s">
        <v>26</v>
      </c>
      <c r="E278" s="134"/>
      <c r="F278" s="134">
        <v>2.02</v>
      </c>
      <c r="G278" s="135">
        <v>1.8</v>
      </c>
      <c r="H278" s="133">
        <v>2023</v>
      </c>
      <c r="I278" s="152" t="s">
        <v>5625</v>
      </c>
    </row>
    <row r="279" spans="1:9" ht="18.75" thickBot="1" x14ac:dyDescent="0.3">
      <c r="A279" s="133" t="str">
        <f t="shared" si="4"/>
        <v>143227T</v>
      </c>
      <c r="B279" s="133" t="s">
        <v>6189</v>
      </c>
      <c r="C279" s="133" t="s">
        <v>6190</v>
      </c>
      <c r="D279" s="133" t="s">
        <v>5504</v>
      </c>
      <c r="E279" s="134"/>
      <c r="F279" s="134">
        <v>0.28999999999999998</v>
      </c>
      <c r="G279" s="135">
        <v>0.26</v>
      </c>
      <c r="H279" s="133">
        <v>2022</v>
      </c>
      <c r="I279" s="152" t="s">
        <v>5615</v>
      </c>
    </row>
    <row r="280" spans="1:9" ht="18.75" thickBot="1" x14ac:dyDescent="0.3">
      <c r="A280" s="133" t="str">
        <f t="shared" si="4"/>
        <v>013215H</v>
      </c>
      <c r="B280" s="133" t="s">
        <v>6191</v>
      </c>
      <c r="C280" s="133" t="s">
        <v>6192</v>
      </c>
      <c r="D280" s="133" t="s">
        <v>26</v>
      </c>
      <c r="E280" s="134"/>
      <c r="F280" s="134">
        <v>1.43</v>
      </c>
      <c r="G280" s="135">
        <v>1.27</v>
      </c>
      <c r="H280" s="133">
        <v>2013</v>
      </c>
      <c r="I280" s="152" t="s">
        <v>5671</v>
      </c>
    </row>
    <row r="281" spans="1:9" ht="18.75" thickBot="1" x14ac:dyDescent="0.3">
      <c r="A281" s="133" t="str">
        <f t="shared" si="4"/>
        <v>138123L</v>
      </c>
      <c r="B281" s="133" t="s">
        <v>7224</v>
      </c>
      <c r="C281" s="133" t="s">
        <v>7225</v>
      </c>
      <c r="D281" s="133" t="s">
        <v>5504</v>
      </c>
      <c r="E281" s="134"/>
      <c r="F281" s="134">
        <v>0.56000000000000005</v>
      </c>
      <c r="G281" s="135">
        <v>0.5</v>
      </c>
      <c r="H281" s="133">
        <v>2024</v>
      </c>
      <c r="I281" s="152" t="s">
        <v>5768</v>
      </c>
    </row>
    <row r="282" spans="1:9" ht="18.75" thickBot="1" x14ac:dyDescent="0.3">
      <c r="A282" s="133" t="str">
        <f t="shared" si="4"/>
        <v>013216I</v>
      </c>
      <c r="B282" s="133" t="s">
        <v>6193</v>
      </c>
      <c r="C282" s="133" t="s">
        <v>6194</v>
      </c>
      <c r="D282" s="133" t="s">
        <v>26</v>
      </c>
      <c r="E282" s="134"/>
      <c r="F282" s="134">
        <v>2.25</v>
      </c>
      <c r="G282" s="135">
        <v>2</v>
      </c>
      <c r="H282" s="133">
        <v>2013</v>
      </c>
      <c r="I282" s="152" t="s">
        <v>5556</v>
      </c>
    </row>
    <row r="283" spans="1:9" ht="18.75" thickBot="1" x14ac:dyDescent="0.3">
      <c r="A283" s="133" t="str">
        <f t="shared" si="4"/>
        <v>013218K</v>
      </c>
      <c r="B283" s="133" t="s">
        <v>6197</v>
      </c>
      <c r="C283" s="133" t="s">
        <v>6198</v>
      </c>
      <c r="D283" s="133" t="s">
        <v>5504</v>
      </c>
      <c r="E283" s="134"/>
      <c r="F283" s="134">
        <v>0.7</v>
      </c>
      <c r="G283" s="135">
        <v>0.62</v>
      </c>
      <c r="H283" s="133">
        <v>2017</v>
      </c>
      <c r="I283" s="152" t="s">
        <v>5587</v>
      </c>
    </row>
    <row r="284" spans="1:9" ht="18.75" thickBot="1" x14ac:dyDescent="0.3">
      <c r="A284" s="133" t="str">
        <f t="shared" si="4"/>
        <v>167213D</v>
      </c>
      <c r="B284" s="133" t="s">
        <v>7226</v>
      </c>
      <c r="C284" s="133" t="s">
        <v>7227</v>
      </c>
      <c r="D284" s="133" t="s">
        <v>5504</v>
      </c>
      <c r="E284" s="134"/>
      <c r="F284" s="134">
        <v>0.72</v>
      </c>
      <c r="G284" s="135">
        <v>0.64</v>
      </c>
      <c r="H284" s="133">
        <v>2024</v>
      </c>
      <c r="I284" s="152" t="s">
        <v>5559</v>
      </c>
    </row>
    <row r="285" spans="1:9" ht="18.75" thickBot="1" x14ac:dyDescent="0.3">
      <c r="A285" s="133" t="str">
        <f t="shared" si="4"/>
        <v>154485T</v>
      </c>
      <c r="B285" s="133" t="s">
        <v>6201</v>
      </c>
      <c r="C285" s="133" t="s">
        <v>6202</v>
      </c>
      <c r="D285" s="133" t="s">
        <v>5503</v>
      </c>
      <c r="E285" s="134"/>
      <c r="F285" s="134">
        <v>1.06</v>
      </c>
      <c r="G285" s="135">
        <v>0.94</v>
      </c>
      <c r="H285" s="133">
        <v>2022</v>
      </c>
      <c r="I285" s="152" t="s">
        <v>5594</v>
      </c>
    </row>
    <row r="286" spans="1:9" ht="18.75" thickBot="1" x14ac:dyDescent="0.3">
      <c r="A286" s="133" t="str">
        <f t="shared" si="4"/>
        <v>013227T</v>
      </c>
      <c r="B286" s="133" t="s">
        <v>7228</v>
      </c>
      <c r="C286" s="133" t="s">
        <v>7229</v>
      </c>
      <c r="D286" s="133" t="s">
        <v>5503</v>
      </c>
      <c r="E286" s="134"/>
      <c r="F286" s="134">
        <v>1.05</v>
      </c>
      <c r="G286" s="135">
        <v>0.94</v>
      </c>
      <c r="H286" s="133">
        <v>2011</v>
      </c>
      <c r="I286" s="152" t="s">
        <v>6137</v>
      </c>
    </row>
    <row r="287" spans="1:9" ht="18.75" thickBot="1" x14ac:dyDescent="0.3">
      <c r="A287" s="133" t="str">
        <f t="shared" si="4"/>
        <v>144080O</v>
      </c>
      <c r="B287" s="133" t="s">
        <v>6205</v>
      </c>
      <c r="C287" s="133" t="s">
        <v>6206</v>
      </c>
      <c r="D287" s="133" t="s">
        <v>5503</v>
      </c>
      <c r="E287" s="134"/>
      <c r="F287" s="134">
        <v>1.1200000000000001</v>
      </c>
      <c r="G287" s="135">
        <v>0.99</v>
      </c>
      <c r="H287" s="133">
        <v>2020</v>
      </c>
      <c r="I287" s="152" t="s">
        <v>5556</v>
      </c>
    </row>
    <row r="288" spans="1:9" ht="18.75" thickBot="1" x14ac:dyDescent="0.3">
      <c r="A288" s="133" t="str">
        <f t="shared" si="4"/>
        <v>013233Z</v>
      </c>
      <c r="B288" s="133" t="s">
        <v>6207</v>
      </c>
      <c r="C288" s="133" t="s">
        <v>6208</v>
      </c>
      <c r="D288" s="133" t="s">
        <v>5503</v>
      </c>
      <c r="E288" s="134"/>
      <c r="F288" s="134">
        <v>1.1399999999999999</v>
      </c>
      <c r="G288" s="135">
        <v>1.01</v>
      </c>
      <c r="H288" s="133">
        <v>2024</v>
      </c>
      <c r="I288" s="152" t="s">
        <v>5726</v>
      </c>
    </row>
    <row r="289" spans="1:9" ht="18.75" thickBot="1" x14ac:dyDescent="0.3">
      <c r="A289" s="133" t="str">
        <f t="shared" si="4"/>
        <v>013234A</v>
      </c>
      <c r="B289" s="133" t="s">
        <v>6209</v>
      </c>
      <c r="C289" s="133" t="s">
        <v>6210</v>
      </c>
      <c r="D289" s="133" t="s">
        <v>5503</v>
      </c>
      <c r="E289" s="134"/>
      <c r="F289" s="134">
        <v>1.39</v>
      </c>
      <c r="G289" s="135">
        <v>1.24</v>
      </c>
      <c r="H289" s="133">
        <v>2024</v>
      </c>
      <c r="I289" s="152" t="s">
        <v>5726</v>
      </c>
    </row>
    <row r="290" spans="1:9" ht="18.75" thickBot="1" x14ac:dyDescent="0.3">
      <c r="A290" s="133" t="str">
        <f t="shared" si="4"/>
        <v>013235B</v>
      </c>
      <c r="B290" s="133" t="s">
        <v>6211</v>
      </c>
      <c r="C290" s="133" t="s">
        <v>6212</v>
      </c>
      <c r="D290" s="133" t="s">
        <v>5503</v>
      </c>
      <c r="E290" s="134"/>
      <c r="F290" s="134">
        <v>1.19</v>
      </c>
      <c r="G290" s="135">
        <v>1.06</v>
      </c>
      <c r="H290" s="133">
        <v>2015</v>
      </c>
      <c r="I290" s="152" t="s">
        <v>5895</v>
      </c>
    </row>
    <row r="291" spans="1:9" ht="18.75" thickBot="1" x14ac:dyDescent="0.3">
      <c r="A291" s="133" t="str">
        <f t="shared" si="4"/>
        <v>145606G</v>
      </c>
      <c r="B291" s="133" t="s">
        <v>6215</v>
      </c>
      <c r="C291" s="133" t="s">
        <v>6216</v>
      </c>
      <c r="D291" s="133" t="s">
        <v>5503</v>
      </c>
      <c r="E291" s="134"/>
      <c r="F291" s="134">
        <v>1.2</v>
      </c>
      <c r="G291" s="135">
        <v>1.07</v>
      </c>
      <c r="H291" s="133">
        <v>2019</v>
      </c>
      <c r="I291" s="152" t="s">
        <v>5559</v>
      </c>
    </row>
    <row r="292" spans="1:9" ht="18.75" thickBot="1" x14ac:dyDescent="0.3">
      <c r="A292" s="133" t="str">
        <f t="shared" si="4"/>
        <v>013244K</v>
      </c>
      <c r="B292" s="133" t="s">
        <v>6217</v>
      </c>
      <c r="C292" s="133" t="s">
        <v>6218</v>
      </c>
      <c r="D292" s="133" t="s">
        <v>5503</v>
      </c>
      <c r="E292" s="134"/>
      <c r="F292" s="134">
        <v>1.22</v>
      </c>
      <c r="G292" s="135">
        <v>1.08</v>
      </c>
      <c r="H292" s="133">
        <v>2016</v>
      </c>
      <c r="I292" s="152" t="s">
        <v>5582</v>
      </c>
    </row>
    <row r="293" spans="1:9" ht="18.75" thickBot="1" x14ac:dyDescent="0.3">
      <c r="A293" s="133" t="str">
        <f t="shared" si="4"/>
        <v>013247N</v>
      </c>
      <c r="B293" s="133" t="s">
        <v>6219</v>
      </c>
      <c r="C293" s="133" t="s">
        <v>6220</v>
      </c>
      <c r="D293" s="133" t="s">
        <v>5503</v>
      </c>
      <c r="E293" s="134"/>
      <c r="F293" s="134">
        <v>1.26</v>
      </c>
      <c r="G293" s="135">
        <v>1.1200000000000001</v>
      </c>
      <c r="H293" s="133">
        <v>2011</v>
      </c>
      <c r="I293" s="152" t="s">
        <v>5566</v>
      </c>
    </row>
    <row r="294" spans="1:9" ht="18.75" thickBot="1" x14ac:dyDescent="0.3">
      <c r="A294" s="133" t="str">
        <f t="shared" si="4"/>
        <v>147250E</v>
      </c>
      <c r="B294" s="133" t="s">
        <v>7230</v>
      </c>
      <c r="C294" s="133" t="s">
        <v>7231</v>
      </c>
      <c r="D294" s="133" t="s">
        <v>5504</v>
      </c>
      <c r="E294" s="134"/>
      <c r="F294" s="134">
        <v>0.55000000000000004</v>
      </c>
      <c r="G294" s="135">
        <v>0.49</v>
      </c>
      <c r="H294" s="133">
        <v>2024</v>
      </c>
      <c r="I294" s="152" t="s">
        <v>5912</v>
      </c>
    </row>
    <row r="295" spans="1:9" ht="18.75" thickBot="1" x14ac:dyDescent="0.3">
      <c r="A295" s="133" t="str">
        <f t="shared" si="4"/>
        <v>181315G</v>
      </c>
      <c r="B295" s="133" t="s">
        <v>8539</v>
      </c>
      <c r="C295" s="133" t="s">
        <v>8540</v>
      </c>
      <c r="D295" s="133" t="s">
        <v>5704</v>
      </c>
      <c r="E295" s="134"/>
      <c r="F295" s="134">
        <v>0.59</v>
      </c>
      <c r="G295" s="135">
        <v>0.53</v>
      </c>
      <c r="H295" s="133">
        <v>2024</v>
      </c>
      <c r="I295" s="152" t="s">
        <v>5625</v>
      </c>
    </row>
    <row r="296" spans="1:9" ht="18.75" thickBot="1" x14ac:dyDescent="0.3">
      <c r="A296" s="133" t="str">
        <f t="shared" si="4"/>
        <v>140424Y</v>
      </c>
      <c r="B296" s="133" t="s">
        <v>6225</v>
      </c>
      <c r="C296" s="133" t="s">
        <v>6226</v>
      </c>
      <c r="D296" s="133" t="s">
        <v>5503</v>
      </c>
      <c r="E296" s="134"/>
      <c r="F296" s="134">
        <v>1.1599999999999999</v>
      </c>
      <c r="G296" s="135">
        <v>1.03</v>
      </c>
      <c r="H296" s="133">
        <v>2024</v>
      </c>
      <c r="I296" s="152" t="s">
        <v>5726</v>
      </c>
    </row>
    <row r="297" spans="1:9" ht="18.75" thickBot="1" x14ac:dyDescent="0.3">
      <c r="A297" s="133" t="str">
        <f t="shared" si="4"/>
        <v>157921D</v>
      </c>
      <c r="B297" s="133" t="s">
        <v>6227</v>
      </c>
      <c r="C297" s="133" t="s">
        <v>6228</v>
      </c>
      <c r="D297" s="133" t="s">
        <v>5504</v>
      </c>
      <c r="E297" s="134"/>
      <c r="F297" s="134">
        <v>0.93</v>
      </c>
      <c r="G297" s="135">
        <v>0.82</v>
      </c>
      <c r="H297" s="133">
        <v>2024</v>
      </c>
      <c r="I297" s="152" t="s">
        <v>6229</v>
      </c>
    </row>
    <row r="298" spans="1:9" ht="18.75" thickBot="1" x14ac:dyDescent="0.3">
      <c r="A298" s="133" t="str">
        <f t="shared" si="4"/>
        <v>111337F</v>
      </c>
      <c r="B298" s="133" t="s">
        <v>6230</v>
      </c>
      <c r="C298" s="133" t="s">
        <v>6231</v>
      </c>
      <c r="D298" s="133" t="s">
        <v>5503</v>
      </c>
      <c r="E298" s="134"/>
      <c r="F298" s="134">
        <v>1.1200000000000001</v>
      </c>
      <c r="G298" s="135">
        <v>1</v>
      </c>
      <c r="H298" s="133">
        <v>2022</v>
      </c>
      <c r="I298" s="152" t="s">
        <v>5678</v>
      </c>
    </row>
    <row r="299" spans="1:9" ht="18.75" thickBot="1" x14ac:dyDescent="0.3">
      <c r="A299" s="133" t="str">
        <f t="shared" si="4"/>
        <v>156047R</v>
      </c>
      <c r="B299" s="133" t="s">
        <v>6234</v>
      </c>
      <c r="C299" s="133" t="s">
        <v>6235</v>
      </c>
      <c r="D299" s="133" t="s">
        <v>5504</v>
      </c>
      <c r="E299" s="134"/>
      <c r="F299" s="134">
        <v>0.56000000000000005</v>
      </c>
      <c r="G299" s="135">
        <v>0.5</v>
      </c>
      <c r="H299" s="133">
        <v>2018</v>
      </c>
      <c r="I299" s="152" t="s">
        <v>5587</v>
      </c>
    </row>
    <row r="300" spans="1:9" ht="18.75" thickBot="1" x14ac:dyDescent="0.3">
      <c r="A300" s="133" t="str">
        <f t="shared" si="4"/>
        <v>013269J</v>
      </c>
      <c r="B300" s="133" t="s">
        <v>6236</v>
      </c>
      <c r="C300" s="133" t="s">
        <v>6237</v>
      </c>
      <c r="D300" s="133" t="s">
        <v>5504</v>
      </c>
      <c r="E300" s="134"/>
      <c r="F300" s="134">
        <v>0.85</v>
      </c>
      <c r="G300" s="135">
        <v>0.76</v>
      </c>
      <c r="H300" s="133">
        <v>2012</v>
      </c>
      <c r="I300" s="152" t="s">
        <v>5598</v>
      </c>
    </row>
    <row r="301" spans="1:9" ht="18.75" thickBot="1" x14ac:dyDescent="0.3">
      <c r="A301" s="133" t="str">
        <f t="shared" si="4"/>
        <v>113786K</v>
      </c>
      <c r="B301" s="133" t="s">
        <v>6240</v>
      </c>
      <c r="C301" s="133" t="s">
        <v>6241</v>
      </c>
      <c r="D301" s="133" t="s">
        <v>26</v>
      </c>
      <c r="E301" s="134"/>
      <c r="F301" s="134">
        <v>1.95</v>
      </c>
      <c r="G301" s="135">
        <v>1.73</v>
      </c>
      <c r="H301" s="133">
        <v>2024</v>
      </c>
      <c r="I301" s="152" t="s">
        <v>5787</v>
      </c>
    </row>
    <row r="302" spans="1:9" ht="18.75" thickBot="1" x14ac:dyDescent="0.3">
      <c r="A302" s="133" t="str">
        <f t="shared" si="4"/>
        <v>150497J</v>
      </c>
      <c r="B302" s="133" t="s">
        <v>6244</v>
      </c>
      <c r="C302" s="133" t="s">
        <v>6245</v>
      </c>
      <c r="D302" s="133" t="s">
        <v>5503</v>
      </c>
      <c r="E302" s="134"/>
      <c r="F302" s="134">
        <v>1.05</v>
      </c>
      <c r="G302" s="135">
        <v>0.94</v>
      </c>
      <c r="H302" s="133">
        <v>2024</v>
      </c>
      <c r="I302" s="152" t="s">
        <v>5895</v>
      </c>
    </row>
    <row r="303" spans="1:9" ht="18.75" thickBot="1" x14ac:dyDescent="0.3">
      <c r="A303" s="133" t="str">
        <f t="shared" si="4"/>
        <v>108137D</v>
      </c>
      <c r="B303" s="133" t="s">
        <v>6246</v>
      </c>
      <c r="C303" s="133" t="s">
        <v>6247</v>
      </c>
      <c r="D303" s="133" t="s">
        <v>26</v>
      </c>
      <c r="E303" s="134"/>
      <c r="F303" s="134">
        <v>1.9</v>
      </c>
      <c r="G303" s="135">
        <v>1.69</v>
      </c>
      <c r="H303" s="133">
        <v>2015</v>
      </c>
      <c r="I303" s="152" t="s">
        <v>5563</v>
      </c>
    </row>
    <row r="304" spans="1:9" ht="18.75" thickBot="1" x14ac:dyDescent="0.3">
      <c r="A304" s="133" t="str">
        <f t="shared" si="4"/>
        <v>141150W</v>
      </c>
      <c r="B304" s="133" t="s">
        <v>6248</v>
      </c>
      <c r="C304" s="133" t="s">
        <v>6249</v>
      </c>
      <c r="D304" s="133" t="s">
        <v>5504</v>
      </c>
      <c r="E304" s="134"/>
      <c r="F304" s="134">
        <v>0.5</v>
      </c>
      <c r="G304" s="135">
        <v>0.44</v>
      </c>
      <c r="H304" s="133">
        <v>2020</v>
      </c>
      <c r="I304" s="152" t="s">
        <v>5792</v>
      </c>
    </row>
    <row r="305" spans="1:9" ht="18.75" thickBot="1" x14ac:dyDescent="0.3">
      <c r="A305" s="133" t="str">
        <f t="shared" si="4"/>
        <v>125428E</v>
      </c>
      <c r="B305" s="133" t="s">
        <v>6250</v>
      </c>
      <c r="C305" s="133" t="s">
        <v>6251</v>
      </c>
      <c r="D305" s="133" t="s">
        <v>5504</v>
      </c>
      <c r="E305" s="134"/>
      <c r="F305" s="134">
        <v>0.89</v>
      </c>
      <c r="G305" s="135">
        <v>0.79</v>
      </c>
      <c r="H305" s="133">
        <v>2023</v>
      </c>
      <c r="I305" s="152" t="s">
        <v>5671</v>
      </c>
    </row>
    <row r="306" spans="1:9" ht="18.75" thickBot="1" x14ac:dyDescent="0.3">
      <c r="A306" s="133" t="str">
        <f t="shared" si="4"/>
        <v>156381E</v>
      </c>
      <c r="B306" s="133" t="s">
        <v>7232</v>
      </c>
      <c r="C306" s="133" t="s">
        <v>7233</v>
      </c>
      <c r="D306" s="133" t="s">
        <v>5504</v>
      </c>
      <c r="E306" s="134"/>
      <c r="F306" s="134">
        <v>0.68</v>
      </c>
      <c r="G306" s="135">
        <v>0.61</v>
      </c>
      <c r="H306" s="133">
        <v>2019</v>
      </c>
      <c r="I306" s="152" t="s">
        <v>5601</v>
      </c>
    </row>
    <row r="307" spans="1:9" ht="18.75" thickBot="1" x14ac:dyDescent="0.3">
      <c r="A307" s="133" t="str">
        <f t="shared" si="4"/>
        <v>013296K</v>
      </c>
      <c r="B307" s="133" t="s">
        <v>7234</v>
      </c>
      <c r="C307" s="133" t="s">
        <v>7235</v>
      </c>
      <c r="D307" s="133" t="s">
        <v>5503</v>
      </c>
      <c r="E307" s="134"/>
      <c r="F307" s="134">
        <v>0.82</v>
      </c>
      <c r="G307" s="135">
        <v>0.73</v>
      </c>
      <c r="H307" s="133">
        <v>2009</v>
      </c>
      <c r="I307" s="152" t="s">
        <v>5559</v>
      </c>
    </row>
    <row r="308" spans="1:9" ht="18.75" thickBot="1" x14ac:dyDescent="0.3">
      <c r="A308" s="133" t="str">
        <f t="shared" si="4"/>
        <v>013297L</v>
      </c>
      <c r="B308" s="133" t="s">
        <v>6252</v>
      </c>
      <c r="C308" s="133" t="s">
        <v>6253</v>
      </c>
      <c r="D308" s="133" t="s">
        <v>26</v>
      </c>
      <c r="E308" s="134"/>
      <c r="F308" s="134">
        <v>1.94</v>
      </c>
      <c r="G308" s="135">
        <v>1.73</v>
      </c>
      <c r="H308" s="133">
        <v>2008</v>
      </c>
      <c r="I308" s="152" t="s">
        <v>5853</v>
      </c>
    </row>
    <row r="309" spans="1:9" ht="18.75" thickBot="1" x14ac:dyDescent="0.3">
      <c r="A309" s="133" t="str">
        <f t="shared" si="4"/>
        <v>108081Z</v>
      </c>
      <c r="B309" s="133" t="s">
        <v>7236</v>
      </c>
      <c r="C309" s="133" t="s">
        <v>7237</v>
      </c>
      <c r="D309" s="133" t="s">
        <v>5504</v>
      </c>
      <c r="E309" s="134"/>
      <c r="F309" s="134">
        <v>0.87</v>
      </c>
      <c r="G309" s="135">
        <v>0.77</v>
      </c>
      <c r="H309" s="133">
        <v>2024</v>
      </c>
      <c r="I309" s="152" t="s">
        <v>5678</v>
      </c>
    </row>
    <row r="310" spans="1:9" ht="18.75" thickBot="1" x14ac:dyDescent="0.3">
      <c r="A310" s="133" t="str">
        <f t="shared" si="4"/>
        <v>135962I</v>
      </c>
      <c r="B310" s="133" t="s">
        <v>6259</v>
      </c>
      <c r="C310" s="133" t="s">
        <v>6260</v>
      </c>
      <c r="D310" s="133" t="s">
        <v>24</v>
      </c>
      <c r="E310" s="134"/>
      <c r="F310" s="134" t="s">
        <v>5552</v>
      </c>
      <c r="G310" s="135">
        <v>2.98</v>
      </c>
      <c r="H310" s="133">
        <v>2024</v>
      </c>
      <c r="I310" s="152" t="s">
        <v>5566</v>
      </c>
    </row>
    <row r="311" spans="1:9" ht="18.75" thickBot="1" x14ac:dyDescent="0.3">
      <c r="A311" s="133" t="str">
        <f t="shared" si="4"/>
        <v>150323V</v>
      </c>
      <c r="B311" s="133" t="s">
        <v>7238</v>
      </c>
      <c r="C311" s="133" t="s">
        <v>7239</v>
      </c>
      <c r="D311" s="133" t="s">
        <v>5503</v>
      </c>
      <c r="E311" s="134"/>
      <c r="F311" s="134">
        <v>1.03</v>
      </c>
      <c r="G311" s="135">
        <v>0.91</v>
      </c>
      <c r="H311" s="133">
        <v>2024</v>
      </c>
      <c r="I311" s="152" t="s">
        <v>5787</v>
      </c>
    </row>
    <row r="312" spans="1:9" ht="18.75" thickBot="1" x14ac:dyDescent="0.3">
      <c r="A312" s="133" t="str">
        <f t="shared" si="4"/>
        <v>153124P</v>
      </c>
      <c r="B312" s="133" t="s">
        <v>7240</v>
      </c>
      <c r="C312" s="133" t="s">
        <v>7241</v>
      </c>
      <c r="D312" s="133" t="s">
        <v>5504</v>
      </c>
      <c r="E312" s="134"/>
      <c r="F312" s="134">
        <v>0.84</v>
      </c>
      <c r="G312" s="135">
        <v>0.74</v>
      </c>
      <c r="H312" s="133">
        <v>2024</v>
      </c>
      <c r="I312" s="152" t="s">
        <v>5701</v>
      </c>
    </row>
    <row r="313" spans="1:9" ht="18.75" thickBot="1" x14ac:dyDescent="0.3">
      <c r="A313" s="133" t="str">
        <f t="shared" si="4"/>
        <v>013309X</v>
      </c>
      <c r="B313" s="133" t="s">
        <v>6261</v>
      </c>
      <c r="C313" s="133" t="s">
        <v>6262</v>
      </c>
      <c r="D313" s="133" t="s">
        <v>5503</v>
      </c>
      <c r="E313" s="134"/>
      <c r="F313" s="134">
        <v>1.51</v>
      </c>
      <c r="G313" s="135">
        <v>1.34</v>
      </c>
      <c r="H313" s="133">
        <v>2016</v>
      </c>
      <c r="I313" s="152" t="s">
        <v>5710</v>
      </c>
    </row>
    <row r="314" spans="1:9" ht="18.75" thickBot="1" x14ac:dyDescent="0.3">
      <c r="A314" s="133" t="str">
        <f t="shared" si="4"/>
        <v>162797D</v>
      </c>
      <c r="B314" s="133" t="s">
        <v>7242</v>
      </c>
      <c r="C314" s="133" t="s">
        <v>7243</v>
      </c>
      <c r="D314" s="133" t="s">
        <v>5504</v>
      </c>
      <c r="E314" s="134"/>
      <c r="F314" s="134">
        <v>0.37</v>
      </c>
      <c r="G314" s="135">
        <v>0.33</v>
      </c>
      <c r="H314" s="133">
        <v>2019</v>
      </c>
      <c r="I314" s="152" t="s">
        <v>5566</v>
      </c>
    </row>
    <row r="315" spans="1:9" ht="18.75" thickBot="1" x14ac:dyDescent="0.3">
      <c r="A315" s="133" t="str">
        <f t="shared" si="4"/>
        <v>013317F</v>
      </c>
      <c r="B315" s="133" t="s">
        <v>6263</v>
      </c>
      <c r="C315" s="133" t="s">
        <v>6264</v>
      </c>
      <c r="D315" s="133" t="s">
        <v>5503</v>
      </c>
      <c r="E315" s="134"/>
      <c r="F315" s="134">
        <v>1.73</v>
      </c>
      <c r="G315" s="135">
        <v>1.54</v>
      </c>
      <c r="H315" s="133">
        <v>2019</v>
      </c>
      <c r="I315" s="152" t="s">
        <v>5559</v>
      </c>
    </row>
    <row r="316" spans="1:9" ht="18.75" thickBot="1" x14ac:dyDescent="0.3">
      <c r="A316" s="133" t="str">
        <f t="shared" si="4"/>
        <v>013320I</v>
      </c>
      <c r="B316" s="133" t="s">
        <v>6265</v>
      </c>
      <c r="C316" s="133" t="s">
        <v>6266</v>
      </c>
      <c r="D316" s="133" t="s">
        <v>24</v>
      </c>
      <c r="E316" s="134"/>
      <c r="F316" s="134" t="s">
        <v>5552</v>
      </c>
      <c r="G316" s="135">
        <v>2.4</v>
      </c>
      <c r="H316" s="133">
        <v>2009</v>
      </c>
      <c r="I316" s="152" t="s">
        <v>5563</v>
      </c>
    </row>
    <row r="317" spans="1:9" ht="18.75" thickBot="1" x14ac:dyDescent="0.3">
      <c r="A317" s="133" t="str">
        <f t="shared" si="4"/>
        <v>139690S</v>
      </c>
      <c r="B317" s="133" t="s">
        <v>6267</v>
      </c>
      <c r="C317" s="133" t="s">
        <v>6268</v>
      </c>
      <c r="D317" s="133" t="s">
        <v>5503</v>
      </c>
      <c r="E317" s="134"/>
      <c r="F317" s="134">
        <v>1.4</v>
      </c>
      <c r="G317" s="135">
        <v>1.25</v>
      </c>
      <c r="H317" s="133">
        <v>2019</v>
      </c>
      <c r="I317" s="152" t="s">
        <v>5566</v>
      </c>
    </row>
    <row r="318" spans="1:9" ht="18.75" thickBot="1" x14ac:dyDescent="0.3">
      <c r="A318" s="133" t="str">
        <f t="shared" si="4"/>
        <v>013325N</v>
      </c>
      <c r="B318" s="133" t="s">
        <v>6269</v>
      </c>
      <c r="C318" s="133" t="s">
        <v>6270</v>
      </c>
      <c r="D318" s="133" t="s">
        <v>26</v>
      </c>
      <c r="E318" s="134"/>
      <c r="F318" s="134">
        <v>1.91</v>
      </c>
      <c r="G318" s="135">
        <v>1.7</v>
      </c>
      <c r="H318" s="133">
        <v>2022</v>
      </c>
      <c r="I318" s="152" t="s">
        <v>5559</v>
      </c>
    </row>
    <row r="319" spans="1:9" ht="18.75" thickBot="1" x14ac:dyDescent="0.3">
      <c r="A319" s="133" t="str">
        <f t="shared" si="4"/>
        <v>173972A</v>
      </c>
      <c r="B319" s="133" t="s">
        <v>6271</v>
      </c>
      <c r="C319" s="133" t="s">
        <v>6272</v>
      </c>
      <c r="D319" s="133" t="s">
        <v>5504</v>
      </c>
      <c r="E319" s="134"/>
      <c r="F319" s="134">
        <v>0.22</v>
      </c>
      <c r="G319" s="135">
        <v>0.2</v>
      </c>
      <c r="H319" s="133">
        <v>2024</v>
      </c>
      <c r="I319" s="152" t="s">
        <v>5563</v>
      </c>
    </row>
    <row r="320" spans="1:9" ht="18.75" thickBot="1" x14ac:dyDescent="0.3">
      <c r="A320" s="133" t="str">
        <f t="shared" si="4"/>
        <v>013329R</v>
      </c>
      <c r="B320" s="133" t="s">
        <v>6273</v>
      </c>
      <c r="C320" s="133" t="s">
        <v>6274</v>
      </c>
      <c r="D320" s="133" t="s">
        <v>5504</v>
      </c>
      <c r="E320" s="134"/>
      <c r="F320" s="134">
        <v>0.6</v>
      </c>
      <c r="G320" s="135">
        <v>0.53</v>
      </c>
      <c r="H320" s="133">
        <v>2012</v>
      </c>
      <c r="I320" s="152" t="s">
        <v>5678</v>
      </c>
    </row>
    <row r="321" spans="1:9" ht="18.75" thickBot="1" x14ac:dyDescent="0.3">
      <c r="A321" s="133" t="str">
        <f t="shared" si="4"/>
        <v>135310G</v>
      </c>
      <c r="B321" s="133" t="s">
        <v>7244</v>
      </c>
      <c r="C321" s="133" t="s">
        <v>7245</v>
      </c>
      <c r="D321" s="133" t="s">
        <v>5503</v>
      </c>
      <c r="E321" s="134"/>
      <c r="F321" s="134">
        <v>1.02</v>
      </c>
      <c r="G321" s="135">
        <v>0.91</v>
      </c>
      <c r="H321" s="133">
        <v>2010</v>
      </c>
      <c r="I321" s="152" t="s">
        <v>6229</v>
      </c>
    </row>
    <row r="322" spans="1:9" ht="18.75" thickBot="1" x14ac:dyDescent="0.3">
      <c r="A322" s="133" t="str">
        <f t="shared" ref="A322:A385" si="5">SUBSTITUTE(B322,CHAR(32),"")</f>
        <v>013335X</v>
      </c>
      <c r="B322" s="133" t="s">
        <v>6277</v>
      </c>
      <c r="C322" s="133" t="s">
        <v>6278</v>
      </c>
      <c r="D322" s="133" t="s">
        <v>5503</v>
      </c>
      <c r="E322" s="134"/>
      <c r="F322" s="134">
        <v>1.19</v>
      </c>
      <c r="G322" s="135">
        <v>1.06</v>
      </c>
      <c r="H322" s="133">
        <v>2024</v>
      </c>
      <c r="I322" s="152" t="s">
        <v>5559</v>
      </c>
    </row>
    <row r="323" spans="1:9" ht="18.75" thickBot="1" x14ac:dyDescent="0.3">
      <c r="A323" s="133" t="str">
        <f t="shared" si="5"/>
        <v>114567L</v>
      </c>
      <c r="B323" s="133" t="s">
        <v>6279</v>
      </c>
      <c r="C323" s="133" t="s">
        <v>6280</v>
      </c>
      <c r="D323" s="133" t="s">
        <v>5562</v>
      </c>
      <c r="E323" s="134"/>
      <c r="F323" s="134">
        <v>1</v>
      </c>
      <c r="G323" s="135">
        <v>0.89</v>
      </c>
      <c r="H323" s="133">
        <v>2024</v>
      </c>
      <c r="I323" s="152" t="s">
        <v>5563</v>
      </c>
    </row>
    <row r="324" spans="1:9" ht="18.75" thickBot="1" x14ac:dyDescent="0.3">
      <c r="A324" s="133" t="str">
        <f t="shared" si="5"/>
        <v>108816G</v>
      </c>
      <c r="B324" s="133" t="s">
        <v>6281</v>
      </c>
      <c r="C324" s="133" t="s">
        <v>6282</v>
      </c>
      <c r="D324" s="133" t="s">
        <v>5503</v>
      </c>
      <c r="E324" s="134"/>
      <c r="F324" s="134">
        <v>1.52</v>
      </c>
      <c r="G324" s="135">
        <v>1.36</v>
      </c>
      <c r="H324" s="133">
        <v>2010</v>
      </c>
      <c r="I324" s="152" t="s">
        <v>5792</v>
      </c>
    </row>
    <row r="325" spans="1:9" ht="18.75" thickBot="1" x14ac:dyDescent="0.3">
      <c r="A325" s="133" t="str">
        <f t="shared" si="5"/>
        <v>149172T</v>
      </c>
      <c r="B325" s="133" t="s">
        <v>6283</v>
      </c>
      <c r="C325" s="133" t="s">
        <v>6284</v>
      </c>
      <c r="D325" s="133" t="s">
        <v>5504</v>
      </c>
      <c r="E325" s="134"/>
      <c r="F325" s="134">
        <v>0.5</v>
      </c>
      <c r="G325" s="135">
        <v>0.45</v>
      </c>
      <c r="H325" s="133">
        <v>2022</v>
      </c>
      <c r="I325" s="152" t="s">
        <v>5792</v>
      </c>
    </row>
    <row r="326" spans="1:9" ht="18.75" thickBot="1" x14ac:dyDescent="0.3">
      <c r="A326" s="133" t="str">
        <f t="shared" si="5"/>
        <v>120639Z</v>
      </c>
      <c r="B326" s="133" t="s">
        <v>6285</v>
      </c>
      <c r="C326" s="133" t="s">
        <v>6286</v>
      </c>
      <c r="D326" s="133" t="s">
        <v>5503</v>
      </c>
      <c r="E326" s="134"/>
      <c r="F326" s="134">
        <v>1.22</v>
      </c>
      <c r="G326" s="135">
        <v>1.0900000000000001</v>
      </c>
      <c r="H326" s="133">
        <v>2010</v>
      </c>
      <c r="I326" s="152" t="s">
        <v>5563</v>
      </c>
    </row>
    <row r="327" spans="1:9" ht="18.75" thickBot="1" x14ac:dyDescent="0.3">
      <c r="A327" s="133" t="str">
        <f t="shared" si="5"/>
        <v>163708T</v>
      </c>
      <c r="B327" s="133" t="s">
        <v>6287</v>
      </c>
      <c r="C327" s="133" t="s">
        <v>6288</v>
      </c>
      <c r="D327" s="133" t="s">
        <v>5597</v>
      </c>
      <c r="E327" s="134"/>
      <c r="F327" s="134">
        <v>1.37</v>
      </c>
      <c r="G327" s="135">
        <v>1.22</v>
      </c>
      <c r="H327" s="133">
        <v>2024</v>
      </c>
      <c r="I327" s="152" t="s">
        <v>5563</v>
      </c>
    </row>
    <row r="328" spans="1:9" ht="18.75" thickBot="1" x14ac:dyDescent="0.3">
      <c r="A328" s="133" t="str">
        <f t="shared" si="5"/>
        <v>013345H</v>
      </c>
      <c r="B328" s="133" t="s">
        <v>6289</v>
      </c>
      <c r="C328" s="133" t="s">
        <v>6290</v>
      </c>
      <c r="D328" s="133" t="s">
        <v>6025</v>
      </c>
      <c r="E328" s="134"/>
      <c r="F328" s="134" t="s">
        <v>5552</v>
      </c>
      <c r="G328" s="135">
        <v>1.96</v>
      </c>
      <c r="H328" s="133">
        <v>2024</v>
      </c>
      <c r="I328" s="152" t="s">
        <v>5912</v>
      </c>
    </row>
    <row r="329" spans="1:9" ht="18.75" thickBot="1" x14ac:dyDescent="0.3">
      <c r="A329" s="133" t="str">
        <f t="shared" si="5"/>
        <v>163976K</v>
      </c>
      <c r="B329" s="133" t="s">
        <v>6291</v>
      </c>
      <c r="C329" s="133" t="s">
        <v>6292</v>
      </c>
      <c r="D329" s="133" t="s">
        <v>5597</v>
      </c>
      <c r="E329" s="134"/>
      <c r="F329" s="134">
        <v>1</v>
      </c>
      <c r="G329" s="135">
        <v>0.89</v>
      </c>
      <c r="H329" s="133">
        <v>2024</v>
      </c>
      <c r="I329" s="152" t="s">
        <v>5678</v>
      </c>
    </row>
    <row r="330" spans="1:9" ht="18.75" thickBot="1" x14ac:dyDescent="0.3">
      <c r="A330" s="133" t="str">
        <f t="shared" si="5"/>
        <v>013348K</v>
      </c>
      <c r="B330" s="133" t="s">
        <v>7246</v>
      </c>
      <c r="C330" s="133" t="s">
        <v>7247</v>
      </c>
      <c r="D330" s="133" t="s">
        <v>5503</v>
      </c>
      <c r="E330" s="134"/>
      <c r="F330" s="134">
        <v>1.37</v>
      </c>
      <c r="G330" s="135">
        <v>1.22</v>
      </c>
      <c r="H330" s="133">
        <v>2015</v>
      </c>
      <c r="I330" s="152" t="s">
        <v>5710</v>
      </c>
    </row>
    <row r="331" spans="1:9" ht="18.75" thickBot="1" x14ac:dyDescent="0.3">
      <c r="A331" s="133" t="str">
        <f t="shared" si="5"/>
        <v>013352O</v>
      </c>
      <c r="B331" s="133" t="s">
        <v>6297</v>
      </c>
      <c r="C331" s="133" t="s">
        <v>6298</v>
      </c>
      <c r="D331" s="133" t="s">
        <v>5503</v>
      </c>
      <c r="E331" s="134"/>
      <c r="F331" s="134">
        <v>1.33</v>
      </c>
      <c r="G331" s="135">
        <v>1.19</v>
      </c>
      <c r="H331" s="133">
        <v>2009</v>
      </c>
      <c r="I331" s="152" t="s">
        <v>5563</v>
      </c>
    </row>
    <row r="332" spans="1:9" ht="18.75" thickBot="1" x14ac:dyDescent="0.3">
      <c r="A332" s="133" t="str">
        <f t="shared" si="5"/>
        <v>013354Q</v>
      </c>
      <c r="B332" s="133" t="s">
        <v>6299</v>
      </c>
      <c r="C332" s="133" t="s">
        <v>6300</v>
      </c>
      <c r="D332" s="133" t="s">
        <v>26</v>
      </c>
      <c r="E332" s="134"/>
      <c r="F332" s="134">
        <v>1.8</v>
      </c>
      <c r="G332" s="135">
        <v>1.6</v>
      </c>
      <c r="H332" s="133">
        <v>2017</v>
      </c>
      <c r="I332" s="152" t="s">
        <v>5657</v>
      </c>
    </row>
    <row r="333" spans="1:9" ht="18.75" thickBot="1" x14ac:dyDescent="0.3">
      <c r="A333" s="133" t="str">
        <f t="shared" si="5"/>
        <v>142395T</v>
      </c>
      <c r="B333" s="133" t="s">
        <v>6301</v>
      </c>
      <c r="C333" s="133" t="s">
        <v>6302</v>
      </c>
      <c r="D333" s="133" t="s">
        <v>5503</v>
      </c>
      <c r="E333" s="134"/>
      <c r="F333" s="134">
        <v>1.32</v>
      </c>
      <c r="G333" s="135">
        <v>1.17</v>
      </c>
      <c r="H333" s="133">
        <v>2017</v>
      </c>
      <c r="I333" s="152" t="s">
        <v>5556</v>
      </c>
    </row>
    <row r="334" spans="1:9" ht="18.75" thickBot="1" x14ac:dyDescent="0.3">
      <c r="A334" s="133" t="str">
        <f t="shared" si="5"/>
        <v>013358U</v>
      </c>
      <c r="B334" s="133" t="s">
        <v>6307</v>
      </c>
      <c r="C334" s="133" t="s">
        <v>6308</v>
      </c>
      <c r="D334" s="133" t="s">
        <v>24</v>
      </c>
      <c r="E334" s="134"/>
      <c r="F334" s="134" t="s">
        <v>5552</v>
      </c>
      <c r="G334" s="135">
        <v>2.98</v>
      </c>
      <c r="H334" s="133">
        <v>2024</v>
      </c>
      <c r="I334" s="152" t="s">
        <v>5635</v>
      </c>
    </row>
    <row r="335" spans="1:9" ht="18.75" thickBot="1" x14ac:dyDescent="0.3">
      <c r="A335" s="133" t="str">
        <f t="shared" si="5"/>
        <v>174588V</v>
      </c>
      <c r="B335" s="133" t="s">
        <v>6309</v>
      </c>
      <c r="C335" s="133" t="s">
        <v>6310</v>
      </c>
      <c r="D335" s="133" t="s">
        <v>24</v>
      </c>
      <c r="E335" s="134"/>
      <c r="F335" s="134" t="s">
        <v>5552</v>
      </c>
      <c r="G335" s="135">
        <v>2.35</v>
      </c>
      <c r="H335" s="133">
        <v>2024</v>
      </c>
      <c r="I335" s="152" t="s">
        <v>5563</v>
      </c>
    </row>
    <row r="336" spans="1:9" ht="18.75" thickBot="1" x14ac:dyDescent="0.3">
      <c r="A336" s="133" t="str">
        <f t="shared" si="5"/>
        <v>113957Z</v>
      </c>
      <c r="B336" s="133" t="s">
        <v>6311</v>
      </c>
      <c r="C336" s="133" t="s">
        <v>6312</v>
      </c>
      <c r="D336" s="133" t="s">
        <v>5503</v>
      </c>
      <c r="E336" s="134"/>
      <c r="F336" s="134">
        <v>1.35</v>
      </c>
      <c r="G336" s="135">
        <v>1.2</v>
      </c>
      <c r="H336" s="133">
        <v>2024</v>
      </c>
      <c r="I336" s="152" t="s">
        <v>5630</v>
      </c>
    </row>
    <row r="337" spans="1:9" ht="18.75" thickBot="1" x14ac:dyDescent="0.3">
      <c r="A337" s="133" t="str">
        <f t="shared" si="5"/>
        <v>155028J</v>
      </c>
      <c r="B337" s="133" t="s">
        <v>7248</v>
      </c>
      <c r="C337" s="133" t="s">
        <v>7249</v>
      </c>
      <c r="D337" s="133" t="s">
        <v>5504</v>
      </c>
      <c r="E337" s="134"/>
      <c r="F337" s="134">
        <v>0.82</v>
      </c>
      <c r="G337" s="135">
        <v>0.73</v>
      </c>
      <c r="H337" s="133">
        <v>2024</v>
      </c>
      <c r="I337" s="152" t="s">
        <v>5587</v>
      </c>
    </row>
    <row r="338" spans="1:9" ht="18.75" thickBot="1" x14ac:dyDescent="0.3">
      <c r="A338" s="133" t="str">
        <f t="shared" si="5"/>
        <v>122105J</v>
      </c>
      <c r="B338" s="133" t="s">
        <v>6313</v>
      </c>
      <c r="C338" s="133" t="s">
        <v>6314</v>
      </c>
      <c r="D338" s="133" t="s">
        <v>5504</v>
      </c>
      <c r="E338" s="134"/>
      <c r="F338" s="134">
        <v>0.86</v>
      </c>
      <c r="G338" s="135">
        <v>0.77</v>
      </c>
      <c r="H338" s="133">
        <v>2024</v>
      </c>
      <c r="I338" s="152" t="s">
        <v>5787</v>
      </c>
    </row>
    <row r="339" spans="1:9" ht="18.75" thickBot="1" x14ac:dyDescent="0.3">
      <c r="A339" s="133" t="str">
        <f t="shared" si="5"/>
        <v>109512A</v>
      </c>
      <c r="B339" s="133" t="s">
        <v>6315</v>
      </c>
      <c r="C339" s="133" t="s">
        <v>6316</v>
      </c>
      <c r="D339" s="133" t="s">
        <v>24</v>
      </c>
      <c r="E339" s="134"/>
      <c r="F339" s="134" t="s">
        <v>5552</v>
      </c>
      <c r="G339" s="135">
        <v>2.48</v>
      </c>
      <c r="H339" s="133">
        <v>2011</v>
      </c>
      <c r="I339" s="152" t="s">
        <v>5654</v>
      </c>
    </row>
    <row r="340" spans="1:9" ht="18.75" thickBot="1" x14ac:dyDescent="0.3">
      <c r="A340" s="133" t="str">
        <f t="shared" si="5"/>
        <v>120412G</v>
      </c>
      <c r="B340" s="133" t="s">
        <v>6317</v>
      </c>
      <c r="C340" s="133" t="s">
        <v>6318</v>
      </c>
      <c r="D340" s="133" t="s">
        <v>5504</v>
      </c>
      <c r="E340" s="134"/>
      <c r="F340" s="134">
        <v>0.71</v>
      </c>
      <c r="G340" s="135">
        <v>0.63</v>
      </c>
      <c r="H340" s="133">
        <v>2009</v>
      </c>
      <c r="I340" s="152" t="s">
        <v>5601</v>
      </c>
    </row>
    <row r="341" spans="1:9" ht="18.75" thickBot="1" x14ac:dyDescent="0.3">
      <c r="A341" s="133" t="str">
        <f t="shared" si="5"/>
        <v>013365B</v>
      </c>
      <c r="B341" s="133" t="s">
        <v>6319</v>
      </c>
      <c r="C341" s="133" t="s">
        <v>6320</v>
      </c>
      <c r="D341" s="133" t="s">
        <v>5503</v>
      </c>
      <c r="E341" s="134"/>
      <c r="F341" s="134">
        <v>1.27</v>
      </c>
      <c r="G341" s="135">
        <v>1.1299999999999999</v>
      </c>
      <c r="H341" s="133">
        <v>2024</v>
      </c>
      <c r="I341" s="152" t="s">
        <v>5705</v>
      </c>
    </row>
    <row r="342" spans="1:9" ht="18.75" thickBot="1" x14ac:dyDescent="0.3">
      <c r="A342" s="133" t="str">
        <f t="shared" si="5"/>
        <v>013370G</v>
      </c>
      <c r="B342" s="133" t="s">
        <v>6321</v>
      </c>
      <c r="C342" s="133" t="s">
        <v>6322</v>
      </c>
      <c r="D342" s="133" t="s">
        <v>5504</v>
      </c>
      <c r="E342" s="134"/>
      <c r="F342" s="134">
        <v>0.66</v>
      </c>
      <c r="G342" s="135">
        <v>0.59</v>
      </c>
      <c r="H342" s="133">
        <v>2012</v>
      </c>
      <c r="I342" s="152" t="s">
        <v>5912</v>
      </c>
    </row>
    <row r="343" spans="1:9" ht="18.75" thickBot="1" x14ac:dyDescent="0.3">
      <c r="A343" s="133" t="str">
        <f t="shared" si="5"/>
        <v>160101Y</v>
      </c>
      <c r="B343" s="133" t="s">
        <v>6329</v>
      </c>
      <c r="C343" s="133" t="s">
        <v>6330</v>
      </c>
      <c r="D343" s="133" t="s">
        <v>5597</v>
      </c>
      <c r="E343" s="134"/>
      <c r="F343" s="134">
        <v>1</v>
      </c>
      <c r="G343" s="135">
        <v>0.89</v>
      </c>
      <c r="H343" s="133">
        <v>2024</v>
      </c>
      <c r="I343" s="152" t="s">
        <v>5726</v>
      </c>
    </row>
    <row r="344" spans="1:9" ht="18.75" thickBot="1" x14ac:dyDescent="0.3">
      <c r="A344" s="133" t="str">
        <f t="shared" si="5"/>
        <v>111882E</v>
      </c>
      <c r="B344" s="133" t="s">
        <v>7250</v>
      </c>
      <c r="C344" s="133" t="s">
        <v>7251</v>
      </c>
      <c r="D344" s="133" t="s">
        <v>5503</v>
      </c>
      <c r="E344" s="134"/>
      <c r="F344" s="134">
        <v>1.67</v>
      </c>
      <c r="G344" s="135">
        <v>1.48</v>
      </c>
      <c r="H344" s="133">
        <v>2010</v>
      </c>
      <c r="I344" s="152" t="s">
        <v>5678</v>
      </c>
    </row>
    <row r="345" spans="1:9" ht="18.75" thickBot="1" x14ac:dyDescent="0.3">
      <c r="A345" s="133" t="str">
        <f t="shared" si="5"/>
        <v>142208O</v>
      </c>
      <c r="B345" s="133" t="s">
        <v>6335</v>
      </c>
      <c r="C345" s="133" t="s">
        <v>6336</v>
      </c>
      <c r="D345" s="133" t="s">
        <v>5503</v>
      </c>
      <c r="E345" s="134"/>
      <c r="F345" s="134">
        <v>0.92</v>
      </c>
      <c r="G345" s="135">
        <v>0.82</v>
      </c>
      <c r="H345" s="133">
        <v>2013</v>
      </c>
      <c r="I345" s="152" t="s">
        <v>5559</v>
      </c>
    </row>
    <row r="346" spans="1:9" ht="18.75" thickBot="1" x14ac:dyDescent="0.3">
      <c r="A346" s="133" t="str">
        <f t="shared" si="5"/>
        <v>017581F</v>
      </c>
      <c r="B346" s="133" t="s">
        <v>6337</v>
      </c>
      <c r="C346" s="133" t="s">
        <v>6338</v>
      </c>
      <c r="D346" s="133" t="s">
        <v>5765</v>
      </c>
      <c r="E346" s="134"/>
      <c r="F346" s="134" t="s">
        <v>5552</v>
      </c>
      <c r="G346" s="135">
        <v>5.48</v>
      </c>
      <c r="H346" s="133">
        <v>2024</v>
      </c>
      <c r="I346" s="152" t="s">
        <v>5615</v>
      </c>
    </row>
    <row r="347" spans="1:9" ht="18.75" thickBot="1" x14ac:dyDescent="0.3">
      <c r="A347" s="133" t="str">
        <f t="shared" si="5"/>
        <v>137895R</v>
      </c>
      <c r="B347" s="133" t="s">
        <v>6339</v>
      </c>
      <c r="C347" s="133" t="s">
        <v>6340</v>
      </c>
      <c r="D347" s="133" t="s">
        <v>5503</v>
      </c>
      <c r="E347" s="134"/>
      <c r="F347" s="134">
        <v>1.06</v>
      </c>
      <c r="G347" s="135">
        <v>0.94</v>
      </c>
      <c r="H347" s="133">
        <v>2019</v>
      </c>
      <c r="I347" s="152" t="s">
        <v>5556</v>
      </c>
    </row>
    <row r="348" spans="1:9" ht="18.75" thickBot="1" x14ac:dyDescent="0.3">
      <c r="A348" s="133" t="str">
        <f t="shared" si="5"/>
        <v>137829D</v>
      </c>
      <c r="B348" s="133" t="s">
        <v>6343</v>
      </c>
      <c r="C348" s="133" t="s">
        <v>6344</v>
      </c>
      <c r="D348" s="133" t="s">
        <v>5504</v>
      </c>
      <c r="E348" s="134"/>
      <c r="F348" s="134">
        <v>0.91</v>
      </c>
      <c r="G348" s="135">
        <v>0.81</v>
      </c>
      <c r="H348" s="133">
        <v>2010</v>
      </c>
      <c r="I348" s="152" t="s">
        <v>5563</v>
      </c>
    </row>
    <row r="349" spans="1:9" ht="18.75" thickBot="1" x14ac:dyDescent="0.3">
      <c r="A349" s="133" t="str">
        <f t="shared" si="5"/>
        <v>143257X</v>
      </c>
      <c r="B349" s="133" t="s">
        <v>6345</v>
      </c>
      <c r="C349" s="133" t="s">
        <v>6346</v>
      </c>
      <c r="D349" s="133" t="s">
        <v>26</v>
      </c>
      <c r="E349" s="134"/>
      <c r="F349" s="134">
        <v>1.89</v>
      </c>
      <c r="G349" s="135">
        <v>1.68</v>
      </c>
      <c r="H349" s="133">
        <v>2020</v>
      </c>
      <c r="I349" s="152" t="s">
        <v>5744</v>
      </c>
    </row>
    <row r="350" spans="1:9" ht="18.75" thickBot="1" x14ac:dyDescent="0.3">
      <c r="A350" s="133" t="str">
        <f t="shared" si="5"/>
        <v>151920F</v>
      </c>
      <c r="B350" s="133" t="s">
        <v>6347</v>
      </c>
      <c r="C350" s="133" t="s">
        <v>6348</v>
      </c>
      <c r="D350" s="133" t="s">
        <v>5503</v>
      </c>
      <c r="E350" s="134"/>
      <c r="F350" s="134">
        <v>1</v>
      </c>
      <c r="G350" s="135">
        <v>0.89</v>
      </c>
      <c r="H350" s="133">
        <v>2023</v>
      </c>
      <c r="I350" s="152" t="s">
        <v>6229</v>
      </c>
    </row>
    <row r="351" spans="1:9" ht="18.75" thickBot="1" x14ac:dyDescent="0.3">
      <c r="A351" s="133" t="str">
        <f t="shared" si="5"/>
        <v>013399J</v>
      </c>
      <c r="B351" s="133" t="s">
        <v>6349</v>
      </c>
      <c r="C351" s="133" t="s">
        <v>6350</v>
      </c>
      <c r="D351" s="133" t="s">
        <v>26</v>
      </c>
      <c r="E351" s="134"/>
      <c r="F351" s="134">
        <v>2.34</v>
      </c>
      <c r="G351" s="135">
        <v>2.08</v>
      </c>
      <c r="H351" s="133">
        <v>2020</v>
      </c>
      <c r="I351" s="152" t="s">
        <v>5895</v>
      </c>
    </row>
    <row r="352" spans="1:9" ht="18.75" thickBot="1" x14ac:dyDescent="0.3">
      <c r="A352" s="133" t="str">
        <f t="shared" si="5"/>
        <v>118718C</v>
      </c>
      <c r="B352" s="133" t="s">
        <v>6353</v>
      </c>
      <c r="C352" s="133" t="s">
        <v>1442</v>
      </c>
      <c r="D352" s="133" t="s">
        <v>26</v>
      </c>
      <c r="E352" s="134"/>
      <c r="F352" s="134">
        <v>1.59</v>
      </c>
      <c r="G352" s="135">
        <v>1.41</v>
      </c>
      <c r="H352" s="133">
        <v>2021</v>
      </c>
      <c r="I352" s="152" t="s">
        <v>5566</v>
      </c>
    </row>
    <row r="353" spans="1:9" ht="18.75" thickBot="1" x14ac:dyDescent="0.3">
      <c r="A353" s="133" t="str">
        <f t="shared" si="5"/>
        <v>182483B</v>
      </c>
      <c r="B353" s="133" t="s">
        <v>8549</v>
      </c>
      <c r="C353" s="133" t="s">
        <v>8550</v>
      </c>
      <c r="D353" s="133" t="s">
        <v>5704</v>
      </c>
      <c r="E353" s="134"/>
      <c r="F353" s="134">
        <v>0.55000000000000004</v>
      </c>
      <c r="G353" s="135">
        <v>0.49</v>
      </c>
      <c r="H353" s="133">
        <v>2024</v>
      </c>
      <c r="I353" s="152" t="s">
        <v>5726</v>
      </c>
    </row>
    <row r="354" spans="1:9" ht="18.75" thickBot="1" x14ac:dyDescent="0.3">
      <c r="A354" s="133" t="str">
        <f t="shared" si="5"/>
        <v>013406Q</v>
      </c>
      <c r="B354" s="133" t="s">
        <v>6354</v>
      </c>
      <c r="C354" s="133" t="s">
        <v>6355</v>
      </c>
      <c r="D354" s="133" t="s">
        <v>5504</v>
      </c>
      <c r="E354" s="134"/>
      <c r="F354" s="134">
        <v>0.61</v>
      </c>
      <c r="G354" s="135">
        <v>0.54</v>
      </c>
      <c r="H354" s="133">
        <v>2014</v>
      </c>
      <c r="I354" s="152" t="s">
        <v>5559</v>
      </c>
    </row>
    <row r="355" spans="1:9" ht="18.75" thickBot="1" x14ac:dyDescent="0.3">
      <c r="A355" s="133" t="str">
        <f t="shared" si="5"/>
        <v>136976I</v>
      </c>
      <c r="B355" s="133" t="s">
        <v>7252</v>
      </c>
      <c r="C355" s="133" t="s">
        <v>7253</v>
      </c>
      <c r="D355" s="133" t="s">
        <v>5503</v>
      </c>
      <c r="E355" s="134"/>
      <c r="F355" s="134">
        <v>1.61</v>
      </c>
      <c r="G355" s="135">
        <v>1.43</v>
      </c>
      <c r="H355" s="133">
        <v>2024</v>
      </c>
      <c r="I355" s="152" t="s">
        <v>5787</v>
      </c>
    </row>
    <row r="356" spans="1:9" ht="18.75" thickBot="1" x14ac:dyDescent="0.3">
      <c r="A356" s="133" t="str">
        <f t="shared" si="5"/>
        <v>124758K</v>
      </c>
      <c r="B356" s="133" t="s">
        <v>6356</v>
      </c>
      <c r="C356" s="133" t="s">
        <v>6357</v>
      </c>
      <c r="D356" s="133" t="s">
        <v>5504</v>
      </c>
      <c r="E356" s="134"/>
      <c r="F356" s="134">
        <v>0.95</v>
      </c>
      <c r="G356" s="135">
        <v>0.84</v>
      </c>
      <c r="H356" s="133">
        <v>2024</v>
      </c>
      <c r="I356" s="152" t="s">
        <v>5625</v>
      </c>
    </row>
    <row r="357" spans="1:9" ht="18.75" thickBot="1" x14ac:dyDescent="0.3">
      <c r="A357" s="133" t="str">
        <f t="shared" si="5"/>
        <v>013415Z</v>
      </c>
      <c r="B357" s="133" t="s">
        <v>6358</v>
      </c>
      <c r="C357" s="133" t="s">
        <v>6359</v>
      </c>
      <c r="D357" s="133" t="s">
        <v>26</v>
      </c>
      <c r="E357" s="134"/>
      <c r="F357" s="134">
        <v>2.37</v>
      </c>
      <c r="G357" s="135">
        <v>2.11</v>
      </c>
      <c r="H357" s="133">
        <v>2024</v>
      </c>
      <c r="I357" s="152" t="s">
        <v>5582</v>
      </c>
    </row>
    <row r="358" spans="1:9" ht="18.75" thickBot="1" x14ac:dyDescent="0.3">
      <c r="A358" s="133" t="str">
        <f t="shared" si="5"/>
        <v>013421F</v>
      </c>
      <c r="B358" s="133" t="s">
        <v>6360</v>
      </c>
      <c r="C358" s="133" t="s">
        <v>6361</v>
      </c>
      <c r="D358" s="133" t="s">
        <v>5504</v>
      </c>
      <c r="E358" s="134"/>
      <c r="F358" s="134">
        <v>0.48</v>
      </c>
      <c r="G358" s="135">
        <v>0.42</v>
      </c>
      <c r="H358" s="133">
        <v>2023</v>
      </c>
      <c r="I358" s="152" t="s">
        <v>5573</v>
      </c>
    </row>
    <row r="359" spans="1:9" ht="18.75" thickBot="1" x14ac:dyDescent="0.3">
      <c r="A359" s="133" t="str">
        <f t="shared" si="5"/>
        <v>013423H</v>
      </c>
      <c r="B359" s="133" t="s">
        <v>6362</v>
      </c>
      <c r="C359" s="133" t="s">
        <v>6363</v>
      </c>
      <c r="D359" s="133" t="s">
        <v>24</v>
      </c>
      <c r="E359" s="134"/>
      <c r="F359" s="134" t="s">
        <v>5552</v>
      </c>
      <c r="G359" s="135">
        <v>2.21</v>
      </c>
      <c r="H359" s="133">
        <v>2018</v>
      </c>
      <c r="I359" s="152" t="s">
        <v>5787</v>
      </c>
    </row>
    <row r="360" spans="1:9" ht="18.75" thickBot="1" x14ac:dyDescent="0.3">
      <c r="A360" s="133" t="str">
        <f t="shared" si="5"/>
        <v>139918M</v>
      </c>
      <c r="B360" s="133" t="s">
        <v>6364</v>
      </c>
      <c r="C360" s="133" t="s">
        <v>6365</v>
      </c>
      <c r="D360" s="133" t="s">
        <v>5504</v>
      </c>
      <c r="E360" s="134"/>
      <c r="F360" s="134">
        <v>0.76</v>
      </c>
      <c r="G360" s="135">
        <v>0.68</v>
      </c>
      <c r="H360" s="133">
        <v>2014</v>
      </c>
      <c r="I360" s="152" t="s">
        <v>5657</v>
      </c>
    </row>
    <row r="361" spans="1:9" ht="18.75" thickBot="1" x14ac:dyDescent="0.3">
      <c r="A361" s="133" t="str">
        <f t="shared" si="5"/>
        <v>141149V</v>
      </c>
      <c r="B361" s="133" t="s">
        <v>6366</v>
      </c>
      <c r="C361" s="133" t="s">
        <v>6367</v>
      </c>
      <c r="D361" s="133" t="s">
        <v>5504</v>
      </c>
      <c r="E361" s="134"/>
      <c r="F361" s="134">
        <v>0.88</v>
      </c>
      <c r="G361" s="135">
        <v>0.79</v>
      </c>
      <c r="H361" s="133">
        <v>2014</v>
      </c>
      <c r="I361" s="152" t="s">
        <v>5792</v>
      </c>
    </row>
    <row r="362" spans="1:9" ht="18.75" thickBot="1" x14ac:dyDescent="0.3">
      <c r="A362" s="133" t="str">
        <f t="shared" si="5"/>
        <v>013425J</v>
      </c>
      <c r="B362" s="133" t="s">
        <v>6368</v>
      </c>
      <c r="C362" s="133" t="s">
        <v>6369</v>
      </c>
      <c r="D362" s="133" t="s">
        <v>26</v>
      </c>
      <c r="E362" s="134"/>
      <c r="F362" s="134">
        <v>1.95</v>
      </c>
      <c r="G362" s="135">
        <v>1.73</v>
      </c>
      <c r="H362" s="133">
        <v>2024</v>
      </c>
      <c r="I362" s="152" t="s">
        <v>5563</v>
      </c>
    </row>
    <row r="363" spans="1:9" ht="18.75" thickBot="1" x14ac:dyDescent="0.3">
      <c r="A363" s="133" t="str">
        <f t="shared" si="5"/>
        <v>013428M</v>
      </c>
      <c r="B363" s="133" t="s">
        <v>6370</v>
      </c>
      <c r="C363" s="133" t="s">
        <v>6371</v>
      </c>
      <c r="D363" s="133" t="s">
        <v>5503</v>
      </c>
      <c r="E363" s="134"/>
      <c r="F363" s="134">
        <v>1.04</v>
      </c>
      <c r="G363" s="135">
        <v>0.93</v>
      </c>
      <c r="H363" s="133">
        <v>2024</v>
      </c>
      <c r="I363" s="152" t="s">
        <v>5678</v>
      </c>
    </row>
    <row r="364" spans="1:9" ht="18.75" thickBot="1" x14ac:dyDescent="0.3">
      <c r="A364" s="133" t="str">
        <f t="shared" si="5"/>
        <v>132470A</v>
      </c>
      <c r="B364" s="133" t="s">
        <v>6372</v>
      </c>
      <c r="C364" s="133" t="s">
        <v>6373</v>
      </c>
      <c r="D364" s="133" t="s">
        <v>5503</v>
      </c>
      <c r="E364" s="134"/>
      <c r="F364" s="134">
        <v>1.3</v>
      </c>
      <c r="G364" s="135">
        <v>1.1599999999999999</v>
      </c>
      <c r="H364" s="133">
        <v>2019</v>
      </c>
      <c r="I364" s="152" t="s">
        <v>5630</v>
      </c>
    </row>
    <row r="365" spans="1:9" ht="18.75" thickBot="1" x14ac:dyDescent="0.3">
      <c r="A365" s="133" t="str">
        <f t="shared" si="5"/>
        <v>119233X</v>
      </c>
      <c r="B365" s="133" t="s">
        <v>7254</v>
      </c>
      <c r="C365" s="133" t="s">
        <v>7255</v>
      </c>
      <c r="D365" s="133" t="s">
        <v>5504</v>
      </c>
      <c r="E365" s="134"/>
      <c r="F365" s="134">
        <v>0.62</v>
      </c>
      <c r="G365" s="135">
        <v>0.55000000000000004</v>
      </c>
      <c r="H365" s="133">
        <v>2015</v>
      </c>
      <c r="I365" s="152" t="s">
        <v>5573</v>
      </c>
    </row>
    <row r="366" spans="1:9" ht="18.75" thickBot="1" x14ac:dyDescent="0.3">
      <c r="A366" s="133" t="str">
        <f t="shared" si="5"/>
        <v>108024U</v>
      </c>
      <c r="B366" s="133" t="s">
        <v>6376</v>
      </c>
      <c r="C366" s="133" t="s">
        <v>6377</v>
      </c>
      <c r="D366" s="133" t="s">
        <v>26</v>
      </c>
      <c r="E366" s="134"/>
      <c r="F366" s="134">
        <v>1.91</v>
      </c>
      <c r="G366" s="135">
        <v>1.7</v>
      </c>
      <c r="H366" s="133">
        <v>2014</v>
      </c>
      <c r="I366" s="152" t="s">
        <v>5635</v>
      </c>
    </row>
    <row r="367" spans="1:9" ht="18.75" thickBot="1" x14ac:dyDescent="0.3">
      <c r="A367" s="133" t="str">
        <f t="shared" si="5"/>
        <v>118148E</v>
      </c>
      <c r="B367" s="133" t="s">
        <v>6382</v>
      </c>
      <c r="C367" s="133" t="s">
        <v>6383</v>
      </c>
      <c r="D367" s="133" t="s">
        <v>5503</v>
      </c>
      <c r="E367" s="134"/>
      <c r="F367" s="134">
        <v>1.37</v>
      </c>
      <c r="G367" s="135">
        <v>1.22</v>
      </c>
      <c r="H367" s="133">
        <v>2009</v>
      </c>
      <c r="I367" s="152" t="s">
        <v>5559</v>
      </c>
    </row>
    <row r="368" spans="1:9" ht="18.75" thickBot="1" x14ac:dyDescent="0.3">
      <c r="A368" s="133" t="str">
        <f t="shared" si="5"/>
        <v>132888C</v>
      </c>
      <c r="B368" s="133" t="s">
        <v>7256</v>
      </c>
      <c r="C368" s="133" t="s">
        <v>7257</v>
      </c>
      <c r="D368" s="133" t="s">
        <v>5503</v>
      </c>
      <c r="E368" s="134"/>
      <c r="F368" s="134">
        <v>1.05</v>
      </c>
      <c r="G368" s="135">
        <v>0.93</v>
      </c>
      <c r="H368" s="133">
        <v>2016</v>
      </c>
      <c r="I368" s="152" t="s">
        <v>5559</v>
      </c>
    </row>
    <row r="369" spans="1:9" ht="18.75" thickBot="1" x14ac:dyDescent="0.3">
      <c r="A369" s="133" t="str">
        <f t="shared" si="5"/>
        <v>126914I</v>
      </c>
      <c r="B369" s="133" t="s">
        <v>7258</v>
      </c>
      <c r="C369" s="133" t="s">
        <v>7259</v>
      </c>
      <c r="D369" s="133" t="s">
        <v>5503</v>
      </c>
      <c r="E369" s="134"/>
      <c r="F369" s="134">
        <v>1.1100000000000001</v>
      </c>
      <c r="G369" s="135">
        <v>0.99</v>
      </c>
      <c r="H369" s="133">
        <v>2016</v>
      </c>
      <c r="I369" s="152" t="s">
        <v>5744</v>
      </c>
    </row>
    <row r="370" spans="1:9" ht="18.75" thickBot="1" x14ac:dyDescent="0.3">
      <c r="A370" s="133" t="str">
        <f t="shared" si="5"/>
        <v>137035P</v>
      </c>
      <c r="B370" s="133" t="s">
        <v>7260</v>
      </c>
      <c r="C370" s="133" t="s">
        <v>7261</v>
      </c>
      <c r="D370" s="133" t="s">
        <v>5504</v>
      </c>
      <c r="E370" s="134"/>
      <c r="F370" s="134">
        <v>0.65</v>
      </c>
      <c r="G370" s="135">
        <v>0.57999999999999996</v>
      </c>
      <c r="H370" s="133">
        <v>2014</v>
      </c>
      <c r="I370" s="152" t="s">
        <v>5566</v>
      </c>
    </row>
    <row r="371" spans="1:9" ht="18.75" thickBot="1" x14ac:dyDescent="0.3">
      <c r="A371" s="133" t="str">
        <f t="shared" si="5"/>
        <v>136221H</v>
      </c>
      <c r="B371" s="133" t="s">
        <v>7262</v>
      </c>
      <c r="C371" s="133" t="s">
        <v>7263</v>
      </c>
      <c r="D371" s="133" t="s">
        <v>5503</v>
      </c>
      <c r="E371" s="134"/>
      <c r="F371" s="134">
        <v>0.86</v>
      </c>
      <c r="G371" s="135">
        <v>0.76</v>
      </c>
      <c r="H371" s="133">
        <v>2013</v>
      </c>
      <c r="I371" s="152" t="s">
        <v>5559</v>
      </c>
    </row>
    <row r="372" spans="1:9" ht="18.75" thickBot="1" x14ac:dyDescent="0.3">
      <c r="A372" s="133" t="str">
        <f t="shared" si="5"/>
        <v>136220G</v>
      </c>
      <c r="B372" s="133" t="s">
        <v>6384</v>
      </c>
      <c r="C372" s="133" t="s">
        <v>6385</v>
      </c>
      <c r="D372" s="133" t="s">
        <v>5504</v>
      </c>
      <c r="E372" s="134"/>
      <c r="F372" s="134">
        <v>0.66</v>
      </c>
      <c r="G372" s="135">
        <v>0.59</v>
      </c>
      <c r="H372" s="133">
        <v>2024</v>
      </c>
      <c r="I372" s="152" t="s">
        <v>5559</v>
      </c>
    </row>
    <row r="373" spans="1:9" ht="18.75" thickBot="1" x14ac:dyDescent="0.3">
      <c r="A373" s="133" t="str">
        <f t="shared" si="5"/>
        <v>013447F</v>
      </c>
      <c r="B373" s="133" t="s">
        <v>6386</v>
      </c>
      <c r="C373" s="133" t="s">
        <v>6387</v>
      </c>
      <c r="D373" s="133" t="s">
        <v>5503</v>
      </c>
      <c r="E373" s="134"/>
      <c r="F373" s="134">
        <v>1.38</v>
      </c>
      <c r="G373" s="135">
        <v>1.23</v>
      </c>
      <c r="H373" s="133">
        <v>2024</v>
      </c>
      <c r="I373" s="152" t="s">
        <v>5635</v>
      </c>
    </row>
    <row r="374" spans="1:9" ht="18.75" thickBot="1" x14ac:dyDescent="0.3">
      <c r="A374" s="133" t="str">
        <f t="shared" si="5"/>
        <v>149703W</v>
      </c>
      <c r="B374" s="133" t="s">
        <v>7264</v>
      </c>
      <c r="C374" s="133" t="s">
        <v>7265</v>
      </c>
      <c r="D374" s="133" t="s">
        <v>5504</v>
      </c>
      <c r="E374" s="134"/>
      <c r="F374" s="134">
        <v>0.91</v>
      </c>
      <c r="G374" s="135">
        <v>0.81</v>
      </c>
      <c r="H374" s="133">
        <v>2016</v>
      </c>
      <c r="I374" s="152" t="s">
        <v>5735</v>
      </c>
    </row>
    <row r="375" spans="1:9" ht="18.75" thickBot="1" x14ac:dyDescent="0.3">
      <c r="A375" s="133" t="str">
        <f t="shared" si="5"/>
        <v>124761N</v>
      </c>
      <c r="B375" s="133" t="s">
        <v>6388</v>
      </c>
      <c r="C375" s="133" t="s">
        <v>6389</v>
      </c>
      <c r="D375" s="133" t="s">
        <v>5503</v>
      </c>
      <c r="E375" s="134"/>
      <c r="F375" s="134">
        <v>1.1100000000000001</v>
      </c>
      <c r="G375" s="135">
        <v>0.99</v>
      </c>
      <c r="H375" s="133">
        <v>2019</v>
      </c>
      <c r="I375" s="152" t="s">
        <v>5598</v>
      </c>
    </row>
    <row r="376" spans="1:9" ht="18.75" thickBot="1" x14ac:dyDescent="0.3">
      <c r="A376" s="133" t="str">
        <f t="shared" si="5"/>
        <v>163323A</v>
      </c>
      <c r="B376" s="133" t="s">
        <v>7266</v>
      </c>
      <c r="C376" s="133" t="s">
        <v>7267</v>
      </c>
      <c r="D376" s="133" t="s">
        <v>5504</v>
      </c>
      <c r="E376" s="134"/>
      <c r="F376" s="134">
        <v>0.43</v>
      </c>
      <c r="G376" s="135">
        <v>0.39</v>
      </c>
      <c r="H376" s="133">
        <v>2019</v>
      </c>
      <c r="I376" s="152" t="s">
        <v>5566</v>
      </c>
    </row>
    <row r="377" spans="1:9" ht="18.75" thickBot="1" x14ac:dyDescent="0.3">
      <c r="A377" s="133" t="str">
        <f t="shared" si="5"/>
        <v>104059H</v>
      </c>
      <c r="B377" s="133" t="s">
        <v>6392</v>
      </c>
      <c r="C377" s="133" t="s">
        <v>6393</v>
      </c>
      <c r="D377" s="133" t="s">
        <v>5504</v>
      </c>
      <c r="E377" s="134"/>
      <c r="F377" s="134">
        <v>0.59</v>
      </c>
      <c r="G377" s="135">
        <v>0.52</v>
      </c>
      <c r="H377" s="133">
        <v>2017</v>
      </c>
      <c r="I377" s="152" t="s">
        <v>5726</v>
      </c>
    </row>
    <row r="378" spans="1:9" ht="18.75" thickBot="1" x14ac:dyDescent="0.3">
      <c r="A378" s="133" t="str">
        <f t="shared" si="5"/>
        <v>123838A</v>
      </c>
      <c r="B378" s="133" t="s">
        <v>7268</v>
      </c>
      <c r="C378" s="133" t="s">
        <v>7269</v>
      </c>
      <c r="D378" s="133" t="s">
        <v>5503</v>
      </c>
      <c r="E378" s="134"/>
      <c r="F378" s="134">
        <v>1.1100000000000001</v>
      </c>
      <c r="G378" s="135">
        <v>0.98</v>
      </c>
      <c r="H378" s="133">
        <v>2024</v>
      </c>
      <c r="I378" s="152" t="s">
        <v>5573</v>
      </c>
    </row>
    <row r="379" spans="1:9" ht="18.75" thickBot="1" x14ac:dyDescent="0.3">
      <c r="A379" s="133" t="str">
        <f t="shared" si="5"/>
        <v>114622O</v>
      </c>
      <c r="B379" s="133" t="s">
        <v>7270</v>
      </c>
      <c r="C379" s="133" t="s">
        <v>7271</v>
      </c>
      <c r="D379" s="133" t="s">
        <v>5504</v>
      </c>
      <c r="E379" s="134"/>
      <c r="F379" s="134">
        <v>0.67</v>
      </c>
      <c r="G379" s="135">
        <v>0.59</v>
      </c>
      <c r="H379" s="133">
        <v>2014</v>
      </c>
      <c r="I379" s="152" t="s">
        <v>5601</v>
      </c>
    </row>
    <row r="380" spans="1:9" ht="18.75" thickBot="1" x14ac:dyDescent="0.3">
      <c r="A380" s="133" t="str">
        <f t="shared" si="5"/>
        <v>132839F</v>
      </c>
      <c r="B380" s="133" t="s">
        <v>6396</v>
      </c>
      <c r="C380" s="133" t="s">
        <v>6397</v>
      </c>
      <c r="D380" s="133" t="s">
        <v>5503</v>
      </c>
      <c r="E380" s="134"/>
      <c r="F380" s="134">
        <v>1.1200000000000001</v>
      </c>
      <c r="G380" s="135">
        <v>1</v>
      </c>
      <c r="H380" s="133">
        <v>2020</v>
      </c>
      <c r="I380" s="152" t="s">
        <v>5657</v>
      </c>
    </row>
    <row r="381" spans="1:9" ht="18.75" thickBot="1" x14ac:dyDescent="0.3">
      <c r="A381" s="133" t="str">
        <f t="shared" si="5"/>
        <v>013475H</v>
      </c>
      <c r="B381" s="133" t="s">
        <v>6398</v>
      </c>
      <c r="C381" s="133" t="s">
        <v>6399</v>
      </c>
      <c r="D381" s="133" t="s">
        <v>5503</v>
      </c>
      <c r="E381" s="134"/>
      <c r="F381" s="134">
        <v>1.26</v>
      </c>
      <c r="G381" s="135">
        <v>1.1200000000000001</v>
      </c>
      <c r="H381" s="133">
        <v>2022</v>
      </c>
      <c r="I381" s="152" t="s">
        <v>5566</v>
      </c>
    </row>
    <row r="382" spans="1:9" ht="18.75" thickBot="1" x14ac:dyDescent="0.3">
      <c r="A382" s="133" t="str">
        <f t="shared" si="5"/>
        <v>013476I</v>
      </c>
      <c r="B382" s="133" t="s">
        <v>6400</v>
      </c>
      <c r="C382" s="133" t="s">
        <v>6401</v>
      </c>
      <c r="D382" s="133" t="s">
        <v>5504</v>
      </c>
      <c r="E382" s="134"/>
      <c r="F382" s="134">
        <v>0.71</v>
      </c>
      <c r="G382" s="135">
        <v>0.63</v>
      </c>
      <c r="H382" s="133">
        <v>2020</v>
      </c>
      <c r="I382" s="152" t="s">
        <v>5744</v>
      </c>
    </row>
    <row r="383" spans="1:9" ht="18.75" thickBot="1" x14ac:dyDescent="0.3">
      <c r="A383" s="133" t="str">
        <f t="shared" si="5"/>
        <v>013479L</v>
      </c>
      <c r="B383" s="133" t="s">
        <v>6402</v>
      </c>
      <c r="C383" s="133" t="s">
        <v>6403</v>
      </c>
      <c r="D383" s="133" t="s">
        <v>24</v>
      </c>
      <c r="E383" s="134"/>
      <c r="F383" s="134" t="s">
        <v>5552</v>
      </c>
      <c r="G383" s="135">
        <v>2.3199999999999998</v>
      </c>
      <c r="H383" s="133">
        <v>2020</v>
      </c>
      <c r="I383" s="152" t="s">
        <v>5566</v>
      </c>
    </row>
    <row r="384" spans="1:9" ht="18.75" thickBot="1" x14ac:dyDescent="0.3">
      <c r="A384" s="133" t="str">
        <f t="shared" si="5"/>
        <v>134791H</v>
      </c>
      <c r="B384" s="133" t="s">
        <v>6404</v>
      </c>
      <c r="C384" s="133" t="s">
        <v>6405</v>
      </c>
      <c r="D384" s="133" t="s">
        <v>26</v>
      </c>
      <c r="E384" s="134"/>
      <c r="F384" s="134">
        <v>1.86</v>
      </c>
      <c r="G384" s="135">
        <v>1.66</v>
      </c>
      <c r="H384" s="133">
        <v>2016</v>
      </c>
      <c r="I384" s="152" t="s">
        <v>5895</v>
      </c>
    </row>
    <row r="385" spans="1:9" ht="18.75" thickBot="1" x14ac:dyDescent="0.3">
      <c r="A385" s="133" t="str">
        <f t="shared" si="5"/>
        <v>126984A</v>
      </c>
      <c r="B385" s="133" t="s">
        <v>6410</v>
      </c>
      <c r="C385" s="133" t="s">
        <v>6411</v>
      </c>
      <c r="D385" s="133" t="s">
        <v>5503</v>
      </c>
      <c r="E385" s="134"/>
      <c r="F385" s="134">
        <v>1.1599999999999999</v>
      </c>
      <c r="G385" s="135">
        <v>1.04</v>
      </c>
      <c r="H385" s="133">
        <v>2015</v>
      </c>
      <c r="I385" s="152" t="s">
        <v>5657</v>
      </c>
    </row>
    <row r="386" spans="1:9" ht="18.75" thickBot="1" x14ac:dyDescent="0.3">
      <c r="A386" s="133" t="str">
        <f t="shared" ref="A386:A449" si="6">SUBSTITUTE(B386,CHAR(32),"")</f>
        <v>117586O</v>
      </c>
      <c r="B386" s="133" t="s">
        <v>7272</v>
      </c>
      <c r="C386" s="133" t="s">
        <v>7273</v>
      </c>
      <c r="D386" s="133" t="s">
        <v>5503</v>
      </c>
      <c r="E386" s="134"/>
      <c r="F386" s="134">
        <v>1.0900000000000001</v>
      </c>
      <c r="G386" s="135">
        <v>0.97</v>
      </c>
      <c r="H386" s="133">
        <v>2014</v>
      </c>
      <c r="I386" s="152" t="s">
        <v>5553</v>
      </c>
    </row>
    <row r="387" spans="1:9" ht="18.75" thickBot="1" x14ac:dyDescent="0.3">
      <c r="A387" s="133" t="str">
        <f t="shared" si="6"/>
        <v>109482W</v>
      </c>
      <c r="B387" s="133" t="s">
        <v>7274</v>
      </c>
      <c r="C387" s="133" t="s">
        <v>7275</v>
      </c>
      <c r="D387" s="133" t="s">
        <v>5504</v>
      </c>
      <c r="E387" s="134"/>
      <c r="F387" s="134">
        <v>0.86</v>
      </c>
      <c r="G387" s="135">
        <v>0.77</v>
      </c>
      <c r="H387" s="133">
        <v>2012</v>
      </c>
      <c r="I387" s="152" t="s">
        <v>5601</v>
      </c>
    </row>
    <row r="388" spans="1:9" ht="18.75" thickBot="1" x14ac:dyDescent="0.3">
      <c r="A388" s="133" t="str">
        <f t="shared" si="6"/>
        <v>108073R</v>
      </c>
      <c r="B388" s="133" t="s">
        <v>7276</v>
      </c>
      <c r="C388" s="133" t="s">
        <v>7277</v>
      </c>
      <c r="D388" s="133" t="s">
        <v>5503</v>
      </c>
      <c r="E388" s="134"/>
      <c r="F388" s="134">
        <v>1.2</v>
      </c>
      <c r="G388" s="135">
        <v>1.06</v>
      </c>
      <c r="H388" s="133">
        <v>2011</v>
      </c>
      <c r="I388" s="152" t="s">
        <v>6229</v>
      </c>
    </row>
    <row r="389" spans="1:9" ht="18.75" thickBot="1" x14ac:dyDescent="0.3">
      <c r="A389" s="133" t="str">
        <f t="shared" si="6"/>
        <v>138121J</v>
      </c>
      <c r="B389" s="133" t="s">
        <v>7278</v>
      </c>
      <c r="C389" s="133" t="s">
        <v>7279</v>
      </c>
      <c r="D389" s="133" t="s">
        <v>5504</v>
      </c>
      <c r="E389" s="134"/>
      <c r="F389" s="134">
        <v>0.72</v>
      </c>
      <c r="G389" s="135">
        <v>0.64</v>
      </c>
      <c r="H389" s="133">
        <v>2024</v>
      </c>
      <c r="I389" s="152" t="s">
        <v>6229</v>
      </c>
    </row>
    <row r="390" spans="1:9" ht="18.75" thickBot="1" x14ac:dyDescent="0.3">
      <c r="A390" s="133" t="str">
        <f t="shared" si="6"/>
        <v>143716O</v>
      </c>
      <c r="B390" s="133" t="s">
        <v>6416</v>
      </c>
      <c r="C390" s="133" t="s">
        <v>6417</v>
      </c>
      <c r="D390" s="133" t="s">
        <v>24</v>
      </c>
      <c r="E390" s="134"/>
      <c r="F390" s="134" t="s">
        <v>5552</v>
      </c>
      <c r="G390" s="135">
        <v>3.06</v>
      </c>
      <c r="H390" s="133">
        <v>2020</v>
      </c>
      <c r="I390" s="152" t="s">
        <v>5587</v>
      </c>
    </row>
    <row r="391" spans="1:9" ht="18.75" thickBot="1" x14ac:dyDescent="0.3">
      <c r="A391" s="133" t="str">
        <f t="shared" si="6"/>
        <v>013503J</v>
      </c>
      <c r="B391" s="133" t="s">
        <v>6418</v>
      </c>
      <c r="C391" s="133" t="s">
        <v>6419</v>
      </c>
      <c r="D391" s="133" t="s">
        <v>5504</v>
      </c>
      <c r="E391" s="134"/>
      <c r="F391" s="134">
        <v>0.64</v>
      </c>
      <c r="G391" s="135">
        <v>0.56999999999999995</v>
      </c>
      <c r="H391" s="133">
        <v>2009</v>
      </c>
      <c r="I391" s="152" t="s">
        <v>5635</v>
      </c>
    </row>
    <row r="392" spans="1:9" ht="18.75" thickBot="1" x14ac:dyDescent="0.3">
      <c r="A392" s="133" t="str">
        <f t="shared" si="6"/>
        <v>013542W</v>
      </c>
      <c r="B392" s="133" t="s">
        <v>6420</v>
      </c>
      <c r="C392" s="133" t="s">
        <v>6421</v>
      </c>
      <c r="D392" s="133" t="s">
        <v>26</v>
      </c>
      <c r="E392" s="134"/>
      <c r="F392" s="134">
        <v>2.5</v>
      </c>
      <c r="G392" s="135">
        <v>2.2200000000000002</v>
      </c>
      <c r="H392" s="133">
        <v>2024</v>
      </c>
      <c r="I392" s="152" t="s">
        <v>5563</v>
      </c>
    </row>
    <row r="393" spans="1:9" ht="18.75" thickBot="1" x14ac:dyDescent="0.3">
      <c r="A393" s="133" t="str">
        <f t="shared" si="6"/>
        <v>124878A</v>
      </c>
      <c r="B393" s="133" t="s">
        <v>6424</v>
      </c>
      <c r="C393" s="133" t="s">
        <v>6425</v>
      </c>
      <c r="D393" s="133" t="s">
        <v>5504</v>
      </c>
      <c r="E393" s="134"/>
      <c r="F393" s="134">
        <v>0.74</v>
      </c>
      <c r="G393" s="135">
        <v>0.65</v>
      </c>
      <c r="H393" s="133">
        <v>2010</v>
      </c>
      <c r="I393" s="152" t="s">
        <v>5594</v>
      </c>
    </row>
    <row r="394" spans="1:9" ht="18.75" thickBot="1" x14ac:dyDescent="0.3">
      <c r="A394" s="133" t="str">
        <f t="shared" si="6"/>
        <v>140428C</v>
      </c>
      <c r="B394" s="133" t="s">
        <v>6426</v>
      </c>
      <c r="C394" s="133" t="s">
        <v>6427</v>
      </c>
      <c r="D394" s="133" t="s">
        <v>5504</v>
      </c>
      <c r="E394" s="134"/>
      <c r="F394" s="134">
        <v>0.94</v>
      </c>
      <c r="G394" s="135">
        <v>0.83</v>
      </c>
      <c r="H394" s="133">
        <v>2022</v>
      </c>
      <c r="I394" s="152" t="s">
        <v>5768</v>
      </c>
    </row>
    <row r="395" spans="1:9" ht="18.75" thickBot="1" x14ac:dyDescent="0.3">
      <c r="A395" s="133" t="str">
        <f t="shared" si="6"/>
        <v>111043X</v>
      </c>
      <c r="B395" s="133" t="s">
        <v>6428</v>
      </c>
      <c r="C395" s="133" t="s">
        <v>6429</v>
      </c>
      <c r="D395" s="133" t="s">
        <v>5504</v>
      </c>
      <c r="E395" s="134"/>
      <c r="F395" s="134">
        <v>0.48</v>
      </c>
      <c r="G395" s="135">
        <v>0.43</v>
      </c>
      <c r="H395" s="133">
        <v>2015</v>
      </c>
      <c r="I395" s="152" t="s">
        <v>5566</v>
      </c>
    </row>
    <row r="396" spans="1:9" ht="18.75" thickBot="1" x14ac:dyDescent="0.3">
      <c r="A396" s="133" t="str">
        <f t="shared" si="6"/>
        <v>117441Z</v>
      </c>
      <c r="B396" s="133" t="s">
        <v>6430</v>
      </c>
      <c r="C396" s="133" t="s">
        <v>6431</v>
      </c>
      <c r="D396" s="133" t="s">
        <v>5503</v>
      </c>
      <c r="E396" s="134"/>
      <c r="F396" s="134">
        <v>1.32</v>
      </c>
      <c r="G396" s="135">
        <v>1.18</v>
      </c>
      <c r="H396" s="133">
        <v>2014</v>
      </c>
      <c r="I396" s="152" t="s">
        <v>5787</v>
      </c>
    </row>
    <row r="397" spans="1:9" ht="18.75" thickBot="1" x14ac:dyDescent="0.3">
      <c r="A397" s="133" t="str">
        <f t="shared" si="6"/>
        <v>013513T</v>
      </c>
      <c r="B397" s="133" t="s">
        <v>6432</v>
      </c>
      <c r="C397" s="133" t="s">
        <v>6433</v>
      </c>
      <c r="D397" s="133" t="s">
        <v>5503</v>
      </c>
      <c r="E397" s="134"/>
      <c r="F397" s="134">
        <v>1.28</v>
      </c>
      <c r="G397" s="135">
        <v>1.1399999999999999</v>
      </c>
      <c r="H397" s="133">
        <v>2018</v>
      </c>
      <c r="I397" s="152" t="s">
        <v>5556</v>
      </c>
    </row>
    <row r="398" spans="1:9" ht="18.75" thickBot="1" x14ac:dyDescent="0.3">
      <c r="A398" s="133" t="str">
        <f t="shared" si="6"/>
        <v>013514U</v>
      </c>
      <c r="B398" s="133" t="s">
        <v>6434</v>
      </c>
      <c r="C398" s="133" t="s">
        <v>6435</v>
      </c>
      <c r="D398" s="133" t="s">
        <v>5765</v>
      </c>
      <c r="E398" s="134"/>
      <c r="F398" s="134" t="s">
        <v>5552</v>
      </c>
      <c r="G398" s="135">
        <v>8.33</v>
      </c>
      <c r="H398" s="133">
        <v>2024</v>
      </c>
      <c r="I398" s="152" t="s">
        <v>5556</v>
      </c>
    </row>
    <row r="399" spans="1:9" ht="18.75" thickBot="1" x14ac:dyDescent="0.3">
      <c r="A399" s="133" t="str">
        <f t="shared" si="6"/>
        <v>138060A</v>
      </c>
      <c r="B399" s="133" t="s">
        <v>6436</v>
      </c>
      <c r="C399" s="133" t="s">
        <v>6437</v>
      </c>
      <c r="D399" s="133" t="s">
        <v>26</v>
      </c>
      <c r="E399" s="134"/>
      <c r="F399" s="134">
        <v>1.79</v>
      </c>
      <c r="G399" s="135">
        <v>1.59</v>
      </c>
      <c r="H399" s="133">
        <v>2024</v>
      </c>
      <c r="I399" s="152" t="s">
        <v>5601</v>
      </c>
    </row>
    <row r="400" spans="1:9" ht="18.75" thickBot="1" x14ac:dyDescent="0.3">
      <c r="A400" s="133" t="str">
        <f t="shared" si="6"/>
        <v>150408M</v>
      </c>
      <c r="B400" s="133" t="s">
        <v>6438</v>
      </c>
      <c r="C400" s="133" t="s">
        <v>6439</v>
      </c>
      <c r="D400" s="133" t="s">
        <v>5504</v>
      </c>
      <c r="E400" s="134"/>
      <c r="F400" s="134">
        <v>0.26</v>
      </c>
      <c r="G400" s="135">
        <v>0.23</v>
      </c>
      <c r="H400" s="133">
        <v>2022</v>
      </c>
      <c r="I400" s="152" t="s">
        <v>5657</v>
      </c>
    </row>
    <row r="401" spans="1:9" ht="18.75" thickBot="1" x14ac:dyDescent="0.3">
      <c r="A401" s="133" t="str">
        <f t="shared" si="6"/>
        <v>168407B</v>
      </c>
      <c r="B401" s="133" t="s">
        <v>6440</v>
      </c>
      <c r="C401" s="133" t="s">
        <v>6441</v>
      </c>
      <c r="D401" s="133" t="s">
        <v>5504</v>
      </c>
      <c r="E401" s="134"/>
      <c r="F401" s="134">
        <v>0.68</v>
      </c>
      <c r="G401" s="135">
        <v>0.6</v>
      </c>
      <c r="H401" s="133">
        <v>2024</v>
      </c>
      <c r="I401" s="152" t="s">
        <v>5553</v>
      </c>
    </row>
    <row r="402" spans="1:9" ht="18.75" thickBot="1" x14ac:dyDescent="0.3">
      <c r="A402" s="133" t="str">
        <f t="shared" si="6"/>
        <v>168408C</v>
      </c>
      <c r="B402" s="133" t="s">
        <v>6442</v>
      </c>
      <c r="C402" s="133" t="s">
        <v>6443</v>
      </c>
      <c r="D402" s="133" t="s">
        <v>5504</v>
      </c>
      <c r="E402" s="134"/>
      <c r="F402" s="134">
        <v>0.9</v>
      </c>
      <c r="G402" s="135">
        <v>0.8</v>
      </c>
      <c r="H402" s="133">
        <v>2024</v>
      </c>
      <c r="I402" s="152" t="s">
        <v>5553</v>
      </c>
    </row>
    <row r="403" spans="1:9" ht="18.75" thickBot="1" x14ac:dyDescent="0.3">
      <c r="A403" s="133" t="str">
        <f t="shared" si="6"/>
        <v>141135H</v>
      </c>
      <c r="B403" s="133" t="s">
        <v>7280</v>
      </c>
      <c r="C403" s="133" t="s">
        <v>7281</v>
      </c>
      <c r="D403" s="133" t="s">
        <v>5504</v>
      </c>
      <c r="E403" s="134"/>
      <c r="F403" s="134">
        <v>0.77</v>
      </c>
      <c r="G403" s="135">
        <v>0.68</v>
      </c>
      <c r="H403" s="133">
        <v>2010</v>
      </c>
      <c r="I403" s="152" t="s">
        <v>5726</v>
      </c>
    </row>
    <row r="404" spans="1:9" ht="18.75" thickBot="1" x14ac:dyDescent="0.3">
      <c r="A404" s="133" t="str">
        <f t="shared" si="6"/>
        <v>100053F</v>
      </c>
      <c r="B404" s="133" t="s">
        <v>6446</v>
      </c>
      <c r="C404" s="133" t="s">
        <v>6447</v>
      </c>
      <c r="D404" s="133" t="s">
        <v>5504</v>
      </c>
      <c r="E404" s="134"/>
      <c r="F404" s="134">
        <v>0.74</v>
      </c>
      <c r="G404" s="135">
        <v>0.66</v>
      </c>
      <c r="H404" s="133">
        <v>2024</v>
      </c>
      <c r="I404" s="152" t="s">
        <v>5566</v>
      </c>
    </row>
    <row r="405" spans="1:9" ht="18.75" thickBot="1" x14ac:dyDescent="0.3">
      <c r="A405" s="133" t="str">
        <f t="shared" si="6"/>
        <v>013526G</v>
      </c>
      <c r="B405" s="133" t="s">
        <v>6448</v>
      </c>
      <c r="C405" s="133" t="s">
        <v>6449</v>
      </c>
      <c r="D405" s="133" t="s">
        <v>5503</v>
      </c>
      <c r="E405" s="134"/>
      <c r="F405" s="134">
        <v>1.1200000000000001</v>
      </c>
      <c r="G405" s="135">
        <v>1</v>
      </c>
      <c r="H405" s="133">
        <v>2020</v>
      </c>
      <c r="I405" s="152" t="s">
        <v>5678</v>
      </c>
    </row>
    <row r="406" spans="1:9" ht="18.75" thickBot="1" x14ac:dyDescent="0.3">
      <c r="A406" s="133" t="str">
        <f t="shared" si="6"/>
        <v>013527H</v>
      </c>
      <c r="B406" s="133" t="s">
        <v>6450</v>
      </c>
      <c r="C406" s="133" t="s">
        <v>6451</v>
      </c>
      <c r="D406" s="133" t="s">
        <v>26</v>
      </c>
      <c r="E406" s="134"/>
      <c r="F406" s="134">
        <v>1.96</v>
      </c>
      <c r="G406" s="135">
        <v>1.74</v>
      </c>
      <c r="H406" s="133">
        <v>2020</v>
      </c>
      <c r="I406" s="152" t="s">
        <v>5587</v>
      </c>
    </row>
    <row r="407" spans="1:9" ht="18.75" thickBot="1" x14ac:dyDescent="0.3">
      <c r="A407" s="133" t="str">
        <f t="shared" si="6"/>
        <v>157143H</v>
      </c>
      <c r="B407" s="133" t="s">
        <v>7282</v>
      </c>
      <c r="C407" s="133" t="s">
        <v>7283</v>
      </c>
      <c r="D407" s="133" t="s">
        <v>5504</v>
      </c>
      <c r="E407" s="134"/>
      <c r="F407" s="134">
        <v>0.65</v>
      </c>
      <c r="G407" s="135">
        <v>0.57999999999999996</v>
      </c>
      <c r="H407" s="133">
        <v>2020</v>
      </c>
      <c r="I407" s="152" t="s">
        <v>5556</v>
      </c>
    </row>
    <row r="408" spans="1:9" ht="18.75" thickBot="1" x14ac:dyDescent="0.3">
      <c r="A408" s="133" t="str">
        <f t="shared" si="6"/>
        <v>163907K</v>
      </c>
      <c r="B408" s="133" t="s">
        <v>6452</v>
      </c>
      <c r="C408" s="133" t="s">
        <v>6453</v>
      </c>
      <c r="D408" s="133" t="s">
        <v>5504</v>
      </c>
      <c r="E408" s="134"/>
      <c r="F408" s="134">
        <v>0.56000000000000005</v>
      </c>
      <c r="G408" s="135">
        <v>0.5</v>
      </c>
      <c r="H408" s="133">
        <v>2024</v>
      </c>
      <c r="I408" s="152" t="s">
        <v>5701</v>
      </c>
    </row>
    <row r="409" spans="1:9" ht="18.75" thickBot="1" x14ac:dyDescent="0.3">
      <c r="A409" s="133" t="str">
        <f t="shared" si="6"/>
        <v>121405L</v>
      </c>
      <c r="B409" s="133" t="s">
        <v>6458</v>
      </c>
      <c r="C409" s="133" t="s">
        <v>6459</v>
      </c>
      <c r="D409" s="133" t="s">
        <v>5503</v>
      </c>
      <c r="E409" s="134"/>
      <c r="F409" s="134">
        <v>1.22</v>
      </c>
      <c r="G409" s="135">
        <v>1.08</v>
      </c>
      <c r="H409" s="133">
        <v>2014</v>
      </c>
      <c r="I409" s="152" t="s">
        <v>5601</v>
      </c>
    </row>
    <row r="410" spans="1:9" ht="18.75" thickBot="1" x14ac:dyDescent="0.3">
      <c r="A410" s="133" t="str">
        <f t="shared" si="6"/>
        <v>145291D</v>
      </c>
      <c r="B410" s="133" t="s">
        <v>7284</v>
      </c>
      <c r="C410" s="133" t="s">
        <v>7285</v>
      </c>
      <c r="D410" s="133" t="s">
        <v>5503</v>
      </c>
      <c r="E410" s="134"/>
      <c r="F410" s="134">
        <v>1.21</v>
      </c>
      <c r="G410" s="135">
        <v>1.08</v>
      </c>
      <c r="H410" s="133">
        <v>2024</v>
      </c>
      <c r="I410" s="152" t="s">
        <v>5787</v>
      </c>
    </row>
    <row r="411" spans="1:9" ht="18.75" thickBot="1" x14ac:dyDescent="0.3">
      <c r="A411" s="133" t="str">
        <f t="shared" si="6"/>
        <v>013546A</v>
      </c>
      <c r="B411" s="133" t="s">
        <v>6460</v>
      </c>
      <c r="C411" s="133" t="s">
        <v>6461</v>
      </c>
      <c r="D411" s="133" t="s">
        <v>5597</v>
      </c>
      <c r="E411" s="134"/>
      <c r="F411" s="134">
        <v>0.91</v>
      </c>
      <c r="G411" s="135">
        <v>0.81</v>
      </c>
      <c r="H411" s="133">
        <v>2024</v>
      </c>
      <c r="I411" s="152" t="s">
        <v>6229</v>
      </c>
    </row>
    <row r="412" spans="1:9" ht="18.75" thickBot="1" x14ac:dyDescent="0.3">
      <c r="A412" s="133" t="str">
        <f t="shared" si="6"/>
        <v>013550E</v>
      </c>
      <c r="B412" s="133" t="s">
        <v>6464</v>
      </c>
      <c r="C412" s="133" t="s">
        <v>6465</v>
      </c>
      <c r="D412" s="133" t="s">
        <v>26</v>
      </c>
      <c r="E412" s="134"/>
      <c r="F412" s="134">
        <v>1.65</v>
      </c>
      <c r="G412" s="135">
        <v>1.47</v>
      </c>
      <c r="H412" s="133">
        <v>2020</v>
      </c>
      <c r="I412" s="152" t="s">
        <v>5598</v>
      </c>
    </row>
    <row r="413" spans="1:9" ht="18.75" thickBot="1" x14ac:dyDescent="0.3">
      <c r="A413" s="133" t="str">
        <f t="shared" si="6"/>
        <v>013551F</v>
      </c>
      <c r="B413" s="133" t="s">
        <v>6466</v>
      </c>
      <c r="C413" s="133" t="s">
        <v>6467</v>
      </c>
      <c r="D413" s="133" t="s">
        <v>5504</v>
      </c>
      <c r="E413" s="134"/>
      <c r="F413" s="134">
        <v>0.73</v>
      </c>
      <c r="G413" s="135">
        <v>0.65</v>
      </c>
      <c r="H413" s="133">
        <v>2008</v>
      </c>
      <c r="I413" s="152" t="s">
        <v>5630</v>
      </c>
    </row>
    <row r="414" spans="1:9" ht="18.75" thickBot="1" x14ac:dyDescent="0.3">
      <c r="A414" s="133" t="str">
        <f t="shared" si="6"/>
        <v>013557L</v>
      </c>
      <c r="B414" s="133" t="s">
        <v>6472</v>
      </c>
      <c r="C414" s="133" t="s">
        <v>6473</v>
      </c>
      <c r="D414" s="133" t="s">
        <v>5503</v>
      </c>
      <c r="E414" s="134"/>
      <c r="F414" s="134">
        <v>1.36</v>
      </c>
      <c r="G414" s="135">
        <v>1.21</v>
      </c>
      <c r="H414" s="133">
        <v>2024</v>
      </c>
      <c r="I414" s="152" t="s">
        <v>5598</v>
      </c>
    </row>
    <row r="415" spans="1:9" ht="18.75" thickBot="1" x14ac:dyDescent="0.3">
      <c r="A415" s="133" t="str">
        <f t="shared" si="6"/>
        <v>147409C</v>
      </c>
      <c r="B415" s="133" t="s">
        <v>6474</v>
      </c>
      <c r="C415" s="133" t="s">
        <v>6475</v>
      </c>
      <c r="D415" s="133" t="s">
        <v>5504</v>
      </c>
      <c r="E415" s="134"/>
      <c r="F415" s="134">
        <v>0.76</v>
      </c>
      <c r="G415" s="135">
        <v>0.68</v>
      </c>
      <c r="H415" s="133">
        <v>2020</v>
      </c>
      <c r="I415" s="152" t="s">
        <v>5850</v>
      </c>
    </row>
    <row r="416" spans="1:9" ht="18.75" thickBot="1" x14ac:dyDescent="0.3">
      <c r="A416" s="133" t="str">
        <f t="shared" si="6"/>
        <v>143411V</v>
      </c>
      <c r="B416" s="133" t="s">
        <v>6478</v>
      </c>
      <c r="C416" s="133" t="s">
        <v>6479</v>
      </c>
      <c r="D416" s="133" t="s">
        <v>5504</v>
      </c>
      <c r="E416" s="134"/>
      <c r="F416" s="134">
        <v>0.56999999999999995</v>
      </c>
      <c r="G416" s="135">
        <v>0.51</v>
      </c>
      <c r="H416" s="133">
        <v>2020</v>
      </c>
      <c r="I416" s="152" t="s">
        <v>5792</v>
      </c>
    </row>
    <row r="417" spans="1:9" ht="18.75" thickBot="1" x14ac:dyDescent="0.3">
      <c r="A417" s="133" t="str">
        <f t="shared" si="6"/>
        <v>159678N</v>
      </c>
      <c r="B417" s="133" t="s">
        <v>7286</v>
      </c>
      <c r="C417" s="133" t="s">
        <v>7287</v>
      </c>
      <c r="D417" s="133" t="s">
        <v>5504</v>
      </c>
      <c r="E417" s="134"/>
      <c r="F417" s="134">
        <v>0.75</v>
      </c>
      <c r="G417" s="135">
        <v>0.67</v>
      </c>
      <c r="H417" s="133">
        <v>2023</v>
      </c>
      <c r="I417" s="152" t="s">
        <v>5635</v>
      </c>
    </row>
    <row r="418" spans="1:9" ht="18.75" thickBot="1" x14ac:dyDescent="0.3">
      <c r="A418" s="133" t="str">
        <f t="shared" si="6"/>
        <v>154179L</v>
      </c>
      <c r="B418" s="133" t="s">
        <v>7288</v>
      </c>
      <c r="C418" s="133" t="s">
        <v>7289</v>
      </c>
      <c r="D418" s="133" t="s">
        <v>5504</v>
      </c>
      <c r="E418" s="134"/>
      <c r="F418" s="134">
        <v>0.81</v>
      </c>
      <c r="G418" s="135">
        <v>0.72</v>
      </c>
      <c r="H418" s="133">
        <v>2024</v>
      </c>
      <c r="I418" s="152" t="s">
        <v>5559</v>
      </c>
    </row>
    <row r="419" spans="1:9" ht="18.75" thickBot="1" x14ac:dyDescent="0.3">
      <c r="A419" s="133" t="str">
        <f t="shared" si="6"/>
        <v>136067J</v>
      </c>
      <c r="B419" s="133" t="s">
        <v>7290</v>
      </c>
      <c r="C419" s="133" t="s">
        <v>7291</v>
      </c>
      <c r="D419" s="133" t="s">
        <v>5504</v>
      </c>
      <c r="E419" s="134"/>
      <c r="F419" s="134">
        <v>0.53</v>
      </c>
      <c r="G419" s="135">
        <v>0.47</v>
      </c>
      <c r="H419" s="133">
        <v>2010</v>
      </c>
      <c r="I419" s="152" t="s">
        <v>5744</v>
      </c>
    </row>
    <row r="420" spans="1:9" ht="18.75" thickBot="1" x14ac:dyDescent="0.3">
      <c r="A420" s="133" t="str">
        <f t="shared" si="6"/>
        <v>020242O</v>
      </c>
      <c r="B420" s="133" t="s">
        <v>8559</v>
      </c>
      <c r="C420" s="133" t="s">
        <v>8560</v>
      </c>
      <c r="D420" s="133" t="s">
        <v>26</v>
      </c>
      <c r="E420" s="134"/>
      <c r="F420" s="134">
        <v>2.08</v>
      </c>
      <c r="G420" s="135">
        <v>1.85</v>
      </c>
      <c r="H420" s="133">
        <v>2012</v>
      </c>
      <c r="I420" s="152" t="s">
        <v>5587</v>
      </c>
    </row>
    <row r="421" spans="1:9" ht="18.75" thickBot="1" x14ac:dyDescent="0.3">
      <c r="A421" s="133" t="str">
        <f t="shared" si="6"/>
        <v>155952N</v>
      </c>
      <c r="B421" s="133" t="s">
        <v>7292</v>
      </c>
      <c r="C421" s="133" t="s">
        <v>7293</v>
      </c>
      <c r="D421" s="133" t="s">
        <v>5504</v>
      </c>
      <c r="E421" s="134"/>
      <c r="F421" s="134">
        <v>0.33</v>
      </c>
      <c r="G421" s="135">
        <v>0.28999999999999998</v>
      </c>
      <c r="H421" s="133">
        <v>2019</v>
      </c>
      <c r="I421" s="152" t="s">
        <v>5566</v>
      </c>
    </row>
    <row r="422" spans="1:9" ht="18.75" thickBot="1" x14ac:dyDescent="0.3">
      <c r="A422" s="133" t="str">
        <f t="shared" si="6"/>
        <v>178429V</v>
      </c>
      <c r="B422" s="133" t="s">
        <v>6492</v>
      </c>
      <c r="C422" s="133" t="s">
        <v>6493</v>
      </c>
      <c r="D422" s="133" t="s">
        <v>5597</v>
      </c>
      <c r="E422" s="134"/>
      <c r="F422" s="134">
        <v>1.63</v>
      </c>
      <c r="G422" s="135">
        <v>1.45</v>
      </c>
      <c r="H422" s="133">
        <v>2024</v>
      </c>
      <c r="I422" s="152" t="s">
        <v>5563</v>
      </c>
    </row>
    <row r="423" spans="1:9" ht="18.75" thickBot="1" x14ac:dyDescent="0.3">
      <c r="A423" s="133" t="str">
        <f t="shared" si="6"/>
        <v>013592U</v>
      </c>
      <c r="B423" s="133" t="s">
        <v>6494</v>
      </c>
      <c r="C423" s="133" t="s">
        <v>6495</v>
      </c>
      <c r="D423" s="133" t="s">
        <v>26</v>
      </c>
      <c r="E423" s="134"/>
      <c r="F423" s="134">
        <v>1.76</v>
      </c>
      <c r="G423" s="135">
        <v>1.57</v>
      </c>
      <c r="H423" s="133">
        <v>2010</v>
      </c>
      <c r="I423" s="152" t="s">
        <v>5598</v>
      </c>
    </row>
    <row r="424" spans="1:9" ht="18.75" thickBot="1" x14ac:dyDescent="0.3">
      <c r="A424" s="133" t="str">
        <f t="shared" si="6"/>
        <v>181958F</v>
      </c>
      <c r="B424" s="133" t="s">
        <v>8561</v>
      </c>
      <c r="C424" s="133" t="s">
        <v>8562</v>
      </c>
      <c r="D424" s="133" t="s">
        <v>5704</v>
      </c>
      <c r="E424" s="134"/>
      <c r="F424" s="134">
        <v>0.94</v>
      </c>
      <c r="G424" s="135">
        <v>0.83</v>
      </c>
      <c r="H424" s="133">
        <v>2024</v>
      </c>
      <c r="I424" s="152" t="s">
        <v>5705</v>
      </c>
    </row>
    <row r="425" spans="1:9" ht="18.75" thickBot="1" x14ac:dyDescent="0.3">
      <c r="A425" s="133" t="str">
        <f t="shared" si="6"/>
        <v>013598A</v>
      </c>
      <c r="B425" s="133" t="s">
        <v>6496</v>
      </c>
      <c r="C425" s="133" t="s">
        <v>6497</v>
      </c>
      <c r="D425" s="133" t="s">
        <v>5504</v>
      </c>
      <c r="E425" s="134"/>
      <c r="F425" s="134">
        <v>0.56000000000000005</v>
      </c>
      <c r="G425" s="135">
        <v>0.49</v>
      </c>
      <c r="H425" s="133">
        <v>2009</v>
      </c>
      <c r="I425" s="152" t="s">
        <v>5573</v>
      </c>
    </row>
    <row r="426" spans="1:9" ht="18.75" thickBot="1" x14ac:dyDescent="0.3">
      <c r="A426" s="133" t="str">
        <f t="shared" si="6"/>
        <v>134845J</v>
      </c>
      <c r="B426" s="133" t="s">
        <v>7294</v>
      </c>
      <c r="C426" s="133" t="s">
        <v>7295</v>
      </c>
      <c r="D426" s="133" t="s">
        <v>5503</v>
      </c>
      <c r="E426" s="134"/>
      <c r="F426" s="134">
        <v>1.24</v>
      </c>
      <c r="G426" s="135">
        <v>1.1000000000000001</v>
      </c>
      <c r="H426" s="133">
        <v>2024</v>
      </c>
      <c r="I426" s="152" t="s">
        <v>5744</v>
      </c>
    </row>
    <row r="427" spans="1:9" ht="18.75" thickBot="1" x14ac:dyDescent="0.3">
      <c r="A427" s="133" t="str">
        <f t="shared" si="6"/>
        <v>108113F</v>
      </c>
      <c r="B427" s="133" t="s">
        <v>6498</v>
      </c>
      <c r="C427" s="133" t="s">
        <v>6499</v>
      </c>
      <c r="D427" s="133" t="s">
        <v>5504</v>
      </c>
      <c r="E427" s="134"/>
      <c r="F427" s="134">
        <v>0.93</v>
      </c>
      <c r="G427" s="135">
        <v>0.82</v>
      </c>
      <c r="H427" s="133">
        <v>2024</v>
      </c>
      <c r="I427" s="152" t="s">
        <v>5566</v>
      </c>
    </row>
    <row r="428" spans="1:9" ht="18.75" thickBot="1" x14ac:dyDescent="0.3">
      <c r="A428" s="133" t="str">
        <f t="shared" si="6"/>
        <v>155170N</v>
      </c>
      <c r="B428" s="133" t="s">
        <v>6502</v>
      </c>
      <c r="C428" s="133" t="s">
        <v>6503</v>
      </c>
      <c r="D428" s="133" t="s">
        <v>5562</v>
      </c>
      <c r="E428" s="134"/>
      <c r="F428" s="134">
        <v>1.8</v>
      </c>
      <c r="G428" s="135">
        <v>1.6</v>
      </c>
      <c r="H428" s="133">
        <v>2024</v>
      </c>
      <c r="I428" s="152" t="s">
        <v>5735</v>
      </c>
    </row>
    <row r="429" spans="1:9" ht="18.75" thickBot="1" x14ac:dyDescent="0.3">
      <c r="A429" s="133" t="str">
        <f t="shared" si="6"/>
        <v>140581Z</v>
      </c>
      <c r="B429" s="133" t="s">
        <v>6504</v>
      </c>
      <c r="C429" s="133" t="s">
        <v>6505</v>
      </c>
      <c r="D429" s="133" t="s">
        <v>5504</v>
      </c>
      <c r="E429" s="134"/>
      <c r="F429" s="134">
        <v>0.41</v>
      </c>
      <c r="G429" s="135">
        <v>0.37</v>
      </c>
      <c r="H429" s="133">
        <v>2012</v>
      </c>
      <c r="I429" s="152" t="s">
        <v>5601</v>
      </c>
    </row>
    <row r="430" spans="1:9" ht="18.75" thickBot="1" x14ac:dyDescent="0.3">
      <c r="A430" s="133" t="str">
        <f t="shared" si="6"/>
        <v>149913Z</v>
      </c>
      <c r="B430" s="133" t="s">
        <v>6506</v>
      </c>
      <c r="C430" s="133" t="s">
        <v>6507</v>
      </c>
      <c r="D430" s="133" t="s">
        <v>5504</v>
      </c>
      <c r="E430" s="134"/>
      <c r="F430" s="134">
        <v>0.78</v>
      </c>
      <c r="G430" s="135">
        <v>0.69</v>
      </c>
      <c r="H430" s="133">
        <v>2016</v>
      </c>
      <c r="I430" s="152" t="s">
        <v>5635</v>
      </c>
    </row>
    <row r="431" spans="1:9" ht="18.75" thickBot="1" x14ac:dyDescent="0.3">
      <c r="A431" s="133" t="str">
        <f t="shared" si="6"/>
        <v>013604G</v>
      </c>
      <c r="B431" s="133" t="s">
        <v>6508</v>
      </c>
      <c r="C431" s="133" t="s">
        <v>6509</v>
      </c>
      <c r="D431" s="133" t="s">
        <v>24</v>
      </c>
      <c r="E431" s="134"/>
      <c r="F431" s="134" t="s">
        <v>5552</v>
      </c>
      <c r="G431" s="135">
        <v>2.79</v>
      </c>
      <c r="H431" s="133">
        <v>2008</v>
      </c>
      <c r="I431" s="152" t="s">
        <v>5726</v>
      </c>
    </row>
    <row r="432" spans="1:9" ht="18.75" thickBot="1" x14ac:dyDescent="0.3">
      <c r="A432" s="133" t="str">
        <f t="shared" si="6"/>
        <v>144067B</v>
      </c>
      <c r="B432" s="133" t="s">
        <v>7296</v>
      </c>
      <c r="C432" s="133" t="s">
        <v>7297</v>
      </c>
      <c r="D432" s="133" t="s">
        <v>5504</v>
      </c>
      <c r="E432" s="134"/>
      <c r="F432" s="134">
        <v>0.76</v>
      </c>
      <c r="G432" s="135">
        <v>0.67</v>
      </c>
      <c r="H432" s="133">
        <v>2014</v>
      </c>
      <c r="I432" s="152" t="s">
        <v>5705</v>
      </c>
    </row>
    <row r="433" spans="1:9" ht="18.75" thickBot="1" x14ac:dyDescent="0.3">
      <c r="A433" s="133" t="str">
        <f t="shared" si="6"/>
        <v>161463D</v>
      </c>
      <c r="B433" s="133" t="s">
        <v>7298</v>
      </c>
      <c r="C433" s="133" t="s">
        <v>7299</v>
      </c>
      <c r="D433" s="133" t="s">
        <v>5503</v>
      </c>
      <c r="E433" s="134"/>
      <c r="F433" s="134">
        <v>1.0900000000000001</v>
      </c>
      <c r="G433" s="135">
        <v>0.97</v>
      </c>
      <c r="H433" s="133">
        <v>2024</v>
      </c>
      <c r="I433" s="152" t="s">
        <v>5671</v>
      </c>
    </row>
    <row r="434" spans="1:9" ht="18.75" thickBot="1" x14ac:dyDescent="0.3">
      <c r="A434" s="133" t="str">
        <f t="shared" si="6"/>
        <v>013608K</v>
      </c>
      <c r="B434" s="133" t="s">
        <v>6510</v>
      </c>
      <c r="C434" s="133" t="s">
        <v>6511</v>
      </c>
      <c r="D434" s="133" t="s">
        <v>24</v>
      </c>
      <c r="E434" s="134"/>
      <c r="F434" s="134" t="s">
        <v>5552</v>
      </c>
      <c r="G434" s="135">
        <v>2.39</v>
      </c>
      <c r="H434" s="133">
        <v>2015</v>
      </c>
      <c r="I434" s="152" t="s">
        <v>5678</v>
      </c>
    </row>
    <row r="435" spans="1:9" ht="18.75" thickBot="1" x14ac:dyDescent="0.3">
      <c r="A435" s="133" t="str">
        <f t="shared" si="6"/>
        <v>013618U</v>
      </c>
      <c r="B435" s="133" t="s">
        <v>6512</v>
      </c>
      <c r="C435" s="133" t="s">
        <v>6513</v>
      </c>
      <c r="D435" s="133" t="s">
        <v>5503</v>
      </c>
      <c r="E435" s="134"/>
      <c r="F435" s="134">
        <v>1.28</v>
      </c>
      <c r="G435" s="135">
        <v>1.1399999999999999</v>
      </c>
      <c r="H435" s="133">
        <v>2016</v>
      </c>
      <c r="I435" s="152" t="s">
        <v>5895</v>
      </c>
    </row>
    <row r="436" spans="1:9" ht="18.75" thickBot="1" x14ac:dyDescent="0.3">
      <c r="A436" s="133" t="str">
        <f t="shared" si="6"/>
        <v>119631F</v>
      </c>
      <c r="B436" s="133" t="s">
        <v>7300</v>
      </c>
      <c r="C436" s="133" t="s">
        <v>7301</v>
      </c>
      <c r="D436" s="133" t="s">
        <v>5504</v>
      </c>
      <c r="E436" s="134"/>
      <c r="F436" s="134">
        <v>0.98</v>
      </c>
      <c r="G436" s="135">
        <v>0.87</v>
      </c>
      <c r="H436" s="133">
        <v>2024</v>
      </c>
      <c r="I436" s="152" t="s">
        <v>5678</v>
      </c>
    </row>
    <row r="437" spans="1:9" ht="18.75" thickBot="1" x14ac:dyDescent="0.3">
      <c r="A437" s="133" t="str">
        <f t="shared" si="6"/>
        <v>107940O</v>
      </c>
      <c r="B437" s="133" t="s">
        <v>6516</v>
      </c>
      <c r="C437" s="133" t="s">
        <v>6517</v>
      </c>
      <c r="D437" s="133" t="s">
        <v>5504</v>
      </c>
      <c r="E437" s="134"/>
      <c r="F437" s="134">
        <v>0.97</v>
      </c>
      <c r="G437" s="135">
        <v>0.87</v>
      </c>
      <c r="H437" s="133">
        <v>2017</v>
      </c>
      <c r="I437" s="152" t="s">
        <v>5582</v>
      </c>
    </row>
    <row r="438" spans="1:9" ht="18.75" thickBot="1" x14ac:dyDescent="0.3">
      <c r="A438" s="133" t="str">
        <f t="shared" si="6"/>
        <v>163353H</v>
      </c>
      <c r="B438" s="133" t="s">
        <v>7302</v>
      </c>
      <c r="C438" s="133" t="s">
        <v>7303</v>
      </c>
      <c r="D438" s="133" t="s">
        <v>5504</v>
      </c>
      <c r="E438" s="134"/>
      <c r="F438" s="134">
        <v>0.67</v>
      </c>
      <c r="G438" s="135">
        <v>0.6</v>
      </c>
      <c r="H438" s="133">
        <v>2020</v>
      </c>
      <c r="I438" s="152" t="s">
        <v>5646</v>
      </c>
    </row>
    <row r="439" spans="1:9" ht="18.75" thickBot="1" x14ac:dyDescent="0.3">
      <c r="A439" s="133" t="str">
        <f t="shared" si="6"/>
        <v>148333G</v>
      </c>
      <c r="B439" s="133" t="s">
        <v>7304</v>
      </c>
      <c r="C439" s="133" t="s">
        <v>7305</v>
      </c>
      <c r="D439" s="133" t="s">
        <v>5503</v>
      </c>
      <c r="E439" s="134"/>
      <c r="F439" s="134">
        <v>1.02</v>
      </c>
      <c r="G439" s="135">
        <v>0.91</v>
      </c>
      <c r="H439" s="133">
        <v>2024</v>
      </c>
      <c r="I439" s="152" t="s">
        <v>5559</v>
      </c>
    </row>
    <row r="440" spans="1:9" ht="18.75" thickBot="1" x14ac:dyDescent="0.3">
      <c r="A440" s="133" t="str">
        <f t="shared" si="6"/>
        <v>124647D</v>
      </c>
      <c r="B440" s="133" t="s">
        <v>7306</v>
      </c>
      <c r="C440" s="133" t="s">
        <v>7307</v>
      </c>
      <c r="D440" s="133" t="s">
        <v>5504</v>
      </c>
      <c r="E440" s="134"/>
      <c r="F440" s="134">
        <v>0.91</v>
      </c>
      <c r="G440" s="135">
        <v>0.81</v>
      </c>
      <c r="H440" s="133">
        <v>2016</v>
      </c>
      <c r="I440" s="152" t="s">
        <v>7308</v>
      </c>
    </row>
    <row r="441" spans="1:9" ht="18.75" thickBot="1" x14ac:dyDescent="0.3">
      <c r="A441" s="133" t="str">
        <f t="shared" si="6"/>
        <v>113556O</v>
      </c>
      <c r="B441" s="133" t="s">
        <v>7309</v>
      </c>
      <c r="C441" s="133" t="s">
        <v>7310</v>
      </c>
      <c r="D441" s="133" t="s">
        <v>5503</v>
      </c>
      <c r="E441" s="134"/>
      <c r="F441" s="134">
        <v>0.79</v>
      </c>
      <c r="G441" s="135">
        <v>0.7</v>
      </c>
      <c r="H441" s="133">
        <v>2011</v>
      </c>
      <c r="I441" s="152" t="s">
        <v>5787</v>
      </c>
    </row>
    <row r="442" spans="1:9" ht="18.75" thickBot="1" x14ac:dyDescent="0.3">
      <c r="A442" s="133" t="str">
        <f t="shared" si="6"/>
        <v>126085L</v>
      </c>
      <c r="B442" s="133" t="s">
        <v>7311</v>
      </c>
      <c r="C442" s="133" t="s">
        <v>7312</v>
      </c>
      <c r="D442" s="133" t="s">
        <v>5503</v>
      </c>
      <c r="E442" s="134"/>
      <c r="F442" s="134">
        <v>1.24</v>
      </c>
      <c r="G442" s="135">
        <v>1.1100000000000001</v>
      </c>
      <c r="H442" s="133">
        <v>2013</v>
      </c>
      <c r="I442" s="152" t="s">
        <v>5735</v>
      </c>
    </row>
    <row r="443" spans="1:9" ht="18.75" thickBot="1" x14ac:dyDescent="0.3">
      <c r="A443" s="133" t="str">
        <f t="shared" si="6"/>
        <v>013640Q</v>
      </c>
      <c r="B443" s="133" t="s">
        <v>6518</v>
      </c>
      <c r="C443" s="133" t="s">
        <v>6519</v>
      </c>
      <c r="D443" s="133" t="s">
        <v>5503</v>
      </c>
      <c r="E443" s="134"/>
      <c r="F443" s="134">
        <v>0.78</v>
      </c>
      <c r="G443" s="135">
        <v>0.7</v>
      </c>
      <c r="H443" s="133">
        <v>2016</v>
      </c>
      <c r="I443" s="152" t="s">
        <v>5850</v>
      </c>
    </row>
    <row r="444" spans="1:9" ht="18.75" thickBot="1" x14ac:dyDescent="0.3">
      <c r="A444" s="133" t="str">
        <f t="shared" si="6"/>
        <v>139024C</v>
      </c>
      <c r="B444" s="133" t="s">
        <v>7313</v>
      </c>
      <c r="C444" s="133" t="s">
        <v>7314</v>
      </c>
      <c r="D444" s="133" t="s">
        <v>5503</v>
      </c>
      <c r="E444" s="134"/>
      <c r="F444" s="134">
        <v>0.81</v>
      </c>
      <c r="G444" s="135">
        <v>0.72</v>
      </c>
      <c r="H444" s="133">
        <v>2023</v>
      </c>
      <c r="I444" s="152" t="s">
        <v>5744</v>
      </c>
    </row>
    <row r="445" spans="1:9" ht="18.75" thickBot="1" x14ac:dyDescent="0.3">
      <c r="A445" s="133" t="str">
        <f t="shared" si="6"/>
        <v>147125T</v>
      </c>
      <c r="B445" s="133" t="s">
        <v>6522</v>
      </c>
      <c r="C445" s="133" t="s">
        <v>6523</v>
      </c>
      <c r="D445" s="133" t="s">
        <v>5504</v>
      </c>
      <c r="E445" s="134"/>
      <c r="F445" s="134">
        <v>0.48</v>
      </c>
      <c r="G445" s="135">
        <v>0.43</v>
      </c>
      <c r="H445" s="133">
        <v>2015</v>
      </c>
      <c r="I445" s="152" t="s">
        <v>5657</v>
      </c>
    </row>
    <row r="446" spans="1:9" ht="18.75" thickBot="1" x14ac:dyDescent="0.3">
      <c r="A446" s="133" t="str">
        <f t="shared" si="6"/>
        <v>147796Y</v>
      </c>
      <c r="B446" s="133" t="s">
        <v>6524</v>
      </c>
      <c r="C446" s="133" t="s">
        <v>6525</v>
      </c>
      <c r="D446" s="133" t="s">
        <v>5504</v>
      </c>
      <c r="E446" s="134"/>
      <c r="F446" s="134">
        <v>0.35</v>
      </c>
      <c r="G446" s="135">
        <v>0.32</v>
      </c>
      <c r="H446" s="133">
        <v>2023</v>
      </c>
      <c r="I446" s="152" t="s">
        <v>5678</v>
      </c>
    </row>
    <row r="447" spans="1:9" ht="18.75" thickBot="1" x14ac:dyDescent="0.3">
      <c r="A447" s="133" t="str">
        <f t="shared" si="6"/>
        <v>132698U</v>
      </c>
      <c r="B447" s="133" t="s">
        <v>6526</v>
      </c>
      <c r="C447" s="133" t="s">
        <v>6527</v>
      </c>
      <c r="D447" s="133" t="s">
        <v>5503</v>
      </c>
      <c r="E447" s="134"/>
      <c r="F447" s="134">
        <v>1.22</v>
      </c>
      <c r="G447" s="135">
        <v>1.0900000000000001</v>
      </c>
      <c r="H447" s="133">
        <v>2024</v>
      </c>
      <c r="I447" s="152" t="s">
        <v>5573</v>
      </c>
    </row>
    <row r="448" spans="1:9" ht="18.75" thickBot="1" x14ac:dyDescent="0.3">
      <c r="A448" s="133" t="str">
        <f t="shared" si="6"/>
        <v>143826U</v>
      </c>
      <c r="B448" s="133" t="s">
        <v>6528</v>
      </c>
      <c r="C448" s="133" t="s">
        <v>6529</v>
      </c>
      <c r="D448" s="133" t="s">
        <v>5504</v>
      </c>
      <c r="E448" s="134"/>
      <c r="F448" s="134">
        <v>0.92</v>
      </c>
      <c r="G448" s="135">
        <v>0.82</v>
      </c>
      <c r="H448" s="133">
        <v>2015</v>
      </c>
      <c r="I448" s="152" t="s">
        <v>5559</v>
      </c>
    </row>
    <row r="449" spans="1:9" ht="18.75" thickBot="1" x14ac:dyDescent="0.3">
      <c r="A449" s="133" t="str">
        <f t="shared" si="6"/>
        <v>013649Z</v>
      </c>
      <c r="B449" s="133" t="s">
        <v>6532</v>
      </c>
      <c r="C449" s="133" t="s">
        <v>6533</v>
      </c>
      <c r="D449" s="133" t="s">
        <v>5504</v>
      </c>
      <c r="E449" s="134"/>
      <c r="F449" s="134">
        <v>0.78</v>
      </c>
      <c r="G449" s="135">
        <v>0.69</v>
      </c>
      <c r="H449" s="133">
        <v>2008</v>
      </c>
      <c r="I449" s="152" t="s">
        <v>5671</v>
      </c>
    </row>
    <row r="450" spans="1:9" ht="18.75" thickBot="1" x14ac:dyDescent="0.3">
      <c r="A450" s="133" t="str">
        <f t="shared" ref="A450:A513" si="7">SUBSTITUTE(B450,CHAR(32),"")</f>
        <v>013654E</v>
      </c>
      <c r="B450" s="133" t="s">
        <v>6536</v>
      </c>
      <c r="C450" s="133" t="s">
        <v>6537</v>
      </c>
      <c r="D450" s="133" t="s">
        <v>5503</v>
      </c>
      <c r="E450" s="134"/>
      <c r="F450" s="134">
        <v>1.03</v>
      </c>
      <c r="G450" s="135">
        <v>0.91</v>
      </c>
      <c r="H450" s="133">
        <v>2024</v>
      </c>
      <c r="I450" s="152" t="s">
        <v>5744</v>
      </c>
    </row>
    <row r="451" spans="1:9" ht="18.75" thickBot="1" x14ac:dyDescent="0.3">
      <c r="A451" s="133" t="str">
        <f t="shared" si="7"/>
        <v>127814Y</v>
      </c>
      <c r="B451" s="133" t="s">
        <v>6538</v>
      </c>
      <c r="C451" s="133" t="s">
        <v>6539</v>
      </c>
      <c r="D451" s="133" t="s">
        <v>5503</v>
      </c>
      <c r="E451" s="134"/>
      <c r="F451" s="134">
        <v>1</v>
      </c>
      <c r="G451" s="135">
        <v>0.89</v>
      </c>
      <c r="H451" s="133">
        <v>2019</v>
      </c>
      <c r="I451" s="152" t="s">
        <v>5884</v>
      </c>
    </row>
    <row r="452" spans="1:9" ht="18.75" thickBot="1" x14ac:dyDescent="0.3">
      <c r="A452" s="133" t="str">
        <f t="shared" si="7"/>
        <v>129274C</v>
      </c>
      <c r="B452" s="133" t="s">
        <v>6540</v>
      </c>
      <c r="C452" s="133" t="s">
        <v>6541</v>
      </c>
      <c r="D452" s="133" t="s">
        <v>5504</v>
      </c>
      <c r="E452" s="134"/>
      <c r="F452" s="134">
        <v>0.91</v>
      </c>
      <c r="G452" s="135">
        <v>0.81</v>
      </c>
      <c r="H452" s="133">
        <v>2017</v>
      </c>
      <c r="I452" s="152" t="s">
        <v>5594</v>
      </c>
    </row>
    <row r="453" spans="1:9" ht="18.75" thickBot="1" x14ac:dyDescent="0.3">
      <c r="A453" s="133" t="str">
        <f t="shared" si="7"/>
        <v>123884U</v>
      </c>
      <c r="B453" s="133" t="s">
        <v>6548</v>
      </c>
      <c r="C453" s="133" t="s">
        <v>6549</v>
      </c>
      <c r="D453" s="133" t="s">
        <v>5504</v>
      </c>
      <c r="E453" s="134"/>
      <c r="F453" s="134">
        <v>0.74</v>
      </c>
      <c r="G453" s="135">
        <v>0.66</v>
      </c>
      <c r="H453" s="133">
        <v>2022</v>
      </c>
      <c r="I453" s="152" t="s">
        <v>5566</v>
      </c>
    </row>
    <row r="454" spans="1:9" ht="18.75" thickBot="1" x14ac:dyDescent="0.3">
      <c r="A454" s="133" t="str">
        <f t="shared" si="7"/>
        <v>103162U</v>
      </c>
      <c r="B454" s="133" t="s">
        <v>7315</v>
      </c>
      <c r="C454" s="133" t="s">
        <v>7316</v>
      </c>
      <c r="D454" s="133" t="s">
        <v>5504</v>
      </c>
      <c r="E454" s="134"/>
      <c r="F454" s="134">
        <v>0.9</v>
      </c>
      <c r="G454" s="135">
        <v>0.8</v>
      </c>
      <c r="H454" s="133">
        <v>2016</v>
      </c>
      <c r="I454" s="152" t="s">
        <v>5559</v>
      </c>
    </row>
    <row r="455" spans="1:9" ht="18.75" thickBot="1" x14ac:dyDescent="0.3">
      <c r="A455" s="133" t="str">
        <f t="shared" si="7"/>
        <v>161378L</v>
      </c>
      <c r="B455" s="133" t="s">
        <v>6550</v>
      </c>
      <c r="C455" s="133" t="s">
        <v>6551</v>
      </c>
      <c r="D455" s="133" t="s">
        <v>5597</v>
      </c>
      <c r="E455" s="134"/>
      <c r="F455" s="134">
        <v>0.99</v>
      </c>
      <c r="G455" s="135">
        <v>0.88</v>
      </c>
      <c r="H455" s="133">
        <v>2024</v>
      </c>
      <c r="I455" s="152" t="s">
        <v>5646</v>
      </c>
    </row>
    <row r="456" spans="1:9" ht="18.75" thickBot="1" x14ac:dyDescent="0.3">
      <c r="A456" s="133" t="str">
        <f t="shared" si="7"/>
        <v>129560C</v>
      </c>
      <c r="B456" s="133" t="s">
        <v>6552</v>
      </c>
      <c r="C456" s="133" t="s">
        <v>6553</v>
      </c>
      <c r="D456" s="133" t="s">
        <v>5503</v>
      </c>
      <c r="E456" s="134"/>
      <c r="F456" s="134">
        <v>1.51</v>
      </c>
      <c r="G456" s="135">
        <v>1.35</v>
      </c>
      <c r="H456" s="133">
        <v>2009</v>
      </c>
      <c r="I456" s="152" t="s">
        <v>6554</v>
      </c>
    </row>
    <row r="457" spans="1:9" ht="18.75" thickBot="1" x14ac:dyDescent="0.3">
      <c r="A457" s="133" t="str">
        <f t="shared" si="7"/>
        <v>133266Q</v>
      </c>
      <c r="B457" s="133" t="s">
        <v>6555</v>
      </c>
      <c r="C457" s="133" t="s">
        <v>6556</v>
      </c>
      <c r="D457" s="133" t="s">
        <v>5504</v>
      </c>
      <c r="E457" s="134"/>
      <c r="F457" s="134">
        <v>0.68</v>
      </c>
      <c r="G457" s="135">
        <v>0.61</v>
      </c>
      <c r="H457" s="133">
        <v>2009</v>
      </c>
      <c r="I457" s="152" t="s">
        <v>5726</v>
      </c>
    </row>
    <row r="458" spans="1:9" ht="18.75" thickBot="1" x14ac:dyDescent="0.3">
      <c r="A458" s="133" t="str">
        <f t="shared" si="7"/>
        <v>131368Q</v>
      </c>
      <c r="B458" s="133" t="s">
        <v>6557</v>
      </c>
      <c r="C458" s="133" t="s">
        <v>6558</v>
      </c>
      <c r="D458" s="133" t="s">
        <v>5504</v>
      </c>
      <c r="E458" s="134"/>
      <c r="F458" s="134">
        <v>0.84</v>
      </c>
      <c r="G458" s="135">
        <v>0.75</v>
      </c>
      <c r="H458" s="133">
        <v>2024</v>
      </c>
      <c r="I458" s="152" t="s">
        <v>5726</v>
      </c>
    </row>
    <row r="459" spans="1:9" ht="18.75" thickBot="1" x14ac:dyDescent="0.3">
      <c r="A459" s="133" t="str">
        <f t="shared" si="7"/>
        <v>140066E</v>
      </c>
      <c r="B459" s="133" t="s">
        <v>6559</v>
      </c>
      <c r="C459" s="133" t="s">
        <v>6560</v>
      </c>
      <c r="D459" s="133" t="s">
        <v>26</v>
      </c>
      <c r="E459" s="134"/>
      <c r="F459" s="134">
        <v>1.71</v>
      </c>
      <c r="G459" s="135">
        <v>1.53</v>
      </c>
      <c r="H459" s="133">
        <v>2020</v>
      </c>
      <c r="I459" s="152" t="s">
        <v>5635</v>
      </c>
    </row>
    <row r="460" spans="1:9" ht="18.75" thickBot="1" x14ac:dyDescent="0.3">
      <c r="A460" s="133" t="str">
        <f t="shared" si="7"/>
        <v>132683F</v>
      </c>
      <c r="B460" s="133" t="s">
        <v>7317</v>
      </c>
      <c r="C460" s="133" t="s">
        <v>7318</v>
      </c>
      <c r="D460" s="133" t="s">
        <v>5503</v>
      </c>
      <c r="E460" s="134"/>
      <c r="F460" s="134">
        <v>1.25</v>
      </c>
      <c r="G460" s="135">
        <v>1.1100000000000001</v>
      </c>
      <c r="H460" s="133">
        <v>2024</v>
      </c>
      <c r="I460" s="152" t="s">
        <v>5912</v>
      </c>
    </row>
    <row r="461" spans="1:9" ht="18.75" thickBot="1" x14ac:dyDescent="0.3">
      <c r="A461" s="133" t="str">
        <f t="shared" si="7"/>
        <v>013695T</v>
      </c>
      <c r="B461" s="133" t="s">
        <v>6563</v>
      </c>
      <c r="C461" s="133" t="s">
        <v>6564</v>
      </c>
      <c r="D461" s="133" t="s">
        <v>5504</v>
      </c>
      <c r="E461" s="134"/>
      <c r="F461" s="134">
        <v>0.78</v>
      </c>
      <c r="G461" s="135">
        <v>0.69</v>
      </c>
      <c r="H461" s="133">
        <v>2020</v>
      </c>
      <c r="I461" s="152" t="s">
        <v>5625</v>
      </c>
    </row>
    <row r="462" spans="1:9" ht="18.75" thickBot="1" x14ac:dyDescent="0.3">
      <c r="A462" s="133" t="str">
        <f t="shared" si="7"/>
        <v>177059F</v>
      </c>
      <c r="B462" s="133" t="s">
        <v>6565</v>
      </c>
      <c r="C462" s="133" t="s">
        <v>8567</v>
      </c>
      <c r="D462" s="133" t="s">
        <v>5504</v>
      </c>
      <c r="E462" s="134"/>
      <c r="F462" s="134">
        <v>0.98</v>
      </c>
      <c r="G462" s="135">
        <v>0.87</v>
      </c>
      <c r="H462" s="133">
        <v>2024</v>
      </c>
      <c r="I462" s="152" t="s">
        <v>5625</v>
      </c>
    </row>
    <row r="463" spans="1:9" ht="18.75" thickBot="1" x14ac:dyDescent="0.3">
      <c r="A463" s="133" t="str">
        <f t="shared" si="7"/>
        <v>165010J</v>
      </c>
      <c r="B463" s="133" t="s">
        <v>7319</v>
      </c>
      <c r="C463" s="133" t="s">
        <v>7320</v>
      </c>
      <c r="D463" s="133" t="s">
        <v>5504</v>
      </c>
      <c r="E463" s="134"/>
      <c r="F463" s="134">
        <v>0.79</v>
      </c>
      <c r="G463" s="135">
        <v>0.7</v>
      </c>
      <c r="H463" s="133">
        <v>2024</v>
      </c>
      <c r="I463" s="152" t="s">
        <v>5635</v>
      </c>
    </row>
    <row r="464" spans="1:9" ht="18.75" thickBot="1" x14ac:dyDescent="0.3">
      <c r="A464" s="133" t="str">
        <f t="shared" si="7"/>
        <v>138920C</v>
      </c>
      <c r="B464" s="133" t="s">
        <v>7321</v>
      </c>
      <c r="C464" s="133" t="s">
        <v>7322</v>
      </c>
      <c r="D464" s="133" t="s">
        <v>5503</v>
      </c>
      <c r="E464" s="134"/>
      <c r="F464" s="134">
        <v>1.27</v>
      </c>
      <c r="G464" s="135">
        <v>1.1299999999999999</v>
      </c>
      <c r="H464" s="133">
        <v>2022</v>
      </c>
      <c r="I464" s="152" t="s">
        <v>5635</v>
      </c>
    </row>
    <row r="465" spans="1:9" ht="18.75" thickBot="1" x14ac:dyDescent="0.3">
      <c r="A465" s="133" t="str">
        <f t="shared" si="7"/>
        <v>013705D</v>
      </c>
      <c r="B465" s="133" t="s">
        <v>7323</v>
      </c>
      <c r="C465" s="133" t="s">
        <v>7324</v>
      </c>
      <c r="D465" s="133" t="s">
        <v>5503</v>
      </c>
      <c r="E465" s="134"/>
      <c r="F465" s="134">
        <v>1.05</v>
      </c>
      <c r="G465" s="135">
        <v>0.94</v>
      </c>
      <c r="H465" s="133">
        <v>2010</v>
      </c>
      <c r="I465" s="152" t="s">
        <v>5566</v>
      </c>
    </row>
    <row r="466" spans="1:9" ht="18.75" thickBot="1" x14ac:dyDescent="0.3">
      <c r="A466" s="133" t="str">
        <f t="shared" si="7"/>
        <v>152971Y</v>
      </c>
      <c r="B466" s="133" t="s">
        <v>6571</v>
      </c>
      <c r="C466" s="133" t="s">
        <v>6572</v>
      </c>
      <c r="D466" s="133" t="s">
        <v>5503</v>
      </c>
      <c r="E466" s="134"/>
      <c r="F466" s="134">
        <v>1.32</v>
      </c>
      <c r="G466" s="135">
        <v>1.17</v>
      </c>
      <c r="H466" s="133">
        <v>2024</v>
      </c>
      <c r="I466" s="152" t="s">
        <v>5630</v>
      </c>
    </row>
    <row r="467" spans="1:9" ht="18.75" thickBot="1" x14ac:dyDescent="0.3">
      <c r="A467" s="133" t="str">
        <f t="shared" si="7"/>
        <v>013711J</v>
      </c>
      <c r="B467" s="133" t="s">
        <v>6573</v>
      </c>
      <c r="C467" s="133" t="s">
        <v>6574</v>
      </c>
      <c r="D467" s="133" t="s">
        <v>26</v>
      </c>
      <c r="E467" s="134"/>
      <c r="F467" s="134">
        <v>1.82</v>
      </c>
      <c r="G467" s="135">
        <v>1.62</v>
      </c>
      <c r="H467" s="133">
        <v>2024</v>
      </c>
      <c r="I467" s="152" t="s">
        <v>5556</v>
      </c>
    </row>
    <row r="468" spans="1:9" ht="18.75" thickBot="1" x14ac:dyDescent="0.3">
      <c r="A468" s="133" t="str">
        <f t="shared" si="7"/>
        <v>013714M</v>
      </c>
      <c r="B468" s="133" t="s">
        <v>6577</v>
      </c>
      <c r="C468" s="133" t="s">
        <v>6578</v>
      </c>
      <c r="D468" s="133" t="s">
        <v>5504</v>
      </c>
      <c r="E468" s="134"/>
      <c r="F468" s="134">
        <v>0.84</v>
      </c>
      <c r="G468" s="135">
        <v>0.75</v>
      </c>
      <c r="H468" s="133">
        <v>2012</v>
      </c>
      <c r="I468" s="152" t="s">
        <v>5582</v>
      </c>
    </row>
    <row r="469" spans="1:9" ht="18.75" thickBot="1" x14ac:dyDescent="0.3">
      <c r="A469" s="133" t="str">
        <f t="shared" si="7"/>
        <v>132309V</v>
      </c>
      <c r="B469" s="133" t="s">
        <v>7325</v>
      </c>
      <c r="C469" s="133" t="s">
        <v>7326</v>
      </c>
      <c r="D469" s="133" t="s">
        <v>26</v>
      </c>
      <c r="E469" s="134"/>
      <c r="F469" s="134">
        <v>1.91</v>
      </c>
      <c r="G469" s="135">
        <v>1.7</v>
      </c>
      <c r="H469" s="133">
        <v>2016</v>
      </c>
      <c r="I469" s="152" t="s">
        <v>5666</v>
      </c>
    </row>
    <row r="470" spans="1:9" ht="18.75" thickBot="1" x14ac:dyDescent="0.3">
      <c r="A470" s="133" t="str">
        <f t="shared" si="7"/>
        <v>169536D</v>
      </c>
      <c r="B470" s="133" t="s">
        <v>6579</v>
      </c>
      <c r="C470" s="133" t="s">
        <v>6580</v>
      </c>
      <c r="D470" s="133" t="s">
        <v>5704</v>
      </c>
      <c r="E470" s="134"/>
      <c r="F470" s="134">
        <v>0.84</v>
      </c>
      <c r="G470" s="135">
        <v>0.75</v>
      </c>
      <c r="H470" s="133">
        <v>2024</v>
      </c>
      <c r="I470" s="152" t="s">
        <v>5559</v>
      </c>
    </row>
    <row r="471" spans="1:9" ht="18.75" thickBot="1" x14ac:dyDescent="0.3">
      <c r="A471" s="133" t="str">
        <f t="shared" si="7"/>
        <v>013725X</v>
      </c>
      <c r="B471" s="133" t="s">
        <v>6581</v>
      </c>
      <c r="C471" s="133" t="s">
        <v>6582</v>
      </c>
      <c r="D471" s="133" t="s">
        <v>26</v>
      </c>
      <c r="E471" s="134"/>
      <c r="F471" s="134">
        <v>1.75</v>
      </c>
      <c r="G471" s="135">
        <v>1.55</v>
      </c>
      <c r="H471" s="133">
        <v>2018</v>
      </c>
      <c r="I471" s="152" t="s">
        <v>5594</v>
      </c>
    </row>
    <row r="472" spans="1:9" ht="18.75" thickBot="1" x14ac:dyDescent="0.3">
      <c r="A472" s="133" t="str">
        <f t="shared" si="7"/>
        <v>124642Y</v>
      </c>
      <c r="B472" s="133" t="s">
        <v>6583</v>
      </c>
      <c r="C472" s="133" t="s">
        <v>6584</v>
      </c>
      <c r="D472" s="133" t="s">
        <v>24</v>
      </c>
      <c r="E472" s="134"/>
      <c r="F472" s="134" t="s">
        <v>5552</v>
      </c>
      <c r="G472" s="135">
        <v>2.69</v>
      </c>
      <c r="H472" s="133">
        <v>2018</v>
      </c>
      <c r="I472" s="152" t="s">
        <v>5559</v>
      </c>
    </row>
    <row r="473" spans="1:9" ht="18.75" thickBot="1" x14ac:dyDescent="0.3">
      <c r="A473" s="133" t="str">
        <f t="shared" si="7"/>
        <v>153594A</v>
      </c>
      <c r="B473" s="133" t="s">
        <v>6587</v>
      </c>
      <c r="C473" s="133" t="s">
        <v>6588</v>
      </c>
      <c r="D473" s="133" t="s">
        <v>5504</v>
      </c>
      <c r="E473" s="134"/>
      <c r="F473" s="134">
        <v>0.64</v>
      </c>
      <c r="G473" s="135">
        <v>0.56999999999999995</v>
      </c>
      <c r="H473" s="133">
        <v>2023</v>
      </c>
      <c r="I473" s="152" t="s">
        <v>5726</v>
      </c>
    </row>
    <row r="474" spans="1:9" ht="18.75" thickBot="1" x14ac:dyDescent="0.3">
      <c r="A474" s="133" t="str">
        <f t="shared" si="7"/>
        <v>013732E</v>
      </c>
      <c r="B474" s="133" t="s">
        <v>7327</v>
      </c>
      <c r="C474" s="133" t="s">
        <v>7328</v>
      </c>
      <c r="D474" s="133" t="s">
        <v>5503</v>
      </c>
      <c r="E474" s="134"/>
      <c r="F474" s="134">
        <v>1.04</v>
      </c>
      <c r="G474" s="135">
        <v>0.92</v>
      </c>
      <c r="H474" s="133">
        <v>2010</v>
      </c>
      <c r="I474" s="152" t="s">
        <v>5559</v>
      </c>
    </row>
    <row r="475" spans="1:9" ht="18.75" thickBot="1" x14ac:dyDescent="0.3">
      <c r="A475" s="133" t="str">
        <f t="shared" si="7"/>
        <v>104179X</v>
      </c>
      <c r="B475" s="133" t="s">
        <v>6591</v>
      </c>
      <c r="C475" s="133" t="s">
        <v>6592</v>
      </c>
      <c r="D475" s="133" t="s">
        <v>26</v>
      </c>
      <c r="E475" s="134"/>
      <c r="F475" s="134">
        <v>2.0099999999999998</v>
      </c>
      <c r="G475" s="135">
        <v>1.79</v>
      </c>
      <c r="H475" s="133">
        <v>2019</v>
      </c>
      <c r="I475" s="152" t="s">
        <v>5556</v>
      </c>
    </row>
    <row r="476" spans="1:9" ht="18.75" thickBot="1" x14ac:dyDescent="0.3">
      <c r="A476" s="133" t="str">
        <f t="shared" si="7"/>
        <v>013743P</v>
      </c>
      <c r="B476" s="133" t="s">
        <v>6595</v>
      </c>
      <c r="C476" s="133" t="s">
        <v>6596</v>
      </c>
      <c r="D476" s="133" t="s">
        <v>24</v>
      </c>
      <c r="E476" s="134"/>
      <c r="F476" s="134" t="s">
        <v>5552</v>
      </c>
      <c r="G476" s="135">
        <v>2.4900000000000002</v>
      </c>
      <c r="H476" s="133">
        <v>2023</v>
      </c>
      <c r="I476" s="152" t="s">
        <v>5678</v>
      </c>
    </row>
    <row r="477" spans="1:9" ht="18.75" thickBot="1" x14ac:dyDescent="0.3">
      <c r="A477" s="133" t="str">
        <f t="shared" si="7"/>
        <v>023198G</v>
      </c>
      <c r="B477" s="133" t="s">
        <v>6597</v>
      </c>
      <c r="C477" s="133" t="s">
        <v>6598</v>
      </c>
      <c r="D477" s="133" t="s">
        <v>5503</v>
      </c>
      <c r="E477" s="134"/>
      <c r="F477" s="134">
        <v>1.66</v>
      </c>
      <c r="G477" s="135">
        <v>1.48</v>
      </c>
      <c r="H477" s="133">
        <v>2024</v>
      </c>
      <c r="I477" s="152" t="s">
        <v>5651</v>
      </c>
    </row>
    <row r="478" spans="1:9" ht="18.75" thickBot="1" x14ac:dyDescent="0.3">
      <c r="A478" s="133" t="str">
        <f t="shared" si="7"/>
        <v>013749V</v>
      </c>
      <c r="B478" s="133" t="s">
        <v>6599</v>
      </c>
      <c r="C478" s="133" t="s">
        <v>6600</v>
      </c>
      <c r="D478" s="133" t="s">
        <v>26</v>
      </c>
      <c r="E478" s="134"/>
      <c r="F478" s="134">
        <v>2.21</v>
      </c>
      <c r="G478" s="135">
        <v>1.97</v>
      </c>
      <c r="H478" s="133">
        <v>2024</v>
      </c>
      <c r="I478" s="152" t="s">
        <v>5639</v>
      </c>
    </row>
    <row r="479" spans="1:9" ht="18.75" thickBot="1" x14ac:dyDescent="0.3">
      <c r="A479" s="133" t="str">
        <f t="shared" si="7"/>
        <v>013753Z</v>
      </c>
      <c r="B479" s="133" t="s">
        <v>6604</v>
      </c>
      <c r="C479" s="133" t="s">
        <v>6605</v>
      </c>
      <c r="D479" s="133" t="s">
        <v>5503</v>
      </c>
      <c r="E479" s="134"/>
      <c r="F479" s="134">
        <v>1.1200000000000001</v>
      </c>
      <c r="G479" s="135">
        <v>1</v>
      </c>
      <c r="H479" s="133">
        <v>2012</v>
      </c>
      <c r="I479" s="152" t="s">
        <v>5601</v>
      </c>
    </row>
    <row r="480" spans="1:9" ht="18.75" thickBot="1" x14ac:dyDescent="0.3">
      <c r="A480" s="133" t="str">
        <f t="shared" si="7"/>
        <v>125422Y</v>
      </c>
      <c r="B480" s="133" t="s">
        <v>6608</v>
      </c>
      <c r="C480" s="133" t="s">
        <v>6609</v>
      </c>
      <c r="D480" s="133" t="s">
        <v>5503</v>
      </c>
      <c r="E480" s="134"/>
      <c r="F480" s="134">
        <v>1.05</v>
      </c>
      <c r="G480" s="135">
        <v>0.93</v>
      </c>
      <c r="H480" s="133">
        <v>2023</v>
      </c>
      <c r="I480" s="152" t="s">
        <v>5566</v>
      </c>
    </row>
    <row r="481" spans="1:9" ht="18.75" thickBot="1" x14ac:dyDescent="0.3">
      <c r="A481" s="133" t="str">
        <f t="shared" si="7"/>
        <v>150618Q</v>
      </c>
      <c r="B481" s="133" t="s">
        <v>7329</v>
      </c>
      <c r="C481" s="133" t="s">
        <v>7330</v>
      </c>
      <c r="D481" s="133" t="s">
        <v>5504</v>
      </c>
      <c r="E481" s="134"/>
      <c r="F481" s="134">
        <v>0.7</v>
      </c>
      <c r="G481" s="135">
        <v>0.62</v>
      </c>
      <c r="H481" s="133">
        <v>2020</v>
      </c>
      <c r="I481" s="152" t="s">
        <v>8513</v>
      </c>
    </row>
    <row r="482" spans="1:9" ht="18.75" thickBot="1" x14ac:dyDescent="0.3">
      <c r="A482" s="133" t="str">
        <f t="shared" si="7"/>
        <v>134295F</v>
      </c>
      <c r="B482" s="133" t="s">
        <v>7331</v>
      </c>
      <c r="C482" s="133" t="s">
        <v>7332</v>
      </c>
      <c r="D482" s="133" t="s">
        <v>5503</v>
      </c>
      <c r="E482" s="134"/>
      <c r="F482" s="134">
        <v>1</v>
      </c>
      <c r="G482" s="135">
        <v>0.89</v>
      </c>
      <c r="H482" s="133">
        <v>2008</v>
      </c>
      <c r="I482" s="152" t="s">
        <v>5601</v>
      </c>
    </row>
    <row r="483" spans="1:9" ht="18.75" thickBot="1" x14ac:dyDescent="0.3">
      <c r="A483" s="133" t="str">
        <f t="shared" si="7"/>
        <v>013758E</v>
      </c>
      <c r="B483" s="133" t="s">
        <v>6612</v>
      </c>
      <c r="C483" s="133" t="s">
        <v>6613</v>
      </c>
      <c r="D483" s="133" t="s">
        <v>26</v>
      </c>
      <c r="E483" s="134"/>
      <c r="F483" s="134">
        <v>1.66</v>
      </c>
      <c r="G483" s="135">
        <v>1.47</v>
      </c>
      <c r="H483" s="133">
        <v>2020</v>
      </c>
      <c r="I483" s="152" t="s">
        <v>5678</v>
      </c>
    </row>
    <row r="484" spans="1:9" ht="18.75" thickBot="1" x14ac:dyDescent="0.3">
      <c r="A484" s="133" t="str">
        <f t="shared" si="7"/>
        <v>154539C</v>
      </c>
      <c r="B484" s="133" t="s">
        <v>7333</v>
      </c>
      <c r="C484" s="133" t="s">
        <v>7334</v>
      </c>
      <c r="D484" s="133" t="s">
        <v>5504</v>
      </c>
      <c r="E484" s="134"/>
      <c r="F484" s="134">
        <v>0.89</v>
      </c>
      <c r="G484" s="135">
        <v>0.79</v>
      </c>
      <c r="H484" s="133">
        <v>2020</v>
      </c>
      <c r="I484" s="152" t="s">
        <v>5625</v>
      </c>
    </row>
    <row r="485" spans="1:9" ht="18.75" thickBot="1" x14ac:dyDescent="0.3">
      <c r="A485" s="133" t="str">
        <f t="shared" si="7"/>
        <v>123853P</v>
      </c>
      <c r="B485" s="133" t="s">
        <v>6618</v>
      </c>
      <c r="C485" s="133" t="s">
        <v>6619</v>
      </c>
      <c r="D485" s="133" t="s">
        <v>5503</v>
      </c>
      <c r="E485" s="134"/>
      <c r="F485" s="134">
        <v>1.34</v>
      </c>
      <c r="G485" s="135">
        <v>1.19</v>
      </c>
      <c r="H485" s="133">
        <v>2012</v>
      </c>
      <c r="I485" s="152" t="s">
        <v>5657</v>
      </c>
    </row>
    <row r="486" spans="1:9" ht="18.75" thickBot="1" x14ac:dyDescent="0.3">
      <c r="A486" s="133" t="str">
        <f t="shared" si="7"/>
        <v>135469J</v>
      </c>
      <c r="B486" s="133" t="s">
        <v>7335</v>
      </c>
      <c r="C486" s="133" t="s">
        <v>7336</v>
      </c>
      <c r="D486" s="133" t="s">
        <v>5504</v>
      </c>
      <c r="E486" s="134"/>
      <c r="F486" s="134">
        <v>0.72</v>
      </c>
      <c r="G486" s="135">
        <v>0.64</v>
      </c>
      <c r="H486" s="133">
        <v>2023</v>
      </c>
      <c r="I486" s="152" t="s">
        <v>5582</v>
      </c>
    </row>
    <row r="487" spans="1:9" ht="18.75" thickBot="1" x14ac:dyDescent="0.3">
      <c r="A487" s="133" t="str">
        <f t="shared" si="7"/>
        <v>013780A</v>
      </c>
      <c r="B487" s="133" t="s">
        <v>6620</v>
      </c>
      <c r="C487" s="133" t="s">
        <v>6621</v>
      </c>
      <c r="D487" s="133" t="s">
        <v>5503</v>
      </c>
      <c r="E487" s="134"/>
      <c r="F487" s="134">
        <v>1.28</v>
      </c>
      <c r="G487" s="135">
        <v>1.1399999999999999</v>
      </c>
      <c r="H487" s="133">
        <v>2023</v>
      </c>
      <c r="I487" s="152" t="s">
        <v>5556</v>
      </c>
    </row>
    <row r="488" spans="1:9" ht="18.75" thickBot="1" x14ac:dyDescent="0.3">
      <c r="A488" s="133" t="str">
        <f t="shared" si="7"/>
        <v>013786G</v>
      </c>
      <c r="B488" s="133" t="s">
        <v>6624</v>
      </c>
      <c r="C488" s="133" t="s">
        <v>6625</v>
      </c>
      <c r="D488" s="133" t="s">
        <v>5504</v>
      </c>
      <c r="E488" s="134"/>
      <c r="F488" s="134">
        <v>0.83</v>
      </c>
      <c r="G488" s="135">
        <v>0.74</v>
      </c>
      <c r="H488" s="133">
        <v>2013</v>
      </c>
      <c r="I488" s="152" t="s">
        <v>5912</v>
      </c>
    </row>
    <row r="489" spans="1:9" ht="18.75" thickBot="1" x14ac:dyDescent="0.3">
      <c r="A489" s="133" t="str">
        <f t="shared" si="7"/>
        <v>013789J</v>
      </c>
      <c r="B489" s="133" t="s">
        <v>6626</v>
      </c>
      <c r="C489" s="133" t="s">
        <v>6627</v>
      </c>
      <c r="D489" s="133" t="s">
        <v>24</v>
      </c>
      <c r="E489" s="134"/>
      <c r="F489" s="134" t="s">
        <v>5552</v>
      </c>
      <c r="G489" s="135">
        <v>2.81</v>
      </c>
      <c r="H489" s="133">
        <v>2009</v>
      </c>
      <c r="I489" s="152" t="s">
        <v>5598</v>
      </c>
    </row>
    <row r="490" spans="1:9" ht="18.75" thickBot="1" x14ac:dyDescent="0.3">
      <c r="A490" s="133" t="str">
        <f t="shared" si="7"/>
        <v>126988E</v>
      </c>
      <c r="B490" s="133" t="s">
        <v>6628</v>
      </c>
      <c r="C490" s="133" t="s">
        <v>6629</v>
      </c>
      <c r="D490" s="133" t="s">
        <v>5503</v>
      </c>
      <c r="E490" s="134"/>
      <c r="F490" s="134">
        <v>1.17</v>
      </c>
      <c r="G490" s="135">
        <v>1.04</v>
      </c>
      <c r="H490" s="133">
        <v>2022</v>
      </c>
      <c r="I490" s="152" t="s">
        <v>6081</v>
      </c>
    </row>
    <row r="491" spans="1:9" ht="18.75" thickBot="1" x14ac:dyDescent="0.3">
      <c r="A491" s="133" t="str">
        <f t="shared" si="7"/>
        <v>137837L</v>
      </c>
      <c r="B491" s="133" t="s">
        <v>6630</v>
      </c>
      <c r="C491" s="133" t="s">
        <v>6631</v>
      </c>
      <c r="D491" s="133" t="s">
        <v>5503</v>
      </c>
      <c r="E491" s="134"/>
      <c r="F491" s="134">
        <v>1.1200000000000001</v>
      </c>
      <c r="G491" s="135">
        <v>0.99</v>
      </c>
      <c r="H491" s="133">
        <v>2016</v>
      </c>
      <c r="I491" s="152" t="s">
        <v>5563</v>
      </c>
    </row>
    <row r="492" spans="1:9" ht="18.75" thickBot="1" x14ac:dyDescent="0.3">
      <c r="A492" s="133" t="str">
        <f t="shared" si="7"/>
        <v>144760S</v>
      </c>
      <c r="B492" s="133" t="s">
        <v>7337</v>
      </c>
      <c r="C492" s="133" t="s">
        <v>7338</v>
      </c>
      <c r="D492" s="133" t="s">
        <v>5504</v>
      </c>
      <c r="E492" s="134"/>
      <c r="F492" s="134">
        <v>0.74</v>
      </c>
      <c r="G492" s="135">
        <v>0.66</v>
      </c>
      <c r="H492" s="133">
        <v>2023</v>
      </c>
      <c r="I492" s="152" t="s">
        <v>5912</v>
      </c>
    </row>
    <row r="493" spans="1:9" ht="18.75" thickBot="1" x14ac:dyDescent="0.3">
      <c r="A493" s="133" t="str">
        <f t="shared" si="7"/>
        <v>157837M</v>
      </c>
      <c r="B493" s="133" t="s">
        <v>6634</v>
      </c>
      <c r="C493" s="133" t="s">
        <v>6635</v>
      </c>
      <c r="D493" s="133" t="s">
        <v>26</v>
      </c>
      <c r="E493" s="134"/>
      <c r="F493" s="134">
        <v>2.13</v>
      </c>
      <c r="G493" s="135">
        <v>1.9</v>
      </c>
      <c r="H493" s="133">
        <v>2024</v>
      </c>
      <c r="I493" s="152" t="s">
        <v>5553</v>
      </c>
    </row>
    <row r="494" spans="1:9" ht="18.75" thickBot="1" x14ac:dyDescent="0.3">
      <c r="A494" s="133" t="str">
        <f t="shared" si="7"/>
        <v>156975A</v>
      </c>
      <c r="B494" s="133" t="s">
        <v>7339</v>
      </c>
      <c r="C494" s="133" t="s">
        <v>7340</v>
      </c>
      <c r="D494" s="133" t="s">
        <v>24</v>
      </c>
      <c r="E494" s="134"/>
      <c r="F494" s="134" t="s">
        <v>5552</v>
      </c>
      <c r="G494" s="135">
        <v>2.34</v>
      </c>
      <c r="H494" s="133">
        <v>2020</v>
      </c>
      <c r="I494" s="152" t="s">
        <v>5615</v>
      </c>
    </row>
    <row r="495" spans="1:9" ht="18.75" thickBot="1" x14ac:dyDescent="0.3">
      <c r="A495" s="133" t="str">
        <f t="shared" si="7"/>
        <v>111704I</v>
      </c>
      <c r="B495" s="133" t="s">
        <v>6638</v>
      </c>
      <c r="C495" s="133" t="s">
        <v>6639</v>
      </c>
      <c r="D495" s="133" t="s">
        <v>5503</v>
      </c>
      <c r="E495" s="134"/>
      <c r="F495" s="134">
        <v>1.08</v>
      </c>
      <c r="G495" s="135">
        <v>0.96</v>
      </c>
      <c r="H495" s="133">
        <v>2024</v>
      </c>
      <c r="I495" s="152" t="s">
        <v>5744</v>
      </c>
    </row>
    <row r="496" spans="1:9" ht="18.75" thickBot="1" x14ac:dyDescent="0.3">
      <c r="A496" s="133" t="str">
        <f t="shared" si="7"/>
        <v>126919N</v>
      </c>
      <c r="B496" s="133" t="s">
        <v>6642</v>
      </c>
      <c r="C496" s="133" t="s">
        <v>6643</v>
      </c>
      <c r="D496" s="133" t="s">
        <v>5504</v>
      </c>
      <c r="E496" s="134"/>
      <c r="F496" s="134">
        <v>0.91</v>
      </c>
      <c r="G496" s="135">
        <v>0.81</v>
      </c>
      <c r="H496" s="133">
        <v>2024</v>
      </c>
      <c r="I496" s="152" t="s">
        <v>5639</v>
      </c>
    </row>
    <row r="497" spans="1:9" ht="18.75" thickBot="1" x14ac:dyDescent="0.3">
      <c r="A497" s="133" t="str">
        <f t="shared" si="7"/>
        <v>157316W</v>
      </c>
      <c r="B497" s="133" t="s">
        <v>6646</v>
      </c>
      <c r="C497" s="133" t="s">
        <v>6647</v>
      </c>
      <c r="D497" s="133" t="s">
        <v>5504</v>
      </c>
      <c r="E497" s="134"/>
      <c r="F497" s="134">
        <v>0.71</v>
      </c>
      <c r="G497" s="135">
        <v>0.63</v>
      </c>
      <c r="H497" s="133">
        <v>2024</v>
      </c>
      <c r="I497" s="152" t="s">
        <v>5705</v>
      </c>
    </row>
    <row r="498" spans="1:9" ht="18.75" thickBot="1" x14ac:dyDescent="0.3">
      <c r="A498" s="133" t="str">
        <f t="shared" si="7"/>
        <v>013814I</v>
      </c>
      <c r="B498" s="133" t="s">
        <v>6650</v>
      </c>
      <c r="C498" s="133" t="s">
        <v>6651</v>
      </c>
      <c r="D498" s="133" t="s">
        <v>5504</v>
      </c>
      <c r="E498" s="134"/>
      <c r="F498" s="134">
        <v>0.86</v>
      </c>
      <c r="G498" s="135">
        <v>0.77</v>
      </c>
      <c r="H498" s="133">
        <v>2016</v>
      </c>
      <c r="I498" s="152" t="s">
        <v>5646</v>
      </c>
    </row>
    <row r="499" spans="1:9" ht="18.75" thickBot="1" x14ac:dyDescent="0.3">
      <c r="A499" s="133" t="str">
        <f t="shared" si="7"/>
        <v>182807D</v>
      </c>
      <c r="B499" s="133" t="s">
        <v>8570</v>
      </c>
      <c r="C499" s="133" t="s">
        <v>8571</v>
      </c>
      <c r="D499" s="133" t="s">
        <v>5597</v>
      </c>
      <c r="E499" s="134"/>
      <c r="F499" s="134">
        <v>1.55</v>
      </c>
      <c r="G499" s="135">
        <v>1.38</v>
      </c>
      <c r="H499" s="133">
        <v>2024</v>
      </c>
      <c r="I499" s="152" t="s">
        <v>5587</v>
      </c>
    </row>
    <row r="500" spans="1:9" ht="18.75" thickBot="1" x14ac:dyDescent="0.3">
      <c r="A500" s="133" t="str">
        <f t="shared" si="7"/>
        <v>013824S</v>
      </c>
      <c r="B500" s="133" t="s">
        <v>6654</v>
      </c>
      <c r="C500" s="133" t="s">
        <v>6655</v>
      </c>
      <c r="D500" s="133" t="s">
        <v>26</v>
      </c>
      <c r="E500" s="134"/>
      <c r="F500" s="134">
        <v>2.12</v>
      </c>
      <c r="G500" s="135">
        <v>1.89</v>
      </c>
      <c r="H500" s="133">
        <v>2017</v>
      </c>
      <c r="I500" s="152" t="s">
        <v>5566</v>
      </c>
    </row>
    <row r="501" spans="1:9" ht="18.75" thickBot="1" x14ac:dyDescent="0.3">
      <c r="A501" s="133" t="str">
        <f t="shared" si="7"/>
        <v>147552H</v>
      </c>
      <c r="B501" s="133" t="s">
        <v>6658</v>
      </c>
      <c r="C501" s="133" t="s">
        <v>6659</v>
      </c>
      <c r="D501" s="133" t="s">
        <v>26</v>
      </c>
      <c r="E501" s="134"/>
      <c r="F501" s="134">
        <v>2.12</v>
      </c>
      <c r="G501" s="135">
        <v>1.88</v>
      </c>
      <c r="H501" s="133">
        <v>2017</v>
      </c>
      <c r="I501" s="152" t="s">
        <v>5701</v>
      </c>
    </row>
    <row r="502" spans="1:9" ht="18.75" thickBot="1" x14ac:dyDescent="0.3">
      <c r="A502" s="133" t="str">
        <f t="shared" si="7"/>
        <v>142514I</v>
      </c>
      <c r="B502" s="133" t="s">
        <v>6660</v>
      </c>
      <c r="C502" s="133" t="s">
        <v>6661</v>
      </c>
      <c r="D502" s="133" t="s">
        <v>5503</v>
      </c>
      <c r="E502" s="134"/>
      <c r="F502" s="134">
        <v>1.74</v>
      </c>
      <c r="G502" s="135">
        <v>1.55</v>
      </c>
      <c r="H502" s="133">
        <v>2024</v>
      </c>
      <c r="I502" s="152" t="s">
        <v>5553</v>
      </c>
    </row>
    <row r="503" spans="1:9" ht="18.75" thickBot="1" x14ac:dyDescent="0.3">
      <c r="A503" s="133" t="str">
        <f t="shared" si="7"/>
        <v>151311T</v>
      </c>
      <c r="B503" s="133" t="s">
        <v>7341</v>
      </c>
      <c r="C503" s="133" t="s">
        <v>7342</v>
      </c>
      <c r="D503" s="133" t="s">
        <v>5503</v>
      </c>
      <c r="E503" s="134"/>
      <c r="F503" s="134">
        <v>1.22</v>
      </c>
      <c r="G503" s="135">
        <v>1.08</v>
      </c>
      <c r="H503" s="133">
        <v>2014</v>
      </c>
      <c r="I503" s="152" t="s">
        <v>5912</v>
      </c>
    </row>
    <row r="504" spans="1:9" ht="18.75" thickBot="1" x14ac:dyDescent="0.3">
      <c r="A504" s="133" t="str">
        <f t="shared" si="7"/>
        <v>123401F</v>
      </c>
      <c r="B504" s="133" t="s">
        <v>6664</v>
      </c>
      <c r="C504" s="133" t="s">
        <v>6665</v>
      </c>
      <c r="D504" s="133" t="s">
        <v>24</v>
      </c>
      <c r="E504" s="134"/>
      <c r="F504" s="134" t="s">
        <v>5552</v>
      </c>
      <c r="G504" s="135">
        <v>2.3199999999999998</v>
      </c>
      <c r="H504" s="133">
        <v>2011</v>
      </c>
      <c r="I504" s="152" t="s">
        <v>5678</v>
      </c>
    </row>
    <row r="505" spans="1:9" ht="18.75" thickBot="1" x14ac:dyDescent="0.3">
      <c r="A505" s="133" t="str">
        <f t="shared" si="7"/>
        <v>129573P</v>
      </c>
      <c r="B505" s="133" t="s">
        <v>6666</v>
      </c>
      <c r="C505" s="133" t="s">
        <v>6667</v>
      </c>
      <c r="D505" s="133" t="s">
        <v>5503</v>
      </c>
      <c r="E505" s="134"/>
      <c r="F505" s="134">
        <v>1.71</v>
      </c>
      <c r="G505" s="135">
        <v>1.52</v>
      </c>
      <c r="H505" s="133">
        <v>2015</v>
      </c>
      <c r="I505" s="152" t="s">
        <v>5744</v>
      </c>
    </row>
    <row r="506" spans="1:9" ht="18.75" thickBot="1" x14ac:dyDescent="0.3">
      <c r="A506" s="133" t="str">
        <f t="shared" si="7"/>
        <v>133734Q</v>
      </c>
      <c r="B506" s="133" t="s">
        <v>7343</v>
      </c>
      <c r="C506" s="133" t="s">
        <v>7344</v>
      </c>
      <c r="D506" s="133" t="s">
        <v>5504</v>
      </c>
      <c r="E506" s="134"/>
      <c r="F506" s="134">
        <v>0.76</v>
      </c>
      <c r="G506" s="135">
        <v>0.67</v>
      </c>
      <c r="H506" s="133">
        <v>2013</v>
      </c>
      <c r="I506" s="152" t="s">
        <v>5705</v>
      </c>
    </row>
    <row r="507" spans="1:9" ht="18.75" thickBot="1" x14ac:dyDescent="0.3">
      <c r="A507" s="133" t="str">
        <f t="shared" si="7"/>
        <v>013836E</v>
      </c>
      <c r="B507" s="133" t="s">
        <v>6668</v>
      </c>
      <c r="C507" s="133" t="s">
        <v>6669</v>
      </c>
      <c r="D507" s="133" t="s">
        <v>26</v>
      </c>
      <c r="E507" s="134"/>
      <c r="F507" s="134">
        <v>2</v>
      </c>
      <c r="G507" s="135">
        <v>1.78</v>
      </c>
      <c r="H507" s="133">
        <v>2017</v>
      </c>
      <c r="I507" s="152" t="s">
        <v>5587</v>
      </c>
    </row>
    <row r="508" spans="1:9" ht="18.75" thickBot="1" x14ac:dyDescent="0.3">
      <c r="A508" s="133" t="str">
        <f t="shared" si="7"/>
        <v>118705P</v>
      </c>
      <c r="B508" s="133" t="s">
        <v>7345</v>
      </c>
      <c r="C508" s="133" t="s">
        <v>7346</v>
      </c>
      <c r="D508" s="133" t="s">
        <v>5504</v>
      </c>
      <c r="E508" s="134"/>
      <c r="F508" s="134">
        <v>0.66</v>
      </c>
      <c r="G508" s="135">
        <v>0.59</v>
      </c>
      <c r="H508" s="133">
        <v>2024</v>
      </c>
      <c r="I508" s="152" t="s">
        <v>5735</v>
      </c>
    </row>
    <row r="509" spans="1:9" ht="18.75" thickBot="1" x14ac:dyDescent="0.3">
      <c r="A509" s="133" t="str">
        <f t="shared" si="7"/>
        <v>114568M</v>
      </c>
      <c r="B509" s="133" t="s">
        <v>7347</v>
      </c>
      <c r="C509" s="133" t="s">
        <v>7348</v>
      </c>
      <c r="D509" s="133" t="s">
        <v>5503</v>
      </c>
      <c r="E509" s="134"/>
      <c r="F509" s="134">
        <v>1.1599999999999999</v>
      </c>
      <c r="G509" s="135">
        <v>1.03</v>
      </c>
      <c r="H509" s="133">
        <v>2020</v>
      </c>
      <c r="I509" s="152" t="s">
        <v>5735</v>
      </c>
    </row>
    <row r="510" spans="1:9" ht="18.75" thickBot="1" x14ac:dyDescent="0.3">
      <c r="A510" s="133" t="str">
        <f t="shared" si="7"/>
        <v>013842K</v>
      </c>
      <c r="B510" s="133" t="s">
        <v>6670</v>
      </c>
      <c r="C510" s="133" t="s">
        <v>6671</v>
      </c>
      <c r="D510" s="133" t="s">
        <v>5503</v>
      </c>
      <c r="E510" s="134"/>
      <c r="F510" s="134">
        <v>1.08</v>
      </c>
      <c r="G510" s="135">
        <v>0.96</v>
      </c>
      <c r="H510" s="133">
        <v>2010</v>
      </c>
      <c r="I510" s="152" t="s">
        <v>5594</v>
      </c>
    </row>
    <row r="511" spans="1:9" ht="18.75" thickBot="1" x14ac:dyDescent="0.3">
      <c r="A511" s="133" t="str">
        <f t="shared" si="7"/>
        <v>104194M</v>
      </c>
      <c r="B511" s="133" t="s">
        <v>6674</v>
      </c>
      <c r="C511" s="133" t="s">
        <v>6675</v>
      </c>
      <c r="D511" s="133" t="s">
        <v>5597</v>
      </c>
      <c r="E511" s="134"/>
      <c r="F511" s="134">
        <v>1.2</v>
      </c>
      <c r="G511" s="135">
        <v>1.07</v>
      </c>
      <c r="H511" s="133">
        <v>2024</v>
      </c>
      <c r="I511" s="152" t="s">
        <v>5556</v>
      </c>
    </row>
    <row r="512" spans="1:9" ht="18.75" thickBot="1" x14ac:dyDescent="0.3">
      <c r="A512" s="133" t="str">
        <f t="shared" si="7"/>
        <v>125424A</v>
      </c>
      <c r="B512" s="133" t="s">
        <v>6676</v>
      </c>
      <c r="C512" s="133" t="s">
        <v>6677</v>
      </c>
      <c r="D512" s="133" t="s">
        <v>5503</v>
      </c>
      <c r="E512" s="134"/>
      <c r="F512" s="134">
        <v>1.59</v>
      </c>
      <c r="G512" s="135">
        <v>1.42</v>
      </c>
      <c r="H512" s="133">
        <v>2024</v>
      </c>
      <c r="I512" s="152" t="s">
        <v>5563</v>
      </c>
    </row>
    <row r="513" spans="1:9" ht="18.75" thickBot="1" x14ac:dyDescent="0.3">
      <c r="A513" s="133" t="str">
        <f t="shared" si="7"/>
        <v>143058G</v>
      </c>
      <c r="B513" s="133" t="s">
        <v>6678</v>
      </c>
      <c r="C513" s="133" t="s">
        <v>6679</v>
      </c>
      <c r="D513" s="133" t="s">
        <v>5503</v>
      </c>
      <c r="E513" s="134"/>
      <c r="F513" s="134">
        <v>1.25</v>
      </c>
      <c r="G513" s="135">
        <v>1.1100000000000001</v>
      </c>
      <c r="H513" s="133">
        <v>2013</v>
      </c>
      <c r="I513" s="152" t="s">
        <v>5853</v>
      </c>
    </row>
    <row r="514" spans="1:9" ht="18.75" thickBot="1" x14ac:dyDescent="0.3">
      <c r="A514" s="133" t="str">
        <f t="shared" ref="A514:A577" si="8">SUBSTITUTE(B514,CHAR(32),"")</f>
        <v>013851T</v>
      </c>
      <c r="B514" s="133" t="s">
        <v>7349</v>
      </c>
      <c r="C514" s="133" t="s">
        <v>7350</v>
      </c>
      <c r="D514" s="133" t="s">
        <v>5503</v>
      </c>
      <c r="E514" s="134"/>
      <c r="F514" s="134">
        <v>1.26</v>
      </c>
      <c r="G514" s="135">
        <v>1.1200000000000001</v>
      </c>
      <c r="H514" s="133">
        <v>2023</v>
      </c>
      <c r="I514" s="152" t="s">
        <v>5553</v>
      </c>
    </row>
    <row r="515" spans="1:9" ht="18.75" thickBot="1" x14ac:dyDescent="0.3">
      <c r="A515" s="133" t="str">
        <f t="shared" si="8"/>
        <v>013852U</v>
      </c>
      <c r="B515" s="133" t="s">
        <v>7351</v>
      </c>
      <c r="C515" s="133" t="s">
        <v>7352</v>
      </c>
      <c r="D515" s="133" t="s">
        <v>24</v>
      </c>
      <c r="E515" s="134"/>
      <c r="F515" s="134" t="s">
        <v>5552</v>
      </c>
      <c r="G515" s="135">
        <v>4.7300000000000004</v>
      </c>
      <c r="H515" s="133">
        <v>2024</v>
      </c>
      <c r="I515" s="152" t="s">
        <v>5556</v>
      </c>
    </row>
    <row r="516" spans="1:9" ht="18.75" thickBot="1" x14ac:dyDescent="0.3">
      <c r="A516" s="133" t="str">
        <f t="shared" si="8"/>
        <v>013861D</v>
      </c>
      <c r="B516" s="133" t="s">
        <v>6684</v>
      </c>
      <c r="C516" s="133" t="s">
        <v>6685</v>
      </c>
      <c r="D516" s="133" t="s">
        <v>5503</v>
      </c>
      <c r="E516" s="134"/>
      <c r="F516" s="134">
        <v>1.1200000000000001</v>
      </c>
      <c r="G516" s="135">
        <v>1</v>
      </c>
      <c r="H516" s="133">
        <v>2018</v>
      </c>
      <c r="I516" s="152" t="s">
        <v>5735</v>
      </c>
    </row>
    <row r="517" spans="1:9" ht="18.75" thickBot="1" x14ac:dyDescent="0.3">
      <c r="A517" s="133" t="str">
        <f t="shared" si="8"/>
        <v>139680I</v>
      </c>
      <c r="B517" s="133" t="s">
        <v>7353</v>
      </c>
      <c r="C517" s="133" t="s">
        <v>7354</v>
      </c>
      <c r="D517" s="133" t="s">
        <v>5504</v>
      </c>
      <c r="E517" s="134"/>
      <c r="F517" s="134">
        <v>0.55000000000000004</v>
      </c>
      <c r="G517" s="135">
        <v>0.48</v>
      </c>
      <c r="H517" s="133">
        <v>2012</v>
      </c>
      <c r="I517" s="152" t="s">
        <v>5666</v>
      </c>
    </row>
    <row r="518" spans="1:9" ht="18.75" thickBot="1" x14ac:dyDescent="0.3">
      <c r="A518" s="133" t="str">
        <f t="shared" si="8"/>
        <v>014652O</v>
      </c>
      <c r="B518" s="133" t="s">
        <v>6692</v>
      </c>
      <c r="C518" s="133" t="s">
        <v>6693</v>
      </c>
      <c r="D518" s="133" t="s">
        <v>26</v>
      </c>
      <c r="E518" s="134"/>
      <c r="F518" s="134">
        <v>1.77</v>
      </c>
      <c r="G518" s="135">
        <v>1.57</v>
      </c>
      <c r="H518" s="133">
        <v>2017</v>
      </c>
      <c r="I518" s="152" t="s">
        <v>5587</v>
      </c>
    </row>
    <row r="519" spans="1:9" ht="18.75" thickBot="1" x14ac:dyDescent="0.3">
      <c r="A519" s="133" t="str">
        <f t="shared" si="8"/>
        <v>013874Q</v>
      </c>
      <c r="B519" s="133" t="s">
        <v>6694</v>
      </c>
      <c r="C519" s="133" t="s">
        <v>6695</v>
      </c>
      <c r="D519" s="133" t="s">
        <v>26</v>
      </c>
      <c r="E519" s="134"/>
      <c r="F519" s="134">
        <v>1.75</v>
      </c>
      <c r="G519" s="135">
        <v>1.56</v>
      </c>
      <c r="H519" s="133">
        <v>2018</v>
      </c>
      <c r="I519" s="152" t="s">
        <v>5635</v>
      </c>
    </row>
    <row r="520" spans="1:9" ht="18.75" thickBot="1" x14ac:dyDescent="0.3">
      <c r="A520" s="133" t="str">
        <f t="shared" si="8"/>
        <v>124382Y</v>
      </c>
      <c r="B520" s="133" t="s">
        <v>7355</v>
      </c>
      <c r="C520" s="133" t="s">
        <v>7356</v>
      </c>
      <c r="D520" s="133" t="s">
        <v>26</v>
      </c>
      <c r="E520" s="134"/>
      <c r="F520" s="134">
        <v>1.75</v>
      </c>
      <c r="G520" s="135">
        <v>1.55</v>
      </c>
      <c r="H520" s="133">
        <v>2009</v>
      </c>
      <c r="I520" s="152" t="s">
        <v>5735</v>
      </c>
    </row>
    <row r="521" spans="1:9" ht="18.75" thickBot="1" x14ac:dyDescent="0.3">
      <c r="A521" s="133" t="str">
        <f t="shared" si="8"/>
        <v>158296L</v>
      </c>
      <c r="B521" s="133" t="s">
        <v>6696</v>
      </c>
      <c r="C521" s="133" t="s">
        <v>6697</v>
      </c>
      <c r="D521" s="133" t="s">
        <v>5504</v>
      </c>
      <c r="E521" s="134"/>
      <c r="F521" s="134">
        <v>0.9</v>
      </c>
      <c r="G521" s="135">
        <v>0.8</v>
      </c>
      <c r="H521" s="133">
        <v>2018</v>
      </c>
      <c r="I521" s="152" t="s">
        <v>5630</v>
      </c>
    </row>
    <row r="522" spans="1:9" ht="18.75" thickBot="1" x14ac:dyDescent="0.3">
      <c r="A522" s="133" t="str">
        <f t="shared" si="8"/>
        <v>129388M</v>
      </c>
      <c r="B522" s="133" t="s">
        <v>7357</v>
      </c>
      <c r="C522" s="133" t="s">
        <v>7358</v>
      </c>
      <c r="D522" s="133" t="s">
        <v>5503</v>
      </c>
      <c r="E522" s="134"/>
      <c r="F522" s="134">
        <v>1.08</v>
      </c>
      <c r="G522" s="135">
        <v>0.96</v>
      </c>
      <c r="H522" s="133">
        <v>2008</v>
      </c>
      <c r="I522" s="152" t="s">
        <v>5615</v>
      </c>
    </row>
    <row r="523" spans="1:9" ht="18.75" thickBot="1" x14ac:dyDescent="0.3">
      <c r="A523" s="133" t="str">
        <f t="shared" si="8"/>
        <v>013893J</v>
      </c>
      <c r="B523" s="133" t="s">
        <v>6700</v>
      </c>
      <c r="C523" s="133" t="s">
        <v>6701</v>
      </c>
      <c r="D523" s="133" t="s">
        <v>24</v>
      </c>
      <c r="E523" s="134"/>
      <c r="F523" s="134" t="s">
        <v>5552</v>
      </c>
      <c r="G523" s="135">
        <v>2.73</v>
      </c>
      <c r="H523" s="133">
        <v>2010</v>
      </c>
      <c r="I523" s="152" t="s">
        <v>5594</v>
      </c>
    </row>
    <row r="524" spans="1:9" ht="18.75" thickBot="1" x14ac:dyDescent="0.3">
      <c r="A524" s="133" t="str">
        <f t="shared" si="8"/>
        <v>103291T</v>
      </c>
      <c r="B524" s="133" t="s">
        <v>7359</v>
      </c>
      <c r="C524" s="133" t="s">
        <v>7360</v>
      </c>
      <c r="D524" s="133" t="s">
        <v>5504</v>
      </c>
      <c r="E524" s="134"/>
      <c r="F524" s="134">
        <v>0.68</v>
      </c>
      <c r="G524" s="135">
        <v>0.61</v>
      </c>
      <c r="H524" s="133">
        <v>2019</v>
      </c>
      <c r="I524" s="152" t="s">
        <v>5735</v>
      </c>
    </row>
    <row r="525" spans="1:9" ht="18.75" thickBot="1" x14ac:dyDescent="0.3">
      <c r="A525" s="133" t="str">
        <f t="shared" si="8"/>
        <v>013901R</v>
      </c>
      <c r="B525" s="133" t="s">
        <v>6708</v>
      </c>
      <c r="C525" s="133" t="s">
        <v>6709</v>
      </c>
      <c r="D525" s="133" t="s">
        <v>5503</v>
      </c>
      <c r="E525" s="134"/>
      <c r="F525" s="134">
        <v>1.41</v>
      </c>
      <c r="G525" s="135">
        <v>1.26</v>
      </c>
      <c r="H525" s="133">
        <v>2024</v>
      </c>
      <c r="I525" s="152" t="s">
        <v>5630</v>
      </c>
    </row>
    <row r="526" spans="1:9" ht="18.75" thickBot="1" x14ac:dyDescent="0.3">
      <c r="A526" s="133" t="str">
        <f t="shared" si="8"/>
        <v>104060I</v>
      </c>
      <c r="B526" s="133" t="s">
        <v>6710</v>
      </c>
      <c r="C526" s="133" t="s">
        <v>6711</v>
      </c>
      <c r="D526" s="133" t="s">
        <v>5503</v>
      </c>
      <c r="E526" s="134"/>
      <c r="F526" s="134">
        <v>1.21</v>
      </c>
      <c r="G526" s="135">
        <v>1.08</v>
      </c>
      <c r="H526" s="133">
        <v>2024</v>
      </c>
      <c r="I526" s="152" t="s">
        <v>5726</v>
      </c>
    </row>
    <row r="527" spans="1:9" ht="18.75" thickBot="1" x14ac:dyDescent="0.3">
      <c r="A527" s="133" t="str">
        <f t="shared" si="8"/>
        <v>142504Y</v>
      </c>
      <c r="B527" s="133" t="s">
        <v>7361</v>
      </c>
      <c r="C527" s="133" t="s">
        <v>7362</v>
      </c>
      <c r="D527" s="133" t="s">
        <v>5504</v>
      </c>
      <c r="E527" s="134"/>
      <c r="F527" s="134">
        <v>0.42</v>
      </c>
      <c r="G527" s="135">
        <v>0.37</v>
      </c>
      <c r="H527" s="133">
        <v>2024</v>
      </c>
      <c r="I527" s="152" t="s">
        <v>5573</v>
      </c>
    </row>
    <row r="528" spans="1:9" ht="18.75" thickBot="1" x14ac:dyDescent="0.3">
      <c r="A528" s="133" t="str">
        <f t="shared" si="8"/>
        <v>122235J</v>
      </c>
      <c r="B528" s="133" t="s">
        <v>6714</v>
      </c>
      <c r="C528" s="133" t="s">
        <v>6715</v>
      </c>
      <c r="D528" s="133" t="s">
        <v>5504</v>
      </c>
      <c r="E528" s="134"/>
      <c r="F528" s="134">
        <v>0.84</v>
      </c>
      <c r="G528" s="135">
        <v>0.75</v>
      </c>
      <c r="H528" s="133">
        <v>2013</v>
      </c>
      <c r="I528" s="152" t="s">
        <v>6144</v>
      </c>
    </row>
    <row r="529" spans="1:9" ht="18.75" thickBot="1" x14ac:dyDescent="0.3">
      <c r="A529" s="133" t="str">
        <f t="shared" si="8"/>
        <v>144749H</v>
      </c>
      <c r="B529" s="133" t="s">
        <v>6718</v>
      </c>
      <c r="C529" s="133" t="s">
        <v>6719</v>
      </c>
      <c r="D529" s="133" t="s">
        <v>5504</v>
      </c>
      <c r="E529" s="134"/>
      <c r="F529" s="134">
        <v>0.67</v>
      </c>
      <c r="G529" s="135">
        <v>0.59</v>
      </c>
      <c r="H529" s="133">
        <v>2016</v>
      </c>
      <c r="I529" s="152" t="s">
        <v>5601</v>
      </c>
    </row>
    <row r="530" spans="1:9" ht="18.75" thickBot="1" x14ac:dyDescent="0.3">
      <c r="A530" s="133" t="str">
        <f t="shared" si="8"/>
        <v>013916G</v>
      </c>
      <c r="B530" s="133" t="s">
        <v>6720</v>
      </c>
      <c r="C530" s="133" t="s">
        <v>6721</v>
      </c>
      <c r="D530" s="133" t="s">
        <v>5503</v>
      </c>
      <c r="E530" s="134"/>
      <c r="F530" s="134">
        <v>1.36</v>
      </c>
      <c r="G530" s="135">
        <v>1.21</v>
      </c>
      <c r="H530" s="133">
        <v>2017</v>
      </c>
      <c r="I530" s="152" t="s">
        <v>5635</v>
      </c>
    </row>
    <row r="531" spans="1:9" ht="18.75" thickBot="1" x14ac:dyDescent="0.3">
      <c r="A531" s="133" t="str">
        <f t="shared" si="8"/>
        <v>013922M</v>
      </c>
      <c r="B531" s="133" t="s">
        <v>7363</v>
      </c>
      <c r="C531" s="133" t="s">
        <v>7364</v>
      </c>
      <c r="D531" s="133" t="s">
        <v>5597</v>
      </c>
      <c r="E531" s="134"/>
      <c r="F531" s="134">
        <v>1.44</v>
      </c>
      <c r="G531" s="135">
        <v>1.28</v>
      </c>
      <c r="H531" s="133">
        <v>2024</v>
      </c>
      <c r="I531" s="152" t="s">
        <v>5895</v>
      </c>
    </row>
    <row r="532" spans="1:9" ht="18.75" thickBot="1" x14ac:dyDescent="0.3">
      <c r="A532" s="133" t="str">
        <f t="shared" si="8"/>
        <v>158860Z</v>
      </c>
      <c r="B532" s="133" t="s">
        <v>6726</v>
      </c>
      <c r="C532" s="133" t="s">
        <v>6727</v>
      </c>
      <c r="D532" s="133" t="s">
        <v>5503</v>
      </c>
      <c r="E532" s="134"/>
      <c r="F532" s="134">
        <v>1.32</v>
      </c>
      <c r="G532" s="135">
        <v>1.17</v>
      </c>
      <c r="H532" s="133">
        <v>2024</v>
      </c>
      <c r="I532" s="152" t="s">
        <v>5625</v>
      </c>
    </row>
    <row r="533" spans="1:9" ht="18.75" thickBot="1" x14ac:dyDescent="0.3">
      <c r="A533" s="133" t="str">
        <f t="shared" si="8"/>
        <v>148332F</v>
      </c>
      <c r="B533" s="133" t="s">
        <v>7365</v>
      </c>
      <c r="C533" s="133" t="s">
        <v>7366</v>
      </c>
      <c r="D533" s="133" t="s">
        <v>24</v>
      </c>
      <c r="E533" s="134"/>
      <c r="F533" s="134" t="s">
        <v>5552</v>
      </c>
      <c r="G533" s="135">
        <v>2.48</v>
      </c>
      <c r="H533" s="133">
        <v>2020</v>
      </c>
      <c r="I533" s="152" t="s">
        <v>5559</v>
      </c>
    </row>
    <row r="534" spans="1:9" ht="18.75" thickBot="1" x14ac:dyDescent="0.3">
      <c r="A534" s="133" t="str">
        <f t="shared" si="8"/>
        <v>013924O</v>
      </c>
      <c r="B534" s="133" t="s">
        <v>6730</v>
      </c>
      <c r="C534" s="133" t="s">
        <v>6731</v>
      </c>
      <c r="D534" s="133" t="s">
        <v>24</v>
      </c>
      <c r="E534" s="134"/>
      <c r="F534" s="134" t="s">
        <v>5552</v>
      </c>
      <c r="G534" s="135">
        <v>2.48</v>
      </c>
      <c r="H534" s="133">
        <v>2022</v>
      </c>
      <c r="I534" s="152" t="s">
        <v>5587</v>
      </c>
    </row>
    <row r="535" spans="1:9" ht="18.75" thickBot="1" x14ac:dyDescent="0.3">
      <c r="A535" s="133" t="str">
        <f t="shared" si="8"/>
        <v>168871F</v>
      </c>
      <c r="B535" s="133" t="s">
        <v>7367</v>
      </c>
      <c r="C535" s="133" t="s">
        <v>7368</v>
      </c>
      <c r="D535" s="133" t="s">
        <v>5504</v>
      </c>
      <c r="E535" s="134"/>
      <c r="F535" s="134">
        <v>0.6</v>
      </c>
      <c r="G535" s="135">
        <v>0.53</v>
      </c>
      <c r="H535" s="133">
        <v>2024</v>
      </c>
      <c r="I535" s="152" t="s">
        <v>5710</v>
      </c>
    </row>
    <row r="536" spans="1:9" ht="18.75" thickBot="1" x14ac:dyDescent="0.3">
      <c r="A536" s="133" t="str">
        <f t="shared" si="8"/>
        <v>109499N</v>
      </c>
      <c r="B536" s="133" t="s">
        <v>6734</v>
      </c>
      <c r="C536" s="133" t="s">
        <v>6735</v>
      </c>
      <c r="D536" s="133" t="s">
        <v>5503</v>
      </c>
      <c r="E536" s="134"/>
      <c r="F536" s="134">
        <v>1.17</v>
      </c>
      <c r="G536" s="135">
        <v>1.04</v>
      </c>
      <c r="H536" s="133">
        <v>2011</v>
      </c>
      <c r="I536" s="152" t="s">
        <v>5735</v>
      </c>
    </row>
    <row r="537" spans="1:9" ht="18.75" thickBot="1" x14ac:dyDescent="0.3">
      <c r="A537" s="133" t="str">
        <f t="shared" si="8"/>
        <v>157535J</v>
      </c>
      <c r="B537" s="133" t="s">
        <v>6736</v>
      </c>
      <c r="C537" s="133" t="s">
        <v>6737</v>
      </c>
      <c r="D537" s="133" t="s">
        <v>5503</v>
      </c>
      <c r="E537" s="134"/>
      <c r="F537" s="134">
        <v>1.1499999999999999</v>
      </c>
      <c r="G537" s="135">
        <v>1.02</v>
      </c>
      <c r="H537" s="133">
        <v>2017</v>
      </c>
      <c r="I537" s="152" t="s">
        <v>5559</v>
      </c>
    </row>
    <row r="538" spans="1:9" ht="18.75" thickBot="1" x14ac:dyDescent="0.3">
      <c r="A538" s="133" t="str">
        <f t="shared" si="8"/>
        <v>132690M</v>
      </c>
      <c r="B538" s="133" t="s">
        <v>6738</v>
      </c>
      <c r="C538" s="133" t="s">
        <v>6739</v>
      </c>
      <c r="D538" s="133" t="s">
        <v>5503</v>
      </c>
      <c r="E538" s="134"/>
      <c r="F538" s="134">
        <v>1</v>
      </c>
      <c r="G538" s="135">
        <v>0.89</v>
      </c>
      <c r="H538" s="133">
        <v>2010</v>
      </c>
      <c r="I538" s="152" t="s">
        <v>5625</v>
      </c>
    </row>
    <row r="539" spans="1:9" ht="18.75" thickBot="1" x14ac:dyDescent="0.3">
      <c r="A539" s="133" t="str">
        <f t="shared" si="8"/>
        <v>013932W</v>
      </c>
      <c r="B539" s="133" t="s">
        <v>6740</v>
      </c>
      <c r="C539" s="133" t="s">
        <v>6741</v>
      </c>
      <c r="D539" s="133" t="s">
        <v>26</v>
      </c>
      <c r="E539" s="134"/>
      <c r="F539" s="134">
        <v>1.91</v>
      </c>
      <c r="G539" s="135">
        <v>1.7</v>
      </c>
      <c r="H539" s="133">
        <v>2009</v>
      </c>
      <c r="I539" s="152" t="s">
        <v>5710</v>
      </c>
    </row>
    <row r="540" spans="1:9" ht="18.75" thickBot="1" x14ac:dyDescent="0.3">
      <c r="A540" s="133" t="str">
        <f t="shared" si="8"/>
        <v>019393X</v>
      </c>
      <c r="B540" s="133" t="s">
        <v>7369</v>
      </c>
      <c r="C540" s="133" t="s">
        <v>7370</v>
      </c>
      <c r="D540" s="133" t="s">
        <v>26</v>
      </c>
      <c r="E540" s="134"/>
      <c r="F540" s="134">
        <v>1.89</v>
      </c>
      <c r="G540" s="135">
        <v>1.68</v>
      </c>
      <c r="H540" s="133">
        <v>2009</v>
      </c>
      <c r="I540" s="152" t="s">
        <v>5671</v>
      </c>
    </row>
    <row r="541" spans="1:9" ht="18.75" thickBot="1" x14ac:dyDescent="0.3">
      <c r="A541" s="133" t="str">
        <f t="shared" si="8"/>
        <v>013933X</v>
      </c>
      <c r="B541" s="133" t="s">
        <v>6742</v>
      </c>
      <c r="C541" s="133" t="s">
        <v>6743</v>
      </c>
      <c r="D541" s="133" t="s">
        <v>26</v>
      </c>
      <c r="E541" s="134"/>
      <c r="F541" s="134">
        <v>1.92</v>
      </c>
      <c r="G541" s="135">
        <v>1.71</v>
      </c>
      <c r="H541" s="133">
        <v>2020</v>
      </c>
      <c r="I541" s="152" t="s">
        <v>5559</v>
      </c>
    </row>
    <row r="542" spans="1:9" ht="18.75" thickBot="1" x14ac:dyDescent="0.3">
      <c r="A542" s="133" t="str">
        <f t="shared" si="8"/>
        <v>142521P</v>
      </c>
      <c r="B542" s="133" t="s">
        <v>7371</v>
      </c>
      <c r="C542" s="133" t="s">
        <v>7372</v>
      </c>
      <c r="D542" s="133" t="s">
        <v>5504</v>
      </c>
      <c r="E542" s="134"/>
      <c r="F542" s="134">
        <v>0.65</v>
      </c>
      <c r="G542" s="135">
        <v>0.57999999999999996</v>
      </c>
      <c r="H542" s="133">
        <v>2017</v>
      </c>
      <c r="I542" s="152" t="s">
        <v>5553</v>
      </c>
    </row>
    <row r="543" spans="1:9" ht="18.75" thickBot="1" x14ac:dyDescent="0.3">
      <c r="A543" s="133" t="str">
        <f t="shared" si="8"/>
        <v>139436Y</v>
      </c>
      <c r="B543" s="133" t="s">
        <v>6748</v>
      </c>
      <c r="C543" s="133" t="s">
        <v>6749</v>
      </c>
      <c r="D543" s="133" t="s">
        <v>5504</v>
      </c>
      <c r="E543" s="134"/>
      <c r="F543" s="134">
        <v>0.77</v>
      </c>
      <c r="G543" s="135">
        <v>0.68</v>
      </c>
      <c r="H543" s="133">
        <v>2024</v>
      </c>
      <c r="I543" s="152" t="s">
        <v>5646</v>
      </c>
    </row>
    <row r="544" spans="1:9" ht="18.75" thickBot="1" x14ac:dyDescent="0.3">
      <c r="A544" s="133" t="str">
        <f t="shared" si="8"/>
        <v>013942G</v>
      </c>
      <c r="B544" s="133" t="s">
        <v>7373</v>
      </c>
      <c r="C544" s="133" t="s">
        <v>7374</v>
      </c>
      <c r="D544" s="133" t="s">
        <v>5503</v>
      </c>
      <c r="E544" s="134"/>
      <c r="F544" s="134">
        <v>1.0900000000000001</v>
      </c>
      <c r="G544" s="135">
        <v>0.97</v>
      </c>
      <c r="H544" s="133">
        <v>2014</v>
      </c>
      <c r="I544" s="152" t="s">
        <v>7375</v>
      </c>
    </row>
    <row r="545" spans="1:9" ht="18.75" thickBot="1" x14ac:dyDescent="0.3">
      <c r="A545" s="133" t="str">
        <f t="shared" si="8"/>
        <v>154522J</v>
      </c>
      <c r="B545" s="133" t="s">
        <v>7376</v>
      </c>
      <c r="C545" s="133" t="s">
        <v>7377</v>
      </c>
      <c r="D545" s="133" t="s">
        <v>5503</v>
      </c>
      <c r="E545" s="134"/>
      <c r="F545" s="134">
        <v>1.33</v>
      </c>
      <c r="G545" s="135">
        <v>1.19</v>
      </c>
      <c r="H545" s="133">
        <v>2024</v>
      </c>
      <c r="I545" s="152" t="s">
        <v>5678</v>
      </c>
    </row>
    <row r="546" spans="1:9" ht="18.75" thickBot="1" x14ac:dyDescent="0.3">
      <c r="A546" s="133" t="str">
        <f t="shared" si="8"/>
        <v>114580Y</v>
      </c>
      <c r="B546" s="133" t="s">
        <v>6758</v>
      </c>
      <c r="C546" s="133" t="s">
        <v>6759</v>
      </c>
      <c r="D546" s="133" t="s">
        <v>26</v>
      </c>
      <c r="E546" s="134"/>
      <c r="F546" s="134">
        <v>2.0099999999999998</v>
      </c>
      <c r="G546" s="135">
        <v>1.79</v>
      </c>
      <c r="H546" s="133">
        <v>2013</v>
      </c>
      <c r="I546" s="152" t="s">
        <v>5582</v>
      </c>
    </row>
    <row r="547" spans="1:9" ht="18.75" thickBot="1" x14ac:dyDescent="0.3">
      <c r="A547" s="133" t="str">
        <f t="shared" si="8"/>
        <v>013952Q</v>
      </c>
      <c r="B547" s="133" t="s">
        <v>6760</v>
      </c>
      <c r="C547" s="133" t="s">
        <v>6761</v>
      </c>
      <c r="D547" s="133" t="s">
        <v>26</v>
      </c>
      <c r="E547" s="134"/>
      <c r="F547" s="134">
        <v>2.2200000000000002</v>
      </c>
      <c r="G547" s="135">
        <v>1.98</v>
      </c>
      <c r="H547" s="133">
        <v>2024</v>
      </c>
      <c r="I547" s="152" t="s">
        <v>5563</v>
      </c>
    </row>
    <row r="548" spans="1:9" ht="18.75" thickBot="1" x14ac:dyDescent="0.3">
      <c r="A548" s="133" t="str">
        <f t="shared" si="8"/>
        <v>123886W</v>
      </c>
      <c r="B548" s="133" t="s">
        <v>6762</v>
      </c>
      <c r="C548" s="133" t="s">
        <v>6763</v>
      </c>
      <c r="D548" s="133" t="s">
        <v>5503</v>
      </c>
      <c r="E548" s="134"/>
      <c r="F548" s="134">
        <v>1.32</v>
      </c>
      <c r="G548" s="135">
        <v>1.18</v>
      </c>
      <c r="H548" s="133">
        <v>2015</v>
      </c>
      <c r="I548" s="152" t="s">
        <v>5594</v>
      </c>
    </row>
    <row r="549" spans="1:9" ht="18.75" thickBot="1" x14ac:dyDescent="0.3">
      <c r="A549" s="133" t="str">
        <f t="shared" si="8"/>
        <v>133301Z</v>
      </c>
      <c r="B549" s="133" t="s">
        <v>7378</v>
      </c>
      <c r="C549" s="133" t="s">
        <v>7379</v>
      </c>
      <c r="D549" s="133" t="s">
        <v>5503</v>
      </c>
      <c r="E549" s="134"/>
      <c r="F549" s="134">
        <v>1.02</v>
      </c>
      <c r="G549" s="135">
        <v>0.91</v>
      </c>
      <c r="H549" s="133">
        <v>2022</v>
      </c>
      <c r="I549" s="152" t="s">
        <v>6229</v>
      </c>
    </row>
    <row r="550" spans="1:9" ht="18.75" thickBot="1" x14ac:dyDescent="0.3">
      <c r="A550" s="133" t="str">
        <f t="shared" si="8"/>
        <v>177316K</v>
      </c>
      <c r="B550" s="133" t="s">
        <v>7380</v>
      </c>
      <c r="C550" s="133" t="s">
        <v>7381</v>
      </c>
      <c r="D550" s="133" t="s">
        <v>5504</v>
      </c>
      <c r="E550" s="134"/>
      <c r="F550" s="134">
        <v>0.72</v>
      </c>
      <c r="G550" s="135">
        <v>0.64</v>
      </c>
      <c r="H550" s="133">
        <v>2024</v>
      </c>
      <c r="I550" s="152" t="s">
        <v>5651</v>
      </c>
    </row>
    <row r="551" spans="1:9" ht="18.75" thickBot="1" x14ac:dyDescent="0.3">
      <c r="A551" s="133" t="str">
        <f t="shared" si="8"/>
        <v>154178K</v>
      </c>
      <c r="B551" s="133" t="s">
        <v>7382</v>
      </c>
      <c r="C551" s="133" t="s">
        <v>7383</v>
      </c>
      <c r="D551" s="133" t="s">
        <v>5503</v>
      </c>
      <c r="E551" s="134"/>
      <c r="F551" s="134">
        <v>1.32</v>
      </c>
      <c r="G551" s="135">
        <v>1.17</v>
      </c>
      <c r="H551" s="133">
        <v>2024</v>
      </c>
      <c r="I551" s="152" t="s">
        <v>5559</v>
      </c>
    </row>
    <row r="552" spans="1:9" ht="18.75" thickBot="1" x14ac:dyDescent="0.3">
      <c r="A552" s="133" t="str">
        <f t="shared" si="8"/>
        <v>149129X</v>
      </c>
      <c r="B552" s="133" t="s">
        <v>7384</v>
      </c>
      <c r="C552" s="133" t="s">
        <v>7385</v>
      </c>
      <c r="D552" s="133" t="s">
        <v>5503</v>
      </c>
      <c r="E552" s="134"/>
      <c r="F552" s="134">
        <v>1.1100000000000001</v>
      </c>
      <c r="G552" s="135">
        <v>0.99</v>
      </c>
      <c r="H552" s="133">
        <v>2020</v>
      </c>
      <c r="I552" s="152" t="s">
        <v>5646</v>
      </c>
    </row>
    <row r="553" spans="1:9" ht="18.75" thickBot="1" x14ac:dyDescent="0.3">
      <c r="A553" s="133" t="str">
        <f t="shared" si="8"/>
        <v>013962A</v>
      </c>
      <c r="B553" s="133" t="s">
        <v>7386</v>
      </c>
      <c r="C553" s="133" t="s">
        <v>7387</v>
      </c>
      <c r="D553" s="133" t="s">
        <v>26</v>
      </c>
      <c r="E553" s="134"/>
      <c r="F553" s="134">
        <v>2.04</v>
      </c>
      <c r="G553" s="135">
        <v>1.81</v>
      </c>
      <c r="H553" s="133">
        <v>2008</v>
      </c>
      <c r="I553" s="152" t="s">
        <v>5630</v>
      </c>
    </row>
    <row r="554" spans="1:9" ht="18.75" thickBot="1" x14ac:dyDescent="0.3">
      <c r="A554" s="133" t="str">
        <f t="shared" si="8"/>
        <v>133357D</v>
      </c>
      <c r="B554" s="133" t="s">
        <v>7388</v>
      </c>
      <c r="C554" s="133" t="s">
        <v>7389</v>
      </c>
      <c r="D554" s="133" t="s">
        <v>5504</v>
      </c>
      <c r="E554" s="134"/>
      <c r="F554" s="134">
        <v>0.66</v>
      </c>
      <c r="G554" s="135">
        <v>0.57999999999999996</v>
      </c>
      <c r="H554" s="133">
        <v>2024</v>
      </c>
      <c r="I554" s="152" t="s">
        <v>5705</v>
      </c>
    </row>
    <row r="555" spans="1:9" ht="18.75" thickBot="1" x14ac:dyDescent="0.3">
      <c r="A555" s="133" t="str">
        <f t="shared" si="8"/>
        <v>154493C</v>
      </c>
      <c r="B555" s="133" t="s">
        <v>6766</v>
      </c>
      <c r="C555" s="133" t="s">
        <v>6767</v>
      </c>
      <c r="D555" s="133" t="s">
        <v>5503</v>
      </c>
      <c r="E555" s="134"/>
      <c r="F555" s="134">
        <v>1.22</v>
      </c>
      <c r="G555" s="135">
        <v>1.08</v>
      </c>
      <c r="H555" s="133">
        <v>2024</v>
      </c>
      <c r="I555" s="152" t="s">
        <v>5625</v>
      </c>
    </row>
    <row r="556" spans="1:9" ht="18.75" thickBot="1" x14ac:dyDescent="0.3">
      <c r="A556" s="133" t="str">
        <f t="shared" si="8"/>
        <v>013975N</v>
      </c>
      <c r="B556" s="133" t="s">
        <v>6772</v>
      </c>
      <c r="C556" s="133" t="s">
        <v>6773</v>
      </c>
      <c r="D556" s="133" t="s">
        <v>5503</v>
      </c>
      <c r="E556" s="134"/>
      <c r="F556" s="134">
        <v>1.3</v>
      </c>
      <c r="G556" s="135">
        <v>1.1499999999999999</v>
      </c>
      <c r="H556" s="133">
        <v>2024</v>
      </c>
      <c r="I556" s="152" t="s">
        <v>5735</v>
      </c>
    </row>
    <row r="557" spans="1:9" ht="18.75" thickBot="1" x14ac:dyDescent="0.3">
      <c r="A557" s="133" t="str">
        <f t="shared" si="8"/>
        <v>132691N</v>
      </c>
      <c r="B557" s="133" t="s">
        <v>7390</v>
      </c>
      <c r="C557" s="133" t="s">
        <v>7391</v>
      </c>
      <c r="D557" s="133" t="s">
        <v>5504</v>
      </c>
      <c r="E557" s="134"/>
      <c r="F557" s="134">
        <v>0.56000000000000005</v>
      </c>
      <c r="G557" s="135">
        <v>0.5</v>
      </c>
      <c r="H557" s="133">
        <v>2015</v>
      </c>
      <c r="I557" s="152" t="s">
        <v>5625</v>
      </c>
    </row>
    <row r="558" spans="1:9" ht="18.75" thickBot="1" x14ac:dyDescent="0.3">
      <c r="A558" s="133" t="str">
        <f t="shared" si="8"/>
        <v>132632G</v>
      </c>
      <c r="B558" s="133" t="s">
        <v>6774</v>
      </c>
      <c r="C558" s="133" t="s">
        <v>6775</v>
      </c>
      <c r="D558" s="133" t="s">
        <v>5503</v>
      </c>
      <c r="E558" s="134"/>
      <c r="F558" s="134">
        <v>1.1299999999999999</v>
      </c>
      <c r="G558" s="135">
        <v>1.01</v>
      </c>
      <c r="H558" s="133">
        <v>2015</v>
      </c>
      <c r="I558" s="152" t="s">
        <v>5635</v>
      </c>
    </row>
    <row r="559" spans="1:9" ht="18.75" thickBot="1" x14ac:dyDescent="0.3">
      <c r="A559" s="133" t="str">
        <f t="shared" si="8"/>
        <v>164134G</v>
      </c>
      <c r="B559" s="133" t="s">
        <v>6776</v>
      </c>
      <c r="C559" s="133" t="s">
        <v>6777</v>
      </c>
      <c r="D559" s="133" t="s">
        <v>5503</v>
      </c>
      <c r="E559" s="134"/>
      <c r="F559" s="134">
        <v>1.06</v>
      </c>
      <c r="G559" s="135">
        <v>0.94</v>
      </c>
      <c r="H559" s="133">
        <v>2023</v>
      </c>
      <c r="I559" s="152" t="s">
        <v>5735</v>
      </c>
    </row>
    <row r="560" spans="1:9" ht="18.75" thickBot="1" x14ac:dyDescent="0.3">
      <c r="A560" s="133" t="str">
        <f t="shared" si="8"/>
        <v>117413X</v>
      </c>
      <c r="B560" s="133" t="s">
        <v>7392</v>
      </c>
      <c r="C560" s="133" t="s">
        <v>7393</v>
      </c>
      <c r="D560" s="133" t="s">
        <v>5503</v>
      </c>
      <c r="E560" s="134"/>
      <c r="F560" s="134">
        <v>1.1299999999999999</v>
      </c>
      <c r="G560" s="135">
        <v>1</v>
      </c>
      <c r="H560" s="133">
        <v>2016</v>
      </c>
      <c r="I560" s="152" t="s">
        <v>5671</v>
      </c>
    </row>
    <row r="561" spans="1:9" ht="18.75" thickBot="1" x14ac:dyDescent="0.3">
      <c r="A561" s="133" t="str">
        <f t="shared" si="8"/>
        <v>162661F</v>
      </c>
      <c r="B561" s="133" t="s">
        <v>6778</v>
      </c>
      <c r="C561" s="133" t="s">
        <v>6779</v>
      </c>
      <c r="D561" s="133" t="s">
        <v>5503</v>
      </c>
      <c r="E561" s="134"/>
      <c r="F561" s="134">
        <v>1.1100000000000001</v>
      </c>
      <c r="G561" s="135">
        <v>0.99</v>
      </c>
      <c r="H561" s="133">
        <v>2024</v>
      </c>
      <c r="I561" s="152" t="s">
        <v>5744</v>
      </c>
    </row>
    <row r="562" spans="1:9" ht="18.75" thickBot="1" x14ac:dyDescent="0.3">
      <c r="A562" s="133" t="str">
        <f t="shared" si="8"/>
        <v>159109V</v>
      </c>
      <c r="B562" s="133" t="s">
        <v>7394</v>
      </c>
      <c r="C562" s="133" t="s">
        <v>7395</v>
      </c>
      <c r="D562" s="133" t="s">
        <v>5504</v>
      </c>
      <c r="E562" s="134"/>
      <c r="F562" s="134">
        <v>0.5</v>
      </c>
      <c r="G562" s="135">
        <v>0.44</v>
      </c>
      <c r="H562" s="133">
        <v>2020</v>
      </c>
      <c r="I562" s="152" t="s">
        <v>5912</v>
      </c>
    </row>
    <row r="563" spans="1:9" ht="18.75" thickBot="1" x14ac:dyDescent="0.3">
      <c r="A563" s="133" t="str">
        <f t="shared" si="8"/>
        <v>013981T</v>
      </c>
      <c r="B563" s="133" t="s">
        <v>7396</v>
      </c>
      <c r="C563" s="133" t="s">
        <v>7397</v>
      </c>
      <c r="D563" s="133" t="s">
        <v>5503</v>
      </c>
      <c r="E563" s="134"/>
      <c r="F563" s="134">
        <v>1.0900000000000001</v>
      </c>
      <c r="G563" s="135">
        <v>0.97</v>
      </c>
      <c r="H563" s="133">
        <v>2023</v>
      </c>
      <c r="I563" s="152" t="s">
        <v>5635</v>
      </c>
    </row>
    <row r="564" spans="1:9" ht="18.75" thickBot="1" x14ac:dyDescent="0.3">
      <c r="A564" s="133" t="str">
        <f t="shared" si="8"/>
        <v>108139F</v>
      </c>
      <c r="B564" s="133" t="s">
        <v>6780</v>
      </c>
      <c r="C564" s="133" t="s">
        <v>6781</v>
      </c>
      <c r="D564" s="133" t="s">
        <v>5503</v>
      </c>
      <c r="E564" s="134"/>
      <c r="F564" s="134">
        <v>1.3</v>
      </c>
      <c r="G564" s="135">
        <v>1.1599999999999999</v>
      </c>
      <c r="H564" s="133">
        <v>2017</v>
      </c>
      <c r="I564" s="152" t="s">
        <v>5563</v>
      </c>
    </row>
    <row r="565" spans="1:9" ht="18.75" thickBot="1" x14ac:dyDescent="0.3">
      <c r="A565" s="133" t="str">
        <f t="shared" si="8"/>
        <v>122108M</v>
      </c>
      <c r="B565" s="133" t="s">
        <v>6782</v>
      </c>
      <c r="C565" s="133" t="s">
        <v>6783</v>
      </c>
      <c r="D565" s="133" t="s">
        <v>5503</v>
      </c>
      <c r="E565" s="134"/>
      <c r="F565" s="134">
        <v>1.21</v>
      </c>
      <c r="G565" s="135">
        <v>1.08</v>
      </c>
      <c r="H565" s="133">
        <v>2010</v>
      </c>
      <c r="I565" s="152" t="s">
        <v>5563</v>
      </c>
    </row>
    <row r="566" spans="1:9" ht="18.75" thickBot="1" x14ac:dyDescent="0.3">
      <c r="A566" s="133" t="str">
        <f t="shared" si="8"/>
        <v>133738U</v>
      </c>
      <c r="B566" s="133" t="s">
        <v>7398</v>
      </c>
      <c r="C566" s="133" t="s">
        <v>7399</v>
      </c>
      <c r="D566" s="133" t="s">
        <v>5504</v>
      </c>
      <c r="E566" s="134"/>
      <c r="F566" s="134">
        <v>0.56999999999999995</v>
      </c>
      <c r="G566" s="135">
        <v>0.5</v>
      </c>
      <c r="H566" s="133">
        <v>2024</v>
      </c>
      <c r="I566" s="152" t="s">
        <v>5566</v>
      </c>
    </row>
    <row r="567" spans="1:9" ht="18.75" thickBot="1" x14ac:dyDescent="0.3">
      <c r="A567" s="133" t="str">
        <f t="shared" si="8"/>
        <v>144845Z</v>
      </c>
      <c r="B567" s="133" t="s">
        <v>6788</v>
      </c>
      <c r="C567" s="133" t="s">
        <v>6789</v>
      </c>
      <c r="D567" s="133" t="s">
        <v>5503</v>
      </c>
      <c r="E567" s="134"/>
      <c r="F567" s="134">
        <v>1.32</v>
      </c>
      <c r="G567" s="135">
        <v>1.17</v>
      </c>
      <c r="H567" s="133">
        <v>2020</v>
      </c>
      <c r="I567" s="152" t="s">
        <v>5635</v>
      </c>
    </row>
    <row r="568" spans="1:9" ht="18.75" thickBot="1" x14ac:dyDescent="0.3">
      <c r="A568" s="133" t="str">
        <f t="shared" si="8"/>
        <v>138085Z</v>
      </c>
      <c r="B568" s="133" t="s">
        <v>6790</v>
      </c>
      <c r="C568" s="133" t="s">
        <v>6791</v>
      </c>
      <c r="D568" s="133" t="s">
        <v>5503</v>
      </c>
      <c r="E568" s="134"/>
      <c r="F568" s="134">
        <v>1.1399999999999999</v>
      </c>
      <c r="G568" s="135">
        <v>1.02</v>
      </c>
      <c r="H568" s="133">
        <v>2016</v>
      </c>
      <c r="I568" s="152" t="s">
        <v>5726</v>
      </c>
    </row>
    <row r="569" spans="1:9" ht="18.75" thickBot="1" x14ac:dyDescent="0.3">
      <c r="A569" s="133" t="str">
        <f t="shared" si="8"/>
        <v>132693P</v>
      </c>
      <c r="B569" s="133" t="s">
        <v>6796</v>
      </c>
      <c r="C569" s="133" t="s">
        <v>6797</v>
      </c>
      <c r="D569" s="133" t="s">
        <v>5503</v>
      </c>
      <c r="E569" s="134"/>
      <c r="F569" s="134">
        <v>1</v>
      </c>
      <c r="G569" s="135">
        <v>0.89</v>
      </c>
      <c r="H569" s="133">
        <v>2012</v>
      </c>
      <c r="I569" s="152" t="s">
        <v>5625</v>
      </c>
    </row>
    <row r="570" spans="1:9" ht="18.75" thickBot="1" x14ac:dyDescent="0.3">
      <c r="A570" s="133" t="str">
        <f t="shared" si="8"/>
        <v>014003P</v>
      </c>
      <c r="B570" s="133" t="s">
        <v>6798</v>
      </c>
      <c r="C570" s="133" t="s">
        <v>6799</v>
      </c>
      <c r="D570" s="133" t="s">
        <v>5503</v>
      </c>
      <c r="E570" s="134"/>
      <c r="F570" s="134">
        <v>0.85</v>
      </c>
      <c r="G570" s="135">
        <v>0.76</v>
      </c>
      <c r="H570" s="133">
        <v>2016</v>
      </c>
      <c r="I570" s="152" t="s">
        <v>5639</v>
      </c>
    </row>
    <row r="571" spans="1:9" ht="18.75" thickBot="1" x14ac:dyDescent="0.3">
      <c r="A571" s="133" t="str">
        <f t="shared" si="8"/>
        <v>014010W</v>
      </c>
      <c r="B571" s="133" t="s">
        <v>7400</v>
      </c>
      <c r="C571" s="133" t="s">
        <v>7401</v>
      </c>
      <c r="D571" s="133" t="s">
        <v>5504</v>
      </c>
      <c r="E571" s="134"/>
      <c r="F571" s="134">
        <v>0.39</v>
      </c>
      <c r="G571" s="135">
        <v>0.34</v>
      </c>
      <c r="H571" s="133">
        <v>2019</v>
      </c>
      <c r="I571" s="152" t="s">
        <v>5630</v>
      </c>
    </row>
    <row r="572" spans="1:9" ht="18.75" thickBot="1" x14ac:dyDescent="0.3">
      <c r="A572" s="133" t="str">
        <f t="shared" si="8"/>
        <v>147173W</v>
      </c>
      <c r="B572" s="133" t="s">
        <v>6804</v>
      </c>
      <c r="C572" s="133" t="s">
        <v>6805</v>
      </c>
      <c r="D572" s="133" t="s">
        <v>5504</v>
      </c>
      <c r="E572" s="134"/>
      <c r="F572" s="134">
        <v>0.92</v>
      </c>
      <c r="G572" s="135">
        <v>0.82</v>
      </c>
      <c r="H572" s="133">
        <v>2017</v>
      </c>
      <c r="I572" s="152" t="s">
        <v>5563</v>
      </c>
    </row>
    <row r="573" spans="1:9" ht="18.75" thickBot="1" x14ac:dyDescent="0.3">
      <c r="A573" s="133" t="str">
        <f t="shared" si="8"/>
        <v>178620C</v>
      </c>
      <c r="B573" s="133" t="s">
        <v>6806</v>
      </c>
      <c r="C573" s="133" t="s">
        <v>6807</v>
      </c>
      <c r="D573" s="133" t="s">
        <v>5504</v>
      </c>
      <c r="E573" s="134"/>
      <c r="F573" s="134">
        <v>0.68</v>
      </c>
      <c r="G573" s="135">
        <v>0.6</v>
      </c>
      <c r="H573" s="133">
        <v>2024</v>
      </c>
      <c r="I573" s="152" t="s">
        <v>5726</v>
      </c>
    </row>
    <row r="574" spans="1:9" ht="18.75" thickBot="1" x14ac:dyDescent="0.3">
      <c r="A574" s="133" t="str">
        <f t="shared" si="8"/>
        <v>014021H</v>
      </c>
      <c r="B574" s="133" t="s">
        <v>7402</v>
      </c>
      <c r="C574" s="133" t="s">
        <v>7403</v>
      </c>
      <c r="D574" s="133" t="s">
        <v>26</v>
      </c>
      <c r="E574" s="134"/>
      <c r="F574" s="134">
        <v>2.0099999999999998</v>
      </c>
      <c r="G574" s="135">
        <v>1.78</v>
      </c>
      <c r="H574" s="133">
        <v>2014</v>
      </c>
      <c r="I574" s="152" t="s">
        <v>5625</v>
      </c>
    </row>
    <row r="575" spans="1:9" ht="18.75" thickBot="1" x14ac:dyDescent="0.3">
      <c r="A575" s="133" t="str">
        <f t="shared" si="8"/>
        <v>103113X</v>
      </c>
      <c r="B575" s="133" t="s">
        <v>6808</v>
      </c>
      <c r="C575" s="133" t="s">
        <v>6809</v>
      </c>
      <c r="D575" s="133" t="s">
        <v>5504</v>
      </c>
      <c r="E575" s="134"/>
      <c r="F575" s="134">
        <v>0.96</v>
      </c>
      <c r="G575" s="135">
        <v>0.85</v>
      </c>
      <c r="H575" s="133">
        <v>2013</v>
      </c>
      <c r="I575" s="152" t="s">
        <v>5553</v>
      </c>
    </row>
    <row r="576" spans="1:9" ht="18.75" thickBot="1" x14ac:dyDescent="0.3">
      <c r="A576" s="133" t="str">
        <f t="shared" si="8"/>
        <v>014026M</v>
      </c>
      <c r="B576" s="133" t="s">
        <v>6810</v>
      </c>
      <c r="C576" s="133" t="s">
        <v>6811</v>
      </c>
      <c r="D576" s="133" t="s">
        <v>24</v>
      </c>
      <c r="E576" s="134"/>
      <c r="F576" s="134" t="s">
        <v>5552</v>
      </c>
      <c r="G576" s="135">
        <v>3.44</v>
      </c>
      <c r="H576" s="133">
        <v>2009</v>
      </c>
      <c r="I576" s="152" t="s">
        <v>5635</v>
      </c>
    </row>
    <row r="577" spans="1:9" ht="18.75" thickBot="1" x14ac:dyDescent="0.3">
      <c r="A577" s="133" t="str">
        <f t="shared" si="8"/>
        <v>014027N</v>
      </c>
      <c r="B577" s="133" t="s">
        <v>6812</v>
      </c>
      <c r="C577" s="133" t="s">
        <v>6813</v>
      </c>
      <c r="D577" s="133" t="s">
        <v>5503</v>
      </c>
      <c r="E577" s="134"/>
      <c r="F577" s="134">
        <v>1.1599999999999999</v>
      </c>
      <c r="G577" s="135">
        <v>1.03</v>
      </c>
      <c r="H577" s="133">
        <v>2009</v>
      </c>
      <c r="I577" s="152" t="s">
        <v>6229</v>
      </c>
    </row>
    <row r="578" spans="1:9" ht="18.75" thickBot="1" x14ac:dyDescent="0.3">
      <c r="A578" s="133" t="str">
        <f t="shared" ref="A578:A641" si="9">SUBSTITUTE(B578,CHAR(32),"")</f>
        <v>180098J</v>
      </c>
      <c r="B578" s="133" t="s">
        <v>6814</v>
      </c>
      <c r="C578" s="133" t="s">
        <v>6815</v>
      </c>
      <c r="D578" s="133" t="s">
        <v>5597</v>
      </c>
      <c r="E578" s="134"/>
      <c r="F578" s="134">
        <v>1.49</v>
      </c>
      <c r="G578" s="135">
        <v>1.32</v>
      </c>
      <c r="H578" s="133">
        <v>2024</v>
      </c>
      <c r="I578" s="152" t="s">
        <v>5615</v>
      </c>
    </row>
    <row r="579" spans="1:9" ht="18.75" thickBot="1" x14ac:dyDescent="0.3">
      <c r="A579" s="133" t="str">
        <f t="shared" si="9"/>
        <v>140322A</v>
      </c>
      <c r="B579" s="133" t="s">
        <v>7404</v>
      </c>
      <c r="C579" s="133" t="s">
        <v>7405</v>
      </c>
      <c r="D579" s="133" t="s">
        <v>5504</v>
      </c>
      <c r="E579" s="134"/>
      <c r="F579" s="134">
        <v>0.38</v>
      </c>
      <c r="G579" s="135">
        <v>0.34</v>
      </c>
      <c r="H579" s="133">
        <v>2011</v>
      </c>
      <c r="I579" s="152" t="s">
        <v>5678</v>
      </c>
    </row>
    <row r="580" spans="1:9" ht="18.75" thickBot="1" x14ac:dyDescent="0.3">
      <c r="A580" s="133" t="str">
        <f t="shared" si="9"/>
        <v>103039B</v>
      </c>
      <c r="B580" s="133" t="s">
        <v>6816</v>
      </c>
      <c r="C580" s="133" t="s">
        <v>6817</v>
      </c>
      <c r="D580" s="133" t="s">
        <v>5503</v>
      </c>
      <c r="E580" s="134"/>
      <c r="F580" s="134">
        <v>1.33</v>
      </c>
      <c r="G580" s="135">
        <v>1.18</v>
      </c>
      <c r="H580" s="133">
        <v>2009</v>
      </c>
      <c r="I580" s="152" t="s">
        <v>5678</v>
      </c>
    </row>
    <row r="581" spans="1:9" ht="18.75" thickBot="1" x14ac:dyDescent="0.3">
      <c r="A581" s="133" t="str">
        <f t="shared" si="9"/>
        <v>014031R</v>
      </c>
      <c r="B581" s="133" t="s">
        <v>6820</v>
      </c>
      <c r="C581" s="133" t="s">
        <v>6821</v>
      </c>
      <c r="D581" s="133" t="s">
        <v>5503</v>
      </c>
      <c r="E581" s="134"/>
      <c r="F581" s="134">
        <v>1.59</v>
      </c>
      <c r="G581" s="135">
        <v>1.41</v>
      </c>
      <c r="H581" s="133">
        <v>2024</v>
      </c>
      <c r="I581" s="152" t="s">
        <v>5566</v>
      </c>
    </row>
    <row r="582" spans="1:9" ht="18.75" thickBot="1" x14ac:dyDescent="0.3">
      <c r="A582" s="133" t="str">
        <f t="shared" si="9"/>
        <v>014035V</v>
      </c>
      <c r="B582" s="133" t="s">
        <v>7406</v>
      </c>
      <c r="C582" s="133" t="s">
        <v>7407</v>
      </c>
      <c r="D582" s="133" t="s">
        <v>5504</v>
      </c>
      <c r="E582" s="134"/>
      <c r="F582" s="134">
        <v>0.55000000000000004</v>
      </c>
      <c r="G582" s="135">
        <v>0.49</v>
      </c>
      <c r="H582" s="133">
        <v>2019</v>
      </c>
      <c r="I582" s="152" t="s">
        <v>5582</v>
      </c>
    </row>
    <row r="583" spans="1:9" ht="18.75" thickBot="1" x14ac:dyDescent="0.3">
      <c r="A583" s="133" t="str">
        <f t="shared" si="9"/>
        <v>124449N</v>
      </c>
      <c r="B583" s="133" t="s">
        <v>6822</v>
      </c>
      <c r="C583" s="133" t="s">
        <v>6823</v>
      </c>
      <c r="D583" s="133" t="s">
        <v>5503</v>
      </c>
      <c r="E583" s="134"/>
      <c r="F583" s="134">
        <v>1.65</v>
      </c>
      <c r="G583" s="135">
        <v>1.47</v>
      </c>
      <c r="H583" s="133">
        <v>2015</v>
      </c>
      <c r="I583" s="152" t="s">
        <v>5635</v>
      </c>
    </row>
    <row r="584" spans="1:9" ht="18.75" thickBot="1" x14ac:dyDescent="0.3">
      <c r="A584" s="133" t="str">
        <f t="shared" si="9"/>
        <v>113978U</v>
      </c>
      <c r="B584" s="133" t="s">
        <v>6824</v>
      </c>
      <c r="C584" s="133" t="s">
        <v>6825</v>
      </c>
      <c r="D584" s="133" t="s">
        <v>5503</v>
      </c>
      <c r="E584" s="134"/>
      <c r="F584" s="134">
        <v>1.17</v>
      </c>
      <c r="G584" s="135">
        <v>1.04</v>
      </c>
      <c r="H584" s="133">
        <v>2024</v>
      </c>
      <c r="I584" s="152" t="s">
        <v>5566</v>
      </c>
    </row>
    <row r="585" spans="1:9" ht="18.75" thickBot="1" x14ac:dyDescent="0.3">
      <c r="A585" s="133" t="str">
        <f t="shared" si="9"/>
        <v>126078E</v>
      </c>
      <c r="B585" s="133" t="s">
        <v>7408</v>
      </c>
      <c r="C585" s="133" t="s">
        <v>7409</v>
      </c>
      <c r="D585" s="133" t="s">
        <v>26</v>
      </c>
      <c r="E585" s="134"/>
      <c r="F585" s="134">
        <v>1.44</v>
      </c>
      <c r="G585" s="135">
        <v>1.28</v>
      </c>
      <c r="H585" s="133">
        <v>2010</v>
      </c>
      <c r="I585" s="152" t="s">
        <v>5735</v>
      </c>
    </row>
    <row r="586" spans="1:9" ht="18.75" thickBot="1" x14ac:dyDescent="0.3">
      <c r="A586" s="133" t="str">
        <f t="shared" si="9"/>
        <v>014049J</v>
      </c>
      <c r="B586" s="133" t="s">
        <v>7410</v>
      </c>
      <c r="C586" s="133" t="s">
        <v>7411</v>
      </c>
      <c r="D586" s="133" t="s">
        <v>24</v>
      </c>
      <c r="E586" s="134"/>
      <c r="F586" s="134" t="s">
        <v>5552</v>
      </c>
      <c r="G586" s="135">
        <v>2.31</v>
      </c>
      <c r="H586" s="133">
        <v>2023</v>
      </c>
      <c r="I586" s="152" t="s">
        <v>5598</v>
      </c>
    </row>
    <row r="587" spans="1:9" ht="18.75" thickBot="1" x14ac:dyDescent="0.3">
      <c r="A587" s="133" t="str">
        <f t="shared" si="9"/>
        <v>014050K</v>
      </c>
      <c r="B587" s="133" t="s">
        <v>6830</v>
      </c>
      <c r="C587" s="133" t="s">
        <v>6831</v>
      </c>
      <c r="D587" s="133" t="s">
        <v>24</v>
      </c>
      <c r="E587" s="134"/>
      <c r="F587" s="134" t="s">
        <v>5552</v>
      </c>
      <c r="G587" s="135">
        <v>2.7</v>
      </c>
      <c r="H587" s="133">
        <v>2024</v>
      </c>
      <c r="I587" s="152" t="s">
        <v>5678</v>
      </c>
    </row>
    <row r="588" spans="1:9" ht="18.75" thickBot="1" x14ac:dyDescent="0.3">
      <c r="A588" s="133" t="str">
        <f t="shared" si="9"/>
        <v>111050E</v>
      </c>
      <c r="B588" s="133" t="s">
        <v>6832</v>
      </c>
      <c r="C588" s="133" t="s">
        <v>6833</v>
      </c>
      <c r="D588" s="133" t="s">
        <v>5504</v>
      </c>
      <c r="E588" s="134"/>
      <c r="F588" s="134">
        <v>0.76</v>
      </c>
      <c r="G588" s="135">
        <v>0.68</v>
      </c>
      <c r="H588" s="133">
        <v>2024</v>
      </c>
      <c r="I588" s="152" t="s">
        <v>5710</v>
      </c>
    </row>
    <row r="589" spans="1:9" ht="18.75" thickBot="1" x14ac:dyDescent="0.3">
      <c r="A589" s="133" t="str">
        <f t="shared" si="9"/>
        <v>166476C</v>
      </c>
      <c r="B589" s="133" t="s">
        <v>6834</v>
      </c>
      <c r="C589" s="133" t="s">
        <v>6835</v>
      </c>
      <c r="D589" s="133" t="s">
        <v>5504</v>
      </c>
      <c r="E589" s="134"/>
      <c r="F589" s="134">
        <v>0.54</v>
      </c>
      <c r="G589" s="135">
        <v>0.48</v>
      </c>
      <c r="H589" s="133">
        <v>2023</v>
      </c>
      <c r="I589" s="152" t="s">
        <v>5726</v>
      </c>
    </row>
    <row r="590" spans="1:9" ht="18.75" thickBot="1" x14ac:dyDescent="0.3">
      <c r="A590" s="133" t="str">
        <f t="shared" si="9"/>
        <v>010178M</v>
      </c>
      <c r="B590" s="133" t="s">
        <v>6838</v>
      </c>
      <c r="C590" s="133" t="s">
        <v>6839</v>
      </c>
      <c r="D590" s="133" t="s">
        <v>5503</v>
      </c>
      <c r="E590" s="134"/>
      <c r="F590" s="134">
        <v>1.54</v>
      </c>
      <c r="G590" s="135">
        <v>1.37</v>
      </c>
      <c r="H590" s="133">
        <v>2024</v>
      </c>
      <c r="I590" s="152" t="s">
        <v>5678</v>
      </c>
    </row>
    <row r="591" spans="1:9" ht="18.75" thickBot="1" x14ac:dyDescent="0.3">
      <c r="A591" s="133" t="str">
        <f t="shared" si="9"/>
        <v>014058S</v>
      </c>
      <c r="B591" s="133" t="s">
        <v>7412</v>
      </c>
      <c r="C591" s="133" t="s">
        <v>7413</v>
      </c>
      <c r="D591" s="133" t="s">
        <v>26</v>
      </c>
      <c r="E591" s="134"/>
      <c r="F591" s="134">
        <v>1.65</v>
      </c>
      <c r="G591" s="135">
        <v>1.47</v>
      </c>
      <c r="H591" s="133">
        <v>2010</v>
      </c>
      <c r="I591" s="152" t="s">
        <v>5895</v>
      </c>
    </row>
    <row r="592" spans="1:9" ht="18.75" thickBot="1" x14ac:dyDescent="0.3">
      <c r="A592" s="133" t="str">
        <f t="shared" si="9"/>
        <v>014059T</v>
      </c>
      <c r="B592" s="133" t="s">
        <v>6842</v>
      </c>
      <c r="C592" s="133" t="s">
        <v>6843</v>
      </c>
      <c r="D592" s="133" t="s">
        <v>5503</v>
      </c>
      <c r="E592" s="134"/>
      <c r="F592" s="134">
        <v>1.26</v>
      </c>
      <c r="G592" s="135">
        <v>1.1200000000000001</v>
      </c>
      <c r="H592" s="133">
        <v>2011</v>
      </c>
      <c r="I592" s="152" t="s">
        <v>5895</v>
      </c>
    </row>
    <row r="593" spans="1:9" ht="18.75" thickBot="1" x14ac:dyDescent="0.3">
      <c r="A593" s="133" t="str">
        <f t="shared" si="9"/>
        <v>126911F</v>
      </c>
      <c r="B593" s="133" t="s">
        <v>6844</v>
      </c>
      <c r="C593" s="133" t="s">
        <v>6845</v>
      </c>
      <c r="D593" s="133" t="s">
        <v>5504</v>
      </c>
      <c r="E593" s="134"/>
      <c r="F593" s="134">
        <v>0.74</v>
      </c>
      <c r="G593" s="135">
        <v>0.66</v>
      </c>
      <c r="H593" s="133">
        <v>2024</v>
      </c>
      <c r="I593" s="152" t="s">
        <v>5573</v>
      </c>
    </row>
    <row r="594" spans="1:9" ht="18.75" thickBot="1" x14ac:dyDescent="0.3">
      <c r="A594" s="133" t="str">
        <f t="shared" si="9"/>
        <v>122092W</v>
      </c>
      <c r="B594" s="133" t="s">
        <v>6852</v>
      </c>
      <c r="C594" s="133" t="s">
        <v>6853</v>
      </c>
      <c r="D594" s="133" t="s">
        <v>5503</v>
      </c>
      <c r="E594" s="134"/>
      <c r="F594" s="134">
        <v>1.27</v>
      </c>
      <c r="G594" s="135">
        <v>1.1299999999999999</v>
      </c>
      <c r="H594" s="133">
        <v>2024</v>
      </c>
      <c r="I594" s="152" t="s">
        <v>5625</v>
      </c>
    </row>
    <row r="595" spans="1:9" ht="18.75" thickBot="1" x14ac:dyDescent="0.3">
      <c r="A595" s="133" t="str">
        <f t="shared" si="9"/>
        <v>114522S</v>
      </c>
      <c r="B595" s="133" t="s">
        <v>6854</v>
      </c>
      <c r="C595" s="133" t="s">
        <v>6855</v>
      </c>
      <c r="D595" s="133" t="s">
        <v>5504</v>
      </c>
      <c r="E595" s="134"/>
      <c r="F595" s="134">
        <v>0.71</v>
      </c>
      <c r="G595" s="135">
        <v>0.63</v>
      </c>
      <c r="H595" s="133">
        <v>2016</v>
      </c>
      <c r="I595" s="152" t="s">
        <v>5563</v>
      </c>
    </row>
    <row r="596" spans="1:9" ht="18.75" thickBot="1" x14ac:dyDescent="0.3">
      <c r="A596" s="133" t="str">
        <f t="shared" si="9"/>
        <v>014081P</v>
      </c>
      <c r="B596" s="133" t="s">
        <v>6856</v>
      </c>
      <c r="C596" s="133" t="s">
        <v>6857</v>
      </c>
      <c r="D596" s="133" t="s">
        <v>5503</v>
      </c>
      <c r="E596" s="134"/>
      <c r="F596" s="134">
        <v>1.26</v>
      </c>
      <c r="G596" s="135">
        <v>1.1200000000000001</v>
      </c>
      <c r="H596" s="133">
        <v>2013</v>
      </c>
      <c r="I596" s="152" t="s">
        <v>5559</v>
      </c>
    </row>
    <row r="597" spans="1:9" ht="18.75" thickBot="1" x14ac:dyDescent="0.3">
      <c r="A597" s="133" t="str">
        <f t="shared" si="9"/>
        <v>157508E</v>
      </c>
      <c r="B597" s="133" t="s">
        <v>7414</v>
      </c>
      <c r="C597" s="133" t="s">
        <v>7415</v>
      </c>
      <c r="D597" s="133" t="s">
        <v>5503</v>
      </c>
      <c r="E597" s="134"/>
      <c r="F597" s="134">
        <v>1.25</v>
      </c>
      <c r="G597" s="135">
        <v>1.1100000000000001</v>
      </c>
      <c r="H597" s="133">
        <v>2024</v>
      </c>
      <c r="I597" s="152" t="s">
        <v>5657</v>
      </c>
    </row>
    <row r="598" spans="1:9" ht="18.75" thickBot="1" x14ac:dyDescent="0.3">
      <c r="A598" s="133" t="str">
        <f t="shared" si="9"/>
        <v>014096E</v>
      </c>
      <c r="B598" s="133" t="s">
        <v>6866</v>
      </c>
      <c r="C598" s="133" t="s">
        <v>6867</v>
      </c>
      <c r="D598" s="133" t="s">
        <v>5503</v>
      </c>
      <c r="E598" s="134"/>
      <c r="F598" s="134">
        <v>1.72</v>
      </c>
      <c r="G598" s="135">
        <v>1.53</v>
      </c>
      <c r="H598" s="133">
        <v>2020</v>
      </c>
      <c r="I598" s="152" t="s">
        <v>5635</v>
      </c>
    </row>
    <row r="599" spans="1:9" ht="18.75" thickBot="1" x14ac:dyDescent="0.3">
      <c r="A599" s="133" t="str">
        <f t="shared" si="9"/>
        <v>136063F</v>
      </c>
      <c r="B599" s="133" t="s">
        <v>6870</v>
      </c>
      <c r="C599" s="133" t="s">
        <v>6871</v>
      </c>
      <c r="D599" s="133" t="s">
        <v>5504</v>
      </c>
      <c r="E599" s="134"/>
      <c r="F599" s="134">
        <v>0.63</v>
      </c>
      <c r="G599" s="135">
        <v>0.56000000000000005</v>
      </c>
      <c r="H599" s="133">
        <v>2013</v>
      </c>
      <c r="I599" s="152" t="s">
        <v>5726</v>
      </c>
    </row>
    <row r="600" spans="1:9" ht="18.75" thickBot="1" x14ac:dyDescent="0.3">
      <c r="A600" s="133" t="str">
        <f t="shared" si="9"/>
        <v>138525X</v>
      </c>
      <c r="B600" s="133" t="s">
        <v>6872</v>
      </c>
      <c r="C600" s="133" t="s">
        <v>6873</v>
      </c>
      <c r="D600" s="133" t="s">
        <v>26</v>
      </c>
      <c r="E600" s="134"/>
      <c r="F600" s="134">
        <v>1.79</v>
      </c>
      <c r="G600" s="135">
        <v>1.59</v>
      </c>
      <c r="H600" s="133">
        <v>2017</v>
      </c>
      <c r="I600" s="152" t="s">
        <v>5744</v>
      </c>
    </row>
    <row r="601" spans="1:9" ht="18.75" thickBot="1" x14ac:dyDescent="0.3">
      <c r="A601" s="133" t="str">
        <f t="shared" si="9"/>
        <v>158718V</v>
      </c>
      <c r="B601" s="133" t="s">
        <v>6874</v>
      </c>
      <c r="C601" s="133" t="s">
        <v>6875</v>
      </c>
      <c r="D601" s="133" t="s">
        <v>5504</v>
      </c>
      <c r="E601" s="134"/>
      <c r="F601" s="134">
        <v>0.51</v>
      </c>
      <c r="G601" s="135">
        <v>0.45</v>
      </c>
      <c r="H601" s="133">
        <v>2024</v>
      </c>
      <c r="I601" s="152" t="s">
        <v>5573</v>
      </c>
    </row>
    <row r="602" spans="1:9" ht="18.75" thickBot="1" x14ac:dyDescent="0.3">
      <c r="A602" s="133" t="str">
        <f t="shared" si="9"/>
        <v>117485R</v>
      </c>
      <c r="B602" s="133" t="s">
        <v>6876</v>
      </c>
      <c r="C602" s="133" t="s">
        <v>6877</v>
      </c>
      <c r="D602" s="133" t="s">
        <v>26</v>
      </c>
      <c r="E602" s="134"/>
      <c r="F602" s="134">
        <v>1.83</v>
      </c>
      <c r="G602" s="135">
        <v>1.63</v>
      </c>
      <c r="H602" s="133">
        <v>2017</v>
      </c>
      <c r="I602" s="152" t="s">
        <v>5912</v>
      </c>
    </row>
    <row r="603" spans="1:9" ht="18.75" thickBot="1" x14ac:dyDescent="0.3">
      <c r="A603" s="133" t="str">
        <f t="shared" si="9"/>
        <v>162603S</v>
      </c>
      <c r="B603" s="133" t="s">
        <v>7416</v>
      </c>
      <c r="C603" s="133" t="s">
        <v>7417</v>
      </c>
      <c r="D603" s="133" t="s">
        <v>5503</v>
      </c>
      <c r="E603" s="134"/>
      <c r="F603" s="134">
        <v>1.18</v>
      </c>
      <c r="G603" s="135">
        <v>1.05</v>
      </c>
      <c r="H603" s="133">
        <v>2018</v>
      </c>
      <c r="I603" s="152" t="s">
        <v>5657</v>
      </c>
    </row>
    <row r="604" spans="1:9" ht="18.75" thickBot="1" x14ac:dyDescent="0.3">
      <c r="A604" s="133" t="str">
        <f t="shared" si="9"/>
        <v>122895T</v>
      </c>
      <c r="B604" s="133" t="s">
        <v>6880</v>
      </c>
      <c r="C604" s="133" t="s">
        <v>6881</v>
      </c>
      <c r="D604" s="133" t="s">
        <v>5504</v>
      </c>
      <c r="E604" s="134"/>
      <c r="F604" s="134">
        <v>0.93</v>
      </c>
      <c r="G604" s="135">
        <v>0.82</v>
      </c>
      <c r="H604" s="133">
        <v>2012</v>
      </c>
      <c r="I604" s="152" t="s">
        <v>5744</v>
      </c>
    </row>
    <row r="605" spans="1:9" ht="18.75" thickBot="1" x14ac:dyDescent="0.3">
      <c r="A605" s="133" t="str">
        <f t="shared" si="9"/>
        <v>014116Y</v>
      </c>
      <c r="B605" s="133" t="s">
        <v>7418</v>
      </c>
      <c r="C605" s="133" t="s">
        <v>7419</v>
      </c>
      <c r="D605" s="133" t="s">
        <v>5503</v>
      </c>
      <c r="E605" s="134"/>
      <c r="F605" s="134">
        <v>0.85</v>
      </c>
      <c r="G605" s="135">
        <v>0.75</v>
      </c>
      <c r="H605" s="133">
        <v>2014</v>
      </c>
      <c r="I605" s="152" t="s">
        <v>5678</v>
      </c>
    </row>
    <row r="606" spans="1:9" ht="18.75" thickBot="1" x14ac:dyDescent="0.3">
      <c r="A606" s="133" t="str">
        <f t="shared" si="9"/>
        <v>169937P</v>
      </c>
      <c r="B606" s="133" t="s">
        <v>8599</v>
      </c>
      <c r="C606" s="133" t="s">
        <v>8600</v>
      </c>
      <c r="D606" s="133" t="s">
        <v>5597</v>
      </c>
      <c r="E606" s="134"/>
      <c r="F606" s="134">
        <v>1.36</v>
      </c>
      <c r="G606" s="135">
        <v>1.21</v>
      </c>
      <c r="H606" s="133">
        <v>2024</v>
      </c>
      <c r="I606" s="152" t="s">
        <v>5573</v>
      </c>
    </row>
    <row r="607" spans="1:9" ht="18.75" thickBot="1" x14ac:dyDescent="0.3">
      <c r="A607" s="133" t="str">
        <f t="shared" si="9"/>
        <v>147038Z</v>
      </c>
      <c r="B607" s="133" t="s">
        <v>7420</v>
      </c>
      <c r="C607" s="133" t="s">
        <v>7421</v>
      </c>
      <c r="D607" s="133" t="s">
        <v>5503</v>
      </c>
      <c r="E607" s="134"/>
      <c r="F607" s="134">
        <v>1.18</v>
      </c>
      <c r="G607" s="135">
        <v>1.05</v>
      </c>
      <c r="H607" s="133">
        <v>2018</v>
      </c>
      <c r="I607" s="152" t="s">
        <v>5573</v>
      </c>
    </row>
    <row r="608" spans="1:9" ht="18.75" thickBot="1" x14ac:dyDescent="0.3">
      <c r="A608" s="133" t="str">
        <f t="shared" si="9"/>
        <v>159467J</v>
      </c>
      <c r="B608" s="133" t="s">
        <v>6884</v>
      </c>
      <c r="C608" s="133" t="s">
        <v>6885</v>
      </c>
      <c r="D608" s="133" t="s">
        <v>5503</v>
      </c>
      <c r="E608" s="134"/>
      <c r="F608" s="134">
        <v>1.32</v>
      </c>
      <c r="G608" s="135">
        <v>1.17</v>
      </c>
      <c r="H608" s="133">
        <v>2020</v>
      </c>
      <c r="I608" s="152" t="s">
        <v>5678</v>
      </c>
    </row>
    <row r="609" spans="1:9" ht="18.75" thickBot="1" x14ac:dyDescent="0.3">
      <c r="A609" s="133" t="str">
        <f t="shared" si="9"/>
        <v>111888K</v>
      </c>
      <c r="B609" s="133" t="s">
        <v>6888</v>
      </c>
      <c r="C609" s="133" t="s">
        <v>6889</v>
      </c>
      <c r="D609" s="133" t="s">
        <v>5503</v>
      </c>
      <c r="E609" s="134"/>
      <c r="F609" s="134">
        <v>1.1399999999999999</v>
      </c>
      <c r="G609" s="135">
        <v>1.02</v>
      </c>
      <c r="H609" s="133">
        <v>2024</v>
      </c>
      <c r="I609" s="152" t="s">
        <v>5744</v>
      </c>
    </row>
    <row r="610" spans="1:9" ht="18.75" thickBot="1" x14ac:dyDescent="0.3">
      <c r="A610" s="133" t="str">
        <f t="shared" si="9"/>
        <v>137915L</v>
      </c>
      <c r="B610" s="133" t="s">
        <v>7422</v>
      </c>
      <c r="C610" s="133" t="s">
        <v>7423</v>
      </c>
      <c r="D610" s="133" t="s">
        <v>5503</v>
      </c>
      <c r="E610" s="134"/>
      <c r="F610" s="134">
        <v>1.1599999999999999</v>
      </c>
      <c r="G610" s="135">
        <v>1.03</v>
      </c>
      <c r="H610" s="133">
        <v>2015</v>
      </c>
      <c r="I610" s="152" t="s">
        <v>5657</v>
      </c>
    </row>
    <row r="611" spans="1:9" ht="18.75" thickBot="1" x14ac:dyDescent="0.3">
      <c r="A611" s="133" t="str">
        <f t="shared" si="9"/>
        <v>014149F</v>
      </c>
      <c r="B611" s="133" t="s">
        <v>6896</v>
      </c>
      <c r="C611" s="133" t="s">
        <v>6897</v>
      </c>
      <c r="D611" s="133" t="s">
        <v>26</v>
      </c>
      <c r="E611" s="134"/>
      <c r="F611" s="134">
        <v>2.06</v>
      </c>
      <c r="G611" s="135">
        <v>1.83</v>
      </c>
      <c r="H611" s="133">
        <v>2024</v>
      </c>
      <c r="I611" s="152" t="s">
        <v>5563</v>
      </c>
    </row>
    <row r="612" spans="1:9" ht="18.75" thickBot="1" x14ac:dyDescent="0.3">
      <c r="A612" s="133" t="str">
        <f t="shared" si="9"/>
        <v>014153J</v>
      </c>
      <c r="B612" s="133" t="s">
        <v>7424</v>
      </c>
      <c r="C612" s="133" t="s">
        <v>7425</v>
      </c>
      <c r="D612" s="133" t="s">
        <v>5504</v>
      </c>
      <c r="E612" s="134"/>
      <c r="F612" s="134">
        <v>0.77</v>
      </c>
      <c r="G612" s="135">
        <v>0.68</v>
      </c>
      <c r="H612" s="133">
        <v>2015</v>
      </c>
      <c r="I612" s="152" t="s">
        <v>5744</v>
      </c>
    </row>
    <row r="613" spans="1:9" ht="18.75" thickBot="1" x14ac:dyDescent="0.3">
      <c r="A613" s="133" t="str">
        <f t="shared" si="9"/>
        <v>132717N</v>
      </c>
      <c r="B613" s="133" t="s">
        <v>6902</v>
      </c>
      <c r="C613" s="133" t="s">
        <v>6903</v>
      </c>
      <c r="D613" s="133" t="s">
        <v>5503</v>
      </c>
      <c r="E613" s="134"/>
      <c r="F613" s="134">
        <v>0.93</v>
      </c>
      <c r="G613" s="135">
        <v>0.83</v>
      </c>
      <c r="H613" s="133">
        <v>2010</v>
      </c>
      <c r="I613" s="152" t="s">
        <v>5639</v>
      </c>
    </row>
    <row r="614" spans="1:9" ht="18.75" thickBot="1" x14ac:dyDescent="0.3">
      <c r="A614" s="133" t="str">
        <f t="shared" si="9"/>
        <v>129212S</v>
      </c>
      <c r="B614" s="133" t="s">
        <v>7426</v>
      </c>
      <c r="C614" s="133" t="s">
        <v>7427</v>
      </c>
      <c r="D614" s="133" t="s">
        <v>5562</v>
      </c>
      <c r="E614" s="134"/>
      <c r="F614" s="134">
        <v>2.29</v>
      </c>
      <c r="G614" s="135">
        <v>2.04</v>
      </c>
      <c r="H614" s="133">
        <v>2024</v>
      </c>
      <c r="I614" s="152" t="s">
        <v>5594</v>
      </c>
    </row>
    <row r="615" spans="1:9" ht="18.75" thickBot="1" x14ac:dyDescent="0.3">
      <c r="A615" s="133" t="str">
        <f t="shared" si="9"/>
        <v>156727F</v>
      </c>
      <c r="B615" s="133" t="s">
        <v>6906</v>
      </c>
      <c r="C615" s="133" t="s">
        <v>6907</v>
      </c>
      <c r="D615" s="133" t="s">
        <v>5503</v>
      </c>
      <c r="E615" s="134"/>
      <c r="F615" s="134">
        <v>1.35</v>
      </c>
      <c r="G615" s="135">
        <v>1.2</v>
      </c>
      <c r="H615" s="133">
        <v>2024</v>
      </c>
      <c r="I615" s="152" t="s">
        <v>5635</v>
      </c>
    </row>
    <row r="616" spans="1:9" ht="18.75" thickBot="1" x14ac:dyDescent="0.3">
      <c r="A616" s="133" t="str">
        <f t="shared" si="9"/>
        <v>023229L</v>
      </c>
      <c r="B616" s="133" t="s">
        <v>7428</v>
      </c>
      <c r="C616" s="133" t="s">
        <v>7429</v>
      </c>
      <c r="D616" s="133" t="s">
        <v>26</v>
      </c>
      <c r="E616" s="134"/>
      <c r="F616" s="134">
        <v>1.98</v>
      </c>
      <c r="G616" s="135">
        <v>1.77</v>
      </c>
      <c r="H616" s="133">
        <v>2020</v>
      </c>
      <c r="I616" s="152" t="s">
        <v>5671</v>
      </c>
    </row>
    <row r="617" spans="1:9" ht="18.75" thickBot="1" x14ac:dyDescent="0.3">
      <c r="A617" s="133" t="str">
        <f t="shared" si="9"/>
        <v>014170A</v>
      </c>
      <c r="B617" s="133" t="s">
        <v>6910</v>
      </c>
      <c r="C617" s="133" t="s">
        <v>6911</v>
      </c>
      <c r="D617" s="133" t="s">
        <v>5503</v>
      </c>
      <c r="E617" s="134"/>
      <c r="F617" s="134">
        <v>1.06</v>
      </c>
      <c r="G617" s="135">
        <v>0.94</v>
      </c>
      <c r="H617" s="133">
        <v>2022</v>
      </c>
      <c r="I617" s="152" t="s">
        <v>5768</v>
      </c>
    </row>
    <row r="618" spans="1:9" ht="18.75" thickBot="1" x14ac:dyDescent="0.3">
      <c r="A618" s="133" t="str">
        <f t="shared" si="9"/>
        <v>137385B</v>
      </c>
      <c r="B618" s="133" t="s">
        <v>6914</v>
      </c>
      <c r="C618" s="133" t="s">
        <v>6915</v>
      </c>
      <c r="D618" s="133" t="s">
        <v>5503</v>
      </c>
      <c r="E618" s="134"/>
      <c r="F618" s="134">
        <v>1.59</v>
      </c>
      <c r="G618" s="135">
        <v>1.42</v>
      </c>
      <c r="H618" s="133">
        <v>2024</v>
      </c>
      <c r="I618" s="152" t="s">
        <v>5678</v>
      </c>
    </row>
    <row r="619" spans="1:9" ht="18.75" thickBot="1" x14ac:dyDescent="0.3">
      <c r="A619" s="133" t="str">
        <f t="shared" si="9"/>
        <v>103185R</v>
      </c>
      <c r="B619" s="133" t="s">
        <v>6916</v>
      </c>
      <c r="C619" s="133" t="s">
        <v>6917</v>
      </c>
      <c r="D619" s="133" t="s">
        <v>5503</v>
      </c>
      <c r="E619" s="134"/>
      <c r="F619" s="134">
        <v>0.97</v>
      </c>
      <c r="G619" s="135">
        <v>0.86</v>
      </c>
      <c r="H619" s="133">
        <v>2015</v>
      </c>
      <c r="I619" s="152" t="s">
        <v>5710</v>
      </c>
    </row>
    <row r="620" spans="1:9" ht="18.75" thickBot="1" x14ac:dyDescent="0.3">
      <c r="A620" s="133" t="str">
        <f t="shared" si="9"/>
        <v>154565F</v>
      </c>
      <c r="B620" s="133" t="s">
        <v>6920</v>
      </c>
      <c r="C620" s="133" t="s">
        <v>6921</v>
      </c>
      <c r="D620" s="133" t="s">
        <v>5504</v>
      </c>
      <c r="E620" s="134"/>
      <c r="F620" s="134">
        <v>0.62</v>
      </c>
      <c r="G620" s="135">
        <v>0.55000000000000004</v>
      </c>
      <c r="H620" s="133">
        <v>2022</v>
      </c>
      <c r="I620" s="152" t="s">
        <v>5556</v>
      </c>
    </row>
    <row r="621" spans="1:9" ht="18.75" thickBot="1" x14ac:dyDescent="0.3">
      <c r="A621" s="133" t="str">
        <f t="shared" si="9"/>
        <v>168393L</v>
      </c>
      <c r="B621" s="133" t="s">
        <v>6922</v>
      </c>
      <c r="C621" s="133" t="s">
        <v>6923</v>
      </c>
      <c r="D621" s="133" t="s">
        <v>5503</v>
      </c>
      <c r="E621" s="134"/>
      <c r="F621" s="134">
        <v>1.1499999999999999</v>
      </c>
      <c r="G621" s="135">
        <v>1.02</v>
      </c>
      <c r="H621" s="133">
        <v>2020</v>
      </c>
      <c r="I621" s="152" t="s">
        <v>5582</v>
      </c>
    </row>
    <row r="622" spans="1:9" ht="18.75" thickBot="1" x14ac:dyDescent="0.3">
      <c r="A622" s="133" t="str">
        <f t="shared" si="9"/>
        <v>142464K</v>
      </c>
      <c r="B622" s="133" t="s">
        <v>7430</v>
      </c>
      <c r="C622" s="133" t="s">
        <v>7431</v>
      </c>
      <c r="D622" s="133" t="s">
        <v>5504</v>
      </c>
      <c r="E622" s="134"/>
      <c r="F622" s="134">
        <v>0.23</v>
      </c>
      <c r="G622" s="135">
        <v>0.2</v>
      </c>
      <c r="H622" s="133">
        <v>2014</v>
      </c>
      <c r="I622" s="152" t="s">
        <v>5566</v>
      </c>
    </row>
    <row r="623" spans="1:9" ht="18.75" thickBot="1" x14ac:dyDescent="0.3">
      <c r="A623" s="133" t="str">
        <f t="shared" si="9"/>
        <v>126697Z</v>
      </c>
      <c r="B623" s="133" t="s">
        <v>7432</v>
      </c>
      <c r="C623" s="133" t="s">
        <v>7433</v>
      </c>
      <c r="D623" s="133" t="s">
        <v>5504</v>
      </c>
      <c r="E623" s="134"/>
      <c r="F623" s="134">
        <v>0.85</v>
      </c>
      <c r="G623" s="135">
        <v>0.75</v>
      </c>
      <c r="H623" s="133">
        <v>2009</v>
      </c>
      <c r="I623" s="152" t="s">
        <v>6229</v>
      </c>
    </row>
    <row r="624" spans="1:9" ht="18.75" thickBot="1" x14ac:dyDescent="0.3">
      <c r="A624" s="133" t="str">
        <f t="shared" si="9"/>
        <v>135312I</v>
      </c>
      <c r="B624" s="133" t="s">
        <v>7434</v>
      </c>
      <c r="C624" s="133" t="s">
        <v>7435</v>
      </c>
      <c r="D624" s="133" t="s">
        <v>5503</v>
      </c>
      <c r="E624" s="134"/>
      <c r="F624" s="134">
        <v>1.26</v>
      </c>
      <c r="G624" s="135">
        <v>1.1200000000000001</v>
      </c>
      <c r="H624" s="133">
        <v>2024</v>
      </c>
      <c r="I624" s="152" t="s">
        <v>6229</v>
      </c>
    </row>
    <row r="625" spans="1:9" ht="18.75" thickBot="1" x14ac:dyDescent="0.3">
      <c r="A625" s="133" t="str">
        <f t="shared" si="9"/>
        <v>176839R</v>
      </c>
      <c r="B625" s="133" t="s">
        <v>6930</v>
      </c>
      <c r="C625" s="133" t="s">
        <v>6931</v>
      </c>
      <c r="D625" s="133" t="s">
        <v>5504</v>
      </c>
      <c r="E625" s="134"/>
      <c r="F625" s="134">
        <v>0.47</v>
      </c>
      <c r="G625" s="135">
        <v>0.41</v>
      </c>
      <c r="H625" s="133">
        <v>2024</v>
      </c>
      <c r="I625" s="152" t="s">
        <v>5678</v>
      </c>
    </row>
    <row r="626" spans="1:9" ht="18.75" thickBot="1" x14ac:dyDescent="0.3">
      <c r="A626" s="133" t="str">
        <f t="shared" si="9"/>
        <v>162777G</v>
      </c>
      <c r="B626" s="133" t="s">
        <v>6932</v>
      </c>
      <c r="C626" s="133" t="s">
        <v>6933</v>
      </c>
      <c r="D626" s="133" t="s">
        <v>5504</v>
      </c>
      <c r="E626" s="134"/>
      <c r="F626" s="134">
        <v>0.72</v>
      </c>
      <c r="G626" s="135">
        <v>0.64</v>
      </c>
      <c r="H626" s="133">
        <v>2024</v>
      </c>
      <c r="I626" s="152" t="s">
        <v>5651</v>
      </c>
    </row>
    <row r="627" spans="1:9" ht="18.75" thickBot="1" x14ac:dyDescent="0.3">
      <c r="A627" s="133" t="str">
        <f t="shared" si="9"/>
        <v>179968S</v>
      </c>
      <c r="B627" s="133" t="s">
        <v>8588</v>
      </c>
      <c r="C627" s="133" t="s">
        <v>8589</v>
      </c>
      <c r="D627" s="133" t="s">
        <v>5704</v>
      </c>
      <c r="E627" s="134"/>
      <c r="F627" s="134">
        <v>0.48</v>
      </c>
      <c r="G627" s="135">
        <v>0.42</v>
      </c>
      <c r="H627" s="133">
        <v>2024</v>
      </c>
      <c r="I627" s="152" t="s">
        <v>5710</v>
      </c>
    </row>
    <row r="628" spans="1:9" ht="18.75" thickBot="1" x14ac:dyDescent="0.3">
      <c r="A628" s="133" t="str">
        <f t="shared" si="9"/>
        <v>166221A</v>
      </c>
      <c r="B628" s="133" t="s">
        <v>7436</v>
      </c>
      <c r="C628" s="133" t="s">
        <v>7437</v>
      </c>
      <c r="D628" s="133" t="s">
        <v>5504</v>
      </c>
      <c r="E628" s="134"/>
      <c r="F628" s="134">
        <v>0.91</v>
      </c>
      <c r="G628" s="135">
        <v>0.81</v>
      </c>
      <c r="H628" s="133">
        <v>2024</v>
      </c>
      <c r="I628" s="152" t="s">
        <v>5573</v>
      </c>
    </row>
    <row r="629" spans="1:9" ht="18.75" thickBot="1" x14ac:dyDescent="0.3">
      <c r="A629" s="133" t="str">
        <f t="shared" si="9"/>
        <v>124951V</v>
      </c>
      <c r="B629" s="133" t="s">
        <v>6934</v>
      </c>
      <c r="C629" s="133" t="s">
        <v>6935</v>
      </c>
      <c r="D629" s="133" t="s">
        <v>5503</v>
      </c>
      <c r="E629" s="134"/>
      <c r="F629" s="134">
        <v>0.98</v>
      </c>
      <c r="G629" s="135">
        <v>0.87</v>
      </c>
      <c r="H629" s="133">
        <v>2019</v>
      </c>
      <c r="I629" s="152" t="s">
        <v>5678</v>
      </c>
    </row>
    <row r="630" spans="1:9" ht="18.75" thickBot="1" x14ac:dyDescent="0.3">
      <c r="A630" s="133" t="str">
        <f t="shared" si="9"/>
        <v>014200E</v>
      </c>
      <c r="B630" s="133" t="s">
        <v>6936</v>
      </c>
      <c r="C630" s="133" t="s">
        <v>6937</v>
      </c>
      <c r="D630" s="133" t="s">
        <v>5504</v>
      </c>
      <c r="E630" s="134"/>
      <c r="F630" s="134">
        <v>0.7</v>
      </c>
      <c r="G630" s="135">
        <v>0.62</v>
      </c>
      <c r="H630" s="133">
        <v>2013</v>
      </c>
      <c r="I630" s="152" t="s">
        <v>6137</v>
      </c>
    </row>
    <row r="631" spans="1:9" ht="18.75" thickBot="1" x14ac:dyDescent="0.3">
      <c r="A631" s="133" t="str">
        <f t="shared" si="9"/>
        <v>109508W</v>
      </c>
      <c r="B631" s="133" t="s">
        <v>6938</v>
      </c>
      <c r="C631" s="133" t="s">
        <v>6939</v>
      </c>
      <c r="D631" s="133" t="s">
        <v>26</v>
      </c>
      <c r="E631" s="134"/>
      <c r="F631" s="134">
        <v>1.63</v>
      </c>
      <c r="G631" s="135">
        <v>1.45</v>
      </c>
      <c r="H631" s="133">
        <v>2015</v>
      </c>
      <c r="I631" s="152" t="s">
        <v>5594</v>
      </c>
    </row>
    <row r="632" spans="1:9" ht="18.75" thickBot="1" x14ac:dyDescent="0.3">
      <c r="A632" s="133" t="str">
        <f t="shared" si="9"/>
        <v>175258Y</v>
      </c>
      <c r="B632" s="133" t="s">
        <v>8057</v>
      </c>
      <c r="C632" s="133" t="s">
        <v>8058</v>
      </c>
      <c r="D632" s="133" t="s">
        <v>5597</v>
      </c>
      <c r="E632" s="134"/>
      <c r="F632" s="134">
        <v>1.51</v>
      </c>
      <c r="G632" s="135">
        <v>1.34</v>
      </c>
      <c r="H632" s="133">
        <v>2024</v>
      </c>
      <c r="I632" s="152" t="s">
        <v>5657</v>
      </c>
    </row>
    <row r="633" spans="1:9" ht="18.75" thickBot="1" x14ac:dyDescent="0.3">
      <c r="A633" s="133" t="str">
        <f t="shared" si="9"/>
        <v>014206K</v>
      </c>
      <c r="B633" s="133" t="s">
        <v>6946</v>
      </c>
      <c r="C633" s="133" t="s">
        <v>6947</v>
      </c>
      <c r="D633" s="133" t="s">
        <v>5503</v>
      </c>
      <c r="E633" s="134"/>
      <c r="F633" s="134">
        <v>1.27</v>
      </c>
      <c r="G633" s="135">
        <v>1.1299999999999999</v>
      </c>
      <c r="H633" s="133">
        <v>2022</v>
      </c>
      <c r="I633" s="152" t="s">
        <v>5566</v>
      </c>
    </row>
    <row r="634" spans="1:9" ht="18.75" thickBot="1" x14ac:dyDescent="0.3">
      <c r="A634" s="133" t="str">
        <f t="shared" si="9"/>
        <v>014207L</v>
      </c>
      <c r="B634" s="133" t="s">
        <v>7438</v>
      </c>
      <c r="C634" s="133" t="s">
        <v>7439</v>
      </c>
      <c r="D634" s="133" t="s">
        <v>5504</v>
      </c>
      <c r="E634" s="134"/>
      <c r="F634" s="134">
        <v>0.82</v>
      </c>
      <c r="G634" s="135">
        <v>0.73</v>
      </c>
      <c r="H634" s="133">
        <v>2015</v>
      </c>
      <c r="I634" s="152" t="s">
        <v>5850</v>
      </c>
    </row>
    <row r="635" spans="1:9" ht="18.75" thickBot="1" x14ac:dyDescent="0.3">
      <c r="A635" s="133" t="str">
        <f t="shared" si="9"/>
        <v>137894Q</v>
      </c>
      <c r="B635" s="133" t="s">
        <v>6948</v>
      </c>
      <c r="C635" s="133" t="s">
        <v>6949</v>
      </c>
      <c r="D635" s="133" t="s">
        <v>5503</v>
      </c>
      <c r="E635" s="134"/>
      <c r="F635" s="134">
        <v>1.38</v>
      </c>
      <c r="G635" s="135">
        <v>1.23</v>
      </c>
      <c r="H635" s="133">
        <v>2019</v>
      </c>
      <c r="I635" s="152" t="s">
        <v>5553</v>
      </c>
    </row>
    <row r="636" spans="1:9" ht="18.75" thickBot="1" x14ac:dyDescent="0.3">
      <c r="A636" s="133" t="str">
        <f t="shared" si="9"/>
        <v>014209N</v>
      </c>
      <c r="B636" s="133" t="s">
        <v>6950</v>
      </c>
      <c r="C636" s="133" t="s">
        <v>6951</v>
      </c>
      <c r="D636" s="133" t="s">
        <v>5503</v>
      </c>
      <c r="E636" s="134"/>
      <c r="F636" s="134">
        <v>1.18</v>
      </c>
      <c r="G636" s="135">
        <v>1.05</v>
      </c>
      <c r="H636" s="133">
        <v>2019</v>
      </c>
      <c r="I636" s="152" t="s">
        <v>5735</v>
      </c>
    </row>
    <row r="637" spans="1:9" ht="18.75" thickBot="1" x14ac:dyDescent="0.3">
      <c r="A637" s="133" t="str">
        <f t="shared" si="9"/>
        <v>014216U</v>
      </c>
      <c r="B637" s="133" t="s">
        <v>6956</v>
      </c>
      <c r="C637" s="133" t="s">
        <v>6957</v>
      </c>
      <c r="D637" s="133" t="s">
        <v>26</v>
      </c>
      <c r="E637" s="134"/>
      <c r="F637" s="134">
        <v>2.2400000000000002</v>
      </c>
      <c r="G637" s="135">
        <v>1.99</v>
      </c>
      <c r="H637" s="133">
        <v>2024</v>
      </c>
      <c r="I637" s="152" t="s">
        <v>5646</v>
      </c>
    </row>
    <row r="638" spans="1:9" ht="18.75" thickBot="1" x14ac:dyDescent="0.3">
      <c r="A638" s="133" t="str">
        <f t="shared" si="9"/>
        <v>014217V</v>
      </c>
      <c r="B638" s="133" t="s">
        <v>6958</v>
      </c>
      <c r="C638" s="133" t="s">
        <v>6959</v>
      </c>
      <c r="D638" s="133" t="s">
        <v>26</v>
      </c>
      <c r="E638" s="134"/>
      <c r="F638" s="134">
        <v>1.92</v>
      </c>
      <c r="G638" s="135">
        <v>1.71</v>
      </c>
      <c r="H638" s="133">
        <v>2024</v>
      </c>
      <c r="I638" s="152" t="s">
        <v>5553</v>
      </c>
    </row>
    <row r="639" spans="1:9" ht="18.75" thickBot="1" x14ac:dyDescent="0.3">
      <c r="A639" s="133" t="str">
        <f t="shared" si="9"/>
        <v>160032Y</v>
      </c>
      <c r="B639" s="133" t="s">
        <v>6960</v>
      </c>
      <c r="C639" s="133" t="s">
        <v>6961</v>
      </c>
      <c r="D639" s="133" t="s">
        <v>5562</v>
      </c>
      <c r="E639" s="134"/>
      <c r="F639" s="134">
        <v>1.34</v>
      </c>
      <c r="G639" s="135">
        <v>1.2</v>
      </c>
      <c r="H639" s="133">
        <v>2024</v>
      </c>
      <c r="I639" s="152" t="s">
        <v>5563</v>
      </c>
    </row>
    <row r="640" spans="1:9" ht="18.75" thickBot="1" x14ac:dyDescent="0.3">
      <c r="A640" s="133" t="str">
        <f t="shared" si="9"/>
        <v>014225D</v>
      </c>
      <c r="B640" s="133" t="s">
        <v>6964</v>
      </c>
      <c r="C640" s="133" t="s">
        <v>6965</v>
      </c>
      <c r="D640" s="133" t="s">
        <v>5503</v>
      </c>
      <c r="E640" s="134"/>
      <c r="F640" s="134">
        <v>1.18</v>
      </c>
      <c r="G640" s="135">
        <v>1.05</v>
      </c>
      <c r="H640" s="133">
        <v>2011</v>
      </c>
      <c r="I640" s="152" t="s">
        <v>5895</v>
      </c>
    </row>
    <row r="641" spans="1:9" ht="18.75" thickBot="1" x14ac:dyDescent="0.3">
      <c r="A641" s="133" t="str">
        <f t="shared" si="9"/>
        <v>154289F</v>
      </c>
      <c r="B641" s="133" t="s">
        <v>6966</v>
      </c>
      <c r="C641" s="133" t="s">
        <v>6967</v>
      </c>
      <c r="D641" s="133" t="s">
        <v>5503</v>
      </c>
      <c r="E641" s="134"/>
      <c r="F641" s="134">
        <v>1.27</v>
      </c>
      <c r="G641" s="135">
        <v>1.1299999999999999</v>
      </c>
      <c r="H641" s="133">
        <v>2024</v>
      </c>
      <c r="I641" s="152" t="s">
        <v>5594</v>
      </c>
    </row>
    <row r="642" spans="1:9" ht="18.75" thickBot="1" x14ac:dyDescent="0.3">
      <c r="A642" s="133" t="str">
        <f t="shared" ref="A642:A669" si="10">SUBSTITUTE(B642,CHAR(32),"")</f>
        <v>014227F</v>
      </c>
      <c r="B642" s="133" t="s">
        <v>6968</v>
      </c>
      <c r="C642" s="133" t="s">
        <v>6969</v>
      </c>
      <c r="D642" s="133" t="s">
        <v>5503</v>
      </c>
      <c r="E642" s="134"/>
      <c r="F642" s="134">
        <v>1.48</v>
      </c>
      <c r="G642" s="135">
        <v>1.32</v>
      </c>
      <c r="H642" s="133">
        <v>2010</v>
      </c>
      <c r="I642" s="152" t="s">
        <v>5630</v>
      </c>
    </row>
    <row r="643" spans="1:9" ht="18.75" thickBot="1" x14ac:dyDescent="0.3">
      <c r="A643" s="133" t="str">
        <f t="shared" si="10"/>
        <v>149318C</v>
      </c>
      <c r="B643" s="133" t="s">
        <v>7440</v>
      </c>
      <c r="C643" s="133" t="s">
        <v>7441</v>
      </c>
      <c r="D643" s="133" t="s">
        <v>5504</v>
      </c>
      <c r="E643" s="134"/>
      <c r="F643" s="134">
        <v>0.9</v>
      </c>
      <c r="G643" s="135">
        <v>0.8</v>
      </c>
      <c r="H643" s="133">
        <v>2020</v>
      </c>
      <c r="I643" s="152" t="s">
        <v>5553</v>
      </c>
    </row>
    <row r="644" spans="1:9" ht="18.75" thickBot="1" x14ac:dyDescent="0.3">
      <c r="A644" s="133" t="str">
        <f t="shared" si="10"/>
        <v>014238Q</v>
      </c>
      <c r="B644" s="133" t="s">
        <v>6970</v>
      </c>
      <c r="C644" s="133" t="s">
        <v>6971</v>
      </c>
      <c r="D644" s="133" t="s">
        <v>5597</v>
      </c>
      <c r="E644" s="134"/>
      <c r="F644" s="134">
        <v>1.57</v>
      </c>
      <c r="G644" s="135">
        <v>1.39</v>
      </c>
      <c r="H644" s="133">
        <v>2024</v>
      </c>
      <c r="I644" s="152" t="s">
        <v>5559</v>
      </c>
    </row>
    <row r="645" spans="1:9" ht="18.75" thickBot="1" x14ac:dyDescent="0.3">
      <c r="A645" s="133" t="str">
        <f t="shared" si="10"/>
        <v>138266Y</v>
      </c>
      <c r="B645" s="133" t="s">
        <v>6974</v>
      </c>
      <c r="C645" s="133" t="s">
        <v>6975</v>
      </c>
      <c r="D645" s="133" t="s">
        <v>5704</v>
      </c>
      <c r="E645" s="134"/>
      <c r="F645" s="134">
        <v>0.83</v>
      </c>
      <c r="G645" s="135">
        <v>0.74</v>
      </c>
      <c r="H645" s="133">
        <v>2024</v>
      </c>
      <c r="I645" s="152" t="s">
        <v>5615</v>
      </c>
    </row>
    <row r="646" spans="1:9" ht="18.75" thickBot="1" x14ac:dyDescent="0.3">
      <c r="A646" s="133" t="str">
        <f t="shared" si="10"/>
        <v>014251D</v>
      </c>
      <c r="B646" s="133" t="s">
        <v>6978</v>
      </c>
      <c r="C646" s="133" t="s">
        <v>6979</v>
      </c>
      <c r="D646" s="133" t="s">
        <v>5503</v>
      </c>
      <c r="E646" s="134"/>
      <c r="F646" s="134">
        <v>1.08</v>
      </c>
      <c r="G646" s="135">
        <v>0.96</v>
      </c>
      <c r="H646" s="133">
        <v>2016</v>
      </c>
      <c r="I646" s="152" t="s">
        <v>5566</v>
      </c>
    </row>
    <row r="647" spans="1:9" ht="18.75" thickBot="1" x14ac:dyDescent="0.3">
      <c r="A647" s="133" t="str">
        <f t="shared" si="10"/>
        <v>014263P</v>
      </c>
      <c r="B647" s="133" t="s">
        <v>6982</v>
      </c>
      <c r="C647" s="133" t="s">
        <v>6983</v>
      </c>
      <c r="D647" s="133" t="s">
        <v>5504</v>
      </c>
      <c r="E647" s="134"/>
      <c r="F647" s="134">
        <v>0.79</v>
      </c>
      <c r="G647" s="135">
        <v>0.7</v>
      </c>
      <c r="H647" s="133">
        <v>2011</v>
      </c>
      <c r="I647" s="152" t="s">
        <v>5787</v>
      </c>
    </row>
    <row r="648" spans="1:9" ht="18.75" thickBot="1" x14ac:dyDescent="0.3">
      <c r="A648" s="133" t="str">
        <f t="shared" si="10"/>
        <v>132937Z</v>
      </c>
      <c r="B648" s="133" t="s">
        <v>6984</v>
      </c>
      <c r="C648" s="133" t="s">
        <v>6985</v>
      </c>
      <c r="D648" s="133" t="s">
        <v>5503</v>
      </c>
      <c r="E648" s="134"/>
      <c r="F648" s="134">
        <v>1.05</v>
      </c>
      <c r="G648" s="135">
        <v>0.93</v>
      </c>
      <c r="H648" s="133">
        <v>2022</v>
      </c>
      <c r="I648" s="152" t="s">
        <v>5553</v>
      </c>
    </row>
    <row r="649" spans="1:9" ht="18.75" thickBot="1" x14ac:dyDescent="0.3">
      <c r="A649" s="133" t="str">
        <f t="shared" si="10"/>
        <v>014269V</v>
      </c>
      <c r="B649" s="133" t="s">
        <v>6988</v>
      </c>
      <c r="C649" s="133" t="s">
        <v>6989</v>
      </c>
      <c r="D649" s="133" t="s">
        <v>26</v>
      </c>
      <c r="E649" s="134"/>
      <c r="F649" s="134">
        <v>2.15</v>
      </c>
      <c r="G649" s="135">
        <v>1.92</v>
      </c>
      <c r="H649" s="133">
        <v>2023</v>
      </c>
      <c r="I649" s="152" t="s">
        <v>5559</v>
      </c>
    </row>
    <row r="650" spans="1:9" ht="18.75" thickBot="1" x14ac:dyDescent="0.3">
      <c r="A650" s="133" t="str">
        <f t="shared" si="10"/>
        <v>014271X</v>
      </c>
      <c r="B650" s="133" t="s">
        <v>6990</v>
      </c>
      <c r="C650" s="133" t="s">
        <v>6991</v>
      </c>
      <c r="D650" s="133" t="s">
        <v>26</v>
      </c>
      <c r="E650" s="134"/>
      <c r="F650" s="134">
        <v>2.44</v>
      </c>
      <c r="G650" s="135">
        <v>2.17</v>
      </c>
      <c r="H650" s="133">
        <v>2014</v>
      </c>
      <c r="I650" s="152" t="s">
        <v>5566</v>
      </c>
    </row>
    <row r="651" spans="1:9" ht="18.75" thickBot="1" x14ac:dyDescent="0.3">
      <c r="A651" s="133" t="str">
        <f t="shared" si="10"/>
        <v>128089N</v>
      </c>
      <c r="B651" s="133" t="s">
        <v>6992</v>
      </c>
      <c r="C651" s="133" t="s">
        <v>6993</v>
      </c>
      <c r="D651" s="133" t="s">
        <v>5503</v>
      </c>
      <c r="E651" s="134"/>
      <c r="F651" s="134">
        <v>1.07</v>
      </c>
      <c r="G651" s="135">
        <v>0.95</v>
      </c>
      <c r="H651" s="133">
        <v>2013</v>
      </c>
      <c r="I651" s="152" t="s">
        <v>6994</v>
      </c>
    </row>
    <row r="652" spans="1:9" ht="18.75" thickBot="1" x14ac:dyDescent="0.3">
      <c r="A652" s="133" t="str">
        <f t="shared" si="10"/>
        <v>127631X</v>
      </c>
      <c r="B652" s="133" t="s">
        <v>6995</v>
      </c>
      <c r="C652" s="133" t="s">
        <v>6996</v>
      </c>
      <c r="D652" s="133" t="s">
        <v>26</v>
      </c>
      <c r="E652" s="134"/>
      <c r="F652" s="134">
        <v>2.16</v>
      </c>
      <c r="G652" s="135">
        <v>1.92</v>
      </c>
      <c r="H652" s="133">
        <v>2008</v>
      </c>
      <c r="I652" s="152" t="s">
        <v>5635</v>
      </c>
    </row>
    <row r="653" spans="1:9" ht="18.75" thickBot="1" x14ac:dyDescent="0.3">
      <c r="A653" s="133" t="str">
        <f t="shared" si="10"/>
        <v>140021L</v>
      </c>
      <c r="B653" s="133" t="s">
        <v>6997</v>
      </c>
      <c r="C653" s="133" t="s">
        <v>6998</v>
      </c>
      <c r="D653" s="133" t="s">
        <v>5503</v>
      </c>
      <c r="E653" s="134"/>
      <c r="F653" s="134">
        <v>1.17</v>
      </c>
      <c r="G653" s="135">
        <v>1.04</v>
      </c>
      <c r="H653" s="133">
        <v>2024</v>
      </c>
      <c r="I653" s="152" t="s">
        <v>5710</v>
      </c>
    </row>
    <row r="654" spans="1:9" ht="18.75" thickBot="1" x14ac:dyDescent="0.3">
      <c r="A654" s="133" t="str">
        <f t="shared" si="10"/>
        <v>109607R</v>
      </c>
      <c r="B654" s="133" t="s">
        <v>6999</v>
      </c>
      <c r="C654" s="133" t="s">
        <v>7000</v>
      </c>
      <c r="D654" s="133" t="s">
        <v>26</v>
      </c>
      <c r="E654" s="134"/>
      <c r="F654" s="134">
        <v>1.93</v>
      </c>
      <c r="G654" s="135">
        <v>1.72</v>
      </c>
      <c r="H654" s="133">
        <v>2024</v>
      </c>
      <c r="I654" s="152" t="s">
        <v>5553</v>
      </c>
    </row>
    <row r="655" spans="1:9" ht="18.75" thickBot="1" x14ac:dyDescent="0.3">
      <c r="A655" s="133" t="str">
        <f t="shared" si="10"/>
        <v>134307R</v>
      </c>
      <c r="B655" s="133" t="s">
        <v>7442</v>
      </c>
      <c r="C655" s="133" t="s">
        <v>7443</v>
      </c>
      <c r="D655" s="133" t="s">
        <v>5504</v>
      </c>
      <c r="E655" s="134"/>
      <c r="F655" s="134">
        <v>0.67</v>
      </c>
      <c r="G655" s="135">
        <v>0.6</v>
      </c>
      <c r="H655" s="133">
        <v>2019</v>
      </c>
      <c r="I655" s="152" t="s">
        <v>5566</v>
      </c>
    </row>
    <row r="656" spans="1:9" ht="18.75" thickBot="1" x14ac:dyDescent="0.3">
      <c r="A656" s="133" t="str">
        <f t="shared" si="10"/>
        <v>180575C</v>
      </c>
      <c r="B656" s="133" t="s">
        <v>8601</v>
      </c>
      <c r="C656" s="133" t="s">
        <v>8602</v>
      </c>
      <c r="D656" s="133" t="s">
        <v>5597</v>
      </c>
      <c r="E656" s="134"/>
      <c r="F656" s="134">
        <v>1.01</v>
      </c>
      <c r="G656" s="135">
        <v>0.9</v>
      </c>
      <c r="H656" s="133">
        <v>2024</v>
      </c>
      <c r="I656" s="152" t="s">
        <v>5553</v>
      </c>
    </row>
    <row r="657" spans="1:9" ht="18.75" thickBot="1" x14ac:dyDescent="0.3">
      <c r="A657" s="133" t="str">
        <f t="shared" si="10"/>
        <v>137384A</v>
      </c>
      <c r="B657" s="133" t="s">
        <v>7444</v>
      </c>
      <c r="C657" s="133" t="s">
        <v>7445</v>
      </c>
      <c r="D657" s="133" t="s">
        <v>5503</v>
      </c>
      <c r="E657" s="134"/>
      <c r="F657" s="134">
        <v>1.18</v>
      </c>
      <c r="G657" s="135">
        <v>1.05</v>
      </c>
      <c r="H657" s="133">
        <v>2013</v>
      </c>
      <c r="I657" s="152" t="s">
        <v>5678</v>
      </c>
    </row>
    <row r="658" spans="1:9" ht="18.75" thickBot="1" x14ac:dyDescent="0.3">
      <c r="A658" s="133" t="str">
        <f t="shared" si="10"/>
        <v>014288O</v>
      </c>
      <c r="B658" s="133" t="s">
        <v>7446</v>
      </c>
      <c r="C658" s="133" t="s">
        <v>7447</v>
      </c>
      <c r="D658" s="133" t="s">
        <v>26</v>
      </c>
      <c r="E658" s="134"/>
      <c r="F658" s="134">
        <v>1.78</v>
      </c>
      <c r="G658" s="135">
        <v>1.58</v>
      </c>
      <c r="H658" s="133">
        <v>2008</v>
      </c>
      <c r="I658" s="152" t="s">
        <v>5895</v>
      </c>
    </row>
    <row r="659" spans="1:9" ht="18.75" thickBot="1" x14ac:dyDescent="0.3">
      <c r="A659" s="133" t="str">
        <f t="shared" si="10"/>
        <v>132621V</v>
      </c>
      <c r="B659" s="133" t="s">
        <v>7448</v>
      </c>
      <c r="C659" s="133" t="s">
        <v>7449</v>
      </c>
      <c r="D659" s="133" t="s">
        <v>5503</v>
      </c>
      <c r="E659" s="134"/>
      <c r="F659" s="134">
        <v>1.24</v>
      </c>
      <c r="G659" s="135">
        <v>1.1000000000000001</v>
      </c>
      <c r="H659" s="133">
        <v>2013</v>
      </c>
      <c r="I659" s="152" t="s">
        <v>5553</v>
      </c>
    </row>
    <row r="660" spans="1:9" ht="18.75" thickBot="1" x14ac:dyDescent="0.3">
      <c r="A660" s="133" t="str">
        <f t="shared" si="10"/>
        <v>113891L</v>
      </c>
      <c r="B660" s="133" t="s">
        <v>7005</v>
      </c>
      <c r="C660" s="133" t="s">
        <v>7006</v>
      </c>
      <c r="D660" s="133" t="s">
        <v>5503</v>
      </c>
      <c r="E660" s="134"/>
      <c r="F660" s="134">
        <v>1.03</v>
      </c>
      <c r="G660" s="135">
        <v>0.92</v>
      </c>
      <c r="H660" s="133">
        <v>2024</v>
      </c>
      <c r="I660" s="152" t="s">
        <v>5625</v>
      </c>
    </row>
    <row r="661" spans="1:9" ht="18.75" thickBot="1" x14ac:dyDescent="0.3">
      <c r="A661" s="133" t="str">
        <f t="shared" si="10"/>
        <v>014308I</v>
      </c>
      <c r="B661" s="133" t="s">
        <v>7009</v>
      </c>
      <c r="C661" s="133" t="s">
        <v>7010</v>
      </c>
      <c r="D661" s="133" t="s">
        <v>24</v>
      </c>
      <c r="E661" s="134"/>
      <c r="F661" s="134" t="s">
        <v>5552</v>
      </c>
      <c r="G661" s="135">
        <v>2.31</v>
      </c>
      <c r="H661" s="133">
        <v>2019</v>
      </c>
      <c r="I661" s="152" t="s">
        <v>5582</v>
      </c>
    </row>
    <row r="662" spans="1:9" ht="18.75" thickBot="1" x14ac:dyDescent="0.3">
      <c r="A662" s="133" t="str">
        <f t="shared" si="10"/>
        <v>018351V</v>
      </c>
      <c r="B662" s="133" t="s">
        <v>7013</v>
      </c>
      <c r="C662" s="133" t="s">
        <v>7014</v>
      </c>
      <c r="D662" s="133" t="s">
        <v>5503</v>
      </c>
      <c r="E662" s="134"/>
      <c r="F662" s="134">
        <v>1.1399999999999999</v>
      </c>
      <c r="G662" s="135">
        <v>1.01</v>
      </c>
      <c r="H662" s="133">
        <v>2024</v>
      </c>
      <c r="I662" s="152" t="s">
        <v>5705</v>
      </c>
    </row>
    <row r="663" spans="1:9" ht="18.75" thickBot="1" x14ac:dyDescent="0.3">
      <c r="A663" s="133" t="str">
        <f t="shared" si="10"/>
        <v>126745V</v>
      </c>
      <c r="B663" s="133" t="s">
        <v>7015</v>
      </c>
      <c r="C663" s="133" t="s">
        <v>7016</v>
      </c>
      <c r="D663" s="133" t="s">
        <v>5504</v>
      </c>
      <c r="E663" s="134"/>
      <c r="F663" s="134">
        <v>0.78</v>
      </c>
      <c r="G663" s="135">
        <v>0.69</v>
      </c>
      <c r="H663" s="133">
        <v>2008</v>
      </c>
      <c r="I663" s="152" t="s">
        <v>5635</v>
      </c>
    </row>
    <row r="664" spans="1:9" ht="18.75" thickBot="1" x14ac:dyDescent="0.3">
      <c r="A664" s="133" t="str">
        <f t="shared" si="10"/>
        <v>135321R</v>
      </c>
      <c r="B664" s="133" t="s">
        <v>7017</v>
      </c>
      <c r="C664" s="133" t="s">
        <v>7018</v>
      </c>
      <c r="D664" s="133" t="s">
        <v>5504</v>
      </c>
      <c r="E664" s="134"/>
      <c r="F664" s="134">
        <v>0.56000000000000005</v>
      </c>
      <c r="G664" s="135">
        <v>0.5</v>
      </c>
      <c r="H664" s="133">
        <v>2014</v>
      </c>
      <c r="I664" s="152" t="s">
        <v>5768</v>
      </c>
    </row>
    <row r="665" spans="1:9" ht="18.75" thickBot="1" x14ac:dyDescent="0.3">
      <c r="A665" s="133" t="str">
        <f t="shared" si="10"/>
        <v>014318S</v>
      </c>
      <c r="B665" s="133" t="s">
        <v>7019</v>
      </c>
      <c r="C665" s="133" t="s">
        <v>7020</v>
      </c>
      <c r="D665" s="133" t="s">
        <v>5503</v>
      </c>
      <c r="E665" s="134"/>
      <c r="F665" s="134">
        <v>1.21</v>
      </c>
      <c r="G665" s="135">
        <v>1.08</v>
      </c>
      <c r="H665" s="133">
        <v>2024</v>
      </c>
      <c r="I665" s="152" t="s">
        <v>5625</v>
      </c>
    </row>
    <row r="666" spans="1:9" ht="18.75" thickBot="1" x14ac:dyDescent="0.3">
      <c r="A666" s="133" t="str">
        <f t="shared" si="10"/>
        <v>014321V</v>
      </c>
      <c r="B666" s="133" t="s">
        <v>7021</v>
      </c>
      <c r="C666" s="133" t="s">
        <v>7022</v>
      </c>
      <c r="D666" s="133" t="s">
        <v>24</v>
      </c>
      <c r="E666" s="134"/>
      <c r="F666" s="134" t="s">
        <v>5552</v>
      </c>
      <c r="G666" s="135">
        <v>2.88</v>
      </c>
      <c r="H666" s="133">
        <v>2023</v>
      </c>
      <c r="I666" s="152" t="s">
        <v>5566</v>
      </c>
    </row>
    <row r="667" spans="1:9" ht="18.75" thickBot="1" x14ac:dyDescent="0.3">
      <c r="A667" s="133" t="str">
        <f t="shared" si="10"/>
        <v>113559R</v>
      </c>
      <c r="B667" s="133" t="s">
        <v>7450</v>
      </c>
      <c r="C667" s="133" t="s">
        <v>7451</v>
      </c>
      <c r="D667" s="133" t="s">
        <v>26</v>
      </c>
      <c r="E667" s="134"/>
      <c r="F667" s="134">
        <v>1.84</v>
      </c>
      <c r="G667" s="135">
        <v>1.64</v>
      </c>
      <c r="H667" s="133">
        <v>2015</v>
      </c>
      <c r="I667" s="152" t="s">
        <v>5657</v>
      </c>
    </row>
    <row r="668" spans="1:9" ht="18.75" thickBot="1" x14ac:dyDescent="0.3">
      <c r="A668" s="133" t="str">
        <f t="shared" si="10"/>
        <v>122158K</v>
      </c>
      <c r="B668" s="133" t="s">
        <v>7027</v>
      </c>
      <c r="C668" s="133" t="s">
        <v>7028</v>
      </c>
      <c r="D668" s="133" t="s">
        <v>5503</v>
      </c>
      <c r="E668" s="134"/>
      <c r="F668" s="134">
        <v>1.02</v>
      </c>
      <c r="G668" s="135">
        <v>0.91</v>
      </c>
      <c r="H668" s="133">
        <v>2014</v>
      </c>
      <c r="I668" s="152" t="s">
        <v>5639</v>
      </c>
    </row>
    <row r="669" spans="1:9" ht="18" x14ac:dyDescent="0.25">
      <c r="A669" s="152" t="str">
        <f t="shared" si="10"/>
        <v>017665L</v>
      </c>
      <c r="B669" s="152" t="s">
        <v>7031</v>
      </c>
      <c r="C669" s="152" t="s">
        <v>7032</v>
      </c>
      <c r="D669" s="152" t="s">
        <v>5503</v>
      </c>
      <c r="E669" s="153"/>
      <c r="F669" s="153">
        <v>0.85</v>
      </c>
      <c r="G669" s="154">
        <v>0.76</v>
      </c>
      <c r="H669" s="152">
        <v>2014</v>
      </c>
      <c r="I669" s="152" t="s">
        <v>6229</v>
      </c>
    </row>
    <row r="670" spans="1:9" ht="18" x14ac:dyDescent="0.25">
      <c r="A670" s="152" t="str">
        <f t="shared" ref="A670:A689" si="11">SUBSTITUTE(B670,CHAR(32),"")</f>
        <v>014337L</v>
      </c>
      <c r="B670" s="152" t="s">
        <v>7033</v>
      </c>
      <c r="C670" s="152" t="s">
        <v>7034</v>
      </c>
      <c r="D670" s="152" t="s">
        <v>5503</v>
      </c>
      <c r="E670" s="153"/>
      <c r="F670" s="153">
        <v>1.34</v>
      </c>
      <c r="G670" s="154">
        <v>1.19</v>
      </c>
      <c r="H670" s="152">
        <v>2023</v>
      </c>
      <c r="I670" s="152" t="s">
        <v>5566</v>
      </c>
    </row>
    <row r="671" spans="1:9" ht="18" x14ac:dyDescent="0.25">
      <c r="A671" s="152" t="str">
        <f t="shared" si="11"/>
        <v>014339N</v>
      </c>
      <c r="B671" s="152" t="s">
        <v>7035</v>
      </c>
      <c r="C671" s="152" t="s">
        <v>7036</v>
      </c>
      <c r="D671" s="152" t="s">
        <v>5503</v>
      </c>
      <c r="E671" s="153"/>
      <c r="F671" s="153">
        <v>0.95</v>
      </c>
      <c r="G671" s="154">
        <v>0.84</v>
      </c>
      <c r="H671" s="152">
        <v>2016</v>
      </c>
      <c r="I671" s="152" t="s">
        <v>5587</v>
      </c>
    </row>
    <row r="672" spans="1:9" ht="18" x14ac:dyDescent="0.25">
      <c r="A672" s="152" t="str">
        <f t="shared" si="11"/>
        <v>121975J</v>
      </c>
      <c r="B672" s="152" t="s">
        <v>7037</v>
      </c>
      <c r="C672" s="152" t="s">
        <v>7038</v>
      </c>
      <c r="D672" s="152" t="s">
        <v>5503</v>
      </c>
      <c r="E672" s="153"/>
      <c r="F672" s="153">
        <v>1.29</v>
      </c>
      <c r="G672" s="154">
        <v>1.1399999999999999</v>
      </c>
      <c r="H672" s="152">
        <v>2015</v>
      </c>
      <c r="I672" s="152" t="s">
        <v>5573</v>
      </c>
    </row>
    <row r="673" spans="1:9" ht="18" x14ac:dyDescent="0.25">
      <c r="A673" s="152" t="str">
        <f t="shared" si="11"/>
        <v>113963F</v>
      </c>
      <c r="B673" s="152" t="s">
        <v>7041</v>
      </c>
      <c r="C673" s="152" t="s">
        <v>7042</v>
      </c>
      <c r="D673" s="152" t="s">
        <v>5504</v>
      </c>
      <c r="E673" s="153"/>
      <c r="F673" s="153">
        <v>0.87</v>
      </c>
      <c r="G673" s="154">
        <v>0.77</v>
      </c>
      <c r="H673" s="152">
        <v>2011</v>
      </c>
      <c r="I673" s="152" t="s">
        <v>5615</v>
      </c>
    </row>
    <row r="674" spans="1:9" ht="18" x14ac:dyDescent="0.25">
      <c r="A674" s="152" t="str">
        <f t="shared" si="11"/>
        <v>014348W</v>
      </c>
      <c r="B674" s="152" t="s">
        <v>7043</v>
      </c>
      <c r="C674" s="152" t="s">
        <v>7044</v>
      </c>
      <c r="D674" s="152" t="s">
        <v>5503</v>
      </c>
      <c r="E674" s="153"/>
      <c r="F674" s="153">
        <v>1.05</v>
      </c>
      <c r="G674" s="154">
        <v>0.94</v>
      </c>
      <c r="H674" s="152">
        <v>2021</v>
      </c>
      <c r="I674" s="152" t="s">
        <v>5735</v>
      </c>
    </row>
    <row r="675" spans="1:9" ht="18" x14ac:dyDescent="0.25">
      <c r="A675" s="152" t="str">
        <f t="shared" si="11"/>
        <v>168882S</v>
      </c>
      <c r="B675" s="152" t="s">
        <v>7045</v>
      </c>
      <c r="C675" s="152" t="s">
        <v>7046</v>
      </c>
      <c r="D675" s="152" t="s">
        <v>5503</v>
      </c>
      <c r="E675" s="153"/>
      <c r="F675" s="153">
        <v>1.45</v>
      </c>
      <c r="G675" s="154">
        <v>1.29</v>
      </c>
      <c r="H675" s="152">
        <v>2024</v>
      </c>
      <c r="I675" s="152" t="s">
        <v>5678</v>
      </c>
    </row>
    <row r="676" spans="1:9" ht="18" x14ac:dyDescent="0.25">
      <c r="A676" s="152" t="str">
        <f t="shared" si="11"/>
        <v>136062E</v>
      </c>
      <c r="B676" s="152" t="s">
        <v>7452</v>
      </c>
      <c r="C676" s="152" t="s">
        <v>7453</v>
      </c>
      <c r="D676" s="152" t="s">
        <v>5503</v>
      </c>
      <c r="E676" s="153"/>
      <c r="F676" s="153">
        <v>1.08</v>
      </c>
      <c r="G676" s="154">
        <v>0.96</v>
      </c>
      <c r="H676" s="152">
        <v>2020</v>
      </c>
      <c r="I676" s="152" t="s">
        <v>5912</v>
      </c>
    </row>
    <row r="677" spans="1:9" ht="18" x14ac:dyDescent="0.25">
      <c r="A677" s="152" t="str">
        <f t="shared" si="11"/>
        <v>182166G</v>
      </c>
      <c r="B677" s="152" t="s">
        <v>8594</v>
      </c>
      <c r="C677" s="152" t="s">
        <v>8595</v>
      </c>
      <c r="D677" s="152" t="s">
        <v>5704</v>
      </c>
      <c r="E677" s="153"/>
      <c r="F677" s="153">
        <v>0.68</v>
      </c>
      <c r="G677" s="154">
        <v>0.6</v>
      </c>
      <c r="H677" s="152">
        <v>2024</v>
      </c>
      <c r="I677" s="152" t="s">
        <v>5582</v>
      </c>
    </row>
    <row r="678" spans="1:9" ht="18" x14ac:dyDescent="0.25">
      <c r="A678" s="152" t="str">
        <f t="shared" si="11"/>
        <v>120852E</v>
      </c>
      <c r="B678" s="152" t="s">
        <v>7049</v>
      </c>
      <c r="C678" s="152" t="s">
        <v>7050</v>
      </c>
      <c r="D678" s="152" t="s">
        <v>5503</v>
      </c>
      <c r="E678" s="153"/>
      <c r="F678" s="153">
        <v>1.03</v>
      </c>
      <c r="G678" s="154">
        <v>0.92</v>
      </c>
      <c r="H678" s="152">
        <v>2015</v>
      </c>
      <c r="I678" s="152" t="s">
        <v>5657</v>
      </c>
    </row>
    <row r="679" spans="1:9" ht="18" x14ac:dyDescent="0.25">
      <c r="A679" s="152" t="str">
        <f t="shared" si="11"/>
        <v>142325B</v>
      </c>
      <c r="B679" s="152" t="s">
        <v>7454</v>
      </c>
      <c r="C679" s="152" t="s">
        <v>7455</v>
      </c>
      <c r="D679" s="152" t="s">
        <v>5503</v>
      </c>
      <c r="E679" s="153"/>
      <c r="F679" s="153">
        <v>1.03</v>
      </c>
      <c r="G679" s="154">
        <v>0.91</v>
      </c>
      <c r="H679" s="152">
        <v>2020</v>
      </c>
      <c r="I679" s="152" t="s">
        <v>5912</v>
      </c>
    </row>
    <row r="680" spans="1:9" ht="18" x14ac:dyDescent="0.25">
      <c r="A680" s="152" t="str">
        <f t="shared" si="11"/>
        <v>014354C</v>
      </c>
      <c r="B680" s="152" t="s">
        <v>7055</v>
      </c>
      <c r="C680" s="152" t="s">
        <v>7056</v>
      </c>
      <c r="D680" s="152" t="s">
        <v>5504</v>
      </c>
      <c r="E680" s="153"/>
      <c r="F680" s="153">
        <v>0.64</v>
      </c>
      <c r="G680" s="154">
        <v>0.56999999999999995</v>
      </c>
      <c r="H680" s="152">
        <v>2017</v>
      </c>
      <c r="I680" s="152" t="s">
        <v>5635</v>
      </c>
    </row>
    <row r="681" spans="1:9" ht="18" x14ac:dyDescent="0.25">
      <c r="A681" s="152" t="str">
        <f t="shared" si="11"/>
        <v>020532S</v>
      </c>
      <c r="B681" s="152" t="s">
        <v>7059</v>
      </c>
      <c r="C681" s="152" t="s">
        <v>7060</v>
      </c>
      <c r="D681" s="152" t="s">
        <v>24</v>
      </c>
      <c r="E681" s="153"/>
      <c r="F681" s="153" t="s">
        <v>5552</v>
      </c>
      <c r="G681" s="154">
        <v>2.63</v>
      </c>
      <c r="H681" s="152">
        <v>2023</v>
      </c>
      <c r="I681" s="152" t="s">
        <v>5553</v>
      </c>
    </row>
    <row r="682" spans="1:9" ht="18" x14ac:dyDescent="0.25">
      <c r="A682" s="152" t="str">
        <f t="shared" si="11"/>
        <v>140068G</v>
      </c>
      <c r="B682" s="152" t="s">
        <v>7063</v>
      </c>
      <c r="C682" s="152" t="s">
        <v>7064</v>
      </c>
      <c r="D682" s="152" t="s">
        <v>5504</v>
      </c>
      <c r="E682" s="153"/>
      <c r="F682" s="153">
        <v>0.94</v>
      </c>
      <c r="G682" s="154">
        <v>0.83</v>
      </c>
      <c r="H682" s="152">
        <v>2017</v>
      </c>
      <c r="I682" s="152" t="s">
        <v>5635</v>
      </c>
    </row>
    <row r="683" spans="1:9" ht="18" x14ac:dyDescent="0.25">
      <c r="A683" s="152" t="str">
        <f t="shared" si="11"/>
        <v>162785Q</v>
      </c>
      <c r="B683" s="152" t="s">
        <v>7067</v>
      </c>
      <c r="C683" s="152" t="s">
        <v>7068</v>
      </c>
      <c r="D683" s="152" t="s">
        <v>5503</v>
      </c>
      <c r="E683" s="153"/>
      <c r="F683" s="153">
        <v>1.41</v>
      </c>
      <c r="G683" s="154">
        <v>1.25</v>
      </c>
      <c r="H683" s="152">
        <v>2023</v>
      </c>
      <c r="I683" s="152" t="s">
        <v>5553</v>
      </c>
    </row>
    <row r="684" spans="1:9" ht="18" x14ac:dyDescent="0.25">
      <c r="A684" s="152" t="str">
        <f t="shared" si="11"/>
        <v>168279M</v>
      </c>
      <c r="B684" s="152" t="s">
        <v>7456</v>
      </c>
      <c r="C684" s="152" t="s">
        <v>7457</v>
      </c>
      <c r="D684" s="152" t="s">
        <v>5504</v>
      </c>
      <c r="E684" s="153"/>
      <c r="F684" s="153">
        <v>0.41</v>
      </c>
      <c r="G684" s="154">
        <v>0.37</v>
      </c>
      <c r="H684" s="152">
        <v>2022</v>
      </c>
      <c r="I684" s="152" t="s">
        <v>5556</v>
      </c>
    </row>
    <row r="685" spans="1:9" ht="18" x14ac:dyDescent="0.25">
      <c r="A685" s="152" t="str">
        <f t="shared" si="11"/>
        <v>177291H</v>
      </c>
      <c r="B685" s="152" t="s">
        <v>8098</v>
      </c>
      <c r="C685" s="152" t="s">
        <v>7457</v>
      </c>
      <c r="D685" s="152" t="s">
        <v>5704</v>
      </c>
      <c r="E685" s="153"/>
      <c r="F685" s="153">
        <v>0.41</v>
      </c>
      <c r="G685" s="154">
        <v>0.36</v>
      </c>
      <c r="H685" s="152">
        <v>2024</v>
      </c>
      <c r="I685" s="152" t="s">
        <v>5768</v>
      </c>
    </row>
    <row r="686" spans="1:9" ht="18" x14ac:dyDescent="0.25">
      <c r="A686" s="152" t="str">
        <f t="shared" si="11"/>
        <v>159110W</v>
      </c>
      <c r="B686" s="152" t="s">
        <v>7458</v>
      </c>
      <c r="C686" s="152" t="s">
        <v>7459</v>
      </c>
      <c r="D686" s="152" t="s">
        <v>5504</v>
      </c>
      <c r="E686" s="153"/>
      <c r="F686" s="153">
        <v>0.51</v>
      </c>
      <c r="G686" s="154">
        <v>0.45</v>
      </c>
      <c r="H686" s="152">
        <v>2024</v>
      </c>
      <c r="I686" s="152" t="s">
        <v>5912</v>
      </c>
    </row>
    <row r="687" spans="1:9" ht="18" x14ac:dyDescent="0.25">
      <c r="A687" s="152" t="str">
        <f t="shared" si="11"/>
        <v>154638K</v>
      </c>
      <c r="B687" s="152" t="s">
        <v>7460</v>
      </c>
      <c r="C687" s="152" t="s">
        <v>7461</v>
      </c>
      <c r="D687" s="152" t="s">
        <v>5503</v>
      </c>
      <c r="E687" s="153"/>
      <c r="F687" s="153">
        <v>1.06</v>
      </c>
      <c r="G687" s="154">
        <v>0.94</v>
      </c>
      <c r="H687" s="152">
        <v>2018</v>
      </c>
      <c r="I687" s="152" t="s">
        <v>5559</v>
      </c>
    </row>
    <row r="688" spans="1:9" ht="18" x14ac:dyDescent="0.25">
      <c r="A688" s="152" t="str">
        <f t="shared" si="11"/>
        <v>014360I</v>
      </c>
      <c r="B688" s="152" t="s">
        <v>7069</v>
      </c>
      <c r="C688" s="152" t="s">
        <v>7070</v>
      </c>
      <c r="D688" s="152" t="s">
        <v>5503</v>
      </c>
      <c r="E688" s="153"/>
      <c r="F688" s="153">
        <v>0.87</v>
      </c>
      <c r="G688" s="154">
        <v>0.78</v>
      </c>
      <c r="H688" s="152">
        <v>2020</v>
      </c>
      <c r="I688" s="152" t="s">
        <v>5912</v>
      </c>
    </row>
    <row r="689" spans="1:9" ht="18.75" thickBot="1" x14ac:dyDescent="0.3">
      <c r="A689" s="133" t="str">
        <f t="shared" si="11"/>
        <v>014364M</v>
      </c>
      <c r="B689" s="133" t="s">
        <v>7071</v>
      </c>
      <c r="C689" s="133" t="s">
        <v>7072</v>
      </c>
      <c r="D689" s="133" t="s">
        <v>5562</v>
      </c>
      <c r="E689" s="134"/>
      <c r="F689" s="134">
        <v>1.68</v>
      </c>
      <c r="G689" s="135">
        <v>1.5</v>
      </c>
      <c r="H689" s="133">
        <v>2024</v>
      </c>
      <c r="I689" s="152" t="s">
        <v>5630</v>
      </c>
    </row>
  </sheetData>
  <sheetProtection algorithmName="SHA-512" hashValue="mVd0gOIVztLEZOU1xBD6E1svMdsYHApEv9Th/XmI6ANPLiWceCzBFg9mtkRx1Hfc3QPm5q8/dZIWQmf6Bbd8Wg==" saltValue="q+kE1YhCPF4APd39MGb27A==" spinCount="100000" sheet="1" objects="1" scenarios="1"/>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184B8-7AFE-4B02-B29E-C9604964BC17}">
  <sheetPr codeName="Feuil14"/>
  <dimension ref="A1:I766"/>
  <sheetViews>
    <sheetView topLeftCell="A722" workbookViewId="0">
      <selection activeCell="O765" sqref="O765"/>
    </sheetView>
  </sheetViews>
  <sheetFormatPr baseColWidth="10" defaultRowHeight="15" x14ac:dyDescent="0.25"/>
  <cols>
    <col min="2" max="2" width="13.42578125" bestFit="1" customWidth="1"/>
    <col min="3" max="3" width="44" bestFit="1" customWidth="1"/>
    <col min="4" max="5" width="11.85546875" customWidth="1"/>
    <col min="6" max="7" width="16.42578125" customWidth="1"/>
  </cols>
  <sheetData>
    <row r="1" spans="1:9" ht="15.75" thickBot="1" x14ac:dyDescent="0.3">
      <c r="A1" t="s">
        <v>27</v>
      </c>
      <c r="B1" s="130" t="s">
        <v>5545</v>
      </c>
      <c r="C1" s="130" t="s">
        <v>5546</v>
      </c>
      <c r="D1" s="130" t="s">
        <v>5512</v>
      </c>
      <c r="E1" s="130" t="s">
        <v>8596</v>
      </c>
      <c r="F1" s="131" t="s">
        <v>5547</v>
      </c>
      <c r="G1" s="131" t="s">
        <v>5548</v>
      </c>
      <c r="H1" s="132" t="s">
        <v>5549</v>
      </c>
      <c r="I1" s="130" t="s">
        <v>10</v>
      </c>
    </row>
    <row r="2" spans="1:9" ht="18.75" thickBot="1" x14ac:dyDescent="0.3">
      <c r="A2" t="str">
        <f>SUBSTITUTE(B2,CHAR(32),"")</f>
        <v>012385J</v>
      </c>
      <c r="B2" s="133" t="s">
        <v>5550</v>
      </c>
      <c r="C2" s="133" t="s">
        <v>5551</v>
      </c>
      <c r="D2" s="441" t="s">
        <v>24</v>
      </c>
      <c r="E2" s="133"/>
      <c r="F2" s="134" t="s">
        <v>5552</v>
      </c>
      <c r="G2" s="134">
        <v>0.76400000000000001</v>
      </c>
      <c r="H2" s="135">
        <v>2024</v>
      </c>
      <c r="I2" s="133" t="s">
        <v>5553</v>
      </c>
    </row>
    <row r="3" spans="1:9" ht="18.75" thickBot="1" x14ac:dyDescent="0.3">
      <c r="A3" t="str">
        <f t="shared" ref="A3:A66" si="0">SUBSTITUTE(B3,CHAR(32),"")</f>
        <v>153675N</v>
      </c>
      <c r="B3" s="133" t="s">
        <v>5554</v>
      </c>
      <c r="C3" s="133" t="s">
        <v>5555</v>
      </c>
      <c r="D3" s="441" t="s">
        <v>5562</v>
      </c>
      <c r="E3" s="133"/>
      <c r="F3" s="134">
        <v>0.32</v>
      </c>
      <c r="G3" s="134">
        <v>0.27600000000000002</v>
      </c>
      <c r="H3" s="135">
        <v>2024</v>
      </c>
      <c r="I3" s="133" t="s">
        <v>5556</v>
      </c>
    </row>
    <row r="4" spans="1:9" ht="18.75" thickBot="1" x14ac:dyDescent="0.3">
      <c r="A4" t="str">
        <f t="shared" si="0"/>
        <v>141158E</v>
      </c>
      <c r="B4" s="133" t="s">
        <v>5557</v>
      </c>
      <c r="C4" s="133" t="s">
        <v>5558</v>
      </c>
      <c r="D4" s="441" t="s">
        <v>26</v>
      </c>
      <c r="E4" s="133"/>
      <c r="F4" s="134">
        <v>0.27700000000000002</v>
      </c>
      <c r="G4" s="134">
        <v>0.23799999999999999</v>
      </c>
      <c r="H4" s="135">
        <v>2020</v>
      </c>
      <c r="I4" s="133" t="s">
        <v>5559</v>
      </c>
    </row>
    <row r="5" spans="1:9" ht="18.75" thickBot="1" x14ac:dyDescent="0.3">
      <c r="A5" t="str">
        <f t="shared" si="0"/>
        <v>012401Z</v>
      </c>
      <c r="B5" s="133" t="s">
        <v>5560</v>
      </c>
      <c r="C5" s="133" t="s">
        <v>5561</v>
      </c>
      <c r="D5" s="441" t="s">
        <v>26</v>
      </c>
      <c r="E5" s="133"/>
      <c r="F5" s="134">
        <v>0.40500000000000003</v>
      </c>
      <c r="G5" s="134">
        <v>0.34799999999999998</v>
      </c>
      <c r="H5" s="135">
        <v>2024</v>
      </c>
      <c r="I5" s="133" t="s">
        <v>5563</v>
      </c>
    </row>
    <row r="6" spans="1:9" ht="18.75" thickBot="1" x14ac:dyDescent="0.3">
      <c r="A6" t="str">
        <f t="shared" si="0"/>
        <v>012402A</v>
      </c>
      <c r="B6" s="133" t="s">
        <v>5564</v>
      </c>
      <c r="C6" s="133" t="s">
        <v>5565</v>
      </c>
      <c r="D6" s="441" t="s">
        <v>24</v>
      </c>
      <c r="E6" s="133"/>
      <c r="F6" s="134" t="s">
        <v>5552</v>
      </c>
      <c r="G6" s="134">
        <v>0.60399999999999998</v>
      </c>
      <c r="H6" s="135">
        <v>2013</v>
      </c>
      <c r="I6" s="133" t="s">
        <v>5566</v>
      </c>
    </row>
    <row r="7" spans="1:9" ht="18.75" thickBot="1" x14ac:dyDescent="0.3">
      <c r="A7" t="str">
        <f t="shared" si="0"/>
        <v>012403B</v>
      </c>
      <c r="B7" s="133" t="s">
        <v>5567</v>
      </c>
      <c r="C7" s="133" t="s">
        <v>5568</v>
      </c>
      <c r="D7" s="441" t="s">
        <v>26</v>
      </c>
      <c r="E7" s="133"/>
      <c r="F7" s="134">
        <v>0.438</v>
      </c>
      <c r="G7" s="134">
        <v>0.377</v>
      </c>
      <c r="H7" s="135">
        <v>2022</v>
      </c>
      <c r="I7" s="133" t="s">
        <v>5566</v>
      </c>
    </row>
    <row r="8" spans="1:9" ht="18.75" thickBot="1" x14ac:dyDescent="0.3">
      <c r="A8" t="str">
        <f t="shared" si="0"/>
        <v>155854G</v>
      </c>
      <c r="B8" s="133" t="s">
        <v>5569</v>
      </c>
      <c r="C8" s="133" t="s">
        <v>5570</v>
      </c>
      <c r="D8" s="441" t="s">
        <v>26</v>
      </c>
      <c r="E8" s="133"/>
      <c r="F8" s="134">
        <v>0.49</v>
      </c>
      <c r="G8" s="134">
        <v>0.42099999999999999</v>
      </c>
      <c r="H8" s="135">
        <v>2024</v>
      </c>
      <c r="I8" s="133" t="s">
        <v>5563</v>
      </c>
    </row>
    <row r="9" spans="1:9" ht="18.75" thickBot="1" x14ac:dyDescent="0.3">
      <c r="A9" t="str">
        <f t="shared" si="0"/>
        <v>126763N</v>
      </c>
      <c r="B9" s="133" t="s">
        <v>5571</v>
      </c>
      <c r="C9" s="133" t="s">
        <v>5572</v>
      </c>
      <c r="D9" s="441" t="s">
        <v>26</v>
      </c>
      <c r="E9" s="133"/>
      <c r="F9" s="134">
        <v>0.39800000000000002</v>
      </c>
      <c r="G9" s="134">
        <v>0.34200000000000003</v>
      </c>
      <c r="H9" s="135">
        <v>2012</v>
      </c>
      <c r="I9" s="133" t="s">
        <v>5573</v>
      </c>
    </row>
    <row r="10" spans="1:9" ht="18.75" thickBot="1" x14ac:dyDescent="0.3">
      <c r="A10" t="str">
        <f t="shared" si="0"/>
        <v>012406E</v>
      </c>
      <c r="B10" s="133" t="s">
        <v>5574</v>
      </c>
      <c r="C10" s="133" t="s">
        <v>5575</v>
      </c>
      <c r="D10" s="441" t="s">
        <v>26</v>
      </c>
      <c r="E10" s="133"/>
      <c r="F10" s="134">
        <v>0.442</v>
      </c>
      <c r="G10" s="134">
        <v>0.38</v>
      </c>
      <c r="H10" s="135">
        <v>2019</v>
      </c>
      <c r="I10" s="133" t="s">
        <v>5559</v>
      </c>
    </row>
    <row r="11" spans="1:9" ht="18.75" thickBot="1" x14ac:dyDescent="0.3">
      <c r="A11" t="str">
        <f t="shared" si="0"/>
        <v>012410I</v>
      </c>
      <c r="B11" s="133" t="s">
        <v>5576</v>
      </c>
      <c r="C11" s="133" t="s">
        <v>5577</v>
      </c>
      <c r="D11" s="441" t="s">
        <v>5503</v>
      </c>
      <c r="E11" s="133"/>
      <c r="F11" s="134">
        <v>0.21299999999999999</v>
      </c>
      <c r="G11" s="134">
        <v>0.183</v>
      </c>
      <c r="H11" s="135">
        <v>2016</v>
      </c>
      <c r="I11" s="133" t="s">
        <v>5553</v>
      </c>
    </row>
    <row r="12" spans="1:9" ht="18.75" thickBot="1" x14ac:dyDescent="0.3">
      <c r="A12" t="str">
        <f t="shared" si="0"/>
        <v>120146A</v>
      </c>
      <c r="B12" s="133" t="s">
        <v>5578</v>
      </c>
      <c r="C12" s="133" t="s">
        <v>5579</v>
      </c>
      <c r="D12" s="441" t="s">
        <v>5503</v>
      </c>
      <c r="E12" s="133"/>
      <c r="F12" s="134">
        <v>0.23599999999999999</v>
      </c>
      <c r="G12" s="134">
        <v>0.20300000000000001</v>
      </c>
      <c r="H12" s="135">
        <v>2024</v>
      </c>
      <c r="I12" s="133" t="s">
        <v>5566</v>
      </c>
    </row>
    <row r="13" spans="1:9" ht="18.75" thickBot="1" x14ac:dyDescent="0.3">
      <c r="A13" t="str">
        <f t="shared" si="0"/>
        <v>147571D</v>
      </c>
      <c r="B13" s="133" t="s">
        <v>5580</v>
      </c>
      <c r="C13" s="133" t="s">
        <v>5581</v>
      </c>
      <c r="D13" s="441" t="s">
        <v>5503</v>
      </c>
      <c r="E13" s="133"/>
      <c r="F13" s="134">
        <v>0.29399999999999998</v>
      </c>
      <c r="G13" s="134">
        <v>0.253</v>
      </c>
      <c r="H13" s="135">
        <v>2016</v>
      </c>
      <c r="I13" s="133" t="s">
        <v>5582</v>
      </c>
    </row>
    <row r="14" spans="1:9" ht="18.75" thickBot="1" x14ac:dyDescent="0.3">
      <c r="A14" t="str">
        <f t="shared" si="0"/>
        <v>148652D</v>
      </c>
      <c r="B14" s="133" t="s">
        <v>5583</v>
      </c>
      <c r="C14" s="133" t="s">
        <v>5584</v>
      </c>
      <c r="D14" s="441" t="s">
        <v>25</v>
      </c>
      <c r="E14" s="133"/>
      <c r="F14" s="134" t="s">
        <v>5552</v>
      </c>
      <c r="G14" s="134">
        <v>0.54700000000000004</v>
      </c>
      <c r="H14" s="135">
        <v>2024</v>
      </c>
      <c r="I14" s="133" t="s">
        <v>5566</v>
      </c>
    </row>
    <row r="15" spans="1:9" ht="18.75" thickBot="1" x14ac:dyDescent="0.3">
      <c r="A15" t="str">
        <f t="shared" si="0"/>
        <v>012432E</v>
      </c>
      <c r="B15" s="133" t="s">
        <v>5585</v>
      </c>
      <c r="C15" s="133" t="s">
        <v>5586</v>
      </c>
      <c r="D15" s="441" t="s">
        <v>24</v>
      </c>
      <c r="E15" s="133"/>
      <c r="F15" s="134" t="s">
        <v>5552</v>
      </c>
      <c r="G15" s="134">
        <v>0.79400000000000004</v>
      </c>
      <c r="H15" s="135">
        <v>2019</v>
      </c>
      <c r="I15" s="133" t="s">
        <v>5587</v>
      </c>
    </row>
    <row r="16" spans="1:9" ht="18.75" thickBot="1" x14ac:dyDescent="0.3">
      <c r="A16" t="str">
        <f t="shared" si="0"/>
        <v>012435H</v>
      </c>
      <c r="B16" s="133" t="s">
        <v>5588</v>
      </c>
      <c r="C16" s="133" t="s">
        <v>5589</v>
      </c>
      <c r="D16" s="441" t="s">
        <v>26</v>
      </c>
      <c r="E16" s="133"/>
      <c r="F16" s="134">
        <v>0.376</v>
      </c>
      <c r="G16" s="134">
        <v>0.32300000000000001</v>
      </c>
      <c r="H16" s="135">
        <v>2024</v>
      </c>
      <c r="I16" s="133" t="s">
        <v>5553</v>
      </c>
    </row>
    <row r="17" spans="1:9" ht="18.75" thickBot="1" x14ac:dyDescent="0.3">
      <c r="A17" t="str">
        <f t="shared" si="0"/>
        <v>105582W</v>
      </c>
      <c r="B17" s="133" t="s">
        <v>5590</v>
      </c>
      <c r="C17" s="133" t="s">
        <v>5591</v>
      </c>
      <c r="D17" s="441" t="s">
        <v>5503</v>
      </c>
      <c r="E17" s="133"/>
      <c r="F17" s="134">
        <v>0.25</v>
      </c>
      <c r="G17" s="134">
        <v>0.215</v>
      </c>
      <c r="H17" s="135">
        <v>2010</v>
      </c>
      <c r="I17" s="133" t="s">
        <v>5587</v>
      </c>
    </row>
    <row r="18" spans="1:9" ht="18.75" thickBot="1" x14ac:dyDescent="0.3">
      <c r="A18" t="str">
        <f t="shared" si="0"/>
        <v>012438K</v>
      </c>
      <c r="B18" s="133" t="s">
        <v>5592</v>
      </c>
      <c r="C18" s="133" t="s">
        <v>5593</v>
      </c>
      <c r="D18" s="441" t="s">
        <v>6025</v>
      </c>
      <c r="E18" s="133"/>
      <c r="F18" s="134" t="s">
        <v>5552</v>
      </c>
      <c r="G18" s="134">
        <v>0.50600000000000001</v>
      </c>
      <c r="H18" s="135">
        <v>2024</v>
      </c>
      <c r="I18" s="133" t="s">
        <v>5594</v>
      </c>
    </row>
    <row r="19" spans="1:9" ht="18.75" thickBot="1" x14ac:dyDescent="0.3">
      <c r="A19" t="str">
        <f t="shared" si="0"/>
        <v>170920H</v>
      </c>
      <c r="B19" s="133" t="s">
        <v>5595</v>
      </c>
      <c r="C19" s="133" t="s">
        <v>5596</v>
      </c>
      <c r="D19" s="441" t="s">
        <v>5503</v>
      </c>
      <c r="E19" s="133"/>
      <c r="F19" s="134">
        <v>0.29199999999999998</v>
      </c>
      <c r="G19" s="134">
        <v>0.251</v>
      </c>
      <c r="H19" s="135">
        <v>2024</v>
      </c>
      <c r="I19" s="133" t="s">
        <v>5598</v>
      </c>
    </row>
    <row r="20" spans="1:9" ht="18.75" thickBot="1" x14ac:dyDescent="0.3">
      <c r="A20" t="str">
        <f t="shared" si="0"/>
        <v>142400Y</v>
      </c>
      <c r="B20" s="133" t="s">
        <v>5599</v>
      </c>
      <c r="C20" s="133" t="s">
        <v>5600</v>
      </c>
      <c r="D20" s="441" t="s">
        <v>5503</v>
      </c>
      <c r="E20" s="133"/>
      <c r="F20" s="134">
        <v>0.29099999999999998</v>
      </c>
      <c r="G20" s="134">
        <v>0.25</v>
      </c>
      <c r="H20" s="135">
        <v>2017</v>
      </c>
      <c r="I20" s="133" t="s">
        <v>5601</v>
      </c>
    </row>
    <row r="21" spans="1:9" ht="18.75" thickBot="1" x14ac:dyDescent="0.3">
      <c r="A21" t="str">
        <f t="shared" si="0"/>
        <v>103242W</v>
      </c>
      <c r="B21" s="133" t="s">
        <v>5602</v>
      </c>
      <c r="C21" s="133" t="s">
        <v>5603</v>
      </c>
      <c r="D21" s="441" t="s">
        <v>26</v>
      </c>
      <c r="E21" s="133"/>
      <c r="F21" s="134">
        <v>0.46899999999999997</v>
      </c>
      <c r="G21" s="134">
        <v>0.40300000000000002</v>
      </c>
      <c r="H21" s="135">
        <v>2009</v>
      </c>
      <c r="I21" s="133" t="s">
        <v>5566</v>
      </c>
    </row>
    <row r="22" spans="1:9" ht="18.75" thickBot="1" x14ac:dyDescent="0.3">
      <c r="A22" t="str">
        <f t="shared" si="0"/>
        <v>143412W</v>
      </c>
      <c r="B22" s="133" t="s">
        <v>5604</v>
      </c>
      <c r="C22" s="133" t="s">
        <v>5605</v>
      </c>
      <c r="D22" s="441" t="s">
        <v>5504</v>
      </c>
      <c r="E22" s="133"/>
      <c r="F22" s="134">
        <v>0.215</v>
      </c>
      <c r="G22" s="134">
        <v>0.185</v>
      </c>
      <c r="H22" s="135">
        <v>2012</v>
      </c>
      <c r="I22" s="133" t="s">
        <v>5598</v>
      </c>
    </row>
    <row r="23" spans="1:9" ht="18.75" thickBot="1" x14ac:dyDescent="0.3">
      <c r="A23" t="str">
        <f t="shared" si="0"/>
        <v>012441N</v>
      </c>
      <c r="B23" s="133" t="s">
        <v>5606</v>
      </c>
      <c r="C23" s="133" t="s">
        <v>5607</v>
      </c>
      <c r="D23" s="441" t="s">
        <v>5503</v>
      </c>
      <c r="E23" s="133"/>
      <c r="F23" s="134">
        <v>0.28799999999999998</v>
      </c>
      <c r="G23" s="134">
        <v>0.248</v>
      </c>
      <c r="H23" s="135">
        <v>2008</v>
      </c>
      <c r="I23" s="133" t="s">
        <v>5608</v>
      </c>
    </row>
    <row r="24" spans="1:9" ht="18.75" thickBot="1" x14ac:dyDescent="0.3">
      <c r="A24" t="str">
        <f t="shared" si="0"/>
        <v>150616N</v>
      </c>
      <c r="B24" s="133" t="s">
        <v>5609</v>
      </c>
      <c r="C24" s="133" t="s">
        <v>5610</v>
      </c>
      <c r="D24" s="441" t="s">
        <v>25</v>
      </c>
      <c r="E24" s="133"/>
      <c r="F24" s="134" t="s">
        <v>5552</v>
      </c>
      <c r="G24" s="134">
        <v>0.51400000000000001</v>
      </c>
      <c r="H24" s="135">
        <v>2015</v>
      </c>
      <c r="I24" s="133" t="s">
        <v>5601</v>
      </c>
    </row>
    <row r="25" spans="1:9" ht="18.75" thickBot="1" x14ac:dyDescent="0.3">
      <c r="A25" t="str">
        <f t="shared" si="0"/>
        <v>110666K</v>
      </c>
      <c r="B25" s="133" t="s">
        <v>5611</v>
      </c>
      <c r="C25" s="133" t="s">
        <v>5612</v>
      </c>
      <c r="D25" s="441" t="s">
        <v>5504</v>
      </c>
      <c r="E25" s="133"/>
      <c r="F25" s="134">
        <v>0.192</v>
      </c>
      <c r="G25" s="134">
        <v>0.16500000000000001</v>
      </c>
      <c r="H25" s="135">
        <v>2008</v>
      </c>
      <c r="I25" s="133" t="s">
        <v>5587</v>
      </c>
    </row>
    <row r="26" spans="1:9" ht="18.75" thickBot="1" x14ac:dyDescent="0.3">
      <c r="A26" t="str">
        <f t="shared" si="0"/>
        <v>125423Z</v>
      </c>
      <c r="B26" s="133" t="s">
        <v>5613</v>
      </c>
      <c r="C26" s="133" t="s">
        <v>5614</v>
      </c>
      <c r="D26" s="441" t="s">
        <v>25</v>
      </c>
      <c r="E26" s="133"/>
      <c r="F26" s="134" t="s">
        <v>5552</v>
      </c>
      <c r="G26" s="134">
        <v>0.496</v>
      </c>
      <c r="H26" s="135">
        <v>2012</v>
      </c>
      <c r="I26" s="133" t="s">
        <v>5615</v>
      </c>
    </row>
    <row r="27" spans="1:9" ht="18.75" thickBot="1" x14ac:dyDescent="0.3">
      <c r="A27" t="str">
        <f t="shared" si="0"/>
        <v>110992Y</v>
      </c>
      <c r="B27" s="133" t="s">
        <v>5616</v>
      </c>
      <c r="C27" s="133" t="s">
        <v>5617</v>
      </c>
      <c r="D27" s="441" t="s">
        <v>5638</v>
      </c>
      <c r="E27" s="133"/>
      <c r="F27" s="134" t="s">
        <v>5552</v>
      </c>
      <c r="G27" s="134">
        <v>0.43099999999999999</v>
      </c>
      <c r="H27" s="135">
        <v>2024</v>
      </c>
      <c r="I27" s="133" t="s">
        <v>5559</v>
      </c>
    </row>
    <row r="28" spans="1:9" ht="18.75" thickBot="1" x14ac:dyDescent="0.3">
      <c r="A28" t="str">
        <f t="shared" si="0"/>
        <v>012444Q</v>
      </c>
      <c r="B28" s="133" t="s">
        <v>5618</v>
      </c>
      <c r="C28" s="133" t="s">
        <v>5619</v>
      </c>
      <c r="D28" s="441" t="s">
        <v>5704</v>
      </c>
      <c r="E28" s="133"/>
      <c r="F28" s="134">
        <v>0.23799999999999999</v>
      </c>
      <c r="G28" s="134">
        <v>0.20399999999999999</v>
      </c>
      <c r="H28" s="135">
        <v>2024</v>
      </c>
      <c r="I28" s="133" t="s">
        <v>5615</v>
      </c>
    </row>
    <row r="29" spans="1:9" ht="18.75" thickBot="1" x14ac:dyDescent="0.3">
      <c r="A29" t="str">
        <f t="shared" si="0"/>
        <v>145594U</v>
      </c>
      <c r="B29" s="133" t="s">
        <v>5620</v>
      </c>
      <c r="C29" s="133" t="s">
        <v>5621</v>
      </c>
      <c r="D29" s="441" t="s">
        <v>26</v>
      </c>
      <c r="E29" s="133"/>
      <c r="F29" s="134">
        <v>0.38200000000000001</v>
      </c>
      <c r="G29" s="134">
        <v>0.32800000000000001</v>
      </c>
      <c r="H29" s="135">
        <v>2013</v>
      </c>
      <c r="I29" s="133" t="s">
        <v>5622</v>
      </c>
    </row>
    <row r="30" spans="1:9" ht="18.75" thickBot="1" x14ac:dyDescent="0.3">
      <c r="A30" t="str">
        <f t="shared" si="0"/>
        <v>162414M</v>
      </c>
      <c r="B30" s="133" t="s">
        <v>5623</v>
      </c>
      <c r="C30" s="133" t="s">
        <v>5624</v>
      </c>
      <c r="D30" s="441" t="s">
        <v>26</v>
      </c>
      <c r="E30" s="133"/>
      <c r="F30" s="134">
        <v>0.41199999999999998</v>
      </c>
      <c r="G30" s="134">
        <v>0.35499999999999998</v>
      </c>
      <c r="H30" s="135">
        <v>2023</v>
      </c>
      <c r="I30" s="133" t="s">
        <v>5625</v>
      </c>
    </row>
    <row r="31" spans="1:9" ht="18.75" thickBot="1" x14ac:dyDescent="0.3">
      <c r="A31" t="str">
        <f t="shared" si="0"/>
        <v>103412K</v>
      </c>
      <c r="B31" s="133" t="s">
        <v>5626</v>
      </c>
      <c r="C31" s="133" t="s">
        <v>5627</v>
      </c>
      <c r="D31" s="441" t="s">
        <v>25</v>
      </c>
      <c r="E31" s="133"/>
      <c r="F31" s="134" t="s">
        <v>5552</v>
      </c>
      <c r="G31" s="134">
        <v>0.47299999999999998</v>
      </c>
      <c r="H31" s="135">
        <v>2024</v>
      </c>
      <c r="I31" s="133" t="s">
        <v>5587</v>
      </c>
    </row>
    <row r="32" spans="1:9" ht="18.75" thickBot="1" x14ac:dyDescent="0.3">
      <c r="A32" t="str">
        <f t="shared" si="0"/>
        <v>012453Z</v>
      </c>
      <c r="B32" s="133" t="s">
        <v>5628</v>
      </c>
      <c r="C32" s="133" t="s">
        <v>5629</v>
      </c>
      <c r="D32" s="441" t="s">
        <v>5503</v>
      </c>
      <c r="E32" s="133"/>
      <c r="F32" s="134">
        <v>0.33100000000000002</v>
      </c>
      <c r="G32" s="134">
        <v>0.28399999999999997</v>
      </c>
      <c r="H32" s="135">
        <v>2024</v>
      </c>
      <c r="I32" s="133" t="s">
        <v>5630</v>
      </c>
    </row>
    <row r="33" spans="1:9" ht="18.75" thickBot="1" x14ac:dyDescent="0.3">
      <c r="A33" t="str">
        <f t="shared" si="0"/>
        <v>117483P</v>
      </c>
      <c r="B33" s="133" t="s">
        <v>5631</v>
      </c>
      <c r="C33" s="133" t="s">
        <v>5632</v>
      </c>
      <c r="D33" s="441" t="s">
        <v>5503</v>
      </c>
      <c r="E33" s="133"/>
      <c r="F33" s="134">
        <v>0.307</v>
      </c>
      <c r="G33" s="134">
        <v>0.26400000000000001</v>
      </c>
      <c r="H33" s="135">
        <v>2024</v>
      </c>
      <c r="I33" s="133" t="s">
        <v>5598</v>
      </c>
    </row>
    <row r="34" spans="1:9" ht="18.75" thickBot="1" x14ac:dyDescent="0.3">
      <c r="A34" t="str">
        <f t="shared" si="0"/>
        <v>127624Q</v>
      </c>
      <c r="B34" s="133" t="s">
        <v>5633</v>
      </c>
      <c r="C34" s="133" t="s">
        <v>5634</v>
      </c>
      <c r="D34" s="441" t="s">
        <v>5503</v>
      </c>
      <c r="E34" s="133"/>
      <c r="F34" s="134">
        <v>0.26400000000000001</v>
      </c>
      <c r="G34" s="134">
        <v>0.22700000000000001</v>
      </c>
      <c r="H34" s="135">
        <v>2011</v>
      </c>
      <c r="I34" s="133" t="s">
        <v>5635</v>
      </c>
    </row>
    <row r="35" spans="1:9" ht="18.75" thickBot="1" x14ac:dyDescent="0.3">
      <c r="A35" t="str">
        <f t="shared" si="0"/>
        <v>176637X</v>
      </c>
      <c r="B35" s="133" t="s">
        <v>8603</v>
      </c>
      <c r="C35" s="133" t="s">
        <v>8604</v>
      </c>
      <c r="D35" s="441" t="s">
        <v>5704</v>
      </c>
      <c r="E35" s="133"/>
      <c r="F35" s="134">
        <v>0.18</v>
      </c>
      <c r="G35" s="134">
        <v>0.155</v>
      </c>
      <c r="H35" s="135">
        <v>2024</v>
      </c>
      <c r="I35" s="133" t="s">
        <v>5598</v>
      </c>
    </row>
    <row r="36" spans="1:9" ht="18.75" thickBot="1" x14ac:dyDescent="0.3">
      <c r="A36" t="str">
        <f t="shared" si="0"/>
        <v>012460G</v>
      </c>
      <c r="B36" s="133" t="s">
        <v>5636</v>
      </c>
      <c r="C36" s="133" t="s">
        <v>5637</v>
      </c>
      <c r="D36" s="441" t="s">
        <v>5638</v>
      </c>
      <c r="E36" s="133"/>
      <c r="F36" s="134" t="s">
        <v>5552</v>
      </c>
      <c r="G36" s="134">
        <v>0.44600000000000001</v>
      </c>
      <c r="H36" s="135">
        <v>2024</v>
      </c>
      <c r="I36" s="133" t="s">
        <v>5639</v>
      </c>
    </row>
    <row r="37" spans="1:9" ht="18.75" thickBot="1" x14ac:dyDescent="0.3">
      <c r="A37" t="str">
        <f t="shared" si="0"/>
        <v>117347J</v>
      </c>
      <c r="B37" s="133" t="s">
        <v>5640</v>
      </c>
      <c r="C37" s="133" t="s">
        <v>5641</v>
      </c>
      <c r="D37" s="441" t="s">
        <v>5503</v>
      </c>
      <c r="E37" s="133"/>
      <c r="F37" s="134">
        <v>0.29599999999999999</v>
      </c>
      <c r="G37" s="134">
        <v>0.255</v>
      </c>
      <c r="H37" s="135">
        <v>2009</v>
      </c>
      <c r="I37" s="133" t="s">
        <v>5582</v>
      </c>
    </row>
    <row r="38" spans="1:9" ht="18.75" thickBot="1" x14ac:dyDescent="0.3">
      <c r="A38" t="str">
        <f t="shared" si="0"/>
        <v>151921G</v>
      </c>
      <c r="B38" s="133" t="s">
        <v>5642</v>
      </c>
      <c r="C38" s="133" t="s">
        <v>5643</v>
      </c>
      <c r="D38" s="441" t="s">
        <v>25</v>
      </c>
      <c r="E38" s="133"/>
      <c r="F38" s="134" t="s">
        <v>5552</v>
      </c>
      <c r="G38" s="134">
        <v>0.45400000000000001</v>
      </c>
      <c r="H38" s="135">
        <v>2015</v>
      </c>
      <c r="I38" s="133" t="s">
        <v>5608</v>
      </c>
    </row>
    <row r="39" spans="1:9" ht="18.75" thickBot="1" x14ac:dyDescent="0.3">
      <c r="A39" t="str">
        <f t="shared" si="0"/>
        <v>149859Q</v>
      </c>
      <c r="B39" s="133" t="s">
        <v>5644</v>
      </c>
      <c r="C39" s="133" t="s">
        <v>5645</v>
      </c>
      <c r="D39" s="441" t="s">
        <v>5503</v>
      </c>
      <c r="E39" s="133"/>
      <c r="F39" s="134">
        <v>0.27500000000000002</v>
      </c>
      <c r="G39" s="134">
        <v>0.23699999999999999</v>
      </c>
      <c r="H39" s="135">
        <v>2024</v>
      </c>
      <c r="I39" s="133" t="s">
        <v>5646</v>
      </c>
    </row>
    <row r="40" spans="1:9" ht="18.75" thickBot="1" x14ac:dyDescent="0.3">
      <c r="A40" t="str">
        <f t="shared" si="0"/>
        <v>159971G</v>
      </c>
      <c r="B40" s="133" t="s">
        <v>5647</v>
      </c>
      <c r="C40" s="133" t="s">
        <v>5648</v>
      </c>
      <c r="D40" s="441" t="s">
        <v>26</v>
      </c>
      <c r="E40" s="133"/>
      <c r="F40" s="134">
        <v>0.41799999999999998</v>
      </c>
      <c r="G40" s="134">
        <v>0.36</v>
      </c>
      <c r="H40" s="135">
        <v>2018</v>
      </c>
      <c r="I40" s="133" t="s">
        <v>5563</v>
      </c>
    </row>
    <row r="41" spans="1:9" ht="18.75" thickBot="1" x14ac:dyDescent="0.3">
      <c r="A41" t="str">
        <f t="shared" si="0"/>
        <v>132694Q</v>
      </c>
      <c r="B41" s="133" t="s">
        <v>5649</v>
      </c>
      <c r="C41" s="133" t="s">
        <v>5650</v>
      </c>
      <c r="D41" s="441" t="s">
        <v>5503</v>
      </c>
      <c r="E41" s="133"/>
      <c r="F41" s="134">
        <v>0.26400000000000001</v>
      </c>
      <c r="G41" s="134">
        <v>0.22700000000000001</v>
      </c>
      <c r="H41" s="135">
        <v>2013</v>
      </c>
      <c r="I41" s="133" t="s">
        <v>5651</v>
      </c>
    </row>
    <row r="42" spans="1:9" ht="18.75" thickBot="1" x14ac:dyDescent="0.3">
      <c r="A42" t="str">
        <f t="shared" si="0"/>
        <v>136073P</v>
      </c>
      <c r="B42" s="133" t="s">
        <v>5652</v>
      </c>
      <c r="C42" s="133" t="s">
        <v>5653</v>
      </c>
      <c r="D42" s="441" t="s">
        <v>5503</v>
      </c>
      <c r="E42" s="133"/>
      <c r="F42" s="134">
        <v>0.27900000000000003</v>
      </c>
      <c r="G42" s="134">
        <v>0.24</v>
      </c>
      <c r="H42" s="135">
        <v>2018</v>
      </c>
      <c r="I42" s="133" t="s">
        <v>5654</v>
      </c>
    </row>
    <row r="43" spans="1:9" ht="18.75" thickBot="1" x14ac:dyDescent="0.3">
      <c r="A43" t="str">
        <f t="shared" si="0"/>
        <v>012474U</v>
      </c>
      <c r="B43" s="133" t="s">
        <v>5655</v>
      </c>
      <c r="C43" s="133" t="s">
        <v>5656</v>
      </c>
      <c r="D43" s="441" t="s">
        <v>5503</v>
      </c>
      <c r="E43" s="133"/>
      <c r="F43" s="134">
        <v>0.29499999999999998</v>
      </c>
      <c r="G43" s="134">
        <v>0.253</v>
      </c>
      <c r="H43" s="135">
        <v>2019</v>
      </c>
      <c r="I43" s="133" t="s">
        <v>5657</v>
      </c>
    </row>
    <row r="44" spans="1:9" ht="18.75" thickBot="1" x14ac:dyDescent="0.3">
      <c r="A44" t="str">
        <f t="shared" si="0"/>
        <v>120806K</v>
      </c>
      <c r="B44" s="133" t="s">
        <v>5658</v>
      </c>
      <c r="C44" s="133" t="s">
        <v>5659</v>
      </c>
      <c r="D44" s="441" t="s">
        <v>5504</v>
      </c>
      <c r="E44" s="133"/>
      <c r="F44" s="134">
        <v>0.184</v>
      </c>
      <c r="G44" s="134">
        <v>0.158</v>
      </c>
      <c r="H44" s="135">
        <v>2019</v>
      </c>
      <c r="I44" s="133" t="s">
        <v>5594</v>
      </c>
    </row>
    <row r="45" spans="1:9" ht="18.75" thickBot="1" x14ac:dyDescent="0.3">
      <c r="A45" t="str">
        <f t="shared" si="0"/>
        <v>169431P</v>
      </c>
      <c r="B45" s="133" t="s">
        <v>5660</v>
      </c>
      <c r="C45" s="133" t="s">
        <v>5661</v>
      </c>
      <c r="D45" s="441" t="s">
        <v>5503</v>
      </c>
      <c r="E45" s="133"/>
      <c r="F45" s="134">
        <v>0.30599999999999999</v>
      </c>
      <c r="G45" s="134">
        <v>0.26300000000000001</v>
      </c>
      <c r="H45" s="135">
        <v>2024</v>
      </c>
      <c r="I45" s="133" t="s">
        <v>5582</v>
      </c>
    </row>
    <row r="46" spans="1:9" ht="18.75" thickBot="1" x14ac:dyDescent="0.3">
      <c r="A46" t="str">
        <f t="shared" si="0"/>
        <v>155884P</v>
      </c>
      <c r="B46" s="133" t="s">
        <v>5662</v>
      </c>
      <c r="C46" s="133" t="s">
        <v>5663</v>
      </c>
      <c r="D46" s="441" t="s">
        <v>5503</v>
      </c>
      <c r="E46" s="133"/>
      <c r="F46" s="134">
        <v>0.27500000000000002</v>
      </c>
      <c r="G46" s="134">
        <v>0.23599999999999999</v>
      </c>
      <c r="H46" s="135">
        <v>2019</v>
      </c>
      <c r="I46" s="133" t="s">
        <v>5556</v>
      </c>
    </row>
    <row r="47" spans="1:9" ht="18.75" thickBot="1" x14ac:dyDescent="0.3">
      <c r="A47" t="str">
        <f t="shared" si="0"/>
        <v>132291D</v>
      </c>
      <c r="B47" s="133" t="s">
        <v>5664</v>
      </c>
      <c r="C47" s="133" t="s">
        <v>5665</v>
      </c>
      <c r="D47" s="441" t="s">
        <v>5503</v>
      </c>
      <c r="E47" s="133"/>
      <c r="F47" s="134">
        <v>0.33900000000000002</v>
      </c>
      <c r="G47" s="134">
        <v>0.29099999999999998</v>
      </c>
      <c r="H47" s="135">
        <v>2008</v>
      </c>
      <c r="I47" s="133" t="s">
        <v>5666</v>
      </c>
    </row>
    <row r="48" spans="1:9" ht="18.75" thickBot="1" x14ac:dyDescent="0.3">
      <c r="A48" t="str">
        <f t="shared" si="0"/>
        <v>163284H</v>
      </c>
      <c r="B48" s="133" t="s">
        <v>5667</v>
      </c>
      <c r="C48" s="133" t="s">
        <v>5668</v>
      </c>
      <c r="D48" s="441" t="s">
        <v>5504</v>
      </c>
      <c r="E48" s="133"/>
      <c r="F48" s="134">
        <v>0.17399999999999999</v>
      </c>
      <c r="G48" s="134">
        <v>0.15</v>
      </c>
      <c r="H48" s="135">
        <v>2024</v>
      </c>
      <c r="I48" s="133" t="s">
        <v>5615</v>
      </c>
    </row>
    <row r="49" spans="1:9" ht="18.75" thickBot="1" x14ac:dyDescent="0.3">
      <c r="A49" t="str">
        <f t="shared" si="0"/>
        <v>012490K</v>
      </c>
      <c r="B49" s="133" t="s">
        <v>5669</v>
      </c>
      <c r="C49" s="133" t="s">
        <v>5670</v>
      </c>
      <c r="D49" s="441" t="s">
        <v>5503</v>
      </c>
      <c r="E49" s="133"/>
      <c r="F49" s="134">
        <v>0.25600000000000001</v>
      </c>
      <c r="G49" s="134">
        <v>0.221</v>
      </c>
      <c r="H49" s="135">
        <v>2011</v>
      </c>
      <c r="I49" s="133" t="s">
        <v>5671</v>
      </c>
    </row>
    <row r="50" spans="1:9" ht="18.75" thickBot="1" x14ac:dyDescent="0.3">
      <c r="A50" t="str">
        <f t="shared" si="0"/>
        <v>103243X</v>
      </c>
      <c r="B50" s="133" t="s">
        <v>5672</v>
      </c>
      <c r="C50" s="133" t="s">
        <v>5673</v>
      </c>
      <c r="D50" s="441" t="s">
        <v>26</v>
      </c>
      <c r="E50" s="133"/>
      <c r="F50" s="134">
        <v>0.42899999999999999</v>
      </c>
      <c r="G50" s="134">
        <v>0.36799999999999999</v>
      </c>
      <c r="H50" s="135">
        <v>2024</v>
      </c>
      <c r="I50" s="133" t="s">
        <v>5566</v>
      </c>
    </row>
    <row r="51" spans="1:9" ht="18.75" thickBot="1" x14ac:dyDescent="0.3">
      <c r="A51" t="str">
        <f t="shared" si="0"/>
        <v>012497R</v>
      </c>
      <c r="B51" s="133" t="s">
        <v>5674</v>
      </c>
      <c r="C51" s="133" t="s">
        <v>5675</v>
      </c>
      <c r="D51" s="441" t="s">
        <v>26</v>
      </c>
      <c r="E51" s="133"/>
      <c r="F51" s="134">
        <v>0.50700000000000001</v>
      </c>
      <c r="G51" s="134">
        <v>0.436</v>
      </c>
      <c r="H51" s="135">
        <v>2017</v>
      </c>
      <c r="I51" s="133" t="s">
        <v>5563</v>
      </c>
    </row>
    <row r="52" spans="1:9" ht="18.75" thickBot="1" x14ac:dyDescent="0.3">
      <c r="A52" t="str">
        <f t="shared" si="0"/>
        <v>012498S</v>
      </c>
      <c r="B52" s="133" t="s">
        <v>5676</v>
      </c>
      <c r="C52" s="133" t="s">
        <v>5677</v>
      </c>
      <c r="D52" s="441" t="s">
        <v>25</v>
      </c>
      <c r="E52" s="133"/>
      <c r="F52" s="134" t="s">
        <v>5552</v>
      </c>
      <c r="G52" s="134">
        <v>0.56000000000000005</v>
      </c>
      <c r="H52" s="135">
        <v>2019</v>
      </c>
      <c r="I52" s="133" t="s">
        <v>5678</v>
      </c>
    </row>
    <row r="53" spans="1:9" ht="18.75" thickBot="1" x14ac:dyDescent="0.3">
      <c r="A53" t="str">
        <f t="shared" si="0"/>
        <v>108140G</v>
      </c>
      <c r="B53" s="133" t="s">
        <v>5679</v>
      </c>
      <c r="C53" s="133" t="s">
        <v>5680</v>
      </c>
      <c r="D53" s="441" t="s">
        <v>24</v>
      </c>
      <c r="E53" s="133"/>
      <c r="F53" s="134" t="s">
        <v>5552</v>
      </c>
      <c r="G53" s="134">
        <v>0.85099999999999998</v>
      </c>
      <c r="H53" s="135">
        <v>2023</v>
      </c>
      <c r="I53" s="133" t="s">
        <v>5587</v>
      </c>
    </row>
    <row r="54" spans="1:9" ht="18.75" thickBot="1" x14ac:dyDescent="0.3">
      <c r="A54" t="str">
        <f t="shared" si="0"/>
        <v>125431H</v>
      </c>
      <c r="B54" s="133" t="s">
        <v>5681</v>
      </c>
      <c r="C54" s="133" t="s">
        <v>5682</v>
      </c>
      <c r="D54" s="441" t="s">
        <v>5503</v>
      </c>
      <c r="E54" s="133"/>
      <c r="F54" s="134">
        <v>0.26700000000000002</v>
      </c>
      <c r="G54" s="134">
        <v>0.23</v>
      </c>
      <c r="H54" s="135">
        <v>2013</v>
      </c>
      <c r="I54" s="133" t="s">
        <v>5666</v>
      </c>
    </row>
    <row r="55" spans="1:9" ht="18.75" thickBot="1" x14ac:dyDescent="0.3">
      <c r="A55" t="str">
        <f t="shared" si="0"/>
        <v>012508C</v>
      </c>
      <c r="B55" s="133" t="s">
        <v>5683</v>
      </c>
      <c r="C55" s="133" t="s">
        <v>5684</v>
      </c>
      <c r="D55" s="441" t="s">
        <v>26</v>
      </c>
      <c r="E55" s="133"/>
      <c r="F55" s="134">
        <v>0.47699999999999998</v>
      </c>
      <c r="G55" s="134">
        <v>0.41</v>
      </c>
      <c r="H55" s="135">
        <v>2024</v>
      </c>
      <c r="I55" s="133" t="s">
        <v>5563</v>
      </c>
    </row>
    <row r="56" spans="1:9" ht="18.75" thickBot="1" x14ac:dyDescent="0.3">
      <c r="A56" t="str">
        <f t="shared" si="0"/>
        <v>105534A</v>
      </c>
      <c r="B56" s="133" t="s">
        <v>5685</v>
      </c>
      <c r="C56" s="133" t="s">
        <v>5686</v>
      </c>
      <c r="D56" s="441" t="s">
        <v>5503</v>
      </c>
      <c r="E56" s="133"/>
      <c r="F56" s="134">
        <v>0.26</v>
      </c>
      <c r="G56" s="134">
        <v>0.224</v>
      </c>
      <c r="H56" s="135">
        <v>2017</v>
      </c>
      <c r="I56" s="133" t="s">
        <v>5657</v>
      </c>
    </row>
    <row r="57" spans="1:9" ht="18.75" thickBot="1" x14ac:dyDescent="0.3">
      <c r="A57" t="str">
        <f t="shared" si="0"/>
        <v>106421D</v>
      </c>
      <c r="B57" s="133" t="s">
        <v>5687</v>
      </c>
      <c r="C57" s="133" t="s">
        <v>5688</v>
      </c>
      <c r="D57" s="441" t="s">
        <v>25</v>
      </c>
      <c r="E57" s="133"/>
      <c r="F57" s="134" t="s">
        <v>5552</v>
      </c>
      <c r="G57" s="134">
        <v>0.47899999999999998</v>
      </c>
      <c r="H57" s="135">
        <v>2012</v>
      </c>
      <c r="I57" s="133" t="s">
        <v>5563</v>
      </c>
    </row>
    <row r="58" spans="1:9" ht="18.75" thickBot="1" x14ac:dyDescent="0.3">
      <c r="A58" t="str">
        <f t="shared" si="0"/>
        <v>012514I</v>
      </c>
      <c r="B58" s="133" t="s">
        <v>5689</v>
      </c>
      <c r="C58" s="133" t="s">
        <v>5690</v>
      </c>
      <c r="D58" s="441" t="s">
        <v>26</v>
      </c>
      <c r="E58" s="133"/>
      <c r="F58" s="134">
        <v>0.41399999999999998</v>
      </c>
      <c r="G58" s="134">
        <v>0.35599999999999998</v>
      </c>
      <c r="H58" s="135">
        <v>2010</v>
      </c>
      <c r="I58" s="133" t="s">
        <v>5630</v>
      </c>
    </row>
    <row r="59" spans="1:9" ht="18.75" thickBot="1" x14ac:dyDescent="0.3">
      <c r="A59" t="str">
        <f t="shared" si="0"/>
        <v>012515J</v>
      </c>
      <c r="B59" s="133" t="s">
        <v>5691</v>
      </c>
      <c r="C59" s="133" t="s">
        <v>5692</v>
      </c>
      <c r="D59" s="441" t="s">
        <v>25</v>
      </c>
      <c r="E59" s="133"/>
      <c r="F59" s="134" t="s">
        <v>5552</v>
      </c>
      <c r="G59" s="134">
        <v>0.55500000000000005</v>
      </c>
      <c r="H59" s="135">
        <v>2012</v>
      </c>
      <c r="I59" s="133" t="s">
        <v>5553</v>
      </c>
    </row>
    <row r="60" spans="1:9" ht="18.75" thickBot="1" x14ac:dyDescent="0.3">
      <c r="A60" t="str">
        <f t="shared" si="0"/>
        <v>117766M</v>
      </c>
      <c r="B60" s="133" t="s">
        <v>5693</v>
      </c>
      <c r="C60" s="133" t="s">
        <v>5694</v>
      </c>
      <c r="D60" s="441" t="s">
        <v>25</v>
      </c>
      <c r="E60" s="133"/>
      <c r="F60" s="134" t="s">
        <v>5552</v>
      </c>
      <c r="G60" s="134">
        <v>0.502</v>
      </c>
      <c r="H60" s="135">
        <v>2009</v>
      </c>
      <c r="I60" s="133" t="s">
        <v>5630</v>
      </c>
    </row>
    <row r="61" spans="1:9" ht="18.75" thickBot="1" x14ac:dyDescent="0.3">
      <c r="A61" t="str">
        <f t="shared" si="0"/>
        <v>012519N</v>
      </c>
      <c r="B61" s="133" t="s">
        <v>5695</v>
      </c>
      <c r="C61" s="133" t="s">
        <v>5696</v>
      </c>
      <c r="D61" s="441" t="s">
        <v>25</v>
      </c>
      <c r="E61" s="133"/>
      <c r="F61" s="134" t="s">
        <v>5552</v>
      </c>
      <c r="G61" s="134">
        <v>0.47399999999999998</v>
      </c>
      <c r="H61" s="135">
        <v>2015</v>
      </c>
      <c r="I61" s="133" t="s">
        <v>5678</v>
      </c>
    </row>
    <row r="62" spans="1:9" ht="18.75" thickBot="1" x14ac:dyDescent="0.3">
      <c r="A62" t="str">
        <f t="shared" si="0"/>
        <v>147640D</v>
      </c>
      <c r="B62" s="133" t="s">
        <v>7552</v>
      </c>
      <c r="C62" s="133" t="s">
        <v>7553</v>
      </c>
      <c r="D62" s="441" t="s">
        <v>5503</v>
      </c>
      <c r="E62" s="133"/>
      <c r="F62" s="134">
        <v>0.34200000000000003</v>
      </c>
      <c r="G62" s="134">
        <v>0.29399999999999998</v>
      </c>
      <c r="H62" s="135">
        <v>2024</v>
      </c>
      <c r="I62" s="133" t="s">
        <v>5553</v>
      </c>
    </row>
    <row r="63" spans="1:9" ht="18.75" thickBot="1" x14ac:dyDescent="0.3">
      <c r="A63" t="str">
        <f t="shared" si="0"/>
        <v>140096I</v>
      </c>
      <c r="B63" s="133" t="s">
        <v>5697</v>
      </c>
      <c r="C63" s="133" t="s">
        <v>5698</v>
      </c>
      <c r="D63" s="441" t="s">
        <v>5504</v>
      </c>
      <c r="E63" s="133"/>
      <c r="F63" s="134">
        <v>0.20499999999999999</v>
      </c>
      <c r="G63" s="134">
        <v>0.17599999999999999</v>
      </c>
      <c r="H63" s="135">
        <v>2010</v>
      </c>
      <c r="I63" s="133" t="s">
        <v>5651</v>
      </c>
    </row>
    <row r="64" spans="1:9" ht="18.75" thickBot="1" x14ac:dyDescent="0.3">
      <c r="A64" t="str">
        <f t="shared" si="0"/>
        <v>012531Z</v>
      </c>
      <c r="B64" s="133" t="s">
        <v>5699</v>
      </c>
      <c r="C64" s="133" t="s">
        <v>5700</v>
      </c>
      <c r="D64" s="441" t="s">
        <v>26</v>
      </c>
      <c r="E64" s="133"/>
      <c r="F64" s="134">
        <v>0.36299999999999999</v>
      </c>
      <c r="G64" s="134">
        <v>0.312</v>
      </c>
      <c r="H64" s="135">
        <v>2016</v>
      </c>
      <c r="I64" s="133" t="s">
        <v>5701</v>
      </c>
    </row>
    <row r="65" spans="1:9" ht="18.75" thickBot="1" x14ac:dyDescent="0.3">
      <c r="A65" t="str">
        <f t="shared" si="0"/>
        <v>138061B</v>
      </c>
      <c r="B65" s="133" t="s">
        <v>5702</v>
      </c>
      <c r="C65" s="133" t="s">
        <v>5703</v>
      </c>
      <c r="D65" s="441" t="s">
        <v>5503</v>
      </c>
      <c r="E65" s="133"/>
      <c r="F65" s="134">
        <v>0.3</v>
      </c>
      <c r="G65" s="134">
        <v>0.25800000000000001</v>
      </c>
      <c r="H65" s="135">
        <v>2024</v>
      </c>
      <c r="I65" s="133" t="s">
        <v>5705</v>
      </c>
    </row>
    <row r="66" spans="1:9" ht="18.75" thickBot="1" x14ac:dyDescent="0.3">
      <c r="A66" t="str">
        <f t="shared" si="0"/>
        <v>140106S</v>
      </c>
      <c r="B66" s="133" t="s">
        <v>5706</v>
      </c>
      <c r="C66" s="133" t="s">
        <v>5707</v>
      </c>
      <c r="D66" s="441" t="s">
        <v>5503</v>
      </c>
      <c r="E66" s="133"/>
      <c r="F66" s="134">
        <v>0.28499999999999998</v>
      </c>
      <c r="G66" s="134">
        <v>0.245</v>
      </c>
      <c r="H66" s="135">
        <v>2012</v>
      </c>
      <c r="I66" s="133" t="s">
        <v>5630</v>
      </c>
    </row>
    <row r="67" spans="1:9" ht="18.75" thickBot="1" x14ac:dyDescent="0.3">
      <c r="A67" t="str">
        <f t="shared" ref="A67:A130" si="1">SUBSTITUTE(B67,CHAR(32),"")</f>
        <v>135324U</v>
      </c>
      <c r="B67" s="133" t="s">
        <v>5708</v>
      </c>
      <c r="C67" s="133" t="s">
        <v>5709</v>
      </c>
      <c r="D67" s="441" t="s">
        <v>26</v>
      </c>
      <c r="E67" s="133"/>
      <c r="F67" s="134">
        <v>0.42799999999999999</v>
      </c>
      <c r="G67" s="134">
        <v>0.36799999999999999</v>
      </c>
      <c r="H67" s="135">
        <v>2013</v>
      </c>
      <c r="I67" s="133" t="s">
        <v>5710</v>
      </c>
    </row>
    <row r="68" spans="1:9" ht="18.75" thickBot="1" x14ac:dyDescent="0.3">
      <c r="A68" t="str">
        <f t="shared" si="1"/>
        <v>137827B</v>
      </c>
      <c r="B68" s="133" t="s">
        <v>5711</v>
      </c>
      <c r="C68" s="133" t="s">
        <v>5712</v>
      </c>
      <c r="D68" s="441" t="s">
        <v>26</v>
      </c>
      <c r="E68" s="133"/>
      <c r="F68" s="134">
        <v>0.41299999999999998</v>
      </c>
      <c r="G68" s="134">
        <v>0.35499999999999998</v>
      </c>
      <c r="H68" s="135">
        <v>2011</v>
      </c>
      <c r="I68" s="133" t="s">
        <v>5563</v>
      </c>
    </row>
    <row r="69" spans="1:9" ht="18.75" thickBot="1" x14ac:dyDescent="0.3">
      <c r="A69" t="str">
        <f t="shared" si="1"/>
        <v>012544M</v>
      </c>
      <c r="B69" s="133" t="s">
        <v>5713</v>
      </c>
      <c r="C69" s="133" t="s">
        <v>5714</v>
      </c>
      <c r="D69" s="441" t="s">
        <v>24</v>
      </c>
      <c r="E69" s="133"/>
      <c r="F69" s="134" t="s">
        <v>5552</v>
      </c>
      <c r="G69" s="134">
        <v>0.70299999999999996</v>
      </c>
      <c r="H69" s="135">
        <v>2010</v>
      </c>
      <c r="I69" s="133" t="s">
        <v>5615</v>
      </c>
    </row>
    <row r="70" spans="1:9" ht="18.75" thickBot="1" x14ac:dyDescent="0.3">
      <c r="A70" t="str">
        <f t="shared" si="1"/>
        <v>156705G</v>
      </c>
      <c r="B70" s="133" t="s">
        <v>5715</v>
      </c>
      <c r="C70" s="133" t="s">
        <v>5716</v>
      </c>
      <c r="D70" s="441" t="s">
        <v>26</v>
      </c>
      <c r="E70" s="133"/>
      <c r="F70" s="134">
        <v>0.40300000000000002</v>
      </c>
      <c r="G70" s="134">
        <v>0.34699999999999998</v>
      </c>
      <c r="H70" s="135">
        <v>2022</v>
      </c>
      <c r="I70" s="133" t="s">
        <v>5559</v>
      </c>
    </row>
    <row r="71" spans="1:9" ht="18.75" thickBot="1" x14ac:dyDescent="0.3">
      <c r="A71" t="str">
        <f t="shared" si="1"/>
        <v>012547P</v>
      </c>
      <c r="B71" s="133" t="s">
        <v>5717</v>
      </c>
      <c r="C71" s="133" t="s">
        <v>5718</v>
      </c>
      <c r="D71" s="441" t="s">
        <v>24</v>
      </c>
      <c r="E71" s="133"/>
      <c r="F71" s="134" t="s">
        <v>5552</v>
      </c>
      <c r="G71" s="134">
        <v>0.59699999999999998</v>
      </c>
      <c r="H71" s="135">
        <v>2017</v>
      </c>
      <c r="I71" s="133" t="s">
        <v>5630</v>
      </c>
    </row>
    <row r="72" spans="1:9" ht="18.75" thickBot="1" x14ac:dyDescent="0.3">
      <c r="A72" t="str">
        <f t="shared" si="1"/>
        <v>113662Q</v>
      </c>
      <c r="B72" s="133" t="s">
        <v>5719</v>
      </c>
      <c r="C72" s="133" t="s">
        <v>5720</v>
      </c>
      <c r="D72" s="441" t="s">
        <v>5503</v>
      </c>
      <c r="E72" s="133"/>
      <c r="F72" s="134">
        <v>0.35099999999999998</v>
      </c>
      <c r="G72" s="134">
        <v>0.30199999999999999</v>
      </c>
      <c r="H72" s="135">
        <v>2011</v>
      </c>
      <c r="I72" s="133" t="s">
        <v>5721</v>
      </c>
    </row>
    <row r="73" spans="1:9" ht="18.75" thickBot="1" x14ac:dyDescent="0.3">
      <c r="A73" t="str">
        <f t="shared" si="1"/>
        <v>183403B</v>
      </c>
      <c r="B73" s="133" t="s">
        <v>8605</v>
      </c>
      <c r="C73" s="133" t="s">
        <v>8606</v>
      </c>
      <c r="D73" s="441" t="s">
        <v>5704</v>
      </c>
      <c r="E73" s="133"/>
      <c r="F73" s="134">
        <v>0.21</v>
      </c>
      <c r="G73" s="134">
        <v>0.18099999999999999</v>
      </c>
      <c r="H73" s="135">
        <v>2024</v>
      </c>
      <c r="I73" s="133" t="s">
        <v>5587</v>
      </c>
    </row>
    <row r="74" spans="1:9" ht="18.75" thickBot="1" x14ac:dyDescent="0.3">
      <c r="A74" t="str">
        <f t="shared" si="1"/>
        <v>012557Z</v>
      </c>
      <c r="B74" s="133" t="s">
        <v>5722</v>
      </c>
      <c r="C74" s="133" t="s">
        <v>5723</v>
      </c>
      <c r="D74" s="441" t="s">
        <v>24</v>
      </c>
      <c r="E74" s="133"/>
      <c r="F74" s="134" t="s">
        <v>5552</v>
      </c>
      <c r="G74" s="134">
        <v>0.73</v>
      </c>
      <c r="H74" s="135">
        <v>2024</v>
      </c>
      <c r="I74" s="133" t="s">
        <v>5594</v>
      </c>
    </row>
    <row r="75" spans="1:9" ht="18.75" thickBot="1" x14ac:dyDescent="0.3">
      <c r="A75" t="str">
        <f t="shared" si="1"/>
        <v>138084Y</v>
      </c>
      <c r="B75" s="133" t="s">
        <v>5724</v>
      </c>
      <c r="C75" s="133" t="s">
        <v>5725</v>
      </c>
      <c r="D75" s="441" t="s">
        <v>5503</v>
      </c>
      <c r="E75" s="133"/>
      <c r="F75" s="134">
        <v>0.21099999999999999</v>
      </c>
      <c r="G75" s="134">
        <v>0.18099999999999999</v>
      </c>
      <c r="H75" s="135">
        <v>2010</v>
      </c>
      <c r="I75" s="133" t="s">
        <v>5726</v>
      </c>
    </row>
    <row r="76" spans="1:9" ht="18.75" thickBot="1" x14ac:dyDescent="0.3">
      <c r="A76" t="str">
        <f t="shared" si="1"/>
        <v>117442A</v>
      </c>
      <c r="B76" s="133" t="s">
        <v>5727</v>
      </c>
      <c r="C76" s="133" t="s">
        <v>5728</v>
      </c>
      <c r="D76" s="441" t="s">
        <v>25</v>
      </c>
      <c r="E76" s="133"/>
      <c r="F76" s="134" t="s">
        <v>5552</v>
      </c>
      <c r="G76" s="134">
        <v>0.49099999999999999</v>
      </c>
      <c r="H76" s="135">
        <v>2009</v>
      </c>
      <c r="I76" s="133" t="s">
        <v>5594</v>
      </c>
    </row>
    <row r="77" spans="1:9" ht="18.75" thickBot="1" x14ac:dyDescent="0.3">
      <c r="A77" t="str">
        <f t="shared" si="1"/>
        <v>012561D</v>
      </c>
      <c r="B77" s="133" t="s">
        <v>5729</v>
      </c>
      <c r="C77" s="133" t="s">
        <v>5730</v>
      </c>
      <c r="D77" s="441" t="s">
        <v>25</v>
      </c>
      <c r="E77" s="133"/>
      <c r="F77" s="134" t="s">
        <v>5552</v>
      </c>
      <c r="G77" s="134">
        <v>0.45700000000000002</v>
      </c>
      <c r="H77" s="135">
        <v>2012</v>
      </c>
      <c r="I77" s="133" t="s">
        <v>5559</v>
      </c>
    </row>
    <row r="78" spans="1:9" ht="18.75" thickBot="1" x14ac:dyDescent="0.3">
      <c r="A78" t="str">
        <f t="shared" si="1"/>
        <v>012567J</v>
      </c>
      <c r="B78" s="133" t="s">
        <v>5731</v>
      </c>
      <c r="C78" s="133" t="s">
        <v>5732</v>
      </c>
      <c r="D78" s="441" t="s">
        <v>26</v>
      </c>
      <c r="E78" s="133"/>
      <c r="F78" s="134">
        <v>0.46</v>
      </c>
      <c r="G78" s="134">
        <v>0.39500000000000002</v>
      </c>
      <c r="H78" s="135">
        <v>2024</v>
      </c>
      <c r="I78" s="133" t="s">
        <v>5630</v>
      </c>
    </row>
    <row r="79" spans="1:9" ht="18.75" thickBot="1" x14ac:dyDescent="0.3">
      <c r="A79" t="str">
        <f t="shared" si="1"/>
        <v>012569L</v>
      </c>
      <c r="B79" s="133" t="s">
        <v>5733</v>
      </c>
      <c r="C79" s="133" t="s">
        <v>5734</v>
      </c>
      <c r="D79" s="441" t="s">
        <v>25</v>
      </c>
      <c r="E79" s="133"/>
      <c r="F79" s="134" t="s">
        <v>5552</v>
      </c>
      <c r="G79" s="134">
        <v>0.45100000000000001</v>
      </c>
      <c r="H79" s="135">
        <v>2009</v>
      </c>
      <c r="I79" s="133" t="s">
        <v>5735</v>
      </c>
    </row>
    <row r="80" spans="1:9" ht="18.75" thickBot="1" x14ac:dyDescent="0.3">
      <c r="A80" t="str">
        <f t="shared" si="1"/>
        <v>129205L</v>
      </c>
      <c r="B80" s="133" t="s">
        <v>5736</v>
      </c>
      <c r="C80" s="133" t="s">
        <v>5737</v>
      </c>
      <c r="D80" s="441" t="s">
        <v>5503</v>
      </c>
      <c r="E80" s="133"/>
      <c r="F80" s="134">
        <v>0.26400000000000001</v>
      </c>
      <c r="G80" s="134">
        <v>0.22700000000000001</v>
      </c>
      <c r="H80" s="135">
        <v>2023</v>
      </c>
      <c r="I80" s="133" t="s">
        <v>5735</v>
      </c>
    </row>
    <row r="81" spans="1:9" ht="18.75" thickBot="1" x14ac:dyDescent="0.3">
      <c r="A81" t="str">
        <f t="shared" si="1"/>
        <v>142463J</v>
      </c>
      <c r="B81" s="133" t="s">
        <v>5738</v>
      </c>
      <c r="C81" s="133" t="s">
        <v>5739</v>
      </c>
      <c r="D81" s="441" t="s">
        <v>5503</v>
      </c>
      <c r="E81" s="133"/>
      <c r="F81" s="134">
        <v>0.28000000000000003</v>
      </c>
      <c r="G81" s="134">
        <v>0.24</v>
      </c>
      <c r="H81" s="135">
        <v>2024</v>
      </c>
      <c r="I81" s="133" t="s">
        <v>5594</v>
      </c>
    </row>
    <row r="82" spans="1:9" ht="18.75" thickBot="1" x14ac:dyDescent="0.3">
      <c r="A82" t="str">
        <f t="shared" si="1"/>
        <v>156645R</v>
      </c>
      <c r="B82" s="133" t="s">
        <v>5740</v>
      </c>
      <c r="C82" s="133" t="s">
        <v>5741</v>
      </c>
      <c r="D82" s="441" t="s">
        <v>5503</v>
      </c>
      <c r="E82" s="133"/>
      <c r="F82" s="134">
        <v>0.34</v>
      </c>
      <c r="G82" s="134">
        <v>0.29299999999999998</v>
      </c>
      <c r="H82" s="135">
        <v>2019</v>
      </c>
      <c r="I82" s="133" t="s">
        <v>5678</v>
      </c>
    </row>
    <row r="83" spans="1:9" ht="18.75" thickBot="1" x14ac:dyDescent="0.3">
      <c r="A83" t="str">
        <f t="shared" si="1"/>
        <v>012579V</v>
      </c>
      <c r="B83" s="133" t="s">
        <v>5742</v>
      </c>
      <c r="C83" s="133" t="s">
        <v>5743</v>
      </c>
      <c r="D83" s="441" t="s">
        <v>5504</v>
      </c>
      <c r="E83" s="133"/>
      <c r="F83" s="134">
        <v>0.184</v>
      </c>
      <c r="G83" s="134">
        <v>0.158</v>
      </c>
      <c r="H83" s="135">
        <v>2009</v>
      </c>
      <c r="I83" s="133" t="s">
        <v>5744</v>
      </c>
    </row>
    <row r="84" spans="1:9" ht="18.75" thickBot="1" x14ac:dyDescent="0.3">
      <c r="A84" t="str">
        <f t="shared" si="1"/>
        <v>135082M</v>
      </c>
      <c r="B84" s="133" t="s">
        <v>5745</v>
      </c>
      <c r="C84" s="133" t="s">
        <v>5746</v>
      </c>
      <c r="D84" s="441" t="s">
        <v>26</v>
      </c>
      <c r="E84" s="133"/>
      <c r="F84" s="134">
        <v>0.376</v>
      </c>
      <c r="G84" s="134">
        <v>0.32300000000000001</v>
      </c>
      <c r="H84" s="135">
        <v>2020</v>
      </c>
      <c r="I84" s="133" t="s">
        <v>5657</v>
      </c>
    </row>
    <row r="85" spans="1:9" ht="18.75" thickBot="1" x14ac:dyDescent="0.3">
      <c r="A85" t="str">
        <f t="shared" si="1"/>
        <v>126980W</v>
      </c>
      <c r="B85" s="133" t="s">
        <v>5747</v>
      </c>
      <c r="C85" s="133" t="s">
        <v>5748</v>
      </c>
      <c r="D85" s="441" t="s">
        <v>24</v>
      </c>
      <c r="E85" s="133"/>
      <c r="F85" s="134" t="s">
        <v>5552</v>
      </c>
      <c r="G85" s="134">
        <v>0.83599999999999997</v>
      </c>
      <c r="H85" s="135">
        <v>2017</v>
      </c>
      <c r="I85" s="133" t="s">
        <v>5553</v>
      </c>
    </row>
    <row r="86" spans="1:9" ht="18.75" thickBot="1" x14ac:dyDescent="0.3">
      <c r="A86" t="str">
        <f t="shared" si="1"/>
        <v>149275F</v>
      </c>
      <c r="B86" s="133" t="s">
        <v>5749</v>
      </c>
      <c r="C86" s="133" t="s">
        <v>5750</v>
      </c>
      <c r="D86" s="441" t="s">
        <v>5503</v>
      </c>
      <c r="E86" s="133"/>
      <c r="F86" s="134">
        <v>0.309</v>
      </c>
      <c r="G86" s="134">
        <v>0.26600000000000001</v>
      </c>
      <c r="H86" s="135">
        <v>2023</v>
      </c>
      <c r="I86" s="133" t="s">
        <v>5635</v>
      </c>
    </row>
    <row r="87" spans="1:9" ht="18.75" thickBot="1" x14ac:dyDescent="0.3">
      <c r="A87" t="str">
        <f t="shared" si="1"/>
        <v>012583Z</v>
      </c>
      <c r="B87" s="133" t="s">
        <v>5751</v>
      </c>
      <c r="C87" s="133" t="s">
        <v>5752</v>
      </c>
      <c r="D87" s="441" t="s">
        <v>26</v>
      </c>
      <c r="E87" s="133"/>
      <c r="F87" s="134">
        <v>0.39200000000000002</v>
      </c>
      <c r="G87" s="134">
        <v>0.33700000000000002</v>
      </c>
      <c r="H87" s="135">
        <v>2012</v>
      </c>
      <c r="I87" s="133" t="s">
        <v>5563</v>
      </c>
    </row>
    <row r="88" spans="1:9" ht="18.75" thickBot="1" x14ac:dyDescent="0.3">
      <c r="A88" t="str">
        <f t="shared" si="1"/>
        <v>113560S</v>
      </c>
      <c r="B88" s="133" t="s">
        <v>5753</v>
      </c>
      <c r="C88" s="133" t="s">
        <v>5754</v>
      </c>
      <c r="D88" s="441" t="s">
        <v>25</v>
      </c>
      <c r="E88" s="133"/>
      <c r="F88" s="134" t="s">
        <v>5552</v>
      </c>
      <c r="G88" s="134">
        <v>0.58099999999999996</v>
      </c>
      <c r="H88" s="135">
        <v>2019</v>
      </c>
      <c r="I88" s="133" t="s">
        <v>5678</v>
      </c>
    </row>
    <row r="89" spans="1:9" ht="18.75" thickBot="1" x14ac:dyDescent="0.3">
      <c r="A89" t="str">
        <f t="shared" si="1"/>
        <v>012585B</v>
      </c>
      <c r="B89" s="133" t="s">
        <v>5755</v>
      </c>
      <c r="C89" s="133" t="s">
        <v>5756</v>
      </c>
      <c r="D89" s="441" t="s">
        <v>5638</v>
      </c>
      <c r="E89" s="133"/>
      <c r="F89" s="134" t="s">
        <v>5552</v>
      </c>
      <c r="G89" s="134">
        <v>0.46600000000000003</v>
      </c>
      <c r="H89" s="135">
        <v>2024</v>
      </c>
      <c r="I89" s="133" t="s">
        <v>5573</v>
      </c>
    </row>
    <row r="90" spans="1:9" ht="18.75" thickBot="1" x14ac:dyDescent="0.3">
      <c r="A90" t="str">
        <f t="shared" si="1"/>
        <v>152269K</v>
      </c>
      <c r="B90" s="133" t="s">
        <v>5757</v>
      </c>
      <c r="C90" s="133" t="s">
        <v>5758</v>
      </c>
      <c r="D90" s="441" t="s">
        <v>5503</v>
      </c>
      <c r="E90" s="133"/>
      <c r="F90" s="134">
        <v>0.28999999999999998</v>
      </c>
      <c r="G90" s="134">
        <v>0.25</v>
      </c>
      <c r="H90" s="135">
        <v>2019</v>
      </c>
      <c r="I90" s="133" t="s">
        <v>5630</v>
      </c>
    </row>
    <row r="91" spans="1:9" ht="18.75" thickBot="1" x14ac:dyDescent="0.3">
      <c r="A91" t="str">
        <f t="shared" si="1"/>
        <v>140314S</v>
      </c>
      <c r="B91" s="133" t="s">
        <v>5759</v>
      </c>
      <c r="C91" s="133" t="s">
        <v>5760</v>
      </c>
      <c r="D91" s="441" t="s">
        <v>5503</v>
      </c>
      <c r="E91" s="133"/>
      <c r="F91" s="134">
        <v>0.32600000000000001</v>
      </c>
      <c r="G91" s="134">
        <v>0.28000000000000003</v>
      </c>
      <c r="H91" s="135">
        <v>2024</v>
      </c>
      <c r="I91" s="133" t="s">
        <v>5657</v>
      </c>
    </row>
    <row r="92" spans="1:9" ht="18.75" thickBot="1" x14ac:dyDescent="0.3">
      <c r="A92" t="str">
        <f t="shared" si="1"/>
        <v>012594K</v>
      </c>
      <c r="B92" s="133" t="s">
        <v>5761</v>
      </c>
      <c r="C92" s="133" t="s">
        <v>5762</v>
      </c>
      <c r="D92" s="441" t="s">
        <v>5504</v>
      </c>
      <c r="E92" s="133"/>
      <c r="F92" s="134">
        <v>0.23300000000000001</v>
      </c>
      <c r="G92" s="134">
        <v>0.2</v>
      </c>
      <c r="H92" s="135">
        <v>2024</v>
      </c>
      <c r="I92" s="133" t="s">
        <v>5573</v>
      </c>
    </row>
    <row r="93" spans="1:9" ht="18.75" thickBot="1" x14ac:dyDescent="0.3">
      <c r="A93" t="str">
        <f t="shared" si="1"/>
        <v>105944U</v>
      </c>
      <c r="B93" s="133" t="s">
        <v>5763</v>
      </c>
      <c r="C93" s="133" t="s">
        <v>5764</v>
      </c>
      <c r="D93" s="441" t="s">
        <v>25</v>
      </c>
      <c r="E93" s="133"/>
      <c r="F93" s="134" t="s">
        <v>5552</v>
      </c>
      <c r="G93" s="134">
        <v>0.52100000000000002</v>
      </c>
      <c r="H93" s="135">
        <v>2022</v>
      </c>
      <c r="I93" s="133" t="s">
        <v>5635</v>
      </c>
    </row>
    <row r="94" spans="1:9" ht="18.75" thickBot="1" x14ac:dyDescent="0.3">
      <c r="A94" t="str">
        <f t="shared" si="1"/>
        <v>156100Z</v>
      </c>
      <c r="B94" s="133" t="s">
        <v>5766</v>
      </c>
      <c r="C94" s="133" t="s">
        <v>5767</v>
      </c>
      <c r="D94" s="441" t="s">
        <v>5503</v>
      </c>
      <c r="E94" s="133"/>
      <c r="F94" s="134">
        <v>0.26700000000000002</v>
      </c>
      <c r="G94" s="134">
        <v>0.22900000000000001</v>
      </c>
      <c r="H94" s="135">
        <v>2024</v>
      </c>
      <c r="I94" s="133" t="s">
        <v>5768</v>
      </c>
    </row>
    <row r="95" spans="1:9" ht="18.75" thickBot="1" x14ac:dyDescent="0.3">
      <c r="A95" t="str">
        <f t="shared" si="1"/>
        <v>155821W</v>
      </c>
      <c r="B95" s="133" t="s">
        <v>5769</v>
      </c>
      <c r="C95" s="133" t="s">
        <v>5770</v>
      </c>
      <c r="D95" s="441" t="s">
        <v>5504</v>
      </c>
      <c r="E95" s="133"/>
      <c r="F95" s="134">
        <v>0.23100000000000001</v>
      </c>
      <c r="G95" s="134">
        <v>0.19800000000000001</v>
      </c>
      <c r="H95" s="135">
        <v>2023</v>
      </c>
      <c r="I95" s="133" t="s">
        <v>5587</v>
      </c>
    </row>
    <row r="96" spans="1:9" ht="18.75" thickBot="1" x14ac:dyDescent="0.3">
      <c r="A96" t="str">
        <f t="shared" si="1"/>
        <v>112124M</v>
      </c>
      <c r="B96" s="133" t="s">
        <v>5771</v>
      </c>
      <c r="C96" s="133" t="s">
        <v>5772</v>
      </c>
      <c r="D96" s="441" t="s">
        <v>26</v>
      </c>
      <c r="E96" s="133"/>
      <c r="F96" s="134">
        <v>0.32900000000000001</v>
      </c>
      <c r="G96" s="134">
        <v>0.28299999999999997</v>
      </c>
      <c r="H96" s="135">
        <v>2022</v>
      </c>
      <c r="I96" s="133" t="s">
        <v>5639</v>
      </c>
    </row>
    <row r="97" spans="1:9" ht="18.75" thickBot="1" x14ac:dyDescent="0.3">
      <c r="A97" t="str">
        <f t="shared" si="1"/>
        <v>134984S</v>
      </c>
      <c r="B97" s="133" t="s">
        <v>5773</v>
      </c>
      <c r="C97" s="133" t="s">
        <v>5774</v>
      </c>
      <c r="D97" s="441" t="s">
        <v>5503</v>
      </c>
      <c r="E97" s="133"/>
      <c r="F97" s="134">
        <v>0.25600000000000001</v>
      </c>
      <c r="G97" s="134">
        <v>0.22</v>
      </c>
      <c r="H97" s="135">
        <v>2014</v>
      </c>
      <c r="I97" s="133" t="s">
        <v>5587</v>
      </c>
    </row>
    <row r="98" spans="1:9" ht="18.75" thickBot="1" x14ac:dyDescent="0.3">
      <c r="A98" t="str">
        <f t="shared" si="1"/>
        <v>012640E</v>
      </c>
      <c r="B98" s="133" t="s">
        <v>5775</v>
      </c>
      <c r="C98" s="133" t="s">
        <v>5776</v>
      </c>
      <c r="D98" s="441" t="s">
        <v>6059</v>
      </c>
      <c r="E98" s="133"/>
      <c r="F98" s="134" t="s">
        <v>5552</v>
      </c>
      <c r="G98" s="134">
        <v>0.873</v>
      </c>
      <c r="H98" s="135">
        <v>2024</v>
      </c>
      <c r="I98" s="133" t="s">
        <v>5587</v>
      </c>
    </row>
    <row r="99" spans="1:9" ht="18.75" thickBot="1" x14ac:dyDescent="0.3">
      <c r="A99" t="str">
        <f t="shared" si="1"/>
        <v>132270I</v>
      </c>
      <c r="B99" s="133" t="s">
        <v>5777</v>
      </c>
      <c r="C99" s="133" t="s">
        <v>5778</v>
      </c>
      <c r="D99" s="441" t="s">
        <v>5503</v>
      </c>
      <c r="E99" s="133"/>
      <c r="F99" s="134">
        <v>0.20399999999999999</v>
      </c>
      <c r="G99" s="134">
        <v>0.17599999999999999</v>
      </c>
      <c r="H99" s="135">
        <v>2013</v>
      </c>
      <c r="I99" s="133" t="s">
        <v>5701</v>
      </c>
    </row>
    <row r="100" spans="1:9" ht="18.75" thickBot="1" x14ac:dyDescent="0.3">
      <c r="A100" t="str">
        <f t="shared" si="1"/>
        <v>012652Q</v>
      </c>
      <c r="B100" s="133" t="s">
        <v>5779</v>
      </c>
      <c r="C100" s="133" t="s">
        <v>5780</v>
      </c>
      <c r="D100" s="441" t="s">
        <v>5503</v>
      </c>
      <c r="E100" s="133"/>
      <c r="F100" s="134">
        <v>0.32300000000000001</v>
      </c>
      <c r="G100" s="134">
        <v>0.27700000000000002</v>
      </c>
      <c r="H100" s="135">
        <v>2016</v>
      </c>
      <c r="I100" s="133" t="s">
        <v>5646</v>
      </c>
    </row>
    <row r="101" spans="1:9" ht="18.75" thickBot="1" x14ac:dyDescent="0.3">
      <c r="A101" t="str">
        <f t="shared" si="1"/>
        <v>147801D</v>
      </c>
      <c r="B101" s="133" t="s">
        <v>5781</v>
      </c>
      <c r="C101" s="133" t="s">
        <v>5782</v>
      </c>
      <c r="D101" s="441" t="s">
        <v>26</v>
      </c>
      <c r="E101" s="133"/>
      <c r="F101" s="134">
        <v>0.46</v>
      </c>
      <c r="G101" s="134">
        <v>0.39500000000000002</v>
      </c>
      <c r="H101" s="135">
        <v>2015</v>
      </c>
      <c r="I101" s="133" t="s">
        <v>5678</v>
      </c>
    </row>
    <row r="102" spans="1:9" ht="18.75" thickBot="1" x14ac:dyDescent="0.3">
      <c r="A102" t="str">
        <f t="shared" si="1"/>
        <v>132716M</v>
      </c>
      <c r="B102" s="133" t="s">
        <v>5783</v>
      </c>
      <c r="C102" s="133" t="s">
        <v>5784</v>
      </c>
      <c r="D102" s="441" t="s">
        <v>26</v>
      </c>
      <c r="E102" s="133"/>
      <c r="F102" s="134">
        <v>0.379</v>
      </c>
      <c r="G102" s="134">
        <v>0.32600000000000001</v>
      </c>
      <c r="H102" s="135">
        <v>2017</v>
      </c>
      <c r="I102" s="133" t="s">
        <v>5639</v>
      </c>
    </row>
    <row r="103" spans="1:9" ht="18.75" thickBot="1" x14ac:dyDescent="0.3">
      <c r="A103" t="str">
        <f t="shared" si="1"/>
        <v>012657V</v>
      </c>
      <c r="B103" s="133" t="s">
        <v>5785</v>
      </c>
      <c r="C103" s="133" t="s">
        <v>5786</v>
      </c>
      <c r="D103" s="441" t="s">
        <v>25</v>
      </c>
      <c r="E103" s="133"/>
      <c r="F103" s="134" t="s">
        <v>5552</v>
      </c>
      <c r="G103" s="134">
        <v>0.57599999999999996</v>
      </c>
      <c r="H103" s="135">
        <v>2022</v>
      </c>
      <c r="I103" s="133" t="s">
        <v>5787</v>
      </c>
    </row>
    <row r="104" spans="1:9" ht="18.75" thickBot="1" x14ac:dyDescent="0.3">
      <c r="A104" t="str">
        <f t="shared" si="1"/>
        <v>180137B</v>
      </c>
      <c r="B104" s="133" t="s">
        <v>8514</v>
      </c>
      <c r="C104" s="133" t="s">
        <v>8515</v>
      </c>
      <c r="D104" s="441" t="s">
        <v>5704</v>
      </c>
      <c r="E104" s="133"/>
      <c r="F104" s="134">
        <v>0.216</v>
      </c>
      <c r="G104" s="134">
        <v>0.185</v>
      </c>
      <c r="H104" s="135">
        <v>2024</v>
      </c>
      <c r="I104" s="133" t="s">
        <v>5630</v>
      </c>
    </row>
    <row r="105" spans="1:9" ht="18.75" thickBot="1" x14ac:dyDescent="0.3">
      <c r="A105" t="str">
        <f t="shared" si="1"/>
        <v>012665D</v>
      </c>
      <c r="B105" s="133" t="s">
        <v>5788</v>
      </c>
      <c r="C105" s="133" t="s">
        <v>5789</v>
      </c>
      <c r="D105" s="441" t="s">
        <v>26</v>
      </c>
      <c r="E105" s="133"/>
      <c r="F105" s="134">
        <v>0.29399999999999998</v>
      </c>
      <c r="G105" s="134">
        <v>0.253</v>
      </c>
      <c r="H105" s="135">
        <v>2018</v>
      </c>
      <c r="I105" s="133" t="s">
        <v>8513</v>
      </c>
    </row>
    <row r="106" spans="1:9" ht="18.75" thickBot="1" x14ac:dyDescent="0.3">
      <c r="A106" t="str">
        <f t="shared" si="1"/>
        <v>165442D</v>
      </c>
      <c r="B106" s="133" t="s">
        <v>5790</v>
      </c>
      <c r="C106" s="133" t="s">
        <v>5791</v>
      </c>
      <c r="D106" s="441" t="s">
        <v>5503</v>
      </c>
      <c r="E106" s="133"/>
      <c r="F106" s="134">
        <v>0.254</v>
      </c>
      <c r="G106" s="134">
        <v>0.219</v>
      </c>
      <c r="H106" s="135">
        <v>2020</v>
      </c>
      <c r="I106" s="133" t="s">
        <v>5792</v>
      </c>
    </row>
    <row r="107" spans="1:9" ht="18.75" thickBot="1" x14ac:dyDescent="0.3">
      <c r="A107" t="str">
        <f t="shared" si="1"/>
        <v>103467N</v>
      </c>
      <c r="B107" s="133" t="s">
        <v>5793</v>
      </c>
      <c r="C107" s="133" t="s">
        <v>5794</v>
      </c>
      <c r="D107" s="441" t="s">
        <v>26</v>
      </c>
      <c r="E107" s="133"/>
      <c r="F107" s="134">
        <v>0.434</v>
      </c>
      <c r="G107" s="134">
        <v>0.373</v>
      </c>
      <c r="H107" s="135">
        <v>2020</v>
      </c>
      <c r="I107" s="133" t="s">
        <v>5598</v>
      </c>
    </row>
    <row r="108" spans="1:9" ht="18.75" thickBot="1" x14ac:dyDescent="0.3">
      <c r="A108" t="str">
        <f t="shared" si="1"/>
        <v>157616X</v>
      </c>
      <c r="B108" s="133" t="s">
        <v>5795</v>
      </c>
      <c r="C108" s="133" t="s">
        <v>5796</v>
      </c>
      <c r="D108" s="441" t="s">
        <v>5503</v>
      </c>
      <c r="E108" s="133"/>
      <c r="F108" s="134">
        <v>0.27100000000000002</v>
      </c>
      <c r="G108" s="134">
        <v>0.23300000000000001</v>
      </c>
      <c r="H108" s="135">
        <v>2023</v>
      </c>
      <c r="I108" s="133" t="s">
        <v>5701</v>
      </c>
    </row>
    <row r="109" spans="1:9" ht="18.75" thickBot="1" x14ac:dyDescent="0.3">
      <c r="A109" t="str">
        <f t="shared" si="1"/>
        <v>012668G</v>
      </c>
      <c r="B109" s="133" t="s">
        <v>5797</v>
      </c>
      <c r="C109" s="133" t="s">
        <v>5798</v>
      </c>
      <c r="D109" s="441" t="s">
        <v>25</v>
      </c>
      <c r="E109" s="133"/>
      <c r="F109" s="134" t="s">
        <v>5552</v>
      </c>
      <c r="G109" s="134">
        <v>0.54500000000000004</v>
      </c>
      <c r="H109" s="135">
        <v>2013</v>
      </c>
      <c r="I109" s="133" t="s">
        <v>5587</v>
      </c>
    </row>
    <row r="110" spans="1:9" ht="18.75" thickBot="1" x14ac:dyDescent="0.3">
      <c r="A110" t="str">
        <f t="shared" si="1"/>
        <v>142367R</v>
      </c>
      <c r="B110" s="133" t="s">
        <v>5799</v>
      </c>
      <c r="C110" s="133" t="s">
        <v>5800</v>
      </c>
      <c r="D110" s="441" t="s">
        <v>5503</v>
      </c>
      <c r="E110" s="133"/>
      <c r="F110" s="134">
        <v>0.27200000000000002</v>
      </c>
      <c r="G110" s="134">
        <v>0.23400000000000001</v>
      </c>
      <c r="H110" s="135">
        <v>2014</v>
      </c>
      <c r="I110" s="133" t="s">
        <v>5801</v>
      </c>
    </row>
    <row r="111" spans="1:9" ht="18.75" thickBot="1" x14ac:dyDescent="0.3">
      <c r="A111" t="str">
        <f t="shared" si="1"/>
        <v>012671J</v>
      </c>
      <c r="B111" s="133" t="s">
        <v>5802</v>
      </c>
      <c r="C111" s="133" t="s">
        <v>5803</v>
      </c>
      <c r="D111" s="441" t="s">
        <v>26</v>
      </c>
      <c r="E111" s="133"/>
      <c r="F111" s="134">
        <v>0.38800000000000001</v>
      </c>
      <c r="G111" s="134">
        <v>0.33400000000000002</v>
      </c>
      <c r="H111" s="135">
        <v>2013</v>
      </c>
      <c r="I111" s="133" t="s">
        <v>5792</v>
      </c>
    </row>
    <row r="112" spans="1:9" ht="18.75" thickBot="1" x14ac:dyDescent="0.3">
      <c r="A112" t="str">
        <f t="shared" si="1"/>
        <v>156244F</v>
      </c>
      <c r="B112" s="133" t="s">
        <v>5804</v>
      </c>
      <c r="C112" s="133" t="s">
        <v>5805</v>
      </c>
      <c r="D112" s="441" t="s">
        <v>5503</v>
      </c>
      <c r="E112" s="133"/>
      <c r="F112" s="134">
        <v>0.21099999999999999</v>
      </c>
      <c r="G112" s="134">
        <v>0.182</v>
      </c>
      <c r="H112" s="135">
        <v>2024</v>
      </c>
      <c r="I112" s="133" t="s">
        <v>5582</v>
      </c>
    </row>
    <row r="113" spans="1:9" ht="18.75" thickBot="1" x14ac:dyDescent="0.3">
      <c r="A113" t="str">
        <f t="shared" si="1"/>
        <v>145284W</v>
      </c>
      <c r="B113" s="133" t="s">
        <v>5806</v>
      </c>
      <c r="C113" s="133" t="s">
        <v>5807</v>
      </c>
      <c r="D113" s="441" t="s">
        <v>5503</v>
      </c>
      <c r="E113" s="133"/>
      <c r="F113" s="134">
        <v>0.28499999999999998</v>
      </c>
      <c r="G113" s="134">
        <v>0.245</v>
      </c>
      <c r="H113" s="135">
        <v>2024</v>
      </c>
      <c r="I113" s="133" t="s">
        <v>5625</v>
      </c>
    </row>
    <row r="114" spans="1:9" ht="18.75" thickBot="1" x14ac:dyDescent="0.3">
      <c r="A114" t="str">
        <f t="shared" si="1"/>
        <v>103163V</v>
      </c>
      <c r="B114" s="133" t="s">
        <v>5808</v>
      </c>
      <c r="C114" s="133" t="s">
        <v>5809</v>
      </c>
      <c r="D114" s="441" t="s">
        <v>26</v>
      </c>
      <c r="E114" s="133"/>
      <c r="F114" s="134">
        <v>0.51700000000000002</v>
      </c>
      <c r="G114" s="134">
        <v>0.44500000000000001</v>
      </c>
      <c r="H114" s="135">
        <v>2020</v>
      </c>
      <c r="I114" s="133" t="s">
        <v>5566</v>
      </c>
    </row>
    <row r="115" spans="1:9" ht="18.75" thickBot="1" x14ac:dyDescent="0.3">
      <c r="A115" t="str">
        <f t="shared" si="1"/>
        <v>012692E</v>
      </c>
      <c r="B115" s="133" t="s">
        <v>5810</v>
      </c>
      <c r="C115" s="133" t="s">
        <v>5811</v>
      </c>
      <c r="D115" s="441" t="s">
        <v>24</v>
      </c>
      <c r="E115" s="133"/>
      <c r="F115" s="134" t="s">
        <v>5552</v>
      </c>
      <c r="G115" s="134">
        <v>0.59499999999999997</v>
      </c>
      <c r="H115" s="135">
        <v>2009</v>
      </c>
      <c r="I115" s="133" t="s">
        <v>5678</v>
      </c>
    </row>
    <row r="116" spans="1:9" ht="18.75" thickBot="1" x14ac:dyDescent="0.3">
      <c r="A116" t="str">
        <f t="shared" si="1"/>
        <v>132873N</v>
      </c>
      <c r="B116" s="133" t="s">
        <v>5812</v>
      </c>
      <c r="C116" s="133" t="s">
        <v>5813</v>
      </c>
      <c r="D116" s="441" t="s">
        <v>5504</v>
      </c>
      <c r="E116" s="133"/>
      <c r="F116" s="134">
        <v>0.17799999999999999</v>
      </c>
      <c r="G116" s="134">
        <v>0.153</v>
      </c>
      <c r="H116" s="135">
        <v>2014</v>
      </c>
      <c r="I116" s="133" t="s">
        <v>5657</v>
      </c>
    </row>
    <row r="117" spans="1:9" ht="18.75" thickBot="1" x14ac:dyDescent="0.3">
      <c r="A117" t="str">
        <f t="shared" si="1"/>
        <v>108088G</v>
      </c>
      <c r="B117" s="133" t="s">
        <v>5814</v>
      </c>
      <c r="C117" s="133" t="s">
        <v>5815</v>
      </c>
      <c r="D117" s="441" t="s">
        <v>26</v>
      </c>
      <c r="E117" s="133"/>
      <c r="F117" s="134">
        <v>0.39</v>
      </c>
      <c r="G117" s="134">
        <v>0.33500000000000002</v>
      </c>
      <c r="H117" s="135">
        <v>2008</v>
      </c>
      <c r="I117" s="133" t="s">
        <v>5678</v>
      </c>
    </row>
    <row r="118" spans="1:9" ht="18.75" thickBot="1" x14ac:dyDescent="0.3">
      <c r="A118" t="str">
        <f t="shared" si="1"/>
        <v>011504M</v>
      </c>
      <c r="B118" s="133" t="s">
        <v>5816</v>
      </c>
      <c r="C118" s="133" t="s">
        <v>5817</v>
      </c>
      <c r="D118" s="441" t="s">
        <v>25</v>
      </c>
      <c r="E118" s="133"/>
      <c r="F118" s="134" t="s">
        <v>5552</v>
      </c>
      <c r="G118" s="134">
        <v>0.45800000000000002</v>
      </c>
      <c r="H118" s="135">
        <v>2019</v>
      </c>
      <c r="I118" s="133" t="s">
        <v>5801</v>
      </c>
    </row>
    <row r="119" spans="1:9" ht="18.75" thickBot="1" x14ac:dyDescent="0.3">
      <c r="A119" t="str">
        <f t="shared" si="1"/>
        <v>182330K</v>
      </c>
      <c r="B119" s="133" t="s">
        <v>8520</v>
      </c>
      <c r="C119" s="133" t="s">
        <v>8521</v>
      </c>
      <c r="D119" s="441" t="s">
        <v>5704</v>
      </c>
      <c r="E119" s="133"/>
      <c r="F119" s="134">
        <v>0.21</v>
      </c>
      <c r="G119" s="134">
        <v>0.18099999999999999</v>
      </c>
      <c r="H119" s="135">
        <v>2024</v>
      </c>
      <c r="I119" s="133" t="s">
        <v>5726</v>
      </c>
    </row>
    <row r="120" spans="1:9" ht="18.75" thickBot="1" x14ac:dyDescent="0.3">
      <c r="A120" t="str">
        <f t="shared" si="1"/>
        <v>012711X</v>
      </c>
      <c r="B120" s="133" t="s">
        <v>5818</v>
      </c>
      <c r="C120" s="133" t="s">
        <v>5819</v>
      </c>
      <c r="D120" s="441" t="s">
        <v>26</v>
      </c>
      <c r="E120" s="133"/>
      <c r="F120" s="134">
        <v>0.51300000000000001</v>
      </c>
      <c r="G120" s="134">
        <v>0.441</v>
      </c>
      <c r="H120" s="135">
        <v>2008</v>
      </c>
      <c r="I120" s="133" t="s">
        <v>5630</v>
      </c>
    </row>
    <row r="121" spans="1:9" ht="18.75" thickBot="1" x14ac:dyDescent="0.3">
      <c r="A121" t="str">
        <f t="shared" si="1"/>
        <v>138254M</v>
      </c>
      <c r="B121" s="133" t="s">
        <v>5820</v>
      </c>
      <c r="C121" s="133" t="s">
        <v>5821</v>
      </c>
      <c r="D121" s="441" t="s">
        <v>26</v>
      </c>
      <c r="E121" s="133"/>
      <c r="F121" s="134">
        <v>0.42399999999999999</v>
      </c>
      <c r="G121" s="134">
        <v>0.36499999999999999</v>
      </c>
      <c r="H121" s="135">
        <v>2024</v>
      </c>
      <c r="I121" s="133" t="s">
        <v>5587</v>
      </c>
    </row>
    <row r="122" spans="1:9" ht="18.75" thickBot="1" x14ac:dyDescent="0.3">
      <c r="A122" t="str">
        <f t="shared" si="1"/>
        <v>154343P</v>
      </c>
      <c r="B122" s="133" t="s">
        <v>5822</v>
      </c>
      <c r="C122" s="133" t="s">
        <v>5823</v>
      </c>
      <c r="D122" s="441" t="s">
        <v>26</v>
      </c>
      <c r="E122" s="133"/>
      <c r="F122" s="134">
        <v>0.372</v>
      </c>
      <c r="G122" s="134">
        <v>0.32</v>
      </c>
      <c r="H122" s="135">
        <v>2016</v>
      </c>
      <c r="I122" s="133" t="s">
        <v>5556</v>
      </c>
    </row>
    <row r="123" spans="1:9" ht="18.75" thickBot="1" x14ac:dyDescent="0.3">
      <c r="A123" t="str">
        <f t="shared" si="1"/>
        <v>144848C</v>
      </c>
      <c r="B123" s="133" t="s">
        <v>5824</v>
      </c>
      <c r="C123" s="133" t="s">
        <v>5825</v>
      </c>
      <c r="D123" s="441" t="s">
        <v>5504</v>
      </c>
      <c r="E123" s="133"/>
      <c r="F123" s="134">
        <v>0.19700000000000001</v>
      </c>
      <c r="G123" s="134">
        <v>0.17</v>
      </c>
      <c r="H123" s="135">
        <v>2012</v>
      </c>
      <c r="I123" s="133" t="s">
        <v>5801</v>
      </c>
    </row>
    <row r="124" spans="1:9" ht="18.75" thickBot="1" x14ac:dyDescent="0.3">
      <c r="A124" t="str">
        <f t="shared" si="1"/>
        <v>012726M</v>
      </c>
      <c r="B124" s="133" t="s">
        <v>5826</v>
      </c>
      <c r="C124" s="133" t="s">
        <v>5827</v>
      </c>
      <c r="D124" s="441" t="s">
        <v>5504</v>
      </c>
      <c r="E124" s="133"/>
      <c r="F124" s="134">
        <v>0.19800000000000001</v>
      </c>
      <c r="G124" s="134">
        <v>0.17</v>
      </c>
      <c r="H124" s="135">
        <v>2024</v>
      </c>
      <c r="I124" s="133" t="s">
        <v>5792</v>
      </c>
    </row>
    <row r="125" spans="1:9" ht="18.75" thickBot="1" x14ac:dyDescent="0.3">
      <c r="A125" t="str">
        <f t="shared" si="1"/>
        <v>012727N</v>
      </c>
      <c r="B125" s="133" t="s">
        <v>5828</v>
      </c>
      <c r="C125" s="133" t="s">
        <v>5829</v>
      </c>
      <c r="D125" s="441" t="s">
        <v>25</v>
      </c>
      <c r="E125" s="133"/>
      <c r="F125" s="134" t="s">
        <v>5552</v>
      </c>
      <c r="G125" s="134">
        <v>0.48399999999999999</v>
      </c>
      <c r="H125" s="135">
        <v>2023</v>
      </c>
      <c r="I125" s="133" t="s">
        <v>5553</v>
      </c>
    </row>
    <row r="126" spans="1:9" ht="18.75" thickBot="1" x14ac:dyDescent="0.3">
      <c r="A126" t="str">
        <f t="shared" si="1"/>
        <v>162915G</v>
      </c>
      <c r="B126" s="133" t="s">
        <v>5830</v>
      </c>
      <c r="C126" s="133" t="s">
        <v>5831</v>
      </c>
      <c r="D126" s="441" t="s">
        <v>5504</v>
      </c>
      <c r="E126" s="133"/>
      <c r="F126" s="134">
        <v>0.21</v>
      </c>
      <c r="G126" s="134">
        <v>0.18099999999999999</v>
      </c>
      <c r="H126" s="135">
        <v>2019</v>
      </c>
      <c r="I126" s="133" t="s">
        <v>5582</v>
      </c>
    </row>
    <row r="127" spans="1:9" ht="18.75" thickBot="1" x14ac:dyDescent="0.3">
      <c r="A127" t="str">
        <f t="shared" si="1"/>
        <v>152435Q</v>
      </c>
      <c r="B127" s="133" t="s">
        <v>5832</v>
      </c>
      <c r="C127" s="133" t="s">
        <v>5833</v>
      </c>
      <c r="D127" s="441" t="s">
        <v>5504</v>
      </c>
      <c r="E127" s="133"/>
      <c r="F127" s="134">
        <v>0.106</v>
      </c>
      <c r="G127" s="134">
        <v>9.0999999999999998E-2</v>
      </c>
      <c r="H127" s="135">
        <v>2018</v>
      </c>
      <c r="I127" s="133" t="s">
        <v>5582</v>
      </c>
    </row>
    <row r="128" spans="1:9" ht="18.75" thickBot="1" x14ac:dyDescent="0.3">
      <c r="A128" t="str">
        <f t="shared" si="1"/>
        <v>133840S</v>
      </c>
      <c r="B128" s="133" t="s">
        <v>5834</v>
      </c>
      <c r="C128" s="133" t="s">
        <v>5835</v>
      </c>
      <c r="D128" s="441" t="s">
        <v>25</v>
      </c>
      <c r="E128" s="133"/>
      <c r="F128" s="134" t="s">
        <v>5552</v>
      </c>
      <c r="G128" s="134">
        <v>0.55600000000000005</v>
      </c>
      <c r="H128" s="135">
        <v>2024</v>
      </c>
      <c r="I128" s="133" t="s">
        <v>5701</v>
      </c>
    </row>
    <row r="129" spans="1:9" ht="18.75" thickBot="1" x14ac:dyDescent="0.3">
      <c r="A129" t="str">
        <f t="shared" si="1"/>
        <v>126098Y</v>
      </c>
      <c r="B129" s="133" t="s">
        <v>5836</v>
      </c>
      <c r="C129" s="133" t="s">
        <v>5837</v>
      </c>
      <c r="D129" s="441" t="s">
        <v>26</v>
      </c>
      <c r="E129" s="133"/>
      <c r="F129" s="134">
        <v>0.377</v>
      </c>
      <c r="G129" s="134">
        <v>0.32400000000000001</v>
      </c>
      <c r="H129" s="135">
        <v>2020</v>
      </c>
      <c r="I129" s="133" t="s">
        <v>5582</v>
      </c>
    </row>
    <row r="130" spans="1:9" ht="18.75" thickBot="1" x14ac:dyDescent="0.3">
      <c r="A130" t="str">
        <f t="shared" si="1"/>
        <v>142843Z</v>
      </c>
      <c r="B130" s="133" t="s">
        <v>5838</v>
      </c>
      <c r="C130" s="133" t="s">
        <v>5839</v>
      </c>
      <c r="D130" s="441" t="s">
        <v>5504</v>
      </c>
      <c r="E130" s="133"/>
      <c r="F130" s="134">
        <v>0.22600000000000001</v>
      </c>
      <c r="G130" s="134">
        <v>0.19400000000000001</v>
      </c>
      <c r="H130" s="135">
        <v>2024</v>
      </c>
      <c r="I130" s="133" t="s">
        <v>5710</v>
      </c>
    </row>
    <row r="131" spans="1:9" ht="18.75" thickBot="1" x14ac:dyDescent="0.3">
      <c r="A131" t="str">
        <f t="shared" ref="A131:A194" si="2">SUBSTITUTE(B131,CHAR(32),"")</f>
        <v>012736W</v>
      </c>
      <c r="B131" s="133" t="s">
        <v>5840</v>
      </c>
      <c r="C131" s="133" t="s">
        <v>5841</v>
      </c>
      <c r="D131" s="441" t="s">
        <v>26</v>
      </c>
      <c r="E131" s="133"/>
      <c r="F131" s="134">
        <v>0.44400000000000001</v>
      </c>
      <c r="G131" s="134">
        <v>0.38200000000000001</v>
      </c>
      <c r="H131" s="135">
        <v>2024</v>
      </c>
      <c r="I131" s="133" t="s">
        <v>5787</v>
      </c>
    </row>
    <row r="132" spans="1:9" ht="18.75" thickBot="1" x14ac:dyDescent="0.3">
      <c r="A132" t="str">
        <f t="shared" si="2"/>
        <v>150128H</v>
      </c>
      <c r="B132" s="133" t="s">
        <v>5842</v>
      </c>
      <c r="C132" s="133" t="s">
        <v>5843</v>
      </c>
      <c r="D132" s="441" t="s">
        <v>26</v>
      </c>
      <c r="E132" s="133"/>
      <c r="F132" s="134">
        <v>0.39</v>
      </c>
      <c r="G132" s="134">
        <v>0.33500000000000002</v>
      </c>
      <c r="H132" s="135">
        <v>2024</v>
      </c>
      <c r="I132" s="133" t="s">
        <v>5594</v>
      </c>
    </row>
    <row r="133" spans="1:9" ht="18.75" thickBot="1" x14ac:dyDescent="0.3">
      <c r="A133" t="str">
        <f t="shared" si="2"/>
        <v>012742C</v>
      </c>
      <c r="B133" s="133" t="s">
        <v>8607</v>
      </c>
      <c r="C133" s="133" t="s">
        <v>8608</v>
      </c>
      <c r="D133" s="441" t="s">
        <v>5562</v>
      </c>
      <c r="E133" s="133"/>
      <c r="F133" s="134">
        <v>0.50900000000000001</v>
      </c>
      <c r="G133" s="134">
        <v>0.438</v>
      </c>
      <c r="H133" s="135">
        <v>2024</v>
      </c>
      <c r="I133" s="133" t="s">
        <v>5701</v>
      </c>
    </row>
    <row r="134" spans="1:9" ht="18.75" thickBot="1" x14ac:dyDescent="0.3">
      <c r="A134" t="str">
        <f t="shared" si="2"/>
        <v>012745F</v>
      </c>
      <c r="B134" s="133" t="s">
        <v>5844</v>
      </c>
      <c r="C134" s="133" t="s">
        <v>5845</v>
      </c>
      <c r="D134" s="441" t="s">
        <v>26</v>
      </c>
      <c r="E134" s="133"/>
      <c r="F134" s="134">
        <v>0.38100000000000001</v>
      </c>
      <c r="G134" s="134">
        <v>0.32800000000000001</v>
      </c>
      <c r="H134" s="135">
        <v>2017</v>
      </c>
      <c r="I134" s="133" t="s">
        <v>5582</v>
      </c>
    </row>
    <row r="135" spans="1:9" ht="18.75" thickBot="1" x14ac:dyDescent="0.3">
      <c r="A135" t="str">
        <f t="shared" si="2"/>
        <v>012751L</v>
      </c>
      <c r="B135" s="133" t="s">
        <v>5846</v>
      </c>
      <c r="C135" s="133" t="s">
        <v>5847</v>
      </c>
      <c r="D135" s="441" t="s">
        <v>24</v>
      </c>
      <c r="E135" s="133"/>
      <c r="F135" s="134" t="s">
        <v>5552</v>
      </c>
      <c r="G135" s="134">
        <v>0.74399999999999999</v>
      </c>
      <c r="H135" s="135">
        <v>2011</v>
      </c>
      <c r="I135" s="133" t="s">
        <v>5671</v>
      </c>
    </row>
    <row r="136" spans="1:9" ht="18.75" thickBot="1" x14ac:dyDescent="0.3">
      <c r="A136" t="str">
        <f t="shared" si="2"/>
        <v>130928S</v>
      </c>
      <c r="B136" s="133" t="s">
        <v>5848</v>
      </c>
      <c r="C136" s="133" t="s">
        <v>5849</v>
      </c>
      <c r="D136" s="441" t="s">
        <v>26</v>
      </c>
      <c r="E136" s="133"/>
      <c r="F136" s="134">
        <v>0.32700000000000001</v>
      </c>
      <c r="G136" s="134">
        <v>0.28100000000000003</v>
      </c>
      <c r="H136" s="135">
        <v>2012</v>
      </c>
      <c r="I136" s="133" t="s">
        <v>5850</v>
      </c>
    </row>
    <row r="137" spans="1:9" ht="18.75" thickBot="1" x14ac:dyDescent="0.3">
      <c r="A137" t="str">
        <f t="shared" si="2"/>
        <v>012754O</v>
      </c>
      <c r="B137" s="133" t="s">
        <v>5851</v>
      </c>
      <c r="C137" s="133" t="s">
        <v>5852</v>
      </c>
      <c r="D137" s="441" t="s">
        <v>26</v>
      </c>
      <c r="E137" s="133"/>
      <c r="F137" s="134">
        <v>0.46600000000000003</v>
      </c>
      <c r="G137" s="134">
        <v>0.4</v>
      </c>
      <c r="H137" s="135">
        <v>2014</v>
      </c>
      <c r="I137" s="133" t="s">
        <v>5853</v>
      </c>
    </row>
    <row r="138" spans="1:9" ht="18.75" thickBot="1" x14ac:dyDescent="0.3">
      <c r="A138" t="str">
        <f t="shared" si="2"/>
        <v>012762W</v>
      </c>
      <c r="B138" s="133" t="s">
        <v>5854</v>
      </c>
      <c r="C138" s="133" t="s">
        <v>5855</v>
      </c>
      <c r="D138" s="441" t="s">
        <v>5503</v>
      </c>
      <c r="E138" s="133"/>
      <c r="F138" s="134">
        <v>0.25</v>
      </c>
      <c r="G138" s="134">
        <v>0.215</v>
      </c>
      <c r="H138" s="135">
        <v>2008</v>
      </c>
      <c r="I138" s="133" t="s">
        <v>5646</v>
      </c>
    </row>
    <row r="139" spans="1:9" ht="18.75" thickBot="1" x14ac:dyDescent="0.3">
      <c r="A139" t="str">
        <f t="shared" si="2"/>
        <v>012768C</v>
      </c>
      <c r="B139" s="133" t="s">
        <v>5856</v>
      </c>
      <c r="C139" s="133" t="s">
        <v>5857</v>
      </c>
      <c r="D139" s="441" t="s">
        <v>26</v>
      </c>
      <c r="E139" s="133"/>
      <c r="F139" s="134">
        <v>0.49099999999999999</v>
      </c>
      <c r="G139" s="134">
        <v>0.42199999999999999</v>
      </c>
      <c r="H139" s="135">
        <v>2023</v>
      </c>
      <c r="I139" s="133" t="s">
        <v>5598</v>
      </c>
    </row>
    <row r="140" spans="1:9" ht="18.75" thickBot="1" x14ac:dyDescent="0.3">
      <c r="A140" t="str">
        <f t="shared" si="2"/>
        <v>124892O</v>
      </c>
      <c r="B140" s="133" t="s">
        <v>5858</v>
      </c>
      <c r="C140" s="133" t="s">
        <v>5859</v>
      </c>
      <c r="D140" s="441" t="s">
        <v>5503</v>
      </c>
      <c r="E140" s="133"/>
      <c r="F140" s="134">
        <v>0.30599999999999999</v>
      </c>
      <c r="G140" s="134">
        <v>0.26300000000000001</v>
      </c>
      <c r="H140" s="135">
        <v>2024</v>
      </c>
      <c r="I140" s="133" t="s">
        <v>5566</v>
      </c>
    </row>
    <row r="141" spans="1:9" ht="18.75" thickBot="1" x14ac:dyDescent="0.3">
      <c r="A141" t="str">
        <f t="shared" si="2"/>
        <v>012772G</v>
      </c>
      <c r="B141" s="133" t="s">
        <v>5860</v>
      </c>
      <c r="C141" s="133" t="s">
        <v>5861</v>
      </c>
      <c r="D141" s="441" t="s">
        <v>5504</v>
      </c>
      <c r="E141" s="133"/>
      <c r="F141" s="134">
        <v>0.22800000000000001</v>
      </c>
      <c r="G141" s="134">
        <v>0.19600000000000001</v>
      </c>
      <c r="H141" s="135">
        <v>2018</v>
      </c>
      <c r="I141" s="133" t="s">
        <v>5678</v>
      </c>
    </row>
    <row r="142" spans="1:9" ht="18.75" thickBot="1" x14ac:dyDescent="0.3">
      <c r="A142" t="str">
        <f t="shared" si="2"/>
        <v>012774I</v>
      </c>
      <c r="B142" s="133" t="s">
        <v>7136</v>
      </c>
      <c r="C142" s="133" t="s">
        <v>7137</v>
      </c>
      <c r="D142" s="441" t="s">
        <v>5503</v>
      </c>
      <c r="E142" s="133"/>
      <c r="F142" s="134">
        <v>0.26600000000000001</v>
      </c>
      <c r="G142" s="134">
        <v>0.22900000000000001</v>
      </c>
      <c r="H142" s="135">
        <v>2024</v>
      </c>
      <c r="I142" s="133" t="s">
        <v>5678</v>
      </c>
    </row>
    <row r="143" spans="1:9" ht="18.75" thickBot="1" x14ac:dyDescent="0.3">
      <c r="A143" t="str">
        <f t="shared" si="2"/>
        <v>163351F</v>
      </c>
      <c r="B143" s="133" t="s">
        <v>5862</v>
      </c>
      <c r="C143" s="133" t="s">
        <v>5863</v>
      </c>
      <c r="D143" s="441" t="s">
        <v>5504</v>
      </c>
      <c r="E143" s="133"/>
      <c r="F143" s="134">
        <v>0.17100000000000001</v>
      </c>
      <c r="G143" s="134">
        <v>0.14699999999999999</v>
      </c>
      <c r="H143" s="135">
        <v>2024</v>
      </c>
      <c r="I143" s="133" t="s">
        <v>5787</v>
      </c>
    </row>
    <row r="144" spans="1:9" ht="18.75" thickBot="1" x14ac:dyDescent="0.3">
      <c r="A144" t="str">
        <f t="shared" si="2"/>
        <v>012777L</v>
      </c>
      <c r="B144" s="133" t="s">
        <v>5864</v>
      </c>
      <c r="C144" s="133" t="s">
        <v>5865</v>
      </c>
      <c r="D144" s="441" t="s">
        <v>5503</v>
      </c>
      <c r="E144" s="133"/>
      <c r="F144" s="134">
        <v>0.34599999999999997</v>
      </c>
      <c r="G144" s="134">
        <v>0.29699999999999999</v>
      </c>
      <c r="H144" s="135">
        <v>2009</v>
      </c>
      <c r="I144" s="133" t="s">
        <v>5792</v>
      </c>
    </row>
    <row r="145" spans="1:9" ht="18.75" thickBot="1" x14ac:dyDescent="0.3">
      <c r="A145" t="str">
        <f t="shared" si="2"/>
        <v>103516K</v>
      </c>
      <c r="B145" s="133" t="s">
        <v>5866</v>
      </c>
      <c r="C145" s="133" t="s">
        <v>5867</v>
      </c>
      <c r="D145" s="441" t="s">
        <v>5503</v>
      </c>
      <c r="E145" s="133"/>
      <c r="F145" s="134">
        <v>0.316</v>
      </c>
      <c r="G145" s="134">
        <v>0.27200000000000002</v>
      </c>
      <c r="H145" s="135">
        <v>2009</v>
      </c>
      <c r="I145" s="133" t="s">
        <v>5639</v>
      </c>
    </row>
    <row r="146" spans="1:9" ht="18.75" thickBot="1" x14ac:dyDescent="0.3">
      <c r="A146" t="str">
        <f t="shared" si="2"/>
        <v>012778M</v>
      </c>
      <c r="B146" s="133" t="s">
        <v>5868</v>
      </c>
      <c r="C146" s="133" t="s">
        <v>5869</v>
      </c>
      <c r="D146" s="441" t="s">
        <v>26</v>
      </c>
      <c r="E146" s="133"/>
      <c r="F146" s="134">
        <v>0.36</v>
      </c>
      <c r="G146" s="134">
        <v>0.31</v>
      </c>
      <c r="H146" s="135">
        <v>2015</v>
      </c>
      <c r="I146" s="133" t="s">
        <v>5566</v>
      </c>
    </row>
    <row r="147" spans="1:9" ht="18.75" thickBot="1" x14ac:dyDescent="0.3">
      <c r="A147" t="str">
        <f t="shared" si="2"/>
        <v>166693N</v>
      </c>
      <c r="B147" s="133" t="s">
        <v>5870</v>
      </c>
      <c r="C147" s="133" t="s">
        <v>5871</v>
      </c>
      <c r="D147" s="441" t="s">
        <v>5503</v>
      </c>
      <c r="E147" s="133"/>
      <c r="F147" s="134">
        <v>0.31</v>
      </c>
      <c r="G147" s="134">
        <v>0.26600000000000001</v>
      </c>
      <c r="H147" s="135">
        <v>2024</v>
      </c>
      <c r="I147" s="133" t="s">
        <v>5726</v>
      </c>
    </row>
    <row r="148" spans="1:9" ht="18.75" thickBot="1" x14ac:dyDescent="0.3">
      <c r="A148" t="str">
        <f t="shared" si="2"/>
        <v>132646U</v>
      </c>
      <c r="B148" s="133" t="s">
        <v>5872</v>
      </c>
      <c r="C148" s="133" t="s">
        <v>5873</v>
      </c>
      <c r="D148" s="441" t="s">
        <v>26</v>
      </c>
      <c r="E148" s="133"/>
      <c r="F148" s="134">
        <v>0.39200000000000002</v>
      </c>
      <c r="G148" s="134">
        <v>0.33700000000000002</v>
      </c>
      <c r="H148" s="135">
        <v>2024</v>
      </c>
      <c r="I148" s="133" t="s">
        <v>5787</v>
      </c>
    </row>
    <row r="149" spans="1:9" ht="18.75" thickBot="1" x14ac:dyDescent="0.3">
      <c r="A149" t="str">
        <f t="shared" si="2"/>
        <v>175685M</v>
      </c>
      <c r="B149" s="133" t="s">
        <v>5874</v>
      </c>
      <c r="C149" s="133" t="s">
        <v>5875</v>
      </c>
      <c r="D149" s="441" t="s">
        <v>26</v>
      </c>
      <c r="E149" s="133"/>
      <c r="F149" s="134">
        <v>0.47699999999999998</v>
      </c>
      <c r="G149" s="134">
        <v>0.41</v>
      </c>
      <c r="H149" s="135">
        <v>2024</v>
      </c>
      <c r="I149" s="133" t="s">
        <v>5598</v>
      </c>
    </row>
    <row r="150" spans="1:9" ht="18.75" thickBot="1" x14ac:dyDescent="0.3">
      <c r="A150" t="str">
        <f t="shared" si="2"/>
        <v>133746C</v>
      </c>
      <c r="B150" s="133" t="s">
        <v>5876</v>
      </c>
      <c r="C150" s="133" t="s">
        <v>5877</v>
      </c>
      <c r="D150" s="441" t="s">
        <v>5504</v>
      </c>
      <c r="E150" s="133"/>
      <c r="F150" s="134">
        <v>0.189</v>
      </c>
      <c r="G150" s="134">
        <v>0.16200000000000001</v>
      </c>
      <c r="H150" s="135">
        <v>2014</v>
      </c>
      <c r="I150" s="133" t="s">
        <v>5666</v>
      </c>
    </row>
    <row r="151" spans="1:9" ht="18.75" thickBot="1" x14ac:dyDescent="0.3">
      <c r="A151" t="str">
        <f t="shared" si="2"/>
        <v>012795D</v>
      </c>
      <c r="B151" s="133" t="s">
        <v>5878</v>
      </c>
      <c r="C151" s="133" t="s">
        <v>5879</v>
      </c>
      <c r="D151" s="441" t="s">
        <v>25</v>
      </c>
      <c r="E151" s="133"/>
      <c r="F151" s="134" t="s">
        <v>5552</v>
      </c>
      <c r="G151" s="134">
        <v>0.379</v>
      </c>
      <c r="H151" s="135">
        <v>2018</v>
      </c>
      <c r="I151" s="133" t="s">
        <v>5573</v>
      </c>
    </row>
    <row r="152" spans="1:9" ht="18.75" thickBot="1" x14ac:dyDescent="0.3">
      <c r="A152" t="str">
        <f t="shared" si="2"/>
        <v>111054I</v>
      </c>
      <c r="B152" s="133" t="s">
        <v>5880</v>
      </c>
      <c r="C152" s="133" t="s">
        <v>5881</v>
      </c>
      <c r="D152" s="441" t="s">
        <v>5503</v>
      </c>
      <c r="E152" s="133"/>
      <c r="F152" s="134">
        <v>0.30399999999999999</v>
      </c>
      <c r="G152" s="134">
        <v>0.26100000000000001</v>
      </c>
      <c r="H152" s="135">
        <v>2017</v>
      </c>
      <c r="I152" s="133" t="s">
        <v>5566</v>
      </c>
    </row>
    <row r="153" spans="1:9" ht="18.75" thickBot="1" x14ac:dyDescent="0.3">
      <c r="A153" t="str">
        <f t="shared" si="2"/>
        <v>127812W</v>
      </c>
      <c r="B153" s="133" t="s">
        <v>5882</v>
      </c>
      <c r="C153" s="133" t="s">
        <v>5883</v>
      </c>
      <c r="D153" s="441" t="s">
        <v>5504</v>
      </c>
      <c r="E153" s="133"/>
      <c r="F153" s="134">
        <v>0.217</v>
      </c>
      <c r="G153" s="134">
        <v>0.186</v>
      </c>
      <c r="H153" s="135">
        <v>2010</v>
      </c>
      <c r="I153" s="133" t="s">
        <v>5884</v>
      </c>
    </row>
    <row r="154" spans="1:9" ht="18.75" thickBot="1" x14ac:dyDescent="0.3">
      <c r="A154" t="str">
        <f t="shared" si="2"/>
        <v>119524C</v>
      </c>
      <c r="B154" s="133" t="s">
        <v>5885</v>
      </c>
      <c r="C154" s="133" t="s">
        <v>5886</v>
      </c>
      <c r="D154" s="441" t="s">
        <v>26</v>
      </c>
      <c r="E154" s="133"/>
      <c r="F154" s="134">
        <v>0.47099999999999997</v>
      </c>
      <c r="G154" s="134">
        <v>0.40500000000000003</v>
      </c>
      <c r="H154" s="135">
        <v>2023</v>
      </c>
      <c r="I154" s="133" t="s">
        <v>5646</v>
      </c>
    </row>
    <row r="155" spans="1:9" ht="18.75" thickBot="1" x14ac:dyDescent="0.3">
      <c r="A155" t="str">
        <f t="shared" si="2"/>
        <v>117592U</v>
      </c>
      <c r="B155" s="133" t="s">
        <v>5887</v>
      </c>
      <c r="C155" s="133" t="s">
        <v>5888</v>
      </c>
      <c r="D155" s="441" t="s">
        <v>25</v>
      </c>
      <c r="E155" s="133"/>
      <c r="F155" s="134" t="s">
        <v>5552</v>
      </c>
      <c r="G155" s="134">
        <v>0.47499999999999998</v>
      </c>
      <c r="H155" s="135">
        <v>2022</v>
      </c>
      <c r="I155" s="133" t="s">
        <v>5657</v>
      </c>
    </row>
    <row r="156" spans="1:9" ht="18.75" thickBot="1" x14ac:dyDescent="0.3">
      <c r="A156" t="str">
        <f t="shared" si="2"/>
        <v>012798G</v>
      </c>
      <c r="B156" s="133" t="s">
        <v>5889</v>
      </c>
      <c r="C156" s="133" t="s">
        <v>5890</v>
      </c>
      <c r="D156" s="441" t="s">
        <v>25</v>
      </c>
      <c r="E156" s="133"/>
      <c r="F156" s="134" t="s">
        <v>5552</v>
      </c>
      <c r="G156" s="134">
        <v>0.41699999999999998</v>
      </c>
      <c r="H156" s="135">
        <v>2010</v>
      </c>
      <c r="I156" s="133" t="s">
        <v>5587</v>
      </c>
    </row>
    <row r="157" spans="1:9" ht="18.75" thickBot="1" x14ac:dyDescent="0.3">
      <c r="A157" t="str">
        <f t="shared" si="2"/>
        <v>012800I</v>
      </c>
      <c r="B157" s="133" t="s">
        <v>5891</v>
      </c>
      <c r="C157" s="133" t="s">
        <v>5892</v>
      </c>
      <c r="D157" s="441" t="s">
        <v>26</v>
      </c>
      <c r="E157" s="133"/>
      <c r="F157" s="134">
        <v>0.47399999999999998</v>
      </c>
      <c r="G157" s="134">
        <v>0.40799999999999997</v>
      </c>
      <c r="H157" s="135">
        <v>2022</v>
      </c>
      <c r="I157" s="133" t="s">
        <v>5639</v>
      </c>
    </row>
    <row r="158" spans="1:9" ht="18.75" thickBot="1" x14ac:dyDescent="0.3">
      <c r="A158" t="str">
        <f t="shared" si="2"/>
        <v>160016F</v>
      </c>
      <c r="B158" s="133" t="s">
        <v>5893</v>
      </c>
      <c r="C158" s="133" t="s">
        <v>5894</v>
      </c>
      <c r="D158" s="441" t="s">
        <v>5503</v>
      </c>
      <c r="E158" s="133"/>
      <c r="F158" s="134">
        <v>0.32700000000000001</v>
      </c>
      <c r="G158" s="134">
        <v>0.28100000000000003</v>
      </c>
      <c r="H158" s="135">
        <v>2024</v>
      </c>
      <c r="I158" s="133" t="s">
        <v>5895</v>
      </c>
    </row>
    <row r="159" spans="1:9" ht="18.75" thickBot="1" x14ac:dyDescent="0.3">
      <c r="A159" t="str">
        <f t="shared" si="2"/>
        <v>012810S</v>
      </c>
      <c r="B159" s="133" t="s">
        <v>5896</v>
      </c>
      <c r="C159" s="133" t="s">
        <v>5897</v>
      </c>
      <c r="D159" s="441" t="s">
        <v>26</v>
      </c>
      <c r="E159" s="133"/>
      <c r="F159" s="134">
        <v>0.47299999999999998</v>
      </c>
      <c r="G159" s="134">
        <v>0.40600000000000003</v>
      </c>
      <c r="H159" s="135">
        <v>2014</v>
      </c>
      <c r="I159" s="133" t="s">
        <v>5553</v>
      </c>
    </row>
    <row r="160" spans="1:9" ht="18.75" thickBot="1" x14ac:dyDescent="0.3">
      <c r="A160" t="str">
        <f t="shared" si="2"/>
        <v>171278X</v>
      </c>
      <c r="B160" s="133" t="s">
        <v>5898</v>
      </c>
      <c r="C160" s="133" t="s">
        <v>5899</v>
      </c>
      <c r="D160" s="441" t="s">
        <v>5503</v>
      </c>
      <c r="E160" s="133"/>
      <c r="F160" s="134">
        <v>0.27300000000000002</v>
      </c>
      <c r="G160" s="134">
        <v>0.23499999999999999</v>
      </c>
      <c r="H160" s="135">
        <v>2024</v>
      </c>
      <c r="I160" s="133" t="s">
        <v>5710</v>
      </c>
    </row>
    <row r="161" spans="1:9" ht="18.75" thickBot="1" x14ac:dyDescent="0.3">
      <c r="A161" t="str">
        <f t="shared" si="2"/>
        <v>012822E</v>
      </c>
      <c r="B161" s="133" t="s">
        <v>5900</v>
      </c>
      <c r="C161" s="133" t="s">
        <v>5901</v>
      </c>
      <c r="D161" s="441" t="s">
        <v>25</v>
      </c>
      <c r="E161" s="133"/>
      <c r="F161" s="134" t="s">
        <v>5552</v>
      </c>
      <c r="G161" s="134">
        <v>0.50800000000000001</v>
      </c>
      <c r="H161" s="135">
        <v>2024</v>
      </c>
      <c r="I161" s="133" t="s">
        <v>5678</v>
      </c>
    </row>
    <row r="162" spans="1:9" ht="18.75" thickBot="1" x14ac:dyDescent="0.3">
      <c r="A162" t="str">
        <f t="shared" si="2"/>
        <v>145673V</v>
      </c>
      <c r="B162" s="133" t="s">
        <v>5902</v>
      </c>
      <c r="C162" s="133" t="s">
        <v>5903</v>
      </c>
      <c r="D162" s="441" t="s">
        <v>24</v>
      </c>
      <c r="E162" s="133"/>
      <c r="F162" s="134" t="s">
        <v>5552</v>
      </c>
      <c r="G162" s="134">
        <v>0.72399999999999998</v>
      </c>
      <c r="H162" s="135">
        <v>2024</v>
      </c>
      <c r="I162" s="133" t="s">
        <v>5587</v>
      </c>
    </row>
    <row r="163" spans="1:9" ht="18.75" thickBot="1" x14ac:dyDescent="0.3">
      <c r="A163" t="str">
        <f t="shared" si="2"/>
        <v>114560E</v>
      </c>
      <c r="B163" s="133" t="s">
        <v>5904</v>
      </c>
      <c r="C163" s="133" t="s">
        <v>5905</v>
      </c>
      <c r="D163" s="441" t="s">
        <v>26</v>
      </c>
      <c r="E163" s="133"/>
      <c r="F163" s="134">
        <v>0.37</v>
      </c>
      <c r="G163" s="134">
        <v>0.318</v>
      </c>
      <c r="H163" s="135">
        <v>2020</v>
      </c>
      <c r="I163" s="133" t="s">
        <v>5566</v>
      </c>
    </row>
    <row r="164" spans="1:9" ht="18.75" thickBot="1" x14ac:dyDescent="0.3">
      <c r="A164" t="str">
        <f t="shared" si="2"/>
        <v>157233F</v>
      </c>
      <c r="B164" s="133" t="s">
        <v>5906</v>
      </c>
      <c r="C164" s="133" t="s">
        <v>5907</v>
      </c>
      <c r="D164" s="441" t="s">
        <v>26</v>
      </c>
      <c r="E164" s="133"/>
      <c r="F164" s="134">
        <v>0.39100000000000001</v>
      </c>
      <c r="G164" s="134">
        <v>0.33600000000000002</v>
      </c>
      <c r="H164" s="135">
        <v>2024</v>
      </c>
      <c r="I164" s="133" t="s">
        <v>5678</v>
      </c>
    </row>
    <row r="165" spans="1:9" ht="18.75" thickBot="1" x14ac:dyDescent="0.3">
      <c r="A165" t="str">
        <f t="shared" si="2"/>
        <v>134888A</v>
      </c>
      <c r="B165" s="133" t="s">
        <v>5908</v>
      </c>
      <c r="C165" s="133" t="s">
        <v>5909</v>
      </c>
      <c r="D165" s="441" t="s">
        <v>5503</v>
      </c>
      <c r="E165" s="133"/>
      <c r="F165" s="134">
        <v>0.30399999999999999</v>
      </c>
      <c r="G165" s="134">
        <v>0.26100000000000001</v>
      </c>
      <c r="H165" s="135">
        <v>2011</v>
      </c>
      <c r="I165" s="133" t="s">
        <v>5587</v>
      </c>
    </row>
    <row r="166" spans="1:9" ht="18.75" thickBot="1" x14ac:dyDescent="0.3">
      <c r="A166" t="str">
        <f t="shared" si="2"/>
        <v>140069H</v>
      </c>
      <c r="B166" s="133" t="s">
        <v>5910</v>
      </c>
      <c r="C166" s="133" t="s">
        <v>5911</v>
      </c>
      <c r="D166" s="441" t="s">
        <v>5503</v>
      </c>
      <c r="E166" s="133"/>
      <c r="F166" s="134">
        <v>0.28499999999999998</v>
      </c>
      <c r="G166" s="134">
        <v>0.245</v>
      </c>
      <c r="H166" s="135">
        <v>2015</v>
      </c>
      <c r="I166" s="133" t="s">
        <v>5912</v>
      </c>
    </row>
    <row r="167" spans="1:9" ht="18.75" thickBot="1" x14ac:dyDescent="0.3">
      <c r="A167" t="str">
        <f t="shared" si="2"/>
        <v>123238Y</v>
      </c>
      <c r="B167" s="133" t="s">
        <v>5913</v>
      </c>
      <c r="C167" s="133" t="s">
        <v>5914</v>
      </c>
      <c r="D167" s="441" t="s">
        <v>5503</v>
      </c>
      <c r="E167" s="133"/>
      <c r="F167" s="134">
        <v>0.25</v>
      </c>
      <c r="G167" s="134">
        <v>0.215</v>
      </c>
      <c r="H167" s="135">
        <v>2008</v>
      </c>
      <c r="I167" s="133" t="s">
        <v>5678</v>
      </c>
    </row>
    <row r="168" spans="1:9" ht="18.75" thickBot="1" x14ac:dyDescent="0.3">
      <c r="A168" t="str">
        <f t="shared" si="2"/>
        <v>012850G</v>
      </c>
      <c r="B168" s="133" t="s">
        <v>5915</v>
      </c>
      <c r="C168" s="133" t="s">
        <v>5916</v>
      </c>
      <c r="D168" s="441" t="s">
        <v>5503</v>
      </c>
      <c r="E168" s="133"/>
      <c r="F168" s="134">
        <v>0.28999999999999998</v>
      </c>
      <c r="G168" s="134">
        <v>0.249</v>
      </c>
      <c r="H168" s="135">
        <v>2015</v>
      </c>
      <c r="I168" s="133" t="s">
        <v>5608</v>
      </c>
    </row>
    <row r="169" spans="1:9" ht="18.75" thickBot="1" x14ac:dyDescent="0.3">
      <c r="A169" t="str">
        <f t="shared" si="2"/>
        <v>130911B</v>
      </c>
      <c r="B169" s="133" t="s">
        <v>5917</v>
      </c>
      <c r="C169" s="133" t="s">
        <v>5918</v>
      </c>
      <c r="D169" s="441" t="s">
        <v>5504</v>
      </c>
      <c r="E169" s="133"/>
      <c r="F169" s="134">
        <v>0.21199999999999999</v>
      </c>
      <c r="G169" s="134">
        <v>0.182</v>
      </c>
      <c r="H169" s="135">
        <v>2010</v>
      </c>
      <c r="I169" s="133" t="s">
        <v>5657</v>
      </c>
    </row>
    <row r="170" spans="1:9" ht="18.75" thickBot="1" x14ac:dyDescent="0.3">
      <c r="A170" t="str">
        <f t="shared" si="2"/>
        <v>012857N</v>
      </c>
      <c r="B170" s="133" t="s">
        <v>5919</v>
      </c>
      <c r="C170" s="133" t="s">
        <v>5920</v>
      </c>
      <c r="D170" s="441" t="s">
        <v>5503</v>
      </c>
      <c r="E170" s="133"/>
      <c r="F170" s="134">
        <v>0.33300000000000002</v>
      </c>
      <c r="G170" s="134">
        <v>0.28599999999999998</v>
      </c>
      <c r="H170" s="135">
        <v>2010</v>
      </c>
      <c r="I170" s="133" t="s">
        <v>5559</v>
      </c>
    </row>
    <row r="171" spans="1:9" ht="18.75" thickBot="1" x14ac:dyDescent="0.3">
      <c r="A171" t="str">
        <f t="shared" si="2"/>
        <v>165704N</v>
      </c>
      <c r="B171" s="133" t="s">
        <v>5921</v>
      </c>
      <c r="C171" s="133" t="s">
        <v>5922</v>
      </c>
      <c r="D171" s="441" t="s">
        <v>26</v>
      </c>
      <c r="E171" s="133"/>
      <c r="F171" s="134">
        <v>0.38200000000000001</v>
      </c>
      <c r="G171" s="134">
        <v>0.32900000000000001</v>
      </c>
      <c r="H171" s="135">
        <v>2020</v>
      </c>
      <c r="I171" s="133" t="s">
        <v>5566</v>
      </c>
    </row>
    <row r="172" spans="1:9" ht="18.75" thickBot="1" x14ac:dyDescent="0.3">
      <c r="A172" t="str">
        <f t="shared" si="2"/>
        <v>153123N</v>
      </c>
      <c r="B172" s="133" t="s">
        <v>5923</v>
      </c>
      <c r="C172" s="133" t="s">
        <v>5924</v>
      </c>
      <c r="D172" s="441" t="s">
        <v>26</v>
      </c>
      <c r="E172" s="133"/>
      <c r="F172" s="134">
        <v>0.39</v>
      </c>
      <c r="G172" s="134">
        <v>0.33600000000000002</v>
      </c>
      <c r="H172" s="135">
        <v>2019</v>
      </c>
      <c r="I172" s="133" t="s">
        <v>5701</v>
      </c>
    </row>
    <row r="173" spans="1:9" ht="18.75" thickBot="1" x14ac:dyDescent="0.3">
      <c r="A173" t="str">
        <f t="shared" si="2"/>
        <v>132299L</v>
      </c>
      <c r="B173" s="133" t="s">
        <v>5925</v>
      </c>
      <c r="C173" s="133" t="s">
        <v>5926</v>
      </c>
      <c r="D173" s="441" t="s">
        <v>5503</v>
      </c>
      <c r="E173" s="133"/>
      <c r="F173" s="134">
        <v>0.35</v>
      </c>
      <c r="G173" s="134">
        <v>0.30099999999999999</v>
      </c>
      <c r="H173" s="135">
        <v>2024</v>
      </c>
      <c r="I173" s="133" t="s">
        <v>5594</v>
      </c>
    </row>
    <row r="174" spans="1:9" ht="18.75" thickBot="1" x14ac:dyDescent="0.3">
      <c r="A174" t="str">
        <f t="shared" si="2"/>
        <v>012874E</v>
      </c>
      <c r="B174" s="133" t="s">
        <v>5927</v>
      </c>
      <c r="C174" s="133" t="s">
        <v>5928</v>
      </c>
      <c r="D174" s="441" t="s">
        <v>25</v>
      </c>
      <c r="E174" s="133"/>
      <c r="F174" s="134" t="s">
        <v>5552</v>
      </c>
      <c r="G174" s="134">
        <v>0.47499999999999998</v>
      </c>
      <c r="H174" s="135">
        <v>2008</v>
      </c>
      <c r="I174" s="133" t="s">
        <v>5744</v>
      </c>
    </row>
    <row r="175" spans="1:9" ht="18.75" thickBot="1" x14ac:dyDescent="0.3">
      <c r="A175" t="str">
        <f t="shared" si="2"/>
        <v>120111R</v>
      </c>
      <c r="B175" s="133" t="s">
        <v>5929</v>
      </c>
      <c r="C175" s="133" t="s">
        <v>5930</v>
      </c>
      <c r="D175" s="441" t="s">
        <v>25</v>
      </c>
      <c r="E175" s="133"/>
      <c r="F175" s="134" t="s">
        <v>5552</v>
      </c>
      <c r="G175" s="134">
        <v>0.50600000000000001</v>
      </c>
      <c r="H175" s="135">
        <v>2016</v>
      </c>
      <c r="I175" s="133" t="s">
        <v>5678</v>
      </c>
    </row>
    <row r="176" spans="1:9" ht="18.75" thickBot="1" x14ac:dyDescent="0.3">
      <c r="A176" t="str">
        <f t="shared" si="2"/>
        <v>012879J</v>
      </c>
      <c r="B176" s="133" t="s">
        <v>5931</v>
      </c>
      <c r="C176" s="133" t="s">
        <v>5932</v>
      </c>
      <c r="D176" s="441" t="s">
        <v>5503</v>
      </c>
      <c r="E176" s="133"/>
      <c r="F176" s="134">
        <v>0.35299999999999998</v>
      </c>
      <c r="G176" s="134">
        <v>0.30299999999999999</v>
      </c>
      <c r="H176" s="135">
        <v>2012</v>
      </c>
      <c r="I176" s="133" t="s">
        <v>5563</v>
      </c>
    </row>
    <row r="177" spans="1:9" ht="18.75" thickBot="1" x14ac:dyDescent="0.3">
      <c r="A177" t="str">
        <f t="shared" si="2"/>
        <v>132875P</v>
      </c>
      <c r="B177" s="133" t="s">
        <v>5933</v>
      </c>
      <c r="C177" s="133" t="s">
        <v>5934</v>
      </c>
      <c r="D177" s="441" t="s">
        <v>5504</v>
      </c>
      <c r="E177" s="133"/>
      <c r="F177" s="134">
        <v>0.245</v>
      </c>
      <c r="G177" s="134">
        <v>0.21099999999999999</v>
      </c>
      <c r="H177" s="135">
        <v>2017</v>
      </c>
      <c r="I177" s="133" t="s">
        <v>5657</v>
      </c>
    </row>
    <row r="178" spans="1:9" ht="18.75" thickBot="1" x14ac:dyDescent="0.3">
      <c r="A178" t="str">
        <f t="shared" si="2"/>
        <v>152591K</v>
      </c>
      <c r="B178" s="133" t="s">
        <v>5935</v>
      </c>
      <c r="C178" s="133" t="s">
        <v>5936</v>
      </c>
      <c r="D178" s="441" t="s">
        <v>5504</v>
      </c>
      <c r="E178" s="133"/>
      <c r="F178" s="134">
        <v>9.9000000000000005E-2</v>
      </c>
      <c r="G178" s="134">
        <v>8.5000000000000006E-2</v>
      </c>
      <c r="H178" s="135">
        <v>2017</v>
      </c>
      <c r="I178" s="133" t="s">
        <v>5657</v>
      </c>
    </row>
    <row r="179" spans="1:9" ht="18.75" thickBot="1" x14ac:dyDescent="0.3">
      <c r="A179" t="str">
        <f t="shared" si="2"/>
        <v>181784R</v>
      </c>
      <c r="B179" s="133" t="s">
        <v>8522</v>
      </c>
      <c r="C179" s="133" t="s">
        <v>8523</v>
      </c>
      <c r="D179" s="441" t="s">
        <v>5704</v>
      </c>
      <c r="E179" s="133"/>
      <c r="F179" s="134">
        <v>0.2</v>
      </c>
      <c r="G179" s="134">
        <v>0.17199999999999999</v>
      </c>
      <c r="H179" s="135">
        <v>2024</v>
      </c>
      <c r="I179" s="133" t="s">
        <v>5651</v>
      </c>
    </row>
    <row r="180" spans="1:9" ht="18.75" thickBot="1" x14ac:dyDescent="0.3">
      <c r="A180" t="str">
        <f t="shared" si="2"/>
        <v>131196A</v>
      </c>
      <c r="B180" s="133" t="s">
        <v>5937</v>
      </c>
      <c r="C180" s="133" t="s">
        <v>5938</v>
      </c>
      <c r="D180" s="441" t="s">
        <v>5503</v>
      </c>
      <c r="E180" s="133"/>
      <c r="F180" s="134">
        <v>0.32800000000000001</v>
      </c>
      <c r="G180" s="134">
        <v>0.28199999999999997</v>
      </c>
      <c r="H180" s="135">
        <v>2024</v>
      </c>
      <c r="I180" s="133" t="s">
        <v>5625</v>
      </c>
    </row>
    <row r="181" spans="1:9" ht="18.75" thickBot="1" x14ac:dyDescent="0.3">
      <c r="A181" t="str">
        <f t="shared" si="2"/>
        <v>148183T</v>
      </c>
      <c r="B181" s="133" t="s">
        <v>5939</v>
      </c>
      <c r="C181" s="133" t="s">
        <v>5940</v>
      </c>
      <c r="D181" s="441" t="s">
        <v>5503</v>
      </c>
      <c r="E181" s="133"/>
      <c r="F181" s="134">
        <v>0.29599999999999999</v>
      </c>
      <c r="G181" s="134">
        <v>0.255</v>
      </c>
      <c r="H181" s="135">
        <v>2023</v>
      </c>
      <c r="I181" s="133" t="s">
        <v>5582</v>
      </c>
    </row>
    <row r="182" spans="1:9" ht="18.75" thickBot="1" x14ac:dyDescent="0.3">
      <c r="A182" t="str">
        <f t="shared" si="2"/>
        <v>157084T</v>
      </c>
      <c r="B182" s="133" t="s">
        <v>5941</v>
      </c>
      <c r="C182" s="133" t="s">
        <v>5942</v>
      </c>
      <c r="D182" s="441" t="s">
        <v>5503</v>
      </c>
      <c r="E182" s="133"/>
      <c r="F182" s="134">
        <v>0.245</v>
      </c>
      <c r="G182" s="134">
        <v>0.21099999999999999</v>
      </c>
      <c r="H182" s="135">
        <v>2022</v>
      </c>
      <c r="I182" s="133" t="s">
        <v>5556</v>
      </c>
    </row>
    <row r="183" spans="1:9" ht="18.75" thickBot="1" x14ac:dyDescent="0.3">
      <c r="A183" t="str">
        <f t="shared" si="2"/>
        <v>012898C</v>
      </c>
      <c r="B183" s="133" t="s">
        <v>5943</v>
      </c>
      <c r="C183" s="133" t="s">
        <v>5944</v>
      </c>
      <c r="D183" s="441" t="s">
        <v>24</v>
      </c>
      <c r="E183" s="133"/>
      <c r="F183" s="134" t="s">
        <v>5552</v>
      </c>
      <c r="G183" s="134">
        <v>0.69399999999999995</v>
      </c>
      <c r="H183" s="135">
        <v>2014</v>
      </c>
      <c r="I183" s="133" t="s">
        <v>5559</v>
      </c>
    </row>
    <row r="184" spans="1:9" ht="18.75" thickBot="1" x14ac:dyDescent="0.3">
      <c r="A184" t="str">
        <f t="shared" si="2"/>
        <v>140334M</v>
      </c>
      <c r="B184" s="133" t="s">
        <v>5945</v>
      </c>
      <c r="C184" s="133" t="s">
        <v>5946</v>
      </c>
      <c r="D184" s="441" t="s">
        <v>5504</v>
      </c>
      <c r="E184" s="133"/>
      <c r="F184" s="134">
        <v>0.11799999999999999</v>
      </c>
      <c r="G184" s="134">
        <v>0.10100000000000001</v>
      </c>
      <c r="H184" s="135">
        <v>2010</v>
      </c>
      <c r="I184" s="133" t="s">
        <v>5615</v>
      </c>
    </row>
    <row r="185" spans="1:9" ht="18.75" thickBot="1" x14ac:dyDescent="0.3">
      <c r="A185" t="str">
        <f t="shared" si="2"/>
        <v>178285N</v>
      </c>
      <c r="B185" s="133" t="s">
        <v>5947</v>
      </c>
      <c r="C185" s="133" t="s">
        <v>5948</v>
      </c>
      <c r="D185" s="441" t="s">
        <v>5503</v>
      </c>
      <c r="E185" s="133"/>
      <c r="F185" s="134">
        <v>0.30099999999999999</v>
      </c>
      <c r="G185" s="134">
        <v>0.25900000000000001</v>
      </c>
      <c r="H185" s="135">
        <v>2024</v>
      </c>
      <c r="I185" s="133" t="s">
        <v>5587</v>
      </c>
    </row>
    <row r="186" spans="1:9" ht="18.75" thickBot="1" x14ac:dyDescent="0.3">
      <c r="A186" t="str">
        <f t="shared" si="2"/>
        <v>012902G</v>
      </c>
      <c r="B186" s="133" t="s">
        <v>5949</v>
      </c>
      <c r="C186" s="133" t="s">
        <v>5950</v>
      </c>
      <c r="D186" s="441" t="s">
        <v>25</v>
      </c>
      <c r="E186" s="133"/>
      <c r="F186" s="134" t="s">
        <v>5552</v>
      </c>
      <c r="G186" s="134">
        <v>0.34</v>
      </c>
      <c r="H186" s="135">
        <v>2020</v>
      </c>
      <c r="I186" s="133" t="s">
        <v>5587</v>
      </c>
    </row>
    <row r="187" spans="1:9" ht="18.75" thickBot="1" x14ac:dyDescent="0.3">
      <c r="A187" t="str">
        <f t="shared" si="2"/>
        <v>012903H</v>
      </c>
      <c r="B187" s="133" t="s">
        <v>5951</v>
      </c>
      <c r="C187" s="133" t="s">
        <v>5952</v>
      </c>
      <c r="D187" s="441" t="s">
        <v>26</v>
      </c>
      <c r="E187" s="133"/>
      <c r="F187" s="134">
        <v>0.39800000000000002</v>
      </c>
      <c r="G187" s="134">
        <v>0.34200000000000003</v>
      </c>
      <c r="H187" s="135">
        <v>2024</v>
      </c>
      <c r="I187" s="133" t="s">
        <v>5639</v>
      </c>
    </row>
    <row r="188" spans="1:9" ht="18.75" thickBot="1" x14ac:dyDescent="0.3">
      <c r="A188" t="str">
        <f t="shared" si="2"/>
        <v>012912Q</v>
      </c>
      <c r="B188" s="133" t="s">
        <v>5953</v>
      </c>
      <c r="C188" s="133" t="s">
        <v>5954</v>
      </c>
      <c r="D188" s="441" t="s">
        <v>6025</v>
      </c>
      <c r="E188" s="133"/>
      <c r="F188" s="134" t="s">
        <v>5552</v>
      </c>
      <c r="G188" s="134">
        <v>0.57499999999999996</v>
      </c>
      <c r="H188" s="135">
        <v>2024</v>
      </c>
      <c r="I188" s="133" t="s">
        <v>5553</v>
      </c>
    </row>
    <row r="189" spans="1:9" ht="18.75" thickBot="1" x14ac:dyDescent="0.3">
      <c r="A189" t="str">
        <f t="shared" si="2"/>
        <v>012913R</v>
      </c>
      <c r="B189" s="133" t="s">
        <v>5955</v>
      </c>
      <c r="C189" s="133" t="s">
        <v>5956</v>
      </c>
      <c r="D189" s="441" t="s">
        <v>25</v>
      </c>
      <c r="E189" s="133"/>
      <c r="F189" s="134" t="s">
        <v>5552</v>
      </c>
      <c r="G189" s="134">
        <v>0.54900000000000004</v>
      </c>
      <c r="H189" s="135">
        <v>2019</v>
      </c>
      <c r="I189" s="133" t="s">
        <v>5553</v>
      </c>
    </row>
    <row r="190" spans="1:9" ht="18.75" thickBot="1" x14ac:dyDescent="0.3">
      <c r="A190" t="str">
        <f t="shared" si="2"/>
        <v>016878E</v>
      </c>
      <c r="B190" s="133" t="s">
        <v>5957</v>
      </c>
      <c r="C190" s="133" t="s">
        <v>5958</v>
      </c>
      <c r="D190" s="441" t="s">
        <v>25</v>
      </c>
      <c r="E190" s="133"/>
      <c r="F190" s="134" t="s">
        <v>5552</v>
      </c>
      <c r="G190" s="134">
        <v>0.54400000000000004</v>
      </c>
      <c r="H190" s="135">
        <v>2024</v>
      </c>
      <c r="I190" s="133" t="s">
        <v>5678</v>
      </c>
    </row>
    <row r="191" spans="1:9" ht="18.75" thickBot="1" x14ac:dyDescent="0.3">
      <c r="A191" t="str">
        <f t="shared" si="2"/>
        <v>150854X</v>
      </c>
      <c r="B191" s="133" t="s">
        <v>5959</v>
      </c>
      <c r="C191" s="133" t="s">
        <v>5960</v>
      </c>
      <c r="D191" s="441" t="s">
        <v>26</v>
      </c>
      <c r="E191" s="133"/>
      <c r="F191" s="134">
        <v>0.38200000000000001</v>
      </c>
      <c r="G191" s="134">
        <v>0.32800000000000001</v>
      </c>
      <c r="H191" s="135">
        <v>2024</v>
      </c>
      <c r="I191" s="133" t="s">
        <v>5701</v>
      </c>
    </row>
    <row r="192" spans="1:9" ht="18.75" thickBot="1" x14ac:dyDescent="0.3">
      <c r="A192" t="str">
        <f t="shared" si="2"/>
        <v>143206Y</v>
      </c>
      <c r="B192" s="133" t="s">
        <v>5961</v>
      </c>
      <c r="C192" s="133" t="s">
        <v>5962</v>
      </c>
      <c r="D192" s="441" t="s">
        <v>5503</v>
      </c>
      <c r="E192" s="133"/>
      <c r="F192" s="134">
        <v>0.32100000000000001</v>
      </c>
      <c r="G192" s="134">
        <v>0.27600000000000002</v>
      </c>
      <c r="H192" s="135">
        <v>2024</v>
      </c>
      <c r="I192" s="133" t="s">
        <v>5587</v>
      </c>
    </row>
    <row r="193" spans="1:9" ht="18.75" thickBot="1" x14ac:dyDescent="0.3">
      <c r="A193" t="str">
        <f t="shared" si="2"/>
        <v>129824G</v>
      </c>
      <c r="B193" s="133" t="s">
        <v>5963</v>
      </c>
      <c r="C193" s="133" t="s">
        <v>5964</v>
      </c>
      <c r="D193" s="441" t="s">
        <v>6025</v>
      </c>
      <c r="E193" s="133"/>
      <c r="F193" s="134" t="s">
        <v>5552</v>
      </c>
      <c r="G193" s="134">
        <v>0.60299999999999998</v>
      </c>
      <c r="H193" s="135">
        <v>2024</v>
      </c>
      <c r="I193" s="133" t="s">
        <v>5895</v>
      </c>
    </row>
    <row r="194" spans="1:9" ht="18.75" thickBot="1" x14ac:dyDescent="0.3">
      <c r="A194" t="str">
        <f t="shared" si="2"/>
        <v>143224Q</v>
      </c>
      <c r="B194" s="133" t="s">
        <v>5965</v>
      </c>
      <c r="C194" s="133" t="s">
        <v>5966</v>
      </c>
      <c r="D194" s="441" t="s">
        <v>26</v>
      </c>
      <c r="E194" s="133"/>
      <c r="F194" s="134">
        <v>0.40799999999999997</v>
      </c>
      <c r="G194" s="134">
        <v>0.35099999999999998</v>
      </c>
      <c r="H194" s="135">
        <v>2022</v>
      </c>
      <c r="I194" s="133" t="s">
        <v>5895</v>
      </c>
    </row>
    <row r="195" spans="1:9" ht="18.75" thickBot="1" x14ac:dyDescent="0.3">
      <c r="A195" t="str">
        <f t="shared" ref="A195:A258" si="3">SUBSTITUTE(B195,CHAR(32),"")</f>
        <v>012929H</v>
      </c>
      <c r="B195" s="133" t="s">
        <v>5967</v>
      </c>
      <c r="C195" s="133" t="s">
        <v>5968</v>
      </c>
      <c r="D195" s="441" t="s">
        <v>26</v>
      </c>
      <c r="E195" s="133"/>
      <c r="F195" s="134">
        <v>0.28599999999999998</v>
      </c>
      <c r="G195" s="134">
        <v>0.246</v>
      </c>
      <c r="H195" s="135">
        <v>2019</v>
      </c>
      <c r="I195" s="133" t="s">
        <v>5646</v>
      </c>
    </row>
    <row r="196" spans="1:9" ht="18.75" thickBot="1" x14ac:dyDescent="0.3">
      <c r="A196" t="str">
        <f t="shared" si="3"/>
        <v>110989V</v>
      </c>
      <c r="B196" s="133" t="s">
        <v>5969</v>
      </c>
      <c r="C196" s="133" t="s">
        <v>5970</v>
      </c>
      <c r="D196" s="441" t="s">
        <v>25</v>
      </c>
      <c r="E196" s="133"/>
      <c r="F196" s="134" t="s">
        <v>5552</v>
      </c>
      <c r="G196" s="134">
        <v>0.35399999999999998</v>
      </c>
      <c r="H196" s="135">
        <v>2017</v>
      </c>
      <c r="I196" s="133" t="s">
        <v>5895</v>
      </c>
    </row>
    <row r="197" spans="1:9" ht="18.75" thickBot="1" x14ac:dyDescent="0.3">
      <c r="A197" t="str">
        <f t="shared" si="3"/>
        <v>012932K</v>
      </c>
      <c r="B197" s="133" t="s">
        <v>5971</v>
      </c>
      <c r="C197" s="133" t="s">
        <v>5972</v>
      </c>
      <c r="D197" s="441" t="s">
        <v>24</v>
      </c>
      <c r="E197" s="133"/>
      <c r="F197" s="134" t="s">
        <v>5552</v>
      </c>
      <c r="G197" s="134">
        <v>0.61</v>
      </c>
      <c r="H197" s="135">
        <v>2024</v>
      </c>
      <c r="I197" s="133" t="s">
        <v>5587</v>
      </c>
    </row>
    <row r="198" spans="1:9" ht="18.75" thickBot="1" x14ac:dyDescent="0.3">
      <c r="A198" t="str">
        <f t="shared" si="3"/>
        <v>012935N</v>
      </c>
      <c r="B198" s="133" t="s">
        <v>5973</v>
      </c>
      <c r="C198" s="133" t="s">
        <v>5974</v>
      </c>
      <c r="D198" s="441" t="s">
        <v>5704</v>
      </c>
      <c r="E198" s="133"/>
      <c r="F198" s="134">
        <v>0.23100000000000001</v>
      </c>
      <c r="G198" s="134">
        <v>0.19800000000000001</v>
      </c>
      <c r="H198" s="135">
        <v>2024</v>
      </c>
      <c r="I198" s="133" t="s">
        <v>5563</v>
      </c>
    </row>
    <row r="199" spans="1:9" ht="18.75" thickBot="1" x14ac:dyDescent="0.3">
      <c r="A199" t="str">
        <f t="shared" si="3"/>
        <v>166094M</v>
      </c>
      <c r="B199" s="133" t="s">
        <v>5975</v>
      </c>
      <c r="C199" s="133" t="s">
        <v>5976</v>
      </c>
      <c r="D199" s="441" t="s">
        <v>26</v>
      </c>
      <c r="E199" s="133"/>
      <c r="F199" s="134">
        <v>0.36899999999999999</v>
      </c>
      <c r="G199" s="134">
        <v>0.317</v>
      </c>
      <c r="H199" s="135">
        <v>2022</v>
      </c>
      <c r="I199" s="133" t="s">
        <v>5601</v>
      </c>
    </row>
    <row r="200" spans="1:9" ht="18.75" thickBot="1" x14ac:dyDescent="0.3">
      <c r="A200" t="str">
        <f t="shared" si="3"/>
        <v>103504Y</v>
      </c>
      <c r="B200" s="133" t="s">
        <v>5977</v>
      </c>
      <c r="C200" s="133" t="s">
        <v>5978</v>
      </c>
      <c r="D200" s="441" t="s">
        <v>5503</v>
      </c>
      <c r="E200" s="133"/>
      <c r="F200" s="134">
        <v>0.28499999999999998</v>
      </c>
      <c r="G200" s="134">
        <v>0.245</v>
      </c>
      <c r="H200" s="135">
        <v>2013</v>
      </c>
      <c r="I200" s="133" t="s">
        <v>5792</v>
      </c>
    </row>
    <row r="201" spans="1:9" ht="18.75" thickBot="1" x14ac:dyDescent="0.3">
      <c r="A201" t="str">
        <f t="shared" si="3"/>
        <v>141457R</v>
      </c>
      <c r="B201" s="133" t="s">
        <v>5979</v>
      </c>
      <c r="C201" s="133" t="s">
        <v>5980</v>
      </c>
      <c r="D201" s="441" t="s">
        <v>5503</v>
      </c>
      <c r="E201" s="133"/>
      <c r="F201" s="134">
        <v>0.23799999999999999</v>
      </c>
      <c r="G201" s="134">
        <v>0.20499999999999999</v>
      </c>
      <c r="H201" s="135">
        <v>2018</v>
      </c>
      <c r="I201" s="133" t="s">
        <v>5735</v>
      </c>
    </row>
    <row r="202" spans="1:9" ht="18.75" thickBot="1" x14ac:dyDescent="0.3">
      <c r="A202" t="str">
        <f t="shared" si="3"/>
        <v>012950C</v>
      </c>
      <c r="B202" s="133" t="s">
        <v>5981</v>
      </c>
      <c r="C202" s="133" t="s">
        <v>5982</v>
      </c>
      <c r="D202" s="441" t="s">
        <v>5503</v>
      </c>
      <c r="E202" s="133"/>
      <c r="F202" s="134">
        <v>0.32200000000000001</v>
      </c>
      <c r="G202" s="134">
        <v>0.27700000000000002</v>
      </c>
      <c r="H202" s="135">
        <v>2008</v>
      </c>
      <c r="I202" s="133" t="s">
        <v>5582</v>
      </c>
    </row>
    <row r="203" spans="1:9" ht="18.75" thickBot="1" x14ac:dyDescent="0.3">
      <c r="A203" t="str">
        <f t="shared" si="3"/>
        <v>143258Y</v>
      </c>
      <c r="B203" s="133" t="s">
        <v>5983</v>
      </c>
      <c r="C203" s="133" t="s">
        <v>5984</v>
      </c>
      <c r="D203" s="441" t="s">
        <v>5504</v>
      </c>
      <c r="E203" s="133"/>
      <c r="F203" s="134">
        <v>0.19</v>
      </c>
      <c r="G203" s="134">
        <v>0.16400000000000001</v>
      </c>
      <c r="H203" s="135">
        <v>2014</v>
      </c>
      <c r="I203" s="133" t="s">
        <v>5801</v>
      </c>
    </row>
    <row r="204" spans="1:9" ht="18.75" thickBot="1" x14ac:dyDescent="0.3">
      <c r="A204" t="str">
        <f t="shared" si="3"/>
        <v>135462C</v>
      </c>
      <c r="B204" s="133" t="s">
        <v>5985</v>
      </c>
      <c r="C204" s="133" t="s">
        <v>5986</v>
      </c>
      <c r="D204" s="441" t="s">
        <v>26</v>
      </c>
      <c r="E204" s="133"/>
      <c r="F204" s="134">
        <v>0.38</v>
      </c>
      <c r="G204" s="134">
        <v>0.32600000000000001</v>
      </c>
      <c r="H204" s="135">
        <v>2023</v>
      </c>
      <c r="I204" s="133" t="s">
        <v>5582</v>
      </c>
    </row>
    <row r="205" spans="1:9" ht="18.75" thickBot="1" x14ac:dyDescent="0.3">
      <c r="A205" t="str">
        <f t="shared" si="3"/>
        <v>104243J</v>
      </c>
      <c r="B205" s="133" t="s">
        <v>5987</v>
      </c>
      <c r="C205" s="133" t="s">
        <v>5988</v>
      </c>
      <c r="D205" s="441" t="s">
        <v>26</v>
      </c>
      <c r="E205" s="133"/>
      <c r="F205" s="134">
        <v>0.28699999999999998</v>
      </c>
      <c r="G205" s="134">
        <v>0.246</v>
      </c>
      <c r="H205" s="135">
        <v>2017</v>
      </c>
      <c r="I205" s="133" t="s">
        <v>5587</v>
      </c>
    </row>
    <row r="206" spans="1:9" ht="18.75" thickBot="1" x14ac:dyDescent="0.3">
      <c r="A206" t="str">
        <f t="shared" si="3"/>
        <v>149663C</v>
      </c>
      <c r="B206" s="133" t="s">
        <v>5989</v>
      </c>
      <c r="C206" s="133" t="s">
        <v>5990</v>
      </c>
      <c r="D206" s="441" t="s">
        <v>5504</v>
      </c>
      <c r="E206" s="133"/>
      <c r="F206" s="134">
        <v>0.14099999999999999</v>
      </c>
      <c r="G206" s="134">
        <v>0.121</v>
      </c>
      <c r="H206" s="135">
        <v>2024</v>
      </c>
      <c r="I206" s="133" t="s">
        <v>5705</v>
      </c>
    </row>
    <row r="207" spans="1:9" ht="18.75" thickBot="1" x14ac:dyDescent="0.3">
      <c r="A207" t="str">
        <f t="shared" si="3"/>
        <v>020658O</v>
      </c>
      <c r="B207" s="133" t="s">
        <v>5991</v>
      </c>
      <c r="C207" s="133" t="s">
        <v>5992</v>
      </c>
      <c r="D207" s="441" t="s">
        <v>25</v>
      </c>
      <c r="E207" s="133"/>
      <c r="F207" s="134" t="s">
        <v>5552</v>
      </c>
      <c r="G207" s="134">
        <v>0.47</v>
      </c>
      <c r="H207" s="135">
        <v>2024</v>
      </c>
      <c r="I207" s="133" t="s">
        <v>5598</v>
      </c>
    </row>
    <row r="208" spans="1:9" ht="18.75" thickBot="1" x14ac:dyDescent="0.3">
      <c r="A208" t="str">
        <f t="shared" si="3"/>
        <v>012967T</v>
      </c>
      <c r="B208" s="133" t="s">
        <v>5993</v>
      </c>
      <c r="C208" s="133" t="s">
        <v>5994</v>
      </c>
      <c r="D208" s="441" t="s">
        <v>25</v>
      </c>
      <c r="E208" s="133"/>
      <c r="F208" s="134" t="s">
        <v>5552</v>
      </c>
      <c r="G208" s="134">
        <v>0.51200000000000001</v>
      </c>
      <c r="H208" s="135">
        <v>2019</v>
      </c>
      <c r="I208" s="133" t="s">
        <v>5678</v>
      </c>
    </row>
    <row r="209" spans="1:9" ht="18.75" thickBot="1" x14ac:dyDescent="0.3">
      <c r="A209" t="str">
        <f t="shared" si="3"/>
        <v>104112I</v>
      </c>
      <c r="B209" s="133" t="s">
        <v>5995</v>
      </c>
      <c r="C209" s="133" t="s">
        <v>5996</v>
      </c>
      <c r="D209" s="441" t="s">
        <v>5503</v>
      </c>
      <c r="E209" s="133"/>
      <c r="F209" s="134">
        <v>0.32900000000000001</v>
      </c>
      <c r="G209" s="134">
        <v>0.28299999999999997</v>
      </c>
      <c r="H209" s="135">
        <v>2023</v>
      </c>
      <c r="I209" s="133" t="s">
        <v>5594</v>
      </c>
    </row>
    <row r="210" spans="1:9" ht="18.75" thickBot="1" x14ac:dyDescent="0.3">
      <c r="A210" t="str">
        <f t="shared" si="3"/>
        <v>020210I</v>
      </c>
      <c r="B210" s="133" t="s">
        <v>5997</v>
      </c>
      <c r="C210" s="133" t="s">
        <v>5998</v>
      </c>
      <c r="D210" s="441" t="s">
        <v>5503</v>
      </c>
      <c r="E210" s="133"/>
      <c r="F210" s="134">
        <v>0.35099999999999998</v>
      </c>
      <c r="G210" s="134">
        <v>0.30199999999999999</v>
      </c>
      <c r="H210" s="135">
        <v>2022</v>
      </c>
      <c r="I210" s="133" t="s">
        <v>5556</v>
      </c>
    </row>
    <row r="211" spans="1:9" ht="18.75" thickBot="1" x14ac:dyDescent="0.3">
      <c r="A211" t="str">
        <f t="shared" si="3"/>
        <v>103127L</v>
      </c>
      <c r="B211" s="133" t="s">
        <v>5999</v>
      </c>
      <c r="C211" s="133" t="s">
        <v>6000</v>
      </c>
      <c r="D211" s="441" t="s">
        <v>5503</v>
      </c>
      <c r="E211" s="133"/>
      <c r="F211" s="134">
        <v>0.27100000000000002</v>
      </c>
      <c r="G211" s="134">
        <v>0.23300000000000001</v>
      </c>
      <c r="H211" s="135">
        <v>2024</v>
      </c>
      <c r="I211" s="133" t="s">
        <v>5678</v>
      </c>
    </row>
    <row r="212" spans="1:9" ht="18.75" thickBot="1" x14ac:dyDescent="0.3">
      <c r="A212" t="str">
        <f t="shared" si="3"/>
        <v>012980G</v>
      </c>
      <c r="B212" s="133" t="s">
        <v>6001</v>
      </c>
      <c r="C212" s="133" t="s">
        <v>6002</v>
      </c>
      <c r="D212" s="441" t="s">
        <v>5638</v>
      </c>
      <c r="E212" s="133"/>
      <c r="F212" s="134" t="s">
        <v>5552</v>
      </c>
      <c r="G212" s="134">
        <v>0.435</v>
      </c>
      <c r="H212" s="135">
        <v>2024</v>
      </c>
      <c r="I212" s="133" t="s">
        <v>5559</v>
      </c>
    </row>
    <row r="213" spans="1:9" ht="18.75" thickBot="1" x14ac:dyDescent="0.3">
      <c r="A213" t="str">
        <f t="shared" si="3"/>
        <v>012990Q</v>
      </c>
      <c r="B213" s="133" t="s">
        <v>6003</v>
      </c>
      <c r="C213" s="133" t="s">
        <v>6004</v>
      </c>
      <c r="D213" s="441" t="s">
        <v>5504</v>
      </c>
      <c r="E213" s="133"/>
      <c r="F213" s="134">
        <v>0.18099999999999999</v>
      </c>
      <c r="G213" s="134">
        <v>0.155</v>
      </c>
      <c r="H213" s="135">
        <v>2023</v>
      </c>
      <c r="I213" s="133" t="s">
        <v>5646</v>
      </c>
    </row>
    <row r="214" spans="1:9" ht="18.75" thickBot="1" x14ac:dyDescent="0.3">
      <c r="A214" t="str">
        <f t="shared" si="3"/>
        <v>148884F</v>
      </c>
      <c r="B214" s="133" t="s">
        <v>6005</v>
      </c>
      <c r="C214" s="133" t="s">
        <v>6006</v>
      </c>
      <c r="D214" s="441" t="s">
        <v>5562</v>
      </c>
      <c r="E214" s="133"/>
      <c r="F214" s="134">
        <v>0.39500000000000002</v>
      </c>
      <c r="G214" s="134">
        <v>0.34</v>
      </c>
      <c r="H214" s="135">
        <v>2024</v>
      </c>
      <c r="I214" s="133" t="s">
        <v>5582</v>
      </c>
    </row>
    <row r="215" spans="1:9" ht="18.75" thickBot="1" x14ac:dyDescent="0.3">
      <c r="A215" t="str">
        <f t="shared" si="3"/>
        <v>012998Y</v>
      </c>
      <c r="B215" s="133" t="s">
        <v>6007</v>
      </c>
      <c r="C215" s="133" t="s">
        <v>6008</v>
      </c>
      <c r="D215" s="441" t="s">
        <v>25</v>
      </c>
      <c r="E215" s="133"/>
      <c r="F215" s="134" t="s">
        <v>5552</v>
      </c>
      <c r="G215" s="134">
        <v>0.57799999999999996</v>
      </c>
      <c r="H215" s="135">
        <v>2023</v>
      </c>
      <c r="I215" s="133" t="s">
        <v>5587</v>
      </c>
    </row>
    <row r="216" spans="1:9" ht="18.75" thickBot="1" x14ac:dyDescent="0.3">
      <c r="A216" t="str">
        <f t="shared" si="3"/>
        <v>178674L</v>
      </c>
      <c r="B216" s="133" t="s">
        <v>6009</v>
      </c>
      <c r="C216" s="133" t="s">
        <v>6010</v>
      </c>
      <c r="D216" s="441" t="s">
        <v>5562</v>
      </c>
      <c r="E216" s="133"/>
      <c r="F216" s="134">
        <v>0.39900000000000002</v>
      </c>
      <c r="G216" s="134">
        <v>0.34300000000000003</v>
      </c>
      <c r="H216" s="135">
        <v>2024</v>
      </c>
      <c r="I216" s="133" t="s">
        <v>5582</v>
      </c>
    </row>
    <row r="217" spans="1:9" ht="18.75" thickBot="1" x14ac:dyDescent="0.3">
      <c r="A217" t="str">
        <f t="shared" si="3"/>
        <v>154263C</v>
      </c>
      <c r="B217" s="133" t="s">
        <v>6011</v>
      </c>
      <c r="C217" s="133" t="s">
        <v>6012</v>
      </c>
      <c r="D217" s="441" t="s">
        <v>5503</v>
      </c>
      <c r="E217" s="133"/>
      <c r="F217" s="134">
        <v>0.29499999999999998</v>
      </c>
      <c r="G217" s="134">
        <v>0.254</v>
      </c>
      <c r="H217" s="135">
        <v>2024</v>
      </c>
      <c r="I217" s="133" t="s">
        <v>5598</v>
      </c>
    </row>
    <row r="218" spans="1:9" ht="18.75" thickBot="1" x14ac:dyDescent="0.3">
      <c r="A218" t="str">
        <f t="shared" si="3"/>
        <v>138062C</v>
      </c>
      <c r="B218" s="133" t="s">
        <v>6013</v>
      </c>
      <c r="C218" s="133" t="s">
        <v>6014</v>
      </c>
      <c r="D218" s="441" t="s">
        <v>5504</v>
      </c>
      <c r="E218" s="133"/>
      <c r="F218" s="134">
        <v>0.22600000000000001</v>
      </c>
      <c r="G218" s="134">
        <v>0.19500000000000001</v>
      </c>
      <c r="H218" s="135">
        <v>2011</v>
      </c>
      <c r="I218" s="133" t="s">
        <v>5705</v>
      </c>
    </row>
    <row r="219" spans="1:9" ht="18.75" thickBot="1" x14ac:dyDescent="0.3">
      <c r="A219" t="str">
        <f t="shared" si="3"/>
        <v>140297B</v>
      </c>
      <c r="B219" s="133" t="s">
        <v>6015</v>
      </c>
      <c r="C219" s="133" t="s">
        <v>6016</v>
      </c>
      <c r="D219" s="441" t="s">
        <v>5562</v>
      </c>
      <c r="E219" s="133"/>
      <c r="F219" s="134">
        <v>0.34699999999999998</v>
      </c>
      <c r="G219" s="134">
        <v>0.29899999999999999</v>
      </c>
      <c r="H219" s="135">
        <v>2024</v>
      </c>
      <c r="I219" s="133" t="s">
        <v>5625</v>
      </c>
    </row>
    <row r="220" spans="1:9" ht="18.75" thickBot="1" x14ac:dyDescent="0.3">
      <c r="A220" t="str">
        <f t="shared" si="3"/>
        <v>013010K</v>
      </c>
      <c r="B220" s="133" t="s">
        <v>6017</v>
      </c>
      <c r="C220" s="133" t="s">
        <v>6018</v>
      </c>
      <c r="D220" s="441" t="s">
        <v>26</v>
      </c>
      <c r="E220" s="133"/>
      <c r="F220" s="134">
        <v>0.41499999999999998</v>
      </c>
      <c r="G220" s="134">
        <v>0.35699999999999998</v>
      </c>
      <c r="H220" s="135">
        <v>2008</v>
      </c>
      <c r="I220" s="133" t="s">
        <v>5678</v>
      </c>
    </row>
    <row r="221" spans="1:9" ht="18.75" thickBot="1" x14ac:dyDescent="0.3">
      <c r="A221" t="str">
        <f t="shared" si="3"/>
        <v>146714W</v>
      </c>
      <c r="B221" s="133" t="s">
        <v>6019</v>
      </c>
      <c r="C221" s="133" t="s">
        <v>6020</v>
      </c>
      <c r="D221" s="441" t="s">
        <v>5504</v>
      </c>
      <c r="E221" s="133"/>
      <c r="F221" s="134">
        <v>0.125</v>
      </c>
      <c r="G221" s="134">
        <v>0.108</v>
      </c>
      <c r="H221" s="135">
        <v>2023</v>
      </c>
      <c r="I221" s="133" t="s">
        <v>5625</v>
      </c>
    </row>
    <row r="222" spans="1:9" ht="18.75" thickBot="1" x14ac:dyDescent="0.3">
      <c r="A222" t="str">
        <f t="shared" si="3"/>
        <v>124670A</v>
      </c>
      <c r="B222" s="133" t="s">
        <v>6021</v>
      </c>
      <c r="C222" s="133" t="s">
        <v>6022</v>
      </c>
      <c r="D222" s="441" t="s">
        <v>5504</v>
      </c>
      <c r="E222" s="133"/>
      <c r="F222" s="134">
        <v>0.17799999999999999</v>
      </c>
      <c r="G222" s="134">
        <v>0.153</v>
      </c>
      <c r="H222" s="135">
        <v>2016</v>
      </c>
      <c r="I222" s="133" t="s">
        <v>5895</v>
      </c>
    </row>
    <row r="223" spans="1:9" ht="18.75" thickBot="1" x14ac:dyDescent="0.3">
      <c r="A223" t="str">
        <f t="shared" si="3"/>
        <v>134929P</v>
      </c>
      <c r="B223" s="133" t="s">
        <v>6023</v>
      </c>
      <c r="C223" s="133" t="s">
        <v>6024</v>
      </c>
      <c r="D223" s="441" t="s">
        <v>24</v>
      </c>
      <c r="E223" s="133"/>
      <c r="F223" s="134" t="s">
        <v>5552</v>
      </c>
      <c r="G223" s="134">
        <v>0.42</v>
      </c>
      <c r="H223" s="135">
        <v>2023</v>
      </c>
      <c r="I223" s="133" t="s">
        <v>5635</v>
      </c>
    </row>
    <row r="224" spans="1:9" ht="18.75" thickBot="1" x14ac:dyDescent="0.3">
      <c r="A224" t="str">
        <f t="shared" si="3"/>
        <v>129845B</v>
      </c>
      <c r="B224" s="133" t="s">
        <v>6026</v>
      </c>
      <c r="C224" s="133" t="s">
        <v>6024</v>
      </c>
      <c r="D224" s="441" t="s">
        <v>25</v>
      </c>
      <c r="E224" s="133"/>
      <c r="F224" s="134" t="s">
        <v>5552</v>
      </c>
      <c r="G224" s="134">
        <v>0.51200000000000001</v>
      </c>
      <c r="H224" s="135">
        <v>2017</v>
      </c>
      <c r="I224" s="133" t="s">
        <v>5850</v>
      </c>
    </row>
    <row r="225" spans="1:9" ht="18.75" thickBot="1" x14ac:dyDescent="0.3">
      <c r="A225" t="str">
        <f t="shared" si="3"/>
        <v>117582K</v>
      </c>
      <c r="B225" s="133" t="s">
        <v>6027</v>
      </c>
      <c r="C225" s="133" t="s">
        <v>6028</v>
      </c>
      <c r="D225" s="441" t="s">
        <v>26</v>
      </c>
      <c r="E225" s="133"/>
      <c r="F225" s="134">
        <v>0.501</v>
      </c>
      <c r="G225" s="134">
        <v>0.43099999999999999</v>
      </c>
      <c r="H225" s="135">
        <v>2024</v>
      </c>
      <c r="I225" s="133" t="s">
        <v>5553</v>
      </c>
    </row>
    <row r="226" spans="1:9" ht="18.75" thickBot="1" x14ac:dyDescent="0.3">
      <c r="A226" t="str">
        <f t="shared" si="3"/>
        <v>145804W</v>
      </c>
      <c r="B226" s="133" t="s">
        <v>7188</v>
      </c>
      <c r="C226" s="133" t="s">
        <v>7189</v>
      </c>
      <c r="D226" s="441" t="s">
        <v>5704</v>
      </c>
      <c r="E226" s="133"/>
      <c r="F226" s="134">
        <v>0.17799999999999999</v>
      </c>
      <c r="G226" s="134">
        <v>0.153</v>
      </c>
      <c r="H226" s="135">
        <v>2024</v>
      </c>
      <c r="I226" s="133" t="s">
        <v>5553</v>
      </c>
    </row>
    <row r="227" spans="1:9" ht="18.75" thickBot="1" x14ac:dyDescent="0.3">
      <c r="A227" t="str">
        <f t="shared" si="3"/>
        <v>141486U</v>
      </c>
      <c r="B227" s="133" t="s">
        <v>8528</v>
      </c>
      <c r="C227" s="133" t="s">
        <v>8529</v>
      </c>
      <c r="D227" s="441" t="s">
        <v>5704</v>
      </c>
      <c r="E227" s="133"/>
      <c r="F227" s="134">
        <v>9.2999999999999999E-2</v>
      </c>
      <c r="G227" s="134">
        <v>0.08</v>
      </c>
      <c r="H227" s="135">
        <v>2024</v>
      </c>
      <c r="I227" s="133" t="s">
        <v>5768</v>
      </c>
    </row>
    <row r="228" spans="1:9" ht="18.75" thickBot="1" x14ac:dyDescent="0.3">
      <c r="A228" t="str">
        <f t="shared" si="3"/>
        <v>013026A</v>
      </c>
      <c r="B228" s="133" t="s">
        <v>6029</v>
      </c>
      <c r="C228" s="133" t="s">
        <v>6030</v>
      </c>
      <c r="D228" s="441" t="s">
        <v>5504</v>
      </c>
      <c r="E228" s="133"/>
      <c r="F228" s="134">
        <v>0.22</v>
      </c>
      <c r="G228" s="134">
        <v>0.189</v>
      </c>
      <c r="H228" s="135">
        <v>2024</v>
      </c>
      <c r="I228" s="133" t="s">
        <v>5651</v>
      </c>
    </row>
    <row r="229" spans="1:9" ht="18.75" thickBot="1" x14ac:dyDescent="0.3">
      <c r="A229" t="str">
        <f t="shared" si="3"/>
        <v>169261E</v>
      </c>
      <c r="B229" s="133" t="s">
        <v>6031</v>
      </c>
      <c r="C229" s="133" t="s">
        <v>6032</v>
      </c>
      <c r="D229" s="441" t="s">
        <v>5504</v>
      </c>
      <c r="E229" s="133"/>
      <c r="F229" s="134">
        <v>0.24</v>
      </c>
      <c r="G229" s="134">
        <v>0.20599999999999999</v>
      </c>
      <c r="H229" s="135">
        <v>2024</v>
      </c>
      <c r="I229" s="133" t="s">
        <v>5895</v>
      </c>
    </row>
    <row r="230" spans="1:9" ht="18.75" thickBot="1" x14ac:dyDescent="0.3">
      <c r="A230" t="str">
        <f t="shared" si="3"/>
        <v>013032G</v>
      </c>
      <c r="B230" s="133" t="s">
        <v>6033</v>
      </c>
      <c r="C230" s="133" t="s">
        <v>6034</v>
      </c>
      <c r="D230" s="441" t="s">
        <v>26</v>
      </c>
      <c r="E230" s="133"/>
      <c r="F230" s="134">
        <v>0.443</v>
      </c>
      <c r="G230" s="134">
        <v>0.38100000000000001</v>
      </c>
      <c r="H230" s="135">
        <v>2020</v>
      </c>
      <c r="I230" s="133" t="s">
        <v>5630</v>
      </c>
    </row>
    <row r="231" spans="1:9" ht="18.75" thickBot="1" x14ac:dyDescent="0.3">
      <c r="A231" t="str">
        <f t="shared" si="3"/>
        <v>013038M</v>
      </c>
      <c r="B231" s="133" t="s">
        <v>6035</v>
      </c>
      <c r="C231" s="133" t="s">
        <v>6036</v>
      </c>
      <c r="D231" s="441" t="s">
        <v>5503</v>
      </c>
      <c r="E231" s="133"/>
      <c r="F231" s="134">
        <v>0.35199999999999998</v>
      </c>
      <c r="G231" s="134">
        <v>0.30199999999999999</v>
      </c>
      <c r="H231" s="135">
        <v>2009</v>
      </c>
      <c r="I231" s="133" t="s">
        <v>5651</v>
      </c>
    </row>
    <row r="232" spans="1:9" ht="18.75" thickBot="1" x14ac:dyDescent="0.3">
      <c r="A232" t="str">
        <f t="shared" si="3"/>
        <v>133265P</v>
      </c>
      <c r="B232" s="133" t="s">
        <v>6037</v>
      </c>
      <c r="C232" s="133" t="s">
        <v>6038</v>
      </c>
      <c r="D232" s="441" t="s">
        <v>26</v>
      </c>
      <c r="E232" s="133"/>
      <c r="F232" s="134">
        <v>0.26900000000000002</v>
      </c>
      <c r="G232" s="134">
        <v>0.23200000000000001</v>
      </c>
      <c r="H232" s="135">
        <v>2016</v>
      </c>
      <c r="I232" s="133" t="s">
        <v>5726</v>
      </c>
    </row>
    <row r="233" spans="1:9" ht="18.75" thickBot="1" x14ac:dyDescent="0.3">
      <c r="A233" t="str">
        <f t="shared" si="3"/>
        <v>146395P</v>
      </c>
      <c r="B233" s="133" t="s">
        <v>6039</v>
      </c>
      <c r="C233" s="133" t="s">
        <v>6040</v>
      </c>
      <c r="D233" s="441" t="s">
        <v>5503</v>
      </c>
      <c r="E233" s="133"/>
      <c r="F233" s="134">
        <v>0.26300000000000001</v>
      </c>
      <c r="G233" s="134">
        <v>0.22600000000000001</v>
      </c>
      <c r="H233" s="135">
        <v>2023</v>
      </c>
      <c r="I233" s="133" t="s">
        <v>5566</v>
      </c>
    </row>
    <row r="234" spans="1:9" ht="18.75" thickBot="1" x14ac:dyDescent="0.3">
      <c r="A234" t="str">
        <f t="shared" si="3"/>
        <v>013043R</v>
      </c>
      <c r="B234" s="133" t="s">
        <v>6041</v>
      </c>
      <c r="C234" s="133" t="s">
        <v>6042</v>
      </c>
      <c r="D234" s="441" t="s">
        <v>5504</v>
      </c>
      <c r="E234" s="133"/>
      <c r="F234" s="134">
        <v>0.223</v>
      </c>
      <c r="G234" s="134">
        <v>0.191</v>
      </c>
      <c r="H234" s="135">
        <v>2011</v>
      </c>
      <c r="I234" s="133" t="s">
        <v>5615</v>
      </c>
    </row>
    <row r="235" spans="1:9" ht="18.75" thickBot="1" x14ac:dyDescent="0.3">
      <c r="A235" t="str">
        <f t="shared" si="3"/>
        <v>150539E</v>
      </c>
      <c r="B235" s="133" t="s">
        <v>6043</v>
      </c>
      <c r="C235" s="133" t="s">
        <v>6044</v>
      </c>
      <c r="D235" s="441" t="s">
        <v>5503</v>
      </c>
      <c r="E235" s="133"/>
      <c r="F235" s="134">
        <v>0.27500000000000002</v>
      </c>
      <c r="G235" s="134">
        <v>0.23599999999999999</v>
      </c>
      <c r="H235" s="135">
        <v>2019</v>
      </c>
      <c r="I235" s="133" t="s">
        <v>5853</v>
      </c>
    </row>
    <row r="236" spans="1:9" ht="18.75" thickBot="1" x14ac:dyDescent="0.3">
      <c r="A236" t="str">
        <f t="shared" si="3"/>
        <v>013045T</v>
      </c>
      <c r="B236" s="133" t="s">
        <v>6045</v>
      </c>
      <c r="C236" s="133" t="s">
        <v>6046</v>
      </c>
      <c r="D236" s="441" t="s">
        <v>24</v>
      </c>
      <c r="E236" s="133"/>
      <c r="F236" s="134" t="s">
        <v>5552</v>
      </c>
      <c r="G236" s="134">
        <v>0.65900000000000003</v>
      </c>
      <c r="H236" s="135">
        <v>2019</v>
      </c>
      <c r="I236" s="133" t="s">
        <v>5566</v>
      </c>
    </row>
    <row r="237" spans="1:9" ht="18.75" thickBot="1" x14ac:dyDescent="0.3">
      <c r="A237" t="str">
        <f t="shared" si="3"/>
        <v>011389B</v>
      </c>
      <c r="B237" s="133" t="s">
        <v>6047</v>
      </c>
      <c r="C237" s="133" t="s">
        <v>6048</v>
      </c>
      <c r="D237" s="441" t="s">
        <v>5765</v>
      </c>
      <c r="E237" s="133"/>
      <c r="F237" s="134" t="s">
        <v>5552</v>
      </c>
      <c r="G237" s="134">
        <v>0.97</v>
      </c>
      <c r="H237" s="135">
        <v>2017</v>
      </c>
      <c r="I237" s="133" t="s">
        <v>5671</v>
      </c>
    </row>
    <row r="238" spans="1:9" ht="18.75" thickBot="1" x14ac:dyDescent="0.3">
      <c r="A238" t="str">
        <f t="shared" si="3"/>
        <v>013055D</v>
      </c>
      <c r="B238" s="133" t="s">
        <v>6049</v>
      </c>
      <c r="C238" s="133" t="s">
        <v>6050</v>
      </c>
      <c r="D238" s="441" t="s">
        <v>24</v>
      </c>
      <c r="E238" s="133"/>
      <c r="F238" s="134" t="s">
        <v>5552</v>
      </c>
      <c r="G238" s="134">
        <v>0.86</v>
      </c>
      <c r="H238" s="135">
        <v>2018</v>
      </c>
      <c r="I238" s="133" t="s">
        <v>5587</v>
      </c>
    </row>
    <row r="239" spans="1:9" ht="18.75" thickBot="1" x14ac:dyDescent="0.3">
      <c r="A239" t="str">
        <f t="shared" si="3"/>
        <v>134792I</v>
      </c>
      <c r="B239" s="133" t="s">
        <v>6051</v>
      </c>
      <c r="C239" s="133" t="s">
        <v>6052</v>
      </c>
      <c r="D239" s="441" t="s">
        <v>5503</v>
      </c>
      <c r="E239" s="133"/>
      <c r="F239" s="134">
        <v>0.30499999999999999</v>
      </c>
      <c r="G239" s="134">
        <v>0.26300000000000001</v>
      </c>
      <c r="H239" s="135">
        <v>2018</v>
      </c>
      <c r="I239" s="133" t="s">
        <v>5895</v>
      </c>
    </row>
    <row r="240" spans="1:9" ht="18.75" thickBot="1" x14ac:dyDescent="0.3">
      <c r="A240" t="str">
        <f t="shared" si="3"/>
        <v>013058G</v>
      </c>
      <c r="B240" s="133" t="s">
        <v>6053</v>
      </c>
      <c r="C240" s="133" t="s">
        <v>6054</v>
      </c>
      <c r="D240" s="441" t="s">
        <v>6025</v>
      </c>
      <c r="E240" s="133"/>
      <c r="F240" s="134" t="s">
        <v>5552</v>
      </c>
      <c r="G240" s="134">
        <v>0.59399999999999997</v>
      </c>
      <c r="H240" s="135">
        <v>2024</v>
      </c>
      <c r="I240" s="133" t="s">
        <v>5566</v>
      </c>
    </row>
    <row r="241" spans="1:9" ht="18.75" thickBot="1" x14ac:dyDescent="0.3">
      <c r="A241" t="str">
        <f t="shared" si="3"/>
        <v>108830U</v>
      </c>
      <c r="B241" s="133" t="s">
        <v>6055</v>
      </c>
      <c r="C241" s="133" t="s">
        <v>6056</v>
      </c>
      <c r="D241" s="441" t="s">
        <v>25</v>
      </c>
      <c r="E241" s="133"/>
      <c r="F241" s="134" t="s">
        <v>5552</v>
      </c>
      <c r="G241" s="134">
        <v>0.50700000000000001</v>
      </c>
      <c r="H241" s="135">
        <v>2019</v>
      </c>
      <c r="I241" s="133" t="s">
        <v>5853</v>
      </c>
    </row>
    <row r="242" spans="1:9" ht="18.75" thickBot="1" x14ac:dyDescent="0.3">
      <c r="A242" t="str">
        <f t="shared" si="3"/>
        <v>159577D</v>
      </c>
      <c r="B242" s="133" t="s">
        <v>6057</v>
      </c>
      <c r="C242" s="133" t="s">
        <v>6058</v>
      </c>
      <c r="D242" s="441" t="s">
        <v>5765</v>
      </c>
      <c r="E242" s="133"/>
      <c r="F242" s="134" t="s">
        <v>5552</v>
      </c>
      <c r="G242" s="134">
        <v>1.0089999999999999</v>
      </c>
      <c r="H242" s="135">
        <v>2024</v>
      </c>
      <c r="I242" s="133" t="s">
        <v>5587</v>
      </c>
    </row>
    <row r="243" spans="1:9" ht="18.75" thickBot="1" x14ac:dyDescent="0.3">
      <c r="A243" t="str">
        <f t="shared" si="3"/>
        <v>013061J</v>
      </c>
      <c r="B243" s="133" t="s">
        <v>6060</v>
      </c>
      <c r="C243" s="133" t="s">
        <v>6061</v>
      </c>
      <c r="D243" s="441" t="s">
        <v>5765</v>
      </c>
      <c r="E243" s="133"/>
      <c r="F243" s="134" t="s">
        <v>5552</v>
      </c>
      <c r="G243" s="134">
        <v>0.99099999999999999</v>
      </c>
      <c r="H243" s="135">
        <v>2024</v>
      </c>
      <c r="I243" s="133" t="s">
        <v>5678</v>
      </c>
    </row>
    <row r="244" spans="1:9" ht="18.75" thickBot="1" x14ac:dyDescent="0.3">
      <c r="A244" t="str">
        <f t="shared" si="3"/>
        <v>179514Z</v>
      </c>
      <c r="B244" s="133" t="s">
        <v>6062</v>
      </c>
      <c r="C244" s="133" t="s">
        <v>6063</v>
      </c>
      <c r="D244" s="441" t="s">
        <v>25</v>
      </c>
      <c r="E244" s="133"/>
      <c r="F244" s="134" t="s">
        <v>5552</v>
      </c>
      <c r="G244" s="134">
        <v>0.57299999999999995</v>
      </c>
      <c r="H244" s="135">
        <v>2024</v>
      </c>
      <c r="I244" s="133" t="s">
        <v>5587</v>
      </c>
    </row>
    <row r="245" spans="1:9" ht="18.75" thickBot="1" x14ac:dyDescent="0.3">
      <c r="A245" t="str">
        <f t="shared" si="3"/>
        <v>172629Q</v>
      </c>
      <c r="B245" s="133" t="s">
        <v>6064</v>
      </c>
      <c r="C245" s="133" t="s">
        <v>6065</v>
      </c>
      <c r="D245" s="441" t="s">
        <v>5504</v>
      </c>
      <c r="E245" s="133"/>
      <c r="F245" s="134">
        <v>0.17899999999999999</v>
      </c>
      <c r="G245" s="134">
        <v>0.154</v>
      </c>
      <c r="H245" s="135">
        <v>2024</v>
      </c>
      <c r="I245" s="133" t="s">
        <v>5726</v>
      </c>
    </row>
    <row r="246" spans="1:9" ht="18.75" thickBot="1" x14ac:dyDescent="0.3">
      <c r="A246" t="str">
        <f t="shared" si="3"/>
        <v>126916K</v>
      </c>
      <c r="B246" s="133" t="s">
        <v>6066</v>
      </c>
      <c r="C246" s="133" t="s">
        <v>6067</v>
      </c>
      <c r="D246" s="441" t="s">
        <v>5503</v>
      </c>
      <c r="E246" s="133"/>
      <c r="F246" s="134">
        <v>0.312</v>
      </c>
      <c r="G246" s="134">
        <v>0.26800000000000002</v>
      </c>
      <c r="H246" s="135">
        <v>2010</v>
      </c>
      <c r="I246" s="133" t="s">
        <v>5639</v>
      </c>
    </row>
    <row r="247" spans="1:9" ht="18.75" thickBot="1" x14ac:dyDescent="0.3">
      <c r="A247" t="str">
        <f t="shared" si="3"/>
        <v>013077Z</v>
      </c>
      <c r="B247" s="133" t="s">
        <v>6068</v>
      </c>
      <c r="C247" s="133" t="s">
        <v>6069</v>
      </c>
      <c r="D247" s="441" t="s">
        <v>26</v>
      </c>
      <c r="E247" s="133"/>
      <c r="F247" s="134">
        <v>0.38</v>
      </c>
      <c r="G247" s="134">
        <v>0.32700000000000001</v>
      </c>
      <c r="H247" s="135">
        <v>2024</v>
      </c>
      <c r="I247" s="133" t="s">
        <v>5639</v>
      </c>
    </row>
    <row r="248" spans="1:9" ht="18.75" thickBot="1" x14ac:dyDescent="0.3">
      <c r="A248" t="str">
        <f t="shared" si="3"/>
        <v>108071P</v>
      </c>
      <c r="B248" s="133" t="s">
        <v>6070</v>
      </c>
      <c r="C248" s="133" t="s">
        <v>6071</v>
      </c>
      <c r="D248" s="441" t="s">
        <v>5504</v>
      </c>
      <c r="E248" s="133"/>
      <c r="F248" s="134">
        <v>0.23300000000000001</v>
      </c>
      <c r="G248" s="134">
        <v>0.2</v>
      </c>
      <c r="H248" s="135">
        <v>2008</v>
      </c>
      <c r="I248" s="133" t="s">
        <v>5787</v>
      </c>
    </row>
    <row r="249" spans="1:9" ht="18.75" thickBot="1" x14ac:dyDescent="0.3">
      <c r="A249" t="str">
        <f t="shared" si="3"/>
        <v>130973L</v>
      </c>
      <c r="B249" s="133" t="s">
        <v>6072</v>
      </c>
      <c r="C249" s="133" t="s">
        <v>6073</v>
      </c>
      <c r="D249" s="441" t="s">
        <v>26</v>
      </c>
      <c r="E249" s="133"/>
      <c r="F249" s="134">
        <v>0.318</v>
      </c>
      <c r="G249" s="134">
        <v>0.27300000000000002</v>
      </c>
      <c r="H249" s="135">
        <v>2012</v>
      </c>
      <c r="I249" s="133" t="s">
        <v>6074</v>
      </c>
    </row>
    <row r="250" spans="1:9" ht="18.75" thickBot="1" x14ac:dyDescent="0.3">
      <c r="A250" t="str">
        <f t="shared" si="3"/>
        <v>148066R</v>
      </c>
      <c r="B250" s="133" t="s">
        <v>6075</v>
      </c>
      <c r="C250" s="133" t="s">
        <v>6076</v>
      </c>
      <c r="D250" s="441" t="s">
        <v>5504</v>
      </c>
      <c r="E250" s="133"/>
      <c r="F250" s="134">
        <v>8.2000000000000003E-2</v>
      </c>
      <c r="G250" s="134">
        <v>7.0999999999999994E-2</v>
      </c>
      <c r="H250" s="135">
        <v>2024</v>
      </c>
      <c r="I250" s="133" t="s">
        <v>5563</v>
      </c>
    </row>
    <row r="251" spans="1:9" ht="18.75" thickBot="1" x14ac:dyDescent="0.3">
      <c r="A251" t="str">
        <f t="shared" si="3"/>
        <v>013082E</v>
      </c>
      <c r="B251" s="133" t="s">
        <v>6077</v>
      </c>
      <c r="C251" s="133" t="s">
        <v>6078</v>
      </c>
      <c r="D251" s="441" t="s">
        <v>26</v>
      </c>
      <c r="E251" s="133"/>
      <c r="F251" s="134">
        <v>0.46100000000000002</v>
      </c>
      <c r="G251" s="134">
        <v>0.39600000000000002</v>
      </c>
      <c r="H251" s="135">
        <v>2014</v>
      </c>
      <c r="I251" s="133" t="s">
        <v>5710</v>
      </c>
    </row>
    <row r="252" spans="1:9" ht="18.75" thickBot="1" x14ac:dyDescent="0.3">
      <c r="A252" t="str">
        <f t="shared" si="3"/>
        <v>105555V</v>
      </c>
      <c r="B252" s="133" t="s">
        <v>6079</v>
      </c>
      <c r="C252" s="133" t="s">
        <v>6080</v>
      </c>
      <c r="D252" s="441" t="s">
        <v>5503</v>
      </c>
      <c r="E252" s="133"/>
      <c r="F252" s="134">
        <v>0.29599999999999999</v>
      </c>
      <c r="G252" s="134">
        <v>0.255</v>
      </c>
      <c r="H252" s="135">
        <v>2014</v>
      </c>
      <c r="I252" s="133" t="s">
        <v>6081</v>
      </c>
    </row>
    <row r="253" spans="1:9" ht="18.75" thickBot="1" x14ac:dyDescent="0.3">
      <c r="A253" t="str">
        <f t="shared" si="3"/>
        <v>106022U</v>
      </c>
      <c r="B253" s="133" t="s">
        <v>6082</v>
      </c>
      <c r="C253" s="133" t="s">
        <v>6083</v>
      </c>
      <c r="D253" s="441" t="s">
        <v>25</v>
      </c>
      <c r="E253" s="133"/>
      <c r="F253" s="134" t="s">
        <v>5552</v>
      </c>
      <c r="G253" s="134">
        <v>0.45300000000000001</v>
      </c>
      <c r="H253" s="135">
        <v>2024</v>
      </c>
      <c r="I253" s="133" t="s">
        <v>5625</v>
      </c>
    </row>
    <row r="254" spans="1:9" ht="18.75" thickBot="1" x14ac:dyDescent="0.3">
      <c r="A254" t="str">
        <f t="shared" si="3"/>
        <v>013087J</v>
      </c>
      <c r="B254" s="133" t="s">
        <v>6084</v>
      </c>
      <c r="C254" s="133" t="s">
        <v>6085</v>
      </c>
      <c r="D254" s="441" t="s">
        <v>5503</v>
      </c>
      <c r="E254" s="133"/>
      <c r="F254" s="134">
        <v>0.29299999999999998</v>
      </c>
      <c r="G254" s="134">
        <v>0.252</v>
      </c>
      <c r="H254" s="135">
        <v>2009</v>
      </c>
      <c r="I254" s="133" t="s">
        <v>5635</v>
      </c>
    </row>
    <row r="255" spans="1:9" ht="18.75" thickBot="1" x14ac:dyDescent="0.3">
      <c r="A255" t="str">
        <f t="shared" si="3"/>
        <v>111136M</v>
      </c>
      <c r="B255" s="133" t="s">
        <v>6086</v>
      </c>
      <c r="C255" s="133" t="s">
        <v>6087</v>
      </c>
      <c r="D255" s="441" t="s">
        <v>5503</v>
      </c>
      <c r="E255" s="133"/>
      <c r="F255" s="134">
        <v>0.255</v>
      </c>
      <c r="G255" s="134">
        <v>0.219</v>
      </c>
      <c r="H255" s="135">
        <v>2011</v>
      </c>
      <c r="I255" s="133" t="s">
        <v>5678</v>
      </c>
    </row>
    <row r="256" spans="1:9" ht="18.75" thickBot="1" x14ac:dyDescent="0.3">
      <c r="A256" t="str">
        <f t="shared" si="3"/>
        <v>151437F</v>
      </c>
      <c r="B256" s="133" t="s">
        <v>6088</v>
      </c>
      <c r="C256" s="133" t="s">
        <v>6089</v>
      </c>
      <c r="D256" s="441" t="s">
        <v>5562</v>
      </c>
      <c r="E256" s="133"/>
      <c r="F256" s="134">
        <v>0.32300000000000001</v>
      </c>
      <c r="G256" s="134">
        <v>0.27800000000000002</v>
      </c>
      <c r="H256" s="135">
        <v>2024</v>
      </c>
      <c r="I256" s="133" t="s">
        <v>5895</v>
      </c>
    </row>
    <row r="257" spans="1:9" ht="18.75" thickBot="1" x14ac:dyDescent="0.3">
      <c r="A257" t="str">
        <f t="shared" si="3"/>
        <v>120708Q</v>
      </c>
      <c r="B257" s="133" t="s">
        <v>6090</v>
      </c>
      <c r="C257" s="133" t="s">
        <v>6091</v>
      </c>
      <c r="D257" s="441" t="s">
        <v>25</v>
      </c>
      <c r="E257" s="133"/>
      <c r="F257" s="134" t="s">
        <v>5552</v>
      </c>
      <c r="G257" s="134">
        <v>0.39800000000000002</v>
      </c>
      <c r="H257" s="135">
        <v>2014</v>
      </c>
      <c r="I257" s="133" t="s">
        <v>5639</v>
      </c>
    </row>
    <row r="258" spans="1:9" ht="18.75" thickBot="1" x14ac:dyDescent="0.3">
      <c r="A258" t="str">
        <f t="shared" si="3"/>
        <v>113921P</v>
      </c>
      <c r="B258" s="133" t="s">
        <v>6092</v>
      </c>
      <c r="C258" s="133" t="s">
        <v>6093</v>
      </c>
      <c r="D258" s="441" t="s">
        <v>24</v>
      </c>
      <c r="E258" s="133"/>
      <c r="F258" s="134" t="s">
        <v>5552</v>
      </c>
      <c r="G258" s="134">
        <v>0.56499999999999995</v>
      </c>
      <c r="H258" s="135">
        <v>2018</v>
      </c>
      <c r="I258" s="133" t="s">
        <v>5615</v>
      </c>
    </row>
    <row r="259" spans="1:9" ht="18.75" thickBot="1" x14ac:dyDescent="0.3">
      <c r="A259" t="str">
        <f t="shared" ref="A259:A322" si="4">SUBSTITUTE(B259,CHAR(32),"")</f>
        <v>013107D</v>
      </c>
      <c r="B259" s="133" t="s">
        <v>6094</v>
      </c>
      <c r="C259" s="133" t="s">
        <v>6095</v>
      </c>
      <c r="D259" s="441" t="s">
        <v>24</v>
      </c>
      <c r="E259" s="133"/>
      <c r="F259" s="134" t="s">
        <v>5552</v>
      </c>
      <c r="G259" s="134">
        <v>0.77600000000000002</v>
      </c>
      <c r="H259" s="135">
        <v>2024</v>
      </c>
      <c r="I259" s="133" t="s">
        <v>5559</v>
      </c>
    </row>
    <row r="260" spans="1:9" ht="18.75" thickBot="1" x14ac:dyDescent="0.3">
      <c r="A260" t="str">
        <f t="shared" si="4"/>
        <v>108072Q</v>
      </c>
      <c r="B260" s="133" t="s">
        <v>6096</v>
      </c>
      <c r="C260" s="133" t="s">
        <v>6097</v>
      </c>
      <c r="D260" s="441" t="s">
        <v>5503</v>
      </c>
      <c r="E260" s="133"/>
      <c r="F260" s="134">
        <v>0.23899999999999999</v>
      </c>
      <c r="G260" s="134">
        <v>0.20499999999999999</v>
      </c>
      <c r="H260" s="135">
        <v>2012</v>
      </c>
      <c r="I260" s="133" t="s">
        <v>5787</v>
      </c>
    </row>
    <row r="261" spans="1:9" ht="18.75" thickBot="1" x14ac:dyDescent="0.3">
      <c r="A261" t="str">
        <f t="shared" si="4"/>
        <v>143225R</v>
      </c>
      <c r="B261" s="133" t="s">
        <v>6098</v>
      </c>
      <c r="C261" s="133" t="s">
        <v>6099</v>
      </c>
      <c r="D261" s="441" t="s">
        <v>5504</v>
      </c>
      <c r="E261" s="133"/>
      <c r="F261" s="134">
        <v>0.22900000000000001</v>
      </c>
      <c r="G261" s="134">
        <v>0.19700000000000001</v>
      </c>
      <c r="H261" s="135">
        <v>2014</v>
      </c>
      <c r="I261" s="133" t="s">
        <v>5608</v>
      </c>
    </row>
    <row r="262" spans="1:9" ht="18.75" thickBot="1" x14ac:dyDescent="0.3">
      <c r="A262" t="str">
        <f t="shared" si="4"/>
        <v>013110G</v>
      </c>
      <c r="B262" s="133" t="s">
        <v>6100</v>
      </c>
      <c r="C262" s="133" t="s">
        <v>6101</v>
      </c>
      <c r="D262" s="441" t="s">
        <v>26</v>
      </c>
      <c r="E262" s="133"/>
      <c r="F262" s="134">
        <v>0.33700000000000002</v>
      </c>
      <c r="G262" s="134">
        <v>0.28999999999999998</v>
      </c>
      <c r="H262" s="135">
        <v>2013</v>
      </c>
      <c r="I262" s="133" t="s">
        <v>5651</v>
      </c>
    </row>
    <row r="263" spans="1:9" ht="18.75" thickBot="1" x14ac:dyDescent="0.3">
      <c r="A263" t="str">
        <f t="shared" si="4"/>
        <v>156543F</v>
      </c>
      <c r="B263" s="133" t="s">
        <v>6102</v>
      </c>
      <c r="C263" s="133" t="s">
        <v>6103</v>
      </c>
      <c r="D263" s="441" t="s">
        <v>26</v>
      </c>
      <c r="E263" s="133"/>
      <c r="F263" s="134">
        <v>0.46500000000000002</v>
      </c>
      <c r="G263" s="134">
        <v>0.4</v>
      </c>
      <c r="H263" s="135">
        <v>2024</v>
      </c>
      <c r="I263" s="133" t="s">
        <v>5559</v>
      </c>
    </row>
    <row r="264" spans="1:9" ht="18.75" thickBot="1" x14ac:dyDescent="0.3">
      <c r="A264" t="str">
        <f t="shared" si="4"/>
        <v>123875L</v>
      </c>
      <c r="B264" s="133" t="s">
        <v>8609</v>
      </c>
      <c r="C264" s="133" t="s">
        <v>8610</v>
      </c>
      <c r="D264" s="441" t="s">
        <v>5503</v>
      </c>
      <c r="E264" s="133"/>
      <c r="F264" s="134">
        <v>0.28499999999999998</v>
      </c>
      <c r="G264" s="134">
        <v>0.245</v>
      </c>
      <c r="H264" s="135">
        <v>2024</v>
      </c>
      <c r="I264" s="133" t="s">
        <v>5594</v>
      </c>
    </row>
    <row r="265" spans="1:9" ht="18.75" thickBot="1" x14ac:dyDescent="0.3">
      <c r="A265" t="str">
        <f t="shared" si="4"/>
        <v>013113J</v>
      </c>
      <c r="B265" s="133" t="s">
        <v>6104</v>
      </c>
      <c r="C265" s="133" t="s">
        <v>6105</v>
      </c>
      <c r="D265" s="441" t="s">
        <v>24</v>
      </c>
      <c r="E265" s="133"/>
      <c r="F265" s="134" t="s">
        <v>5552</v>
      </c>
      <c r="G265" s="134">
        <v>0.628</v>
      </c>
      <c r="H265" s="135">
        <v>2014</v>
      </c>
      <c r="I265" s="133" t="s">
        <v>5792</v>
      </c>
    </row>
    <row r="266" spans="1:9" ht="18.75" thickBot="1" x14ac:dyDescent="0.3">
      <c r="A266" t="str">
        <f t="shared" si="4"/>
        <v>013114K</v>
      </c>
      <c r="B266" s="133" t="s">
        <v>6106</v>
      </c>
      <c r="C266" s="133" t="s">
        <v>6107</v>
      </c>
      <c r="D266" s="441" t="s">
        <v>26</v>
      </c>
      <c r="E266" s="133"/>
      <c r="F266" s="134">
        <v>0.38900000000000001</v>
      </c>
      <c r="G266" s="134">
        <v>0.33400000000000002</v>
      </c>
      <c r="H266" s="135">
        <v>2018</v>
      </c>
      <c r="I266" s="133" t="s">
        <v>5559</v>
      </c>
    </row>
    <row r="267" spans="1:9" ht="18.75" thickBot="1" x14ac:dyDescent="0.3">
      <c r="A267" t="str">
        <f t="shared" si="4"/>
        <v>013118O</v>
      </c>
      <c r="B267" s="133" t="s">
        <v>6108</v>
      </c>
      <c r="C267" s="133" t="s">
        <v>6109</v>
      </c>
      <c r="D267" s="441" t="s">
        <v>26</v>
      </c>
      <c r="E267" s="133"/>
      <c r="F267" s="134">
        <v>0.38500000000000001</v>
      </c>
      <c r="G267" s="134">
        <v>0.33100000000000002</v>
      </c>
      <c r="H267" s="135">
        <v>2009</v>
      </c>
      <c r="I267" s="133" t="s">
        <v>5630</v>
      </c>
    </row>
    <row r="268" spans="1:9" ht="18.75" thickBot="1" x14ac:dyDescent="0.3">
      <c r="A268" t="str">
        <f t="shared" si="4"/>
        <v>020751D</v>
      </c>
      <c r="B268" s="133" t="s">
        <v>6110</v>
      </c>
      <c r="C268" s="133" t="s">
        <v>6109</v>
      </c>
      <c r="D268" s="441" t="s">
        <v>26</v>
      </c>
      <c r="E268" s="133"/>
      <c r="F268" s="134">
        <v>0.46400000000000002</v>
      </c>
      <c r="G268" s="134">
        <v>0.39900000000000002</v>
      </c>
      <c r="H268" s="135">
        <v>2024</v>
      </c>
      <c r="I268" s="133" t="s">
        <v>5553</v>
      </c>
    </row>
    <row r="269" spans="1:9" ht="18.75" thickBot="1" x14ac:dyDescent="0.3">
      <c r="A269" t="str">
        <f t="shared" si="4"/>
        <v>171040N</v>
      </c>
      <c r="B269" s="133" t="s">
        <v>6111</v>
      </c>
      <c r="C269" s="133" t="s">
        <v>6112</v>
      </c>
      <c r="D269" s="441" t="s">
        <v>5503</v>
      </c>
      <c r="E269" s="133"/>
      <c r="F269" s="134">
        <v>0.28299999999999997</v>
      </c>
      <c r="G269" s="134">
        <v>0.24299999999999999</v>
      </c>
      <c r="H269" s="135">
        <v>2023</v>
      </c>
      <c r="I269" s="133" t="s">
        <v>5573</v>
      </c>
    </row>
    <row r="270" spans="1:9" ht="18.75" thickBot="1" x14ac:dyDescent="0.3">
      <c r="A270" t="str">
        <f t="shared" si="4"/>
        <v>103334K</v>
      </c>
      <c r="B270" s="133" t="s">
        <v>6113</v>
      </c>
      <c r="C270" s="133" t="s">
        <v>6114</v>
      </c>
      <c r="D270" s="441" t="s">
        <v>26</v>
      </c>
      <c r="E270" s="133"/>
      <c r="F270" s="134">
        <v>0.41</v>
      </c>
      <c r="G270" s="134">
        <v>0.35299999999999998</v>
      </c>
      <c r="H270" s="135">
        <v>2020</v>
      </c>
      <c r="I270" s="133" t="s">
        <v>8513</v>
      </c>
    </row>
    <row r="271" spans="1:9" ht="18.75" thickBot="1" x14ac:dyDescent="0.3">
      <c r="A271" t="str">
        <f t="shared" si="4"/>
        <v>013126W</v>
      </c>
      <c r="B271" s="133" t="s">
        <v>6115</v>
      </c>
      <c r="C271" s="133" t="s">
        <v>6116</v>
      </c>
      <c r="D271" s="441" t="s">
        <v>5503</v>
      </c>
      <c r="E271" s="133"/>
      <c r="F271" s="134">
        <v>0.25800000000000001</v>
      </c>
      <c r="G271" s="134">
        <v>0.222</v>
      </c>
      <c r="H271" s="135">
        <v>2022</v>
      </c>
      <c r="I271" s="133" t="s">
        <v>5744</v>
      </c>
    </row>
    <row r="272" spans="1:9" ht="18.75" thickBot="1" x14ac:dyDescent="0.3">
      <c r="A272" t="str">
        <f t="shared" si="4"/>
        <v>153995L</v>
      </c>
      <c r="B272" s="133" t="s">
        <v>8533</v>
      </c>
      <c r="C272" s="133" t="s">
        <v>8534</v>
      </c>
      <c r="D272" s="441" t="s">
        <v>5503</v>
      </c>
      <c r="E272" s="133"/>
      <c r="F272" s="134">
        <v>0.30399999999999999</v>
      </c>
      <c r="G272" s="134">
        <v>0.26100000000000001</v>
      </c>
      <c r="H272" s="135">
        <v>2024</v>
      </c>
      <c r="I272" s="133" t="s">
        <v>5705</v>
      </c>
    </row>
    <row r="273" spans="1:9" ht="18.75" thickBot="1" x14ac:dyDescent="0.3">
      <c r="A273" t="str">
        <f t="shared" si="4"/>
        <v>013136G</v>
      </c>
      <c r="B273" s="133" t="s">
        <v>6117</v>
      </c>
      <c r="C273" s="133" t="s">
        <v>6118</v>
      </c>
      <c r="D273" s="441" t="s">
        <v>26</v>
      </c>
      <c r="E273" s="133"/>
      <c r="F273" s="134">
        <v>0.42799999999999999</v>
      </c>
      <c r="G273" s="134">
        <v>0.36799999999999999</v>
      </c>
      <c r="H273" s="135">
        <v>2023</v>
      </c>
      <c r="I273" s="133" t="s">
        <v>5630</v>
      </c>
    </row>
    <row r="274" spans="1:9" ht="18.75" thickBot="1" x14ac:dyDescent="0.3">
      <c r="A274" t="str">
        <f t="shared" si="4"/>
        <v>126908C</v>
      </c>
      <c r="B274" s="133" t="s">
        <v>6119</v>
      </c>
      <c r="C274" s="133" t="s">
        <v>6120</v>
      </c>
      <c r="D274" s="441" t="s">
        <v>25</v>
      </c>
      <c r="E274" s="133"/>
      <c r="F274" s="134" t="s">
        <v>5552</v>
      </c>
      <c r="G274" s="134">
        <v>0.45300000000000001</v>
      </c>
      <c r="H274" s="135">
        <v>2010</v>
      </c>
      <c r="I274" s="133" t="s">
        <v>5559</v>
      </c>
    </row>
    <row r="275" spans="1:9" ht="18.75" thickBot="1" x14ac:dyDescent="0.3">
      <c r="A275" t="str">
        <f t="shared" si="4"/>
        <v>126909D</v>
      </c>
      <c r="B275" s="133" t="s">
        <v>6121</v>
      </c>
      <c r="C275" s="133" t="s">
        <v>6122</v>
      </c>
      <c r="D275" s="441" t="s">
        <v>26</v>
      </c>
      <c r="E275" s="133"/>
      <c r="F275" s="134">
        <v>0.38200000000000001</v>
      </c>
      <c r="G275" s="134">
        <v>0.32900000000000001</v>
      </c>
      <c r="H275" s="135">
        <v>2016</v>
      </c>
      <c r="I275" s="133" t="s">
        <v>5625</v>
      </c>
    </row>
    <row r="276" spans="1:9" ht="18.75" thickBot="1" x14ac:dyDescent="0.3">
      <c r="A276" t="str">
        <f t="shared" si="4"/>
        <v>104154Y</v>
      </c>
      <c r="B276" s="133" t="s">
        <v>6123</v>
      </c>
      <c r="C276" s="133" t="s">
        <v>6124</v>
      </c>
      <c r="D276" s="441" t="s">
        <v>25</v>
      </c>
      <c r="E276" s="133"/>
      <c r="F276" s="134" t="s">
        <v>5552</v>
      </c>
      <c r="G276" s="134">
        <v>0.28699999999999998</v>
      </c>
      <c r="H276" s="135">
        <v>2022</v>
      </c>
      <c r="I276" s="133" t="s">
        <v>5556</v>
      </c>
    </row>
    <row r="277" spans="1:9" ht="18.75" thickBot="1" x14ac:dyDescent="0.3">
      <c r="A277" t="str">
        <f t="shared" si="4"/>
        <v>169253W</v>
      </c>
      <c r="B277" s="133" t="s">
        <v>6125</v>
      </c>
      <c r="C277" s="133" t="s">
        <v>6126</v>
      </c>
      <c r="D277" s="441" t="s">
        <v>5503</v>
      </c>
      <c r="E277" s="133"/>
      <c r="F277" s="134">
        <v>0.26400000000000001</v>
      </c>
      <c r="G277" s="134">
        <v>0.22700000000000001</v>
      </c>
      <c r="H277" s="135">
        <v>2024</v>
      </c>
      <c r="I277" s="133" t="s">
        <v>5582</v>
      </c>
    </row>
    <row r="278" spans="1:9" ht="18.75" thickBot="1" x14ac:dyDescent="0.3">
      <c r="A278" t="str">
        <f t="shared" si="4"/>
        <v>142845B</v>
      </c>
      <c r="B278" s="133" t="s">
        <v>6127</v>
      </c>
      <c r="C278" s="133" t="s">
        <v>6128</v>
      </c>
      <c r="D278" s="441" t="s">
        <v>26</v>
      </c>
      <c r="E278" s="133"/>
      <c r="F278" s="134">
        <v>0.40400000000000003</v>
      </c>
      <c r="G278" s="134">
        <v>0.34699999999999998</v>
      </c>
      <c r="H278" s="135">
        <v>2014</v>
      </c>
      <c r="I278" s="133" t="s">
        <v>6081</v>
      </c>
    </row>
    <row r="279" spans="1:9" ht="18.75" thickBot="1" x14ac:dyDescent="0.3">
      <c r="A279" t="str">
        <f t="shared" si="4"/>
        <v>013149T</v>
      </c>
      <c r="B279" s="133" t="s">
        <v>6129</v>
      </c>
      <c r="C279" s="133" t="s">
        <v>6130</v>
      </c>
      <c r="D279" s="441" t="s">
        <v>24</v>
      </c>
      <c r="E279" s="133"/>
      <c r="F279" s="134" t="s">
        <v>5552</v>
      </c>
      <c r="G279" s="134">
        <v>0.73399999999999999</v>
      </c>
      <c r="H279" s="135">
        <v>2013</v>
      </c>
      <c r="I279" s="133" t="s">
        <v>5853</v>
      </c>
    </row>
    <row r="280" spans="1:9" ht="18.75" thickBot="1" x14ac:dyDescent="0.3">
      <c r="A280" t="str">
        <f t="shared" si="4"/>
        <v>013150U</v>
      </c>
      <c r="B280" s="133" t="s">
        <v>6131</v>
      </c>
      <c r="C280" s="133" t="s">
        <v>6132</v>
      </c>
      <c r="D280" s="441" t="s">
        <v>5504</v>
      </c>
      <c r="E280" s="133"/>
      <c r="F280" s="134">
        <v>0.15</v>
      </c>
      <c r="G280" s="134">
        <v>0.129</v>
      </c>
      <c r="H280" s="135">
        <v>2012</v>
      </c>
      <c r="I280" s="133" t="s">
        <v>5608</v>
      </c>
    </row>
    <row r="281" spans="1:9" ht="18.75" thickBot="1" x14ac:dyDescent="0.3">
      <c r="A281" t="str">
        <f t="shared" si="4"/>
        <v>158352X</v>
      </c>
      <c r="B281" s="133" t="s">
        <v>7208</v>
      </c>
      <c r="C281" s="133" t="s">
        <v>7209</v>
      </c>
      <c r="D281" s="441" t="s">
        <v>5638</v>
      </c>
      <c r="E281" s="133"/>
      <c r="F281" s="134" t="s">
        <v>5552</v>
      </c>
      <c r="G281" s="134">
        <v>0.53100000000000003</v>
      </c>
      <c r="H281" s="135">
        <v>2024</v>
      </c>
      <c r="I281" s="133" t="s">
        <v>5563</v>
      </c>
    </row>
    <row r="282" spans="1:9" ht="18.75" thickBot="1" x14ac:dyDescent="0.3">
      <c r="A282" t="str">
        <f t="shared" si="4"/>
        <v>013152W</v>
      </c>
      <c r="B282" s="133" t="s">
        <v>6133</v>
      </c>
      <c r="C282" s="133" t="s">
        <v>6134</v>
      </c>
      <c r="D282" s="441" t="s">
        <v>6025</v>
      </c>
      <c r="E282" s="133"/>
      <c r="F282" s="134" t="s">
        <v>5552</v>
      </c>
      <c r="G282" s="134">
        <v>0.55500000000000005</v>
      </c>
      <c r="H282" s="135">
        <v>2024</v>
      </c>
      <c r="I282" s="133" t="s">
        <v>5587</v>
      </c>
    </row>
    <row r="283" spans="1:9" ht="18.75" thickBot="1" x14ac:dyDescent="0.3">
      <c r="A283" t="str">
        <f t="shared" si="4"/>
        <v>117604G</v>
      </c>
      <c r="B283" s="133" t="s">
        <v>6135</v>
      </c>
      <c r="C283" s="133" t="s">
        <v>6136</v>
      </c>
      <c r="D283" s="441" t="s">
        <v>26</v>
      </c>
      <c r="E283" s="133"/>
      <c r="F283" s="134">
        <v>0.436</v>
      </c>
      <c r="G283" s="134">
        <v>0.375</v>
      </c>
      <c r="H283" s="135">
        <v>2014</v>
      </c>
      <c r="I283" s="133" t="s">
        <v>6137</v>
      </c>
    </row>
    <row r="284" spans="1:9" ht="18.75" thickBot="1" x14ac:dyDescent="0.3">
      <c r="A284" t="str">
        <f t="shared" si="4"/>
        <v>113877X</v>
      </c>
      <c r="B284" s="133" t="s">
        <v>6138</v>
      </c>
      <c r="C284" s="133" t="s">
        <v>6139</v>
      </c>
      <c r="D284" s="441" t="s">
        <v>5562</v>
      </c>
      <c r="E284" s="133"/>
      <c r="F284" s="134">
        <v>0.35399999999999998</v>
      </c>
      <c r="G284" s="134">
        <v>0.30399999999999999</v>
      </c>
      <c r="H284" s="135">
        <v>2024</v>
      </c>
      <c r="I284" s="133" t="s">
        <v>5573</v>
      </c>
    </row>
    <row r="285" spans="1:9" ht="18.75" thickBot="1" x14ac:dyDescent="0.3">
      <c r="A285" t="str">
        <f t="shared" si="4"/>
        <v>152532W</v>
      </c>
      <c r="B285" s="133" t="s">
        <v>6140</v>
      </c>
      <c r="C285" s="133" t="s">
        <v>6141</v>
      </c>
      <c r="D285" s="441" t="s">
        <v>26</v>
      </c>
      <c r="E285" s="133"/>
      <c r="F285" s="134">
        <v>0.48699999999999999</v>
      </c>
      <c r="G285" s="134">
        <v>0.41899999999999998</v>
      </c>
      <c r="H285" s="135">
        <v>2024</v>
      </c>
      <c r="I285" s="133" t="s">
        <v>5573</v>
      </c>
    </row>
    <row r="286" spans="1:9" ht="18.75" thickBot="1" x14ac:dyDescent="0.3">
      <c r="A286" t="str">
        <f t="shared" si="4"/>
        <v>013159D</v>
      </c>
      <c r="B286" s="133" t="s">
        <v>6142</v>
      </c>
      <c r="C286" s="133" t="s">
        <v>6143</v>
      </c>
      <c r="D286" s="441" t="s">
        <v>24</v>
      </c>
      <c r="E286" s="133"/>
      <c r="F286" s="134" t="s">
        <v>5552</v>
      </c>
      <c r="G286" s="134">
        <v>0.68200000000000005</v>
      </c>
      <c r="H286" s="135">
        <v>2013</v>
      </c>
      <c r="I286" s="133" t="s">
        <v>6144</v>
      </c>
    </row>
    <row r="287" spans="1:9" ht="18.75" thickBot="1" x14ac:dyDescent="0.3">
      <c r="A287" t="str">
        <f t="shared" si="4"/>
        <v>139536U</v>
      </c>
      <c r="B287" s="133" t="s">
        <v>6145</v>
      </c>
      <c r="C287" s="133" t="s">
        <v>6146</v>
      </c>
      <c r="D287" s="441" t="s">
        <v>5562</v>
      </c>
      <c r="E287" s="133"/>
      <c r="F287" s="134">
        <v>0.40799999999999997</v>
      </c>
      <c r="G287" s="134">
        <v>0.35099999999999998</v>
      </c>
      <c r="H287" s="135">
        <v>2024</v>
      </c>
      <c r="I287" s="133" t="s">
        <v>5566</v>
      </c>
    </row>
    <row r="288" spans="1:9" ht="18.75" thickBot="1" x14ac:dyDescent="0.3">
      <c r="A288" t="str">
        <f t="shared" si="4"/>
        <v>013161F</v>
      </c>
      <c r="B288" s="133" t="s">
        <v>6147</v>
      </c>
      <c r="C288" s="133" t="s">
        <v>6148</v>
      </c>
      <c r="D288" s="441" t="s">
        <v>26</v>
      </c>
      <c r="E288" s="133"/>
      <c r="F288" s="134">
        <v>0.38600000000000001</v>
      </c>
      <c r="G288" s="134">
        <v>0.33200000000000002</v>
      </c>
      <c r="H288" s="135">
        <v>2008</v>
      </c>
      <c r="I288" s="133" t="s">
        <v>5801</v>
      </c>
    </row>
    <row r="289" spans="1:9" ht="18.75" thickBot="1" x14ac:dyDescent="0.3">
      <c r="A289" t="str">
        <f t="shared" si="4"/>
        <v>129151J</v>
      </c>
      <c r="B289" s="133" t="s">
        <v>6149</v>
      </c>
      <c r="C289" s="133" t="s">
        <v>6150</v>
      </c>
      <c r="D289" s="441" t="s">
        <v>5503</v>
      </c>
      <c r="E289" s="133"/>
      <c r="F289" s="134">
        <v>0.312</v>
      </c>
      <c r="G289" s="134">
        <v>0.26800000000000002</v>
      </c>
      <c r="H289" s="135">
        <v>2009</v>
      </c>
      <c r="I289" s="133" t="s">
        <v>5635</v>
      </c>
    </row>
    <row r="290" spans="1:9" ht="18.75" thickBot="1" x14ac:dyDescent="0.3">
      <c r="A290" t="str">
        <f t="shared" si="4"/>
        <v>013168M</v>
      </c>
      <c r="B290" s="133" t="s">
        <v>6151</v>
      </c>
      <c r="C290" s="133" t="s">
        <v>6152</v>
      </c>
      <c r="D290" s="441" t="s">
        <v>5562</v>
      </c>
      <c r="E290" s="133"/>
      <c r="F290" s="134">
        <v>0.35599999999999998</v>
      </c>
      <c r="G290" s="134">
        <v>0.30599999999999999</v>
      </c>
      <c r="H290" s="135">
        <v>2024</v>
      </c>
      <c r="I290" s="133" t="s">
        <v>5787</v>
      </c>
    </row>
    <row r="291" spans="1:9" ht="18.75" thickBot="1" x14ac:dyDescent="0.3">
      <c r="A291" t="str">
        <f t="shared" si="4"/>
        <v>134375H</v>
      </c>
      <c r="B291" s="133" t="s">
        <v>6153</v>
      </c>
      <c r="C291" s="133" t="s">
        <v>6154</v>
      </c>
      <c r="D291" s="441" t="s">
        <v>5503</v>
      </c>
      <c r="E291" s="133"/>
      <c r="F291" s="134">
        <v>0.307</v>
      </c>
      <c r="G291" s="134">
        <v>0.26400000000000001</v>
      </c>
      <c r="H291" s="135">
        <v>2009</v>
      </c>
      <c r="I291" s="133" t="s">
        <v>5608</v>
      </c>
    </row>
    <row r="292" spans="1:9" ht="18.75" thickBot="1" x14ac:dyDescent="0.3">
      <c r="A292" t="str">
        <f t="shared" si="4"/>
        <v>125022O</v>
      </c>
      <c r="B292" s="133" t="s">
        <v>6155</v>
      </c>
      <c r="C292" s="133" t="s">
        <v>6156</v>
      </c>
      <c r="D292" s="441" t="s">
        <v>26</v>
      </c>
      <c r="E292" s="133"/>
      <c r="F292" s="134">
        <v>0.42699999999999999</v>
      </c>
      <c r="G292" s="134">
        <v>0.36699999999999999</v>
      </c>
      <c r="H292" s="135">
        <v>2020</v>
      </c>
      <c r="I292" s="133" t="s">
        <v>5768</v>
      </c>
    </row>
    <row r="293" spans="1:9" ht="18.75" thickBot="1" x14ac:dyDescent="0.3">
      <c r="A293" t="str">
        <f t="shared" si="4"/>
        <v>125441R</v>
      </c>
      <c r="B293" s="133" t="s">
        <v>6157</v>
      </c>
      <c r="C293" s="133" t="s">
        <v>6158</v>
      </c>
      <c r="D293" s="441" t="s">
        <v>6025</v>
      </c>
      <c r="E293" s="133"/>
      <c r="F293" s="134" t="s">
        <v>5552</v>
      </c>
      <c r="G293" s="134">
        <v>0.59399999999999997</v>
      </c>
      <c r="H293" s="135">
        <v>2024</v>
      </c>
      <c r="I293" s="133" t="s">
        <v>5587</v>
      </c>
    </row>
    <row r="294" spans="1:9" ht="18.75" thickBot="1" x14ac:dyDescent="0.3">
      <c r="A294" t="str">
        <f t="shared" si="4"/>
        <v>120365L</v>
      </c>
      <c r="B294" s="133" t="s">
        <v>6159</v>
      </c>
      <c r="C294" s="133" t="s">
        <v>6160</v>
      </c>
      <c r="D294" s="441" t="s">
        <v>26</v>
      </c>
      <c r="E294" s="133"/>
      <c r="F294" s="134">
        <v>0.44</v>
      </c>
      <c r="G294" s="134">
        <v>0.379</v>
      </c>
      <c r="H294" s="135">
        <v>2024</v>
      </c>
      <c r="I294" s="133" t="s">
        <v>5635</v>
      </c>
    </row>
    <row r="295" spans="1:9" ht="18.75" thickBot="1" x14ac:dyDescent="0.3">
      <c r="A295" t="str">
        <f t="shared" si="4"/>
        <v>013183B</v>
      </c>
      <c r="B295" s="133" t="s">
        <v>6161</v>
      </c>
      <c r="C295" s="133" t="s">
        <v>6162</v>
      </c>
      <c r="D295" s="441" t="s">
        <v>25</v>
      </c>
      <c r="E295" s="133"/>
      <c r="F295" s="134" t="s">
        <v>5552</v>
      </c>
      <c r="G295" s="134">
        <v>0.371</v>
      </c>
      <c r="H295" s="135">
        <v>2019</v>
      </c>
      <c r="I295" s="133" t="s">
        <v>5671</v>
      </c>
    </row>
    <row r="296" spans="1:9" ht="18.75" thickBot="1" x14ac:dyDescent="0.3">
      <c r="A296" t="str">
        <f t="shared" si="4"/>
        <v>142664C</v>
      </c>
      <c r="B296" s="133" t="s">
        <v>6163</v>
      </c>
      <c r="C296" s="133" t="s">
        <v>6164</v>
      </c>
      <c r="D296" s="441" t="s">
        <v>5504</v>
      </c>
      <c r="E296" s="133"/>
      <c r="F296" s="134">
        <v>0.17799999999999999</v>
      </c>
      <c r="G296" s="134">
        <v>0.153</v>
      </c>
      <c r="H296" s="135">
        <v>2024</v>
      </c>
      <c r="I296" s="133" t="s">
        <v>5646</v>
      </c>
    </row>
    <row r="297" spans="1:9" ht="18.75" thickBot="1" x14ac:dyDescent="0.3">
      <c r="A297" t="str">
        <f t="shared" si="4"/>
        <v>013193L</v>
      </c>
      <c r="B297" s="133" t="s">
        <v>6165</v>
      </c>
      <c r="C297" s="133" t="s">
        <v>6166</v>
      </c>
      <c r="D297" s="441" t="s">
        <v>5503</v>
      </c>
      <c r="E297" s="133"/>
      <c r="F297" s="134">
        <v>0.23300000000000001</v>
      </c>
      <c r="G297" s="134">
        <v>0.2</v>
      </c>
      <c r="H297" s="135">
        <v>2016</v>
      </c>
      <c r="I297" s="133" t="s">
        <v>5587</v>
      </c>
    </row>
    <row r="298" spans="1:9" ht="18.75" thickBot="1" x14ac:dyDescent="0.3">
      <c r="A298" t="str">
        <f t="shared" si="4"/>
        <v>104033H</v>
      </c>
      <c r="B298" s="133" t="s">
        <v>6167</v>
      </c>
      <c r="C298" s="133" t="s">
        <v>6168</v>
      </c>
      <c r="D298" s="441" t="s">
        <v>26</v>
      </c>
      <c r="E298" s="133"/>
      <c r="F298" s="134">
        <v>0.41399999999999998</v>
      </c>
      <c r="G298" s="134">
        <v>0.35599999999999998</v>
      </c>
      <c r="H298" s="135">
        <v>2024</v>
      </c>
      <c r="I298" s="133" t="s">
        <v>5573</v>
      </c>
    </row>
    <row r="299" spans="1:9" ht="18.75" thickBot="1" x14ac:dyDescent="0.3">
      <c r="A299" t="str">
        <f t="shared" si="4"/>
        <v>124960E</v>
      </c>
      <c r="B299" s="133" t="s">
        <v>6169</v>
      </c>
      <c r="C299" s="133" t="s">
        <v>6170</v>
      </c>
      <c r="D299" s="441" t="s">
        <v>5503</v>
      </c>
      <c r="E299" s="133"/>
      <c r="F299" s="134">
        <v>0.34499999999999997</v>
      </c>
      <c r="G299" s="134">
        <v>0.29699999999999999</v>
      </c>
      <c r="H299" s="135">
        <v>2008</v>
      </c>
      <c r="I299" s="133" t="s">
        <v>5587</v>
      </c>
    </row>
    <row r="300" spans="1:9" ht="18.75" thickBot="1" x14ac:dyDescent="0.3">
      <c r="A300" t="str">
        <f t="shared" si="4"/>
        <v>127176K</v>
      </c>
      <c r="B300" s="133" t="s">
        <v>6171</v>
      </c>
      <c r="C300" s="133" t="s">
        <v>6172</v>
      </c>
      <c r="D300" s="441" t="s">
        <v>24</v>
      </c>
      <c r="E300" s="133"/>
      <c r="F300" s="134" t="s">
        <v>5552</v>
      </c>
      <c r="G300" s="134">
        <v>0.56100000000000005</v>
      </c>
      <c r="H300" s="135">
        <v>2017</v>
      </c>
      <c r="I300" s="133" t="s">
        <v>5594</v>
      </c>
    </row>
    <row r="301" spans="1:9" ht="18.75" thickBot="1" x14ac:dyDescent="0.3">
      <c r="A301" t="str">
        <f t="shared" si="4"/>
        <v>135326W</v>
      </c>
      <c r="B301" s="133" t="s">
        <v>6173</v>
      </c>
      <c r="C301" s="133" t="s">
        <v>6174</v>
      </c>
      <c r="D301" s="441" t="s">
        <v>26</v>
      </c>
      <c r="E301" s="133"/>
      <c r="F301" s="134">
        <v>0.35399999999999998</v>
      </c>
      <c r="G301" s="134">
        <v>0.30399999999999999</v>
      </c>
      <c r="H301" s="135">
        <v>2014</v>
      </c>
      <c r="I301" s="133" t="s">
        <v>5787</v>
      </c>
    </row>
    <row r="302" spans="1:9" ht="18.75" thickBot="1" x14ac:dyDescent="0.3">
      <c r="A302" t="str">
        <f t="shared" si="4"/>
        <v>120151F</v>
      </c>
      <c r="B302" s="133" t="s">
        <v>6175</v>
      </c>
      <c r="C302" s="133" t="s">
        <v>6176</v>
      </c>
      <c r="D302" s="441" t="s">
        <v>25</v>
      </c>
      <c r="E302" s="133"/>
      <c r="F302" s="134" t="s">
        <v>5552</v>
      </c>
      <c r="G302" s="134">
        <v>0.51200000000000001</v>
      </c>
      <c r="H302" s="135">
        <v>2008</v>
      </c>
      <c r="I302" s="133" t="s">
        <v>5594</v>
      </c>
    </row>
    <row r="303" spans="1:9" ht="18.75" thickBot="1" x14ac:dyDescent="0.3">
      <c r="A303" t="str">
        <f t="shared" si="4"/>
        <v>103321X</v>
      </c>
      <c r="B303" s="133" t="s">
        <v>6177</v>
      </c>
      <c r="C303" s="133" t="s">
        <v>6178</v>
      </c>
      <c r="D303" s="441" t="s">
        <v>5504</v>
      </c>
      <c r="E303" s="133"/>
      <c r="F303" s="134">
        <v>0.13600000000000001</v>
      </c>
      <c r="G303" s="134">
        <v>0.11600000000000001</v>
      </c>
      <c r="H303" s="135">
        <v>2011</v>
      </c>
      <c r="I303" s="133" t="s">
        <v>5594</v>
      </c>
    </row>
    <row r="304" spans="1:9" ht="18.75" thickBot="1" x14ac:dyDescent="0.3">
      <c r="A304" t="str">
        <f t="shared" si="4"/>
        <v>115319J</v>
      </c>
      <c r="B304" s="133" t="s">
        <v>6179</v>
      </c>
      <c r="C304" s="133" t="s">
        <v>6180</v>
      </c>
      <c r="D304" s="441" t="s">
        <v>26</v>
      </c>
      <c r="E304" s="133"/>
      <c r="F304" s="134">
        <v>0.38900000000000001</v>
      </c>
      <c r="G304" s="134">
        <v>0.33400000000000002</v>
      </c>
      <c r="H304" s="135">
        <v>2011</v>
      </c>
      <c r="I304" s="133" t="s">
        <v>5654</v>
      </c>
    </row>
    <row r="305" spans="1:9" ht="18.75" thickBot="1" x14ac:dyDescent="0.3">
      <c r="A305" t="str">
        <f t="shared" si="4"/>
        <v>013203V</v>
      </c>
      <c r="B305" s="133" t="s">
        <v>6181</v>
      </c>
      <c r="C305" s="133" t="s">
        <v>6182</v>
      </c>
      <c r="D305" s="441" t="s">
        <v>26</v>
      </c>
      <c r="E305" s="133"/>
      <c r="F305" s="134">
        <v>0.36599999999999999</v>
      </c>
      <c r="G305" s="134">
        <v>0.315</v>
      </c>
      <c r="H305" s="135">
        <v>2015</v>
      </c>
      <c r="I305" s="133" t="s">
        <v>5654</v>
      </c>
    </row>
    <row r="306" spans="1:9" ht="18.75" thickBot="1" x14ac:dyDescent="0.3">
      <c r="A306" t="str">
        <f t="shared" si="4"/>
        <v>117363Z</v>
      </c>
      <c r="B306" s="133" t="s">
        <v>6183</v>
      </c>
      <c r="C306" s="133" t="s">
        <v>6184</v>
      </c>
      <c r="D306" s="441" t="s">
        <v>26</v>
      </c>
      <c r="E306" s="133"/>
      <c r="F306" s="134">
        <v>0.42699999999999999</v>
      </c>
      <c r="G306" s="134">
        <v>0.36699999999999999</v>
      </c>
      <c r="H306" s="135">
        <v>2018</v>
      </c>
      <c r="I306" s="133" t="s">
        <v>5654</v>
      </c>
    </row>
    <row r="307" spans="1:9" ht="18.75" thickBot="1" x14ac:dyDescent="0.3">
      <c r="A307" t="str">
        <f t="shared" si="4"/>
        <v>142675N</v>
      </c>
      <c r="B307" s="133" t="s">
        <v>6185</v>
      </c>
      <c r="C307" s="133" t="s">
        <v>6186</v>
      </c>
      <c r="D307" s="441" t="s">
        <v>26</v>
      </c>
      <c r="E307" s="133"/>
      <c r="F307" s="134">
        <v>0.40200000000000002</v>
      </c>
      <c r="G307" s="134">
        <v>0.34499999999999997</v>
      </c>
      <c r="H307" s="135">
        <v>2017</v>
      </c>
      <c r="I307" s="133" t="s">
        <v>5657</v>
      </c>
    </row>
    <row r="308" spans="1:9" ht="18.75" thickBot="1" x14ac:dyDescent="0.3">
      <c r="A308" t="str">
        <f t="shared" si="4"/>
        <v>147256L</v>
      </c>
      <c r="B308" s="133" t="s">
        <v>6187</v>
      </c>
      <c r="C308" s="133" t="s">
        <v>6188</v>
      </c>
      <c r="D308" s="441" t="s">
        <v>5504</v>
      </c>
      <c r="E308" s="133"/>
      <c r="F308" s="134">
        <v>0.19800000000000001</v>
      </c>
      <c r="G308" s="134">
        <v>0.17</v>
      </c>
      <c r="H308" s="135">
        <v>2017</v>
      </c>
      <c r="I308" s="133" t="s">
        <v>5657</v>
      </c>
    </row>
    <row r="309" spans="1:9" ht="18.75" thickBot="1" x14ac:dyDescent="0.3">
      <c r="A309" t="str">
        <f t="shared" si="4"/>
        <v>143227T</v>
      </c>
      <c r="B309" s="133" t="s">
        <v>6189</v>
      </c>
      <c r="C309" s="133" t="s">
        <v>6190</v>
      </c>
      <c r="D309" s="441" t="s">
        <v>5504</v>
      </c>
      <c r="E309" s="133"/>
      <c r="F309" s="134">
        <v>0.10299999999999999</v>
      </c>
      <c r="G309" s="134">
        <v>8.7999999999999995E-2</v>
      </c>
      <c r="H309" s="135">
        <v>2023</v>
      </c>
      <c r="I309" s="133" t="s">
        <v>5615</v>
      </c>
    </row>
    <row r="310" spans="1:9" ht="18.75" thickBot="1" x14ac:dyDescent="0.3">
      <c r="A310" t="str">
        <f t="shared" si="4"/>
        <v>013215H</v>
      </c>
      <c r="B310" s="133" t="s">
        <v>6191</v>
      </c>
      <c r="C310" s="133" t="s">
        <v>6192</v>
      </c>
      <c r="D310" s="441" t="s">
        <v>25</v>
      </c>
      <c r="E310" s="133"/>
      <c r="F310" s="134" t="s">
        <v>5552</v>
      </c>
      <c r="G310" s="134">
        <v>0.38500000000000001</v>
      </c>
      <c r="H310" s="135">
        <v>2015</v>
      </c>
      <c r="I310" s="133" t="s">
        <v>5671</v>
      </c>
    </row>
    <row r="311" spans="1:9" ht="18.75" thickBot="1" x14ac:dyDescent="0.3">
      <c r="A311" t="str">
        <f t="shared" si="4"/>
        <v>013216I</v>
      </c>
      <c r="B311" s="133" t="s">
        <v>6193</v>
      </c>
      <c r="C311" s="133" t="s">
        <v>6194</v>
      </c>
      <c r="D311" s="441" t="s">
        <v>24</v>
      </c>
      <c r="E311" s="133"/>
      <c r="F311" s="134" t="s">
        <v>5552</v>
      </c>
      <c r="G311" s="134">
        <v>0.64800000000000002</v>
      </c>
      <c r="H311" s="135">
        <v>2024</v>
      </c>
      <c r="I311" s="133" t="s">
        <v>5556</v>
      </c>
    </row>
    <row r="312" spans="1:9" ht="18.75" thickBot="1" x14ac:dyDescent="0.3">
      <c r="A312" t="str">
        <f t="shared" si="4"/>
        <v>013217J</v>
      </c>
      <c r="B312" s="133" t="s">
        <v>6195</v>
      </c>
      <c r="C312" s="133" t="s">
        <v>6196</v>
      </c>
      <c r="D312" s="441" t="s">
        <v>26</v>
      </c>
      <c r="E312" s="133"/>
      <c r="F312" s="134">
        <v>0.438</v>
      </c>
      <c r="G312" s="134">
        <v>0.376</v>
      </c>
      <c r="H312" s="135">
        <v>2024</v>
      </c>
      <c r="I312" s="133" t="s">
        <v>5556</v>
      </c>
    </row>
    <row r="313" spans="1:9" ht="18.75" thickBot="1" x14ac:dyDescent="0.3">
      <c r="A313" t="str">
        <f t="shared" si="4"/>
        <v>013218K</v>
      </c>
      <c r="B313" s="133" t="s">
        <v>6197</v>
      </c>
      <c r="C313" s="133" t="s">
        <v>6198</v>
      </c>
      <c r="D313" s="441" t="s">
        <v>5503</v>
      </c>
      <c r="E313" s="133"/>
      <c r="F313" s="134">
        <v>0.31</v>
      </c>
      <c r="G313" s="134">
        <v>0.26600000000000001</v>
      </c>
      <c r="H313" s="135">
        <v>2020</v>
      </c>
      <c r="I313" s="133" t="s">
        <v>5587</v>
      </c>
    </row>
    <row r="314" spans="1:9" ht="18.75" thickBot="1" x14ac:dyDescent="0.3">
      <c r="A314" t="str">
        <f t="shared" si="4"/>
        <v>113475L</v>
      </c>
      <c r="B314" s="133" t="s">
        <v>6199</v>
      </c>
      <c r="C314" s="133" t="s">
        <v>6200</v>
      </c>
      <c r="D314" s="441" t="s">
        <v>5503</v>
      </c>
      <c r="E314" s="133"/>
      <c r="F314" s="134">
        <v>0.28000000000000003</v>
      </c>
      <c r="G314" s="134">
        <v>0.24</v>
      </c>
      <c r="H314" s="135">
        <v>2008</v>
      </c>
      <c r="I314" s="133" t="s">
        <v>5646</v>
      </c>
    </row>
    <row r="315" spans="1:9" ht="18.75" thickBot="1" x14ac:dyDescent="0.3">
      <c r="A315" t="str">
        <f t="shared" si="4"/>
        <v>154485T</v>
      </c>
      <c r="B315" s="133" t="s">
        <v>6201</v>
      </c>
      <c r="C315" s="133" t="s">
        <v>6202</v>
      </c>
      <c r="D315" s="441" t="s">
        <v>5503</v>
      </c>
      <c r="E315" s="133"/>
      <c r="F315" s="134">
        <v>0.33600000000000002</v>
      </c>
      <c r="G315" s="134">
        <v>0.28899999999999998</v>
      </c>
      <c r="H315" s="135">
        <v>2024</v>
      </c>
      <c r="I315" s="133" t="s">
        <v>5594</v>
      </c>
    </row>
    <row r="316" spans="1:9" ht="18.75" thickBot="1" x14ac:dyDescent="0.3">
      <c r="A316" t="str">
        <f t="shared" si="4"/>
        <v>013226S</v>
      </c>
      <c r="B316" s="133" t="s">
        <v>6203</v>
      </c>
      <c r="C316" s="133" t="s">
        <v>6204</v>
      </c>
      <c r="D316" s="441" t="s">
        <v>26</v>
      </c>
      <c r="E316" s="133"/>
      <c r="F316" s="134">
        <v>0.46100000000000002</v>
      </c>
      <c r="G316" s="134">
        <v>0.39600000000000002</v>
      </c>
      <c r="H316" s="135">
        <v>2014</v>
      </c>
      <c r="I316" s="133" t="s">
        <v>5646</v>
      </c>
    </row>
    <row r="317" spans="1:9" ht="18.75" thickBot="1" x14ac:dyDescent="0.3">
      <c r="A317" t="str">
        <f t="shared" si="4"/>
        <v>144080O</v>
      </c>
      <c r="B317" s="133" t="s">
        <v>6205</v>
      </c>
      <c r="C317" s="133" t="s">
        <v>6206</v>
      </c>
      <c r="D317" s="441" t="s">
        <v>5503</v>
      </c>
      <c r="E317" s="133"/>
      <c r="F317" s="134">
        <v>0.254</v>
      </c>
      <c r="G317" s="134">
        <v>0.218</v>
      </c>
      <c r="H317" s="135">
        <v>2019</v>
      </c>
      <c r="I317" s="133" t="s">
        <v>5556</v>
      </c>
    </row>
    <row r="318" spans="1:9" ht="18.75" thickBot="1" x14ac:dyDescent="0.3">
      <c r="A318" t="str">
        <f t="shared" si="4"/>
        <v>013233Z</v>
      </c>
      <c r="B318" s="133" t="s">
        <v>6207</v>
      </c>
      <c r="C318" s="133" t="s">
        <v>6208</v>
      </c>
      <c r="D318" s="441" t="s">
        <v>5503</v>
      </c>
      <c r="E318" s="133"/>
      <c r="F318" s="134">
        <v>0.315</v>
      </c>
      <c r="G318" s="134">
        <v>0.27100000000000002</v>
      </c>
      <c r="H318" s="135">
        <v>2024</v>
      </c>
      <c r="I318" s="133" t="s">
        <v>5726</v>
      </c>
    </row>
    <row r="319" spans="1:9" ht="18.75" thickBot="1" x14ac:dyDescent="0.3">
      <c r="A319" t="str">
        <f t="shared" si="4"/>
        <v>013234A</v>
      </c>
      <c r="B319" s="133" t="s">
        <v>6209</v>
      </c>
      <c r="C319" s="133" t="s">
        <v>6210</v>
      </c>
      <c r="D319" s="441" t="s">
        <v>26</v>
      </c>
      <c r="E319" s="133"/>
      <c r="F319" s="134">
        <v>0.48199999999999998</v>
      </c>
      <c r="G319" s="134">
        <v>0.41499999999999998</v>
      </c>
      <c r="H319" s="135">
        <v>2024</v>
      </c>
      <c r="I319" s="133" t="s">
        <v>5726</v>
      </c>
    </row>
    <row r="320" spans="1:9" ht="18.75" thickBot="1" x14ac:dyDescent="0.3">
      <c r="A320" t="str">
        <f t="shared" si="4"/>
        <v>013235B</v>
      </c>
      <c r="B320" s="133" t="s">
        <v>6211</v>
      </c>
      <c r="C320" s="133" t="s">
        <v>6212</v>
      </c>
      <c r="D320" s="441" t="s">
        <v>26</v>
      </c>
      <c r="E320" s="133"/>
      <c r="F320" s="134">
        <v>0.29899999999999999</v>
      </c>
      <c r="G320" s="134">
        <v>0.25700000000000001</v>
      </c>
      <c r="H320" s="135">
        <v>2015</v>
      </c>
      <c r="I320" s="133" t="s">
        <v>5895</v>
      </c>
    </row>
    <row r="321" spans="1:9" ht="18.75" thickBot="1" x14ac:dyDescent="0.3">
      <c r="A321" t="str">
        <f t="shared" si="4"/>
        <v>149554J</v>
      </c>
      <c r="B321" s="133" t="s">
        <v>6213</v>
      </c>
      <c r="C321" s="133" t="s">
        <v>6214</v>
      </c>
      <c r="D321" s="441" t="s">
        <v>5503</v>
      </c>
      <c r="E321" s="133"/>
      <c r="F321" s="134">
        <v>0.317</v>
      </c>
      <c r="G321" s="134">
        <v>0.27300000000000002</v>
      </c>
      <c r="H321" s="135">
        <v>2022</v>
      </c>
      <c r="I321" s="133" t="s">
        <v>5657</v>
      </c>
    </row>
    <row r="322" spans="1:9" ht="18.75" thickBot="1" x14ac:dyDescent="0.3">
      <c r="A322" t="str">
        <f t="shared" si="4"/>
        <v>145606G</v>
      </c>
      <c r="B322" s="133" t="s">
        <v>6215</v>
      </c>
      <c r="C322" s="133" t="s">
        <v>6216</v>
      </c>
      <c r="D322" s="441" t="s">
        <v>5503</v>
      </c>
      <c r="E322" s="133"/>
      <c r="F322" s="134">
        <v>0.32300000000000001</v>
      </c>
      <c r="G322" s="134">
        <v>0.27800000000000002</v>
      </c>
      <c r="H322" s="135">
        <v>2017</v>
      </c>
      <c r="I322" s="133" t="s">
        <v>5559</v>
      </c>
    </row>
    <row r="323" spans="1:9" ht="18.75" thickBot="1" x14ac:dyDescent="0.3">
      <c r="A323" t="str">
        <f t="shared" ref="A323:A386" si="5">SUBSTITUTE(B323,CHAR(32),"")</f>
        <v>013244K</v>
      </c>
      <c r="B323" s="133" t="s">
        <v>6217</v>
      </c>
      <c r="C323" s="133" t="s">
        <v>6218</v>
      </c>
      <c r="D323" s="441" t="s">
        <v>26</v>
      </c>
      <c r="E323" s="133"/>
      <c r="F323" s="134">
        <v>0.42899999999999999</v>
      </c>
      <c r="G323" s="134">
        <v>0.36899999999999999</v>
      </c>
      <c r="H323" s="135">
        <v>2024</v>
      </c>
      <c r="I323" s="133" t="s">
        <v>5582</v>
      </c>
    </row>
    <row r="324" spans="1:9" ht="18.75" thickBot="1" x14ac:dyDescent="0.3">
      <c r="A324" t="str">
        <f t="shared" si="5"/>
        <v>013247N</v>
      </c>
      <c r="B324" s="133" t="s">
        <v>6219</v>
      </c>
      <c r="C324" s="133" t="s">
        <v>6220</v>
      </c>
      <c r="D324" s="441" t="s">
        <v>5503</v>
      </c>
      <c r="E324" s="133"/>
      <c r="F324" s="134">
        <v>0.33300000000000002</v>
      </c>
      <c r="G324" s="134">
        <v>0.28599999999999998</v>
      </c>
      <c r="H324" s="135">
        <v>2018</v>
      </c>
      <c r="I324" s="133" t="s">
        <v>5566</v>
      </c>
    </row>
    <row r="325" spans="1:9" ht="18.75" thickBot="1" x14ac:dyDescent="0.3">
      <c r="A325" t="str">
        <f t="shared" si="5"/>
        <v>019309R</v>
      </c>
      <c r="B325" s="133" t="s">
        <v>6221</v>
      </c>
      <c r="C325" s="133" t="s">
        <v>6222</v>
      </c>
      <c r="D325" s="441" t="s">
        <v>25</v>
      </c>
      <c r="E325" s="133"/>
      <c r="F325" s="134" t="s">
        <v>5552</v>
      </c>
      <c r="G325" s="134">
        <v>0.496</v>
      </c>
      <c r="H325" s="135">
        <v>2023</v>
      </c>
      <c r="I325" s="133" t="s">
        <v>6081</v>
      </c>
    </row>
    <row r="326" spans="1:9" ht="18.75" thickBot="1" x14ac:dyDescent="0.3">
      <c r="A326" t="str">
        <f t="shared" si="5"/>
        <v>103168A</v>
      </c>
      <c r="B326" s="133" t="s">
        <v>6223</v>
      </c>
      <c r="C326" s="133" t="s">
        <v>6224</v>
      </c>
      <c r="D326" s="441" t="s">
        <v>5504</v>
      </c>
      <c r="E326" s="133"/>
      <c r="F326" s="134">
        <v>0.24299999999999999</v>
      </c>
      <c r="G326" s="134">
        <v>0.20899999999999999</v>
      </c>
      <c r="H326" s="135">
        <v>2017</v>
      </c>
      <c r="I326" s="133" t="s">
        <v>5559</v>
      </c>
    </row>
    <row r="327" spans="1:9" ht="18.75" thickBot="1" x14ac:dyDescent="0.3">
      <c r="A327" t="str">
        <f t="shared" si="5"/>
        <v>140424Y</v>
      </c>
      <c r="B327" s="133" t="s">
        <v>6225</v>
      </c>
      <c r="C327" s="133" t="s">
        <v>6226</v>
      </c>
      <c r="D327" s="441" t="s">
        <v>26</v>
      </c>
      <c r="E327" s="133"/>
      <c r="F327" s="134">
        <v>0.40699999999999997</v>
      </c>
      <c r="G327" s="134">
        <v>0.35</v>
      </c>
      <c r="H327" s="135">
        <v>2024</v>
      </c>
      <c r="I327" s="133" t="s">
        <v>5726</v>
      </c>
    </row>
    <row r="328" spans="1:9" ht="18.75" thickBot="1" x14ac:dyDescent="0.3">
      <c r="A328" t="str">
        <f t="shared" si="5"/>
        <v>157921D</v>
      </c>
      <c r="B328" s="133" t="s">
        <v>6227</v>
      </c>
      <c r="C328" s="133" t="s">
        <v>6228</v>
      </c>
      <c r="D328" s="441" t="s">
        <v>5503</v>
      </c>
      <c r="E328" s="133"/>
      <c r="F328" s="134">
        <v>0.28399999999999997</v>
      </c>
      <c r="G328" s="134">
        <v>0.24399999999999999</v>
      </c>
      <c r="H328" s="135">
        <v>2024</v>
      </c>
      <c r="I328" s="133" t="s">
        <v>6229</v>
      </c>
    </row>
    <row r="329" spans="1:9" ht="18.75" thickBot="1" x14ac:dyDescent="0.3">
      <c r="A329" t="str">
        <f t="shared" si="5"/>
        <v>111337F</v>
      </c>
      <c r="B329" s="133" t="s">
        <v>6230</v>
      </c>
      <c r="C329" s="133" t="s">
        <v>6231</v>
      </c>
      <c r="D329" s="441" t="s">
        <v>26</v>
      </c>
      <c r="E329" s="133"/>
      <c r="F329" s="134">
        <v>0.371</v>
      </c>
      <c r="G329" s="134">
        <v>0.31900000000000001</v>
      </c>
      <c r="H329" s="135">
        <v>2023</v>
      </c>
      <c r="I329" s="133" t="s">
        <v>5678</v>
      </c>
    </row>
    <row r="330" spans="1:9" ht="18.75" thickBot="1" x14ac:dyDescent="0.3">
      <c r="A330" t="str">
        <f t="shared" si="5"/>
        <v>113564W</v>
      </c>
      <c r="B330" s="133" t="s">
        <v>6232</v>
      </c>
      <c r="C330" s="133" t="s">
        <v>6233</v>
      </c>
      <c r="D330" s="441" t="s">
        <v>26</v>
      </c>
      <c r="E330" s="133"/>
      <c r="F330" s="134">
        <v>0.498</v>
      </c>
      <c r="G330" s="134">
        <v>0.42799999999999999</v>
      </c>
      <c r="H330" s="135">
        <v>2013</v>
      </c>
      <c r="I330" s="133" t="s">
        <v>5615</v>
      </c>
    </row>
    <row r="331" spans="1:9" ht="18.75" thickBot="1" x14ac:dyDescent="0.3">
      <c r="A331" t="str">
        <f t="shared" si="5"/>
        <v>156047R</v>
      </c>
      <c r="B331" s="133" t="s">
        <v>6234</v>
      </c>
      <c r="C331" s="133" t="s">
        <v>6235</v>
      </c>
      <c r="D331" s="441" t="s">
        <v>5503</v>
      </c>
      <c r="E331" s="133"/>
      <c r="F331" s="134">
        <v>0.29299999999999998</v>
      </c>
      <c r="G331" s="134">
        <v>0.252</v>
      </c>
      <c r="H331" s="135">
        <v>2023</v>
      </c>
      <c r="I331" s="133" t="s">
        <v>5587</v>
      </c>
    </row>
    <row r="332" spans="1:9" ht="18.75" thickBot="1" x14ac:dyDescent="0.3">
      <c r="A332" t="str">
        <f t="shared" si="5"/>
        <v>013269J</v>
      </c>
      <c r="B332" s="133" t="s">
        <v>6236</v>
      </c>
      <c r="C332" s="133" t="s">
        <v>6237</v>
      </c>
      <c r="D332" s="441" t="s">
        <v>5503</v>
      </c>
      <c r="E332" s="133"/>
      <c r="F332" s="134">
        <v>0.314</v>
      </c>
      <c r="G332" s="134">
        <v>0.27</v>
      </c>
      <c r="H332" s="135">
        <v>2012</v>
      </c>
      <c r="I332" s="133" t="s">
        <v>5598</v>
      </c>
    </row>
    <row r="333" spans="1:9" ht="18.75" thickBot="1" x14ac:dyDescent="0.3">
      <c r="A333" t="str">
        <f t="shared" si="5"/>
        <v>127021L</v>
      </c>
      <c r="B333" s="133" t="s">
        <v>6238</v>
      </c>
      <c r="C333" s="133" t="s">
        <v>6239</v>
      </c>
      <c r="D333" s="441" t="s">
        <v>5503</v>
      </c>
      <c r="E333" s="133"/>
      <c r="F333" s="134">
        <v>0.34100000000000003</v>
      </c>
      <c r="G333" s="134">
        <v>0.29299999999999998</v>
      </c>
      <c r="H333" s="135">
        <v>2011</v>
      </c>
      <c r="I333" s="133" t="s">
        <v>5657</v>
      </c>
    </row>
    <row r="334" spans="1:9" ht="18.75" thickBot="1" x14ac:dyDescent="0.3">
      <c r="A334" t="str">
        <f t="shared" si="5"/>
        <v>113786K</v>
      </c>
      <c r="B334" s="133" t="s">
        <v>6240</v>
      </c>
      <c r="C334" s="133" t="s">
        <v>6241</v>
      </c>
      <c r="D334" s="441" t="s">
        <v>25</v>
      </c>
      <c r="E334" s="133"/>
      <c r="F334" s="134" t="s">
        <v>5552</v>
      </c>
      <c r="G334" s="134">
        <v>0.47299999999999998</v>
      </c>
      <c r="H334" s="135">
        <v>2022</v>
      </c>
      <c r="I334" s="133" t="s">
        <v>5787</v>
      </c>
    </row>
    <row r="335" spans="1:9" ht="18.75" thickBot="1" x14ac:dyDescent="0.3">
      <c r="A335" t="str">
        <f t="shared" si="5"/>
        <v>013273N</v>
      </c>
      <c r="B335" s="133" t="s">
        <v>6242</v>
      </c>
      <c r="C335" s="133" t="s">
        <v>6243</v>
      </c>
      <c r="D335" s="441" t="s">
        <v>25</v>
      </c>
      <c r="E335" s="133"/>
      <c r="F335" s="134" t="s">
        <v>5552</v>
      </c>
      <c r="G335" s="134">
        <v>0.52100000000000002</v>
      </c>
      <c r="H335" s="135">
        <v>2023</v>
      </c>
      <c r="I335" s="133" t="s">
        <v>5587</v>
      </c>
    </row>
    <row r="336" spans="1:9" ht="18.75" thickBot="1" x14ac:dyDescent="0.3">
      <c r="A336" t="str">
        <f t="shared" si="5"/>
        <v>150497J</v>
      </c>
      <c r="B336" s="133" t="s">
        <v>6244</v>
      </c>
      <c r="C336" s="133" t="s">
        <v>6245</v>
      </c>
      <c r="D336" s="441" t="s">
        <v>26</v>
      </c>
      <c r="E336" s="133"/>
      <c r="F336" s="134">
        <v>0.41599999999999998</v>
      </c>
      <c r="G336" s="134">
        <v>0.35699999999999998</v>
      </c>
      <c r="H336" s="135">
        <v>2024</v>
      </c>
      <c r="I336" s="133" t="s">
        <v>5895</v>
      </c>
    </row>
    <row r="337" spans="1:9" ht="18.75" thickBot="1" x14ac:dyDescent="0.3">
      <c r="A337" t="str">
        <f t="shared" si="5"/>
        <v>108137D</v>
      </c>
      <c r="B337" s="133" t="s">
        <v>6246</v>
      </c>
      <c r="C337" s="133" t="s">
        <v>6247</v>
      </c>
      <c r="D337" s="441" t="s">
        <v>26</v>
      </c>
      <c r="E337" s="133"/>
      <c r="F337" s="134">
        <v>0.51</v>
      </c>
      <c r="G337" s="134">
        <v>0.439</v>
      </c>
      <c r="H337" s="135">
        <v>2015</v>
      </c>
      <c r="I337" s="133" t="s">
        <v>5563</v>
      </c>
    </row>
    <row r="338" spans="1:9" ht="18.75" thickBot="1" x14ac:dyDescent="0.3">
      <c r="A338" t="str">
        <f t="shared" si="5"/>
        <v>141150W</v>
      </c>
      <c r="B338" s="133" t="s">
        <v>6248</v>
      </c>
      <c r="C338" s="133" t="s">
        <v>6249</v>
      </c>
      <c r="D338" s="441" t="s">
        <v>5503</v>
      </c>
      <c r="E338" s="133"/>
      <c r="F338" s="134">
        <v>0.20799999999999999</v>
      </c>
      <c r="G338" s="134">
        <v>0.17899999999999999</v>
      </c>
      <c r="H338" s="135">
        <v>2020</v>
      </c>
      <c r="I338" s="133" t="s">
        <v>5792</v>
      </c>
    </row>
    <row r="339" spans="1:9" ht="18.75" thickBot="1" x14ac:dyDescent="0.3">
      <c r="A339" t="str">
        <f t="shared" si="5"/>
        <v>125428E</v>
      </c>
      <c r="B339" s="133" t="s">
        <v>6250</v>
      </c>
      <c r="C339" s="133" t="s">
        <v>6251</v>
      </c>
      <c r="D339" s="441" t="s">
        <v>5562</v>
      </c>
      <c r="E339" s="133"/>
      <c r="F339" s="134">
        <v>0.308</v>
      </c>
      <c r="G339" s="134">
        <v>0.26500000000000001</v>
      </c>
      <c r="H339" s="135">
        <v>2024</v>
      </c>
      <c r="I339" s="133" t="s">
        <v>5671</v>
      </c>
    </row>
    <row r="340" spans="1:9" ht="18.75" thickBot="1" x14ac:dyDescent="0.3">
      <c r="A340" t="str">
        <f t="shared" si="5"/>
        <v>013297L</v>
      </c>
      <c r="B340" s="133" t="s">
        <v>6252</v>
      </c>
      <c r="C340" s="133" t="s">
        <v>6253</v>
      </c>
      <c r="D340" s="441" t="s">
        <v>25</v>
      </c>
      <c r="E340" s="133"/>
      <c r="F340" s="134" t="s">
        <v>5552</v>
      </c>
      <c r="G340" s="134">
        <v>0.54100000000000004</v>
      </c>
      <c r="H340" s="135">
        <v>2008</v>
      </c>
      <c r="I340" s="133" t="s">
        <v>5853</v>
      </c>
    </row>
    <row r="341" spans="1:9" ht="18.75" thickBot="1" x14ac:dyDescent="0.3">
      <c r="A341" t="str">
        <f t="shared" si="5"/>
        <v>103415N</v>
      </c>
      <c r="B341" s="133" t="s">
        <v>6254</v>
      </c>
      <c r="C341" s="133" t="s">
        <v>6255</v>
      </c>
      <c r="D341" s="441" t="s">
        <v>25</v>
      </c>
      <c r="E341" s="133"/>
      <c r="F341" s="134" t="s">
        <v>5552</v>
      </c>
      <c r="G341" s="134">
        <v>0.41799999999999998</v>
      </c>
      <c r="H341" s="135">
        <v>2018</v>
      </c>
      <c r="I341" s="133" t="s">
        <v>5559</v>
      </c>
    </row>
    <row r="342" spans="1:9" ht="18.75" thickBot="1" x14ac:dyDescent="0.3">
      <c r="A342" t="str">
        <f t="shared" si="5"/>
        <v>111111N</v>
      </c>
      <c r="B342" s="133" t="s">
        <v>6256</v>
      </c>
      <c r="C342" s="133" t="s">
        <v>6257</v>
      </c>
      <c r="D342" s="441" t="s">
        <v>26</v>
      </c>
      <c r="E342" s="133"/>
      <c r="F342" s="134">
        <v>0.36399999999999999</v>
      </c>
      <c r="G342" s="134">
        <v>0.313</v>
      </c>
      <c r="H342" s="135">
        <v>2011</v>
      </c>
      <c r="I342" s="133" t="s">
        <v>6258</v>
      </c>
    </row>
    <row r="343" spans="1:9" ht="18.75" thickBot="1" x14ac:dyDescent="0.3">
      <c r="A343" t="str">
        <f t="shared" si="5"/>
        <v>135962I</v>
      </c>
      <c r="B343" s="133" t="s">
        <v>6259</v>
      </c>
      <c r="C343" s="133" t="s">
        <v>6260</v>
      </c>
      <c r="D343" s="441" t="s">
        <v>5638</v>
      </c>
      <c r="E343" s="133"/>
      <c r="F343" s="134" t="s">
        <v>5552</v>
      </c>
      <c r="G343" s="134">
        <v>0.48899999999999999</v>
      </c>
      <c r="H343" s="135">
        <v>2024</v>
      </c>
      <c r="I343" s="133" t="s">
        <v>5566</v>
      </c>
    </row>
    <row r="344" spans="1:9" ht="18.75" thickBot="1" x14ac:dyDescent="0.3">
      <c r="A344" t="str">
        <f t="shared" si="5"/>
        <v>013309X</v>
      </c>
      <c r="B344" s="133" t="s">
        <v>6261</v>
      </c>
      <c r="C344" s="133" t="s">
        <v>6262</v>
      </c>
      <c r="D344" s="441" t="s">
        <v>26</v>
      </c>
      <c r="E344" s="133"/>
      <c r="F344" s="134">
        <v>0.32600000000000001</v>
      </c>
      <c r="G344" s="134">
        <v>0.28000000000000003</v>
      </c>
      <c r="H344" s="135">
        <v>2015</v>
      </c>
      <c r="I344" s="133" t="s">
        <v>5710</v>
      </c>
    </row>
    <row r="345" spans="1:9" ht="18.75" thickBot="1" x14ac:dyDescent="0.3">
      <c r="A345" t="str">
        <f t="shared" si="5"/>
        <v>013317F</v>
      </c>
      <c r="B345" s="133" t="s">
        <v>6263</v>
      </c>
      <c r="C345" s="133" t="s">
        <v>6264</v>
      </c>
      <c r="D345" s="441" t="s">
        <v>25</v>
      </c>
      <c r="E345" s="133"/>
      <c r="F345" s="134" t="s">
        <v>5552</v>
      </c>
      <c r="G345" s="134">
        <v>0.45800000000000002</v>
      </c>
      <c r="H345" s="135">
        <v>2016</v>
      </c>
      <c r="I345" s="133" t="s">
        <v>5559</v>
      </c>
    </row>
    <row r="346" spans="1:9" ht="18.75" thickBot="1" x14ac:dyDescent="0.3">
      <c r="A346" t="str">
        <f t="shared" si="5"/>
        <v>013320I</v>
      </c>
      <c r="B346" s="133" t="s">
        <v>6265</v>
      </c>
      <c r="C346" s="133" t="s">
        <v>6266</v>
      </c>
      <c r="D346" s="441" t="s">
        <v>25</v>
      </c>
      <c r="E346" s="133"/>
      <c r="F346" s="134" t="s">
        <v>5552</v>
      </c>
      <c r="G346" s="134">
        <v>0.54</v>
      </c>
      <c r="H346" s="135">
        <v>2009</v>
      </c>
      <c r="I346" s="133" t="s">
        <v>5563</v>
      </c>
    </row>
    <row r="347" spans="1:9" ht="18.75" thickBot="1" x14ac:dyDescent="0.3">
      <c r="A347" t="str">
        <f t="shared" si="5"/>
        <v>139690S</v>
      </c>
      <c r="B347" s="133" t="s">
        <v>6267</v>
      </c>
      <c r="C347" s="133" t="s">
        <v>6268</v>
      </c>
      <c r="D347" s="441" t="s">
        <v>25</v>
      </c>
      <c r="E347" s="133"/>
      <c r="F347" s="134" t="s">
        <v>5552</v>
      </c>
      <c r="G347" s="134">
        <v>0.48499999999999999</v>
      </c>
      <c r="H347" s="135">
        <v>2022</v>
      </c>
      <c r="I347" s="133" t="s">
        <v>5566</v>
      </c>
    </row>
    <row r="348" spans="1:9" ht="18.75" thickBot="1" x14ac:dyDescent="0.3">
      <c r="A348" t="str">
        <f t="shared" si="5"/>
        <v>013325N</v>
      </c>
      <c r="B348" s="133" t="s">
        <v>6269</v>
      </c>
      <c r="C348" s="133" t="s">
        <v>6270</v>
      </c>
      <c r="D348" s="441" t="s">
        <v>26</v>
      </c>
      <c r="E348" s="133"/>
      <c r="F348" s="134">
        <v>0.45500000000000002</v>
      </c>
      <c r="G348" s="134">
        <v>0.39100000000000001</v>
      </c>
      <c r="H348" s="135">
        <v>2024</v>
      </c>
      <c r="I348" s="133" t="s">
        <v>5559</v>
      </c>
    </row>
    <row r="349" spans="1:9" ht="18.75" thickBot="1" x14ac:dyDescent="0.3">
      <c r="A349" t="str">
        <f t="shared" si="5"/>
        <v>173972A</v>
      </c>
      <c r="B349" s="133" t="s">
        <v>6271</v>
      </c>
      <c r="C349" s="133" t="s">
        <v>6272</v>
      </c>
      <c r="D349" s="441" t="s">
        <v>5504</v>
      </c>
      <c r="E349" s="133"/>
      <c r="F349" s="134">
        <v>7.0999999999999994E-2</v>
      </c>
      <c r="G349" s="134">
        <v>6.0999999999999999E-2</v>
      </c>
      <c r="H349" s="135">
        <v>2024</v>
      </c>
      <c r="I349" s="133" t="s">
        <v>5563</v>
      </c>
    </row>
    <row r="350" spans="1:9" ht="18.75" thickBot="1" x14ac:dyDescent="0.3">
      <c r="A350" t="str">
        <f t="shared" si="5"/>
        <v>013329R</v>
      </c>
      <c r="B350" s="133" t="s">
        <v>6273</v>
      </c>
      <c r="C350" s="133" t="s">
        <v>6274</v>
      </c>
      <c r="D350" s="441" t="s">
        <v>26</v>
      </c>
      <c r="E350" s="133"/>
      <c r="F350" s="134">
        <v>0.496</v>
      </c>
      <c r="G350" s="134">
        <v>0.42599999999999999</v>
      </c>
      <c r="H350" s="135">
        <v>2014</v>
      </c>
      <c r="I350" s="133" t="s">
        <v>5678</v>
      </c>
    </row>
    <row r="351" spans="1:9" ht="18.75" thickBot="1" x14ac:dyDescent="0.3">
      <c r="A351" t="str">
        <f t="shared" si="5"/>
        <v>104146Q</v>
      </c>
      <c r="B351" s="133" t="s">
        <v>6275</v>
      </c>
      <c r="C351" s="133" t="s">
        <v>6276</v>
      </c>
      <c r="D351" s="441" t="s">
        <v>26</v>
      </c>
      <c r="E351" s="133"/>
      <c r="F351" s="134">
        <v>0.36899999999999999</v>
      </c>
      <c r="G351" s="134">
        <v>0.317</v>
      </c>
      <c r="H351" s="135">
        <v>2009</v>
      </c>
      <c r="I351" s="133" t="s">
        <v>6081</v>
      </c>
    </row>
    <row r="352" spans="1:9" ht="18.75" thickBot="1" x14ac:dyDescent="0.3">
      <c r="A352" t="str">
        <f t="shared" si="5"/>
        <v>013335X</v>
      </c>
      <c r="B352" s="133" t="s">
        <v>6277</v>
      </c>
      <c r="C352" s="133" t="s">
        <v>6278</v>
      </c>
      <c r="D352" s="441" t="s">
        <v>26</v>
      </c>
      <c r="E352" s="133"/>
      <c r="F352" s="134">
        <v>0.39500000000000002</v>
      </c>
      <c r="G352" s="134">
        <v>0.34</v>
      </c>
      <c r="H352" s="135">
        <v>2024</v>
      </c>
      <c r="I352" s="133" t="s">
        <v>5559</v>
      </c>
    </row>
    <row r="353" spans="1:9" ht="18.75" thickBot="1" x14ac:dyDescent="0.3">
      <c r="A353" t="str">
        <f t="shared" si="5"/>
        <v>114567L</v>
      </c>
      <c r="B353" s="133" t="s">
        <v>6279</v>
      </c>
      <c r="C353" s="133" t="s">
        <v>6280</v>
      </c>
      <c r="D353" s="441" t="s">
        <v>26</v>
      </c>
      <c r="E353" s="133"/>
      <c r="F353" s="134">
        <v>0.38800000000000001</v>
      </c>
      <c r="G353" s="134">
        <v>0.33400000000000002</v>
      </c>
      <c r="H353" s="135">
        <v>2011</v>
      </c>
      <c r="I353" s="133" t="s">
        <v>5563</v>
      </c>
    </row>
    <row r="354" spans="1:9" ht="18.75" thickBot="1" x14ac:dyDescent="0.3">
      <c r="A354" t="str">
        <f t="shared" si="5"/>
        <v>108816G</v>
      </c>
      <c r="B354" s="133" t="s">
        <v>6281</v>
      </c>
      <c r="C354" s="133" t="s">
        <v>6282</v>
      </c>
      <c r="D354" s="441" t="s">
        <v>26</v>
      </c>
      <c r="E354" s="133"/>
      <c r="F354" s="134">
        <v>0.4</v>
      </c>
      <c r="G354" s="134">
        <v>0.34399999999999997</v>
      </c>
      <c r="H354" s="135">
        <v>2010</v>
      </c>
      <c r="I354" s="133" t="s">
        <v>5792</v>
      </c>
    </row>
    <row r="355" spans="1:9" ht="18.75" thickBot="1" x14ac:dyDescent="0.3">
      <c r="A355" t="str">
        <f t="shared" si="5"/>
        <v>149172T</v>
      </c>
      <c r="B355" s="133" t="s">
        <v>6283</v>
      </c>
      <c r="C355" s="133" t="s">
        <v>6284</v>
      </c>
      <c r="D355" s="441" t="s">
        <v>5504</v>
      </c>
      <c r="E355" s="133"/>
      <c r="F355" s="134">
        <v>0.24099999999999999</v>
      </c>
      <c r="G355" s="134">
        <v>0.20799999999999999</v>
      </c>
      <c r="H355" s="135">
        <v>2022</v>
      </c>
      <c r="I355" s="133" t="s">
        <v>5792</v>
      </c>
    </row>
    <row r="356" spans="1:9" ht="18.75" thickBot="1" x14ac:dyDescent="0.3">
      <c r="A356" t="str">
        <f t="shared" si="5"/>
        <v>120639Z</v>
      </c>
      <c r="B356" s="133" t="s">
        <v>6285</v>
      </c>
      <c r="C356" s="133" t="s">
        <v>6286</v>
      </c>
      <c r="D356" s="441" t="s">
        <v>5638</v>
      </c>
      <c r="E356" s="133"/>
      <c r="F356" s="134" t="s">
        <v>5552</v>
      </c>
      <c r="G356" s="134">
        <v>0.45400000000000001</v>
      </c>
      <c r="H356" s="135">
        <v>2024</v>
      </c>
      <c r="I356" s="133" t="s">
        <v>5563</v>
      </c>
    </row>
    <row r="357" spans="1:9" ht="18.75" thickBot="1" x14ac:dyDescent="0.3">
      <c r="A357" t="str">
        <f t="shared" si="5"/>
        <v>163708T</v>
      </c>
      <c r="B357" s="133" t="s">
        <v>6287</v>
      </c>
      <c r="C357" s="133" t="s">
        <v>6288</v>
      </c>
      <c r="D357" s="441" t="s">
        <v>26</v>
      </c>
      <c r="E357" s="133"/>
      <c r="F357" s="134">
        <v>0.36299999999999999</v>
      </c>
      <c r="G357" s="134">
        <v>0.312</v>
      </c>
      <c r="H357" s="135">
        <v>2024</v>
      </c>
      <c r="I357" s="133" t="s">
        <v>5563</v>
      </c>
    </row>
    <row r="358" spans="1:9" ht="18.75" thickBot="1" x14ac:dyDescent="0.3">
      <c r="A358" t="str">
        <f t="shared" si="5"/>
        <v>013345H</v>
      </c>
      <c r="B358" s="133" t="s">
        <v>6289</v>
      </c>
      <c r="C358" s="133" t="s">
        <v>6290</v>
      </c>
      <c r="D358" s="441" t="s">
        <v>25</v>
      </c>
      <c r="E358" s="133"/>
      <c r="F358" s="134" t="s">
        <v>5552</v>
      </c>
      <c r="G358" s="134">
        <v>0.41399999999999998</v>
      </c>
      <c r="H358" s="135">
        <v>2023</v>
      </c>
      <c r="I358" s="133" t="s">
        <v>5912</v>
      </c>
    </row>
    <row r="359" spans="1:9" ht="18.75" thickBot="1" x14ac:dyDescent="0.3">
      <c r="A359" t="str">
        <f t="shared" si="5"/>
        <v>163976K</v>
      </c>
      <c r="B359" s="133" t="s">
        <v>6291</v>
      </c>
      <c r="C359" s="133" t="s">
        <v>6292</v>
      </c>
      <c r="D359" s="441" t="s">
        <v>5503</v>
      </c>
      <c r="E359" s="133"/>
      <c r="F359" s="134">
        <v>0.24199999999999999</v>
      </c>
      <c r="G359" s="134">
        <v>0.20799999999999999</v>
      </c>
      <c r="H359" s="135">
        <v>2024</v>
      </c>
      <c r="I359" s="133" t="s">
        <v>5678</v>
      </c>
    </row>
    <row r="360" spans="1:9" ht="18.75" thickBot="1" x14ac:dyDescent="0.3">
      <c r="A360" t="str">
        <f t="shared" si="5"/>
        <v>123880Q</v>
      </c>
      <c r="B360" s="133" t="s">
        <v>6293</v>
      </c>
      <c r="C360" s="133" t="s">
        <v>6294</v>
      </c>
      <c r="D360" s="441" t="s">
        <v>5503</v>
      </c>
      <c r="E360" s="133"/>
      <c r="F360" s="134">
        <v>0.32300000000000001</v>
      </c>
      <c r="G360" s="134">
        <v>0.27800000000000002</v>
      </c>
      <c r="H360" s="135">
        <v>2008</v>
      </c>
      <c r="I360" s="133" t="s">
        <v>5582</v>
      </c>
    </row>
    <row r="361" spans="1:9" ht="18.75" thickBot="1" x14ac:dyDescent="0.3">
      <c r="A361" t="str">
        <f t="shared" si="5"/>
        <v>138126O</v>
      </c>
      <c r="B361" s="133" t="s">
        <v>6295</v>
      </c>
      <c r="C361" s="133" t="s">
        <v>6296</v>
      </c>
      <c r="D361" s="441" t="s">
        <v>5503</v>
      </c>
      <c r="E361" s="133"/>
      <c r="F361" s="134">
        <v>0.25800000000000001</v>
      </c>
      <c r="G361" s="134">
        <v>0.222</v>
      </c>
      <c r="H361" s="135">
        <v>2019</v>
      </c>
      <c r="I361" s="133" t="s">
        <v>5635</v>
      </c>
    </row>
    <row r="362" spans="1:9" ht="18.75" thickBot="1" x14ac:dyDescent="0.3">
      <c r="A362" t="str">
        <f t="shared" si="5"/>
        <v>013352O</v>
      </c>
      <c r="B362" s="133" t="s">
        <v>6297</v>
      </c>
      <c r="C362" s="133" t="s">
        <v>6298</v>
      </c>
      <c r="D362" s="441" t="s">
        <v>26</v>
      </c>
      <c r="E362" s="133"/>
      <c r="F362" s="134">
        <v>0.375</v>
      </c>
      <c r="G362" s="134">
        <v>0.32300000000000001</v>
      </c>
      <c r="H362" s="135">
        <v>2009</v>
      </c>
      <c r="I362" s="133" t="s">
        <v>5563</v>
      </c>
    </row>
    <row r="363" spans="1:9" ht="18.75" thickBot="1" x14ac:dyDescent="0.3">
      <c r="A363" t="str">
        <f t="shared" si="5"/>
        <v>013354Q</v>
      </c>
      <c r="B363" s="133" t="s">
        <v>6299</v>
      </c>
      <c r="C363" s="133" t="s">
        <v>6300</v>
      </c>
      <c r="D363" s="441" t="s">
        <v>26</v>
      </c>
      <c r="E363" s="133"/>
      <c r="F363" s="134">
        <v>0.35499999999999998</v>
      </c>
      <c r="G363" s="134">
        <v>0.30599999999999999</v>
      </c>
      <c r="H363" s="135">
        <v>2017</v>
      </c>
      <c r="I363" s="133" t="s">
        <v>5657</v>
      </c>
    </row>
    <row r="364" spans="1:9" ht="18.75" thickBot="1" x14ac:dyDescent="0.3">
      <c r="A364" t="str">
        <f t="shared" si="5"/>
        <v>142395T</v>
      </c>
      <c r="B364" s="133" t="s">
        <v>6301</v>
      </c>
      <c r="C364" s="133" t="s">
        <v>6302</v>
      </c>
      <c r="D364" s="441" t="s">
        <v>5503</v>
      </c>
      <c r="E364" s="133"/>
      <c r="F364" s="134">
        <v>0.33400000000000002</v>
      </c>
      <c r="G364" s="134">
        <v>0.28699999999999998</v>
      </c>
      <c r="H364" s="135">
        <v>2016</v>
      </c>
      <c r="I364" s="133" t="s">
        <v>5556</v>
      </c>
    </row>
    <row r="365" spans="1:9" ht="18.75" thickBot="1" x14ac:dyDescent="0.3">
      <c r="A365" t="str">
        <f t="shared" si="5"/>
        <v>133647H</v>
      </c>
      <c r="B365" s="133" t="s">
        <v>6303</v>
      </c>
      <c r="C365" s="133" t="s">
        <v>6304</v>
      </c>
      <c r="D365" s="441" t="s">
        <v>26</v>
      </c>
      <c r="E365" s="133"/>
      <c r="F365" s="134">
        <v>0.39600000000000002</v>
      </c>
      <c r="G365" s="134">
        <v>0.34</v>
      </c>
      <c r="H365" s="135">
        <v>2008</v>
      </c>
      <c r="I365" s="133" t="s">
        <v>5608</v>
      </c>
    </row>
    <row r="366" spans="1:9" ht="18.75" thickBot="1" x14ac:dyDescent="0.3">
      <c r="A366" t="str">
        <f t="shared" si="5"/>
        <v>013356S</v>
      </c>
      <c r="B366" s="133" t="s">
        <v>6305</v>
      </c>
      <c r="C366" s="133" t="s">
        <v>6306</v>
      </c>
      <c r="D366" s="441" t="s">
        <v>24</v>
      </c>
      <c r="E366" s="133"/>
      <c r="F366" s="134" t="s">
        <v>5552</v>
      </c>
      <c r="G366" s="134">
        <v>0.82099999999999995</v>
      </c>
      <c r="H366" s="135">
        <v>2014</v>
      </c>
      <c r="I366" s="133" t="s">
        <v>5853</v>
      </c>
    </row>
    <row r="367" spans="1:9" ht="18.75" thickBot="1" x14ac:dyDescent="0.3">
      <c r="A367" t="str">
        <f t="shared" si="5"/>
        <v>013358U</v>
      </c>
      <c r="B367" s="133" t="s">
        <v>6307</v>
      </c>
      <c r="C367" s="133" t="s">
        <v>6308</v>
      </c>
      <c r="D367" s="441" t="s">
        <v>24</v>
      </c>
      <c r="E367" s="133"/>
      <c r="F367" s="134" t="s">
        <v>5552</v>
      </c>
      <c r="G367" s="134">
        <v>0.61299999999999999</v>
      </c>
      <c r="H367" s="135">
        <v>2024</v>
      </c>
      <c r="I367" s="133" t="s">
        <v>5635</v>
      </c>
    </row>
    <row r="368" spans="1:9" ht="18.75" thickBot="1" x14ac:dyDescent="0.3">
      <c r="A368" t="str">
        <f t="shared" si="5"/>
        <v>174588V</v>
      </c>
      <c r="B368" s="133" t="s">
        <v>6309</v>
      </c>
      <c r="C368" s="133" t="s">
        <v>6310</v>
      </c>
      <c r="D368" s="441" t="s">
        <v>25</v>
      </c>
      <c r="E368" s="133"/>
      <c r="F368" s="134" t="s">
        <v>5552</v>
      </c>
      <c r="G368" s="134">
        <v>0.52800000000000002</v>
      </c>
      <c r="H368" s="135">
        <v>2023</v>
      </c>
      <c r="I368" s="133" t="s">
        <v>5563</v>
      </c>
    </row>
    <row r="369" spans="1:9" ht="18.75" thickBot="1" x14ac:dyDescent="0.3">
      <c r="A369" t="str">
        <f t="shared" si="5"/>
        <v>113957Z</v>
      </c>
      <c r="B369" s="133" t="s">
        <v>6311</v>
      </c>
      <c r="C369" s="133" t="s">
        <v>6312</v>
      </c>
      <c r="D369" s="441" t="s">
        <v>5638</v>
      </c>
      <c r="E369" s="133"/>
      <c r="F369" s="134" t="s">
        <v>5552</v>
      </c>
      <c r="G369" s="134">
        <v>0.46899999999999997</v>
      </c>
      <c r="H369" s="135">
        <v>2024</v>
      </c>
      <c r="I369" s="133" t="s">
        <v>5630</v>
      </c>
    </row>
    <row r="370" spans="1:9" ht="18.75" thickBot="1" x14ac:dyDescent="0.3">
      <c r="A370" t="str">
        <f t="shared" si="5"/>
        <v>122105J</v>
      </c>
      <c r="B370" s="133" t="s">
        <v>6313</v>
      </c>
      <c r="C370" s="133" t="s">
        <v>6314</v>
      </c>
      <c r="D370" s="441" t="s">
        <v>5504</v>
      </c>
      <c r="E370" s="133"/>
      <c r="F370" s="134">
        <v>0.217</v>
      </c>
      <c r="G370" s="134">
        <v>0.187</v>
      </c>
      <c r="H370" s="135">
        <v>2024</v>
      </c>
      <c r="I370" s="133" t="s">
        <v>5787</v>
      </c>
    </row>
    <row r="371" spans="1:9" ht="18.75" thickBot="1" x14ac:dyDescent="0.3">
      <c r="A371" t="str">
        <f t="shared" si="5"/>
        <v>109512A</v>
      </c>
      <c r="B371" s="133" t="s">
        <v>6315</v>
      </c>
      <c r="C371" s="133" t="s">
        <v>6316</v>
      </c>
      <c r="D371" s="441" t="s">
        <v>24</v>
      </c>
      <c r="E371" s="133"/>
      <c r="F371" s="134" t="s">
        <v>5552</v>
      </c>
      <c r="G371" s="134">
        <v>0.72899999999999998</v>
      </c>
      <c r="H371" s="135">
        <v>2017</v>
      </c>
      <c r="I371" s="133" t="s">
        <v>5654</v>
      </c>
    </row>
    <row r="372" spans="1:9" ht="18.75" thickBot="1" x14ac:dyDescent="0.3">
      <c r="A372" t="str">
        <f t="shared" si="5"/>
        <v>120412G</v>
      </c>
      <c r="B372" s="133" t="s">
        <v>6317</v>
      </c>
      <c r="C372" s="133" t="s">
        <v>6318</v>
      </c>
      <c r="D372" s="441" t="s">
        <v>5503</v>
      </c>
      <c r="E372" s="133"/>
      <c r="F372" s="134">
        <v>0.26</v>
      </c>
      <c r="G372" s="134">
        <v>0.223</v>
      </c>
      <c r="H372" s="135">
        <v>2009</v>
      </c>
      <c r="I372" s="133" t="s">
        <v>5601</v>
      </c>
    </row>
    <row r="373" spans="1:9" ht="18.75" thickBot="1" x14ac:dyDescent="0.3">
      <c r="A373" t="str">
        <f t="shared" si="5"/>
        <v>013365B</v>
      </c>
      <c r="B373" s="133" t="s">
        <v>6319</v>
      </c>
      <c r="C373" s="133" t="s">
        <v>6320</v>
      </c>
      <c r="D373" s="441" t="s">
        <v>5503</v>
      </c>
      <c r="E373" s="133"/>
      <c r="F373" s="134">
        <v>0.35799999999999998</v>
      </c>
      <c r="G373" s="134">
        <v>0.308</v>
      </c>
      <c r="H373" s="135">
        <v>2023</v>
      </c>
      <c r="I373" s="133" t="s">
        <v>5705</v>
      </c>
    </row>
    <row r="374" spans="1:9" ht="18.75" thickBot="1" x14ac:dyDescent="0.3">
      <c r="A374" t="str">
        <f t="shared" si="5"/>
        <v>013370G</v>
      </c>
      <c r="B374" s="133" t="s">
        <v>6321</v>
      </c>
      <c r="C374" s="133" t="s">
        <v>6322</v>
      </c>
      <c r="D374" s="441" t="s">
        <v>5503</v>
      </c>
      <c r="E374" s="133"/>
      <c r="F374" s="134">
        <v>0.19700000000000001</v>
      </c>
      <c r="G374" s="134">
        <v>0.16900000000000001</v>
      </c>
      <c r="H374" s="135">
        <v>2012</v>
      </c>
      <c r="I374" s="133" t="s">
        <v>5912</v>
      </c>
    </row>
    <row r="375" spans="1:9" ht="18.75" thickBot="1" x14ac:dyDescent="0.3">
      <c r="A375" t="str">
        <f t="shared" si="5"/>
        <v>170231J</v>
      </c>
      <c r="B375" s="133" t="s">
        <v>7798</v>
      </c>
      <c r="C375" s="133" t="s">
        <v>7799</v>
      </c>
      <c r="D375" s="441" t="s">
        <v>5704</v>
      </c>
      <c r="E375" s="133"/>
      <c r="F375" s="134">
        <v>0.23599999999999999</v>
      </c>
      <c r="G375" s="134">
        <v>0.20300000000000001</v>
      </c>
      <c r="H375" s="135">
        <v>2024</v>
      </c>
      <c r="I375" s="133" t="s">
        <v>5587</v>
      </c>
    </row>
    <row r="376" spans="1:9" ht="18.75" thickBot="1" x14ac:dyDescent="0.3">
      <c r="A376" t="str">
        <f t="shared" si="5"/>
        <v>143207Z</v>
      </c>
      <c r="B376" s="133" t="s">
        <v>6323</v>
      </c>
      <c r="C376" s="133" t="s">
        <v>6324</v>
      </c>
      <c r="D376" s="441" t="s">
        <v>5504</v>
      </c>
      <c r="E376" s="133"/>
      <c r="F376" s="134">
        <v>0.16500000000000001</v>
      </c>
      <c r="G376" s="134">
        <v>0.14199999999999999</v>
      </c>
      <c r="H376" s="135">
        <v>2011</v>
      </c>
      <c r="I376" s="133" t="s">
        <v>5587</v>
      </c>
    </row>
    <row r="377" spans="1:9" ht="18.75" thickBot="1" x14ac:dyDescent="0.3">
      <c r="A377" t="str">
        <f t="shared" si="5"/>
        <v>013377N</v>
      </c>
      <c r="B377" s="133" t="s">
        <v>6325</v>
      </c>
      <c r="C377" s="133" t="s">
        <v>6326</v>
      </c>
      <c r="D377" s="441" t="s">
        <v>24</v>
      </c>
      <c r="E377" s="133"/>
      <c r="F377" s="134" t="s">
        <v>5552</v>
      </c>
      <c r="G377" s="134">
        <v>0.75700000000000001</v>
      </c>
      <c r="H377" s="135">
        <v>2011</v>
      </c>
      <c r="I377" s="133" t="s">
        <v>5559</v>
      </c>
    </row>
    <row r="378" spans="1:9" ht="18.75" thickBot="1" x14ac:dyDescent="0.3">
      <c r="A378" t="str">
        <f t="shared" si="5"/>
        <v>110383N</v>
      </c>
      <c r="B378" s="133" t="s">
        <v>6327</v>
      </c>
      <c r="C378" s="133" t="s">
        <v>6328</v>
      </c>
      <c r="D378" s="441" t="s">
        <v>24</v>
      </c>
      <c r="E378" s="133"/>
      <c r="F378" s="134" t="s">
        <v>5552</v>
      </c>
      <c r="G378" s="134">
        <v>0.72</v>
      </c>
      <c r="H378" s="135">
        <v>2024</v>
      </c>
      <c r="I378" s="133" t="s">
        <v>5587</v>
      </c>
    </row>
    <row r="379" spans="1:9" ht="18.75" thickBot="1" x14ac:dyDescent="0.3">
      <c r="A379" t="str">
        <f t="shared" si="5"/>
        <v>160101Y</v>
      </c>
      <c r="B379" s="133" t="s">
        <v>6329</v>
      </c>
      <c r="C379" s="133" t="s">
        <v>6330</v>
      </c>
      <c r="D379" s="441" t="s">
        <v>5503</v>
      </c>
      <c r="E379" s="133"/>
      <c r="F379" s="134">
        <v>0.26700000000000002</v>
      </c>
      <c r="G379" s="134">
        <v>0.22900000000000001</v>
      </c>
      <c r="H379" s="135">
        <v>2024</v>
      </c>
      <c r="I379" s="133" t="s">
        <v>5726</v>
      </c>
    </row>
    <row r="380" spans="1:9" ht="18.75" thickBot="1" x14ac:dyDescent="0.3">
      <c r="A380" t="str">
        <f t="shared" si="5"/>
        <v>013381R</v>
      </c>
      <c r="B380" s="133" t="s">
        <v>6331</v>
      </c>
      <c r="C380" s="133" t="s">
        <v>6332</v>
      </c>
      <c r="D380" s="441" t="s">
        <v>24</v>
      </c>
      <c r="E380" s="133"/>
      <c r="F380" s="134" t="s">
        <v>5552</v>
      </c>
      <c r="G380" s="134">
        <v>0.83699999999999997</v>
      </c>
      <c r="H380" s="135">
        <v>2011</v>
      </c>
      <c r="I380" s="133" t="s">
        <v>5559</v>
      </c>
    </row>
    <row r="381" spans="1:9" ht="18.75" thickBot="1" x14ac:dyDescent="0.3">
      <c r="A381" t="str">
        <f t="shared" si="5"/>
        <v>120252C</v>
      </c>
      <c r="B381" s="133" t="s">
        <v>6333</v>
      </c>
      <c r="C381" s="133" t="s">
        <v>6334</v>
      </c>
      <c r="D381" s="441" t="s">
        <v>5503</v>
      </c>
      <c r="E381" s="133"/>
      <c r="F381" s="134">
        <v>0.252</v>
      </c>
      <c r="G381" s="134">
        <v>0.217</v>
      </c>
      <c r="H381" s="135">
        <v>2022</v>
      </c>
      <c r="I381" s="133" t="s">
        <v>5573</v>
      </c>
    </row>
    <row r="382" spans="1:9" ht="18.75" thickBot="1" x14ac:dyDescent="0.3">
      <c r="A382" t="str">
        <f t="shared" si="5"/>
        <v>142208O</v>
      </c>
      <c r="B382" s="133" t="s">
        <v>6335</v>
      </c>
      <c r="C382" s="133" t="s">
        <v>6336</v>
      </c>
      <c r="D382" s="441" t="s">
        <v>6025</v>
      </c>
      <c r="E382" s="133"/>
      <c r="F382" s="134" t="s">
        <v>5552</v>
      </c>
      <c r="G382" s="134">
        <v>0.55900000000000005</v>
      </c>
      <c r="H382" s="135">
        <v>2024</v>
      </c>
      <c r="I382" s="133" t="s">
        <v>5559</v>
      </c>
    </row>
    <row r="383" spans="1:9" ht="18.75" thickBot="1" x14ac:dyDescent="0.3">
      <c r="A383" t="str">
        <f t="shared" si="5"/>
        <v>017581F</v>
      </c>
      <c r="B383" s="133" t="s">
        <v>6337</v>
      </c>
      <c r="C383" s="133" t="s">
        <v>6338</v>
      </c>
      <c r="D383" s="441" t="s">
        <v>24</v>
      </c>
      <c r="E383" s="133"/>
      <c r="F383" s="134" t="s">
        <v>5552</v>
      </c>
      <c r="G383" s="134">
        <v>0.875</v>
      </c>
      <c r="H383" s="135">
        <v>2023</v>
      </c>
      <c r="I383" s="133" t="s">
        <v>5615</v>
      </c>
    </row>
    <row r="384" spans="1:9" ht="18.75" thickBot="1" x14ac:dyDescent="0.3">
      <c r="A384" t="str">
        <f t="shared" si="5"/>
        <v>137895R</v>
      </c>
      <c r="B384" s="133" t="s">
        <v>6339</v>
      </c>
      <c r="C384" s="133" t="s">
        <v>6340</v>
      </c>
      <c r="D384" s="441" t="s">
        <v>5503</v>
      </c>
      <c r="E384" s="133"/>
      <c r="F384" s="134">
        <v>0.25700000000000001</v>
      </c>
      <c r="G384" s="134">
        <v>0.221</v>
      </c>
      <c r="H384" s="135">
        <v>2019</v>
      </c>
      <c r="I384" s="133" t="s">
        <v>5556</v>
      </c>
    </row>
    <row r="385" spans="1:9" ht="18.75" thickBot="1" x14ac:dyDescent="0.3">
      <c r="A385" t="str">
        <f t="shared" si="5"/>
        <v>013393D</v>
      </c>
      <c r="B385" s="133" t="s">
        <v>6341</v>
      </c>
      <c r="C385" s="133" t="s">
        <v>6342</v>
      </c>
      <c r="D385" s="441" t="s">
        <v>5504</v>
      </c>
      <c r="E385" s="133"/>
      <c r="F385" s="134">
        <v>0.19500000000000001</v>
      </c>
      <c r="G385" s="134">
        <v>0.16800000000000001</v>
      </c>
      <c r="H385" s="135">
        <v>2009</v>
      </c>
      <c r="I385" s="133" t="s">
        <v>5895</v>
      </c>
    </row>
    <row r="386" spans="1:9" ht="18.75" thickBot="1" x14ac:dyDescent="0.3">
      <c r="A386" t="str">
        <f t="shared" si="5"/>
        <v>137829D</v>
      </c>
      <c r="B386" s="133" t="s">
        <v>6343</v>
      </c>
      <c r="C386" s="133" t="s">
        <v>6344</v>
      </c>
      <c r="D386" s="441" t="s">
        <v>5503</v>
      </c>
      <c r="E386" s="133"/>
      <c r="F386" s="134">
        <v>0.28999999999999998</v>
      </c>
      <c r="G386" s="134">
        <v>0.249</v>
      </c>
      <c r="H386" s="135">
        <v>2016</v>
      </c>
      <c r="I386" s="133" t="s">
        <v>5563</v>
      </c>
    </row>
    <row r="387" spans="1:9" ht="18.75" thickBot="1" x14ac:dyDescent="0.3">
      <c r="A387" t="str">
        <f t="shared" ref="A387:A450" si="6">SUBSTITUTE(B387,CHAR(32),"")</f>
        <v>143257X</v>
      </c>
      <c r="B387" s="133" t="s">
        <v>6345</v>
      </c>
      <c r="C387" s="133" t="s">
        <v>6346</v>
      </c>
      <c r="D387" s="441" t="s">
        <v>26</v>
      </c>
      <c r="E387" s="133"/>
      <c r="F387" s="134">
        <v>0.42099999999999999</v>
      </c>
      <c r="G387" s="134">
        <v>0.36199999999999999</v>
      </c>
      <c r="H387" s="135">
        <v>2018</v>
      </c>
      <c r="I387" s="133" t="s">
        <v>5744</v>
      </c>
    </row>
    <row r="388" spans="1:9" ht="18.75" thickBot="1" x14ac:dyDescent="0.3">
      <c r="A388" t="str">
        <f t="shared" si="6"/>
        <v>151920F</v>
      </c>
      <c r="B388" s="133" t="s">
        <v>6347</v>
      </c>
      <c r="C388" s="133" t="s">
        <v>6348</v>
      </c>
      <c r="D388" s="441" t="s">
        <v>5503</v>
      </c>
      <c r="E388" s="133"/>
      <c r="F388" s="134">
        <v>0.29899999999999999</v>
      </c>
      <c r="G388" s="134">
        <v>0.25700000000000001</v>
      </c>
      <c r="H388" s="135">
        <v>2016</v>
      </c>
      <c r="I388" s="133" t="s">
        <v>6229</v>
      </c>
    </row>
    <row r="389" spans="1:9" ht="18.75" thickBot="1" x14ac:dyDescent="0.3">
      <c r="A389" t="str">
        <f t="shared" si="6"/>
        <v>013399J</v>
      </c>
      <c r="B389" s="133" t="s">
        <v>6349</v>
      </c>
      <c r="C389" s="133" t="s">
        <v>6350</v>
      </c>
      <c r="D389" s="441" t="s">
        <v>25</v>
      </c>
      <c r="E389" s="133"/>
      <c r="F389" s="134" t="s">
        <v>5552</v>
      </c>
      <c r="G389" s="134">
        <v>0.502</v>
      </c>
      <c r="H389" s="135">
        <v>2018</v>
      </c>
      <c r="I389" s="133" t="s">
        <v>5895</v>
      </c>
    </row>
    <row r="390" spans="1:9" ht="18.75" thickBot="1" x14ac:dyDescent="0.3">
      <c r="A390" t="str">
        <f t="shared" si="6"/>
        <v>152265F</v>
      </c>
      <c r="B390" s="133" t="s">
        <v>6351</v>
      </c>
      <c r="C390" s="133" t="s">
        <v>6352</v>
      </c>
      <c r="D390" s="441" t="s">
        <v>25</v>
      </c>
      <c r="E390" s="133"/>
      <c r="F390" s="134" t="s">
        <v>5552</v>
      </c>
      <c r="G390" s="134">
        <v>0.41</v>
      </c>
      <c r="H390" s="135">
        <v>2022</v>
      </c>
      <c r="I390" s="133" t="s">
        <v>5559</v>
      </c>
    </row>
    <row r="391" spans="1:9" ht="18.75" thickBot="1" x14ac:dyDescent="0.3">
      <c r="A391" t="str">
        <f t="shared" si="6"/>
        <v>118718C</v>
      </c>
      <c r="B391" s="133" t="s">
        <v>6353</v>
      </c>
      <c r="C391" s="133" t="s">
        <v>1442</v>
      </c>
      <c r="D391" s="441" t="s">
        <v>26</v>
      </c>
      <c r="E391" s="133"/>
      <c r="F391" s="134">
        <v>0.439</v>
      </c>
      <c r="G391" s="134">
        <v>0.378</v>
      </c>
      <c r="H391" s="135">
        <v>2020</v>
      </c>
      <c r="I391" s="133" t="s">
        <v>5566</v>
      </c>
    </row>
    <row r="392" spans="1:9" ht="18.75" thickBot="1" x14ac:dyDescent="0.3">
      <c r="A392" t="str">
        <f t="shared" si="6"/>
        <v>182483B</v>
      </c>
      <c r="B392" s="133" t="s">
        <v>8549</v>
      </c>
      <c r="C392" s="133" t="s">
        <v>8550</v>
      </c>
      <c r="D392" s="441" t="s">
        <v>5704</v>
      </c>
      <c r="E392" s="133"/>
      <c r="F392" s="134">
        <v>0.16600000000000001</v>
      </c>
      <c r="G392" s="134">
        <v>0.14299999999999999</v>
      </c>
      <c r="H392" s="135">
        <v>2024</v>
      </c>
      <c r="I392" s="133" t="s">
        <v>5726</v>
      </c>
    </row>
    <row r="393" spans="1:9" ht="18.75" thickBot="1" x14ac:dyDescent="0.3">
      <c r="A393" t="str">
        <f t="shared" si="6"/>
        <v>013406Q</v>
      </c>
      <c r="B393" s="133" t="s">
        <v>6354</v>
      </c>
      <c r="C393" s="133" t="s">
        <v>6355</v>
      </c>
      <c r="D393" s="441" t="s">
        <v>5503</v>
      </c>
      <c r="E393" s="133"/>
      <c r="F393" s="134">
        <v>0.221</v>
      </c>
      <c r="G393" s="134">
        <v>0.19</v>
      </c>
      <c r="H393" s="135">
        <v>2017</v>
      </c>
      <c r="I393" s="133" t="s">
        <v>5559</v>
      </c>
    </row>
    <row r="394" spans="1:9" ht="18.75" thickBot="1" x14ac:dyDescent="0.3">
      <c r="A394" t="str">
        <f t="shared" si="6"/>
        <v>124758K</v>
      </c>
      <c r="B394" s="133" t="s">
        <v>6356</v>
      </c>
      <c r="C394" s="133" t="s">
        <v>6357</v>
      </c>
      <c r="D394" s="441" t="s">
        <v>5503</v>
      </c>
      <c r="E394" s="133"/>
      <c r="F394" s="134">
        <v>0.28599999999999998</v>
      </c>
      <c r="G394" s="134">
        <v>0.246</v>
      </c>
      <c r="H394" s="135">
        <v>2024</v>
      </c>
      <c r="I394" s="133" t="s">
        <v>5625</v>
      </c>
    </row>
    <row r="395" spans="1:9" ht="18.75" thickBot="1" x14ac:dyDescent="0.3">
      <c r="A395" t="str">
        <f t="shared" si="6"/>
        <v>013415Z</v>
      </c>
      <c r="B395" s="133" t="s">
        <v>6358</v>
      </c>
      <c r="C395" s="133" t="s">
        <v>6359</v>
      </c>
      <c r="D395" s="441" t="s">
        <v>26</v>
      </c>
      <c r="E395" s="133"/>
      <c r="F395" s="134">
        <v>0.47899999999999998</v>
      </c>
      <c r="G395" s="134">
        <v>0.41199999999999998</v>
      </c>
      <c r="H395" s="135">
        <v>2023</v>
      </c>
      <c r="I395" s="133" t="s">
        <v>5582</v>
      </c>
    </row>
    <row r="396" spans="1:9" ht="18.75" thickBot="1" x14ac:dyDescent="0.3">
      <c r="A396" t="str">
        <f t="shared" si="6"/>
        <v>013421F</v>
      </c>
      <c r="B396" s="133" t="s">
        <v>6360</v>
      </c>
      <c r="C396" s="133" t="s">
        <v>6361</v>
      </c>
      <c r="D396" s="441" t="s">
        <v>5504</v>
      </c>
      <c r="E396" s="133"/>
      <c r="F396" s="134">
        <v>0.125</v>
      </c>
      <c r="G396" s="134">
        <v>0.107</v>
      </c>
      <c r="H396" s="135">
        <v>2020</v>
      </c>
      <c r="I396" s="133" t="s">
        <v>5573</v>
      </c>
    </row>
    <row r="397" spans="1:9" ht="18.75" thickBot="1" x14ac:dyDescent="0.3">
      <c r="A397" t="str">
        <f t="shared" si="6"/>
        <v>013423H</v>
      </c>
      <c r="B397" s="133" t="s">
        <v>6362</v>
      </c>
      <c r="C397" s="133" t="s">
        <v>6363</v>
      </c>
      <c r="D397" s="441" t="s">
        <v>25</v>
      </c>
      <c r="E397" s="133"/>
      <c r="F397" s="134" t="s">
        <v>5552</v>
      </c>
      <c r="G397" s="134">
        <v>0.51200000000000001</v>
      </c>
      <c r="H397" s="135">
        <v>2022</v>
      </c>
      <c r="I397" s="133" t="s">
        <v>5787</v>
      </c>
    </row>
    <row r="398" spans="1:9" ht="18.75" thickBot="1" x14ac:dyDescent="0.3">
      <c r="A398" t="str">
        <f t="shared" si="6"/>
        <v>139918M</v>
      </c>
      <c r="B398" s="133" t="s">
        <v>6364</v>
      </c>
      <c r="C398" s="133" t="s">
        <v>6365</v>
      </c>
      <c r="D398" s="441" t="s">
        <v>5504</v>
      </c>
      <c r="E398" s="133"/>
      <c r="F398" s="134">
        <v>0.13700000000000001</v>
      </c>
      <c r="G398" s="134">
        <v>0.11799999999999999</v>
      </c>
      <c r="H398" s="135">
        <v>2013</v>
      </c>
      <c r="I398" s="133" t="s">
        <v>5657</v>
      </c>
    </row>
    <row r="399" spans="1:9" ht="18.75" thickBot="1" x14ac:dyDescent="0.3">
      <c r="A399" t="str">
        <f t="shared" si="6"/>
        <v>141149V</v>
      </c>
      <c r="B399" s="133" t="s">
        <v>6366</v>
      </c>
      <c r="C399" s="133" t="s">
        <v>6367</v>
      </c>
      <c r="D399" s="441" t="s">
        <v>5503</v>
      </c>
      <c r="E399" s="133"/>
      <c r="F399" s="134">
        <v>0.26600000000000001</v>
      </c>
      <c r="G399" s="134">
        <v>0.22800000000000001</v>
      </c>
      <c r="H399" s="135">
        <v>2013</v>
      </c>
      <c r="I399" s="133" t="s">
        <v>5792</v>
      </c>
    </row>
    <row r="400" spans="1:9" ht="18.75" thickBot="1" x14ac:dyDescent="0.3">
      <c r="A400" t="str">
        <f t="shared" si="6"/>
        <v>013425J</v>
      </c>
      <c r="B400" s="133" t="s">
        <v>6368</v>
      </c>
      <c r="C400" s="133" t="s">
        <v>6369</v>
      </c>
      <c r="D400" s="441" t="s">
        <v>26</v>
      </c>
      <c r="E400" s="133"/>
      <c r="F400" s="134">
        <v>0.47099999999999997</v>
      </c>
      <c r="G400" s="134">
        <v>0.40500000000000003</v>
      </c>
      <c r="H400" s="135">
        <v>2024</v>
      </c>
      <c r="I400" s="133" t="s">
        <v>5563</v>
      </c>
    </row>
    <row r="401" spans="1:9" ht="18.75" thickBot="1" x14ac:dyDescent="0.3">
      <c r="A401" t="str">
        <f t="shared" si="6"/>
        <v>013428M</v>
      </c>
      <c r="B401" s="133" t="s">
        <v>6370</v>
      </c>
      <c r="C401" s="133" t="s">
        <v>6371</v>
      </c>
      <c r="D401" s="441" t="s">
        <v>5503</v>
      </c>
      <c r="E401" s="133"/>
      <c r="F401" s="134">
        <v>0.182</v>
      </c>
      <c r="G401" s="134">
        <v>0.157</v>
      </c>
      <c r="H401" s="135">
        <v>2024</v>
      </c>
      <c r="I401" s="133" t="s">
        <v>5678</v>
      </c>
    </row>
    <row r="402" spans="1:9" ht="18.75" thickBot="1" x14ac:dyDescent="0.3">
      <c r="A402" t="str">
        <f t="shared" si="6"/>
        <v>132470A</v>
      </c>
      <c r="B402" s="133" t="s">
        <v>6372</v>
      </c>
      <c r="C402" s="133" t="s">
        <v>6373</v>
      </c>
      <c r="D402" s="441" t="s">
        <v>5503</v>
      </c>
      <c r="E402" s="133"/>
      <c r="F402" s="134">
        <v>0.316</v>
      </c>
      <c r="G402" s="134">
        <v>0.27100000000000002</v>
      </c>
      <c r="H402" s="135">
        <v>2016</v>
      </c>
      <c r="I402" s="133" t="s">
        <v>5630</v>
      </c>
    </row>
    <row r="403" spans="1:9" ht="18.75" thickBot="1" x14ac:dyDescent="0.3">
      <c r="A403" t="str">
        <f t="shared" si="6"/>
        <v>125437N</v>
      </c>
      <c r="B403" s="133" t="s">
        <v>6374</v>
      </c>
      <c r="C403" s="133" t="s">
        <v>6375</v>
      </c>
      <c r="D403" s="441" t="s">
        <v>24</v>
      </c>
      <c r="E403" s="133"/>
      <c r="F403" s="134" t="s">
        <v>5552</v>
      </c>
      <c r="G403" s="134">
        <v>0.60899999999999999</v>
      </c>
      <c r="H403" s="135">
        <v>2024</v>
      </c>
      <c r="I403" s="133" t="s">
        <v>5587</v>
      </c>
    </row>
    <row r="404" spans="1:9" ht="18.75" thickBot="1" x14ac:dyDescent="0.3">
      <c r="A404" t="str">
        <f t="shared" si="6"/>
        <v>108024U</v>
      </c>
      <c r="B404" s="133" t="s">
        <v>6376</v>
      </c>
      <c r="C404" s="133" t="s">
        <v>6377</v>
      </c>
      <c r="D404" s="441" t="s">
        <v>25</v>
      </c>
      <c r="E404" s="133"/>
      <c r="F404" s="134" t="s">
        <v>5552</v>
      </c>
      <c r="G404" s="134">
        <v>0.45</v>
      </c>
      <c r="H404" s="135">
        <v>2014</v>
      </c>
      <c r="I404" s="133" t="s">
        <v>5635</v>
      </c>
    </row>
    <row r="405" spans="1:9" ht="18.75" thickBot="1" x14ac:dyDescent="0.3">
      <c r="A405" t="str">
        <f t="shared" si="6"/>
        <v>120654O</v>
      </c>
      <c r="B405" s="133" t="s">
        <v>6378</v>
      </c>
      <c r="C405" s="133" t="s">
        <v>6379</v>
      </c>
      <c r="D405" s="441" t="s">
        <v>5503</v>
      </c>
      <c r="E405" s="133"/>
      <c r="F405" s="134">
        <v>0.311</v>
      </c>
      <c r="G405" s="134">
        <v>0.26700000000000002</v>
      </c>
      <c r="H405" s="135">
        <v>2008</v>
      </c>
      <c r="I405" s="133" t="s">
        <v>5625</v>
      </c>
    </row>
    <row r="406" spans="1:9" ht="18.75" thickBot="1" x14ac:dyDescent="0.3">
      <c r="A406" t="str">
        <f t="shared" si="6"/>
        <v>135223X</v>
      </c>
      <c r="B406" s="133" t="s">
        <v>6380</v>
      </c>
      <c r="C406" s="133" t="s">
        <v>6381</v>
      </c>
      <c r="D406" s="441" t="s">
        <v>5765</v>
      </c>
      <c r="E406" s="133"/>
      <c r="F406" s="134" t="s">
        <v>5552</v>
      </c>
      <c r="G406" s="134">
        <v>1.0529999999999999</v>
      </c>
      <c r="H406" s="135">
        <v>2024</v>
      </c>
      <c r="I406" s="133" t="s">
        <v>5587</v>
      </c>
    </row>
    <row r="407" spans="1:9" ht="18.75" thickBot="1" x14ac:dyDescent="0.3">
      <c r="A407" t="str">
        <f t="shared" si="6"/>
        <v>118148E</v>
      </c>
      <c r="B407" s="133" t="s">
        <v>6382</v>
      </c>
      <c r="C407" s="133" t="s">
        <v>6383</v>
      </c>
      <c r="D407" s="441" t="s">
        <v>26</v>
      </c>
      <c r="E407" s="133"/>
      <c r="F407" s="134">
        <v>0.376</v>
      </c>
      <c r="G407" s="134">
        <v>0.32300000000000001</v>
      </c>
      <c r="H407" s="135">
        <v>2013</v>
      </c>
      <c r="I407" s="133" t="s">
        <v>5559</v>
      </c>
    </row>
    <row r="408" spans="1:9" ht="18.75" thickBot="1" x14ac:dyDescent="0.3">
      <c r="A408" t="str">
        <f t="shared" si="6"/>
        <v>136220G</v>
      </c>
      <c r="B408" s="133" t="s">
        <v>6384</v>
      </c>
      <c r="C408" s="133" t="s">
        <v>6385</v>
      </c>
      <c r="D408" s="441" t="s">
        <v>5504</v>
      </c>
      <c r="E408" s="133"/>
      <c r="F408" s="134">
        <v>0.20200000000000001</v>
      </c>
      <c r="G408" s="134">
        <v>0.17299999999999999</v>
      </c>
      <c r="H408" s="135">
        <v>2024</v>
      </c>
      <c r="I408" s="133" t="s">
        <v>5559</v>
      </c>
    </row>
    <row r="409" spans="1:9" ht="18.75" thickBot="1" x14ac:dyDescent="0.3">
      <c r="A409" t="str">
        <f t="shared" si="6"/>
        <v>013447F</v>
      </c>
      <c r="B409" s="133" t="s">
        <v>6386</v>
      </c>
      <c r="C409" s="133" t="s">
        <v>6387</v>
      </c>
      <c r="D409" s="441" t="s">
        <v>5503</v>
      </c>
      <c r="E409" s="133"/>
      <c r="F409" s="134">
        <v>0.32</v>
      </c>
      <c r="G409" s="134">
        <v>0.27500000000000002</v>
      </c>
      <c r="H409" s="135">
        <v>2008</v>
      </c>
      <c r="I409" s="133" t="s">
        <v>5635</v>
      </c>
    </row>
    <row r="410" spans="1:9" ht="18.75" thickBot="1" x14ac:dyDescent="0.3">
      <c r="A410" t="str">
        <f t="shared" si="6"/>
        <v>124761N</v>
      </c>
      <c r="B410" s="133" t="s">
        <v>6388</v>
      </c>
      <c r="C410" s="133" t="s">
        <v>6389</v>
      </c>
      <c r="D410" s="441" t="s">
        <v>25</v>
      </c>
      <c r="E410" s="133"/>
      <c r="F410" s="134" t="s">
        <v>5552</v>
      </c>
      <c r="G410" s="134">
        <v>0.54600000000000004</v>
      </c>
      <c r="H410" s="135">
        <v>2018</v>
      </c>
      <c r="I410" s="133" t="s">
        <v>5598</v>
      </c>
    </row>
    <row r="411" spans="1:9" ht="18.75" thickBot="1" x14ac:dyDescent="0.3">
      <c r="A411" t="str">
        <f t="shared" si="6"/>
        <v>144265R</v>
      </c>
      <c r="B411" s="133" t="s">
        <v>6390</v>
      </c>
      <c r="C411" s="133" t="s">
        <v>6391</v>
      </c>
      <c r="D411" s="441" t="s">
        <v>5504</v>
      </c>
      <c r="E411" s="133"/>
      <c r="F411" s="134">
        <v>0.24199999999999999</v>
      </c>
      <c r="G411" s="134">
        <v>0.20799999999999999</v>
      </c>
      <c r="H411" s="135">
        <v>2017</v>
      </c>
      <c r="I411" s="133" t="s">
        <v>5735</v>
      </c>
    </row>
    <row r="412" spans="1:9" ht="18.75" thickBot="1" x14ac:dyDescent="0.3">
      <c r="A412" t="str">
        <f t="shared" si="6"/>
        <v>104059H</v>
      </c>
      <c r="B412" s="133" t="s">
        <v>6392</v>
      </c>
      <c r="C412" s="133" t="s">
        <v>6393</v>
      </c>
      <c r="D412" s="441" t="s">
        <v>5503</v>
      </c>
      <c r="E412" s="133"/>
      <c r="F412" s="134">
        <v>0.19400000000000001</v>
      </c>
      <c r="G412" s="134">
        <v>0.16700000000000001</v>
      </c>
      <c r="H412" s="135">
        <v>2017</v>
      </c>
      <c r="I412" s="133" t="s">
        <v>5726</v>
      </c>
    </row>
    <row r="413" spans="1:9" ht="18.75" thickBot="1" x14ac:dyDescent="0.3">
      <c r="A413" t="str">
        <f t="shared" si="6"/>
        <v>131160Q</v>
      </c>
      <c r="B413" s="133" t="s">
        <v>6394</v>
      </c>
      <c r="C413" s="133" t="s">
        <v>6395</v>
      </c>
      <c r="D413" s="441" t="s">
        <v>5503</v>
      </c>
      <c r="E413" s="133"/>
      <c r="F413" s="134">
        <v>0.29799999999999999</v>
      </c>
      <c r="G413" s="134">
        <v>0.25600000000000001</v>
      </c>
      <c r="H413" s="135">
        <v>2015</v>
      </c>
      <c r="I413" s="133" t="s">
        <v>5601</v>
      </c>
    </row>
    <row r="414" spans="1:9" ht="18.75" thickBot="1" x14ac:dyDescent="0.3">
      <c r="A414" t="str">
        <f t="shared" si="6"/>
        <v>132839F</v>
      </c>
      <c r="B414" s="133" t="s">
        <v>6396</v>
      </c>
      <c r="C414" s="133" t="s">
        <v>6397</v>
      </c>
      <c r="D414" s="441" t="s">
        <v>5503</v>
      </c>
      <c r="E414" s="133"/>
      <c r="F414" s="134">
        <v>0.30499999999999999</v>
      </c>
      <c r="G414" s="134">
        <v>0.26200000000000001</v>
      </c>
      <c r="H414" s="135">
        <v>2023</v>
      </c>
      <c r="I414" s="133" t="s">
        <v>5657</v>
      </c>
    </row>
    <row r="415" spans="1:9" ht="18.75" thickBot="1" x14ac:dyDescent="0.3">
      <c r="A415" t="str">
        <f t="shared" si="6"/>
        <v>013475H</v>
      </c>
      <c r="B415" s="133" t="s">
        <v>6398</v>
      </c>
      <c r="C415" s="133" t="s">
        <v>6399</v>
      </c>
      <c r="D415" s="441" t="s">
        <v>26</v>
      </c>
      <c r="E415" s="133"/>
      <c r="F415" s="134">
        <v>0.44400000000000001</v>
      </c>
      <c r="G415" s="134">
        <v>0.38200000000000001</v>
      </c>
      <c r="H415" s="135">
        <v>2023</v>
      </c>
      <c r="I415" s="133" t="s">
        <v>5566</v>
      </c>
    </row>
    <row r="416" spans="1:9" ht="18.75" thickBot="1" x14ac:dyDescent="0.3">
      <c r="A416" t="str">
        <f t="shared" si="6"/>
        <v>013476I</v>
      </c>
      <c r="B416" s="133" t="s">
        <v>6400</v>
      </c>
      <c r="C416" s="133" t="s">
        <v>6401</v>
      </c>
      <c r="D416" s="441" t="s">
        <v>5504</v>
      </c>
      <c r="E416" s="133"/>
      <c r="F416" s="134">
        <v>0.16</v>
      </c>
      <c r="G416" s="134">
        <v>0.13700000000000001</v>
      </c>
      <c r="H416" s="135">
        <v>2020</v>
      </c>
      <c r="I416" s="133" t="s">
        <v>5744</v>
      </c>
    </row>
    <row r="417" spans="1:9" ht="18.75" thickBot="1" x14ac:dyDescent="0.3">
      <c r="A417" t="str">
        <f t="shared" si="6"/>
        <v>013479L</v>
      </c>
      <c r="B417" s="133" t="s">
        <v>6402</v>
      </c>
      <c r="C417" s="133" t="s">
        <v>6403</v>
      </c>
      <c r="D417" s="441" t="s">
        <v>26</v>
      </c>
      <c r="E417" s="133"/>
      <c r="F417" s="134">
        <v>0.33300000000000002</v>
      </c>
      <c r="G417" s="134">
        <v>0.28599999999999998</v>
      </c>
      <c r="H417" s="135">
        <v>2020</v>
      </c>
      <c r="I417" s="133" t="s">
        <v>5566</v>
      </c>
    </row>
    <row r="418" spans="1:9" ht="18.75" thickBot="1" x14ac:dyDescent="0.3">
      <c r="A418" t="str">
        <f t="shared" si="6"/>
        <v>134791H</v>
      </c>
      <c r="B418" s="133" t="s">
        <v>6404</v>
      </c>
      <c r="C418" s="133" t="s">
        <v>6405</v>
      </c>
      <c r="D418" s="441" t="s">
        <v>26</v>
      </c>
      <c r="E418" s="133"/>
      <c r="F418" s="134">
        <v>0.38300000000000001</v>
      </c>
      <c r="G418" s="134">
        <v>0.32900000000000001</v>
      </c>
      <c r="H418" s="135">
        <v>2015</v>
      </c>
      <c r="I418" s="133" t="s">
        <v>5895</v>
      </c>
    </row>
    <row r="419" spans="1:9" ht="18.75" thickBot="1" x14ac:dyDescent="0.3">
      <c r="A419" t="str">
        <f t="shared" si="6"/>
        <v>013485R</v>
      </c>
      <c r="B419" s="133" t="s">
        <v>6406</v>
      </c>
      <c r="C419" s="133" t="s">
        <v>6407</v>
      </c>
      <c r="D419" s="441" t="s">
        <v>25</v>
      </c>
      <c r="E419" s="133"/>
      <c r="F419" s="134" t="s">
        <v>5552</v>
      </c>
      <c r="G419" s="134">
        <v>0.57599999999999996</v>
      </c>
      <c r="H419" s="135">
        <v>2015</v>
      </c>
      <c r="I419" s="133" t="s">
        <v>5639</v>
      </c>
    </row>
    <row r="420" spans="1:9" ht="18.75" thickBot="1" x14ac:dyDescent="0.3">
      <c r="A420" t="str">
        <f t="shared" si="6"/>
        <v>141146S</v>
      </c>
      <c r="B420" s="133" t="s">
        <v>6408</v>
      </c>
      <c r="C420" s="133" t="s">
        <v>6409</v>
      </c>
      <c r="D420" s="441" t="s">
        <v>5503</v>
      </c>
      <c r="E420" s="133"/>
      <c r="F420" s="134">
        <v>0.3</v>
      </c>
      <c r="G420" s="134">
        <v>0.25800000000000001</v>
      </c>
      <c r="H420" s="135">
        <v>2023</v>
      </c>
      <c r="I420" s="133" t="s">
        <v>5553</v>
      </c>
    </row>
    <row r="421" spans="1:9" ht="18.75" thickBot="1" x14ac:dyDescent="0.3">
      <c r="A421" t="str">
        <f t="shared" si="6"/>
        <v>126984A</v>
      </c>
      <c r="B421" s="133" t="s">
        <v>6410</v>
      </c>
      <c r="C421" s="133" t="s">
        <v>6411</v>
      </c>
      <c r="D421" s="441" t="s">
        <v>26</v>
      </c>
      <c r="E421" s="133"/>
      <c r="F421" s="134">
        <v>0.48399999999999999</v>
      </c>
      <c r="G421" s="134">
        <v>0.41699999999999998</v>
      </c>
      <c r="H421" s="135">
        <v>2016</v>
      </c>
      <c r="I421" s="133" t="s">
        <v>5657</v>
      </c>
    </row>
    <row r="422" spans="1:9" ht="18.75" thickBot="1" x14ac:dyDescent="0.3">
      <c r="A422" t="str">
        <f t="shared" si="6"/>
        <v>013495B</v>
      </c>
      <c r="B422" s="133" t="s">
        <v>6412</v>
      </c>
      <c r="C422" s="133" t="s">
        <v>6413</v>
      </c>
      <c r="D422" s="441" t="s">
        <v>5638</v>
      </c>
      <c r="E422" s="133"/>
      <c r="F422" s="134" t="s">
        <v>5552</v>
      </c>
      <c r="G422" s="134">
        <v>0.42599999999999999</v>
      </c>
      <c r="H422" s="135">
        <v>2024</v>
      </c>
      <c r="I422" s="133" t="s">
        <v>5573</v>
      </c>
    </row>
    <row r="423" spans="1:9" ht="18.75" thickBot="1" x14ac:dyDescent="0.3">
      <c r="A423" t="str">
        <f t="shared" si="6"/>
        <v>013499F</v>
      </c>
      <c r="B423" s="133" t="s">
        <v>6414</v>
      </c>
      <c r="C423" s="133" t="s">
        <v>6415</v>
      </c>
      <c r="D423" s="441" t="s">
        <v>25</v>
      </c>
      <c r="E423" s="133"/>
      <c r="F423" s="134" t="s">
        <v>5552</v>
      </c>
      <c r="G423" s="134">
        <v>0.46100000000000002</v>
      </c>
      <c r="H423" s="135">
        <v>2013</v>
      </c>
      <c r="I423" s="133" t="s">
        <v>5566</v>
      </c>
    </row>
    <row r="424" spans="1:9" ht="18.75" thickBot="1" x14ac:dyDescent="0.3">
      <c r="A424" t="str">
        <f t="shared" si="6"/>
        <v>143716O</v>
      </c>
      <c r="B424" s="133" t="s">
        <v>6416</v>
      </c>
      <c r="C424" s="133" t="s">
        <v>6417</v>
      </c>
      <c r="D424" s="441" t="s">
        <v>24</v>
      </c>
      <c r="E424" s="133"/>
      <c r="F424" s="134" t="s">
        <v>5552</v>
      </c>
      <c r="G424" s="134">
        <v>0.751</v>
      </c>
      <c r="H424" s="135">
        <v>2024</v>
      </c>
      <c r="I424" s="133" t="s">
        <v>5587</v>
      </c>
    </row>
    <row r="425" spans="1:9" ht="18.75" thickBot="1" x14ac:dyDescent="0.3">
      <c r="A425" t="str">
        <f t="shared" si="6"/>
        <v>013503J</v>
      </c>
      <c r="B425" s="133" t="s">
        <v>6418</v>
      </c>
      <c r="C425" s="133" t="s">
        <v>6419</v>
      </c>
      <c r="D425" s="441" t="s">
        <v>5504</v>
      </c>
      <c r="E425" s="133"/>
      <c r="F425" s="134">
        <v>0.186</v>
      </c>
      <c r="G425" s="134">
        <v>0.16</v>
      </c>
      <c r="H425" s="135">
        <v>2012</v>
      </c>
      <c r="I425" s="133" t="s">
        <v>5635</v>
      </c>
    </row>
    <row r="426" spans="1:9" ht="18.75" thickBot="1" x14ac:dyDescent="0.3">
      <c r="A426" t="str">
        <f t="shared" si="6"/>
        <v>013542W</v>
      </c>
      <c r="B426" s="133" t="s">
        <v>6420</v>
      </c>
      <c r="C426" s="133" t="s">
        <v>6421</v>
      </c>
      <c r="D426" s="441" t="s">
        <v>5562</v>
      </c>
      <c r="E426" s="133"/>
      <c r="F426" s="134">
        <v>0.34899999999999998</v>
      </c>
      <c r="G426" s="134">
        <v>0.3</v>
      </c>
      <c r="H426" s="135">
        <v>2024</v>
      </c>
      <c r="I426" s="133" t="s">
        <v>5563</v>
      </c>
    </row>
    <row r="427" spans="1:9" ht="18.75" thickBot="1" x14ac:dyDescent="0.3">
      <c r="A427" t="str">
        <f t="shared" si="6"/>
        <v>118031R</v>
      </c>
      <c r="B427" s="133" t="s">
        <v>6422</v>
      </c>
      <c r="C427" s="133" t="s">
        <v>6423</v>
      </c>
      <c r="D427" s="441" t="s">
        <v>5638</v>
      </c>
      <c r="E427" s="133"/>
      <c r="F427" s="134" t="s">
        <v>5552</v>
      </c>
      <c r="G427" s="134">
        <v>0.55700000000000005</v>
      </c>
      <c r="H427" s="135">
        <v>2024</v>
      </c>
      <c r="I427" s="133" t="s">
        <v>5559</v>
      </c>
    </row>
    <row r="428" spans="1:9" ht="18.75" thickBot="1" x14ac:dyDescent="0.3">
      <c r="A428" t="str">
        <f t="shared" si="6"/>
        <v>124878A</v>
      </c>
      <c r="B428" s="133" t="s">
        <v>6424</v>
      </c>
      <c r="C428" s="133" t="s">
        <v>6425</v>
      </c>
      <c r="D428" s="441" t="s">
        <v>5503</v>
      </c>
      <c r="E428" s="133"/>
      <c r="F428" s="134">
        <v>0.20200000000000001</v>
      </c>
      <c r="G428" s="134">
        <v>0.17399999999999999</v>
      </c>
      <c r="H428" s="135">
        <v>2015</v>
      </c>
      <c r="I428" s="133" t="s">
        <v>5594</v>
      </c>
    </row>
    <row r="429" spans="1:9" ht="18.75" thickBot="1" x14ac:dyDescent="0.3">
      <c r="A429" t="str">
        <f t="shared" si="6"/>
        <v>140428C</v>
      </c>
      <c r="B429" s="133" t="s">
        <v>6426</v>
      </c>
      <c r="C429" s="133" t="s">
        <v>6427</v>
      </c>
      <c r="D429" s="441" t="s">
        <v>5504</v>
      </c>
      <c r="E429" s="133"/>
      <c r="F429" s="134">
        <v>0.24</v>
      </c>
      <c r="G429" s="134">
        <v>0.20599999999999999</v>
      </c>
      <c r="H429" s="135">
        <v>2016</v>
      </c>
      <c r="I429" s="133" t="s">
        <v>5768</v>
      </c>
    </row>
    <row r="430" spans="1:9" ht="18.75" thickBot="1" x14ac:dyDescent="0.3">
      <c r="A430" t="str">
        <f t="shared" si="6"/>
        <v>111043X</v>
      </c>
      <c r="B430" s="133" t="s">
        <v>6428</v>
      </c>
      <c r="C430" s="133" t="s">
        <v>6429</v>
      </c>
      <c r="D430" s="441" t="s">
        <v>5504</v>
      </c>
      <c r="E430" s="133"/>
      <c r="F430" s="134">
        <v>0.22700000000000001</v>
      </c>
      <c r="G430" s="134">
        <v>0.19500000000000001</v>
      </c>
      <c r="H430" s="135">
        <v>2015</v>
      </c>
      <c r="I430" s="133" t="s">
        <v>5566</v>
      </c>
    </row>
    <row r="431" spans="1:9" ht="18.75" thickBot="1" x14ac:dyDescent="0.3">
      <c r="A431" t="str">
        <f t="shared" si="6"/>
        <v>117441Z</v>
      </c>
      <c r="B431" s="133" t="s">
        <v>6430</v>
      </c>
      <c r="C431" s="133" t="s">
        <v>6431</v>
      </c>
      <c r="D431" s="441" t="s">
        <v>26</v>
      </c>
      <c r="E431" s="133"/>
      <c r="F431" s="134">
        <v>0.41699999999999998</v>
      </c>
      <c r="G431" s="134">
        <v>0.35799999999999998</v>
      </c>
      <c r="H431" s="135">
        <v>2016</v>
      </c>
      <c r="I431" s="133" t="s">
        <v>5787</v>
      </c>
    </row>
    <row r="432" spans="1:9" ht="18.75" thickBot="1" x14ac:dyDescent="0.3">
      <c r="A432" t="str">
        <f t="shared" si="6"/>
        <v>013513T</v>
      </c>
      <c r="B432" s="133" t="s">
        <v>6432</v>
      </c>
      <c r="C432" s="133" t="s">
        <v>6433</v>
      </c>
      <c r="D432" s="441" t="s">
        <v>5638</v>
      </c>
      <c r="E432" s="133"/>
      <c r="F432" s="134" t="s">
        <v>5552</v>
      </c>
      <c r="G432" s="134">
        <v>0.27</v>
      </c>
      <c r="H432" s="135">
        <v>2024</v>
      </c>
      <c r="I432" s="133" t="s">
        <v>5556</v>
      </c>
    </row>
    <row r="433" spans="1:9" ht="18.75" thickBot="1" x14ac:dyDescent="0.3">
      <c r="A433" t="str">
        <f t="shared" si="6"/>
        <v>013514U</v>
      </c>
      <c r="B433" s="133" t="s">
        <v>6434</v>
      </c>
      <c r="C433" s="133" t="s">
        <v>6435</v>
      </c>
      <c r="D433" s="441" t="s">
        <v>6059</v>
      </c>
      <c r="E433" s="133"/>
      <c r="F433" s="134" t="s">
        <v>5552</v>
      </c>
      <c r="G433" s="134">
        <v>0.86299999999999999</v>
      </c>
      <c r="H433" s="135">
        <v>2024</v>
      </c>
      <c r="I433" s="133" t="s">
        <v>5556</v>
      </c>
    </row>
    <row r="434" spans="1:9" ht="18.75" thickBot="1" x14ac:dyDescent="0.3">
      <c r="A434" t="str">
        <f t="shared" si="6"/>
        <v>138060A</v>
      </c>
      <c r="B434" s="133" t="s">
        <v>6436</v>
      </c>
      <c r="C434" s="133" t="s">
        <v>6437</v>
      </c>
      <c r="D434" s="441" t="s">
        <v>26</v>
      </c>
      <c r="E434" s="133"/>
      <c r="F434" s="134">
        <v>0.505</v>
      </c>
      <c r="G434" s="134">
        <v>0.434</v>
      </c>
      <c r="H434" s="135">
        <v>2023</v>
      </c>
      <c r="I434" s="133" t="s">
        <v>5601</v>
      </c>
    </row>
    <row r="435" spans="1:9" ht="18.75" thickBot="1" x14ac:dyDescent="0.3">
      <c r="A435" t="str">
        <f t="shared" si="6"/>
        <v>150408M</v>
      </c>
      <c r="B435" s="133" t="s">
        <v>6438</v>
      </c>
      <c r="C435" s="133" t="s">
        <v>6439</v>
      </c>
      <c r="D435" s="441" t="s">
        <v>5504</v>
      </c>
      <c r="E435" s="133"/>
      <c r="F435" s="134">
        <v>3.3000000000000002E-2</v>
      </c>
      <c r="G435" s="134">
        <v>2.8000000000000001E-2</v>
      </c>
      <c r="H435" s="135">
        <v>2022</v>
      </c>
      <c r="I435" s="133" t="s">
        <v>5657</v>
      </c>
    </row>
    <row r="436" spans="1:9" ht="18.75" thickBot="1" x14ac:dyDescent="0.3">
      <c r="A436" t="str">
        <f t="shared" si="6"/>
        <v>168407B</v>
      </c>
      <c r="B436" s="133" t="s">
        <v>6440</v>
      </c>
      <c r="C436" s="133" t="s">
        <v>6441</v>
      </c>
      <c r="D436" s="441" t="s">
        <v>5504</v>
      </c>
      <c r="E436" s="133"/>
      <c r="F436" s="134">
        <v>0.14699999999999999</v>
      </c>
      <c r="G436" s="134">
        <v>0.127</v>
      </c>
      <c r="H436" s="135">
        <v>2024</v>
      </c>
      <c r="I436" s="133" t="s">
        <v>5553</v>
      </c>
    </row>
    <row r="437" spans="1:9" ht="18.75" thickBot="1" x14ac:dyDescent="0.3">
      <c r="A437" t="str">
        <f t="shared" si="6"/>
        <v>168408C</v>
      </c>
      <c r="B437" s="133" t="s">
        <v>6442</v>
      </c>
      <c r="C437" s="133" t="s">
        <v>6443</v>
      </c>
      <c r="D437" s="441" t="s">
        <v>5504</v>
      </c>
      <c r="E437" s="133"/>
      <c r="F437" s="134">
        <v>0.247</v>
      </c>
      <c r="G437" s="134">
        <v>0.21199999999999999</v>
      </c>
      <c r="H437" s="135">
        <v>2024</v>
      </c>
      <c r="I437" s="133" t="s">
        <v>5553</v>
      </c>
    </row>
    <row r="438" spans="1:9" ht="18.75" thickBot="1" x14ac:dyDescent="0.3">
      <c r="A438" t="str">
        <f t="shared" si="6"/>
        <v>144267T</v>
      </c>
      <c r="B438" s="133" t="s">
        <v>6444</v>
      </c>
      <c r="C438" s="133" t="s">
        <v>6445</v>
      </c>
      <c r="D438" s="441" t="s">
        <v>5503</v>
      </c>
      <c r="E438" s="133"/>
      <c r="F438" s="134">
        <v>0.28799999999999998</v>
      </c>
      <c r="G438" s="134">
        <v>0.248</v>
      </c>
      <c r="H438" s="135">
        <v>2017</v>
      </c>
      <c r="I438" s="133" t="s">
        <v>5735</v>
      </c>
    </row>
    <row r="439" spans="1:9" ht="18.75" thickBot="1" x14ac:dyDescent="0.3">
      <c r="A439" t="str">
        <f t="shared" si="6"/>
        <v>100053F</v>
      </c>
      <c r="B439" s="133" t="s">
        <v>6446</v>
      </c>
      <c r="C439" s="133" t="s">
        <v>6447</v>
      </c>
      <c r="D439" s="441" t="s">
        <v>5504</v>
      </c>
      <c r="E439" s="133"/>
      <c r="F439" s="134">
        <v>0.245</v>
      </c>
      <c r="G439" s="134">
        <v>0.21099999999999999</v>
      </c>
      <c r="H439" s="135">
        <v>2024</v>
      </c>
      <c r="I439" s="133" t="s">
        <v>5566</v>
      </c>
    </row>
    <row r="440" spans="1:9" ht="18.75" thickBot="1" x14ac:dyDescent="0.3">
      <c r="A440" t="str">
        <f t="shared" si="6"/>
        <v>013526G</v>
      </c>
      <c r="B440" s="133" t="s">
        <v>6448</v>
      </c>
      <c r="C440" s="133" t="s">
        <v>6449</v>
      </c>
      <c r="D440" s="441" t="s">
        <v>26</v>
      </c>
      <c r="E440" s="133"/>
      <c r="F440" s="134">
        <v>0.38</v>
      </c>
      <c r="G440" s="134">
        <v>0.32700000000000001</v>
      </c>
      <c r="H440" s="135">
        <v>2018</v>
      </c>
      <c r="I440" s="133" t="s">
        <v>5678</v>
      </c>
    </row>
    <row r="441" spans="1:9" ht="18.75" thickBot="1" x14ac:dyDescent="0.3">
      <c r="A441" t="str">
        <f t="shared" si="6"/>
        <v>013527H</v>
      </c>
      <c r="B441" s="133" t="s">
        <v>6450</v>
      </c>
      <c r="C441" s="133" t="s">
        <v>6451</v>
      </c>
      <c r="D441" s="441" t="s">
        <v>25</v>
      </c>
      <c r="E441" s="133"/>
      <c r="F441" s="134" t="s">
        <v>5552</v>
      </c>
      <c r="G441" s="134">
        <v>0.56599999999999995</v>
      </c>
      <c r="H441" s="135">
        <v>2024</v>
      </c>
      <c r="I441" s="133" t="s">
        <v>5587</v>
      </c>
    </row>
    <row r="442" spans="1:9" ht="18.75" thickBot="1" x14ac:dyDescent="0.3">
      <c r="A442" t="str">
        <f t="shared" si="6"/>
        <v>163907K</v>
      </c>
      <c r="B442" s="133" t="s">
        <v>6452</v>
      </c>
      <c r="C442" s="133" t="s">
        <v>6453</v>
      </c>
      <c r="D442" s="441" t="s">
        <v>5503</v>
      </c>
      <c r="E442" s="133"/>
      <c r="F442" s="134">
        <v>0.29199999999999998</v>
      </c>
      <c r="G442" s="134">
        <v>0.251</v>
      </c>
      <c r="H442" s="135">
        <v>2024</v>
      </c>
      <c r="I442" s="133" t="s">
        <v>5701</v>
      </c>
    </row>
    <row r="443" spans="1:9" ht="18.75" thickBot="1" x14ac:dyDescent="0.3">
      <c r="A443" t="str">
        <f t="shared" si="6"/>
        <v>168001K</v>
      </c>
      <c r="B443" s="133" t="s">
        <v>6454</v>
      </c>
      <c r="C443" s="133" t="s">
        <v>6455</v>
      </c>
      <c r="D443" s="441" t="s">
        <v>5503</v>
      </c>
      <c r="E443" s="133"/>
      <c r="F443" s="134">
        <v>0.30199999999999999</v>
      </c>
      <c r="G443" s="134">
        <v>0.26</v>
      </c>
      <c r="H443" s="135">
        <v>2022</v>
      </c>
      <c r="I443" s="133" t="s">
        <v>5657</v>
      </c>
    </row>
    <row r="444" spans="1:9" ht="18.75" thickBot="1" x14ac:dyDescent="0.3">
      <c r="A444" t="str">
        <f t="shared" si="6"/>
        <v>169971B</v>
      </c>
      <c r="B444" s="133" t="s">
        <v>6456</v>
      </c>
      <c r="C444" s="133" t="s">
        <v>6457</v>
      </c>
      <c r="D444" s="441" t="s">
        <v>26</v>
      </c>
      <c r="E444" s="133"/>
      <c r="F444" s="134">
        <v>0.39100000000000001</v>
      </c>
      <c r="G444" s="134">
        <v>0.33600000000000002</v>
      </c>
      <c r="H444" s="135">
        <v>2022</v>
      </c>
      <c r="I444" s="133" t="s">
        <v>5657</v>
      </c>
    </row>
    <row r="445" spans="1:9" ht="18.75" thickBot="1" x14ac:dyDescent="0.3">
      <c r="A445" t="str">
        <f t="shared" si="6"/>
        <v>121405L</v>
      </c>
      <c r="B445" s="133" t="s">
        <v>6458</v>
      </c>
      <c r="C445" s="133" t="s">
        <v>6459</v>
      </c>
      <c r="D445" s="441" t="s">
        <v>26</v>
      </c>
      <c r="E445" s="133"/>
      <c r="F445" s="134">
        <v>0.41399999999999998</v>
      </c>
      <c r="G445" s="134">
        <v>0.35599999999999998</v>
      </c>
      <c r="H445" s="135">
        <v>2014</v>
      </c>
      <c r="I445" s="133" t="s">
        <v>5601</v>
      </c>
    </row>
    <row r="446" spans="1:9" ht="18.75" thickBot="1" x14ac:dyDescent="0.3">
      <c r="A446" t="str">
        <f t="shared" si="6"/>
        <v>145291D</v>
      </c>
      <c r="B446" s="133" t="s">
        <v>7284</v>
      </c>
      <c r="C446" s="133" t="s">
        <v>7285</v>
      </c>
      <c r="D446" s="441" t="s">
        <v>5503</v>
      </c>
      <c r="E446" s="133"/>
      <c r="F446" s="134">
        <v>0.30199999999999999</v>
      </c>
      <c r="G446" s="134">
        <v>0.26</v>
      </c>
      <c r="H446" s="135">
        <v>2024</v>
      </c>
      <c r="I446" s="133" t="s">
        <v>5787</v>
      </c>
    </row>
    <row r="447" spans="1:9" ht="18.75" thickBot="1" x14ac:dyDescent="0.3">
      <c r="A447" t="str">
        <f t="shared" si="6"/>
        <v>013546A</v>
      </c>
      <c r="B447" s="133" t="s">
        <v>6460</v>
      </c>
      <c r="C447" s="133" t="s">
        <v>6461</v>
      </c>
      <c r="D447" s="441" t="s">
        <v>5504</v>
      </c>
      <c r="E447" s="133"/>
      <c r="F447" s="134">
        <v>0.22600000000000001</v>
      </c>
      <c r="G447" s="134">
        <v>0.19400000000000001</v>
      </c>
      <c r="H447" s="135">
        <v>2023</v>
      </c>
      <c r="I447" s="133" t="s">
        <v>6229</v>
      </c>
    </row>
    <row r="448" spans="1:9" ht="18.75" thickBot="1" x14ac:dyDescent="0.3">
      <c r="A448" t="str">
        <f t="shared" si="6"/>
        <v>163137Y</v>
      </c>
      <c r="B448" s="133" t="s">
        <v>6462</v>
      </c>
      <c r="C448" s="133" t="s">
        <v>6463</v>
      </c>
      <c r="D448" s="441" t="s">
        <v>5503</v>
      </c>
      <c r="E448" s="133"/>
      <c r="F448" s="134">
        <v>0.27400000000000002</v>
      </c>
      <c r="G448" s="134">
        <v>0.23499999999999999</v>
      </c>
      <c r="H448" s="135">
        <v>2022</v>
      </c>
      <c r="I448" s="133" t="s">
        <v>5735</v>
      </c>
    </row>
    <row r="449" spans="1:9" ht="18.75" thickBot="1" x14ac:dyDescent="0.3">
      <c r="A449" t="str">
        <f t="shared" si="6"/>
        <v>013550E</v>
      </c>
      <c r="B449" s="133" t="s">
        <v>6464</v>
      </c>
      <c r="C449" s="133" t="s">
        <v>6465</v>
      </c>
      <c r="D449" s="441" t="s">
        <v>26</v>
      </c>
      <c r="E449" s="133"/>
      <c r="F449" s="134">
        <v>0.38200000000000001</v>
      </c>
      <c r="G449" s="134">
        <v>0.32900000000000001</v>
      </c>
      <c r="H449" s="135">
        <v>2013</v>
      </c>
      <c r="I449" s="133" t="s">
        <v>5598</v>
      </c>
    </row>
    <row r="450" spans="1:9" ht="18.75" thickBot="1" x14ac:dyDescent="0.3">
      <c r="A450" t="str">
        <f t="shared" si="6"/>
        <v>013551F</v>
      </c>
      <c r="B450" s="133" t="s">
        <v>6466</v>
      </c>
      <c r="C450" s="133" t="s">
        <v>6467</v>
      </c>
      <c r="D450" s="441" t="s">
        <v>5503</v>
      </c>
      <c r="E450" s="133"/>
      <c r="F450" s="134">
        <v>0.26400000000000001</v>
      </c>
      <c r="G450" s="134">
        <v>0.22700000000000001</v>
      </c>
      <c r="H450" s="135">
        <v>2012</v>
      </c>
      <c r="I450" s="133" t="s">
        <v>5630</v>
      </c>
    </row>
    <row r="451" spans="1:9" ht="18.75" thickBot="1" x14ac:dyDescent="0.3">
      <c r="A451" t="str">
        <f t="shared" ref="A451:A514" si="7">SUBSTITUTE(B451,CHAR(32),"")</f>
        <v>108138E</v>
      </c>
      <c r="B451" s="133" t="s">
        <v>6468</v>
      </c>
      <c r="C451" s="133" t="s">
        <v>6469</v>
      </c>
      <c r="D451" s="441" t="s">
        <v>26</v>
      </c>
      <c r="E451" s="133"/>
      <c r="F451" s="134">
        <v>0.39200000000000002</v>
      </c>
      <c r="G451" s="134">
        <v>0.33700000000000002</v>
      </c>
      <c r="H451" s="135">
        <v>2024</v>
      </c>
      <c r="I451" s="133" t="s">
        <v>5587</v>
      </c>
    </row>
    <row r="452" spans="1:9" ht="18.75" thickBot="1" x14ac:dyDescent="0.3">
      <c r="A452" t="str">
        <f t="shared" si="7"/>
        <v>013554I</v>
      </c>
      <c r="B452" s="133" t="s">
        <v>6470</v>
      </c>
      <c r="C452" s="133" t="s">
        <v>6471</v>
      </c>
      <c r="D452" s="441" t="s">
        <v>26</v>
      </c>
      <c r="E452" s="133"/>
      <c r="F452" s="134">
        <v>0.41499999999999998</v>
      </c>
      <c r="G452" s="134">
        <v>0.35699999999999998</v>
      </c>
      <c r="H452" s="135">
        <v>2009</v>
      </c>
      <c r="I452" s="133" t="s">
        <v>5635</v>
      </c>
    </row>
    <row r="453" spans="1:9" ht="18.75" thickBot="1" x14ac:dyDescent="0.3">
      <c r="A453" t="str">
        <f t="shared" si="7"/>
        <v>013557L</v>
      </c>
      <c r="B453" s="133" t="s">
        <v>6472</v>
      </c>
      <c r="C453" s="133" t="s">
        <v>6473</v>
      </c>
      <c r="D453" s="441" t="s">
        <v>5638</v>
      </c>
      <c r="E453" s="133"/>
      <c r="F453" s="134" t="s">
        <v>5552</v>
      </c>
      <c r="G453" s="134">
        <v>0.45</v>
      </c>
      <c r="H453" s="135">
        <v>2024</v>
      </c>
      <c r="I453" s="133" t="s">
        <v>5598</v>
      </c>
    </row>
    <row r="454" spans="1:9" ht="18.75" thickBot="1" x14ac:dyDescent="0.3">
      <c r="A454" t="str">
        <f t="shared" si="7"/>
        <v>147409C</v>
      </c>
      <c r="B454" s="133" t="s">
        <v>6474</v>
      </c>
      <c r="C454" s="133" t="s">
        <v>6475</v>
      </c>
      <c r="D454" s="441" t="s">
        <v>5504</v>
      </c>
      <c r="E454" s="133"/>
      <c r="F454" s="134">
        <v>0.22900000000000001</v>
      </c>
      <c r="G454" s="134">
        <v>0.19700000000000001</v>
      </c>
      <c r="H454" s="135">
        <v>2018</v>
      </c>
      <c r="I454" s="133" t="s">
        <v>5850</v>
      </c>
    </row>
    <row r="455" spans="1:9" ht="18.75" thickBot="1" x14ac:dyDescent="0.3">
      <c r="A455" t="str">
        <f t="shared" si="7"/>
        <v>120821Z</v>
      </c>
      <c r="B455" s="133" t="s">
        <v>6476</v>
      </c>
      <c r="C455" s="133" t="s">
        <v>6477</v>
      </c>
      <c r="D455" s="441" t="s">
        <v>5503</v>
      </c>
      <c r="E455" s="133"/>
      <c r="F455" s="134">
        <v>0.29899999999999999</v>
      </c>
      <c r="G455" s="134">
        <v>0.25700000000000001</v>
      </c>
      <c r="H455" s="135">
        <v>2009</v>
      </c>
      <c r="I455" s="133" t="s">
        <v>5850</v>
      </c>
    </row>
    <row r="456" spans="1:9" ht="18.75" thickBot="1" x14ac:dyDescent="0.3">
      <c r="A456" t="str">
        <f t="shared" si="7"/>
        <v>143411V</v>
      </c>
      <c r="B456" s="133" t="s">
        <v>6478</v>
      </c>
      <c r="C456" s="133" t="s">
        <v>6479</v>
      </c>
      <c r="D456" s="441" t="s">
        <v>5504</v>
      </c>
      <c r="E456" s="133"/>
      <c r="F456" s="134">
        <v>0.221</v>
      </c>
      <c r="G456" s="134">
        <v>0.19</v>
      </c>
      <c r="H456" s="135">
        <v>2022</v>
      </c>
      <c r="I456" s="133" t="s">
        <v>5792</v>
      </c>
    </row>
    <row r="457" spans="1:9" ht="18.75" thickBot="1" x14ac:dyDescent="0.3">
      <c r="A457" t="str">
        <f t="shared" si="7"/>
        <v>154179L</v>
      </c>
      <c r="B457" s="133" t="s">
        <v>7288</v>
      </c>
      <c r="C457" s="133" t="s">
        <v>7289</v>
      </c>
      <c r="D457" s="441" t="s">
        <v>5704</v>
      </c>
      <c r="E457" s="133"/>
      <c r="F457" s="134">
        <v>0.20399999999999999</v>
      </c>
      <c r="G457" s="134">
        <v>0.17599999999999999</v>
      </c>
      <c r="H457" s="135">
        <v>2024</v>
      </c>
      <c r="I457" s="133" t="s">
        <v>5559</v>
      </c>
    </row>
    <row r="458" spans="1:9" ht="18.75" thickBot="1" x14ac:dyDescent="0.3">
      <c r="A458" t="str">
        <f t="shared" si="7"/>
        <v>013567V</v>
      </c>
      <c r="B458" s="133" t="s">
        <v>6480</v>
      </c>
      <c r="C458" s="133" t="s">
        <v>6481</v>
      </c>
      <c r="D458" s="441" t="s">
        <v>25</v>
      </c>
      <c r="E458" s="133"/>
      <c r="F458" s="134" t="s">
        <v>5552</v>
      </c>
      <c r="G458" s="134">
        <v>0.52400000000000002</v>
      </c>
      <c r="H458" s="135">
        <v>2012</v>
      </c>
      <c r="I458" s="133" t="s">
        <v>5671</v>
      </c>
    </row>
    <row r="459" spans="1:9" ht="18.75" thickBot="1" x14ac:dyDescent="0.3">
      <c r="A459" t="str">
        <f t="shared" si="7"/>
        <v>141638Q</v>
      </c>
      <c r="B459" s="133" t="s">
        <v>6482</v>
      </c>
      <c r="C459" s="133" t="s">
        <v>6483</v>
      </c>
      <c r="D459" s="441" t="s">
        <v>25</v>
      </c>
      <c r="E459" s="133"/>
      <c r="F459" s="134" t="s">
        <v>5552</v>
      </c>
      <c r="G459" s="134">
        <v>0.51100000000000001</v>
      </c>
      <c r="H459" s="135">
        <v>2015</v>
      </c>
      <c r="I459" s="133" t="s">
        <v>5678</v>
      </c>
    </row>
    <row r="460" spans="1:9" ht="18.75" thickBot="1" x14ac:dyDescent="0.3">
      <c r="A460" t="str">
        <f t="shared" si="7"/>
        <v>114581Z</v>
      </c>
      <c r="B460" s="133" t="s">
        <v>6484</v>
      </c>
      <c r="C460" s="133" t="s">
        <v>6485</v>
      </c>
      <c r="D460" s="441" t="s">
        <v>26</v>
      </c>
      <c r="E460" s="133"/>
      <c r="F460" s="134">
        <v>0.40799999999999997</v>
      </c>
      <c r="G460" s="134">
        <v>0.35099999999999998</v>
      </c>
      <c r="H460" s="135">
        <v>2009</v>
      </c>
      <c r="I460" s="133" t="s">
        <v>5582</v>
      </c>
    </row>
    <row r="461" spans="1:9" ht="18.75" thickBot="1" x14ac:dyDescent="0.3">
      <c r="A461" t="str">
        <f t="shared" si="7"/>
        <v>103261P</v>
      </c>
      <c r="B461" s="133" t="s">
        <v>6486</v>
      </c>
      <c r="C461" s="133" t="s">
        <v>6487</v>
      </c>
      <c r="D461" s="441" t="s">
        <v>26</v>
      </c>
      <c r="E461" s="133"/>
      <c r="F461" s="134">
        <v>0.436</v>
      </c>
      <c r="G461" s="134">
        <v>0.375</v>
      </c>
      <c r="H461" s="135">
        <v>2011</v>
      </c>
      <c r="I461" s="133" t="s">
        <v>5566</v>
      </c>
    </row>
    <row r="462" spans="1:9" ht="18.75" thickBot="1" x14ac:dyDescent="0.3">
      <c r="A462" t="str">
        <f t="shared" si="7"/>
        <v>139549H</v>
      </c>
      <c r="B462" s="133" t="s">
        <v>6488</v>
      </c>
      <c r="C462" s="133" t="s">
        <v>6489</v>
      </c>
      <c r="D462" s="441" t="s">
        <v>24</v>
      </c>
      <c r="E462" s="133"/>
      <c r="F462" s="134" t="s">
        <v>5552</v>
      </c>
      <c r="G462" s="134">
        <v>0.67600000000000005</v>
      </c>
      <c r="H462" s="135">
        <v>2019</v>
      </c>
      <c r="I462" s="133" t="s">
        <v>5853</v>
      </c>
    </row>
    <row r="463" spans="1:9" ht="18.75" thickBot="1" x14ac:dyDescent="0.3">
      <c r="A463" t="str">
        <f t="shared" si="7"/>
        <v>020242O</v>
      </c>
      <c r="B463" s="133" t="s">
        <v>8559</v>
      </c>
      <c r="C463" s="133" t="s">
        <v>8560</v>
      </c>
      <c r="D463" s="441" t="s">
        <v>26</v>
      </c>
      <c r="E463" s="133"/>
      <c r="F463" s="134">
        <v>0.48</v>
      </c>
      <c r="G463" s="134">
        <v>0.41299999999999998</v>
      </c>
      <c r="H463" s="135">
        <v>2012</v>
      </c>
      <c r="I463" s="133" t="s">
        <v>5587</v>
      </c>
    </row>
    <row r="464" spans="1:9" ht="18.75" thickBot="1" x14ac:dyDescent="0.3">
      <c r="A464" t="str">
        <f t="shared" si="7"/>
        <v>013581J</v>
      </c>
      <c r="B464" s="133" t="s">
        <v>6490</v>
      </c>
      <c r="C464" s="133" t="s">
        <v>6491</v>
      </c>
      <c r="D464" s="441" t="s">
        <v>24</v>
      </c>
      <c r="E464" s="133"/>
      <c r="F464" s="134" t="s">
        <v>5552</v>
      </c>
      <c r="G464" s="134">
        <v>0.58699999999999997</v>
      </c>
      <c r="H464" s="135">
        <v>2020</v>
      </c>
      <c r="I464" s="133" t="s">
        <v>5895</v>
      </c>
    </row>
    <row r="465" spans="1:9" ht="18.75" thickBot="1" x14ac:dyDescent="0.3">
      <c r="A465" t="str">
        <f t="shared" si="7"/>
        <v>178429V</v>
      </c>
      <c r="B465" s="133" t="s">
        <v>6492</v>
      </c>
      <c r="C465" s="133" t="s">
        <v>6493</v>
      </c>
      <c r="D465" s="441" t="s">
        <v>26</v>
      </c>
      <c r="E465" s="133"/>
      <c r="F465" s="134">
        <v>0.41499999999999998</v>
      </c>
      <c r="G465" s="134">
        <v>0.35699999999999998</v>
      </c>
      <c r="H465" s="135">
        <v>2024</v>
      </c>
      <c r="I465" s="133" t="s">
        <v>5563</v>
      </c>
    </row>
    <row r="466" spans="1:9" ht="18.75" thickBot="1" x14ac:dyDescent="0.3">
      <c r="A466" t="str">
        <f t="shared" si="7"/>
        <v>013592U</v>
      </c>
      <c r="B466" s="133" t="s">
        <v>6494</v>
      </c>
      <c r="C466" s="133" t="s">
        <v>6495</v>
      </c>
      <c r="D466" s="441" t="s">
        <v>26</v>
      </c>
      <c r="E466" s="133"/>
      <c r="F466" s="134">
        <v>0.49099999999999999</v>
      </c>
      <c r="G466" s="134">
        <v>0.42199999999999999</v>
      </c>
      <c r="H466" s="135">
        <v>2008</v>
      </c>
      <c r="I466" s="133" t="s">
        <v>5598</v>
      </c>
    </row>
    <row r="467" spans="1:9" ht="18.75" thickBot="1" x14ac:dyDescent="0.3">
      <c r="A467" t="str">
        <f t="shared" si="7"/>
        <v>013598A</v>
      </c>
      <c r="B467" s="133" t="s">
        <v>6496</v>
      </c>
      <c r="C467" s="133" t="s">
        <v>6497</v>
      </c>
      <c r="D467" s="441" t="s">
        <v>5503</v>
      </c>
      <c r="E467" s="133"/>
      <c r="F467" s="134">
        <v>0.25700000000000001</v>
      </c>
      <c r="G467" s="134">
        <v>0.221</v>
      </c>
      <c r="H467" s="135">
        <v>2024</v>
      </c>
      <c r="I467" s="133" t="s">
        <v>5573</v>
      </c>
    </row>
    <row r="468" spans="1:9" ht="18.75" thickBot="1" x14ac:dyDescent="0.3">
      <c r="A468" t="str">
        <f t="shared" si="7"/>
        <v>108113F</v>
      </c>
      <c r="B468" s="133" t="s">
        <v>6498</v>
      </c>
      <c r="C468" s="133" t="s">
        <v>6499</v>
      </c>
      <c r="D468" s="441" t="s">
        <v>5504</v>
      </c>
      <c r="E468" s="133"/>
      <c r="F468" s="134">
        <v>0.16500000000000001</v>
      </c>
      <c r="G468" s="134">
        <v>0.14199999999999999</v>
      </c>
      <c r="H468" s="135">
        <v>2024</v>
      </c>
      <c r="I468" s="133" t="s">
        <v>5566</v>
      </c>
    </row>
    <row r="469" spans="1:9" ht="18.75" thickBot="1" x14ac:dyDescent="0.3">
      <c r="A469" t="str">
        <f t="shared" si="7"/>
        <v>120115V</v>
      </c>
      <c r="B469" s="133" t="s">
        <v>6500</v>
      </c>
      <c r="C469" s="133" t="s">
        <v>6501</v>
      </c>
      <c r="D469" s="441" t="s">
        <v>5503</v>
      </c>
      <c r="E469" s="133"/>
      <c r="F469" s="134">
        <v>0.20799999999999999</v>
      </c>
      <c r="G469" s="134">
        <v>0.17899999999999999</v>
      </c>
      <c r="H469" s="135">
        <v>2018</v>
      </c>
      <c r="I469" s="133" t="s">
        <v>5678</v>
      </c>
    </row>
    <row r="470" spans="1:9" ht="18.75" thickBot="1" x14ac:dyDescent="0.3">
      <c r="A470" t="str">
        <f t="shared" si="7"/>
        <v>155170N</v>
      </c>
      <c r="B470" s="133" t="s">
        <v>6502</v>
      </c>
      <c r="C470" s="133" t="s">
        <v>6503</v>
      </c>
      <c r="D470" s="441" t="s">
        <v>26</v>
      </c>
      <c r="E470" s="133"/>
      <c r="F470" s="134">
        <v>0.41799999999999998</v>
      </c>
      <c r="G470" s="134">
        <v>0.35899999999999999</v>
      </c>
      <c r="H470" s="135">
        <v>2023</v>
      </c>
      <c r="I470" s="133" t="s">
        <v>5735</v>
      </c>
    </row>
    <row r="471" spans="1:9" ht="18.75" thickBot="1" x14ac:dyDescent="0.3">
      <c r="A471" t="str">
        <f t="shared" si="7"/>
        <v>140581Z</v>
      </c>
      <c r="B471" s="133" t="s">
        <v>6504</v>
      </c>
      <c r="C471" s="133" t="s">
        <v>6505</v>
      </c>
      <c r="D471" s="441" t="s">
        <v>5504</v>
      </c>
      <c r="E471" s="133"/>
      <c r="F471" s="134">
        <v>0.16500000000000001</v>
      </c>
      <c r="G471" s="134">
        <v>0.14199999999999999</v>
      </c>
      <c r="H471" s="135">
        <v>2013</v>
      </c>
      <c r="I471" s="133" t="s">
        <v>5601</v>
      </c>
    </row>
    <row r="472" spans="1:9" ht="18.75" thickBot="1" x14ac:dyDescent="0.3">
      <c r="A472" t="str">
        <f t="shared" si="7"/>
        <v>149913Z</v>
      </c>
      <c r="B472" s="133" t="s">
        <v>6506</v>
      </c>
      <c r="C472" s="133" t="s">
        <v>6507</v>
      </c>
      <c r="D472" s="441" t="s">
        <v>5504</v>
      </c>
      <c r="E472" s="133"/>
      <c r="F472" s="134">
        <v>0.22900000000000001</v>
      </c>
      <c r="G472" s="134">
        <v>0.19700000000000001</v>
      </c>
      <c r="H472" s="135">
        <v>2020</v>
      </c>
      <c r="I472" s="133" t="s">
        <v>5635</v>
      </c>
    </row>
    <row r="473" spans="1:9" ht="18.75" thickBot="1" x14ac:dyDescent="0.3">
      <c r="A473" t="str">
        <f t="shared" si="7"/>
        <v>013604G</v>
      </c>
      <c r="B473" s="133" t="s">
        <v>6508</v>
      </c>
      <c r="C473" s="133" t="s">
        <v>6509</v>
      </c>
      <c r="D473" s="441" t="s">
        <v>24</v>
      </c>
      <c r="E473" s="133"/>
      <c r="F473" s="134" t="s">
        <v>5552</v>
      </c>
      <c r="G473" s="134">
        <v>0.61</v>
      </c>
      <c r="H473" s="135">
        <v>2019</v>
      </c>
      <c r="I473" s="133" t="s">
        <v>5726</v>
      </c>
    </row>
    <row r="474" spans="1:9" ht="18.75" thickBot="1" x14ac:dyDescent="0.3">
      <c r="A474" t="str">
        <f t="shared" si="7"/>
        <v>013608K</v>
      </c>
      <c r="B474" s="133" t="s">
        <v>6510</v>
      </c>
      <c r="C474" s="133" t="s">
        <v>6511</v>
      </c>
      <c r="D474" s="441" t="s">
        <v>24</v>
      </c>
      <c r="E474" s="133"/>
      <c r="F474" s="134" t="s">
        <v>5552</v>
      </c>
      <c r="G474" s="134">
        <v>0.61799999999999999</v>
      </c>
      <c r="H474" s="135">
        <v>2017</v>
      </c>
      <c r="I474" s="133" t="s">
        <v>5678</v>
      </c>
    </row>
    <row r="475" spans="1:9" ht="18.75" thickBot="1" x14ac:dyDescent="0.3">
      <c r="A475" t="str">
        <f t="shared" si="7"/>
        <v>013618U</v>
      </c>
      <c r="B475" s="133" t="s">
        <v>6512</v>
      </c>
      <c r="C475" s="133" t="s">
        <v>6513</v>
      </c>
      <c r="D475" s="441" t="s">
        <v>5503</v>
      </c>
      <c r="E475" s="133"/>
      <c r="F475" s="134">
        <v>0.313</v>
      </c>
      <c r="G475" s="134">
        <v>0.26900000000000002</v>
      </c>
      <c r="H475" s="135">
        <v>2008</v>
      </c>
      <c r="I475" s="133" t="s">
        <v>5895</v>
      </c>
    </row>
    <row r="476" spans="1:9" ht="18.75" thickBot="1" x14ac:dyDescent="0.3">
      <c r="A476" t="str">
        <f t="shared" si="7"/>
        <v>144284K</v>
      </c>
      <c r="B476" s="133" t="s">
        <v>6514</v>
      </c>
      <c r="C476" s="133" t="s">
        <v>6515</v>
      </c>
      <c r="D476" s="441" t="s">
        <v>26</v>
      </c>
      <c r="E476" s="133"/>
      <c r="F476" s="134">
        <v>0.47699999999999998</v>
      </c>
      <c r="G476" s="134">
        <v>0.41</v>
      </c>
      <c r="H476" s="135">
        <v>2015</v>
      </c>
      <c r="I476" s="133" t="s">
        <v>5678</v>
      </c>
    </row>
    <row r="477" spans="1:9" ht="18.75" thickBot="1" x14ac:dyDescent="0.3">
      <c r="A477" t="str">
        <f t="shared" si="7"/>
        <v>107940O</v>
      </c>
      <c r="B477" s="133" t="s">
        <v>6516</v>
      </c>
      <c r="C477" s="133" t="s">
        <v>6517</v>
      </c>
      <c r="D477" s="441" t="s">
        <v>26</v>
      </c>
      <c r="E477" s="133"/>
      <c r="F477" s="134">
        <v>0.27100000000000002</v>
      </c>
      <c r="G477" s="134">
        <v>0.23300000000000001</v>
      </c>
      <c r="H477" s="135">
        <v>2017</v>
      </c>
      <c r="I477" s="133" t="s">
        <v>5582</v>
      </c>
    </row>
    <row r="478" spans="1:9" ht="18.75" thickBot="1" x14ac:dyDescent="0.3">
      <c r="A478" t="str">
        <f t="shared" si="7"/>
        <v>148333G</v>
      </c>
      <c r="B478" s="133" t="s">
        <v>7304</v>
      </c>
      <c r="C478" s="133" t="s">
        <v>7305</v>
      </c>
      <c r="D478" s="441" t="s">
        <v>5503</v>
      </c>
      <c r="E478" s="133"/>
      <c r="F478" s="134">
        <v>0.255</v>
      </c>
      <c r="G478" s="134">
        <v>0.22</v>
      </c>
      <c r="H478" s="135">
        <v>2024</v>
      </c>
      <c r="I478" s="133" t="s">
        <v>5559</v>
      </c>
    </row>
    <row r="479" spans="1:9" ht="18.75" thickBot="1" x14ac:dyDescent="0.3">
      <c r="A479" t="str">
        <f t="shared" si="7"/>
        <v>013640Q</v>
      </c>
      <c r="B479" s="133" t="s">
        <v>6518</v>
      </c>
      <c r="C479" s="133" t="s">
        <v>6519</v>
      </c>
      <c r="D479" s="441" t="s">
        <v>5503</v>
      </c>
      <c r="E479" s="133"/>
      <c r="F479" s="134">
        <v>0.30199999999999999</v>
      </c>
      <c r="G479" s="134">
        <v>0.26</v>
      </c>
      <c r="H479" s="135">
        <v>2018</v>
      </c>
      <c r="I479" s="133" t="s">
        <v>5850</v>
      </c>
    </row>
    <row r="480" spans="1:9" ht="18.75" thickBot="1" x14ac:dyDescent="0.3">
      <c r="A480" t="str">
        <f t="shared" si="7"/>
        <v>110995B</v>
      </c>
      <c r="B480" s="133" t="s">
        <v>6520</v>
      </c>
      <c r="C480" s="133" t="s">
        <v>6521</v>
      </c>
      <c r="D480" s="441" t="s">
        <v>5704</v>
      </c>
      <c r="E480" s="133"/>
      <c r="F480" s="134">
        <v>0.223</v>
      </c>
      <c r="G480" s="134">
        <v>0.192</v>
      </c>
      <c r="H480" s="135">
        <v>2024</v>
      </c>
      <c r="I480" s="133" t="s">
        <v>5559</v>
      </c>
    </row>
    <row r="481" spans="1:9" ht="18.75" thickBot="1" x14ac:dyDescent="0.3">
      <c r="A481" t="str">
        <f t="shared" si="7"/>
        <v>147125T</v>
      </c>
      <c r="B481" s="133" t="s">
        <v>6522</v>
      </c>
      <c r="C481" s="133" t="s">
        <v>6523</v>
      </c>
      <c r="D481" s="441" t="s">
        <v>5503</v>
      </c>
      <c r="E481" s="133"/>
      <c r="F481" s="134">
        <v>0.26300000000000001</v>
      </c>
      <c r="G481" s="134">
        <v>0.22600000000000001</v>
      </c>
      <c r="H481" s="135">
        <v>2017</v>
      </c>
      <c r="I481" s="133" t="s">
        <v>5657</v>
      </c>
    </row>
    <row r="482" spans="1:9" ht="18.75" thickBot="1" x14ac:dyDescent="0.3">
      <c r="A482" t="str">
        <f t="shared" si="7"/>
        <v>147796Y</v>
      </c>
      <c r="B482" s="133" t="s">
        <v>6524</v>
      </c>
      <c r="C482" s="133" t="s">
        <v>6525</v>
      </c>
      <c r="D482" s="441" t="s">
        <v>5504</v>
      </c>
      <c r="E482" s="133"/>
      <c r="F482" s="134">
        <v>9.6000000000000002E-2</v>
      </c>
      <c r="G482" s="134">
        <v>8.2000000000000003E-2</v>
      </c>
      <c r="H482" s="135">
        <v>2024</v>
      </c>
      <c r="I482" s="133" t="s">
        <v>5678</v>
      </c>
    </row>
    <row r="483" spans="1:9" ht="18.75" thickBot="1" x14ac:dyDescent="0.3">
      <c r="A483" t="str">
        <f t="shared" si="7"/>
        <v>132698U</v>
      </c>
      <c r="B483" s="133" t="s">
        <v>6526</v>
      </c>
      <c r="C483" s="133" t="s">
        <v>6527</v>
      </c>
      <c r="D483" s="441" t="s">
        <v>26</v>
      </c>
      <c r="E483" s="133"/>
      <c r="F483" s="134">
        <v>0.42899999999999999</v>
      </c>
      <c r="G483" s="134">
        <v>0.36899999999999999</v>
      </c>
      <c r="H483" s="135">
        <v>2024</v>
      </c>
      <c r="I483" s="133" t="s">
        <v>5573</v>
      </c>
    </row>
    <row r="484" spans="1:9" ht="18.75" thickBot="1" x14ac:dyDescent="0.3">
      <c r="A484" t="str">
        <f t="shared" si="7"/>
        <v>143826U</v>
      </c>
      <c r="B484" s="133" t="s">
        <v>6528</v>
      </c>
      <c r="C484" s="133" t="s">
        <v>6529</v>
      </c>
      <c r="D484" s="441" t="s">
        <v>5503</v>
      </c>
      <c r="E484" s="133"/>
      <c r="F484" s="134">
        <v>0.28799999999999998</v>
      </c>
      <c r="G484" s="134">
        <v>0.248</v>
      </c>
      <c r="H484" s="135">
        <v>2024</v>
      </c>
      <c r="I484" s="133" t="s">
        <v>5559</v>
      </c>
    </row>
    <row r="485" spans="1:9" ht="18.75" thickBot="1" x14ac:dyDescent="0.3">
      <c r="A485" t="str">
        <f t="shared" si="7"/>
        <v>148632G</v>
      </c>
      <c r="B485" s="133" t="s">
        <v>6530</v>
      </c>
      <c r="C485" s="133" t="s">
        <v>6531</v>
      </c>
      <c r="D485" s="441" t="s">
        <v>25</v>
      </c>
      <c r="E485" s="133"/>
      <c r="F485" s="134" t="s">
        <v>5552</v>
      </c>
      <c r="G485" s="134">
        <v>0.46600000000000003</v>
      </c>
      <c r="H485" s="135">
        <v>2018</v>
      </c>
      <c r="I485" s="133" t="s">
        <v>5587</v>
      </c>
    </row>
    <row r="486" spans="1:9" ht="18.75" thickBot="1" x14ac:dyDescent="0.3">
      <c r="A486" t="str">
        <f t="shared" si="7"/>
        <v>013649Z</v>
      </c>
      <c r="B486" s="133" t="s">
        <v>6532</v>
      </c>
      <c r="C486" s="133" t="s">
        <v>6533</v>
      </c>
      <c r="D486" s="441" t="s">
        <v>5504</v>
      </c>
      <c r="E486" s="133"/>
      <c r="F486" s="134">
        <v>0.24399999999999999</v>
      </c>
      <c r="G486" s="134">
        <v>0.21</v>
      </c>
      <c r="H486" s="135">
        <v>2008</v>
      </c>
      <c r="I486" s="133" t="s">
        <v>5671</v>
      </c>
    </row>
    <row r="487" spans="1:9" ht="18.75" thickBot="1" x14ac:dyDescent="0.3">
      <c r="A487" t="str">
        <f t="shared" si="7"/>
        <v>152174G</v>
      </c>
      <c r="B487" s="133" t="s">
        <v>6534</v>
      </c>
      <c r="C487" s="133" t="s">
        <v>6535</v>
      </c>
      <c r="D487" s="441" t="s">
        <v>5503</v>
      </c>
      <c r="E487" s="133"/>
      <c r="F487" s="134">
        <v>0.35099999999999998</v>
      </c>
      <c r="G487" s="134">
        <v>0.30199999999999999</v>
      </c>
      <c r="H487" s="135">
        <v>2019</v>
      </c>
      <c r="I487" s="133" t="s">
        <v>5563</v>
      </c>
    </row>
    <row r="488" spans="1:9" ht="18.75" thickBot="1" x14ac:dyDescent="0.3">
      <c r="A488" t="str">
        <f t="shared" si="7"/>
        <v>013654E</v>
      </c>
      <c r="B488" s="133" t="s">
        <v>6536</v>
      </c>
      <c r="C488" s="133" t="s">
        <v>6537</v>
      </c>
      <c r="D488" s="441" t="s">
        <v>5504</v>
      </c>
      <c r="E488" s="133"/>
      <c r="F488" s="134">
        <v>0.218</v>
      </c>
      <c r="G488" s="134">
        <v>0.188</v>
      </c>
      <c r="H488" s="135">
        <v>2022</v>
      </c>
      <c r="I488" s="133" t="s">
        <v>5744</v>
      </c>
    </row>
    <row r="489" spans="1:9" ht="18.75" thickBot="1" x14ac:dyDescent="0.3">
      <c r="A489" t="str">
        <f t="shared" si="7"/>
        <v>127814Y</v>
      </c>
      <c r="B489" s="133" t="s">
        <v>6538</v>
      </c>
      <c r="C489" s="133" t="s">
        <v>6539</v>
      </c>
      <c r="D489" s="441" t="s">
        <v>5503</v>
      </c>
      <c r="E489" s="133"/>
      <c r="F489" s="134">
        <v>0.27600000000000002</v>
      </c>
      <c r="G489" s="134">
        <v>0.23699999999999999</v>
      </c>
      <c r="H489" s="135">
        <v>2020</v>
      </c>
      <c r="I489" s="133" t="s">
        <v>5884</v>
      </c>
    </row>
    <row r="490" spans="1:9" ht="18.75" thickBot="1" x14ac:dyDescent="0.3">
      <c r="A490" t="str">
        <f t="shared" si="7"/>
        <v>129274C</v>
      </c>
      <c r="B490" s="133" t="s">
        <v>6540</v>
      </c>
      <c r="C490" s="133" t="s">
        <v>6541</v>
      </c>
      <c r="D490" s="441" t="s">
        <v>5503</v>
      </c>
      <c r="E490" s="133"/>
      <c r="F490" s="134">
        <v>0.307</v>
      </c>
      <c r="G490" s="134">
        <v>0.26400000000000001</v>
      </c>
      <c r="H490" s="135">
        <v>2014</v>
      </c>
      <c r="I490" s="133" t="s">
        <v>5594</v>
      </c>
    </row>
    <row r="491" spans="1:9" ht="18.75" thickBot="1" x14ac:dyDescent="0.3">
      <c r="A491" t="str">
        <f t="shared" si="7"/>
        <v>013657H</v>
      </c>
      <c r="B491" s="133" t="s">
        <v>6542</v>
      </c>
      <c r="C491" s="133" t="s">
        <v>6543</v>
      </c>
      <c r="D491" s="441" t="s">
        <v>26</v>
      </c>
      <c r="E491" s="133"/>
      <c r="F491" s="134">
        <v>0.40799999999999997</v>
      </c>
      <c r="G491" s="134">
        <v>0.35099999999999998</v>
      </c>
      <c r="H491" s="135">
        <v>2008</v>
      </c>
      <c r="I491" s="133" t="s">
        <v>5678</v>
      </c>
    </row>
    <row r="492" spans="1:9" ht="18.75" thickBot="1" x14ac:dyDescent="0.3">
      <c r="A492" t="str">
        <f t="shared" si="7"/>
        <v>132702Y</v>
      </c>
      <c r="B492" s="133" t="s">
        <v>6544</v>
      </c>
      <c r="C492" s="133" t="s">
        <v>6545</v>
      </c>
      <c r="D492" s="441" t="s">
        <v>5504</v>
      </c>
      <c r="E492" s="133"/>
      <c r="F492" s="134">
        <v>0.217</v>
      </c>
      <c r="G492" s="134">
        <v>0.186</v>
      </c>
      <c r="H492" s="135">
        <v>2012</v>
      </c>
      <c r="I492" s="133" t="s">
        <v>5744</v>
      </c>
    </row>
    <row r="493" spans="1:9" ht="18.75" thickBot="1" x14ac:dyDescent="0.3">
      <c r="A493" t="str">
        <f t="shared" si="7"/>
        <v>013662M</v>
      </c>
      <c r="B493" s="133" t="s">
        <v>6546</v>
      </c>
      <c r="C493" s="133" t="s">
        <v>6547</v>
      </c>
      <c r="D493" s="441" t="s">
        <v>25</v>
      </c>
      <c r="E493" s="133"/>
      <c r="F493" s="134" t="s">
        <v>5552</v>
      </c>
      <c r="G493" s="134">
        <v>0.56200000000000006</v>
      </c>
      <c r="H493" s="135">
        <v>2024</v>
      </c>
      <c r="I493" s="133" t="s">
        <v>5639</v>
      </c>
    </row>
    <row r="494" spans="1:9" ht="18.75" thickBot="1" x14ac:dyDescent="0.3">
      <c r="A494" t="str">
        <f t="shared" si="7"/>
        <v>123884U</v>
      </c>
      <c r="B494" s="133" t="s">
        <v>6548</v>
      </c>
      <c r="C494" s="133" t="s">
        <v>6549</v>
      </c>
      <c r="D494" s="441" t="s">
        <v>5503</v>
      </c>
      <c r="E494" s="133"/>
      <c r="F494" s="134">
        <v>0.28199999999999997</v>
      </c>
      <c r="G494" s="134">
        <v>0.24199999999999999</v>
      </c>
      <c r="H494" s="135">
        <v>2024</v>
      </c>
      <c r="I494" s="133" t="s">
        <v>5566</v>
      </c>
    </row>
    <row r="495" spans="1:9" ht="18.75" thickBot="1" x14ac:dyDescent="0.3">
      <c r="A495" t="str">
        <f t="shared" si="7"/>
        <v>161378L</v>
      </c>
      <c r="B495" s="133" t="s">
        <v>6550</v>
      </c>
      <c r="C495" s="133" t="s">
        <v>6551</v>
      </c>
      <c r="D495" s="441" t="s">
        <v>5503</v>
      </c>
      <c r="E495" s="133"/>
      <c r="F495" s="134">
        <v>0.26400000000000001</v>
      </c>
      <c r="G495" s="134">
        <v>0.22700000000000001</v>
      </c>
      <c r="H495" s="135">
        <v>2019</v>
      </c>
      <c r="I495" s="133" t="s">
        <v>5646</v>
      </c>
    </row>
    <row r="496" spans="1:9" ht="18.75" thickBot="1" x14ac:dyDescent="0.3">
      <c r="A496" t="str">
        <f t="shared" si="7"/>
        <v>129560C</v>
      </c>
      <c r="B496" s="133" t="s">
        <v>6552</v>
      </c>
      <c r="C496" s="133" t="s">
        <v>6553</v>
      </c>
      <c r="D496" s="441" t="s">
        <v>5503</v>
      </c>
      <c r="E496" s="133"/>
      <c r="F496" s="134">
        <v>0.25900000000000001</v>
      </c>
      <c r="G496" s="134">
        <v>0.223</v>
      </c>
      <c r="H496" s="135">
        <v>2008</v>
      </c>
      <c r="I496" s="133" t="s">
        <v>6554</v>
      </c>
    </row>
    <row r="497" spans="1:9" ht="18.75" thickBot="1" x14ac:dyDescent="0.3">
      <c r="A497" t="str">
        <f t="shared" si="7"/>
        <v>133266Q</v>
      </c>
      <c r="B497" s="133" t="s">
        <v>6555</v>
      </c>
      <c r="C497" s="133" t="s">
        <v>6556</v>
      </c>
      <c r="D497" s="441" t="s">
        <v>5503</v>
      </c>
      <c r="E497" s="133"/>
      <c r="F497" s="134">
        <v>0.253</v>
      </c>
      <c r="G497" s="134">
        <v>0.218</v>
      </c>
      <c r="H497" s="135">
        <v>2009</v>
      </c>
      <c r="I497" s="133" t="s">
        <v>5726</v>
      </c>
    </row>
    <row r="498" spans="1:9" ht="18.75" thickBot="1" x14ac:dyDescent="0.3">
      <c r="A498" t="str">
        <f t="shared" si="7"/>
        <v>131368Q</v>
      </c>
      <c r="B498" s="133" t="s">
        <v>6557</v>
      </c>
      <c r="C498" s="133" t="s">
        <v>6558</v>
      </c>
      <c r="D498" s="441" t="s">
        <v>5503</v>
      </c>
      <c r="E498" s="133"/>
      <c r="F498" s="134">
        <v>0.22500000000000001</v>
      </c>
      <c r="G498" s="134">
        <v>0.193</v>
      </c>
      <c r="H498" s="135">
        <v>2024</v>
      </c>
      <c r="I498" s="133" t="s">
        <v>5726</v>
      </c>
    </row>
    <row r="499" spans="1:9" ht="18.75" thickBot="1" x14ac:dyDescent="0.3">
      <c r="A499" t="str">
        <f t="shared" si="7"/>
        <v>140066E</v>
      </c>
      <c r="B499" s="133" t="s">
        <v>6559</v>
      </c>
      <c r="C499" s="133" t="s">
        <v>6560</v>
      </c>
      <c r="D499" s="441" t="s">
        <v>26</v>
      </c>
      <c r="E499" s="133"/>
      <c r="F499" s="134">
        <v>0.38400000000000001</v>
      </c>
      <c r="G499" s="134">
        <v>0.33</v>
      </c>
      <c r="H499" s="135">
        <v>2014</v>
      </c>
      <c r="I499" s="133" t="s">
        <v>5635</v>
      </c>
    </row>
    <row r="500" spans="1:9" ht="18.75" thickBot="1" x14ac:dyDescent="0.3">
      <c r="A500" t="str">
        <f t="shared" si="7"/>
        <v>118721F</v>
      </c>
      <c r="B500" s="133" t="s">
        <v>6561</v>
      </c>
      <c r="C500" s="133" t="s">
        <v>6562</v>
      </c>
      <c r="D500" s="441" t="s">
        <v>5503</v>
      </c>
      <c r="E500" s="133"/>
      <c r="F500" s="134">
        <v>0.28899999999999998</v>
      </c>
      <c r="G500" s="134">
        <v>0.248</v>
      </c>
      <c r="H500" s="135">
        <v>2008</v>
      </c>
      <c r="I500" s="133" t="s">
        <v>5587</v>
      </c>
    </row>
    <row r="501" spans="1:9" ht="18.75" thickBot="1" x14ac:dyDescent="0.3">
      <c r="A501" t="str">
        <f t="shared" si="7"/>
        <v>013695T</v>
      </c>
      <c r="B501" s="133" t="s">
        <v>6563</v>
      </c>
      <c r="C501" s="133" t="s">
        <v>6564</v>
      </c>
      <c r="D501" s="441" t="s">
        <v>5503</v>
      </c>
      <c r="E501" s="133"/>
      <c r="F501" s="134">
        <v>0.27100000000000002</v>
      </c>
      <c r="G501" s="134">
        <v>0.23300000000000001</v>
      </c>
      <c r="H501" s="135">
        <v>2020</v>
      </c>
      <c r="I501" s="133" t="s">
        <v>5625</v>
      </c>
    </row>
    <row r="502" spans="1:9" ht="18.75" thickBot="1" x14ac:dyDescent="0.3">
      <c r="A502" t="str">
        <f t="shared" si="7"/>
        <v>177059F</v>
      </c>
      <c r="B502" s="133" t="s">
        <v>6565</v>
      </c>
      <c r="C502" s="133" t="s">
        <v>8567</v>
      </c>
      <c r="D502" s="441" t="s">
        <v>26</v>
      </c>
      <c r="E502" s="133"/>
      <c r="F502" s="134">
        <v>0.41199999999999998</v>
      </c>
      <c r="G502" s="134">
        <v>0.35399999999999998</v>
      </c>
      <c r="H502" s="135">
        <v>2023</v>
      </c>
      <c r="I502" s="133" t="s">
        <v>5625</v>
      </c>
    </row>
    <row r="503" spans="1:9" ht="18.75" thickBot="1" x14ac:dyDescent="0.3">
      <c r="A503" t="str">
        <f t="shared" si="7"/>
        <v>013696U</v>
      </c>
      <c r="B503" s="133" t="s">
        <v>6566</v>
      </c>
      <c r="C503" s="133" t="s">
        <v>6567</v>
      </c>
      <c r="D503" s="441" t="s">
        <v>25</v>
      </c>
      <c r="E503" s="133"/>
      <c r="F503" s="134" t="s">
        <v>5552</v>
      </c>
      <c r="G503" s="134">
        <v>0.55100000000000005</v>
      </c>
      <c r="H503" s="135">
        <v>2008</v>
      </c>
      <c r="I503" s="133" t="s">
        <v>6568</v>
      </c>
    </row>
    <row r="504" spans="1:9" ht="18.75" thickBot="1" x14ac:dyDescent="0.3">
      <c r="A504" t="str">
        <f t="shared" si="7"/>
        <v>013698W</v>
      </c>
      <c r="B504" s="133" t="s">
        <v>6569</v>
      </c>
      <c r="C504" s="133" t="s">
        <v>6570</v>
      </c>
      <c r="D504" s="441" t="s">
        <v>26</v>
      </c>
      <c r="E504" s="133"/>
      <c r="F504" s="134">
        <v>0.32800000000000001</v>
      </c>
      <c r="G504" s="134">
        <v>0.28199999999999997</v>
      </c>
      <c r="H504" s="135">
        <v>2022</v>
      </c>
      <c r="I504" s="133" t="s">
        <v>6081</v>
      </c>
    </row>
    <row r="505" spans="1:9" ht="18.75" thickBot="1" x14ac:dyDescent="0.3">
      <c r="A505" t="str">
        <f t="shared" si="7"/>
        <v>152971Y</v>
      </c>
      <c r="B505" s="133" t="s">
        <v>6571</v>
      </c>
      <c r="C505" s="133" t="s">
        <v>6572</v>
      </c>
      <c r="D505" s="441" t="s">
        <v>5503</v>
      </c>
      <c r="E505" s="133"/>
      <c r="F505" s="134">
        <v>0.33700000000000002</v>
      </c>
      <c r="G505" s="134">
        <v>0.28899999999999998</v>
      </c>
      <c r="H505" s="135">
        <v>2023</v>
      </c>
      <c r="I505" s="133" t="s">
        <v>5630</v>
      </c>
    </row>
    <row r="506" spans="1:9" ht="18.75" thickBot="1" x14ac:dyDescent="0.3">
      <c r="A506" t="str">
        <f t="shared" si="7"/>
        <v>013711J</v>
      </c>
      <c r="B506" s="133" t="s">
        <v>6573</v>
      </c>
      <c r="C506" s="133" t="s">
        <v>6574</v>
      </c>
      <c r="D506" s="441" t="s">
        <v>26</v>
      </c>
      <c r="E506" s="133"/>
      <c r="F506" s="134">
        <v>0.36099999999999999</v>
      </c>
      <c r="G506" s="134">
        <v>0.311</v>
      </c>
      <c r="H506" s="135">
        <v>2024</v>
      </c>
      <c r="I506" s="133" t="s">
        <v>5556</v>
      </c>
    </row>
    <row r="507" spans="1:9" ht="18.75" thickBot="1" x14ac:dyDescent="0.3">
      <c r="A507" t="str">
        <f t="shared" si="7"/>
        <v>142516K</v>
      </c>
      <c r="B507" s="133" t="s">
        <v>6575</v>
      </c>
      <c r="C507" s="133" t="s">
        <v>6576</v>
      </c>
      <c r="D507" s="441" t="s">
        <v>5504</v>
      </c>
      <c r="E507" s="133"/>
      <c r="F507" s="134">
        <v>0.161</v>
      </c>
      <c r="G507" s="134">
        <v>0.13900000000000001</v>
      </c>
      <c r="H507" s="135">
        <v>2013</v>
      </c>
      <c r="I507" s="133" t="s">
        <v>5553</v>
      </c>
    </row>
    <row r="508" spans="1:9" ht="18.75" thickBot="1" x14ac:dyDescent="0.3">
      <c r="A508" t="str">
        <f t="shared" si="7"/>
        <v>013714M</v>
      </c>
      <c r="B508" s="133" t="s">
        <v>6577</v>
      </c>
      <c r="C508" s="133" t="s">
        <v>6578</v>
      </c>
      <c r="D508" s="441" t="s">
        <v>5503</v>
      </c>
      <c r="E508" s="133"/>
      <c r="F508" s="134">
        <v>0.26800000000000002</v>
      </c>
      <c r="G508" s="134">
        <v>0.23</v>
      </c>
      <c r="H508" s="135">
        <v>2011</v>
      </c>
      <c r="I508" s="133" t="s">
        <v>5582</v>
      </c>
    </row>
    <row r="509" spans="1:9" ht="18.75" thickBot="1" x14ac:dyDescent="0.3">
      <c r="A509" t="str">
        <f t="shared" si="7"/>
        <v>169536D</v>
      </c>
      <c r="B509" s="133" t="s">
        <v>6579</v>
      </c>
      <c r="C509" s="133" t="s">
        <v>6580</v>
      </c>
      <c r="D509" s="441" t="s">
        <v>5503</v>
      </c>
      <c r="E509" s="133"/>
      <c r="F509" s="134">
        <v>0.34100000000000003</v>
      </c>
      <c r="G509" s="134">
        <v>0.29299999999999998</v>
      </c>
      <c r="H509" s="135">
        <v>2024</v>
      </c>
      <c r="I509" s="133" t="s">
        <v>5559</v>
      </c>
    </row>
    <row r="510" spans="1:9" ht="18.75" thickBot="1" x14ac:dyDescent="0.3">
      <c r="A510" t="str">
        <f t="shared" si="7"/>
        <v>013725X</v>
      </c>
      <c r="B510" s="133" t="s">
        <v>6581</v>
      </c>
      <c r="C510" s="133" t="s">
        <v>6582</v>
      </c>
      <c r="D510" s="441" t="s">
        <v>26</v>
      </c>
      <c r="E510" s="133"/>
      <c r="F510" s="134">
        <v>0.41399999999999998</v>
      </c>
      <c r="G510" s="134">
        <v>0.35599999999999998</v>
      </c>
      <c r="H510" s="135">
        <v>2018</v>
      </c>
      <c r="I510" s="133" t="s">
        <v>5594</v>
      </c>
    </row>
    <row r="511" spans="1:9" ht="18.75" thickBot="1" x14ac:dyDescent="0.3">
      <c r="A511" t="str">
        <f t="shared" si="7"/>
        <v>124642Y</v>
      </c>
      <c r="B511" s="133" t="s">
        <v>6583</v>
      </c>
      <c r="C511" s="133" t="s">
        <v>6584</v>
      </c>
      <c r="D511" s="441" t="s">
        <v>25</v>
      </c>
      <c r="E511" s="133"/>
      <c r="F511" s="134" t="s">
        <v>5552</v>
      </c>
      <c r="G511" s="134">
        <v>0.59699999999999998</v>
      </c>
      <c r="H511" s="135">
        <v>2018</v>
      </c>
      <c r="I511" s="133" t="s">
        <v>5559</v>
      </c>
    </row>
    <row r="512" spans="1:9" ht="18.75" thickBot="1" x14ac:dyDescent="0.3">
      <c r="A512" t="str">
        <f t="shared" si="7"/>
        <v>134793J</v>
      </c>
      <c r="B512" s="133" t="s">
        <v>6585</v>
      </c>
      <c r="C512" s="133" t="s">
        <v>6586</v>
      </c>
      <c r="D512" s="441" t="s">
        <v>5504</v>
      </c>
      <c r="E512" s="133"/>
      <c r="F512" s="134">
        <v>0.16300000000000001</v>
      </c>
      <c r="G512" s="134">
        <v>0.14000000000000001</v>
      </c>
      <c r="H512" s="135">
        <v>2015</v>
      </c>
      <c r="I512" s="133" t="s">
        <v>5895</v>
      </c>
    </row>
    <row r="513" spans="1:9" ht="18.75" thickBot="1" x14ac:dyDescent="0.3">
      <c r="A513" t="str">
        <f t="shared" si="7"/>
        <v>153594A</v>
      </c>
      <c r="B513" s="133" t="s">
        <v>6587</v>
      </c>
      <c r="C513" s="133" t="s">
        <v>6588</v>
      </c>
      <c r="D513" s="441" t="s">
        <v>5504</v>
      </c>
      <c r="E513" s="133"/>
      <c r="F513" s="134">
        <v>0.16700000000000001</v>
      </c>
      <c r="G513" s="134">
        <v>0.14399999999999999</v>
      </c>
      <c r="H513" s="135">
        <v>2023</v>
      </c>
      <c r="I513" s="133" t="s">
        <v>5726</v>
      </c>
    </row>
    <row r="514" spans="1:9" ht="18.75" thickBot="1" x14ac:dyDescent="0.3">
      <c r="A514" t="str">
        <f t="shared" si="7"/>
        <v>134983R</v>
      </c>
      <c r="B514" s="133" t="s">
        <v>6589</v>
      </c>
      <c r="C514" s="133" t="s">
        <v>6590</v>
      </c>
      <c r="D514" s="441" t="s">
        <v>26</v>
      </c>
      <c r="E514" s="133"/>
      <c r="F514" s="134">
        <v>0.313</v>
      </c>
      <c r="G514" s="134">
        <v>0.26900000000000002</v>
      </c>
      <c r="H514" s="135">
        <v>2013</v>
      </c>
      <c r="I514" s="133" t="s">
        <v>5563</v>
      </c>
    </row>
    <row r="515" spans="1:9" ht="18.75" thickBot="1" x14ac:dyDescent="0.3">
      <c r="A515" t="str">
        <f t="shared" ref="A515:A578" si="8">SUBSTITUTE(B515,CHAR(32),"")</f>
        <v>104179X</v>
      </c>
      <c r="B515" s="133" t="s">
        <v>6591</v>
      </c>
      <c r="C515" s="133" t="s">
        <v>6592</v>
      </c>
      <c r="D515" s="441" t="s">
        <v>26</v>
      </c>
      <c r="E515" s="133"/>
      <c r="F515" s="134">
        <v>0.40100000000000002</v>
      </c>
      <c r="G515" s="134">
        <v>0.34499999999999997</v>
      </c>
      <c r="H515" s="135">
        <v>2017</v>
      </c>
      <c r="I515" s="133" t="s">
        <v>5556</v>
      </c>
    </row>
    <row r="516" spans="1:9" ht="18.75" thickBot="1" x14ac:dyDescent="0.3">
      <c r="A516" t="str">
        <f t="shared" si="8"/>
        <v>013738K</v>
      </c>
      <c r="B516" s="133" t="s">
        <v>6593</v>
      </c>
      <c r="C516" s="133" t="s">
        <v>6594</v>
      </c>
      <c r="D516" s="441" t="s">
        <v>26</v>
      </c>
      <c r="E516" s="133"/>
      <c r="F516" s="134">
        <v>0.43099999999999999</v>
      </c>
      <c r="G516" s="134">
        <v>0.37</v>
      </c>
      <c r="H516" s="135">
        <v>2024</v>
      </c>
      <c r="I516" s="133" t="s">
        <v>5582</v>
      </c>
    </row>
    <row r="517" spans="1:9" ht="18.75" thickBot="1" x14ac:dyDescent="0.3">
      <c r="A517" t="str">
        <f t="shared" si="8"/>
        <v>013743P</v>
      </c>
      <c r="B517" s="133" t="s">
        <v>6595</v>
      </c>
      <c r="C517" s="133" t="s">
        <v>6596</v>
      </c>
      <c r="D517" s="441" t="s">
        <v>24</v>
      </c>
      <c r="E517" s="133"/>
      <c r="F517" s="134" t="s">
        <v>5552</v>
      </c>
      <c r="G517" s="134">
        <v>0.751</v>
      </c>
      <c r="H517" s="135">
        <v>2024</v>
      </c>
      <c r="I517" s="133" t="s">
        <v>5678</v>
      </c>
    </row>
    <row r="518" spans="1:9" ht="18.75" thickBot="1" x14ac:dyDescent="0.3">
      <c r="A518" t="str">
        <f t="shared" si="8"/>
        <v>023198G</v>
      </c>
      <c r="B518" s="133" t="s">
        <v>6597</v>
      </c>
      <c r="C518" s="133" t="s">
        <v>6598</v>
      </c>
      <c r="D518" s="441" t="s">
        <v>26</v>
      </c>
      <c r="E518" s="133"/>
      <c r="F518" s="134">
        <v>0.48299999999999998</v>
      </c>
      <c r="G518" s="134">
        <v>0.41499999999999998</v>
      </c>
      <c r="H518" s="135">
        <v>2024</v>
      </c>
      <c r="I518" s="133" t="s">
        <v>5651</v>
      </c>
    </row>
    <row r="519" spans="1:9" ht="18.75" thickBot="1" x14ac:dyDescent="0.3">
      <c r="A519" t="str">
        <f t="shared" si="8"/>
        <v>013749V</v>
      </c>
      <c r="B519" s="133" t="s">
        <v>6599</v>
      </c>
      <c r="C519" s="133" t="s">
        <v>6600</v>
      </c>
      <c r="D519" s="441" t="s">
        <v>25</v>
      </c>
      <c r="E519" s="133"/>
      <c r="F519" s="134" t="s">
        <v>5552</v>
      </c>
      <c r="G519" s="134">
        <v>0.47199999999999998</v>
      </c>
      <c r="H519" s="135">
        <v>2024</v>
      </c>
      <c r="I519" s="133" t="s">
        <v>5639</v>
      </c>
    </row>
    <row r="520" spans="1:9" ht="18.75" thickBot="1" x14ac:dyDescent="0.3">
      <c r="A520" t="str">
        <f t="shared" si="8"/>
        <v>013752Y</v>
      </c>
      <c r="B520" s="133" t="s">
        <v>6601</v>
      </c>
      <c r="C520" s="133" t="s">
        <v>6602</v>
      </c>
      <c r="D520" s="441" t="s">
        <v>24</v>
      </c>
      <c r="E520" s="133"/>
      <c r="F520" s="134" t="s">
        <v>5552</v>
      </c>
      <c r="G520" s="134">
        <v>0.63400000000000001</v>
      </c>
      <c r="H520" s="135">
        <v>2008</v>
      </c>
      <c r="I520" s="133" t="s">
        <v>6603</v>
      </c>
    </row>
    <row r="521" spans="1:9" ht="18.75" thickBot="1" x14ac:dyDescent="0.3">
      <c r="A521" t="str">
        <f t="shared" si="8"/>
        <v>013753Z</v>
      </c>
      <c r="B521" s="133" t="s">
        <v>6604</v>
      </c>
      <c r="C521" s="133" t="s">
        <v>6605</v>
      </c>
      <c r="D521" s="441" t="s">
        <v>26</v>
      </c>
      <c r="E521" s="133"/>
      <c r="F521" s="134">
        <v>0.38500000000000001</v>
      </c>
      <c r="G521" s="134">
        <v>0.33100000000000002</v>
      </c>
      <c r="H521" s="135">
        <v>2024</v>
      </c>
      <c r="I521" s="133" t="s">
        <v>5601</v>
      </c>
    </row>
    <row r="522" spans="1:9" ht="18.75" thickBot="1" x14ac:dyDescent="0.3">
      <c r="A522" t="str">
        <f t="shared" si="8"/>
        <v>135957D</v>
      </c>
      <c r="B522" s="133" t="s">
        <v>6606</v>
      </c>
      <c r="C522" s="133" t="s">
        <v>6607</v>
      </c>
      <c r="D522" s="441" t="s">
        <v>5503</v>
      </c>
      <c r="E522" s="133"/>
      <c r="F522" s="134">
        <v>0.252</v>
      </c>
      <c r="G522" s="134">
        <v>0.217</v>
      </c>
      <c r="H522" s="135">
        <v>2014</v>
      </c>
      <c r="I522" s="133" t="s">
        <v>5566</v>
      </c>
    </row>
    <row r="523" spans="1:9" ht="18.75" thickBot="1" x14ac:dyDescent="0.3">
      <c r="A523" t="str">
        <f t="shared" si="8"/>
        <v>125422Y</v>
      </c>
      <c r="B523" s="133" t="s">
        <v>6608</v>
      </c>
      <c r="C523" s="133" t="s">
        <v>6609</v>
      </c>
      <c r="D523" s="441" t="s">
        <v>26</v>
      </c>
      <c r="E523" s="133"/>
      <c r="F523" s="134">
        <v>0.40200000000000002</v>
      </c>
      <c r="G523" s="134">
        <v>0.34599999999999997</v>
      </c>
      <c r="H523" s="135">
        <v>2023</v>
      </c>
      <c r="I523" s="133" t="s">
        <v>5566</v>
      </c>
    </row>
    <row r="524" spans="1:9" ht="18.75" thickBot="1" x14ac:dyDescent="0.3">
      <c r="A524" t="str">
        <f t="shared" si="8"/>
        <v>129204K</v>
      </c>
      <c r="B524" s="133" t="s">
        <v>6610</v>
      </c>
      <c r="C524" s="133" t="s">
        <v>6611</v>
      </c>
      <c r="D524" s="441" t="s">
        <v>5503</v>
      </c>
      <c r="E524" s="133"/>
      <c r="F524" s="134">
        <v>0.3</v>
      </c>
      <c r="G524" s="134">
        <v>0.25800000000000001</v>
      </c>
      <c r="H524" s="135">
        <v>2013</v>
      </c>
      <c r="I524" s="133" t="s">
        <v>5566</v>
      </c>
    </row>
    <row r="525" spans="1:9" ht="18.75" thickBot="1" x14ac:dyDescent="0.3">
      <c r="A525" t="str">
        <f t="shared" si="8"/>
        <v>013758E</v>
      </c>
      <c r="B525" s="133" t="s">
        <v>6612</v>
      </c>
      <c r="C525" s="133" t="s">
        <v>6613</v>
      </c>
      <c r="D525" s="441" t="s">
        <v>25</v>
      </c>
      <c r="E525" s="133"/>
      <c r="F525" s="134" t="s">
        <v>5552</v>
      </c>
      <c r="G525" s="134">
        <v>0.38500000000000001</v>
      </c>
      <c r="H525" s="135">
        <v>2012</v>
      </c>
      <c r="I525" s="133" t="s">
        <v>5678</v>
      </c>
    </row>
    <row r="526" spans="1:9" ht="18.75" thickBot="1" x14ac:dyDescent="0.3">
      <c r="A526" t="str">
        <f t="shared" si="8"/>
        <v>149603M</v>
      </c>
      <c r="B526" s="133" t="s">
        <v>6614</v>
      </c>
      <c r="C526" s="133" t="s">
        <v>6615</v>
      </c>
      <c r="D526" s="441" t="s">
        <v>26</v>
      </c>
      <c r="E526" s="133"/>
      <c r="F526" s="134">
        <v>0.41399999999999998</v>
      </c>
      <c r="G526" s="134">
        <v>0.35599999999999998</v>
      </c>
      <c r="H526" s="135">
        <v>2019</v>
      </c>
      <c r="I526" s="133" t="s">
        <v>5563</v>
      </c>
    </row>
    <row r="527" spans="1:9" ht="18.75" thickBot="1" x14ac:dyDescent="0.3">
      <c r="A527" t="str">
        <f t="shared" si="8"/>
        <v>183469Y</v>
      </c>
      <c r="B527" s="133" t="s">
        <v>8611</v>
      </c>
      <c r="C527" s="133" t="s">
        <v>8612</v>
      </c>
      <c r="D527" s="441" t="s">
        <v>5562</v>
      </c>
      <c r="E527" s="133"/>
      <c r="F527" s="134">
        <v>0.435</v>
      </c>
      <c r="G527" s="134">
        <v>0.374</v>
      </c>
      <c r="H527" s="135">
        <v>2024</v>
      </c>
      <c r="I527" s="133" t="s">
        <v>5563</v>
      </c>
    </row>
    <row r="528" spans="1:9" ht="18.75" thickBot="1" x14ac:dyDescent="0.3">
      <c r="A528" t="str">
        <f t="shared" si="8"/>
        <v>117671V</v>
      </c>
      <c r="B528" s="133" t="s">
        <v>6616</v>
      </c>
      <c r="C528" s="133" t="s">
        <v>6617</v>
      </c>
      <c r="D528" s="441" t="s">
        <v>25</v>
      </c>
      <c r="E528" s="133"/>
      <c r="F528" s="134" t="s">
        <v>5552</v>
      </c>
      <c r="G528" s="134">
        <v>0.47299999999999998</v>
      </c>
      <c r="H528" s="135">
        <v>2014</v>
      </c>
      <c r="I528" s="133" t="s">
        <v>5801</v>
      </c>
    </row>
    <row r="529" spans="1:9" ht="18.75" thickBot="1" x14ac:dyDescent="0.3">
      <c r="A529" t="str">
        <f t="shared" si="8"/>
        <v>123853P</v>
      </c>
      <c r="B529" s="133" t="s">
        <v>6618</v>
      </c>
      <c r="C529" s="133" t="s">
        <v>6619</v>
      </c>
      <c r="D529" s="441" t="s">
        <v>24</v>
      </c>
      <c r="E529" s="133"/>
      <c r="F529" s="134" t="s">
        <v>5552</v>
      </c>
      <c r="G529" s="134">
        <v>0.76600000000000001</v>
      </c>
      <c r="H529" s="135">
        <v>2017</v>
      </c>
      <c r="I529" s="133" t="s">
        <v>5657</v>
      </c>
    </row>
    <row r="530" spans="1:9" ht="18.75" thickBot="1" x14ac:dyDescent="0.3">
      <c r="A530" t="str">
        <f t="shared" si="8"/>
        <v>013780A</v>
      </c>
      <c r="B530" s="133" t="s">
        <v>6620</v>
      </c>
      <c r="C530" s="133" t="s">
        <v>6621</v>
      </c>
      <c r="D530" s="441" t="s">
        <v>26</v>
      </c>
      <c r="E530" s="133"/>
      <c r="F530" s="134">
        <v>0.41499999999999998</v>
      </c>
      <c r="G530" s="134">
        <v>0.35699999999999998</v>
      </c>
      <c r="H530" s="135">
        <v>2024</v>
      </c>
      <c r="I530" s="133" t="s">
        <v>5556</v>
      </c>
    </row>
    <row r="531" spans="1:9" ht="18.75" thickBot="1" x14ac:dyDescent="0.3">
      <c r="A531" t="str">
        <f t="shared" si="8"/>
        <v>013781B</v>
      </c>
      <c r="B531" s="133" t="s">
        <v>6622</v>
      </c>
      <c r="C531" s="133" t="s">
        <v>6623</v>
      </c>
      <c r="D531" s="441" t="s">
        <v>25</v>
      </c>
      <c r="E531" s="133"/>
      <c r="F531" s="134" t="s">
        <v>5552</v>
      </c>
      <c r="G531" s="134">
        <v>0.53900000000000003</v>
      </c>
      <c r="H531" s="135">
        <v>2024</v>
      </c>
      <c r="I531" s="133" t="s">
        <v>5566</v>
      </c>
    </row>
    <row r="532" spans="1:9" ht="18.75" thickBot="1" x14ac:dyDescent="0.3">
      <c r="A532" t="str">
        <f t="shared" si="8"/>
        <v>013786G</v>
      </c>
      <c r="B532" s="133" t="s">
        <v>6624</v>
      </c>
      <c r="C532" s="133" t="s">
        <v>6625</v>
      </c>
      <c r="D532" s="441" t="s">
        <v>5503</v>
      </c>
      <c r="E532" s="133"/>
      <c r="F532" s="134">
        <v>0.16400000000000001</v>
      </c>
      <c r="G532" s="134">
        <v>0.14099999999999999</v>
      </c>
      <c r="H532" s="135">
        <v>2013</v>
      </c>
      <c r="I532" s="133" t="s">
        <v>5912</v>
      </c>
    </row>
    <row r="533" spans="1:9" ht="18.75" thickBot="1" x14ac:dyDescent="0.3">
      <c r="A533" t="str">
        <f t="shared" si="8"/>
        <v>013789J</v>
      </c>
      <c r="B533" s="133" t="s">
        <v>6626</v>
      </c>
      <c r="C533" s="133" t="s">
        <v>6627</v>
      </c>
      <c r="D533" s="441" t="s">
        <v>5562</v>
      </c>
      <c r="E533" s="133"/>
      <c r="F533" s="134">
        <v>0.44800000000000001</v>
      </c>
      <c r="G533" s="134">
        <v>0.38500000000000001</v>
      </c>
      <c r="H533" s="135">
        <v>2024</v>
      </c>
      <c r="I533" s="133" t="s">
        <v>5598</v>
      </c>
    </row>
    <row r="534" spans="1:9" ht="18.75" thickBot="1" x14ac:dyDescent="0.3">
      <c r="A534" t="str">
        <f t="shared" si="8"/>
        <v>126988E</v>
      </c>
      <c r="B534" s="133" t="s">
        <v>6628</v>
      </c>
      <c r="C534" s="133" t="s">
        <v>6629</v>
      </c>
      <c r="D534" s="441" t="s">
        <v>5503</v>
      </c>
      <c r="E534" s="133"/>
      <c r="F534" s="134">
        <v>0.30599999999999999</v>
      </c>
      <c r="G534" s="134">
        <v>0.26300000000000001</v>
      </c>
      <c r="H534" s="135">
        <v>2024</v>
      </c>
      <c r="I534" s="133" t="s">
        <v>6081</v>
      </c>
    </row>
    <row r="535" spans="1:9" ht="18.75" thickBot="1" x14ac:dyDescent="0.3">
      <c r="A535" t="str">
        <f t="shared" si="8"/>
        <v>137837L</v>
      </c>
      <c r="B535" s="133" t="s">
        <v>6630</v>
      </c>
      <c r="C535" s="133" t="s">
        <v>6631</v>
      </c>
      <c r="D535" s="441" t="s">
        <v>26</v>
      </c>
      <c r="E535" s="133"/>
      <c r="F535" s="134">
        <v>0.48899999999999999</v>
      </c>
      <c r="G535" s="134">
        <v>0.42</v>
      </c>
      <c r="H535" s="135">
        <v>2024</v>
      </c>
      <c r="I535" s="133" t="s">
        <v>5563</v>
      </c>
    </row>
    <row r="536" spans="1:9" ht="18.75" thickBot="1" x14ac:dyDescent="0.3">
      <c r="A536" t="str">
        <f t="shared" si="8"/>
        <v>013796Q</v>
      </c>
      <c r="B536" s="133" t="s">
        <v>6632</v>
      </c>
      <c r="C536" s="133" t="s">
        <v>6633</v>
      </c>
      <c r="D536" s="441" t="s">
        <v>26</v>
      </c>
      <c r="E536" s="133"/>
      <c r="F536" s="134">
        <v>0.496</v>
      </c>
      <c r="G536" s="134">
        <v>0.42699999999999999</v>
      </c>
      <c r="H536" s="135">
        <v>2024</v>
      </c>
      <c r="I536" s="133" t="s">
        <v>5601</v>
      </c>
    </row>
    <row r="537" spans="1:9" ht="18.75" thickBot="1" x14ac:dyDescent="0.3">
      <c r="A537" t="str">
        <f t="shared" si="8"/>
        <v>157837M</v>
      </c>
      <c r="B537" s="133" t="s">
        <v>6634</v>
      </c>
      <c r="C537" s="133" t="s">
        <v>6635</v>
      </c>
      <c r="D537" s="441" t="s">
        <v>25</v>
      </c>
      <c r="E537" s="133"/>
      <c r="F537" s="134" t="s">
        <v>5552</v>
      </c>
      <c r="G537" s="134">
        <v>0.55900000000000005</v>
      </c>
      <c r="H537" s="135">
        <v>2024</v>
      </c>
      <c r="I537" s="133" t="s">
        <v>5553</v>
      </c>
    </row>
    <row r="538" spans="1:9" ht="18.75" thickBot="1" x14ac:dyDescent="0.3">
      <c r="A538" t="str">
        <f t="shared" si="8"/>
        <v>013811F</v>
      </c>
      <c r="B538" s="133" t="s">
        <v>6636</v>
      </c>
      <c r="C538" s="133" t="s">
        <v>6637</v>
      </c>
      <c r="D538" s="441" t="s">
        <v>6025</v>
      </c>
      <c r="E538" s="133"/>
      <c r="F538" s="134" t="s">
        <v>5552</v>
      </c>
      <c r="G538" s="134">
        <v>0.58399999999999996</v>
      </c>
      <c r="H538" s="135">
        <v>2024</v>
      </c>
      <c r="I538" s="133" t="s">
        <v>5563</v>
      </c>
    </row>
    <row r="539" spans="1:9" ht="18.75" thickBot="1" x14ac:dyDescent="0.3">
      <c r="A539" t="str">
        <f t="shared" si="8"/>
        <v>111704I</v>
      </c>
      <c r="B539" s="133" t="s">
        <v>6638</v>
      </c>
      <c r="C539" s="133" t="s">
        <v>6639</v>
      </c>
      <c r="D539" s="441" t="s">
        <v>5503</v>
      </c>
      <c r="E539" s="133"/>
      <c r="F539" s="134">
        <v>0.26400000000000001</v>
      </c>
      <c r="G539" s="134">
        <v>0.22700000000000001</v>
      </c>
      <c r="H539" s="135">
        <v>2024</v>
      </c>
      <c r="I539" s="133" t="s">
        <v>5744</v>
      </c>
    </row>
    <row r="540" spans="1:9" ht="18.75" thickBot="1" x14ac:dyDescent="0.3">
      <c r="A540" t="str">
        <f t="shared" si="8"/>
        <v>115245N</v>
      </c>
      <c r="B540" s="133" t="s">
        <v>6640</v>
      </c>
      <c r="C540" s="133" t="s">
        <v>6641</v>
      </c>
      <c r="D540" s="441" t="s">
        <v>24</v>
      </c>
      <c r="E540" s="133"/>
      <c r="F540" s="134" t="s">
        <v>5552</v>
      </c>
      <c r="G540" s="134">
        <v>0.64700000000000002</v>
      </c>
      <c r="H540" s="135">
        <v>2011</v>
      </c>
      <c r="I540" s="133" t="s">
        <v>5615</v>
      </c>
    </row>
    <row r="541" spans="1:9" ht="18.75" thickBot="1" x14ac:dyDescent="0.3">
      <c r="A541" t="str">
        <f t="shared" si="8"/>
        <v>126919N</v>
      </c>
      <c r="B541" s="133" t="s">
        <v>6642</v>
      </c>
      <c r="C541" s="133" t="s">
        <v>6643</v>
      </c>
      <c r="D541" s="441" t="s">
        <v>5503</v>
      </c>
      <c r="E541" s="133"/>
      <c r="F541" s="134">
        <v>0.33600000000000002</v>
      </c>
      <c r="G541" s="134">
        <v>0.28899999999999998</v>
      </c>
      <c r="H541" s="135">
        <v>2024</v>
      </c>
      <c r="I541" s="133" t="s">
        <v>5639</v>
      </c>
    </row>
    <row r="542" spans="1:9" ht="18.75" thickBot="1" x14ac:dyDescent="0.3">
      <c r="A542" t="str">
        <f t="shared" si="8"/>
        <v>132895J</v>
      </c>
      <c r="B542" s="133" t="s">
        <v>6644</v>
      </c>
      <c r="C542" s="133" t="s">
        <v>6645</v>
      </c>
      <c r="D542" s="441" t="s">
        <v>26</v>
      </c>
      <c r="E542" s="133"/>
      <c r="F542" s="134">
        <v>0.48699999999999999</v>
      </c>
      <c r="G542" s="134">
        <v>0.41899999999999998</v>
      </c>
      <c r="H542" s="135">
        <v>2018</v>
      </c>
      <c r="I542" s="133" t="s">
        <v>5559</v>
      </c>
    </row>
    <row r="543" spans="1:9" ht="18.75" thickBot="1" x14ac:dyDescent="0.3">
      <c r="A543" t="str">
        <f t="shared" si="8"/>
        <v>157316W</v>
      </c>
      <c r="B543" s="133" t="s">
        <v>6646</v>
      </c>
      <c r="C543" s="133" t="s">
        <v>6647</v>
      </c>
      <c r="D543" s="441" t="s">
        <v>5504</v>
      </c>
      <c r="E543" s="133"/>
      <c r="F543" s="134">
        <v>0.13</v>
      </c>
      <c r="G543" s="134">
        <v>0.112</v>
      </c>
      <c r="H543" s="135">
        <v>2019</v>
      </c>
      <c r="I543" s="133" t="s">
        <v>5705</v>
      </c>
    </row>
    <row r="544" spans="1:9" ht="18.75" thickBot="1" x14ac:dyDescent="0.3">
      <c r="A544" t="str">
        <f t="shared" si="8"/>
        <v>013813H</v>
      </c>
      <c r="B544" s="133" t="s">
        <v>6648</v>
      </c>
      <c r="C544" s="133" t="s">
        <v>6649</v>
      </c>
      <c r="D544" s="441" t="s">
        <v>26</v>
      </c>
      <c r="E544" s="133"/>
      <c r="F544" s="134">
        <v>0.39</v>
      </c>
      <c r="G544" s="134">
        <v>0.33600000000000002</v>
      </c>
      <c r="H544" s="135">
        <v>2014</v>
      </c>
      <c r="I544" s="133" t="s">
        <v>5853</v>
      </c>
    </row>
    <row r="545" spans="1:9" ht="18.75" thickBot="1" x14ac:dyDescent="0.3">
      <c r="A545" t="str">
        <f t="shared" si="8"/>
        <v>013814I</v>
      </c>
      <c r="B545" s="133" t="s">
        <v>6650</v>
      </c>
      <c r="C545" s="133" t="s">
        <v>6651</v>
      </c>
      <c r="D545" s="441" t="s">
        <v>5504</v>
      </c>
      <c r="E545" s="133"/>
      <c r="F545" s="134">
        <v>0.18</v>
      </c>
      <c r="G545" s="134">
        <v>0.154</v>
      </c>
      <c r="H545" s="135">
        <v>2015</v>
      </c>
      <c r="I545" s="133" t="s">
        <v>5646</v>
      </c>
    </row>
    <row r="546" spans="1:9" ht="18.75" thickBot="1" x14ac:dyDescent="0.3">
      <c r="A546" t="str">
        <f t="shared" si="8"/>
        <v>013823R</v>
      </c>
      <c r="B546" s="133" t="s">
        <v>6652</v>
      </c>
      <c r="C546" s="133" t="s">
        <v>6653</v>
      </c>
      <c r="D546" s="441" t="s">
        <v>25</v>
      </c>
      <c r="E546" s="133"/>
      <c r="F546" s="134" t="s">
        <v>5552</v>
      </c>
      <c r="G546" s="134">
        <v>0.56000000000000005</v>
      </c>
      <c r="H546" s="135">
        <v>2008</v>
      </c>
      <c r="I546" s="133" t="s">
        <v>5608</v>
      </c>
    </row>
    <row r="547" spans="1:9" ht="18.75" thickBot="1" x14ac:dyDescent="0.3">
      <c r="A547" t="str">
        <f t="shared" si="8"/>
        <v>013824S</v>
      </c>
      <c r="B547" s="133" t="s">
        <v>6654</v>
      </c>
      <c r="C547" s="133" t="s">
        <v>6655</v>
      </c>
      <c r="D547" s="441" t="s">
        <v>25</v>
      </c>
      <c r="E547" s="133"/>
      <c r="F547" s="134" t="s">
        <v>5552</v>
      </c>
      <c r="G547" s="134">
        <v>0.33900000000000002</v>
      </c>
      <c r="H547" s="135">
        <v>2017</v>
      </c>
      <c r="I547" s="133" t="s">
        <v>5566</v>
      </c>
    </row>
    <row r="548" spans="1:9" ht="18.75" thickBot="1" x14ac:dyDescent="0.3">
      <c r="A548" t="str">
        <f t="shared" si="8"/>
        <v>018914M</v>
      </c>
      <c r="B548" s="133" t="s">
        <v>6656</v>
      </c>
      <c r="C548" s="133" t="s">
        <v>6657</v>
      </c>
      <c r="D548" s="441" t="s">
        <v>25</v>
      </c>
      <c r="E548" s="133"/>
      <c r="F548" s="134" t="s">
        <v>5552</v>
      </c>
      <c r="G548" s="134">
        <v>0.54200000000000004</v>
      </c>
      <c r="H548" s="135">
        <v>2008</v>
      </c>
      <c r="I548" s="133" t="s">
        <v>5608</v>
      </c>
    </row>
    <row r="549" spans="1:9" ht="18.75" thickBot="1" x14ac:dyDescent="0.3">
      <c r="A549" t="str">
        <f t="shared" si="8"/>
        <v>147552H</v>
      </c>
      <c r="B549" s="133" t="s">
        <v>6658</v>
      </c>
      <c r="C549" s="133" t="s">
        <v>6659</v>
      </c>
      <c r="D549" s="441" t="s">
        <v>25</v>
      </c>
      <c r="E549" s="133"/>
      <c r="F549" s="134" t="s">
        <v>5552</v>
      </c>
      <c r="G549" s="134">
        <v>0.52600000000000002</v>
      </c>
      <c r="H549" s="135">
        <v>2017</v>
      </c>
      <c r="I549" s="133" t="s">
        <v>5701</v>
      </c>
    </row>
    <row r="550" spans="1:9" ht="18.75" thickBot="1" x14ac:dyDescent="0.3">
      <c r="A550" t="str">
        <f t="shared" si="8"/>
        <v>142514I</v>
      </c>
      <c r="B550" s="133" t="s">
        <v>6660</v>
      </c>
      <c r="C550" s="133" t="s">
        <v>6661</v>
      </c>
      <c r="D550" s="441" t="s">
        <v>5562</v>
      </c>
      <c r="E550" s="133"/>
      <c r="F550" s="134">
        <v>0.32800000000000001</v>
      </c>
      <c r="G550" s="134">
        <v>0.28199999999999997</v>
      </c>
      <c r="H550" s="135">
        <v>2024</v>
      </c>
      <c r="I550" s="133" t="s">
        <v>5553</v>
      </c>
    </row>
    <row r="551" spans="1:9" ht="18.75" thickBot="1" x14ac:dyDescent="0.3">
      <c r="A551" t="str">
        <f t="shared" si="8"/>
        <v>123463P</v>
      </c>
      <c r="B551" s="133" t="s">
        <v>6662</v>
      </c>
      <c r="C551" s="133" t="s">
        <v>6663</v>
      </c>
      <c r="D551" s="441" t="s">
        <v>25</v>
      </c>
      <c r="E551" s="133"/>
      <c r="F551" s="134" t="s">
        <v>5552</v>
      </c>
      <c r="G551" s="134">
        <v>0.31900000000000001</v>
      </c>
      <c r="H551" s="135">
        <v>2010</v>
      </c>
      <c r="I551" s="133" t="s">
        <v>5559</v>
      </c>
    </row>
    <row r="552" spans="1:9" ht="18.75" thickBot="1" x14ac:dyDescent="0.3">
      <c r="A552" t="str">
        <f t="shared" si="8"/>
        <v>123401F</v>
      </c>
      <c r="B552" s="133" t="s">
        <v>6664</v>
      </c>
      <c r="C552" s="133" t="s">
        <v>6665</v>
      </c>
      <c r="D552" s="441" t="s">
        <v>24</v>
      </c>
      <c r="E552" s="133"/>
      <c r="F552" s="134" t="s">
        <v>5552</v>
      </c>
      <c r="G552" s="134">
        <v>0.65100000000000002</v>
      </c>
      <c r="H552" s="135">
        <v>2014</v>
      </c>
      <c r="I552" s="133" t="s">
        <v>5678</v>
      </c>
    </row>
    <row r="553" spans="1:9" ht="18.75" thickBot="1" x14ac:dyDescent="0.3">
      <c r="A553" t="str">
        <f t="shared" si="8"/>
        <v>129573P</v>
      </c>
      <c r="B553" s="133" t="s">
        <v>6666</v>
      </c>
      <c r="C553" s="133" t="s">
        <v>6667</v>
      </c>
      <c r="D553" s="441" t="s">
        <v>5503</v>
      </c>
      <c r="E553" s="133"/>
      <c r="F553" s="134">
        <v>0.32700000000000001</v>
      </c>
      <c r="G553" s="134">
        <v>0.28100000000000003</v>
      </c>
      <c r="H553" s="135">
        <v>2017</v>
      </c>
      <c r="I553" s="133" t="s">
        <v>5744</v>
      </c>
    </row>
    <row r="554" spans="1:9" ht="18.75" thickBot="1" x14ac:dyDescent="0.3">
      <c r="A554" t="str">
        <f t="shared" si="8"/>
        <v>013836E</v>
      </c>
      <c r="B554" s="133" t="s">
        <v>6668</v>
      </c>
      <c r="C554" s="133" t="s">
        <v>6669</v>
      </c>
      <c r="D554" s="441" t="s">
        <v>25</v>
      </c>
      <c r="E554" s="133"/>
      <c r="F554" s="134" t="s">
        <v>5552</v>
      </c>
      <c r="G554" s="134">
        <v>0.53500000000000003</v>
      </c>
      <c r="H554" s="135">
        <v>2022</v>
      </c>
      <c r="I554" s="133" t="s">
        <v>5587</v>
      </c>
    </row>
    <row r="555" spans="1:9" ht="18.75" thickBot="1" x14ac:dyDescent="0.3">
      <c r="A555" t="str">
        <f t="shared" si="8"/>
        <v>013842K</v>
      </c>
      <c r="B555" s="133" t="s">
        <v>6670</v>
      </c>
      <c r="C555" s="133" t="s">
        <v>6671</v>
      </c>
      <c r="D555" s="441" t="s">
        <v>26</v>
      </c>
      <c r="E555" s="133"/>
      <c r="F555" s="134">
        <v>0.40699999999999997</v>
      </c>
      <c r="G555" s="134">
        <v>0.35</v>
      </c>
      <c r="H555" s="135">
        <v>2013</v>
      </c>
      <c r="I555" s="133" t="s">
        <v>5594</v>
      </c>
    </row>
    <row r="556" spans="1:9" ht="18.75" thickBot="1" x14ac:dyDescent="0.3">
      <c r="A556" t="str">
        <f t="shared" si="8"/>
        <v>100154C</v>
      </c>
      <c r="B556" s="133" t="s">
        <v>6672</v>
      </c>
      <c r="C556" s="133" t="s">
        <v>6673</v>
      </c>
      <c r="D556" s="441" t="s">
        <v>26</v>
      </c>
      <c r="E556" s="133"/>
      <c r="F556" s="134">
        <v>0.32600000000000001</v>
      </c>
      <c r="G556" s="134">
        <v>0.28100000000000003</v>
      </c>
      <c r="H556" s="135">
        <v>2019</v>
      </c>
      <c r="I556" s="133" t="s">
        <v>5705</v>
      </c>
    </row>
    <row r="557" spans="1:9" ht="18.75" thickBot="1" x14ac:dyDescent="0.3">
      <c r="A557" t="str">
        <f t="shared" si="8"/>
        <v>104194M</v>
      </c>
      <c r="B557" s="133" t="s">
        <v>6674</v>
      </c>
      <c r="C557" s="133" t="s">
        <v>6675</v>
      </c>
      <c r="D557" s="441" t="s">
        <v>5562</v>
      </c>
      <c r="E557" s="133"/>
      <c r="F557" s="134">
        <v>0.379</v>
      </c>
      <c r="G557" s="134">
        <v>0.32600000000000001</v>
      </c>
      <c r="H557" s="135">
        <v>2024</v>
      </c>
      <c r="I557" s="133" t="s">
        <v>5556</v>
      </c>
    </row>
    <row r="558" spans="1:9" ht="18.75" thickBot="1" x14ac:dyDescent="0.3">
      <c r="A558" t="str">
        <f t="shared" si="8"/>
        <v>125424A</v>
      </c>
      <c r="B558" s="133" t="s">
        <v>6676</v>
      </c>
      <c r="C558" s="133" t="s">
        <v>6677</v>
      </c>
      <c r="D558" s="441" t="s">
        <v>26</v>
      </c>
      <c r="E558" s="133"/>
      <c r="F558" s="134">
        <v>0.38400000000000001</v>
      </c>
      <c r="G558" s="134">
        <v>0.33</v>
      </c>
      <c r="H558" s="135">
        <v>2023</v>
      </c>
      <c r="I558" s="133" t="s">
        <v>5563</v>
      </c>
    </row>
    <row r="559" spans="1:9" ht="18.75" thickBot="1" x14ac:dyDescent="0.3">
      <c r="A559" t="str">
        <f t="shared" si="8"/>
        <v>143058G</v>
      </c>
      <c r="B559" s="133" t="s">
        <v>6678</v>
      </c>
      <c r="C559" s="133" t="s">
        <v>6679</v>
      </c>
      <c r="D559" s="441" t="s">
        <v>25</v>
      </c>
      <c r="E559" s="133"/>
      <c r="F559" s="134" t="s">
        <v>5552</v>
      </c>
      <c r="G559" s="134">
        <v>0.499</v>
      </c>
      <c r="H559" s="135">
        <v>2014</v>
      </c>
      <c r="I559" s="133" t="s">
        <v>5853</v>
      </c>
    </row>
    <row r="560" spans="1:9" ht="18.75" thickBot="1" x14ac:dyDescent="0.3">
      <c r="A560" t="str">
        <f t="shared" si="8"/>
        <v>013859B</v>
      </c>
      <c r="B560" s="133" t="s">
        <v>6680</v>
      </c>
      <c r="C560" s="133" t="s">
        <v>6681</v>
      </c>
      <c r="D560" s="441" t="s">
        <v>25</v>
      </c>
      <c r="E560" s="133"/>
      <c r="F560" s="134" t="s">
        <v>5552</v>
      </c>
      <c r="G560" s="134">
        <v>0.50700000000000001</v>
      </c>
      <c r="H560" s="135">
        <v>2019</v>
      </c>
      <c r="I560" s="133" t="s">
        <v>5563</v>
      </c>
    </row>
    <row r="561" spans="1:9" ht="18.75" thickBot="1" x14ac:dyDescent="0.3">
      <c r="A561" t="str">
        <f t="shared" si="8"/>
        <v>153680T</v>
      </c>
      <c r="B561" s="133" t="s">
        <v>6682</v>
      </c>
      <c r="C561" s="133" t="s">
        <v>6683</v>
      </c>
      <c r="D561" s="441" t="s">
        <v>5503</v>
      </c>
      <c r="E561" s="133"/>
      <c r="F561" s="134">
        <v>0.30199999999999999</v>
      </c>
      <c r="G561" s="134">
        <v>0.25900000000000001</v>
      </c>
      <c r="H561" s="135">
        <v>2017</v>
      </c>
      <c r="I561" s="133" t="s">
        <v>5710</v>
      </c>
    </row>
    <row r="562" spans="1:9" ht="18.75" thickBot="1" x14ac:dyDescent="0.3">
      <c r="A562" t="str">
        <f t="shared" si="8"/>
        <v>013861D</v>
      </c>
      <c r="B562" s="133" t="s">
        <v>6684</v>
      </c>
      <c r="C562" s="133" t="s">
        <v>6685</v>
      </c>
      <c r="D562" s="441" t="s">
        <v>26</v>
      </c>
      <c r="E562" s="133"/>
      <c r="F562" s="134">
        <v>0.377</v>
      </c>
      <c r="G562" s="134">
        <v>0.32400000000000001</v>
      </c>
      <c r="H562" s="135">
        <v>2018</v>
      </c>
      <c r="I562" s="133" t="s">
        <v>5735</v>
      </c>
    </row>
    <row r="563" spans="1:9" ht="18.75" thickBot="1" x14ac:dyDescent="0.3">
      <c r="A563" t="str">
        <f t="shared" si="8"/>
        <v>013863F</v>
      </c>
      <c r="B563" s="133" t="s">
        <v>6686</v>
      </c>
      <c r="C563" s="133" t="s">
        <v>6687</v>
      </c>
      <c r="D563" s="441" t="s">
        <v>25</v>
      </c>
      <c r="E563" s="133"/>
      <c r="F563" s="134" t="s">
        <v>5552</v>
      </c>
      <c r="G563" s="134">
        <v>0.51800000000000002</v>
      </c>
      <c r="H563" s="135">
        <v>2024</v>
      </c>
      <c r="I563" s="133" t="s">
        <v>5678</v>
      </c>
    </row>
    <row r="564" spans="1:9" ht="18.75" thickBot="1" x14ac:dyDescent="0.3">
      <c r="A564" t="str">
        <f t="shared" si="8"/>
        <v>167386R</v>
      </c>
      <c r="B564" s="133" t="s">
        <v>6688</v>
      </c>
      <c r="C564" s="133" t="s">
        <v>6689</v>
      </c>
      <c r="D564" s="441" t="s">
        <v>26</v>
      </c>
      <c r="E564" s="133"/>
      <c r="F564" s="134">
        <v>0.48199999999999998</v>
      </c>
      <c r="G564" s="134">
        <v>0.41499999999999998</v>
      </c>
      <c r="H564" s="135">
        <v>2023</v>
      </c>
      <c r="I564" s="133" t="s">
        <v>5587</v>
      </c>
    </row>
    <row r="565" spans="1:9" ht="18.75" thickBot="1" x14ac:dyDescent="0.3">
      <c r="A565" t="str">
        <f t="shared" si="8"/>
        <v>136957P</v>
      </c>
      <c r="B565" s="133" t="s">
        <v>6690</v>
      </c>
      <c r="C565" s="133" t="s">
        <v>6691</v>
      </c>
      <c r="D565" s="441" t="s">
        <v>26</v>
      </c>
      <c r="E565" s="133"/>
      <c r="F565" s="134">
        <v>0.27800000000000002</v>
      </c>
      <c r="G565" s="134">
        <v>0.23899999999999999</v>
      </c>
      <c r="H565" s="135">
        <v>2022</v>
      </c>
      <c r="I565" s="133" t="s">
        <v>5895</v>
      </c>
    </row>
    <row r="566" spans="1:9" ht="18.75" thickBot="1" x14ac:dyDescent="0.3">
      <c r="A566" t="str">
        <f t="shared" si="8"/>
        <v>014652O</v>
      </c>
      <c r="B566" s="133" t="s">
        <v>6692</v>
      </c>
      <c r="C566" s="133" t="s">
        <v>6693</v>
      </c>
      <c r="D566" s="441" t="s">
        <v>24</v>
      </c>
      <c r="E566" s="133"/>
      <c r="F566" s="134" t="s">
        <v>5552</v>
      </c>
      <c r="G566" s="134">
        <v>0.629</v>
      </c>
      <c r="H566" s="135">
        <v>2024</v>
      </c>
      <c r="I566" s="133" t="s">
        <v>5587</v>
      </c>
    </row>
    <row r="567" spans="1:9" ht="18.75" thickBot="1" x14ac:dyDescent="0.3">
      <c r="A567" t="str">
        <f t="shared" si="8"/>
        <v>162663H</v>
      </c>
      <c r="B567" s="133" t="s">
        <v>8574</v>
      </c>
      <c r="C567" s="133" t="s">
        <v>8575</v>
      </c>
      <c r="D567" s="441" t="s">
        <v>26</v>
      </c>
      <c r="E567" s="133"/>
      <c r="F567" s="134">
        <v>0.47499999999999998</v>
      </c>
      <c r="G567" s="134">
        <v>0.40799999999999997</v>
      </c>
      <c r="H567" s="135">
        <v>2022</v>
      </c>
      <c r="I567" s="133" t="s">
        <v>5559</v>
      </c>
    </row>
    <row r="568" spans="1:9" ht="18.75" thickBot="1" x14ac:dyDescent="0.3">
      <c r="A568" t="str">
        <f t="shared" si="8"/>
        <v>013874Q</v>
      </c>
      <c r="B568" s="133" t="s">
        <v>6694</v>
      </c>
      <c r="C568" s="133" t="s">
        <v>6695</v>
      </c>
      <c r="D568" s="441" t="s">
        <v>26</v>
      </c>
      <c r="E568" s="133"/>
      <c r="F568" s="134">
        <v>0.39600000000000002</v>
      </c>
      <c r="G568" s="134">
        <v>0.34</v>
      </c>
      <c r="H568" s="135">
        <v>2011</v>
      </c>
      <c r="I568" s="133" t="s">
        <v>5635</v>
      </c>
    </row>
    <row r="569" spans="1:9" ht="18.75" thickBot="1" x14ac:dyDescent="0.3">
      <c r="A569" t="str">
        <f t="shared" si="8"/>
        <v>158296L</v>
      </c>
      <c r="B569" s="133" t="s">
        <v>6696</v>
      </c>
      <c r="C569" s="133" t="s">
        <v>6697</v>
      </c>
      <c r="D569" s="441" t="s">
        <v>5503</v>
      </c>
      <c r="E569" s="133"/>
      <c r="F569" s="134">
        <v>0.30399999999999999</v>
      </c>
      <c r="G569" s="134">
        <v>0.26100000000000001</v>
      </c>
      <c r="H569" s="135">
        <v>2018</v>
      </c>
      <c r="I569" s="133" t="s">
        <v>5630</v>
      </c>
    </row>
    <row r="570" spans="1:9" ht="18.75" thickBot="1" x14ac:dyDescent="0.3">
      <c r="A570" t="str">
        <f t="shared" si="8"/>
        <v>138756U</v>
      </c>
      <c r="B570" s="133" t="s">
        <v>6698</v>
      </c>
      <c r="C570" s="133" t="s">
        <v>6699</v>
      </c>
      <c r="D570" s="441" t="s">
        <v>25</v>
      </c>
      <c r="E570" s="133"/>
      <c r="F570" s="134" t="s">
        <v>5552</v>
      </c>
      <c r="G570" s="134">
        <v>0.48699999999999999</v>
      </c>
      <c r="H570" s="135">
        <v>2009</v>
      </c>
      <c r="I570" s="133" t="s">
        <v>5559</v>
      </c>
    </row>
    <row r="571" spans="1:9" ht="18.75" thickBot="1" x14ac:dyDescent="0.3">
      <c r="A571" t="str">
        <f t="shared" si="8"/>
        <v>013893J</v>
      </c>
      <c r="B571" s="133" t="s">
        <v>6700</v>
      </c>
      <c r="C571" s="133" t="s">
        <v>6701</v>
      </c>
      <c r="D571" s="441" t="s">
        <v>24</v>
      </c>
      <c r="E571" s="133"/>
      <c r="F571" s="134" t="s">
        <v>5552</v>
      </c>
      <c r="G571" s="134">
        <v>0.67200000000000004</v>
      </c>
      <c r="H571" s="135">
        <v>2024</v>
      </c>
      <c r="I571" s="133" t="s">
        <v>5594</v>
      </c>
    </row>
    <row r="572" spans="1:9" ht="18.75" thickBot="1" x14ac:dyDescent="0.3">
      <c r="A572" t="str">
        <f t="shared" si="8"/>
        <v>167387S</v>
      </c>
      <c r="B572" s="133" t="s">
        <v>6702</v>
      </c>
      <c r="C572" s="133" t="s">
        <v>6703</v>
      </c>
      <c r="D572" s="441" t="s">
        <v>25</v>
      </c>
      <c r="E572" s="133"/>
      <c r="F572" s="134" t="s">
        <v>5552</v>
      </c>
      <c r="G572" s="134">
        <v>0.46899999999999997</v>
      </c>
      <c r="H572" s="135">
        <v>2019</v>
      </c>
      <c r="I572" s="133" t="s">
        <v>5563</v>
      </c>
    </row>
    <row r="573" spans="1:9" ht="18.75" thickBot="1" x14ac:dyDescent="0.3">
      <c r="A573" t="str">
        <f t="shared" si="8"/>
        <v>013895L</v>
      </c>
      <c r="B573" s="133" t="s">
        <v>6704</v>
      </c>
      <c r="C573" s="133" t="s">
        <v>6705</v>
      </c>
      <c r="D573" s="441" t="s">
        <v>5504</v>
      </c>
      <c r="E573" s="133"/>
      <c r="F573" s="134">
        <v>0.22900000000000001</v>
      </c>
      <c r="G573" s="134">
        <v>0.19700000000000001</v>
      </c>
      <c r="H573" s="135">
        <v>2008</v>
      </c>
      <c r="I573" s="133" t="s">
        <v>5853</v>
      </c>
    </row>
    <row r="574" spans="1:9" ht="18.75" thickBot="1" x14ac:dyDescent="0.3">
      <c r="A574" t="str">
        <f t="shared" si="8"/>
        <v>109519H</v>
      </c>
      <c r="B574" s="133" t="s">
        <v>6706</v>
      </c>
      <c r="C574" s="133" t="s">
        <v>6707</v>
      </c>
      <c r="D574" s="441" t="s">
        <v>26</v>
      </c>
      <c r="E574" s="133"/>
      <c r="F574" s="134">
        <v>0.38200000000000001</v>
      </c>
      <c r="G574" s="134">
        <v>0.32800000000000001</v>
      </c>
      <c r="H574" s="135">
        <v>2024</v>
      </c>
      <c r="I574" s="133" t="s">
        <v>5582</v>
      </c>
    </row>
    <row r="575" spans="1:9" ht="18.75" thickBot="1" x14ac:dyDescent="0.3">
      <c r="A575" t="str">
        <f t="shared" si="8"/>
        <v>013901R</v>
      </c>
      <c r="B575" s="133" t="s">
        <v>6708</v>
      </c>
      <c r="C575" s="133" t="s">
        <v>6709</v>
      </c>
      <c r="D575" s="441" t="s">
        <v>5503</v>
      </c>
      <c r="E575" s="133"/>
      <c r="F575" s="134">
        <v>0.35499999999999998</v>
      </c>
      <c r="G575" s="134">
        <v>0.30499999999999999</v>
      </c>
      <c r="H575" s="135">
        <v>2024</v>
      </c>
      <c r="I575" s="133" t="s">
        <v>5630</v>
      </c>
    </row>
    <row r="576" spans="1:9" ht="18.75" thickBot="1" x14ac:dyDescent="0.3">
      <c r="A576" t="str">
        <f t="shared" si="8"/>
        <v>104060I</v>
      </c>
      <c r="B576" s="133" t="s">
        <v>6710</v>
      </c>
      <c r="C576" s="133" t="s">
        <v>6711</v>
      </c>
      <c r="D576" s="441" t="s">
        <v>26</v>
      </c>
      <c r="E576" s="133"/>
      <c r="F576" s="134">
        <v>0.41099999999999998</v>
      </c>
      <c r="G576" s="134">
        <v>0.35299999999999998</v>
      </c>
      <c r="H576" s="135">
        <v>2024</v>
      </c>
      <c r="I576" s="133" t="s">
        <v>5726</v>
      </c>
    </row>
    <row r="577" spans="1:9" ht="18.75" thickBot="1" x14ac:dyDescent="0.3">
      <c r="A577" t="str">
        <f t="shared" si="8"/>
        <v>103513H</v>
      </c>
      <c r="B577" s="133" t="s">
        <v>6712</v>
      </c>
      <c r="C577" s="133" t="s">
        <v>6713</v>
      </c>
      <c r="D577" s="441" t="s">
        <v>26</v>
      </c>
      <c r="E577" s="133"/>
      <c r="F577" s="134">
        <v>0.51100000000000001</v>
      </c>
      <c r="G577" s="134">
        <v>0.439</v>
      </c>
      <c r="H577" s="135">
        <v>2010</v>
      </c>
      <c r="I577" s="133" t="s">
        <v>5639</v>
      </c>
    </row>
    <row r="578" spans="1:9" ht="18.75" thickBot="1" x14ac:dyDescent="0.3">
      <c r="A578" t="str">
        <f t="shared" si="8"/>
        <v>142504Y</v>
      </c>
      <c r="B578" s="133" t="s">
        <v>7361</v>
      </c>
      <c r="C578" s="133" t="s">
        <v>7362</v>
      </c>
      <c r="D578" s="441" t="s">
        <v>5704</v>
      </c>
      <c r="E578" s="133"/>
      <c r="F578" s="134">
        <v>0.13500000000000001</v>
      </c>
      <c r="G578" s="134">
        <v>0.11600000000000001</v>
      </c>
      <c r="H578" s="135">
        <v>2024</v>
      </c>
      <c r="I578" s="133" t="s">
        <v>5573</v>
      </c>
    </row>
    <row r="579" spans="1:9" ht="18.75" thickBot="1" x14ac:dyDescent="0.3">
      <c r="A579" t="str">
        <f t="shared" ref="A579:A642" si="9">SUBSTITUTE(B579,CHAR(32),"")</f>
        <v>122235J</v>
      </c>
      <c r="B579" s="133" t="s">
        <v>6714</v>
      </c>
      <c r="C579" s="133" t="s">
        <v>6715</v>
      </c>
      <c r="D579" s="441" t="s">
        <v>26</v>
      </c>
      <c r="E579" s="133"/>
      <c r="F579" s="134">
        <v>0.38800000000000001</v>
      </c>
      <c r="G579" s="134">
        <v>0.33300000000000002</v>
      </c>
      <c r="H579" s="135">
        <v>2018</v>
      </c>
      <c r="I579" s="133" t="s">
        <v>6144</v>
      </c>
    </row>
    <row r="580" spans="1:9" ht="18.75" thickBot="1" x14ac:dyDescent="0.3">
      <c r="A580" t="str">
        <f t="shared" si="9"/>
        <v>013907X</v>
      </c>
      <c r="B580" s="133" t="s">
        <v>6716</v>
      </c>
      <c r="C580" s="133" t="s">
        <v>6717</v>
      </c>
      <c r="D580" s="441" t="s">
        <v>24</v>
      </c>
      <c r="E580" s="133"/>
      <c r="F580" s="134" t="s">
        <v>5552</v>
      </c>
      <c r="G580" s="134">
        <v>0.67900000000000005</v>
      </c>
      <c r="H580" s="135">
        <v>2024</v>
      </c>
      <c r="I580" s="133" t="s">
        <v>5630</v>
      </c>
    </row>
    <row r="581" spans="1:9" ht="18.75" thickBot="1" x14ac:dyDescent="0.3">
      <c r="A581" t="str">
        <f t="shared" si="9"/>
        <v>144749H</v>
      </c>
      <c r="B581" s="133" t="s">
        <v>6718</v>
      </c>
      <c r="C581" s="133" t="s">
        <v>6719</v>
      </c>
      <c r="D581" s="441" t="s">
        <v>5504</v>
      </c>
      <c r="E581" s="133"/>
      <c r="F581" s="134">
        <v>0.159</v>
      </c>
      <c r="G581" s="134">
        <v>0.13700000000000001</v>
      </c>
      <c r="H581" s="135">
        <v>2016</v>
      </c>
      <c r="I581" s="133" t="s">
        <v>5601</v>
      </c>
    </row>
    <row r="582" spans="1:9" ht="18.75" thickBot="1" x14ac:dyDescent="0.3">
      <c r="A582" t="str">
        <f t="shared" si="9"/>
        <v>013916G</v>
      </c>
      <c r="B582" s="133" t="s">
        <v>6720</v>
      </c>
      <c r="C582" s="133" t="s">
        <v>6721</v>
      </c>
      <c r="D582" s="441" t="s">
        <v>26</v>
      </c>
      <c r="E582" s="133"/>
      <c r="F582" s="134">
        <v>0.46300000000000002</v>
      </c>
      <c r="G582" s="134">
        <v>0.39800000000000002</v>
      </c>
      <c r="H582" s="135">
        <v>2024</v>
      </c>
      <c r="I582" s="133" t="s">
        <v>5635</v>
      </c>
    </row>
    <row r="583" spans="1:9" ht="18.75" thickBot="1" x14ac:dyDescent="0.3">
      <c r="A583" t="str">
        <f t="shared" si="9"/>
        <v>013917H</v>
      </c>
      <c r="B583" s="133" t="s">
        <v>6722</v>
      </c>
      <c r="C583" s="133" t="s">
        <v>6723</v>
      </c>
      <c r="D583" s="441" t="s">
        <v>26</v>
      </c>
      <c r="E583" s="133"/>
      <c r="F583" s="134">
        <v>0.51100000000000001</v>
      </c>
      <c r="G583" s="134">
        <v>0.439</v>
      </c>
      <c r="H583" s="135">
        <v>2014</v>
      </c>
      <c r="I583" s="133" t="s">
        <v>6137</v>
      </c>
    </row>
    <row r="584" spans="1:9" ht="18.75" thickBot="1" x14ac:dyDescent="0.3">
      <c r="A584" t="str">
        <f t="shared" si="9"/>
        <v>108129V</v>
      </c>
      <c r="B584" s="133" t="s">
        <v>6724</v>
      </c>
      <c r="C584" s="133" t="s">
        <v>6725</v>
      </c>
      <c r="D584" s="441" t="s">
        <v>5503</v>
      </c>
      <c r="E584" s="133"/>
      <c r="F584" s="134">
        <v>0.27500000000000002</v>
      </c>
      <c r="G584" s="134">
        <v>0.23599999999999999</v>
      </c>
      <c r="H584" s="135">
        <v>2013</v>
      </c>
      <c r="I584" s="133" t="s">
        <v>5615</v>
      </c>
    </row>
    <row r="585" spans="1:9" ht="18.75" thickBot="1" x14ac:dyDescent="0.3">
      <c r="A585" t="str">
        <f t="shared" si="9"/>
        <v>158860Z</v>
      </c>
      <c r="B585" s="133" t="s">
        <v>6726</v>
      </c>
      <c r="C585" s="133" t="s">
        <v>6727</v>
      </c>
      <c r="D585" s="441" t="s">
        <v>5562</v>
      </c>
      <c r="E585" s="133"/>
      <c r="F585" s="134">
        <v>0.29799999999999999</v>
      </c>
      <c r="G585" s="134">
        <v>0.25700000000000001</v>
      </c>
      <c r="H585" s="135">
        <v>2024</v>
      </c>
      <c r="I585" s="133" t="s">
        <v>5625</v>
      </c>
    </row>
    <row r="586" spans="1:9" ht="18.75" thickBot="1" x14ac:dyDescent="0.3">
      <c r="A586" t="str">
        <f t="shared" si="9"/>
        <v>015350K</v>
      </c>
      <c r="B586" s="133" t="s">
        <v>6728</v>
      </c>
      <c r="C586" s="133" t="s">
        <v>6729</v>
      </c>
      <c r="D586" s="441" t="s">
        <v>25</v>
      </c>
      <c r="E586" s="133"/>
      <c r="F586" s="134" t="s">
        <v>5552</v>
      </c>
      <c r="G586" s="134">
        <v>0.36199999999999999</v>
      </c>
      <c r="H586" s="135">
        <v>2009</v>
      </c>
      <c r="I586" s="133" t="s">
        <v>5573</v>
      </c>
    </row>
    <row r="587" spans="1:9" ht="18.75" thickBot="1" x14ac:dyDescent="0.3">
      <c r="A587" t="str">
        <f t="shared" si="9"/>
        <v>013924O</v>
      </c>
      <c r="B587" s="133" t="s">
        <v>6730</v>
      </c>
      <c r="C587" s="133" t="s">
        <v>6731</v>
      </c>
      <c r="D587" s="441" t="s">
        <v>24</v>
      </c>
      <c r="E587" s="133"/>
      <c r="F587" s="134" t="s">
        <v>5552</v>
      </c>
      <c r="G587" s="134">
        <v>0.69399999999999995</v>
      </c>
      <c r="H587" s="135">
        <v>2024</v>
      </c>
      <c r="I587" s="133" t="s">
        <v>5587</v>
      </c>
    </row>
    <row r="588" spans="1:9" ht="18.75" thickBot="1" x14ac:dyDescent="0.3">
      <c r="A588" t="str">
        <f t="shared" si="9"/>
        <v>130543X</v>
      </c>
      <c r="B588" s="133" t="s">
        <v>6732</v>
      </c>
      <c r="C588" s="133" t="s">
        <v>6733</v>
      </c>
      <c r="D588" s="441" t="s">
        <v>24</v>
      </c>
      <c r="E588" s="133"/>
      <c r="F588" s="134" t="s">
        <v>5552</v>
      </c>
      <c r="G588" s="134">
        <v>0.56799999999999995</v>
      </c>
      <c r="H588" s="135">
        <v>2015</v>
      </c>
      <c r="I588" s="133" t="s">
        <v>5608</v>
      </c>
    </row>
    <row r="589" spans="1:9" ht="18.75" thickBot="1" x14ac:dyDescent="0.3">
      <c r="A589" t="str">
        <f t="shared" si="9"/>
        <v>109499N</v>
      </c>
      <c r="B589" s="133" t="s">
        <v>6734</v>
      </c>
      <c r="C589" s="133" t="s">
        <v>6735</v>
      </c>
      <c r="D589" s="441" t="s">
        <v>25</v>
      </c>
      <c r="E589" s="133"/>
      <c r="F589" s="134" t="s">
        <v>5552</v>
      </c>
      <c r="G589" s="134">
        <v>0.46</v>
      </c>
      <c r="H589" s="135">
        <v>2012</v>
      </c>
      <c r="I589" s="133" t="s">
        <v>5735</v>
      </c>
    </row>
    <row r="590" spans="1:9" ht="18.75" thickBot="1" x14ac:dyDescent="0.3">
      <c r="A590" t="str">
        <f t="shared" si="9"/>
        <v>157535J</v>
      </c>
      <c r="B590" s="133" t="s">
        <v>6736</v>
      </c>
      <c r="C590" s="133" t="s">
        <v>6737</v>
      </c>
      <c r="D590" s="441" t="s">
        <v>5503</v>
      </c>
      <c r="E590" s="133"/>
      <c r="F590" s="134">
        <v>0.308</v>
      </c>
      <c r="G590" s="134">
        <v>0.26500000000000001</v>
      </c>
      <c r="H590" s="135">
        <v>2024</v>
      </c>
      <c r="I590" s="133" t="s">
        <v>5559</v>
      </c>
    </row>
    <row r="591" spans="1:9" ht="18.75" thickBot="1" x14ac:dyDescent="0.3">
      <c r="A591" t="str">
        <f t="shared" si="9"/>
        <v>132690M</v>
      </c>
      <c r="B591" s="133" t="s">
        <v>6738</v>
      </c>
      <c r="C591" s="133" t="s">
        <v>6739</v>
      </c>
      <c r="D591" s="441" t="s">
        <v>26</v>
      </c>
      <c r="E591" s="133"/>
      <c r="F591" s="134">
        <v>0.48799999999999999</v>
      </c>
      <c r="G591" s="134">
        <v>0.42</v>
      </c>
      <c r="H591" s="135">
        <v>2009</v>
      </c>
      <c r="I591" s="133" t="s">
        <v>5625</v>
      </c>
    </row>
    <row r="592" spans="1:9" ht="18.75" thickBot="1" x14ac:dyDescent="0.3">
      <c r="A592" t="str">
        <f t="shared" si="9"/>
        <v>013932W</v>
      </c>
      <c r="B592" s="133" t="s">
        <v>6740</v>
      </c>
      <c r="C592" s="133" t="s">
        <v>6741</v>
      </c>
      <c r="D592" s="441" t="s">
        <v>26</v>
      </c>
      <c r="E592" s="133"/>
      <c r="F592" s="134">
        <v>0.41199999999999998</v>
      </c>
      <c r="G592" s="134">
        <v>0.35399999999999998</v>
      </c>
      <c r="H592" s="135">
        <v>2011</v>
      </c>
      <c r="I592" s="133" t="s">
        <v>5710</v>
      </c>
    </row>
    <row r="593" spans="1:9" ht="18.75" thickBot="1" x14ac:dyDescent="0.3">
      <c r="A593" t="str">
        <f t="shared" si="9"/>
        <v>013933X</v>
      </c>
      <c r="B593" s="133" t="s">
        <v>6742</v>
      </c>
      <c r="C593" s="133" t="s">
        <v>6743</v>
      </c>
      <c r="D593" s="441" t="s">
        <v>26</v>
      </c>
      <c r="E593" s="133"/>
      <c r="F593" s="134">
        <v>0.46899999999999997</v>
      </c>
      <c r="G593" s="134">
        <v>0.40300000000000002</v>
      </c>
      <c r="H593" s="135">
        <v>2009</v>
      </c>
      <c r="I593" s="133" t="s">
        <v>5559</v>
      </c>
    </row>
    <row r="594" spans="1:9" ht="18.75" thickBot="1" x14ac:dyDescent="0.3">
      <c r="A594" t="str">
        <f t="shared" si="9"/>
        <v>140023N</v>
      </c>
      <c r="B594" s="133" t="s">
        <v>6744</v>
      </c>
      <c r="C594" s="133" t="s">
        <v>6745</v>
      </c>
      <c r="D594" s="441" t="s">
        <v>25</v>
      </c>
      <c r="E594" s="133"/>
      <c r="F594" s="134" t="s">
        <v>5552</v>
      </c>
      <c r="G594" s="134">
        <v>0.52200000000000002</v>
      </c>
      <c r="H594" s="135">
        <v>2022</v>
      </c>
      <c r="I594" s="133" t="s">
        <v>5587</v>
      </c>
    </row>
    <row r="595" spans="1:9" ht="18.75" thickBot="1" x14ac:dyDescent="0.3">
      <c r="A595" t="str">
        <f t="shared" si="9"/>
        <v>103180M</v>
      </c>
      <c r="B595" s="133" t="s">
        <v>6746</v>
      </c>
      <c r="C595" s="133" t="s">
        <v>6747</v>
      </c>
      <c r="D595" s="441" t="s">
        <v>5503</v>
      </c>
      <c r="E595" s="133"/>
      <c r="F595" s="134">
        <v>0.315</v>
      </c>
      <c r="G595" s="134">
        <v>0.27100000000000002</v>
      </c>
      <c r="H595" s="135">
        <v>2009</v>
      </c>
      <c r="I595" s="133" t="s">
        <v>5635</v>
      </c>
    </row>
    <row r="596" spans="1:9" ht="18.75" thickBot="1" x14ac:dyDescent="0.3">
      <c r="A596" t="str">
        <f t="shared" si="9"/>
        <v>139436Y</v>
      </c>
      <c r="B596" s="133" t="s">
        <v>6748</v>
      </c>
      <c r="C596" s="133" t="s">
        <v>6749</v>
      </c>
      <c r="D596" s="441" t="s">
        <v>5504</v>
      </c>
      <c r="E596" s="133"/>
      <c r="F596" s="134">
        <v>0.22800000000000001</v>
      </c>
      <c r="G596" s="134">
        <v>0.19600000000000001</v>
      </c>
      <c r="H596" s="135">
        <v>2024</v>
      </c>
      <c r="I596" s="133" t="s">
        <v>5646</v>
      </c>
    </row>
    <row r="597" spans="1:9" ht="18.75" thickBot="1" x14ac:dyDescent="0.3">
      <c r="A597" t="str">
        <f t="shared" si="9"/>
        <v>152784V</v>
      </c>
      <c r="B597" s="133" t="s">
        <v>6750</v>
      </c>
      <c r="C597" s="133" t="s">
        <v>6751</v>
      </c>
      <c r="D597" s="441" t="s">
        <v>5504</v>
      </c>
      <c r="E597" s="133"/>
      <c r="F597" s="134">
        <v>0.19500000000000001</v>
      </c>
      <c r="G597" s="134">
        <v>0.16800000000000001</v>
      </c>
      <c r="H597" s="135">
        <v>2020</v>
      </c>
      <c r="I597" s="133" t="s">
        <v>5582</v>
      </c>
    </row>
    <row r="598" spans="1:9" ht="18.75" thickBot="1" x14ac:dyDescent="0.3">
      <c r="A598" t="str">
        <f t="shared" si="9"/>
        <v>151320D</v>
      </c>
      <c r="B598" s="133" t="s">
        <v>6752</v>
      </c>
      <c r="C598" s="133" t="s">
        <v>6753</v>
      </c>
      <c r="D598" s="441" t="s">
        <v>5504</v>
      </c>
      <c r="E598" s="133"/>
      <c r="F598" s="134">
        <v>0.157</v>
      </c>
      <c r="G598" s="134">
        <v>0.13500000000000001</v>
      </c>
      <c r="H598" s="135">
        <v>2018</v>
      </c>
      <c r="I598" s="133" t="s">
        <v>5582</v>
      </c>
    </row>
    <row r="599" spans="1:9" ht="18.75" thickBot="1" x14ac:dyDescent="0.3">
      <c r="A599" t="str">
        <f t="shared" si="9"/>
        <v>141774W</v>
      </c>
      <c r="B599" s="133" t="s">
        <v>6754</v>
      </c>
      <c r="C599" s="133" t="s">
        <v>6755</v>
      </c>
      <c r="D599" s="441" t="s">
        <v>5504</v>
      </c>
      <c r="E599" s="133"/>
      <c r="F599" s="134">
        <v>0.23699999999999999</v>
      </c>
      <c r="G599" s="134">
        <v>0.20399999999999999</v>
      </c>
      <c r="H599" s="135">
        <v>2018</v>
      </c>
      <c r="I599" s="133" t="s">
        <v>5582</v>
      </c>
    </row>
    <row r="600" spans="1:9" ht="18.75" thickBot="1" x14ac:dyDescent="0.3">
      <c r="A600" t="str">
        <f t="shared" si="9"/>
        <v>130968G</v>
      </c>
      <c r="B600" s="133" t="s">
        <v>6756</v>
      </c>
      <c r="C600" s="133" t="s">
        <v>6757</v>
      </c>
      <c r="D600" s="441" t="s">
        <v>25</v>
      </c>
      <c r="E600" s="133"/>
      <c r="F600" s="134" t="s">
        <v>5552</v>
      </c>
      <c r="G600" s="134">
        <v>0.51800000000000002</v>
      </c>
      <c r="H600" s="135">
        <v>2009</v>
      </c>
      <c r="I600" s="133" t="s">
        <v>5563</v>
      </c>
    </row>
    <row r="601" spans="1:9" ht="18.75" thickBot="1" x14ac:dyDescent="0.3">
      <c r="A601" t="str">
        <f t="shared" si="9"/>
        <v>114580Y</v>
      </c>
      <c r="B601" s="133" t="s">
        <v>6758</v>
      </c>
      <c r="C601" s="133" t="s">
        <v>6759</v>
      </c>
      <c r="D601" s="441" t="s">
        <v>26</v>
      </c>
      <c r="E601" s="133"/>
      <c r="F601" s="134">
        <v>0.39800000000000002</v>
      </c>
      <c r="G601" s="134">
        <v>0.34200000000000003</v>
      </c>
      <c r="H601" s="135">
        <v>2012</v>
      </c>
      <c r="I601" s="133" t="s">
        <v>5582</v>
      </c>
    </row>
    <row r="602" spans="1:9" ht="18.75" thickBot="1" x14ac:dyDescent="0.3">
      <c r="A602" t="str">
        <f t="shared" si="9"/>
        <v>013952Q</v>
      </c>
      <c r="B602" s="133" t="s">
        <v>6760</v>
      </c>
      <c r="C602" s="133" t="s">
        <v>6761</v>
      </c>
      <c r="D602" s="441" t="s">
        <v>26</v>
      </c>
      <c r="E602" s="133"/>
      <c r="F602" s="134">
        <v>0.375</v>
      </c>
      <c r="G602" s="134">
        <v>0.32200000000000001</v>
      </c>
      <c r="H602" s="135">
        <v>2024</v>
      </c>
      <c r="I602" s="133" t="s">
        <v>5563</v>
      </c>
    </row>
    <row r="603" spans="1:9" ht="18.75" thickBot="1" x14ac:dyDescent="0.3">
      <c r="A603" t="str">
        <f t="shared" si="9"/>
        <v>123886W</v>
      </c>
      <c r="B603" s="133" t="s">
        <v>6762</v>
      </c>
      <c r="C603" s="133" t="s">
        <v>6763</v>
      </c>
      <c r="D603" s="441" t="s">
        <v>26</v>
      </c>
      <c r="E603" s="133"/>
      <c r="F603" s="134">
        <v>0.38200000000000001</v>
      </c>
      <c r="G603" s="134">
        <v>0.32800000000000001</v>
      </c>
      <c r="H603" s="135">
        <v>2015</v>
      </c>
      <c r="I603" s="133" t="s">
        <v>5594</v>
      </c>
    </row>
    <row r="604" spans="1:9" ht="18.75" thickBot="1" x14ac:dyDescent="0.3">
      <c r="A604" t="str">
        <f t="shared" si="9"/>
        <v>177316K</v>
      </c>
      <c r="B604" s="133" t="s">
        <v>7380</v>
      </c>
      <c r="C604" s="133" t="s">
        <v>7381</v>
      </c>
      <c r="D604" s="441" t="s">
        <v>5704</v>
      </c>
      <c r="E604" s="133"/>
      <c r="F604" s="134">
        <v>0.24199999999999999</v>
      </c>
      <c r="G604" s="134">
        <v>0.20799999999999999</v>
      </c>
      <c r="H604" s="135">
        <v>2024</v>
      </c>
      <c r="I604" s="133" t="s">
        <v>5651</v>
      </c>
    </row>
    <row r="605" spans="1:9" ht="18.75" thickBot="1" x14ac:dyDescent="0.3">
      <c r="A605" t="str">
        <f t="shared" si="9"/>
        <v>154178K</v>
      </c>
      <c r="B605" s="133" t="s">
        <v>7382</v>
      </c>
      <c r="C605" s="133" t="s">
        <v>7383</v>
      </c>
      <c r="D605" s="441" t="s">
        <v>5503</v>
      </c>
      <c r="E605" s="133"/>
      <c r="F605" s="134">
        <v>0.30399999999999999</v>
      </c>
      <c r="G605" s="134">
        <v>0.26100000000000001</v>
      </c>
      <c r="H605" s="135">
        <v>2024</v>
      </c>
      <c r="I605" s="133" t="s">
        <v>5559</v>
      </c>
    </row>
    <row r="606" spans="1:9" ht="18.75" thickBot="1" x14ac:dyDescent="0.3">
      <c r="A606" t="str">
        <f t="shared" si="9"/>
        <v>013961Z</v>
      </c>
      <c r="B606" s="133" t="s">
        <v>6764</v>
      </c>
      <c r="C606" s="133" t="s">
        <v>6765</v>
      </c>
      <c r="D606" s="441" t="s">
        <v>25</v>
      </c>
      <c r="E606" s="133"/>
      <c r="F606" s="134" t="s">
        <v>5552</v>
      </c>
      <c r="G606" s="134">
        <v>0.38700000000000001</v>
      </c>
      <c r="H606" s="135">
        <v>2018</v>
      </c>
      <c r="I606" s="133" t="s">
        <v>5678</v>
      </c>
    </row>
    <row r="607" spans="1:9" ht="18.75" thickBot="1" x14ac:dyDescent="0.3">
      <c r="A607" t="str">
        <f t="shared" si="9"/>
        <v>154493C</v>
      </c>
      <c r="B607" s="133" t="s">
        <v>6766</v>
      </c>
      <c r="C607" s="133" t="s">
        <v>6767</v>
      </c>
      <c r="D607" s="441" t="s">
        <v>5503</v>
      </c>
      <c r="E607" s="133"/>
      <c r="F607" s="134">
        <v>0.32500000000000001</v>
      </c>
      <c r="G607" s="134">
        <v>0.28000000000000003</v>
      </c>
      <c r="H607" s="135">
        <v>2024</v>
      </c>
      <c r="I607" s="133" t="s">
        <v>5625</v>
      </c>
    </row>
    <row r="608" spans="1:9" ht="18.75" thickBot="1" x14ac:dyDescent="0.3">
      <c r="A608" t="str">
        <f t="shared" si="9"/>
        <v>115313D</v>
      </c>
      <c r="B608" s="133" t="s">
        <v>6768</v>
      </c>
      <c r="C608" s="133" t="s">
        <v>6769</v>
      </c>
      <c r="D608" s="441" t="s">
        <v>5503</v>
      </c>
      <c r="E608" s="133"/>
      <c r="F608" s="134">
        <v>0.25600000000000001</v>
      </c>
      <c r="G608" s="134">
        <v>0.22</v>
      </c>
      <c r="H608" s="135">
        <v>2024</v>
      </c>
      <c r="I608" s="133" t="s">
        <v>5735</v>
      </c>
    </row>
    <row r="609" spans="1:9" ht="18.75" thickBot="1" x14ac:dyDescent="0.3">
      <c r="A609" t="str">
        <f t="shared" si="9"/>
        <v>013973L</v>
      </c>
      <c r="B609" s="133" t="s">
        <v>6770</v>
      </c>
      <c r="C609" s="133" t="s">
        <v>6771</v>
      </c>
      <c r="D609" s="441" t="s">
        <v>5503</v>
      </c>
      <c r="E609" s="133"/>
      <c r="F609" s="134">
        <v>0.30299999999999999</v>
      </c>
      <c r="G609" s="134">
        <v>0.26</v>
      </c>
      <c r="H609" s="135">
        <v>2012</v>
      </c>
      <c r="I609" s="133" t="s">
        <v>5615</v>
      </c>
    </row>
    <row r="610" spans="1:9" ht="18.75" thickBot="1" x14ac:dyDescent="0.3">
      <c r="A610" t="str">
        <f t="shared" si="9"/>
        <v>013975N</v>
      </c>
      <c r="B610" s="133" t="s">
        <v>6772</v>
      </c>
      <c r="C610" s="133" t="s">
        <v>6773</v>
      </c>
      <c r="D610" s="441" t="s">
        <v>5503</v>
      </c>
      <c r="E610" s="133"/>
      <c r="F610" s="134">
        <v>0.25800000000000001</v>
      </c>
      <c r="G610" s="134">
        <v>0.222</v>
      </c>
      <c r="H610" s="135">
        <v>2023</v>
      </c>
      <c r="I610" s="133" t="s">
        <v>5735</v>
      </c>
    </row>
    <row r="611" spans="1:9" ht="18.75" thickBot="1" x14ac:dyDescent="0.3">
      <c r="A611" t="str">
        <f t="shared" si="9"/>
        <v>132632G</v>
      </c>
      <c r="B611" s="133" t="s">
        <v>6774</v>
      </c>
      <c r="C611" s="133" t="s">
        <v>6775</v>
      </c>
      <c r="D611" s="441" t="s">
        <v>5503</v>
      </c>
      <c r="E611" s="133"/>
      <c r="F611" s="134">
        <v>0.30099999999999999</v>
      </c>
      <c r="G611" s="134">
        <v>0.25900000000000001</v>
      </c>
      <c r="H611" s="135">
        <v>2018</v>
      </c>
      <c r="I611" s="133" t="s">
        <v>5635</v>
      </c>
    </row>
    <row r="612" spans="1:9" ht="18.75" thickBot="1" x14ac:dyDescent="0.3">
      <c r="A612" t="str">
        <f t="shared" si="9"/>
        <v>164134G</v>
      </c>
      <c r="B612" s="133" t="s">
        <v>6776</v>
      </c>
      <c r="C612" s="133" t="s">
        <v>6777</v>
      </c>
      <c r="D612" s="441" t="s">
        <v>5503</v>
      </c>
      <c r="E612" s="133"/>
      <c r="F612" s="134">
        <v>0.29399999999999998</v>
      </c>
      <c r="G612" s="134">
        <v>0.252</v>
      </c>
      <c r="H612" s="135">
        <v>2024</v>
      </c>
      <c r="I612" s="133" t="s">
        <v>5735</v>
      </c>
    </row>
    <row r="613" spans="1:9" ht="18.75" thickBot="1" x14ac:dyDescent="0.3">
      <c r="A613" t="str">
        <f t="shared" si="9"/>
        <v>162661F</v>
      </c>
      <c r="B613" s="133" t="s">
        <v>6778</v>
      </c>
      <c r="C613" s="133" t="s">
        <v>6779</v>
      </c>
      <c r="D613" s="441" t="s">
        <v>5503</v>
      </c>
      <c r="E613" s="133"/>
      <c r="F613" s="134">
        <v>0.28399999999999997</v>
      </c>
      <c r="G613" s="134">
        <v>0.24399999999999999</v>
      </c>
      <c r="H613" s="135">
        <v>2024</v>
      </c>
      <c r="I613" s="133" t="s">
        <v>5744</v>
      </c>
    </row>
    <row r="614" spans="1:9" ht="18.75" thickBot="1" x14ac:dyDescent="0.3">
      <c r="A614" t="str">
        <f t="shared" si="9"/>
        <v>108139F</v>
      </c>
      <c r="B614" s="133" t="s">
        <v>6780</v>
      </c>
      <c r="C614" s="133" t="s">
        <v>6781</v>
      </c>
      <c r="D614" s="441" t="s">
        <v>26</v>
      </c>
      <c r="E614" s="133"/>
      <c r="F614" s="134">
        <v>0.38</v>
      </c>
      <c r="G614" s="134">
        <v>0.32700000000000001</v>
      </c>
      <c r="H614" s="135">
        <v>2019</v>
      </c>
      <c r="I614" s="133" t="s">
        <v>5563</v>
      </c>
    </row>
    <row r="615" spans="1:9" ht="18.75" thickBot="1" x14ac:dyDescent="0.3">
      <c r="A615" t="str">
        <f t="shared" si="9"/>
        <v>122108M</v>
      </c>
      <c r="B615" s="133" t="s">
        <v>6782</v>
      </c>
      <c r="C615" s="133" t="s">
        <v>6783</v>
      </c>
      <c r="D615" s="441" t="s">
        <v>5503</v>
      </c>
      <c r="E615" s="133"/>
      <c r="F615" s="134">
        <v>0.33500000000000002</v>
      </c>
      <c r="G615" s="134">
        <v>0.28799999999999998</v>
      </c>
      <c r="H615" s="135">
        <v>2010</v>
      </c>
      <c r="I615" s="133" t="s">
        <v>5563</v>
      </c>
    </row>
    <row r="616" spans="1:9" ht="18.75" thickBot="1" x14ac:dyDescent="0.3">
      <c r="A616" t="str">
        <f t="shared" si="9"/>
        <v>013992E</v>
      </c>
      <c r="B616" s="133" t="s">
        <v>6784</v>
      </c>
      <c r="C616" s="133" t="s">
        <v>6785</v>
      </c>
      <c r="D616" s="441" t="s">
        <v>5503</v>
      </c>
      <c r="E616" s="133"/>
      <c r="F616" s="134">
        <v>0.35299999999999998</v>
      </c>
      <c r="G616" s="134">
        <v>0.30299999999999999</v>
      </c>
      <c r="H616" s="135">
        <v>2010</v>
      </c>
      <c r="I616" s="133" t="s">
        <v>5559</v>
      </c>
    </row>
    <row r="617" spans="1:9" ht="18.75" thickBot="1" x14ac:dyDescent="0.3">
      <c r="A617" t="str">
        <f t="shared" si="9"/>
        <v>143260A</v>
      </c>
      <c r="B617" s="133" t="s">
        <v>6786</v>
      </c>
      <c r="C617" s="133" t="s">
        <v>6787</v>
      </c>
      <c r="D617" s="441" t="s">
        <v>5504</v>
      </c>
      <c r="E617" s="133"/>
      <c r="F617" s="134">
        <v>8.8999999999999996E-2</v>
      </c>
      <c r="G617" s="134">
        <v>7.5999999999999998E-2</v>
      </c>
      <c r="H617" s="135">
        <v>2014</v>
      </c>
      <c r="I617" s="133" t="s">
        <v>5801</v>
      </c>
    </row>
    <row r="618" spans="1:9" ht="18.75" thickBot="1" x14ac:dyDescent="0.3">
      <c r="A618" t="str">
        <f t="shared" si="9"/>
        <v>144845Z</v>
      </c>
      <c r="B618" s="133" t="s">
        <v>6788</v>
      </c>
      <c r="C618" s="133" t="s">
        <v>6789</v>
      </c>
      <c r="D618" s="441" t="s">
        <v>26</v>
      </c>
      <c r="E618" s="133"/>
      <c r="F618" s="134">
        <v>0.318</v>
      </c>
      <c r="G618" s="134">
        <v>0.27300000000000002</v>
      </c>
      <c r="H618" s="135">
        <v>2020</v>
      </c>
      <c r="I618" s="133" t="s">
        <v>5635</v>
      </c>
    </row>
    <row r="619" spans="1:9" ht="18.75" thickBot="1" x14ac:dyDescent="0.3">
      <c r="A619" t="str">
        <f t="shared" si="9"/>
        <v>138085Z</v>
      </c>
      <c r="B619" s="133" t="s">
        <v>6790</v>
      </c>
      <c r="C619" s="133" t="s">
        <v>6791</v>
      </c>
      <c r="D619" s="441" t="s">
        <v>26</v>
      </c>
      <c r="E619" s="133"/>
      <c r="F619" s="134">
        <v>0.3</v>
      </c>
      <c r="G619" s="134">
        <v>0.25800000000000001</v>
      </c>
      <c r="H619" s="135">
        <v>2015</v>
      </c>
      <c r="I619" s="133" t="s">
        <v>5726</v>
      </c>
    </row>
    <row r="620" spans="1:9" ht="18.75" thickBot="1" x14ac:dyDescent="0.3">
      <c r="A620" t="str">
        <f t="shared" si="9"/>
        <v>113954W</v>
      </c>
      <c r="B620" s="133" t="s">
        <v>6792</v>
      </c>
      <c r="C620" s="133" t="s">
        <v>6793</v>
      </c>
      <c r="D620" s="441" t="s">
        <v>26</v>
      </c>
      <c r="E620" s="133"/>
      <c r="F620" s="134">
        <v>0.36599999999999999</v>
      </c>
      <c r="G620" s="134">
        <v>0.315</v>
      </c>
      <c r="H620" s="135">
        <v>2024</v>
      </c>
      <c r="I620" s="133" t="s">
        <v>5630</v>
      </c>
    </row>
    <row r="621" spans="1:9" ht="18.75" thickBot="1" x14ac:dyDescent="0.3">
      <c r="A621" t="str">
        <f t="shared" si="9"/>
        <v>013999L</v>
      </c>
      <c r="B621" s="133" t="s">
        <v>6794</v>
      </c>
      <c r="C621" s="133" t="s">
        <v>6795</v>
      </c>
      <c r="D621" s="441" t="s">
        <v>26</v>
      </c>
      <c r="E621" s="133"/>
      <c r="F621" s="134">
        <v>0.439</v>
      </c>
      <c r="G621" s="134">
        <v>0.377</v>
      </c>
      <c r="H621" s="135">
        <v>2010</v>
      </c>
      <c r="I621" s="133" t="s">
        <v>5912</v>
      </c>
    </row>
    <row r="622" spans="1:9" ht="18.75" thickBot="1" x14ac:dyDescent="0.3">
      <c r="A622" t="str">
        <f t="shared" si="9"/>
        <v>132693P</v>
      </c>
      <c r="B622" s="133" t="s">
        <v>6796</v>
      </c>
      <c r="C622" s="133" t="s">
        <v>6797</v>
      </c>
      <c r="D622" s="441" t="s">
        <v>5503</v>
      </c>
      <c r="E622" s="133"/>
      <c r="F622" s="134">
        <v>0.32900000000000001</v>
      </c>
      <c r="G622" s="134">
        <v>0.28299999999999997</v>
      </c>
      <c r="H622" s="135">
        <v>2012</v>
      </c>
      <c r="I622" s="133" t="s">
        <v>5625</v>
      </c>
    </row>
    <row r="623" spans="1:9" ht="18.75" thickBot="1" x14ac:dyDescent="0.3">
      <c r="A623" t="str">
        <f t="shared" si="9"/>
        <v>014003P</v>
      </c>
      <c r="B623" s="133" t="s">
        <v>6798</v>
      </c>
      <c r="C623" s="133" t="s">
        <v>6799</v>
      </c>
      <c r="D623" s="441" t="s">
        <v>5503</v>
      </c>
      <c r="E623" s="133"/>
      <c r="F623" s="134">
        <v>0.26400000000000001</v>
      </c>
      <c r="G623" s="134">
        <v>0.22700000000000001</v>
      </c>
      <c r="H623" s="135">
        <v>2010</v>
      </c>
      <c r="I623" s="133" t="s">
        <v>5639</v>
      </c>
    </row>
    <row r="624" spans="1:9" ht="18.75" thickBot="1" x14ac:dyDescent="0.3">
      <c r="A624" t="str">
        <f t="shared" si="9"/>
        <v>014011X</v>
      </c>
      <c r="B624" s="133" t="s">
        <v>6800</v>
      </c>
      <c r="C624" s="133" t="s">
        <v>6801</v>
      </c>
      <c r="D624" s="441" t="s">
        <v>26</v>
      </c>
      <c r="E624" s="133"/>
      <c r="F624" s="134">
        <v>0.36899999999999999</v>
      </c>
      <c r="G624" s="134">
        <v>0.317</v>
      </c>
      <c r="H624" s="135">
        <v>2018</v>
      </c>
      <c r="I624" s="133" t="s">
        <v>5630</v>
      </c>
    </row>
    <row r="625" spans="1:9" ht="18.75" thickBot="1" x14ac:dyDescent="0.3">
      <c r="A625" t="str">
        <f t="shared" si="9"/>
        <v>163133T</v>
      </c>
      <c r="B625" s="133" t="s">
        <v>6802</v>
      </c>
      <c r="C625" s="133" t="s">
        <v>6803</v>
      </c>
      <c r="D625" s="441" t="s">
        <v>5503</v>
      </c>
      <c r="E625" s="133"/>
      <c r="F625" s="134">
        <v>0.34200000000000003</v>
      </c>
      <c r="G625" s="134">
        <v>0.29399999999999998</v>
      </c>
      <c r="H625" s="135">
        <v>2024</v>
      </c>
      <c r="I625" s="133" t="s">
        <v>5556</v>
      </c>
    </row>
    <row r="626" spans="1:9" ht="18.75" thickBot="1" x14ac:dyDescent="0.3">
      <c r="A626" t="str">
        <f t="shared" si="9"/>
        <v>147173W</v>
      </c>
      <c r="B626" s="133" t="s">
        <v>6804</v>
      </c>
      <c r="C626" s="133" t="s">
        <v>6805</v>
      </c>
      <c r="D626" s="441" t="s">
        <v>5503</v>
      </c>
      <c r="E626" s="133"/>
      <c r="F626" s="134">
        <v>0.28899999999999998</v>
      </c>
      <c r="G626" s="134">
        <v>0.249</v>
      </c>
      <c r="H626" s="135">
        <v>2019</v>
      </c>
      <c r="I626" s="133" t="s">
        <v>5563</v>
      </c>
    </row>
    <row r="627" spans="1:9" ht="18.75" thickBot="1" x14ac:dyDescent="0.3">
      <c r="A627" t="str">
        <f t="shared" si="9"/>
        <v>178620C</v>
      </c>
      <c r="B627" s="133" t="s">
        <v>6806</v>
      </c>
      <c r="C627" s="133" t="s">
        <v>6807</v>
      </c>
      <c r="D627" s="441" t="s">
        <v>5504</v>
      </c>
      <c r="E627" s="133"/>
      <c r="F627" s="134">
        <v>0.23300000000000001</v>
      </c>
      <c r="G627" s="134">
        <v>0.2</v>
      </c>
      <c r="H627" s="135">
        <v>2024</v>
      </c>
      <c r="I627" s="133" t="s">
        <v>5726</v>
      </c>
    </row>
    <row r="628" spans="1:9" ht="18.75" thickBot="1" x14ac:dyDescent="0.3">
      <c r="A628" t="str">
        <f t="shared" si="9"/>
        <v>103113X</v>
      </c>
      <c r="B628" s="133" t="s">
        <v>6808</v>
      </c>
      <c r="C628" s="133" t="s">
        <v>6809</v>
      </c>
      <c r="D628" s="441" t="s">
        <v>5503</v>
      </c>
      <c r="E628" s="133"/>
      <c r="F628" s="134">
        <v>0.33600000000000002</v>
      </c>
      <c r="G628" s="134">
        <v>0.28899999999999998</v>
      </c>
      <c r="H628" s="135">
        <v>2013</v>
      </c>
      <c r="I628" s="133" t="s">
        <v>5553</v>
      </c>
    </row>
    <row r="629" spans="1:9" ht="18.75" thickBot="1" x14ac:dyDescent="0.3">
      <c r="A629" t="str">
        <f t="shared" si="9"/>
        <v>014026M</v>
      </c>
      <c r="B629" s="133" t="s">
        <v>6810</v>
      </c>
      <c r="C629" s="133" t="s">
        <v>6811</v>
      </c>
      <c r="D629" s="441" t="s">
        <v>24</v>
      </c>
      <c r="E629" s="133"/>
      <c r="F629" s="134" t="s">
        <v>5552</v>
      </c>
      <c r="G629" s="134">
        <v>0.67700000000000005</v>
      </c>
      <c r="H629" s="135">
        <v>2016</v>
      </c>
      <c r="I629" s="133" t="s">
        <v>5635</v>
      </c>
    </row>
    <row r="630" spans="1:9" ht="18.75" thickBot="1" x14ac:dyDescent="0.3">
      <c r="A630" t="str">
        <f t="shared" si="9"/>
        <v>014027N</v>
      </c>
      <c r="B630" s="133" t="s">
        <v>6812</v>
      </c>
      <c r="C630" s="133" t="s">
        <v>6813</v>
      </c>
      <c r="D630" s="441" t="s">
        <v>5503</v>
      </c>
      <c r="E630" s="133"/>
      <c r="F630" s="134">
        <v>0.317</v>
      </c>
      <c r="G630" s="134">
        <v>0.27300000000000002</v>
      </c>
      <c r="H630" s="135">
        <v>2012</v>
      </c>
      <c r="I630" s="133" t="s">
        <v>6229</v>
      </c>
    </row>
    <row r="631" spans="1:9" ht="18.75" thickBot="1" x14ac:dyDescent="0.3">
      <c r="A631" t="str">
        <f t="shared" si="9"/>
        <v>180098J</v>
      </c>
      <c r="B631" s="133" t="s">
        <v>6814</v>
      </c>
      <c r="C631" s="133" t="s">
        <v>6815</v>
      </c>
      <c r="D631" s="441" t="s">
        <v>5562</v>
      </c>
      <c r="E631" s="133"/>
      <c r="F631" s="134">
        <v>0.36199999999999999</v>
      </c>
      <c r="G631" s="134">
        <v>0.311</v>
      </c>
      <c r="H631" s="135">
        <v>2024</v>
      </c>
      <c r="I631" s="133" t="s">
        <v>5615</v>
      </c>
    </row>
    <row r="632" spans="1:9" ht="18.75" thickBot="1" x14ac:dyDescent="0.3">
      <c r="A632" t="str">
        <f t="shared" si="9"/>
        <v>103039B</v>
      </c>
      <c r="B632" s="133" t="s">
        <v>6816</v>
      </c>
      <c r="C632" s="133" t="s">
        <v>6817</v>
      </c>
      <c r="D632" s="441" t="s">
        <v>26</v>
      </c>
      <c r="E632" s="133"/>
      <c r="F632" s="134">
        <v>0.46500000000000002</v>
      </c>
      <c r="G632" s="134">
        <v>0.39900000000000002</v>
      </c>
      <c r="H632" s="135">
        <v>2012</v>
      </c>
      <c r="I632" s="133" t="s">
        <v>5678</v>
      </c>
    </row>
    <row r="633" spans="1:9" ht="18.75" thickBot="1" x14ac:dyDescent="0.3">
      <c r="A633" t="str">
        <f t="shared" si="9"/>
        <v>124243P</v>
      </c>
      <c r="B633" s="133" t="s">
        <v>6818</v>
      </c>
      <c r="C633" s="133" t="s">
        <v>6819</v>
      </c>
      <c r="D633" s="441" t="s">
        <v>26</v>
      </c>
      <c r="E633" s="133"/>
      <c r="F633" s="134">
        <v>0.41699999999999998</v>
      </c>
      <c r="G633" s="134">
        <v>0.35799999999999998</v>
      </c>
      <c r="H633" s="135">
        <v>2011</v>
      </c>
      <c r="I633" s="133" t="s">
        <v>5678</v>
      </c>
    </row>
    <row r="634" spans="1:9" ht="18.75" thickBot="1" x14ac:dyDescent="0.3">
      <c r="A634" t="str">
        <f t="shared" si="9"/>
        <v>014031R</v>
      </c>
      <c r="B634" s="133" t="s">
        <v>6820</v>
      </c>
      <c r="C634" s="133" t="s">
        <v>6821</v>
      </c>
      <c r="D634" s="441" t="s">
        <v>5503</v>
      </c>
      <c r="E634" s="133"/>
      <c r="F634" s="134">
        <v>0.33500000000000002</v>
      </c>
      <c r="G634" s="134">
        <v>0.28799999999999998</v>
      </c>
      <c r="H634" s="135">
        <v>2024</v>
      </c>
      <c r="I634" s="133" t="s">
        <v>5566</v>
      </c>
    </row>
    <row r="635" spans="1:9" ht="18.75" thickBot="1" x14ac:dyDescent="0.3">
      <c r="A635" t="str">
        <f t="shared" si="9"/>
        <v>124449N</v>
      </c>
      <c r="B635" s="133" t="s">
        <v>6822</v>
      </c>
      <c r="C635" s="133" t="s">
        <v>6823</v>
      </c>
      <c r="D635" s="441" t="s">
        <v>26</v>
      </c>
      <c r="E635" s="133"/>
      <c r="F635" s="134">
        <v>0.45</v>
      </c>
      <c r="G635" s="134">
        <v>0.38700000000000001</v>
      </c>
      <c r="H635" s="135">
        <v>2015</v>
      </c>
      <c r="I635" s="133" t="s">
        <v>5635</v>
      </c>
    </row>
    <row r="636" spans="1:9" ht="18.75" thickBot="1" x14ac:dyDescent="0.3">
      <c r="A636" t="str">
        <f t="shared" si="9"/>
        <v>113978U</v>
      </c>
      <c r="B636" s="133" t="s">
        <v>6824</v>
      </c>
      <c r="C636" s="133" t="s">
        <v>6825</v>
      </c>
      <c r="D636" s="441" t="s">
        <v>5503</v>
      </c>
      <c r="E636" s="133"/>
      <c r="F636" s="134">
        <v>0.35399999999999998</v>
      </c>
      <c r="G636" s="134">
        <v>0.30399999999999999</v>
      </c>
      <c r="H636" s="135">
        <v>2024</v>
      </c>
      <c r="I636" s="133" t="s">
        <v>5566</v>
      </c>
    </row>
    <row r="637" spans="1:9" ht="18.75" thickBot="1" x14ac:dyDescent="0.3">
      <c r="A637" t="str">
        <f t="shared" si="9"/>
        <v>014040A</v>
      </c>
      <c r="B637" s="133" t="s">
        <v>6826</v>
      </c>
      <c r="C637" s="133" t="s">
        <v>6827</v>
      </c>
      <c r="D637" s="441" t="s">
        <v>5765</v>
      </c>
      <c r="E637" s="133"/>
      <c r="F637" s="134" t="s">
        <v>5552</v>
      </c>
      <c r="G637" s="134">
        <v>1.0289999999999999</v>
      </c>
      <c r="H637" s="135">
        <v>2024</v>
      </c>
      <c r="I637" s="133" t="s">
        <v>5566</v>
      </c>
    </row>
    <row r="638" spans="1:9" ht="18.75" thickBot="1" x14ac:dyDescent="0.3">
      <c r="A638" t="str">
        <f t="shared" si="9"/>
        <v>105592G</v>
      </c>
      <c r="B638" s="133" t="s">
        <v>6828</v>
      </c>
      <c r="C638" s="133" t="s">
        <v>6829</v>
      </c>
      <c r="D638" s="441" t="s">
        <v>26</v>
      </c>
      <c r="E638" s="133"/>
      <c r="F638" s="134">
        <v>0.41499999999999998</v>
      </c>
      <c r="G638" s="134">
        <v>0.35599999999999998</v>
      </c>
      <c r="H638" s="135">
        <v>2009</v>
      </c>
      <c r="I638" s="133" t="s">
        <v>5566</v>
      </c>
    </row>
    <row r="639" spans="1:9" ht="18.75" thickBot="1" x14ac:dyDescent="0.3">
      <c r="A639" t="str">
        <f t="shared" si="9"/>
        <v>014050K</v>
      </c>
      <c r="B639" s="133" t="s">
        <v>6830</v>
      </c>
      <c r="C639" s="133" t="s">
        <v>6831</v>
      </c>
      <c r="D639" s="441" t="s">
        <v>25</v>
      </c>
      <c r="E639" s="133"/>
      <c r="F639" s="134" t="s">
        <v>5552</v>
      </c>
      <c r="G639" s="134">
        <v>0.442</v>
      </c>
      <c r="H639" s="135">
        <v>2022</v>
      </c>
      <c r="I639" s="133" t="s">
        <v>5678</v>
      </c>
    </row>
    <row r="640" spans="1:9" ht="18.75" thickBot="1" x14ac:dyDescent="0.3">
      <c r="A640" t="str">
        <f t="shared" si="9"/>
        <v>111050E</v>
      </c>
      <c r="B640" s="133" t="s">
        <v>6832</v>
      </c>
      <c r="C640" s="133" t="s">
        <v>6833</v>
      </c>
      <c r="D640" s="441" t="s">
        <v>5504</v>
      </c>
      <c r="E640" s="133"/>
      <c r="F640" s="134">
        <v>0.16200000000000001</v>
      </c>
      <c r="G640" s="134">
        <v>0.13900000000000001</v>
      </c>
      <c r="H640" s="135">
        <v>2024</v>
      </c>
      <c r="I640" s="133" t="s">
        <v>5710</v>
      </c>
    </row>
    <row r="641" spans="1:9" ht="18.75" thickBot="1" x14ac:dyDescent="0.3">
      <c r="A641" t="str">
        <f t="shared" si="9"/>
        <v>166476C</v>
      </c>
      <c r="B641" s="133" t="s">
        <v>6834</v>
      </c>
      <c r="C641" s="133" t="s">
        <v>6835</v>
      </c>
      <c r="D641" s="441" t="s">
        <v>5504</v>
      </c>
      <c r="E641" s="133"/>
      <c r="F641" s="134">
        <v>0.20899999999999999</v>
      </c>
      <c r="G641" s="134">
        <v>0.17899999999999999</v>
      </c>
      <c r="H641" s="135">
        <v>2023</v>
      </c>
      <c r="I641" s="133" t="s">
        <v>5726</v>
      </c>
    </row>
    <row r="642" spans="1:9" ht="18.75" thickBot="1" x14ac:dyDescent="0.3">
      <c r="A642" t="str">
        <f t="shared" si="9"/>
        <v>129202I</v>
      </c>
      <c r="B642" s="133" t="s">
        <v>6836</v>
      </c>
      <c r="C642" s="133" t="s">
        <v>6837</v>
      </c>
      <c r="D642" s="441" t="s">
        <v>5504</v>
      </c>
      <c r="E642" s="133"/>
      <c r="F642" s="134">
        <v>0.21099999999999999</v>
      </c>
      <c r="G642" s="134">
        <v>0.18099999999999999</v>
      </c>
      <c r="H642" s="135">
        <v>2009</v>
      </c>
      <c r="I642" s="133" t="s">
        <v>5566</v>
      </c>
    </row>
    <row r="643" spans="1:9" ht="18.75" thickBot="1" x14ac:dyDescent="0.3">
      <c r="A643" t="str">
        <f t="shared" ref="A643:A706" si="10">SUBSTITUTE(B643,CHAR(32),"")</f>
        <v>010178M</v>
      </c>
      <c r="B643" s="133" t="s">
        <v>6838</v>
      </c>
      <c r="C643" s="133" t="s">
        <v>6839</v>
      </c>
      <c r="D643" s="441" t="s">
        <v>25</v>
      </c>
      <c r="E643" s="133"/>
      <c r="F643" s="134" t="s">
        <v>5552</v>
      </c>
      <c r="G643" s="134">
        <v>0.48099999999999998</v>
      </c>
      <c r="H643" s="135">
        <v>2023</v>
      </c>
      <c r="I643" s="133" t="s">
        <v>5678</v>
      </c>
    </row>
    <row r="644" spans="1:9" ht="18.75" thickBot="1" x14ac:dyDescent="0.3">
      <c r="A644" t="str">
        <f t="shared" si="10"/>
        <v>124889L</v>
      </c>
      <c r="B644" s="133" t="s">
        <v>6840</v>
      </c>
      <c r="C644" s="133" t="s">
        <v>6841</v>
      </c>
      <c r="D644" s="441" t="s">
        <v>5504</v>
      </c>
      <c r="E644" s="133"/>
      <c r="F644" s="134">
        <v>0.23300000000000001</v>
      </c>
      <c r="G644" s="134">
        <v>0.2</v>
      </c>
      <c r="H644" s="135">
        <v>2010</v>
      </c>
      <c r="I644" s="133" t="s">
        <v>5666</v>
      </c>
    </row>
    <row r="645" spans="1:9" ht="18.75" thickBot="1" x14ac:dyDescent="0.3">
      <c r="A645" t="str">
        <f t="shared" si="10"/>
        <v>014059T</v>
      </c>
      <c r="B645" s="133" t="s">
        <v>6842</v>
      </c>
      <c r="C645" s="133" t="s">
        <v>6843</v>
      </c>
      <c r="D645" s="441" t="s">
        <v>26</v>
      </c>
      <c r="E645" s="133"/>
      <c r="F645" s="134">
        <v>0.40600000000000003</v>
      </c>
      <c r="G645" s="134">
        <v>0.34899999999999998</v>
      </c>
      <c r="H645" s="135">
        <v>2011</v>
      </c>
      <c r="I645" s="133" t="s">
        <v>5895</v>
      </c>
    </row>
    <row r="646" spans="1:9" ht="18.75" thickBot="1" x14ac:dyDescent="0.3">
      <c r="A646" t="str">
        <f t="shared" si="10"/>
        <v>126911F</v>
      </c>
      <c r="B646" s="133" t="s">
        <v>6844</v>
      </c>
      <c r="C646" s="133" t="s">
        <v>6845</v>
      </c>
      <c r="D646" s="441" t="s">
        <v>5504</v>
      </c>
      <c r="E646" s="133"/>
      <c r="F646" s="134">
        <v>0.21099999999999999</v>
      </c>
      <c r="G646" s="134">
        <v>0.182</v>
      </c>
      <c r="H646" s="135">
        <v>2024</v>
      </c>
      <c r="I646" s="133" t="s">
        <v>5573</v>
      </c>
    </row>
    <row r="647" spans="1:9" ht="18.75" thickBot="1" x14ac:dyDescent="0.3">
      <c r="A647" t="str">
        <f t="shared" si="10"/>
        <v>014065Z</v>
      </c>
      <c r="B647" s="133" t="s">
        <v>6846</v>
      </c>
      <c r="C647" s="133" t="s">
        <v>6847</v>
      </c>
      <c r="D647" s="441" t="s">
        <v>25</v>
      </c>
      <c r="E647" s="133"/>
      <c r="F647" s="134" t="s">
        <v>5552</v>
      </c>
      <c r="G647" s="134">
        <v>0.50900000000000001</v>
      </c>
      <c r="H647" s="135">
        <v>2009</v>
      </c>
      <c r="I647" s="133" t="s">
        <v>5630</v>
      </c>
    </row>
    <row r="648" spans="1:9" ht="18.75" thickBot="1" x14ac:dyDescent="0.3">
      <c r="A648" t="str">
        <f t="shared" si="10"/>
        <v>129509D</v>
      </c>
      <c r="B648" s="133" t="s">
        <v>6848</v>
      </c>
      <c r="C648" s="133" t="s">
        <v>6849</v>
      </c>
      <c r="D648" s="441" t="s">
        <v>24</v>
      </c>
      <c r="E648" s="133"/>
      <c r="F648" s="134" t="s">
        <v>5552</v>
      </c>
      <c r="G648" s="134">
        <v>0.60499999999999998</v>
      </c>
      <c r="H648" s="135">
        <v>2015</v>
      </c>
      <c r="I648" s="133" t="s">
        <v>5678</v>
      </c>
    </row>
    <row r="649" spans="1:9" ht="18.75" thickBot="1" x14ac:dyDescent="0.3">
      <c r="A649" t="str">
        <f t="shared" si="10"/>
        <v>116960M</v>
      </c>
      <c r="B649" s="133" t="s">
        <v>6850</v>
      </c>
      <c r="C649" s="133" t="s">
        <v>6851</v>
      </c>
      <c r="D649" s="441" t="s">
        <v>25</v>
      </c>
      <c r="E649" s="133"/>
      <c r="F649" s="134" t="s">
        <v>5552</v>
      </c>
      <c r="G649" s="134">
        <v>0.45100000000000001</v>
      </c>
      <c r="H649" s="135">
        <v>2019</v>
      </c>
      <c r="I649" s="133" t="s">
        <v>5678</v>
      </c>
    </row>
    <row r="650" spans="1:9" ht="18.75" thickBot="1" x14ac:dyDescent="0.3">
      <c r="A650" t="str">
        <f t="shared" si="10"/>
        <v>122092W</v>
      </c>
      <c r="B650" s="133" t="s">
        <v>6852</v>
      </c>
      <c r="C650" s="133" t="s">
        <v>6853</v>
      </c>
      <c r="D650" s="441" t="s">
        <v>5562</v>
      </c>
      <c r="E650" s="133"/>
      <c r="F650" s="134">
        <v>0.39900000000000002</v>
      </c>
      <c r="G650" s="134">
        <v>0.34300000000000003</v>
      </c>
      <c r="H650" s="135">
        <v>2024</v>
      </c>
      <c r="I650" s="133" t="s">
        <v>5625</v>
      </c>
    </row>
    <row r="651" spans="1:9" ht="18.75" thickBot="1" x14ac:dyDescent="0.3">
      <c r="A651" t="str">
        <f t="shared" si="10"/>
        <v>114522S</v>
      </c>
      <c r="B651" s="133" t="s">
        <v>6854</v>
      </c>
      <c r="C651" s="133" t="s">
        <v>6855</v>
      </c>
      <c r="D651" s="441" t="s">
        <v>5503</v>
      </c>
      <c r="E651" s="133"/>
      <c r="F651" s="134">
        <v>0.27500000000000002</v>
      </c>
      <c r="G651" s="134">
        <v>0.23599999999999999</v>
      </c>
      <c r="H651" s="135">
        <v>2015</v>
      </c>
      <c r="I651" s="133" t="s">
        <v>5563</v>
      </c>
    </row>
    <row r="652" spans="1:9" ht="18.75" thickBot="1" x14ac:dyDescent="0.3">
      <c r="A652" t="str">
        <f t="shared" si="10"/>
        <v>014081P</v>
      </c>
      <c r="B652" s="133" t="s">
        <v>6856</v>
      </c>
      <c r="C652" s="133" t="s">
        <v>6857</v>
      </c>
      <c r="D652" s="441" t="s">
        <v>26</v>
      </c>
      <c r="E652" s="133"/>
      <c r="F652" s="134">
        <v>0.45500000000000002</v>
      </c>
      <c r="G652" s="134">
        <v>0.39100000000000001</v>
      </c>
      <c r="H652" s="135">
        <v>2020</v>
      </c>
      <c r="I652" s="133" t="s">
        <v>5559</v>
      </c>
    </row>
    <row r="653" spans="1:9" ht="18.75" thickBot="1" x14ac:dyDescent="0.3">
      <c r="A653" t="str">
        <f t="shared" si="10"/>
        <v>152589H</v>
      </c>
      <c r="B653" s="133" t="s">
        <v>6858</v>
      </c>
      <c r="C653" s="133" t="s">
        <v>6859</v>
      </c>
      <c r="D653" s="441" t="s">
        <v>5504</v>
      </c>
      <c r="E653" s="133"/>
      <c r="F653" s="134">
        <v>0.23400000000000001</v>
      </c>
      <c r="G653" s="134">
        <v>0.20100000000000001</v>
      </c>
      <c r="H653" s="135">
        <v>2017</v>
      </c>
      <c r="I653" s="133" t="s">
        <v>5657</v>
      </c>
    </row>
    <row r="654" spans="1:9" ht="18.75" thickBot="1" x14ac:dyDescent="0.3">
      <c r="A654" t="str">
        <f t="shared" si="10"/>
        <v>134376I</v>
      </c>
      <c r="B654" s="133" t="s">
        <v>6860</v>
      </c>
      <c r="C654" s="133" t="s">
        <v>6861</v>
      </c>
      <c r="D654" s="441" t="s">
        <v>5503</v>
      </c>
      <c r="E654" s="133"/>
      <c r="F654" s="134">
        <v>0.316</v>
      </c>
      <c r="G654" s="134">
        <v>0.27200000000000002</v>
      </c>
      <c r="H654" s="135">
        <v>2012</v>
      </c>
      <c r="I654" s="133" t="s">
        <v>5608</v>
      </c>
    </row>
    <row r="655" spans="1:9" ht="18.75" thickBot="1" x14ac:dyDescent="0.3">
      <c r="A655" t="str">
        <f t="shared" si="10"/>
        <v>144850E</v>
      </c>
      <c r="B655" s="133" t="s">
        <v>6862</v>
      </c>
      <c r="C655" s="133" t="s">
        <v>6863</v>
      </c>
      <c r="D655" s="441" t="s">
        <v>5503</v>
      </c>
      <c r="E655" s="133"/>
      <c r="F655" s="134">
        <v>0.253</v>
      </c>
      <c r="G655" s="134">
        <v>0.218</v>
      </c>
      <c r="H655" s="135">
        <v>2012</v>
      </c>
      <c r="I655" s="133" t="s">
        <v>5801</v>
      </c>
    </row>
    <row r="656" spans="1:9" ht="18.75" thickBot="1" x14ac:dyDescent="0.3">
      <c r="A656" t="str">
        <f t="shared" si="10"/>
        <v>126072Y</v>
      </c>
      <c r="B656" s="133" t="s">
        <v>6864</v>
      </c>
      <c r="C656" s="133" t="s">
        <v>6865</v>
      </c>
      <c r="D656" s="441" t="s">
        <v>5504</v>
      </c>
      <c r="E656" s="133"/>
      <c r="F656" s="134">
        <v>0.215</v>
      </c>
      <c r="G656" s="134">
        <v>0.185</v>
      </c>
      <c r="H656" s="135">
        <v>2017</v>
      </c>
      <c r="I656" s="133" t="s">
        <v>5566</v>
      </c>
    </row>
    <row r="657" spans="1:9" ht="18.75" thickBot="1" x14ac:dyDescent="0.3">
      <c r="A657" t="str">
        <f t="shared" si="10"/>
        <v>014096E</v>
      </c>
      <c r="B657" s="133" t="s">
        <v>6866</v>
      </c>
      <c r="C657" s="133" t="s">
        <v>6867</v>
      </c>
      <c r="D657" s="441" t="s">
        <v>26</v>
      </c>
      <c r="E657" s="133"/>
      <c r="F657" s="134">
        <v>0.40699999999999997</v>
      </c>
      <c r="G657" s="134">
        <v>0.35</v>
      </c>
      <c r="H657" s="135">
        <v>2022</v>
      </c>
      <c r="I657" s="133" t="s">
        <v>5635</v>
      </c>
    </row>
    <row r="658" spans="1:9" ht="18.75" thickBot="1" x14ac:dyDescent="0.3">
      <c r="A658" t="str">
        <f t="shared" si="10"/>
        <v>152162T</v>
      </c>
      <c r="B658" s="133" t="s">
        <v>6868</v>
      </c>
      <c r="C658" s="133" t="s">
        <v>6869</v>
      </c>
      <c r="D658" s="441" t="s">
        <v>26</v>
      </c>
      <c r="E658" s="133"/>
      <c r="F658" s="134">
        <v>0.377</v>
      </c>
      <c r="G658" s="134">
        <v>0.32400000000000001</v>
      </c>
      <c r="H658" s="135">
        <v>2020</v>
      </c>
      <c r="I658" s="133" t="s">
        <v>5566</v>
      </c>
    </row>
    <row r="659" spans="1:9" ht="18.75" thickBot="1" x14ac:dyDescent="0.3">
      <c r="A659" t="str">
        <f t="shared" si="10"/>
        <v>136063F</v>
      </c>
      <c r="B659" s="133" t="s">
        <v>6870</v>
      </c>
      <c r="C659" s="133" t="s">
        <v>6871</v>
      </c>
      <c r="D659" s="441" t="s">
        <v>5503</v>
      </c>
      <c r="E659" s="133"/>
      <c r="F659" s="134">
        <v>0.222</v>
      </c>
      <c r="G659" s="134">
        <v>0.191</v>
      </c>
      <c r="H659" s="135">
        <v>2013</v>
      </c>
      <c r="I659" s="133" t="s">
        <v>5726</v>
      </c>
    </row>
    <row r="660" spans="1:9" ht="18.75" thickBot="1" x14ac:dyDescent="0.3">
      <c r="A660" t="str">
        <f t="shared" si="10"/>
        <v>138525X</v>
      </c>
      <c r="B660" s="133" t="s">
        <v>6872</v>
      </c>
      <c r="C660" s="133" t="s">
        <v>6873</v>
      </c>
      <c r="D660" s="441" t="s">
        <v>26</v>
      </c>
      <c r="E660" s="133"/>
      <c r="F660" s="134">
        <v>0.378</v>
      </c>
      <c r="G660" s="134">
        <v>0.32500000000000001</v>
      </c>
      <c r="H660" s="135">
        <v>2015</v>
      </c>
      <c r="I660" s="133" t="s">
        <v>5744</v>
      </c>
    </row>
    <row r="661" spans="1:9" ht="18.75" thickBot="1" x14ac:dyDescent="0.3">
      <c r="A661" t="str">
        <f t="shared" si="10"/>
        <v>158718V</v>
      </c>
      <c r="B661" s="133" t="s">
        <v>6874</v>
      </c>
      <c r="C661" s="133" t="s">
        <v>6875</v>
      </c>
      <c r="D661" s="441" t="s">
        <v>5504</v>
      </c>
      <c r="E661" s="133"/>
      <c r="F661" s="134">
        <v>0.1</v>
      </c>
      <c r="G661" s="134">
        <v>8.5999999999999993E-2</v>
      </c>
      <c r="H661" s="135">
        <v>2020</v>
      </c>
      <c r="I661" s="133" t="s">
        <v>5573</v>
      </c>
    </row>
    <row r="662" spans="1:9" ht="18.75" thickBot="1" x14ac:dyDescent="0.3">
      <c r="A662" t="str">
        <f t="shared" si="10"/>
        <v>117485R</v>
      </c>
      <c r="B662" s="133" t="s">
        <v>6876</v>
      </c>
      <c r="C662" s="133" t="s">
        <v>6877</v>
      </c>
      <c r="D662" s="441" t="s">
        <v>5503</v>
      </c>
      <c r="E662" s="133"/>
      <c r="F662" s="134">
        <v>0.28299999999999997</v>
      </c>
      <c r="G662" s="134">
        <v>0.24399999999999999</v>
      </c>
      <c r="H662" s="135">
        <v>2024</v>
      </c>
      <c r="I662" s="133" t="s">
        <v>5912</v>
      </c>
    </row>
    <row r="663" spans="1:9" ht="18.75" thickBot="1" x14ac:dyDescent="0.3">
      <c r="A663" t="str">
        <f t="shared" si="10"/>
        <v>017506I</v>
      </c>
      <c r="B663" s="133" t="s">
        <v>6878</v>
      </c>
      <c r="C663" s="133" t="s">
        <v>6879</v>
      </c>
      <c r="D663" s="441" t="s">
        <v>5503</v>
      </c>
      <c r="E663" s="133"/>
      <c r="F663" s="134">
        <v>0.28399999999999997</v>
      </c>
      <c r="G663" s="134">
        <v>0.24399999999999999</v>
      </c>
      <c r="H663" s="135">
        <v>2019</v>
      </c>
      <c r="I663" s="133" t="s">
        <v>5635</v>
      </c>
    </row>
    <row r="664" spans="1:9" ht="18.75" thickBot="1" x14ac:dyDescent="0.3">
      <c r="A664" t="str">
        <f t="shared" si="10"/>
        <v>122895T</v>
      </c>
      <c r="B664" s="133" t="s">
        <v>6880</v>
      </c>
      <c r="C664" s="133" t="s">
        <v>6881</v>
      </c>
      <c r="D664" s="441" t="s">
        <v>5504</v>
      </c>
      <c r="E664" s="133"/>
      <c r="F664" s="134">
        <v>0.19500000000000001</v>
      </c>
      <c r="G664" s="134">
        <v>0.16700000000000001</v>
      </c>
      <c r="H664" s="135">
        <v>2012</v>
      </c>
      <c r="I664" s="133" t="s">
        <v>5744</v>
      </c>
    </row>
    <row r="665" spans="1:9" ht="18.75" thickBot="1" x14ac:dyDescent="0.3">
      <c r="A665" t="str">
        <f t="shared" si="10"/>
        <v>113438A</v>
      </c>
      <c r="B665" s="133" t="s">
        <v>6882</v>
      </c>
      <c r="C665" s="133" t="s">
        <v>6883</v>
      </c>
      <c r="D665" s="441" t="s">
        <v>5503</v>
      </c>
      <c r="E665" s="133"/>
      <c r="F665" s="134">
        <v>0.26</v>
      </c>
      <c r="G665" s="134">
        <v>0.224</v>
      </c>
      <c r="H665" s="135">
        <v>2008</v>
      </c>
      <c r="I665" s="133" t="s">
        <v>6229</v>
      </c>
    </row>
    <row r="666" spans="1:9" ht="18.75" thickBot="1" x14ac:dyDescent="0.3">
      <c r="A666" t="str">
        <f t="shared" si="10"/>
        <v>177198G</v>
      </c>
      <c r="B666" s="133" t="s">
        <v>8033</v>
      </c>
      <c r="C666" s="133" t="s">
        <v>8034</v>
      </c>
      <c r="D666" s="441" t="s">
        <v>5704</v>
      </c>
      <c r="E666" s="133"/>
      <c r="F666" s="134">
        <v>0.22600000000000001</v>
      </c>
      <c r="G666" s="134">
        <v>0.19400000000000001</v>
      </c>
      <c r="H666" s="135">
        <v>2024</v>
      </c>
      <c r="I666" s="133" t="s">
        <v>5573</v>
      </c>
    </row>
    <row r="667" spans="1:9" ht="18.75" thickBot="1" x14ac:dyDescent="0.3">
      <c r="A667" t="str">
        <f t="shared" si="10"/>
        <v>159467J</v>
      </c>
      <c r="B667" s="133" t="s">
        <v>6884</v>
      </c>
      <c r="C667" s="133" t="s">
        <v>6885</v>
      </c>
      <c r="D667" s="441" t="s">
        <v>26</v>
      </c>
      <c r="E667" s="133"/>
      <c r="F667" s="134">
        <v>0.40100000000000002</v>
      </c>
      <c r="G667" s="134">
        <v>0.34499999999999997</v>
      </c>
      <c r="H667" s="135">
        <v>2019</v>
      </c>
      <c r="I667" s="133" t="s">
        <v>5678</v>
      </c>
    </row>
    <row r="668" spans="1:9" ht="18.75" thickBot="1" x14ac:dyDescent="0.3">
      <c r="A668" t="str">
        <f t="shared" si="10"/>
        <v>014123F</v>
      </c>
      <c r="B668" s="133" t="s">
        <v>6886</v>
      </c>
      <c r="C668" s="133" t="s">
        <v>6887</v>
      </c>
      <c r="D668" s="441" t="s">
        <v>25</v>
      </c>
      <c r="E668" s="133"/>
      <c r="F668" s="134" t="s">
        <v>5552</v>
      </c>
      <c r="G668" s="134">
        <v>0.41799999999999998</v>
      </c>
      <c r="H668" s="135">
        <v>2011</v>
      </c>
      <c r="I668" s="133" t="s">
        <v>5671</v>
      </c>
    </row>
    <row r="669" spans="1:9" ht="18.75" thickBot="1" x14ac:dyDescent="0.3">
      <c r="A669" t="str">
        <f t="shared" si="10"/>
        <v>111888K</v>
      </c>
      <c r="B669" s="133" t="s">
        <v>6888</v>
      </c>
      <c r="C669" s="133" t="s">
        <v>6889</v>
      </c>
      <c r="D669" s="441" t="s">
        <v>5503</v>
      </c>
      <c r="E669" s="133"/>
      <c r="F669" s="134">
        <v>0.252</v>
      </c>
      <c r="G669" s="134">
        <v>0.217</v>
      </c>
      <c r="H669" s="135">
        <v>2024</v>
      </c>
      <c r="I669" s="133" t="s">
        <v>5744</v>
      </c>
    </row>
    <row r="670" spans="1:9" ht="18.75" thickBot="1" x14ac:dyDescent="0.3">
      <c r="A670" t="str">
        <f t="shared" si="10"/>
        <v>014136S</v>
      </c>
      <c r="B670" s="133" t="s">
        <v>6890</v>
      </c>
      <c r="C670" s="133" t="s">
        <v>6891</v>
      </c>
      <c r="D670" s="441" t="s">
        <v>26</v>
      </c>
      <c r="E670" s="133"/>
      <c r="F670" s="134">
        <v>0.5</v>
      </c>
      <c r="G670" s="134">
        <v>0.43</v>
      </c>
      <c r="H670" s="135">
        <v>2022</v>
      </c>
      <c r="I670" s="133" t="s">
        <v>5573</v>
      </c>
    </row>
    <row r="671" spans="1:9" ht="18.75" thickBot="1" x14ac:dyDescent="0.3">
      <c r="A671" t="str">
        <f t="shared" si="10"/>
        <v>156728G</v>
      </c>
      <c r="B671" s="133" t="s">
        <v>6892</v>
      </c>
      <c r="C671" s="133" t="s">
        <v>6893</v>
      </c>
      <c r="D671" s="441" t="s">
        <v>5562</v>
      </c>
      <c r="E671" s="133"/>
      <c r="F671" s="134">
        <v>0.34699999999999998</v>
      </c>
      <c r="G671" s="134">
        <v>0.29799999999999999</v>
      </c>
      <c r="H671" s="135">
        <v>2024</v>
      </c>
      <c r="I671" s="133" t="s">
        <v>5635</v>
      </c>
    </row>
    <row r="672" spans="1:9" ht="18.75" thickBot="1" x14ac:dyDescent="0.3">
      <c r="A672" t="str">
        <f t="shared" si="10"/>
        <v>152546L</v>
      </c>
      <c r="B672" s="133" t="s">
        <v>6894</v>
      </c>
      <c r="C672" s="133" t="s">
        <v>6895</v>
      </c>
      <c r="D672" s="441" t="s">
        <v>5503</v>
      </c>
      <c r="E672" s="133"/>
      <c r="F672" s="134">
        <v>0.35199999999999998</v>
      </c>
      <c r="G672" s="134">
        <v>0.30299999999999999</v>
      </c>
      <c r="H672" s="135">
        <v>2017</v>
      </c>
      <c r="I672" s="133" t="s">
        <v>5573</v>
      </c>
    </row>
    <row r="673" spans="1:9" ht="18.75" thickBot="1" x14ac:dyDescent="0.3">
      <c r="A673" t="str">
        <f t="shared" si="10"/>
        <v>014149F</v>
      </c>
      <c r="B673" s="133" t="s">
        <v>6896</v>
      </c>
      <c r="C673" s="133" t="s">
        <v>6897</v>
      </c>
      <c r="D673" s="441" t="s">
        <v>6025</v>
      </c>
      <c r="E673" s="133"/>
      <c r="F673" s="134" t="s">
        <v>5552</v>
      </c>
      <c r="G673" s="134">
        <v>0.52100000000000002</v>
      </c>
      <c r="H673" s="135">
        <v>2024</v>
      </c>
      <c r="I673" s="133" t="s">
        <v>5563</v>
      </c>
    </row>
    <row r="674" spans="1:9" ht="18.75" thickBot="1" x14ac:dyDescent="0.3">
      <c r="A674" t="str">
        <f t="shared" si="10"/>
        <v>014150G</v>
      </c>
      <c r="B674" s="133" t="s">
        <v>6898</v>
      </c>
      <c r="C674" s="133" t="s">
        <v>6899</v>
      </c>
      <c r="D674" s="441" t="s">
        <v>24</v>
      </c>
      <c r="E674" s="133"/>
      <c r="F674" s="134" t="s">
        <v>5552</v>
      </c>
      <c r="G674" s="134">
        <v>0.54900000000000004</v>
      </c>
      <c r="H674" s="135">
        <v>2017</v>
      </c>
      <c r="I674" s="133" t="s">
        <v>5587</v>
      </c>
    </row>
    <row r="675" spans="1:9" ht="18.75" thickBot="1" x14ac:dyDescent="0.3">
      <c r="A675" t="str">
        <f t="shared" si="10"/>
        <v>014158O</v>
      </c>
      <c r="B675" s="133" t="s">
        <v>6900</v>
      </c>
      <c r="C675" s="133" t="s">
        <v>6901</v>
      </c>
      <c r="D675" s="441" t="s">
        <v>26</v>
      </c>
      <c r="E675" s="133"/>
      <c r="F675" s="134">
        <v>0.378</v>
      </c>
      <c r="G675" s="134">
        <v>0.32500000000000001</v>
      </c>
      <c r="H675" s="135">
        <v>2013</v>
      </c>
      <c r="I675" s="133" t="s">
        <v>5559</v>
      </c>
    </row>
    <row r="676" spans="1:9" ht="18.75" thickBot="1" x14ac:dyDescent="0.3">
      <c r="A676" t="str">
        <f t="shared" si="10"/>
        <v>132717N</v>
      </c>
      <c r="B676" s="133" t="s">
        <v>6902</v>
      </c>
      <c r="C676" s="133" t="s">
        <v>6903</v>
      </c>
      <c r="D676" s="441" t="s">
        <v>25</v>
      </c>
      <c r="E676" s="133"/>
      <c r="F676" s="134" t="s">
        <v>5552</v>
      </c>
      <c r="G676" s="134">
        <v>0.35</v>
      </c>
      <c r="H676" s="135">
        <v>2013</v>
      </c>
      <c r="I676" s="133" t="s">
        <v>5639</v>
      </c>
    </row>
    <row r="677" spans="1:9" ht="18.75" thickBot="1" x14ac:dyDescent="0.3">
      <c r="A677" t="str">
        <f t="shared" si="10"/>
        <v>014162S</v>
      </c>
      <c r="B677" s="133" t="s">
        <v>6904</v>
      </c>
      <c r="C677" s="133" t="s">
        <v>6905</v>
      </c>
      <c r="D677" s="441" t="s">
        <v>5503</v>
      </c>
      <c r="E677" s="133"/>
      <c r="F677" s="134">
        <v>0.307</v>
      </c>
      <c r="G677" s="134">
        <v>0.26400000000000001</v>
      </c>
      <c r="H677" s="135">
        <v>2011</v>
      </c>
      <c r="I677" s="133" t="s">
        <v>5701</v>
      </c>
    </row>
    <row r="678" spans="1:9" ht="18.75" thickBot="1" x14ac:dyDescent="0.3">
      <c r="A678" t="str">
        <f t="shared" si="10"/>
        <v>156727F</v>
      </c>
      <c r="B678" s="133" t="s">
        <v>6906</v>
      </c>
      <c r="C678" s="133" t="s">
        <v>6907</v>
      </c>
      <c r="D678" s="441" t="s">
        <v>5503</v>
      </c>
      <c r="E678" s="133"/>
      <c r="F678" s="134">
        <v>0.33600000000000002</v>
      </c>
      <c r="G678" s="134">
        <v>0.28899999999999998</v>
      </c>
      <c r="H678" s="135">
        <v>2024</v>
      </c>
      <c r="I678" s="133" t="s">
        <v>5635</v>
      </c>
    </row>
    <row r="679" spans="1:9" ht="18.75" thickBot="1" x14ac:dyDescent="0.3">
      <c r="A679" t="str">
        <f t="shared" si="10"/>
        <v>014165V</v>
      </c>
      <c r="B679" s="133" t="s">
        <v>6908</v>
      </c>
      <c r="C679" s="133" t="s">
        <v>6909</v>
      </c>
      <c r="D679" s="441" t="s">
        <v>5503</v>
      </c>
      <c r="E679" s="133"/>
      <c r="F679" s="134">
        <v>0.27500000000000002</v>
      </c>
      <c r="G679" s="134">
        <v>0.23599999999999999</v>
      </c>
      <c r="H679" s="135">
        <v>2008</v>
      </c>
      <c r="I679" s="133" t="s">
        <v>5566</v>
      </c>
    </row>
    <row r="680" spans="1:9" ht="18.75" thickBot="1" x14ac:dyDescent="0.3">
      <c r="A680" t="str">
        <f t="shared" si="10"/>
        <v>147307R</v>
      </c>
      <c r="B680" s="133" t="s">
        <v>8586</v>
      </c>
      <c r="C680" s="133" t="s">
        <v>8587</v>
      </c>
      <c r="D680" s="441" t="s">
        <v>26</v>
      </c>
      <c r="E680" s="133"/>
      <c r="F680" s="134">
        <v>0.38900000000000001</v>
      </c>
      <c r="G680" s="134">
        <v>0.33400000000000002</v>
      </c>
      <c r="H680" s="135">
        <v>2018</v>
      </c>
      <c r="I680" s="133" t="s">
        <v>5635</v>
      </c>
    </row>
    <row r="681" spans="1:9" ht="18.75" thickBot="1" x14ac:dyDescent="0.3">
      <c r="A681" t="str">
        <f t="shared" si="10"/>
        <v>014170A</v>
      </c>
      <c r="B681" s="133" t="s">
        <v>6910</v>
      </c>
      <c r="C681" s="133" t="s">
        <v>6911</v>
      </c>
      <c r="D681" s="441" t="s">
        <v>5503</v>
      </c>
      <c r="E681" s="133"/>
      <c r="F681" s="134">
        <v>0.219</v>
      </c>
      <c r="G681" s="134">
        <v>0.189</v>
      </c>
      <c r="H681" s="135">
        <v>2023</v>
      </c>
      <c r="I681" s="133" t="s">
        <v>5768</v>
      </c>
    </row>
    <row r="682" spans="1:9" ht="18.75" thickBot="1" x14ac:dyDescent="0.3">
      <c r="A682" t="str">
        <f t="shared" si="10"/>
        <v>118147D</v>
      </c>
      <c r="B682" s="133" t="s">
        <v>6912</v>
      </c>
      <c r="C682" s="133" t="s">
        <v>6913</v>
      </c>
      <c r="D682" s="441" t="s">
        <v>26</v>
      </c>
      <c r="E682" s="133"/>
      <c r="F682" s="134">
        <v>0.51800000000000002</v>
      </c>
      <c r="G682" s="134">
        <v>0.44500000000000001</v>
      </c>
      <c r="H682" s="135">
        <v>2017</v>
      </c>
      <c r="I682" s="133" t="s">
        <v>5559</v>
      </c>
    </row>
    <row r="683" spans="1:9" ht="18.75" thickBot="1" x14ac:dyDescent="0.3">
      <c r="A683" t="str">
        <f t="shared" si="10"/>
        <v>137385B</v>
      </c>
      <c r="B683" s="133" t="s">
        <v>6914</v>
      </c>
      <c r="C683" s="133" t="s">
        <v>6915</v>
      </c>
      <c r="D683" s="441" t="s">
        <v>26</v>
      </c>
      <c r="E683" s="133"/>
      <c r="F683" s="134">
        <v>0.36799999999999999</v>
      </c>
      <c r="G683" s="134">
        <v>0.316</v>
      </c>
      <c r="H683" s="135">
        <v>2018</v>
      </c>
      <c r="I683" s="133" t="s">
        <v>5678</v>
      </c>
    </row>
    <row r="684" spans="1:9" ht="18.75" thickBot="1" x14ac:dyDescent="0.3">
      <c r="A684" t="str">
        <f t="shared" si="10"/>
        <v>103185R</v>
      </c>
      <c r="B684" s="133" t="s">
        <v>6916</v>
      </c>
      <c r="C684" s="133" t="s">
        <v>6917</v>
      </c>
      <c r="D684" s="441" t="s">
        <v>5504</v>
      </c>
      <c r="E684" s="133"/>
      <c r="F684" s="134">
        <v>0.17699999999999999</v>
      </c>
      <c r="G684" s="134">
        <v>0.152</v>
      </c>
      <c r="H684" s="135">
        <v>2014</v>
      </c>
      <c r="I684" s="133" t="s">
        <v>5710</v>
      </c>
    </row>
    <row r="685" spans="1:9" ht="18.75" thickBot="1" x14ac:dyDescent="0.3">
      <c r="A685" t="str">
        <f t="shared" si="10"/>
        <v>014180K</v>
      </c>
      <c r="B685" s="133" t="s">
        <v>6918</v>
      </c>
      <c r="C685" s="133" t="s">
        <v>6919</v>
      </c>
      <c r="D685" s="441" t="s">
        <v>24</v>
      </c>
      <c r="E685" s="133"/>
      <c r="F685" s="134" t="s">
        <v>5552</v>
      </c>
      <c r="G685" s="134">
        <v>0.71199999999999997</v>
      </c>
      <c r="H685" s="135">
        <v>2012</v>
      </c>
      <c r="I685" s="133" t="s">
        <v>5853</v>
      </c>
    </row>
    <row r="686" spans="1:9" ht="18.75" thickBot="1" x14ac:dyDescent="0.3">
      <c r="A686" t="str">
        <f t="shared" si="10"/>
        <v>154565F</v>
      </c>
      <c r="B686" s="133" t="s">
        <v>6920</v>
      </c>
      <c r="C686" s="133" t="s">
        <v>6921</v>
      </c>
      <c r="D686" s="441" t="s">
        <v>5504</v>
      </c>
      <c r="E686" s="133"/>
      <c r="F686" s="134">
        <v>9.6000000000000002E-2</v>
      </c>
      <c r="G686" s="134">
        <v>8.2000000000000003E-2</v>
      </c>
      <c r="H686" s="135">
        <v>2019</v>
      </c>
      <c r="I686" s="133" t="s">
        <v>5556</v>
      </c>
    </row>
    <row r="687" spans="1:9" ht="18.75" thickBot="1" x14ac:dyDescent="0.3">
      <c r="A687" t="str">
        <f t="shared" si="10"/>
        <v>168393L</v>
      </c>
      <c r="B687" s="133" t="s">
        <v>6922</v>
      </c>
      <c r="C687" s="133" t="s">
        <v>6923</v>
      </c>
      <c r="D687" s="441" t="s">
        <v>5503</v>
      </c>
      <c r="E687" s="133"/>
      <c r="F687" s="134">
        <v>0.28399999999999997</v>
      </c>
      <c r="G687" s="134">
        <v>0.24399999999999999</v>
      </c>
      <c r="H687" s="135">
        <v>2020</v>
      </c>
      <c r="I687" s="133" t="s">
        <v>5582</v>
      </c>
    </row>
    <row r="688" spans="1:9" ht="18.75" thickBot="1" x14ac:dyDescent="0.3">
      <c r="A688" t="str">
        <f t="shared" si="10"/>
        <v>014185P</v>
      </c>
      <c r="B688" s="133" t="s">
        <v>6924</v>
      </c>
      <c r="C688" s="133" t="s">
        <v>6925</v>
      </c>
      <c r="D688" s="441" t="s">
        <v>24</v>
      </c>
      <c r="E688" s="133"/>
      <c r="F688" s="134" t="s">
        <v>5552</v>
      </c>
      <c r="G688" s="134">
        <v>0.55100000000000005</v>
      </c>
      <c r="H688" s="135">
        <v>2013</v>
      </c>
      <c r="I688" s="133" t="s">
        <v>5678</v>
      </c>
    </row>
    <row r="689" spans="1:9" ht="18.75" thickBot="1" x14ac:dyDescent="0.3">
      <c r="A689" t="str">
        <f t="shared" si="10"/>
        <v>014186Q</v>
      </c>
      <c r="B689" s="133" t="s">
        <v>6926</v>
      </c>
      <c r="C689" s="133" t="s">
        <v>6927</v>
      </c>
      <c r="D689" s="441" t="s">
        <v>5503</v>
      </c>
      <c r="E689" s="133"/>
      <c r="F689" s="134">
        <v>0.28399999999999997</v>
      </c>
      <c r="G689" s="134">
        <v>0.24399999999999999</v>
      </c>
      <c r="H689" s="135">
        <v>2009</v>
      </c>
      <c r="I689" s="133" t="s">
        <v>5563</v>
      </c>
    </row>
    <row r="690" spans="1:9" ht="18.75" thickBot="1" x14ac:dyDescent="0.3">
      <c r="A690" t="str">
        <f t="shared" si="10"/>
        <v>014190U</v>
      </c>
      <c r="B690" s="133" t="s">
        <v>6928</v>
      </c>
      <c r="C690" s="133" t="s">
        <v>6929</v>
      </c>
      <c r="D690" s="441" t="s">
        <v>24</v>
      </c>
      <c r="E690" s="133"/>
      <c r="F690" s="134" t="s">
        <v>5552</v>
      </c>
      <c r="G690" s="134">
        <v>0.67</v>
      </c>
      <c r="H690" s="135">
        <v>2016</v>
      </c>
      <c r="I690" s="133" t="s">
        <v>5678</v>
      </c>
    </row>
    <row r="691" spans="1:9" ht="18.75" thickBot="1" x14ac:dyDescent="0.3">
      <c r="A691" t="str">
        <f t="shared" si="10"/>
        <v>176839R</v>
      </c>
      <c r="B691" s="133" t="s">
        <v>6930</v>
      </c>
      <c r="C691" s="133" t="s">
        <v>6931</v>
      </c>
      <c r="D691" s="441" t="s">
        <v>5504</v>
      </c>
      <c r="E691" s="133"/>
      <c r="F691" s="134">
        <v>0.13300000000000001</v>
      </c>
      <c r="G691" s="134">
        <v>0.114</v>
      </c>
      <c r="H691" s="135">
        <v>2024</v>
      </c>
      <c r="I691" s="133" t="s">
        <v>5678</v>
      </c>
    </row>
    <row r="692" spans="1:9" ht="18.75" thickBot="1" x14ac:dyDescent="0.3">
      <c r="A692" t="str">
        <f t="shared" si="10"/>
        <v>162777G</v>
      </c>
      <c r="B692" s="133" t="s">
        <v>6932</v>
      </c>
      <c r="C692" s="133" t="s">
        <v>6933</v>
      </c>
      <c r="D692" s="441" t="s">
        <v>5503</v>
      </c>
      <c r="E692" s="133"/>
      <c r="F692" s="134">
        <v>0.19600000000000001</v>
      </c>
      <c r="G692" s="134">
        <v>0.16800000000000001</v>
      </c>
      <c r="H692" s="135">
        <v>2024</v>
      </c>
      <c r="I692" s="133" t="s">
        <v>5651</v>
      </c>
    </row>
    <row r="693" spans="1:9" ht="18.75" thickBot="1" x14ac:dyDescent="0.3">
      <c r="A693" t="str">
        <f t="shared" si="10"/>
        <v>166221A</v>
      </c>
      <c r="B693" s="133" t="s">
        <v>7436</v>
      </c>
      <c r="C693" s="133" t="s">
        <v>7437</v>
      </c>
      <c r="D693" s="441" t="s">
        <v>5704</v>
      </c>
      <c r="E693" s="133"/>
      <c r="F693" s="134">
        <v>0.20300000000000001</v>
      </c>
      <c r="G693" s="134">
        <v>0.17499999999999999</v>
      </c>
      <c r="H693" s="135">
        <v>2024</v>
      </c>
      <c r="I693" s="133" t="s">
        <v>5573</v>
      </c>
    </row>
    <row r="694" spans="1:9" ht="18.75" thickBot="1" x14ac:dyDescent="0.3">
      <c r="A694" t="str">
        <f t="shared" si="10"/>
        <v>124951V</v>
      </c>
      <c r="B694" s="133" t="s">
        <v>6934</v>
      </c>
      <c r="C694" s="133" t="s">
        <v>6935</v>
      </c>
      <c r="D694" s="441" t="s">
        <v>5503</v>
      </c>
      <c r="E694" s="133"/>
      <c r="F694" s="134">
        <v>0.33400000000000002</v>
      </c>
      <c r="G694" s="134">
        <v>0.28799999999999998</v>
      </c>
      <c r="H694" s="135">
        <v>2018</v>
      </c>
      <c r="I694" s="133" t="s">
        <v>5678</v>
      </c>
    </row>
    <row r="695" spans="1:9" ht="18.75" thickBot="1" x14ac:dyDescent="0.3">
      <c r="A695" t="str">
        <f t="shared" si="10"/>
        <v>014200E</v>
      </c>
      <c r="B695" s="133" t="s">
        <v>6936</v>
      </c>
      <c r="C695" s="133" t="s">
        <v>6937</v>
      </c>
      <c r="D695" s="441" t="s">
        <v>5503</v>
      </c>
      <c r="E695" s="133"/>
      <c r="F695" s="134">
        <v>0.27100000000000002</v>
      </c>
      <c r="G695" s="134">
        <v>0.23300000000000001</v>
      </c>
      <c r="H695" s="135">
        <v>2012</v>
      </c>
      <c r="I695" s="133" t="s">
        <v>6137</v>
      </c>
    </row>
    <row r="696" spans="1:9" ht="18.75" thickBot="1" x14ac:dyDescent="0.3">
      <c r="A696" t="str">
        <f t="shared" si="10"/>
        <v>109508W</v>
      </c>
      <c r="B696" s="133" t="s">
        <v>6938</v>
      </c>
      <c r="C696" s="133" t="s">
        <v>6939</v>
      </c>
      <c r="D696" s="441" t="s">
        <v>26</v>
      </c>
      <c r="E696" s="133"/>
      <c r="F696" s="134">
        <v>0.48199999999999998</v>
      </c>
      <c r="G696" s="134">
        <v>0.41499999999999998</v>
      </c>
      <c r="H696" s="135">
        <v>2015</v>
      </c>
      <c r="I696" s="133" t="s">
        <v>5594</v>
      </c>
    </row>
    <row r="697" spans="1:9" ht="18.75" thickBot="1" x14ac:dyDescent="0.3">
      <c r="A697" t="str">
        <f t="shared" si="10"/>
        <v>175258Y</v>
      </c>
      <c r="B697" s="133" t="s">
        <v>8057</v>
      </c>
      <c r="C697" s="133" t="s">
        <v>8058</v>
      </c>
      <c r="D697" s="441" t="s">
        <v>5503</v>
      </c>
      <c r="E697" s="133"/>
      <c r="F697" s="134">
        <v>0.33300000000000002</v>
      </c>
      <c r="G697" s="134">
        <v>0.28599999999999998</v>
      </c>
      <c r="H697" s="135">
        <v>2024</v>
      </c>
      <c r="I697" s="133" t="s">
        <v>5657</v>
      </c>
    </row>
    <row r="698" spans="1:9" ht="18.75" thickBot="1" x14ac:dyDescent="0.3">
      <c r="A698" t="str">
        <f t="shared" si="10"/>
        <v>014205J</v>
      </c>
      <c r="B698" s="133" t="s">
        <v>6940</v>
      </c>
      <c r="C698" s="133" t="s">
        <v>6941</v>
      </c>
      <c r="D698" s="441" t="s">
        <v>24</v>
      </c>
      <c r="E698" s="133"/>
      <c r="F698" s="134" t="s">
        <v>5552</v>
      </c>
      <c r="G698" s="134">
        <v>0.61099999999999999</v>
      </c>
      <c r="H698" s="135">
        <v>2010</v>
      </c>
      <c r="I698" s="133" t="s">
        <v>6137</v>
      </c>
    </row>
    <row r="699" spans="1:9" ht="18.75" thickBot="1" x14ac:dyDescent="0.3">
      <c r="A699" t="str">
        <f t="shared" si="10"/>
        <v>126326S</v>
      </c>
      <c r="B699" s="133" t="s">
        <v>6942</v>
      </c>
      <c r="C699" s="133" t="s">
        <v>6943</v>
      </c>
      <c r="D699" s="441" t="s">
        <v>24</v>
      </c>
      <c r="E699" s="133"/>
      <c r="F699" s="134" t="s">
        <v>5552</v>
      </c>
      <c r="G699" s="134">
        <v>0.64200000000000002</v>
      </c>
      <c r="H699" s="135">
        <v>2010</v>
      </c>
      <c r="I699" s="133" t="s">
        <v>5553</v>
      </c>
    </row>
    <row r="700" spans="1:9" ht="18.75" thickBot="1" x14ac:dyDescent="0.3">
      <c r="A700" t="str">
        <f t="shared" si="10"/>
        <v>123964W</v>
      </c>
      <c r="B700" s="133" t="s">
        <v>6944</v>
      </c>
      <c r="C700" s="133" t="s">
        <v>6945</v>
      </c>
      <c r="D700" s="441" t="s">
        <v>26</v>
      </c>
      <c r="E700" s="133"/>
      <c r="F700" s="134">
        <v>0.36699999999999999</v>
      </c>
      <c r="G700" s="134">
        <v>0.316</v>
      </c>
      <c r="H700" s="135">
        <v>2009</v>
      </c>
      <c r="I700" s="133" t="s">
        <v>6081</v>
      </c>
    </row>
    <row r="701" spans="1:9" ht="18.75" thickBot="1" x14ac:dyDescent="0.3">
      <c r="A701" t="str">
        <f t="shared" si="10"/>
        <v>014206K</v>
      </c>
      <c r="B701" s="133" t="s">
        <v>6946</v>
      </c>
      <c r="C701" s="133" t="s">
        <v>6947</v>
      </c>
      <c r="D701" s="441" t="s">
        <v>5638</v>
      </c>
      <c r="E701" s="133"/>
      <c r="F701" s="134" t="s">
        <v>5552</v>
      </c>
      <c r="G701" s="134">
        <v>0.38600000000000001</v>
      </c>
      <c r="H701" s="135">
        <v>2024</v>
      </c>
      <c r="I701" s="133" t="s">
        <v>5566</v>
      </c>
    </row>
    <row r="702" spans="1:9" ht="18.75" thickBot="1" x14ac:dyDescent="0.3">
      <c r="A702" t="str">
        <f t="shared" si="10"/>
        <v>137894Q</v>
      </c>
      <c r="B702" s="133" t="s">
        <v>6948</v>
      </c>
      <c r="C702" s="133" t="s">
        <v>6949</v>
      </c>
      <c r="D702" s="441" t="s">
        <v>26</v>
      </c>
      <c r="E702" s="133"/>
      <c r="F702" s="134">
        <v>0.374</v>
      </c>
      <c r="G702" s="134">
        <v>0.32200000000000001</v>
      </c>
      <c r="H702" s="135">
        <v>2019</v>
      </c>
      <c r="I702" s="133" t="s">
        <v>5553</v>
      </c>
    </row>
    <row r="703" spans="1:9" ht="18.75" thickBot="1" x14ac:dyDescent="0.3">
      <c r="A703" t="str">
        <f t="shared" si="10"/>
        <v>014209N</v>
      </c>
      <c r="B703" s="133" t="s">
        <v>6950</v>
      </c>
      <c r="C703" s="133" t="s">
        <v>6951</v>
      </c>
      <c r="D703" s="441" t="s">
        <v>26</v>
      </c>
      <c r="E703" s="133"/>
      <c r="F703" s="134">
        <v>0.27500000000000002</v>
      </c>
      <c r="G703" s="134">
        <v>0.23699999999999999</v>
      </c>
      <c r="H703" s="135">
        <v>2016</v>
      </c>
      <c r="I703" s="133" t="s">
        <v>5735</v>
      </c>
    </row>
    <row r="704" spans="1:9" ht="18.75" thickBot="1" x14ac:dyDescent="0.3">
      <c r="A704" t="str">
        <f t="shared" si="10"/>
        <v>014210O</v>
      </c>
      <c r="B704" s="133" t="s">
        <v>6952</v>
      </c>
      <c r="C704" s="133" t="s">
        <v>6953</v>
      </c>
      <c r="D704" s="441" t="s">
        <v>5503</v>
      </c>
      <c r="E704" s="133"/>
      <c r="F704" s="134">
        <v>0.30199999999999999</v>
      </c>
      <c r="G704" s="134">
        <v>0.25900000000000001</v>
      </c>
      <c r="H704" s="135">
        <v>2010</v>
      </c>
      <c r="I704" s="133" t="s">
        <v>6081</v>
      </c>
    </row>
    <row r="705" spans="1:9" ht="18.75" thickBot="1" x14ac:dyDescent="0.3">
      <c r="A705" t="str">
        <f t="shared" si="10"/>
        <v>014212Q</v>
      </c>
      <c r="B705" s="133" t="s">
        <v>6954</v>
      </c>
      <c r="C705" s="133" t="s">
        <v>6955</v>
      </c>
      <c r="D705" s="441" t="s">
        <v>5504</v>
      </c>
      <c r="E705" s="133"/>
      <c r="F705" s="134">
        <v>0.14099999999999999</v>
      </c>
      <c r="G705" s="134">
        <v>0.121</v>
      </c>
      <c r="H705" s="135">
        <v>2022</v>
      </c>
      <c r="I705" s="133" t="s">
        <v>5553</v>
      </c>
    </row>
    <row r="706" spans="1:9" ht="18.75" thickBot="1" x14ac:dyDescent="0.3">
      <c r="A706" t="str">
        <f t="shared" si="10"/>
        <v>014216U</v>
      </c>
      <c r="B706" s="133" t="s">
        <v>6956</v>
      </c>
      <c r="C706" s="133" t="s">
        <v>6957</v>
      </c>
      <c r="D706" s="441" t="s">
        <v>26</v>
      </c>
      <c r="E706" s="133"/>
      <c r="F706" s="134">
        <v>0.38600000000000001</v>
      </c>
      <c r="G706" s="134">
        <v>0.33200000000000002</v>
      </c>
      <c r="H706" s="135">
        <v>2024</v>
      </c>
      <c r="I706" s="133" t="s">
        <v>5646</v>
      </c>
    </row>
    <row r="707" spans="1:9" ht="18.75" thickBot="1" x14ac:dyDescent="0.3">
      <c r="A707" t="str">
        <f t="shared" ref="A707:A742" si="11">SUBSTITUTE(B707,CHAR(32),"")</f>
        <v>014217V</v>
      </c>
      <c r="B707" s="133" t="s">
        <v>6958</v>
      </c>
      <c r="C707" s="133" t="s">
        <v>6959</v>
      </c>
      <c r="D707" s="441" t="s">
        <v>25</v>
      </c>
      <c r="E707" s="133"/>
      <c r="F707" s="134" t="s">
        <v>5552</v>
      </c>
      <c r="G707" s="134">
        <v>0.504</v>
      </c>
      <c r="H707" s="135">
        <v>2023</v>
      </c>
      <c r="I707" s="133" t="s">
        <v>5553</v>
      </c>
    </row>
    <row r="708" spans="1:9" ht="18.75" thickBot="1" x14ac:dyDescent="0.3">
      <c r="A708" t="str">
        <f t="shared" si="11"/>
        <v>160032Y</v>
      </c>
      <c r="B708" s="133" t="s">
        <v>6960</v>
      </c>
      <c r="C708" s="133" t="s">
        <v>6961</v>
      </c>
      <c r="D708" s="441" t="s">
        <v>5638</v>
      </c>
      <c r="E708" s="133"/>
      <c r="F708" s="134" t="s">
        <v>5552</v>
      </c>
      <c r="G708" s="134">
        <v>0.42599999999999999</v>
      </c>
      <c r="H708" s="135">
        <v>2024</v>
      </c>
      <c r="I708" s="133" t="s">
        <v>5563</v>
      </c>
    </row>
    <row r="709" spans="1:9" ht="18.75" thickBot="1" x14ac:dyDescent="0.3">
      <c r="A709" t="str">
        <f t="shared" si="11"/>
        <v>149171S</v>
      </c>
      <c r="B709" s="133" t="s">
        <v>6962</v>
      </c>
      <c r="C709" s="133" t="s">
        <v>6963</v>
      </c>
      <c r="D709" s="441" t="s">
        <v>5503</v>
      </c>
      <c r="E709" s="133"/>
      <c r="F709" s="134">
        <v>0.28299999999999997</v>
      </c>
      <c r="G709" s="134">
        <v>0.24299999999999999</v>
      </c>
      <c r="H709" s="135">
        <v>2020</v>
      </c>
      <c r="I709" s="133" t="s">
        <v>5792</v>
      </c>
    </row>
    <row r="710" spans="1:9" ht="18.75" thickBot="1" x14ac:dyDescent="0.3">
      <c r="A710" t="str">
        <f t="shared" si="11"/>
        <v>014225D</v>
      </c>
      <c r="B710" s="133" t="s">
        <v>6964</v>
      </c>
      <c r="C710" s="133" t="s">
        <v>6965</v>
      </c>
      <c r="D710" s="441" t="s">
        <v>26</v>
      </c>
      <c r="E710" s="133"/>
      <c r="F710" s="134">
        <v>0.36099999999999999</v>
      </c>
      <c r="G710" s="134">
        <v>0.311</v>
      </c>
      <c r="H710" s="135">
        <v>2020</v>
      </c>
      <c r="I710" s="133" t="s">
        <v>5895</v>
      </c>
    </row>
    <row r="711" spans="1:9" ht="18.75" thickBot="1" x14ac:dyDescent="0.3">
      <c r="A711" t="str">
        <f t="shared" si="11"/>
        <v>154289F</v>
      </c>
      <c r="B711" s="133" t="s">
        <v>6966</v>
      </c>
      <c r="C711" s="133" t="s">
        <v>6967</v>
      </c>
      <c r="D711" s="441" t="s">
        <v>5503</v>
      </c>
      <c r="E711" s="133"/>
      <c r="F711" s="134">
        <v>0.25</v>
      </c>
      <c r="G711" s="134">
        <v>0.215</v>
      </c>
      <c r="H711" s="135">
        <v>2024</v>
      </c>
      <c r="I711" s="133" t="s">
        <v>5594</v>
      </c>
    </row>
    <row r="712" spans="1:9" ht="18.75" thickBot="1" x14ac:dyDescent="0.3">
      <c r="A712" t="str">
        <f t="shared" si="11"/>
        <v>014227F</v>
      </c>
      <c r="B712" s="133" t="s">
        <v>6968</v>
      </c>
      <c r="C712" s="133" t="s">
        <v>6969</v>
      </c>
      <c r="D712" s="441" t="s">
        <v>5503</v>
      </c>
      <c r="E712" s="133"/>
      <c r="F712" s="134">
        <v>0.27200000000000002</v>
      </c>
      <c r="G712" s="134">
        <v>0.23400000000000001</v>
      </c>
      <c r="H712" s="135">
        <v>2010</v>
      </c>
      <c r="I712" s="133" t="s">
        <v>5630</v>
      </c>
    </row>
    <row r="713" spans="1:9" ht="18.75" thickBot="1" x14ac:dyDescent="0.3">
      <c r="A713" t="str">
        <f t="shared" si="11"/>
        <v>014238Q</v>
      </c>
      <c r="B713" s="133" t="s">
        <v>6970</v>
      </c>
      <c r="C713" s="133" t="s">
        <v>6971</v>
      </c>
      <c r="D713" s="441" t="s">
        <v>26</v>
      </c>
      <c r="E713" s="133"/>
      <c r="F713" s="134">
        <v>0.44400000000000001</v>
      </c>
      <c r="G713" s="134">
        <v>0.38200000000000001</v>
      </c>
      <c r="H713" s="135">
        <v>2022</v>
      </c>
      <c r="I713" s="133" t="s">
        <v>5559</v>
      </c>
    </row>
    <row r="714" spans="1:9" ht="18.75" thickBot="1" x14ac:dyDescent="0.3">
      <c r="A714" t="str">
        <f t="shared" si="11"/>
        <v>014242U</v>
      </c>
      <c r="B714" s="133" t="s">
        <v>6972</v>
      </c>
      <c r="C714" s="133" t="s">
        <v>6973</v>
      </c>
      <c r="D714" s="441" t="s">
        <v>25</v>
      </c>
      <c r="E714" s="133"/>
      <c r="F714" s="134" t="s">
        <v>5552</v>
      </c>
      <c r="G714" s="134">
        <v>0.47599999999999998</v>
      </c>
      <c r="H714" s="135">
        <v>2009</v>
      </c>
      <c r="I714" s="133" t="s">
        <v>5594</v>
      </c>
    </row>
    <row r="715" spans="1:9" ht="18.75" thickBot="1" x14ac:dyDescent="0.3">
      <c r="A715" t="str">
        <f t="shared" si="11"/>
        <v>138266Y</v>
      </c>
      <c r="B715" s="133" t="s">
        <v>6974</v>
      </c>
      <c r="C715" s="133" t="s">
        <v>6975</v>
      </c>
      <c r="D715" s="441" t="s">
        <v>5503</v>
      </c>
      <c r="E715" s="133"/>
      <c r="F715" s="134">
        <v>0.33</v>
      </c>
      <c r="G715" s="134">
        <v>0.28399999999999997</v>
      </c>
      <c r="H715" s="135">
        <v>2024</v>
      </c>
      <c r="I715" s="133" t="s">
        <v>5615</v>
      </c>
    </row>
    <row r="716" spans="1:9" ht="18.75" thickBot="1" x14ac:dyDescent="0.3">
      <c r="A716" t="str">
        <f t="shared" si="11"/>
        <v>014243V</v>
      </c>
      <c r="B716" s="133" t="s">
        <v>6976</v>
      </c>
      <c r="C716" s="133" t="s">
        <v>6977</v>
      </c>
      <c r="D716" s="441" t="s">
        <v>25</v>
      </c>
      <c r="E716" s="133"/>
      <c r="F716" s="134" t="s">
        <v>5552</v>
      </c>
      <c r="G716" s="134">
        <v>0.57499999999999996</v>
      </c>
      <c r="H716" s="135">
        <v>2024</v>
      </c>
      <c r="I716" s="133" t="s">
        <v>5559</v>
      </c>
    </row>
    <row r="717" spans="1:9" ht="18.75" thickBot="1" x14ac:dyDescent="0.3">
      <c r="A717" t="str">
        <f t="shared" si="11"/>
        <v>014251D</v>
      </c>
      <c r="B717" s="133" t="s">
        <v>6978</v>
      </c>
      <c r="C717" s="133" t="s">
        <v>6979</v>
      </c>
      <c r="D717" s="441" t="s">
        <v>26</v>
      </c>
      <c r="E717" s="133"/>
      <c r="F717" s="134">
        <v>0.50600000000000001</v>
      </c>
      <c r="G717" s="134">
        <v>0.435</v>
      </c>
      <c r="H717" s="135">
        <v>2020</v>
      </c>
      <c r="I717" s="133" t="s">
        <v>5566</v>
      </c>
    </row>
    <row r="718" spans="1:9" ht="18.75" thickBot="1" x14ac:dyDescent="0.3">
      <c r="A718" t="str">
        <f t="shared" si="11"/>
        <v>178629M</v>
      </c>
      <c r="B718" s="133" t="s">
        <v>6980</v>
      </c>
      <c r="C718" s="133" t="s">
        <v>6981</v>
      </c>
      <c r="D718" s="441" t="s">
        <v>26</v>
      </c>
      <c r="E718" s="133"/>
      <c r="F718" s="134">
        <v>0.435</v>
      </c>
      <c r="G718" s="134">
        <v>0.374</v>
      </c>
      <c r="H718" s="135">
        <v>2024</v>
      </c>
      <c r="I718" s="133" t="s">
        <v>5678</v>
      </c>
    </row>
    <row r="719" spans="1:9" ht="18.75" thickBot="1" x14ac:dyDescent="0.3">
      <c r="A719" t="str">
        <f t="shared" si="11"/>
        <v>014259L</v>
      </c>
      <c r="B719" s="133" t="s">
        <v>8590</v>
      </c>
      <c r="C719" s="133" t="s">
        <v>8591</v>
      </c>
      <c r="D719" s="441" t="s">
        <v>5704</v>
      </c>
      <c r="E719" s="133"/>
      <c r="F719" s="134">
        <v>0.2</v>
      </c>
      <c r="G719" s="134">
        <v>0.17199999999999999</v>
      </c>
      <c r="H719" s="135">
        <v>2024</v>
      </c>
      <c r="I719" s="133" t="s">
        <v>5553</v>
      </c>
    </row>
    <row r="720" spans="1:9" ht="18.75" thickBot="1" x14ac:dyDescent="0.3">
      <c r="A720" t="str">
        <f t="shared" si="11"/>
        <v>014263P</v>
      </c>
      <c r="B720" s="133" t="s">
        <v>6982</v>
      </c>
      <c r="C720" s="133" t="s">
        <v>6983</v>
      </c>
      <c r="D720" s="441" t="s">
        <v>5503</v>
      </c>
      <c r="E720" s="133"/>
      <c r="F720" s="134">
        <v>0.17699999999999999</v>
      </c>
      <c r="G720" s="134">
        <v>0.152</v>
      </c>
      <c r="H720" s="135">
        <v>2010</v>
      </c>
      <c r="I720" s="133" t="s">
        <v>5787</v>
      </c>
    </row>
    <row r="721" spans="1:9" ht="18.75" thickBot="1" x14ac:dyDescent="0.3">
      <c r="A721" t="str">
        <f t="shared" si="11"/>
        <v>132937Z</v>
      </c>
      <c r="B721" s="133" t="s">
        <v>6984</v>
      </c>
      <c r="C721" s="133" t="s">
        <v>6985</v>
      </c>
      <c r="D721" s="441" t="s">
        <v>5503</v>
      </c>
      <c r="E721" s="133"/>
      <c r="F721" s="134">
        <v>0.28999999999999998</v>
      </c>
      <c r="G721" s="134">
        <v>0.249</v>
      </c>
      <c r="H721" s="135">
        <v>2020</v>
      </c>
      <c r="I721" s="133" t="s">
        <v>5553</v>
      </c>
    </row>
    <row r="722" spans="1:9" ht="18.75" thickBot="1" x14ac:dyDescent="0.3">
      <c r="A722" t="str">
        <f t="shared" si="11"/>
        <v>126976S</v>
      </c>
      <c r="B722" s="133" t="s">
        <v>6986</v>
      </c>
      <c r="C722" s="133" t="s">
        <v>6987</v>
      </c>
      <c r="D722" s="441" t="s">
        <v>25</v>
      </c>
      <c r="E722" s="133"/>
      <c r="F722" s="134" t="s">
        <v>5552</v>
      </c>
      <c r="G722" s="134">
        <v>0.53500000000000003</v>
      </c>
      <c r="H722" s="135">
        <v>2014</v>
      </c>
      <c r="I722" s="133" t="s">
        <v>6081</v>
      </c>
    </row>
    <row r="723" spans="1:9" ht="18.75" thickBot="1" x14ac:dyDescent="0.3">
      <c r="A723" t="str">
        <f t="shared" si="11"/>
        <v>014269V</v>
      </c>
      <c r="B723" s="133" t="s">
        <v>6988</v>
      </c>
      <c r="C723" s="133" t="s">
        <v>6989</v>
      </c>
      <c r="D723" s="441" t="s">
        <v>25</v>
      </c>
      <c r="E723" s="133"/>
      <c r="F723" s="134" t="s">
        <v>5552</v>
      </c>
      <c r="G723" s="134">
        <v>0.46200000000000002</v>
      </c>
      <c r="H723" s="135">
        <v>2024</v>
      </c>
      <c r="I723" s="133" t="s">
        <v>5559</v>
      </c>
    </row>
    <row r="724" spans="1:9" ht="18.75" thickBot="1" x14ac:dyDescent="0.3">
      <c r="A724" t="str">
        <f t="shared" si="11"/>
        <v>014271X</v>
      </c>
      <c r="B724" s="133" t="s">
        <v>6990</v>
      </c>
      <c r="C724" s="133" t="s">
        <v>6991</v>
      </c>
      <c r="D724" s="441" t="s">
        <v>24</v>
      </c>
      <c r="E724" s="133"/>
      <c r="F724" s="134" t="s">
        <v>5552</v>
      </c>
      <c r="G724" s="134">
        <v>0.71499999999999997</v>
      </c>
      <c r="H724" s="135">
        <v>2015</v>
      </c>
      <c r="I724" s="133" t="s">
        <v>5566</v>
      </c>
    </row>
    <row r="725" spans="1:9" ht="18.75" thickBot="1" x14ac:dyDescent="0.3">
      <c r="A725" t="str">
        <f t="shared" si="11"/>
        <v>128089N</v>
      </c>
      <c r="B725" s="133" t="s">
        <v>6992</v>
      </c>
      <c r="C725" s="133" t="s">
        <v>6993</v>
      </c>
      <c r="D725" s="441" t="s">
        <v>26</v>
      </c>
      <c r="E725" s="133"/>
      <c r="F725" s="134">
        <v>0.38700000000000001</v>
      </c>
      <c r="G725" s="134">
        <v>0.33300000000000002</v>
      </c>
      <c r="H725" s="135">
        <v>2017</v>
      </c>
      <c r="I725" s="133" t="s">
        <v>6994</v>
      </c>
    </row>
    <row r="726" spans="1:9" ht="18.75" thickBot="1" x14ac:dyDescent="0.3">
      <c r="A726" t="str">
        <f t="shared" si="11"/>
        <v>127631X</v>
      </c>
      <c r="B726" s="133" t="s">
        <v>6995</v>
      </c>
      <c r="C726" s="133" t="s">
        <v>6996</v>
      </c>
      <c r="D726" s="441" t="s">
        <v>24</v>
      </c>
      <c r="E726" s="133"/>
      <c r="F726" s="134" t="s">
        <v>5552</v>
      </c>
      <c r="G726" s="134">
        <v>0.85899999999999999</v>
      </c>
      <c r="H726" s="135">
        <v>2024</v>
      </c>
      <c r="I726" s="133" t="s">
        <v>5635</v>
      </c>
    </row>
    <row r="727" spans="1:9" ht="18.75" thickBot="1" x14ac:dyDescent="0.3">
      <c r="A727" t="str">
        <f t="shared" si="11"/>
        <v>140021L</v>
      </c>
      <c r="B727" s="133" t="s">
        <v>6997</v>
      </c>
      <c r="C727" s="133" t="s">
        <v>6998</v>
      </c>
      <c r="D727" s="441" t="s">
        <v>5503</v>
      </c>
      <c r="E727" s="133"/>
      <c r="F727" s="134">
        <v>0.26700000000000002</v>
      </c>
      <c r="G727" s="134">
        <v>0.22900000000000001</v>
      </c>
      <c r="H727" s="135">
        <v>2024</v>
      </c>
      <c r="I727" s="133" t="s">
        <v>5710</v>
      </c>
    </row>
    <row r="728" spans="1:9" ht="18.75" thickBot="1" x14ac:dyDescent="0.3">
      <c r="A728" t="str">
        <f t="shared" si="11"/>
        <v>109607R</v>
      </c>
      <c r="B728" s="133" t="s">
        <v>6999</v>
      </c>
      <c r="C728" s="133" t="s">
        <v>7000</v>
      </c>
      <c r="D728" s="441" t="s">
        <v>26</v>
      </c>
      <c r="E728" s="133"/>
      <c r="F728" s="134">
        <v>0.36399999999999999</v>
      </c>
      <c r="G728" s="134">
        <v>0.313</v>
      </c>
      <c r="H728" s="135">
        <v>2019</v>
      </c>
      <c r="I728" s="133" t="s">
        <v>5553</v>
      </c>
    </row>
    <row r="729" spans="1:9" ht="18.75" thickBot="1" x14ac:dyDescent="0.3">
      <c r="A729" t="str">
        <f t="shared" si="11"/>
        <v>133648I</v>
      </c>
      <c r="B729" s="133" t="s">
        <v>7001</v>
      </c>
      <c r="C729" s="133" t="s">
        <v>7002</v>
      </c>
      <c r="D729" s="441" t="s">
        <v>26</v>
      </c>
      <c r="E729" s="133"/>
      <c r="F729" s="134">
        <v>0.38300000000000001</v>
      </c>
      <c r="G729" s="134">
        <v>0.32900000000000001</v>
      </c>
      <c r="H729" s="135">
        <v>2008</v>
      </c>
      <c r="I729" s="133" t="s">
        <v>5608</v>
      </c>
    </row>
    <row r="730" spans="1:9" ht="18.75" thickBot="1" x14ac:dyDescent="0.3">
      <c r="A730" t="str">
        <f t="shared" si="11"/>
        <v>180575C</v>
      </c>
      <c r="B730" s="133" t="s">
        <v>8601</v>
      </c>
      <c r="C730" s="133" t="s">
        <v>8602</v>
      </c>
      <c r="D730" s="441" t="s">
        <v>5503</v>
      </c>
      <c r="E730" s="133"/>
      <c r="F730" s="134">
        <v>0.32</v>
      </c>
      <c r="G730" s="134">
        <v>0.27600000000000002</v>
      </c>
      <c r="H730" s="135">
        <v>2024</v>
      </c>
      <c r="I730" s="133" t="s">
        <v>5553</v>
      </c>
    </row>
    <row r="731" spans="1:9" ht="18.75" thickBot="1" x14ac:dyDescent="0.3">
      <c r="A731" t="str">
        <f t="shared" si="11"/>
        <v>171069V</v>
      </c>
      <c r="B731" s="133" t="s">
        <v>7003</v>
      </c>
      <c r="C731" s="133" t="s">
        <v>7004</v>
      </c>
      <c r="D731" s="441" t="s">
        <v>26</v>
      </c>
      <c r="E731" s="133"/>
      <c r="F731" s="134">
        <v>0.379</v>
      </c>
      <c r="G731" s="134">
        <v>0.32600000000000001</v>
      </c>
      <c r="H731" s="135">
        <v>2020</v>
      </c>
      <c r="I731" s="133" t="s">
        <v>5853</v>
      </c>
    </row>
    <row r="732" spans="1:9" ht="18.75" thickBot="1" x14ac:dyDescent="0.3">
      <c r="A732" t="str">
        <f t="shared" si="11"/>
        <v>113891L</v>
      </c>
      <c r="B732" s="133" t="s">
        <v>7005</v>
      </c>
      <c r="C732" s="133" t="s">
        <v>7006</v>
      </c>
      <c r="D732" s="441" t="s">
        <v>5503</v>
      </c>
      <c r="E732" s="133"/>
      <c r="F732" s="134">
        <v>0.35</v>
      </c>
      <c r="G732" s="134">
        <v>0.30099999999999999</v>
      </c>
      <c r="H732" s="135">
        <v>2024</v>
      </c>
      <c r="I732" s="133" t="s">
        <v>5625</v>
      </c>
    </row>
    <row r="733" spans="1:9" ht="18.75" thickBot="1" x14ac:dyDescent="0.3">
      <c r="A733" t="str">
        <f t="shared" si="11"/>
        <v>138059Z</v>
      </c>
      <c r="B733" s="133" t="s">
        <v>7007</v>
      </c>
      <c r="C733" s="133" t="s">
        <v>7008</v>
      </c>
      <c r="D733" s="441" t="s">
        <v>26</v>
      </c>
      <c r="E733" s="133"/>
      <c r="F733" s="134">
        <v>0.375</v>
      </c>
      <c r="G733" s="134">
        <v>0.32300000000000001</v>
      </c>
      <c r="H733" s="135">
        <v>2016</v>
      </c>
      <c r="I733" s="133" t="s">
        <v>5582</v>
      </c>
    </row>
    <row r="734" spans="1:9" ht="18.75" thickBot="1" x14ac:dyDescent="0.3">
      <c r="A734" t="str">
        <f t="shared" si="11"/>
        <v>014308I</v>
      </c>
      <c r="B734" s="133" t="s">
        <v>7009</v>
      </c>
      <c r="C734" s="133" t="s">
        <v>7010</v>
      </c>
      <c r="D734" s="441" t="s">
        <v>25</v>
      </c>
      <c r="E734" s="133"/>
      <c r="F734" s="134" t="s">
        <v>5552</v>
      </c>
      <c r="G734" s="134">
        <v>0.47199999999999998</v>
      </c>
      <c r="H734" s="135">
        <v>2023</v>
      </c>
      <c r="I734" s="133" t="s">
        <v>5582</v>
      </c>
    </row>
    <row r="735" spans="1:9" ht="18.75" thickBot="1" x14ac:dyDescent="0.3">
      <c r="A735" t="str">
        <f t="shared" si="11"/>
        <v>014312M</v>
      </c>
      <c r="B735" s="133" t="s">
        <v>7011</v>
      </c>
      <c r="C735" s="133" t="s">
        <v>7012</v>
      </c>
      <c r="D735" s="441" t="s">
        <v>26</v>
      </c>
      <c r="E735" s="133"/>
      <c r="F735" s="134">
        <v>0.375</v>
      </c>
      <c r="G735" s="134">
        <v>0.32200000000000001</v>
      </c>
      <c r="H735" s="135">
        <v>2017</v>
      </c>
      <c r="I735" s="133" t="s">
        <v>5563</v>
      </c>
    </row>
    <row r="736" spans="1:9" ht="18.75" thickBot="1" x14ac:dyDescent="0.3">
      <c r="A736" t="str">
        <f t="shared" si="11"/>
        <v>018351V</v>
      </c>
      <c r="B736" s="133" t="s">
        <v>7013</v>
      </c>
      <c r="C736" s="133" t="s">
        <v>7014</v>
      </c>
      <c r="D736" s="441" t="s">
        <v>26</v>
      </c>
      <c r="E736" s="133"/>
      <c r="F736" s="134">
        <v>0.47199999999999998</v>
      </c>
      <c r="G736" s="134">
        <v>0.40600000000000003</v>
      </c>
      <c r="H736" s="135">
        <v>2024</v>
      </c>
      <c r="I736" s="133" t="s">
        <v>5705</v>
      </c>
    </row>
    <row r="737" spans="1:9" ht="18.75" thickBot="1" x14ac:dyDescent="0.3">
      <c r="A737" t="str">
        <f t="shared" si="11"/>
        <v>126745V</v>
      </c>
      <c r="B737" s="133" t="s">
        <v>7015</v>
      </c>
      <c r="C737" s="133" t="s">
        <v>7016</v>
      </c>
      <c r="D737" s="441" t="s">
        <v>5504</v>
      </c>
      <c r="E737" s="133"/>
      <c r="F737" s="134">
        <v>0.16600000000000001</v>
      </c>
      <c r="G737" s="134">
        <v>0.14299999999999999</v>
      </c>
      <c r="H737" s="135">
        <v>2008</v>
      </c>
      <c r="I737" s="133" t="s">
        <v>5635</v>
      </c>
    </row>
    <row r="738" spans="1:9" ht="18.75" thickBot="1" x14ac:dyDescent="0.3">
      <c r="A738" t="str">
        <f t="shared" si="11"/>
        <v>135321R</v>
      </c>
      <c r="B738" s="133" t="s">
        <v>7017</v>
      </c>
      <c r="C738" s="133" t="s">
        <v>7018</v>
      </c>
      <c r="D738" s="441" t="s">
        <v>5503</v>
      </c>
      <c r="E738" s="133"/>
      <c r="F738" s="134">
        <v>0.16600000000000001</v>
      </c>
      <c r="G738" s="134">
        <v>0.14299999999999999</v>
      </c>
      <c r="H738" s="135">
        <v>2009</v>
      </c>
      <c r="I738" s="133" t="s">
        <v>5768</v>
      </c>
    </row>
    <row r="739" spans="1:9" ht="18.75" thickBot="1" x14ac:dyDescent="0.3">
      <c r="A739" t="str">
        <f t="shared" si="11"/>
        <v>014318S</v>
      </c>
      <c r="B739" s="133" t="s">
        <v>7019</v>
      </c>
      <c r="C739" s="133" t="s">
        <v>7020</v>
      </c>
      <c r="D739" s="441" t="s">
        <v>5503</v>
      </c>
      <c r="E739" s="133"/>
      <c r="F739" s="134">
        <v>0.35199999999999998</v>
      </c>
      <c r="G739" s="134">
        <v>0.30199999999999999</v>
      </c>
      <c r="H739" s="135">
        <v>2024</v>
      </c>
      <c r="I739" s="133" t="s">
        <v>5625</v>
      </c>
    </row>
    <row r="740" spans="1:9" ht="18.75" thickBot="1" x14ac:dyDescent="0.3">
      <c r="A740" t="str">
        <f t="shared" si="11"/>
        <v>014321V</v>
      </c>
      <c r="B740" s="133" t="s">
        <v>7021</v>
      </c>
      <c r="C740" s="133" t="s">
        <v>7022</v>
      </c>
      <c r="D740" s="441" t="s">
        <v>24</v>
      </c>
      <c r="E740" s="133"/>
      <c r="F740" s="134" t="s">
        <v>5552</v>
      </c>
      <c r="G740" s="134">
        <v>0.629</v>
      </c>
      <c r="H740" s="135">
        <v>2024</v>
      </c>
      <c r="I740" s="133" t="s">
        <v>5566</v>
      </c>
    </row>
    <row r="741" spans="1:9" ht="18.75" thickBot="1" x14ac:dyDescent="0.3">
      <c r="A741" t="str">
        <f t="shared" si="11"/>
        <v>102169P</v>
      </c>
      <c r="B741" s="133" t="s">
        <v>7023</v>
      </c>
      <c r="C741" s="133" t="s">
        <v>7024</v>
      </c>
      <c r="D741" s="441" t="s">
        <v>5765</v>
      </c>
      <c r="E741" s="133"/>
      <c r="F741" s="134" t="s">
        <v>5552</v>
      </c>
      <c r="G741" s="134">
        <v>0.98299999999999998</v>
      </c>
      <c r="H741" s="135">
        <v>2011</v>
      </c>
      <c r="I741" s="133" t="s">
        <v>5559</v>
      </c>
    </row>
    <row r="742" spans="1:9" ht="18.75" thickBot="1" x14ac:dyDescent="0.3">
      <c r="A742" t="str">
        <f t="shared" si="11"/>
        <v>014325Z</v>
      </c>
      <c r="B742" s="133" t="s">
        <v>7025</v>
      </c>
      <c r="C742" s="133" t="s">
        <v>7026</v>
      </c>
      <c r="D742" s="441" t="s">
        <v>24</v>
      </c>
      <c r="E742" s="133"/>
      <c r="F742" s="134" t="s">
        <v>5552</v>
      </c>
      <c r="G742" s="134">
        <v>0.72899999999999998</v>
      </c>
      <c r="H742" s="135">
        <v>2023</v>
      </c>
      <c r="I742" s="133" t="s">
        <v>5587</v>
      </c>
    </row>
    <row r="743" spans="1:9" ht="18" x14ac:dyDescent="0.25">
      <c r="A743" t="str">
        <f t="shared" ref="A743:A766" si="12">SUBSTITUTE(B743,CHAR(32),"")</f>
        <v>122158K</v>
      </c>
      <c r="B743" s="152" t="s">
        <v>7027</v>
      </c>
      <c r="C743" s="152" t="s">
        <v>7028</v>
      </c>
      <c r="D743" s="442" t="s">
        <v>5503</v>
      </c>
      <c r="E743" s="152"/>
      <c r="F743" s="153">
        <v>0.34100000000000003</v>
      </c>
      <c r="G743" s="153">
        <v>0.29299999999999998</v>
      </c>
      <c r="H743" s="154">
        <v>2014</v>
      </c>
      <c r="I743" s="152" t="s">
        <v>5639</v>
      </c>
    </row>
    <row r="744" spans="1:9" ht="18" x14ac:dyDescent="0.25">
      <c r="A744" t="str">
        <f t="shared" si="12"/>
        <v>014333H</v>
      </c>
      <c r="B744" s="152" t="s">
        <v>7029</v>
      </c>
      <c r="C744" s="152" t="s">
        <v>7030</v>
      </c>
      <c r="D744" s="442" t="s">
        <v>26</v>
      </c>
      <c r="E744" s="152"/>
      <c r="F744" s="153">
        <v>0.42</v>
      </c>
      <c r="G744" s="153">
        <v>0.36099999999999999</v>
      </c>
      <c r="H744" s="154">
        <v>2009</v>
      </c>
      <c r="I744" s="152" t="s">
        <v>5587</v>
      </c>
    </row>
    <row r="745" spans="1:9" ht="18" x14ac:dyDescent="0.25">
      <c r="A745" t="str">
        <f t="shared" si="12"/>
        <v>017665L</v>
      </c>
      <c r="B745" s="152" t="s">
        <v>7031</v>
      </c>
      <c r="C745" s="152" t="s">
        <v>7032</v>
      </c>
      <c r="D745" s="442" t="s">
        <v>26</v>
      </c>
      <c r="E745" s="152"/>
      <c r="F745" s="153">
        <v>0.38100000000000001</v>
      </c>
      <c r="G745" s="153">
        <v>0.32800000000000001</v>
      </c>
      <c r="H745" s="154">
        <v>2018</v>
      </c>
      <c r="I745" s="152" t="s">
        <v>6229</v>
      </c>
    </row>
    <row r="746" spans="1:9" ht="18" x14ac:dyDescent="0.25">
      <c r="A746" t="str">
        <f t="shared" si="12"/>
        <v>014337L</v>
      </c>
      <c r="B746" s="152" t="s">
        <v>7033</v>
      </c>
      <c r="C746" s="152" t="s">
        <v>7034</v>
      </c>
      <c r="D746" s="442" t="s">
        <v>26</v>
      </c>
      <c r="E746" s="152"/>
      <c r="F746" s="153">
        <v>0.38300000000000001</v>
      </c>
      <c r="G746" s="153">
        <v>0.32900000000000001</v>
      </c>
      <c r="H746" s="154">
        <v>2024</v>
      </c>
      <c r="I746" s="152" t="s">
        <v>5566</v>
      </c>
    </row>
    <row r="747" spans="1:9" ht="18" x14ac:dyDescent="0.25">
      <c r="A747" t="str">
        <f t="shared" si="12"/>
        <v>014339N</v>
      </c>
      <c r="B747" s="152" t="s">
        <v>7035</v>
      </c>
      <c r="C747" s="152" t="s">
        <v>7036</v>
      </c>
      <c r="D747" s="442" t="s">
        <v>26</v>
      </c>
      <c r="E747" s="152"/>
      <c r="F747" s="153">
        <v>0.38200000000000001</v>
      </c>
      <c r="G747" s="153">
        <v>0.32900000000000001</v>
      </c>
      <c r="H747" s="154">
        <v>2016</v>
      </c>
      <c r="I747" s="152" t="s">
        <v>5587</v>
      </c>
    </row>
    <row r="748" spans="1:9" ht="18" x14ac:dyDescent="0.25">
      <c r="A748" t="str">
        <f t="shared" si="12"/>
        <v>121975J</v>
      </c>
      <c r="B748" s="152" t="s">
        <v>7037</v>
      </c>
      <c r="C748" s="152" t="s">
        <v>7038</v>
      </c>
      <c r="D748" s="442" t="s">
        <v>5503</v>
      </c>
      <c r="E748" s="152"/>
      <c r="F748" s="153">
        <v>0.35099999999999998</v>
      </c>
      <c r="G748" s="153">
        <v>0.30199999999999999</v>
      </c>
      <c r="H748" s="154">
        <v>2012</v>
      </c>
      <c r="I748" s="152" t="s">
        <v>5573</v>
      </c>
    </row>
    <row r="749" spans="1:9" ht="18" x14ac:dyDescent="0.25">
      <c r="A749" t="str">
        <f t="shared" si="12"/>
        <v>126936E</v>
      </c>
      <c r="B749" s="152" t="s">
        <v>7039</v>
      </c>
      <c r="C749" s="152" t="s">
        <v>7040</v>
      </c>
      <c r="D749" s="442" t="s">
        <v>25</v>
      </c>
      <c r="E749" s="152"/>
      <c r="F749" s="153" t="s">
        <v>5552</v>
      </c>
      <c r="G749" s="153">
        <v>0.56499999999999995</v>
      </c>
      <c r="H749" s="154">
        <v>2015</v>
      </c>
      <c r="I749" s="152" t="s">
        <v>5608</v>
      </c>
    </row>
    <row r="750" spans="1:9" ht="18" x14ac:dyDescent="0.25">
      <c r="A750" t="str">
        <f t="shared" si="12"/>
        <v>113963F</v>
      </c>
      <c r="B750" s="152" t="s">
        <v>7041</v>
      </c>
      <c r="C750" s="152" t="s">
        <v>7042</v>
      </c>
      <c r="D750" s="442" t="s">
        <v>26</v>
      </c>
      <c r="E750" s="152"/>
      <c r="F750" s="153">
        <v>0.34899999999999998</v>
      </c>
      <c r="G750" s="153">
        <v>0.3</v>
      </c>
      <c r="H750" s="154">
        <v>2016</v>
      </c>
      <c r="I750" s="152" t="s">
        <v>5615</v>
      </c>
    </row>
    <row r="751" spans="1:9" ht="18" x14ac:dyDescent="0.25">
      <c r="A751" t="str">
        <f t="shared" si="12"/>
        <v>014348W</v>
      </c>
      <c r="B751" s="152" t="s">
        <v>7043</v>
      </c>
      <c r="C751" s="152" t="s">
        <v>7044</v>
      </c>
      <c r="D751" s="442" t="s">
        <v>5503</v>
      </c>
      <c r="E751" s="152"/>
      <c r="F751" s="153">
        <v>0.26700000000000002</v>
      </c>
      <c r="G751" s="153">
        <v>0.23</v>
      </c>
      <c r="H751" s="154">
        <v>2024</v>
      </c>
      <c r="I751" s="152" t="s">
        <v>5735</v>
      </c>
    </row>
    <row r="752" spans="1:9" ht="18" x14ac:dyDescent="0.25">
      <c r="A752" t="str">
        <f t="shared" si="12"/>
        <v>168882S</v>
      </c>
      <c r="B752" s="152" t="s">
        <v>7045</v>
      </c>
      <c r="C752" s="152" t="s">
        <v>7046</v>
      </c>
      <c r="D752" s="442" t="s">
        <v>26</v>
      </c>
      <c r="E752" s="152"/>
      <c r="F752" s="153">
        <v>0.50700000000000001</v>
      </c>
      <c r="G752" s="153">
        <v>0.436</v>
      </c>
      <c r="H752" s="154">
        <v>2024</v>
      </c>
      <c r="I752" s="152" t="s">
        <v>5678</v>
      </c>
    </row>
    <row r="753" spans="1:9" ht="18" x14ac:dyDescent="0.25">
      <c r="A753" t="str">
        <f t="shared" si="12"/>
        <v>171108M</v>
      </c>
      <c r="B753" s="152" t="s">
        <v>7047</v>
      </c>
      <c r="C753" s="152" t="s">
        <v>7048</v>
      </c>
      <c r="D753" s="442" t="s">
        <v>5504</v>
      </c>
      <c r="E753" s="152"/>
      <c r="F753" s="153">
        <v>0.216</v>
      </c>
      <c r="G753" s="153">
        <v>0.186</v>
      </c>
      <c r="H753" s="154">
        <v>2024</v>
      </c>
      <c r="I753" s="152" t="s">
        <v>5573</v>
      </c>
    </row>
    <row r="754" spans="1:9" ht="18" x14ac:dyDescent="0.25">
      <c r="A754" t="str">
        <f t="shared" si="12"/>
        <v>182166G</v>
      </c>
      <c r="B754" s="152" t="s">
        <v>8594</v>
      </c>
      <c r="C754" s="152" t="s">
        <v>8595</v>
      </c>
      <c r="D754" s="442" t="s">
        <v>5503</v>
      </c>
      <c r="E754" s="152"/>
      <c r="F754" s="153">
        <v>0.26100000000000001</v>
      </c>
      <c r="G754" s="153">
        <v>0.22500000000000001</v>
      </c>
      <c r="H754" s="154">
        <v>2024</v>
      </c>
      <c r="I754" s="152" t="s">
        <v>5582</v>
      </c>
    </row>
    <row r="755" spans="1:9" ht="18" x14ac:dyDescent="0.25">
      <c r="A755" t="str">
        <f t="shared" si="12"/>
        <v>120852E</v>
      </c>
      <c r="B755" s="152" t="s">
        <v>7049</v>
      </c>
      <c r="C755" s="152" t="s">
        <v>7050</v>
      </c>
      <c r="D755" s="442" t="s">
        <v>5503</v>
      </c>
      <c r="E755" s="152"/>
      <c r="F755" s="153">
        <v>0.27300000000000002</v>
      </c>
      <c r="G755" s="153">
        <v>0.23499999999999999</v>
      </c>
      <c r="H755" s="154">
        <v>2017</v>
      </c>
      <c r="I755" s="152" t="s">
        <v>5657</v>
      </c>
    </row>
    <row r="756" spans="1:9" ht="18" x14ac:dyDescent="0.25">
      <c r="A756" t="str">
        <f t="shared" si="12"/>
        <v>137830E</v>
      </c>
      <c r="B756" s="152" t="s">
        <v>7051</v>
      </c>
      <c r="C756" s="152" t="s">
        <v>7052</v>
      </c>
      <c r="D756" s="442" t="s">
        <v>5503</v>
      </c>
      <c r="E756" s="152"/>
      <c r="F756" s="153">
        <v>0.313</v>
      </c>
      <c r="G756" s="153">
        <v>0.26900000000000002</v>
      </c>
      <c r="H756" s="154">
        <v>2010</v>
      </c>
      <c r="I756" s="152" t="s">
        <v>5563</v>
      </c>
    </row>
    <row r="757" spans="1:9" ht="18" x14ac:dyDescent="0.25">
      <c r="A757" t="str">
        <f t="shared" si="12"/>
        <v>142369T</v>
      </c>
      <c r="B757" s="152" t="s">
        <v>7053</v>
      </c>
      <c r="C757" s="152" t="s">
        <v>7054</v>
      </c>
      <c r="D757" s="442" t="s">
        <v>26</v>
      </c>
      <c r="E757" s="152"/>
      <c r="F757" s="153">
        <v>0.48599999999999999</v>
      </c>
      <c r="G757" s="153">
        <v>0.41799999999999998</v>
      </c>
      <c r="H757" s="154">
        <v>2014</v>
      </c>
      <c r="I757" s="152" t="s">
        <v>5801</v>
      </c>
    </row>
    <row r="758" spans="1:9" ht="18" x14ac:dyDescent="0.25">
      <c r="A758" t="str">
        <f t="shared" si="12"/>
        <v>014354C</v>
      </c>
      <c r="B758" s="152" t="s">
        <v>7055</v>
      </c>
      <c r="C758" s="152" t="s">
        <v>7056</v>
      </c>
      <c r="D758" s="442" t="s">
        <v>5503</v>
      </c>
      <c r="E758" s="152"/>
      <c r="F758" s="153">
        <v>0.27900000000000003</v>
      </c>
      <c r="G758" s="153">
        <v>0.23899999999999999</v>
      </c>
      <c r="H758" s="154">
        <v>2014</v>
      </c>
      <c r="I758" s="152" t="s">
        <v>5635</v>
      </c>
    </row>
    <row r="759" spans="1:9" ht="18" x14ac:dyDescent="0.25">
      <c r="A759" t="str">
        <f t="shared" si="12"/>
        <v>109954A</v>
      </c>
      <c r="B759" s="152" t="s">
        <v>7057</v>
      </c>
      <c r="C759" s="152" t="s">
        <v>7058</v>
      </c>
      <c r="D759" s="442" t="s">
        <v>26</v>
      </c>
      <c r="E759" s="152"/>
      <c r="F759" s="153">
        <v>0.42699999999999999</v>
      </c>
      <c r="G759" s="153">
        <v>0.36699999999999999</v>
      </c>
      <c r="H759" s="154">
        <v>2011</v>
      </c>
      <c r="I759" s="152" t="s">
        <v>5559</v>
      </c>
    </row>
    <row r="760" spans="1:9" ht="18" x14ac:dyDescent="0.25">
      <c r="A760" t="str">
        <f t="shared" si="12"/>
        <v>020532S</v>
      </c>
      <c r="B760" s="152" t="s">
        <v>7059</v>
      </c>
      <c r="C760" s="152" t="s">
        <v>7060</v>
      </c>
      <c r="D760" s="442" t="s">
        <v>6025</v>
      </c>
      <c r="E760" s="152"/>
      <c r="F760" s="153" t="s">
        <v>5552</v>
      </c>
      <c r="G760" s="153">
        <v>0.56999999999999995</v>
      </c>
      <c r="H760" s="154">
        <v>2024</v>
      </c>
      <c r="I760" s="152" t="s">
        <v>5553</v>
      </c>
    </row>
    <row r="761" spans="1:9" ht="18" x14ac:dyDescent="0.25">
      <c r="A761" t="str">
        <f t="shared" si="12"/>
        <v>014357F</v>
      </c>
      <c r="B761" s="152" t="s">
        <v>7061</v>
      </c>
      <c r="C761" s="152" t="s">
        <v>7062</v>
      </c>
      <c r="D761" s="442" t="s">
        <v>25</v>
      </c>
      <c r="E761" s="152"/>
      <c r="F761" s="153" t="s">
        <v>5552</v>
      </c>
      <c r="G761" s="153">
        <v>0.317</v>
      </c>
      <c r="H761" s="154">
        <v>2015</v>
      </c>
      <c r="I761" s="152" t="s">
        <v>5559</v>
      </c>
    </row>
    <row r="762" spans="1:9" ht="18" x14ac:dyDescent="0.25">
      <c r="A762" t="str">
        <f t="shared" si="12"/>
        <v>140068G</v>
      </c>
      <c r="B762" s="152" t="s">
        <v>7063</v>
      </c>
      <c r="C762" s="152" t="s">
        <v>7064</v>
      </c>
      <c r="D762" s="442" t="s">
        <v>5503</v>
      </c>
      <c r="E762" s="152"/>
      <c r="F762" s="153">
        <v>0.28699999999999998</v>
      </c>
      <c r="G762" s="153">
        <v>0.247</v>
      </c>
      <c r="H762" s="154">
        <v>2022</v>
      </c>
      <c r="I762" s="152" t="s">
        <v>5635</v>
      </c>
    </row>
    <row r="763" spans="1:9" ht="18" x14ac:dyDescent="0.25">
      <c r="A763" t="str">
        <f t="shared" si="12"/>
        <v>158041J</v>
      </c>
      <c r="B763" s="152" t="s">
        <v>7065</v>
      </c>
      <c r="C763" s="152" t="s">
        <v>7066</v>
      </c>
      <c r="D763" s="442" t="s">
        <v>26</v>
      </c>
      <c r="E763" s="152"/>
      <c r="F763" s="153">
        <v>0.439</v>
      </c>
      <c r="G763" s="153">
        <v>0.378</v>
      </c>
      <c r="H763" s="154">
        <v>2020</v>
      </c>
      <c r="I763" s="152" t="s">
        <v>5587</v>
      </c>
    </row>
    <row r="764" spans="1:9" ht="18" x14ac:dyDescent="0.25">
      <c r="A764" t="str">
        <f t="shared" si="12"/>
        <v>162785Q</v>
      </c>
      <c r="B764" s="152" t="s">
        <v>7067</v>
      </c>
      <c r="C764" s="152" t="s">
        <v>7068</v>
      </c>
      <c r="D764" s="442" t="s">
        <v>25</v>
      </c>
      <c r="E764" s="152"/>
      <c r="F764" s="153" t="s">
        <v>5552</v>
      </c>
      <c r="G764" s="153">
        <v>0.28399999999999997</v>
      </c>
      <c r="H764" s="154">
        <v>2023</v>
      </c>
      <c r="I764" s="152" t="s">
        <v>5553</v>
      </c>
    </row>
    <row r="765" spans="1:9" ht="18" x14ac:dyDescent="0.25">
      <c r="A765" t="str">
        <f t="shared" si="12"/>
        <v>014360I</v>
      </c>
      <c r="B765" s="152" t="s">
        <v>7069</v>
      </c>
      <c r="C765" s="152" t="s">
        <v>7070</v>
      </c>
      <c r="D765" s="442" t="s">
        <v>5503</v>
      </c>
      <c r="E765" s="152"/>
      <c r="F765" s="153">
        <v>0.20599999999999999</v>
      </c>
      <c r="G765" s="153">
        <v>0.17699999999999999</v>
      </c>
      <c r="H765" s="154">
        <v>2012</v>
      </c>
      <c r="I765" s="152" t="s">
        <v>5912</v>
      </c>
    </row>
    <row r="766" spans="1:9" ht="18.75" thickBot="1" x14ac:dyDescent="0.3">
      <c r="A766" t="str">
        <f t="shared" si="12"/>
        <v>014364M</v>
      </c>
      <c r="B766" s="133" t="s">
        <v>7071</v>
      </c>
      <c r="C766" s="133" t="s">
        <v>7072</v>
      </c>
      <c r="D766" s="441" t="s">
        <v>26</v>
      </c>
      <c r="E766" s="133"/>
      <c r="F766" s="134">
        <v>0.46700000000000003</v>
      </c>
      <c r="G766" s="134">
        <v>0.40100000000000002</v>
      </c>
      <c r="H766" s="135">
        <v>2024</v>
      </c>
      <c r="I766" s="133" t="s">
        <v>5630</v>
      </c>
    </row>
  </sheetData>
  <sheetProtection algorithmName="SHA-512" hashValue="CN1jOD+gku3NW9GPDua5cdF0iWNf1Af9U0vLcrwevunS4JpeRKFn5LszrRy1ixh5+r31vmjJ5PJVLFvJVOaGtg==" saltValue="ytZ36zUuz3hn8mRtX6Fyeg==" spinCount="100000" sheet="1" objects="1" scenario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F89BE-4E7D-43AE-B119-E99D88D69BAF}">
  <sheetPr>
    <tabColor rgb="FFD7D7D7"/>
  </sheetPr>
  <dimension ref="A1:CL70"/>
  <sheetViews>
    <sheetView zoomScale="115" zoomScaleNormal="115" workbookViewId="0">
      <selection activeCell="C24" sqref="C24"/>
    </sheetView>
  </sheetViews>
  <sheetFormatPr baseColWidth="10" defaultColWidth="10.85546875" defaultRowHeight="15"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10.85546875" style="244" customWidth="1"/>
    <col min="92" max="16384" width="10.85546875" style="244"/>
  </cols>
  <sheetData>
    <row r="1" spans="1:90" ht="5.0999999999999996" customHeight="1" thickBot="1" x14ac:dyDescent="0.3"/>
    <row r="2" spans="1:90" ht="45" customHeight="1" thickBot="1" x14ac:dyDescent="0.3">
      <c r="B2" s="888" t="str">
        <f>'GESTION DES JOUEURS'!M13</f>
        <v>Poule B</v>
      </c>
      <c r="C2" s="889"/>
      <c r="D2" s="889"/>
      <c r="E2" s="889"/>
      <c r="F2" s="889"/>
      <c r="G2" s="889"/>
      <c r="H2" s="889"/>
      <c r="I2" s="889"/>
      <c r="J2" s="889"/>
      <c r="K2" s="889"/>
      <c r="L2" s="889"/>
      <c r="M2" s="889"/>
      <c r="N2" s="889"/>
      <c r="O2" s="889"/>
      <c r="P2" s="889"/>
      <c r="Q2" s="889"/>
      <c r="R2" s="889"/>
      <c r="S2" s="889"/>
      <c r="T2" s="889"/>
      <c r="U2" s="889"/>
      <c r="V2" s="889"/>
      <c r="W2" s="889"/>
      <c r="X2" s="890"/>
      <c r="AA2" s="371" t="e" vm="1">
        <v>#VALUE!</v>
      </c>
    </row>
    <row r="3" spans="1:90" ht="5.0999999999999996" customHeight="1" thickBot="1" x14ac:dyDescent="0.3"/>
    <row r="4" spans="1:90" ht="19.5" thickBot="1" x14ac:dyDescent="0.35">
      <c r="B4" s="750" t="s">
        <v>5524</v>
      </c>
      <c r="C4" s="751"/>
      <c r="D4" s="751"/>
      <c r="E4" s="751"/>
      <c r="F4" s="751"/>
      <c r="G4" s="751"/>
      <c r="H4" s="751"/>
      <c r="I4" s="751"/>
      <c r="J4" s="751"/>
      <c r="K4" s="751"/>
      <c r="L4" s="751"/>
      <c r="M4" s="751"/>
      <c r="N4" s="751"/>
      <c r="O4" s="33" t="str">
        <f>IF(SUM(O6:O11)&gt;0,"M","")</f>
        <v/>
      </c>
      <c r="P4" s="750" t="s">
        <v>5447</v>
      </c>
      <c r="Q4" s="751"/>
      <c r="R4" s="751"/>
      <c r="S4" s="751"/>
      <c r="T4" s="751"/>
      <c r="U4" s="751"/>
      <c r="V4" s="751"/>
      <c r="W4" s="752"/>
      <c r="X4" s="753"/>
      <c r="Y4" s="246"/>
      <c r="Z4" s="246"/>
      <c r="AA4" s="891" t="s">
        <v>8128</v>
      </c>
      <c r="AN4" s="306" t="s">
        <v>8511</v>
      </c>
      <c r="AO4" s="305">
        <f>COUNT(A6:A11)-SUM(AO6:AO11)</f>
        <v>3</v>
      </c>
      <c r="AP4" s="248"/>
      <c r="AQ4" s="307"/>
      <c r="AR4" s="807" t="s">
        <v>8512</v>
      </c>
      <c r="AS4" s="308"/>
      <c r="AT4" s="308"/>
      <c r="AU4" s="308"/>
      <c r="AV4" s="308">
        <v>1</v>
      </c>
      <c r="AW4" s="308">
        <v>2</v>
      </c>
      <c r="AX4" s="309">
        <v>3</v>
      </c>
      <c r="AY4" s="309">
        <v>4</v>
      </c>
      <c r="AZ4" s="309">
        <v>5</v>
      </c>
      <c r="BA4" s="309">
        <v>6</v>
      </c>
    </row>
    <row r="5" spans="1:90" ht="15.75" thickBot="1" x14ac:dyDescent="0.3">
      <c r="A5" s="284"/>
      <c r="B5" s="34" t="s">
        <v>21</v>
      </c>
      <c r="C5" s="761" t="s">
        <v>5448</v>
      </c>
      <c r="D5" s="762"/>
      <c r="E5" s="761" t="s">
        <v>5449</v>
      </c>
      <c r="F5" s="762"/>
      <c r="G5" s="761" t="s">
        <v>5450</v>
      </c>
      <c r="H5" s="762"/>
      <c r="I5" s="362" t="s">
        <v>9868</v>
      </c>
      <c r="J5" s="35" t="s">
        <v>5525</v>
      </c>
      <c r="K5" s="36" t="s">
        <v>5526</v>
      </c>
      <c r="L5" s="136"/>
      <c r="M5" s="98" t="s">
        <v>5522</v>
      </c>
      <c r="N5" s="388" t="s">
        <v>5519</v>
      </c>
      <c r="O5" s="99" t="s">
        <v>8131</v>
      </c>
      <c r="P5" s="360" t="s">
        <v>2</v>
      </c>
      <c r="Q5" s="535" t="s">
        <v>18</v>
      </c>
      <c r="R5" s="535"/>
      <c r="S5" s="535" t="s">
        <v>17</v>
      </c>
      <c r="T5" s="535" t="s">
        <v>20</v>
      </c>
      <c r="U5" s="535" t="s">
        <v>19</v>
      </c>
      <c r="V5" s="520" t="s">
        <v>14</v>
      </c>
      <c r="W5" s="360" t="str">
        <f>IF('GESTION DES JOUEURS'!$D$8="Open","Total % J","Pts Rk")</f>
        <v>Pts Rk</v>
      </c>
      <c r="X5" s="537"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Toutes les rencontres ont été jouées :</v>
      </c>
      <c r="BS5" s="900"/>
      <c r="BT5" s="900"/>
      <c r="BU5" s="285" t="str">
        <f>IF(MAX(C18:C32)=COUNTIF(A18:A32,"P"),"X","")</f>
        <v>X</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f t="shared" ref="A6:A11" si="0">IF(B6&lt;&gt;"",A5+1,"")</f>
        <v>1</v>
      </c>
      <c r="B6" s="37" t="str">
        <f>IFERROR(VLOOKUP("B1",'GESTION DES JOUEURS'!$AG$11:$AI$46,3,FALSE),"")</f>
        <v>183133H</v>
      </c>
      <c r="C6" s="764" t="str">
        <f>IFERROR(IF(B6="","",_xlfn.XLOOKUP(B6,'LICENCES 2025'!A:A,'LICENCES 2025'!G:G," ",0,1)),"")</f>
        <v>ROCHE</v>
      </c>
      <c r="D6" s="765"/>
      <c r="E6" s="756" t="str">
        <f>IFERROR(IF(B6="","",_xlfn.XLOOKUP(B6,'LICENCES 2025'!A:A,'LICENCES 2025'!F:F,"",0,1)),"")</f>
        <v>PATRICK</v>
      </c>
      <c r="F6" s="756"/>
      <c r="G6" s="811" t="str">
        <f>IFERROR(IF(B6="","",_xlfn.XLOOKUP(B6,'LICENCES 2025'!A:A,'LICENCES 2025'!E:E,"",0,1)),"")</f>
        <v>BILLARD CLUB DE LIVRY GARGAN</v>
      </c>
      <c r="H6" s="812"/>
      <c r="I6" s="358">
        <f>_xlfn.XLOOKUP(B6,Tableau19[Licence],Tableau19[Clt],"",0,1)</f>
        <v>2</v>
      </c>
      <c r="J6" s="256">
        <f>_xlfn.XLOOKUP(B6,Tableau19[Licence],Tableau19[Moy Gén],"",0,1)</f>
        <v>0</v>
      </c>
      <c r="K6" s="22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NC</v>
      </c>
      <c r="L6" s="257">
        <f t="shared" ref="L6:L11" si="1">IF(A6="","",IF(AO6=1,0,COUNTIF($AQ$6:$AQ$11,AQ6)))</f>
        <v>1</v>
      </c>
      <c r="M6" s="385">
        <f t="shared" ref="M6:M11" si="2">_xlfn.SINGLE(_xlfn.XLOOKUP($AO$4,$AV$4:$BA$4,AV6:BA6,"",0,1))</f>
        <v>1</v>
      </c>
      <c r="N6" s="250" t="str">
        <f>IFERROR(IF(VLOOKUP(B6,Tableau19[],10,FALSE)=TRUE,"F",""),"")</f>
        <v/>
      </c>
      <c r="O6" s="251"/>
      <c r="P6" s="532">
        <f t="shared" ref="P6:P11" si="3">IFERROR(SUM(SUMIFS($N$18:$N$32,$G$18:$G$32,A6,$A$18:$A$32,"P"),SUMIFS($P$18:$P$32,$V$18:$V$32,A6,$A$18:$A$32,"P")),"")</f>
        <v>167</v>
      </c>
      <c r="Q6" s="551">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72</v>
      </c>
      <c r="R6" s="551"/>
      <c r="S6" s="565">
        <f t="shared" ref="S6:S11" si="4">IFERROR(IF(Q6=0,"",MAX(_xlfn.MAXIFS($M$18:$M$32,$G$18:$G$32,A6,$A$18:$A$32,"P",$N$18:$N$32,"&lt;&gt;"&amp;"Ab."),_xlfn.MAXIFS($Q$18:$Q$32,$V$18:$V$32,A6,$A$18:$A$32,"P",$P$18:$P$32,"&lt;&gt;"&amp;"Ab."))),"")</f>
        <v>18</v>
      </c>
      <c r="T6" s="533">
        <f t="shared" ref="T6:T11" si="5">IFERROR(P6/Q6,"")</f>
        <v>2.3194444444444446</v>
      </c>
      <c r="U6" s="533">
        <f t="shared" ref="U6:U11" si="6">IFERROR(IF(Q6=0,"",IF(MAX(_xlfn.MAXIFS($E$18:$E$32,$G$18:$G$32,A6,$A$18:$A$32,"P"),_xlfn.MAXIFS($W$18:$W$32,$V$18:$V$32,A6,$A$18:$A$32,"P"))=0,"/",MAX(_xlfn.MAXIFS($E$18:$E$32,$G$18:$G$32,A6,$A$18:$A$32,"P"),_xlfn.MAXIFS($W$18:$W$32,$V$18:$V$32,A6,$A$18:$A$32,"P")))),"")</f>
        <v>3.0303030303030303</v>
      </c>
      <c r="V6" s="550">
        <f t="shared" ref="V6:V11" si="7">IFERROR(IF(Q6=0,"",SUM(SUMIFS($D$18:$D$32,$G$18:$G$32,A6,$A$18:$A$32,"P"),SUMIFS($X$18:$X$32,$V$18:$V$32,A6,$A$18:$A$32,"P"))),"")</f>
        <v>2</v>
      </c>
      <c r="W6" s="357">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JOUEURS'!$Y$8="R",PouleATerminée="X"),_xlfn.XLOOKUP(($AO$4&amp;_xlfn.XLOOKUP(B6,$B$37:$B$42,$Q$37:$Q$42,"",0,1)&amp;_xlfn.XLOOKUP(B6,$B$37:$B$42,PB!$AE$37:$AE$42,"",0,1)),PTSRKPOULES[Colonne1],PTSRKPOULES[PR 3B],"",0,1),IF(AND('GESTION DES JOUEURS'!$D$8="Poules",'GESTION DES JOUEURS'!$Y$8="JDSR",PouleATerminée="X"),_xlfn.XLOOKUP($AO$4&amp;_xlfn.XLOOKUP(B6,$B$37:$B$42,$Q$37:$Q$42,"",0,1)&amp;_xlfn.XLOOKUP(B6,$B$37:$B$42,PB!$AE$37:$AE$42,"",0,1),PTSRKPOULES[Colonne1],PTSRKPOULES[PR JDS],"",0,1),""))))</f>
        <v>5</v>
      </c>
      <c r="X6" s="534">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1</v>
      </c>
      <c r="Y6" s="371" t="str">
        <f>IF(AND('GESTION DES JOUEURS'!$D$8="Open",B6&lt;&gt;""),AE6,"")</f>
        <v/>
      </c>
      <c r="AD6" s="554" t="str" cm="1">
        <f t="array" ref="AD6">_xlfn.XLOOKUP(B6,Tableau19[Licence],'GESTION DES JOUEURS'!$O$11:$O$46,"",0,1)</f>
        <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BILLARD CLUB DE LIVRY GARGAN</v>
      </c>
      <c r="AR6" s="807"/>
      <c r="AS6" s="310" t="str">
        <f t="shared" ref="AS6:AS11" si="10">IF(LEFT($B$15)="3",TEXT(J6,"0,000"),TEXT(J6,"0,00"))</f>
        <v>0,00</v>
      </c>
      <c r="AT6" s="308">
        <f t="shared" ref="AT6:AT11" si="11">IF(AO6=1,AT5,AT5+1)</f>
        <v>1</v>
      </c>
      <c r="AU6" s="308">
        <f t="shared" ref="AU6:AU11" si="12">IF(OR(A6="",AO6=1),"",AT6)</f>
        <v>1</v>
      </c>
      <c r="AV6" s="308">
        <f t="shared" ref="AV6:AV11" si="13">IF(AU6=1,1,"")</f>
        <v>1</v>
      </c>
      <c r="AW6" s="308">
        <f>AU6</f>
        <v>1</v>
      </c>
      <c r="AX6" s="309">
        <f t="shared" ref="AX6:AX11" si="14">_xlfn.XLOOKUP(AU6,$BC$69:$BE$69,$BC$70:$BE$70,"",0,1)</f>
        <v>1</v>
      </c>
      <c r="AY6" s="309">
        <f t="shared" ref="AY6:AY11" si="15">_xlfn.XLOOKUP(AU6,$BC$57:$BF$57,$BC$58:$BF$58,"",0,1)</f>
        <v>1</v>
      </c>
      <c r="AZ6" s="309">
        <f t="shared" ref="AZ6:AZ11" si="16">_xlfn.XLOOKUP(AU6,$BC$44:$BG$44,$BC$45:$BG$45,"",0,1)</f>
        <v>1</v>
      </c>
      <c r="BA6" s="309">
        <f t="shared" ref="BA6:BA11" si="17">_xlfn.XLOOKUP(AU6,$BC$30:$BH$30,$BC$31:$BH$31,"",0,1)</f>
        <v>1</v>
      </c>
      <c r="BD6" s="327">
        <v>1</v>
      </c>
      <c r="BE6" s="327"/>
      <c r="BF6" s="327"/>
      <c r="BG6" s="327"/>
      <c r="BH6" s="327"/>
      <c r="BI6" s="327"/>
      <c r="BJ6" s="327">
        <f t="shared" ref="BJ6:BJ11" si="18">COUNT(BD6:BI6)</f>
        <v>1</v>
      </c>
      <c r="BK6" s="244" t="str" cm="1">
        <f t="array" ref="BK6:BK11">_xlfn.SORTBY(AQ6:AQ11,AU6:AU11,1)</f>
        <v>BILLARD CLUB DE LIVRY GARGAN</v>
      </c>
      <c r="BV6" s="286" t="s">
        <v>5466</v>
      </c>
      <c r="BW6" s="287" cm="1">
        <f t="array" ref="BW6">_xlfn.XLOOKUP(A6&amp;A11,G18:G32&amp;V18:V32,N18:N32,_xlfn.XLOOKUP(A11&amp;A6,G18:G32&amp;V18:V32,P18:P32,"",0,1),0,1)</f>
        <v>0</v>
      </c>
      <c r="BX6" s="287" cm="1">
        <f t="array" ref="BX6">_xlfn.XLOOKUP(A6&amp;A11,G18:G32&amp;V18:V32,P18:P32,_xlfn.XLOOKUP(A11&amp;A6,G18:G32&amp;V18:V32,N18:N32,"",0,1),0,1)</f>
        <v>0</v>
      </c>
      <c r="BY6" s="287" cm="1">
        <f t="array" ref="BY6">_xlfn.XLOOKUP(A6&amp;A11,$G$18:$G$32&amp;$V$18:$V$32,$M$18:$M$32,"",0,1)</f>
        <v>0</v>
      </c>
      <c r="BZ6" s="287" cm="1">
        <f t="array" ref="BZ6">_xlfn.XLOOKUP(A6&amp;A11,$G$18:$G$32&amp;$V$18:$V$32,$Q$18:$Q$32,"",0,1)</f>
        <v>0</v>
      </c>
      <c r="CA6" s="287" cm="1">
        <f t="array" ref="CA6">_xlfn.XLOOKUP(A6&amp;A11,G18:G32&amp;V18:V32,O18:O32,_xlfn.XLOOKUP(A11&amp;A6,G18:G32&amp;V18:V32,O18:O32,"",0,1),0,1)</f>
        <v>0</v>
      </c>
      <c r="CB6" s="288" t="str" cm="1">
        <f t="array" ref="CB6">_xlfn.XLOOKUP(A6&amp;A11,G18:G32&amp;V18:V32,A18:A32,"",0,1)</f>
        <v/>
      </c>
      <c r="CC6" s="289">
        <f>IF(COUNTBLANK($AO$6:$AO$11)=2,SUM(BW6,BX35),IF(BW6="",BX35,BW6))</f>
        <v>0</v>
      </c>
      <c r="CD6" s="287">
        <f>IF(CC6="Ab.","",IF(BY6="",BZ35,BY6))</f>
        <v>0</v>
      </c>
      <c r="CE6" s="287">
        <f>IF(CC6="ab.","",CA6)</f>
        <v>0</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x14ac:dyDescent="0.25">
      <c r="A7" s="365">
        <f t="shared" si="0"/>
        <v>2</v>
      </c>
      <c r="B7" s="41" t="str">
        <f>IFERROR(VLOOKUP("B2",'GESTION DES JOUEURS'!$AG$11:$AI$46,3,FALSE),"")</f>
        <v>148333G</v>
      </c>
      <c r="C7" s="766" t="str">
        <f>IFERROR(IF(B7="","",_xlfn.XLOOKUP(B7,'LICENCES 2025'!A:A,'LICENCES 2025'!G:G," ",0,1)),"")</f>
        <v>MA PHUOC</v>
      </c>
      <c r="D7" s="767"/>
      <c r="E7" s="728" t="str">
        <f>IFERROR(IF(B7="","",_xlfn.XLOOKUP(B7,'LICENCES 2025'!A:A,'LICENCES 2025'!F:F,"",0,1)),"")</f>
        <v>BICH</v>
      </c>
      <c r="F7" s="728"/>
      <c r="G7" s="802" t="str">
        <f>IFERROR(IF(B7="","",_xlfn.XLOOKUP(B7,'LICENCES 2025'!A:A,'LICENCES 2025'!E:E,"",0,1)),"")</f>
        <v>ACADEMIE DE BILLARD DE MAISONS ALFORT</v>
      </c>
      <c r="H7" s="803"/>
      <c r="I7" s="356">
        <f>_xlfn.XLOOKUP(B7,Tableau19[Licence],Tableau19[Clt],"",0,1)</f>
        <v>7</v>
      </c>
      <c r="J7" s="258">
        <f>_xlfn.XLOOKUP(B7,Tableau19[Licence],Tableau19[Moy Gén],"",0,1)</f>
        <v>0</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R2 </v>
      </c>
      <c r="L7" s="259">
        <f t="shared" si="1"/>
        <v>2</v>
      </c>
      <c r="M7" s="386">
        <f t="shared" si="2"/>
        <v>2</v>
      </c>
      <c r="N7" s="252" t="str">
        <f>IFERROR(IF(VLOOKUP(B7,Tableau19[],10,FALSE)=TRUE,"F",""),"")</f>
        <v/>
      </c>
      <c r="O7" s="253"/>
      <c r="P7" s="103">
        <f t="shared" si="3"/>
        <v>200</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68</v>
      </c>
      <c r="R7" s="42"/>
      <c r="S7" s="43">
        <f t="shared" si="4"/>
        <v>19</v>
      </c>
      <c r="T7" s="104">
        <f t="shared" si="5"/>
        <v>2.9411764705882355</v>
      </c>
      <c r="U7" s="104">
        <f t="shared" si="6"/>
        <v>3.4482758620689653</v>
      </c>
      <c r="V7" s="116">
        <f t="shared" si="7"/>
        <v>4</v>
      </c>
      <c r="W7" s="41">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JOUEURS'!$Y$8="R",PouleATerminée="X"),_xlfn.XLOOKUP(($AO$4&amp;_xlfn.XLOOKUP(B7,$B$37:$B$42,$Q$37:$Q$42,"",0,1)&amp;_xlfn.XLOOKUP(B7,$B$37:$B$42,PB!$AE$37:$AE$42,"",0,1)),PTSRKPOULES[Colonne1],PTSRKPOULES[PR 3B],"",0,1),IF(AND('GESTION DES JOUEURS'!$D$8="Poules",'GESTION DES JOUEURS'!$Y$8="JDSR",PouleATerminée="X"),_xlfn.XLOOKUP($AO$4&amp;_xlfn.XLOOKUP(B7,$B$37:$B$42,$Q$37:$Q$42,"",0,1)&amp;_xlfn.XLOOKUP(B7,$B$37:$B$42,PB!$AE$37:$AE$42,"",0,1),PTSRKPOULES[Colonne1],PTSRKPOULES[PR JDS],"",0,1),""))))</f>
        <v>8</v>
      </c>
      <c r="X7" s="44">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1</v>
      </c>
      <c r="Y7" s="371" t="str">
        <f>IF(AND('GESTION DES JOUEURS'!$D$8="Open",B7&lt;&gt;""),AE7,"")</f>
        <v/>
      </c>
      <c r="AA7" s="901" t="s">
        <v>8129</v>
      </c>
      <c r="AD7" s="554" t="str" cm="1">
        <f t="array" ref="AD7">_xlfn.XLOOKUP(B7,Tableau19[Licence],'GESTION DES JOUEURS'!$O$11:$O$46,"",0,1)</f>
        <v>R2</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ACADEMIE DE BILLARD DE MAISONS ALFORT</v>
      </c>
      <c r="AR7" s="807"/>
      <c r="AS7" s="310" t="str">
        <f t="shared" si="10"/>
        <v>0,00</v>
      </c>
      <c r="AT7" s="308">
        <f t="shared" si="11"/>
        <v>2</v>
      </c>
      <c r="AU7" s="308">
        <f t="shared" si="12"/>
        <v>2</v>
      </c>
      <c r="AV7" s="308" t="str">
        <f t="shared" si="13"/>
        <v/>
      </c>
      <c r="AW7" s="308">
        <f>AU7</f>
        <v>2</v>
      </c>
      <c r="AX7" s="309">
        <f t="shared" si="14"/>
        <v>2</v>
      </c>
      <c r="AY7" s="309">
        <f t="shared" si="15"/>
        <v>2</v>
      </c>
      <c r="AZ7" s="309">
        <f t="shared" si="16"/>
        <v>2</v>
      </c>
      <c r="BA7" s="309">
        <f t="shared" si="17"/>
        <v>2</v>
      </c>
      <c r="BD7" s="327" t="b">
        <f>IF(BK7=BK6,A7)</f>
        <v>0</v>
      </c>
      <c r="BE7" s="327">
        <v>2</v>
      </c>
      <c r="BF7" s="327"/>
      <c r="BG7" s="327"/>
      <c r="BH7" s="327"/>
      <c r="BI7" s="327"/>
      <c r="BJ7" s="327">
        <f t="shared" si="18"/>
        <v>1</v>
      </c>
      <c r="BK7" s="244" t="str">
        <v>ACADEMIE DE BILLARD DE MAISONS ALFORT</v>
      </c>
      <c r="BV7" s="292" t="s">
        <v>5467</v>
      </c>
      <c r="BW7" s="223" cm="1">
        <f t="array" ref="BW7">_xlfn.XLOOKUP(A6&amp;A10,G18:G32&amp;V18:V32,N18:N32,_xlfn.XLOOKUP(A10&amp;A6,G18:G32&amp;V18:V32,P18:P32,"",0,1),0,1)</f>
        <v>0</v>
      </c>
      <c r="BX7" s="223" cm="1">
        <f t="array" ref="BX7">_xlfn.XLOOKUP(A6&amp;A10,G18:G32&amp;V18:V32,P18:P32,_xlfn.XLOOKUP(A10&amp;A6,G18:G32&amp;V18:V32,N18:N32,"",0,1),0,1)</f>
        <v>0</v>
      </c>
      <c r="BY7" s="223" cm="1">
        <f t="array" ref="BY7">_xlfn.XLOOKUP(A6&amp;A10,$G$18:$G$32&amp;$V$18:$V$32,$M$18:$M$32,"",0,1)</f>
        <v>0</v>
      </c>
      <c r="BZ7" s="223" cm="1">
        <f t="array" ref="BZ7">_xlfn.XLOOKUP(A6&amp;A10,$G$18:$G$32&amp;$V$18:$V$32,$Q$18:$Q$32,"",0,1)</f>
        <v>0</v>
      </c>
      <c r="CA7" s="223" cm="1">
        <f t="array" ref="CA7">_xlfn.XLOOKUP(A6&amp;A10,G18:G32&amp;V18:V32,O18:O32,_xlfn.XLOOKUP(A10&amp;A6,G18:G32&amp;V18:V32,O18:O32,"",0,1),0,1)</f>
        <v>0</v>
      </c>
      <c r="CB7" s="293" t="str" cm="1">
        <f t="array" ref="CB7">_xlfn.XLOOKUP(A6&amp;A10,G18:G32&amp;V18:V32,A18:A32,"",0,1)</f>
        <v/>
      </c>
      <c r="CC7" s="237">
        <f>IF(COUNTBLANK($AO$6:$AO$11)=2,SUM(BW7,BX30),IF(BW7="",BX30,BW7))</f>
        <v>0</v>
      </c>
      <c r="CD7" s="223">
        <f>IF(CC7="Ab.","",IF(BY7="",BZ30,BY7))</f>
        <v>0</v>
      </c>
      <c r="CE7" s="223">
        <f t="shared" ref="CE7:CE35" si="20">IF(CC7="ab.","",CA7)</f>
        <v>0</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x14ac:dyDescent="0.25">
      <c r="A8" s="365">
        <f t="shared" si="0"/>
        <v>3</v>
      </c>
      <c r="B8" s="41" t="str">
        <f>IFERROR(VLOOKUP("B3",'GESTION DES JOUEURS'!$AG$11:$AI$46,3,FALSE),"")</f>
        <v>156543F</v>
      </c>
      <c r="C8" s="766" t="str">
        <f>IFERROR(IF(B8="","",_xlfn.XLOOKUP(B8,'LICENCES 2025'!A:A,'LICENCES 2025'!G:G," ",0,1)),"")</f>
        <v>FERNANDES ALVES</v>
      </c>
      <c r="D8" s="767"/>
      <c r="E8" s="728" t="str">
        <f>IFERROR(IF(B8="","",_xlfn.XLOOKUP(B8,'LICENCES 2025'!A:A,'LICENCES 2025'!F:F,"",0,1)),"")</f>
        <v>FRANCISCO</v>
      </c>
      <c r="F8" s="728"/>
      <c r="G8" s="802" t="str">
        <f>IFERROR(IF(B8="","",_xlfn.XLOOKUP(B8,'LICENCES 2025'!A:A,'LICENCES 2025'!E:E,"",0,1)),"")</f>
        <v>ACADEMIE DE BILLARD DE MAISONS ALFORT</v>
      </c>
      <c r="H8" s="803"/>
      <c r="I8" s="356">
        <f>_xlfn.XLOOKUP(B8,Tableau19[Licence],Tableau19[Clt],"",0,1)</f>
        <v>12</v>
      </c>
      <c r="J8" s="258">
        <f>_xlfn.XLOOKUP(B8,Tableau19[Licence],Tableau19[Moy Gén],"",0,1)</f>
        <v>0</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R2</v>
      </c>
      <c r="L8" s="259">
        <f t="shared" si="1"/>
        <v>2</v>
      </c>
      <c r="M8" s="386">
        <f t="shared" si="2"/>
        <v>3</v>
      </c>
      <c r="N8" s="252" t="str">
        <f>IFERROR(IF(VLOOKUP(B8,Tableau19[],10,FALSE)=TRUE,"F",""),"")</f>
        <v/>
      </c>
      <c r="O8" s="253"/>
      <c r="P8" s="103">
        <f t="shared" si="3"/>
        <v>132</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62</v>
      </c>
      <c r="R8" s="42"/>
      <c r="S8" s="43">
        <f t="shared" si="4"/>
        <v>16</v>
      </c>
      <c r="T8" s="104">
        <f t="shared" si="5"/>
        <v>2.129032258064516</v>
      </c>
      <c r="U8" s="104" t="str">
        <f t="shared" si="6"/>
        <v>/</v>
      </c>
      <c r="V8" s="116">
        <f t="shared" si="7"/>
        <v>0</v>
      </c>
      <c r="W8" s="41">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JOUEURS'!$Y$8="R",PouleATerminée="X"),_xlfn.XLOOKUP(($AO$4&amp;_xlfn.XLOOKUP(B8,$B$37:$B$42,$Q$37:$Q$42,"",0,1)&amp;_xlfn.XLOOKUP(B8,$B$37:$B$42,PB!$AE$37:$AE$42,"",0,1)),PTSRKPOULES[Colonne1],PTSRKPOULES[PR 3B],"",0,1),IF(AND('GESTION DES JOUEURS'!$D$8="Poules",'GESTION DES JOUEURS'!$Y$8="JDSR",PouleATerminée="X"),_xlfn.XLOOKUP($AO$4&amp;_xlfn.XLOOKUP(B8,$B$37:$B$42,$Q$37:$Q$42,"",0,1)&amp;_xlfn.XLOOKUP(B8,$B$37:$B$42,PB!$AE$37:$AE$42,"",0,1),PTSRKPOULES[Colonne1],PTSRKPOULES[PR JDS],"",0,1),""))))</f>
        <v>3</v>
      </c>
      <c r="X8" s="44">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1</v>
      </c>
      <c r="Y8" s="371" t="str">
        <f>IF(AND('GESTION DES JOUEURS'!$D$8="Open",B8&lt;&gt;""),AE8,"")</f>
        <v/>
      </c>
      <c r="AA8" s="902"/>
      <c r="AD8" s="554" t="str" cm="1">
        <f t="array" ref="AD8">_xlfn.XLOOKUP(B8,Tableau19[Licence],'GESTION DES JOUEURS'!$O$11:$O$46,"",0,1)</f>
        <v>R2</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ACADEMIE DE BILLARD DE MAISONS ALFORT</v>
      </c>
      <c r="AR8" s="807"/>
      <c r="AS8" s="310" t="str">
        <f t="shared" si="10"/>
        <v>0,00</v>
      </c>
      <c r="AT8" s="308">
        <f t="shared" si="11"/>
        <v>3</v>
      </c>
      <c r="AU8" s="308">
        <f t="shared" si="12"/>
        <v>3</v>
      </c>
      <c r="AV8" s="308" t="str">
        <f t="shared" si="13"/>
        <v/>
      </c>
      <c r="AW8" s="308" t="str">
        <f>IF(SUM($AW$6:AW7)=3,"",AU8)</f>
        <v/>
      </c>
      <c r="AX8" s="309">
        <f t="shared" si="14"/>
        <v>3</v>
      </c>
      <c r="AY8" s="309">
        <f t="shared" si="15"/>
        <v>3</v>
      </c>
      <c r="AZ8" s="309">
        <f t="shared" si="16"/>
        <v>5</v>
      </c>
      <c r="BA8" s="309">
        <f t="shared" si="17"/>
        <v>5</v>
      </c>
      <c r="BD8" s="327" t="b">
        <f>IF(BK8=BK6,A8)</f>
        <v>0</v>
      </c>
      <c r="BE8" s="327">
        <f>IF(BK8=BK7,A8)</f>
        <v>3</v>
      </c>
      <c r="BF8" s="327">
        <v>3</v>
      </c>
      <c r="BG8" s="327"/>
      <c r="BH8" s="327"/>
      <c r="BI8" s="327"/>
      <c r="BJ8" s="327">
        <f t="shared" si="18"/>
        <v>2</v>
      </c>
      <c r="BK8" s="244" t="str">
        <v>ACADEMIE DE BILLARD DE MAISONS ALFORT</v>
      </c>
      <c r="BV8" s="292" t="s">
        <v>5468</v>
      </c>
      <c r="BW8" s="223" cm="1">
        <f t="array" ref="BW8">_xlfn.XLOOKUP(A6&amp;A9,G18:G32&amp;V18:V32,N18:N32,_xlfn.XLOOKUP(A9&amp;A6,G18:G32&amp;V18:V32,P18:P32,"",0,1),0,1)</f>
        <v>0</v>
      </c>
      <c r="BX8" s="223" cm="1">
        <f t="array" ref="BX8">_xlfn.XLOOKUP(A6&amp;A9,G18:G32&amp;V18:V32,P18:P32,_xlfn.XLOOKUP(A9&amp;A6,G18:G32&amp;V18:V32,N18:N32,"",0,1),0,1)</f>
        <v>0</v>
      </c>
      <c r="BY8" s="223" cm="1">
        <f t="array" ref="BY8">_xlfn.XLOOKUP(A6&amp;A9,$G$18:$G$32&amp;$V$18:$V$32,$M$18:$M$32,"",0,1)</f>
        <v>0</v>
      </c>
      <c r="BZ8" s="223" cm="1">
        <f t="array" ref="BZ8">_xlfn.XLOOKUP(A6&amp;A9,$G$18:$G$32&amp;$V$18:$V$32,$Q$18:$Q$32,"",0,1)</f>
        <v>0</v>
      </c>
      <c r="CA8" s="223" cm="1">
        <f t="array" ref="CA8">_xlfn.XLOOKUP(A6&amp;A9,G18:G32&amp;V18:V32,O18:O32,_xlfn.XLOOKUP(A9&amp;A6,G18:G32&amp;V18:V32,O18:O32,"",0,1),0,1)</f>
        <v>0</v>
      </c>
      <c r="CB8" s="293" t="str" cm="1">
        <f t="array" ref="CB8">_xlfn.XLOOKUP(A6&amp;A9,G18:G32&amp;V18:V32,A18:A32,"",0,1)</f>
        <v/>
      </c>
      <c r="CC8" s="237">
        <f>IF(COUNTBLANK($AO$6:$AO$11)=2,SUM(BW8,BX25),IF(BW8="",BX25,BW8))</f>
        <v>0</v>
      </c>
      <c r="CD8" s="223">
        <f>IF(CC8="Ab.","",IF(BY8="",BZ25,BY8))</f>
        <v>0</v>
      </c>
      <c r="CE8" s="223">
        <f t="shared" si="20"/>
        <v>0</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IFERROR(VLOOKUP("B4",'GESTION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JOUEURS'!$Y$8="R",PouleATerminée="X"),_xlfn.XLOOKUP(($AO$4&amp;_xlfn.XLOOKUP(B9,$B$37:$B$42,$Q$37:$Q$42,"",0,1)&amp;_xlfn.XLOOKUP(B9,$B$37:$B$42,PB!$AE$37:$AE$42,"",0,1)),PTSRKPOULES[Colonne1],PTSRKPOULES[PR 3B],"",0,1),IF(AND('GESTION DES JOUEURS'!$D$8="Poules",'GESTION DES JOUEURS'!$Y$8="JDSR",PouleATerminée="X"),_xlfn.XLOOKUP($AO$4&amp;_xlfn.XLOOKUP(B9,$B$37:$B$42,$Q$37:$Q$42,"",0,1)&amp;_xlfn.XLOOKUP(B9,$B$37:$B$42,PB!$AE$37:$AE$42,"",0,1),PTSRKPOULES[Colonne1],PTSRKPOULES[PR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b">
        <f>IF(BK9=BK6,A9)</f>
        <v>0</v>
      </c>
      <c r="BE9" s="327" t="b">
        <f>IF(BK9=BK7,A9)</f>
        <v>0</v>
      </c>
      <c r="BF9" s="327" t="b">
        <f>IF(BK9=BK8,A9)</f>
        <v>0</v>
      </c>
      <c r="BG9" s="327">
        <v>4</v>
      </c>
      <c r="BH9" s="327"/>
      <c r="BI9" s="327"/>
      <c r="BJ9" s="327">
        <f t="shared" si="18"/>
        <v>1</v>
      </c>
      <c r="BK9" s="244" t="str">
        <v/>
      </c>
      <c r="BV9" s="292" t="s">
        <v>5469</v>
      </c>
      <c r="BW9" s="223" cm="1">
        <f t="array" ref="BW9">_xlfn.XLOOKUP(A6&amp;A8,G18:G32&amp;V18:V32,N18:N32,_xlfn.XLOOKUP(A8&amp;A6,G18:G32&amp;V18:V32,P18:P32,"",0,1),0,1)</f>
        <v>100</v>
      </c>
      <c r="BX9" s="223" cm="1">
        <f t="array" ref="BX9">_xlfn.XLOOKUP(A6&amp;A8,G18:G32&amp;V18:V32,P18:P32,_xlfn.XLOOKUP(A8&amp;A6,G18:G32&amp;V18:V32,N18:N32,"",0,1),0,1)</f>
        <v>67</v>
      </c>
      <c r="BY9" s="223" t="str" cm="1">
        <f t="array" ref="BY9">_xlfn.XLOOKUP(A6&amp;A8,$G$18:$G$32&amp;$V$18:$V$32,$M$18:$M$32,"",0,1)</f>
        <v/>
      </c>
      <c r="BZ9" s="223" t="str" cm="1">
        <f t="array" ref="BZ9">_xlfn.XLOOKUP(A6&amp;A8,$G$18:$G$32&amp;$V$18:$V$32,$Q$18:$Q$32,"",0,1)</f>
        <v/>
      </c>
      <c r="CA9" s="223" cm="1">
        <f t="array" ref="CA9">_xlfn.XLOOKUP(A6&amp;A8,G18:G32&amp;V18:V32,O18:O32,_xlfn.XLOOKUP(A8&amp;A6,G18:G32&amp;V18:V32,O18:O32,"",0,1),0,1)</f>
        <v>33</v>
      </c>
      <c r="CB9" s="293" t="str" cm="1">
        <f t="array" ref="CB9">_xlfn.XLOOKUP(A6&amp;A8,G18:G32&amp;V18:V32,A18:A32,"",0,1)</f>
        <v/>
      </c>
      <c r="CC9" s="237">
        <f>IF(COUNTBLANK($AO$6:$AO$11)=2,SUM(BW9,BX20),IF(BW9="",BX20,BW9))</f>
        <v>100</v>
      </c>
      <c r="CD9" s="223">
        <f>IF(CC9="Ab.","",IF(BY9="",BZ20,BY9))</f>
        <v>18</v>
      </c>
      <c r="CE9" s="223">
        <f t="shared" si="20"/>
        <v>33</v>
      </c>
      <c r="CF9" s="294" t="str">
        <f>IF(CB9="",CB20,CB9)</f>
        <v>P</v>
      </c>
      <c r="CG9" s="295" cm="1">
        <f t="array" ref="CG9">_xlfn.XLOOKUP(BV9,$G$18:$G$32&amp;"-"&amp;$V$18:$V$32,$D$18:$D$32,_xlfn.XLOOKUP(BV20,$G$18:$G$32&amp;"-"&amp;$V$18:$V$32,$X$18:$X$32,"",0,1),0,1)</f>
        <v>2</v>
      </c>
      <c r="CH9" s="175" cm="1">
        <f t="array" ref="CH9">_xlfn.XLOOKUP(BV9,$G$18:$G$32&amp;"-"&amp;$V$18:$V$32,$AS$18:$AS$32,_xlfn.XLOOKUP(BV20,$G$18:$G$32&amp;"-"&amp;$V$18:$V$32,$AT$18:$AT$32,"",0,1),0,1)</f>
        <v>1</v>
      </c>
      <c r="CI9" s="818"/>
      <c r="CJ9" s="821"/>
      <c r="CK9" s="557">
        <f t="shared" si="21"/>
        <v>3</v>
      </c>
      <c r="CL9" s="557" t="b">
        <f t="shared" si="19"/>
        <v>0</v>
      </c>
    </row>
    <row r="10" spans="1:90" ht="15" customHeight="1" thickBot="1" x14ac:dyDescent="0.3">
      <c r="A10" s="365" t="str">
        <f t="shared" si="0"/>
        <v/>
      </c>
      <c r="B10" s="41" t="str">
        <f>IFERROR(VLOOKUP("B5",'GESTION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JOUEURS'!$Y$8="R",PouleATerminée="X"),_xlfn.XLOOKUP(($AO$4&amp;_xlfn.XLOOKUP(B10,$B$37:$B$42,$Q$37:$Q$42,"",0,1)&amp;_xlfn.XLOOKUP(B10,$B$37:$B$42,PB!$AE$37:$AE$42,"",0,1)),PTSRKPOULES[Colonne1],PTSRKPOULES[PR 3B],"",0,1),IF(AND('GESTION DES JOUEURS'!$D$8="Poules",'GESTION DES JOUEURS'!$Y$8="JDSR",PouleATerminée="X"),_xlfn.XLOOKUP($AO$4&amp;_xlfn.XLOOKUP(B10,$B$37:$B$42,$Q$37:$Q$42,"",0,1)&amp;_xlfn.XLOOKUP(B10,$B$37:$B$42,PB!$AE$37:$AE$42,"",0,1),PTSRKPOULES[Colonne1],PTSRKPOULES[PR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b">
        <f>IF(BK10=BK6,A10)</f>
        <v>0</v>
      </c>
      <c r="BE10" s="327" t="b">
        <f>IF(BK10=BK7,A10)</f>
        <v>0</v>
      </c>
      <c r="BF10" s="327" t="b">
        <f>IF(BK10=BK8,A10)</f>
        <v>0</v>
      </c>
      <c r="BG10" s="327" t="str">
        <f>IF(BK10=BK9,A10)</f>
        <v/>
      </c>
      <c r="BH10" s="327">
        <v>5</v>
      </c>
      <c r="BI10" s="327"/>
      <c r="BJ10" s="327">
        <f t="shared" si="18"/>
        <v>1</v>
      </c>
      <c r="BK10" s="244" t="str">
        <v/>
      </c>
      <c r="BV10" s="296" t="s">
        <v>5470</v>
      </c>
      <c r="BW10" s="297" cm="1">
        <f t="array" ref="BW10">_xlfn.XLOOKUP(A6&amp;A7,G18:G32&amp;V18:V32,N18:N32,_xlfn.XLOOKUP(A7&amp;A6,G18:G32&amp;V18:V32,P18:P32,"",0,1),0,1)</f>
        <v>67</v>
      </c>
      <c r="BX10" s="297" cm="1">
        <f t="array" ref="BX10">_xlfn.XLOOKUP(A6&amp;A7,G18:G32&amp;V18:V32,P18:P32,_xlfn.XLOOKUP(A7&amp;A6,G18:G32&amp;V18:V32,N18:N32,"",0,1),0,1)</f>
        <v>100</v>
      </c>
      <c r="BY10" s="297" t="str" cm="1">
        <f t="array" ref="BY10">_xlfn.XLOOKUP(A6&amp;A7,$G$18:$G$32&amp;$V$18:$V$32,$M$18:$M$32,"",0,1)</f>
        <v/>
      </c>
      <c r="BZ10" s="297" t="str" cm="1">
        <f t="array" ref="BZ10">_xlfn.XLOOKUP(A6&amp;A7,$G$18:$G$32&amp;$V$18:$V$32,$Q$18:$Q$32,"",0,1)</f>
        <v/>
      </c>
      <c r="CA10" s="297" cm="1">
        <f t="array" ref="CA10">_xlfn.XLOOKUP(A6&amp;A7,G18:G32&amp;V18:V32,O18:O32,_xlfn.XLOOKUP(A7&amp;A6,G18:G32&amp;V18:V32,O18:O32,"",0,1),0,1)</f>
        <v>39</v>
      </c>
      <c r="CB10" s="298" t="str" cm="1">
        <f t="array" ref="CB10">_xlfn.XLOOKUP(A6&amp;A7,G18:G32&amp;V18:V32,A18:A32,"",0,1)</f>
        <v/>
      </c>
      <c r="CC10" s="299">
        <f>IF(COUNTBLANK($AO$6:$AO$11)=2,SUM(BW10,BX15),IF(BW10="",BX15,BW10))</f>
        <v>67</v>
      </c>
      <c r="CD10" s="297">
        <f>IF(CC10="Ab.","",IF(BY10="",BZ15,BY10))</f>
        <v>12</v>
      </c>
      <c r="CE10" s="297">
        <f t="shared" si="20"/>
        <v>39</v>
      </c>
      <c r="CF10" s="300" t="str">
        <f>IF(CB10="",CB15,CB10)</f>
        <v>P</v>
      </c>
      <c r="CG10" s="301" cm="1">
        <f t="array" ref="CG10">_xlfn.XLOOKUP(BV10,$G$18:$G$32&amp;"-"&amp;$V$18:$V$32,$D$18:$D$32,_xlfn.XLOOKUP(BV15,$G$18:$G$32&amp;"-"&amp;$V$18:$V$32,$X$18:$X$32,"",0,1),0,1)</f>
        <v>0</v>
      </c>
      <c r="CH10" s="302" cm="1">
        <f t="array" ref="CH10">_xlfn.XLOOKUP(BV10,$G$18:$G$32&amp;"-"&amp;$V$18:$V$32,$AS$18:$AS$32,_xlfn.XLOOKUP(BV15,$G$18:$G$32&amp;"-"&amp;$V$18:$V$32,$AT$18:$AT$32,"",0,1),0,1)</f>
        <v>0</v>
      </c>
      <c r="CI10" s="819"/>
      <c r="CJ10" s="822"/>
      <c r="CK10" s="557">
        <f t="shared" si="21"/>
        <v>2</v>
      </c>
      <c r="CL10" s="557" t="b">
        <f t="shared" si="19"/>
        <v>0</v>
      </c>
    </row>
    <row r="11" spans="1:90" ht="15" customHeight="1" thickBot="1" x14ac:dyDescent="0.3">
      <c r="A11" s="365" t="str">
        <f t="shared" si="0"/>
        <v/>
      </c>
      <c r="B11" s="45" t="str">
        <f>IFERROR(VLOOKUP("B6",'GESTION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JOUEURS'!$Y$8="R",PouleATerminée="X"),_xlfn.XLOOKUP(($AO$4&amp;_xlfn.XLOOKUP(B11,$B$37:$B$42,$Q$37:$Q$42,"",0,1)&amp;_xlfn.XLOOKUP(B11,$B$37:$B$42,PB!$AE$37:$AE$42,"",0,1)),PTSRKPOULES[Colonne1],PTSRKPOULES[PR 3B],"",0,1),IF(AND('GESTION DES JOUEURS'!$D$8="Poules",'GESTION DES JOUEURS'!$Y$8="JDSR",PouleATerminée="X"),_xlfn.XLOOKUP($AO$4&amp;_xlfn.XLOOKUP(B11,$B$37:$B$42,$Q$37:$Q$42,"",0,1)&amp;_xlfn.XLOOKUP(B11,$B$37:$B$42,PB!$AE$37:$AE$42,"",0,1),PTSRKPOULES[Colonne1],PTSRKPOULES[PR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b">
        <f>IF(BK11=BK6,A11)</f>
        <v>0</v>
      </c>
      <c r="BE11" s="328" t="b">
        <f>IF(BK11=BK7,A11)</f>
        <v>0</v>
      </c>
      <c r="BF11" s="328" t="b">
        <f>IF(BK11=BK8,A11)</f>
        <v>0</v>
      </c>
      <c r="BG11" s="328" t="str">
        <f>IF(BK11=BK9,A11)</f>
        <v/>
      </c>
      <c r="BH11" s="328" t="str">
        <f>IF(BK11=BK10,A11)</f>
        <v/>
      </c>
      <c r="BI11" s="328">
        <v>6</v>
      </c>
      <c r="BJ11" s="328">
        <f t="shared" si="18"/>
        <v>1</v>
      </c>
      <c r="BK11" s="244" t="str">
        <v/>
      </c>
      <c r="BV11" s="286" t="s">
        <v>5471</v>
      </c>
      <c r="BW11" s="287" t="str" cm="1">
        <f t="array" ref="BW11">_xlfn.SINGLE(_xlfn.XLOOKUP(A7&amp;A11,G18:G32&amp;V18:V32,N18:N32,_xlfn.XLOOKUP(A11&amp;A7,G18:G32&amp;V18:V32,P18:P32,"",0,1),0,1))</f>
        <v/>
      </c>
      <c r="BX11" s="287" t="str" cm="1">
        <f t="array" ref="BX11">_xlfn.XLOOKUP(A7&amp;A11,G18:G32&amp;V18:V32,P18:P32,_xlfn.XLOOKUP(A11&amp;A7,G18:G32&amp;V18:V32,N18:N32,"",0,1),0,1)</f>
        <v/>
      </c>
      <c r="BY11" s="287" t="str" cm="1">
        <f t="array" ref="BY11">_xlfn.XLOOKUP(A7&amp;A11,$G$18:$G$32&amp;$V$18:$V$32,$M$18:$M$32,"",0,1)</f>
        <v/>
      </c>
      <c r="BZ11" s="287" t="str" cm="1">
        <f t="array" ref="BZ11">_xlfn.XLOOKUP(A7&amp;A11,$G$18:$G$32&amp;$V$18:$V$32,$Q$18:$Q$32,"",0,1)</f>
        <v/>
      </c>
      <c r="CA11" s="287" t="str" cm="1">
        <f t="array" ref="CA11">_xlfn.XLOOKUP(A7&amp;A11,G18:G32&amp;V18:V32,O18:O32,_xlfn.XLOOKUP(A11&amp;A7,G18:G32&amp;V18:V32,O18:O32,"",0,1),0,1)</f>
        <v/>
      </c>
      <c r="CB11" s="288" t="str" cm="1">
        <f t="array" ref="CB11">_xlfn.XLOOKUP(A7&amp;A11,G18:G32&amp;V18:V32,A18:A32,"",0,1)</f>
        <v/>
      </c>
      <c r="CC11" s="289" t="str">
        <f>IF(COUNTBLANK($AO$6:$AO$11)=2,SUM(BW11,BX34),IF(BW11="",BX34,BW11))</f>
        <v/>
      </c>
      <c r="CD11" s="287" t="str">
        <f>IF(CC11="Ab.","",IF(BY11="",BZ34,BY11))</f>
        <v/>
      </c>
      <c r="CE11" s="287" t="str">
        <f t="shared" si="20"/>
        <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2</v>
      </c>
      <c r="BG12" s="221">
        <f t="shared" si="22"/>
        <v>1</v>
      </c>
      <c r="BH12" s="221">
        <f t="shared" si="22"/>
        <v>1</v>
      </c>
      <c r="BI12" s="221">
        <f t="shared" si="22"/>
        <v>1</v>
      </c>
      <c r="BJ12" s="222">
        <f t="shared" si="22"/>
        <v>1</v>
      </c>
      <c r="BV12" s="292" t="s">
        <v>5472</v>
      </c>
      <c r="BW12" s="223" t="str" cm="1">
        <f t="array" ref="BW12">_xlfn.SINGLE(_xlfn.XLOOKUP(A7&amp;A10,G18:G32&amp;V18:V32,N18:N32,_xlfn.XLOOKUP(A10&amp;A7,G18:G32&amp;V18:V32,P18:P32,"",0,1),0,1))</f>
        <v/>
      </c>
      <c r="BX12" s="223" t="str" cm="1">
        <f t="array" ref="BX12">_xlfn.XLOOKUP(A7&amp;A10,G18:G32&amp;V18:V32,P18:P32,_xlfn.XLOOKUP(A10&amp;A7,G18:G32&amp;V18:V32,N18:N32,"",0,1),0,1)</f>
        <v/>
      </c>
      <c r="BY12" s="223" t="str" cm="1">
        <f t="array" ref="BY12">_xlfn.XLOOKUP(A7&amp;A10,$G$18:$G$32&amp;$V$18:$V$32,$M$18:$M$32,"",0,1)</f>
        <v/>
      </c>
      <c r="BZ12" s="223" t="str" cm="1">
        <f t="array" ref="BZ12">_xlfn.XLOOKUP(A7&amp;A10,$G$18:$G$32&amp;$V$18:$V$32,$Q$18:$Q$32,"",0,1)</f>
        <v/>
      </c>
      <c r="CA12" s="223" t="str" cm="1">
        <f t="array" ref="CA12">_xlfn.XLOOKUP(A7&amp;A10,G18:G32&amp;V18:V32,O18:O32,_xlfn.XLOOKUP(A10&amp;A7,G18:G32&amp;V18:V32,O18:O32,"",0,1),0,1)</f>
        <v/>
      </c>
      <c r="CB12" s="293" t="str" cm="1">
        <f t="array" ref="CB12">_xlfn.XLOOKUP(A7&amp;A10,G18:G32&amp;V18:V32,A18:A32,"",0,1)</f>
        <v/>
      </c>
      <c r="CC12" s="237" t="str">
        <f>IF(COUNTBLANK($AO$6:$AO$11)=2,SUM(BW12,BX29),IF(BW12="",BX29,BW12))</f>
        <v/>
      </c>
      <c r="CD12" s="223" t="str">
        <f>IF(CC12="Ab.","",IF(BY12="",BZ29,BY12))</f>
        <v/>
      </c>
      <c r="CE12" s="223" t="str">
        <f t="shared" si="20"/>
        <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IF(K13="Poule","B","")</f>
        <v>B</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2</v>
      </c>
      <c r="BG13" s="223">
        <f>COUNT(BF6:BF10)</f>
        <v>1</v>
      </c>
      <c r="BH13" s="223">
        <f>COUNT(BG6:BG10)</f>
        <v>1</v>
      </c>
      <c r="BI13" s="223">
        <f>COUNT(BH6:BH10)</f>
        <v>1</v>
      </c>
      <c r="BJ13" s="224"/>
      <c r="BV13" s="292" t="s">
        <v>5473</v>
      </c>
      <c r="BW13" s="223" t="str" cm="1">
        <f t="array" ref="BW13">_xlfn.SINGLE(_xlfn.XLOOKUP(A7&amp;A9,G18:G32&amp;V18:V32,N18:N32,_xlfn.XLOOKUP(A9&amp;A7,G18:G32&amp;V18:V32,P18:P32,"",0,1),0,1))</f>
        <v/>
      </c>
      <c r="BX13" s="223" t="str" cm="1">
        <f t="array" ref="BX13">_xlfn.XLOOKUP(A7&amp;A9,G18:G32&amp;V18:V32,P18:P32,_xlfn.XLOOKUP(A9&amp;A7,G18:G32&amp;V18:V32,N18:N32,"",0,1),0,1)</f>
        <v/>
      </c>
      <c r="BY13" s="223" t="str" cm="1">
        <f t="array" ref="BY13">_xlfn.XLOOKUP(A7&amp;A9,$G$18:$G$32&amp;$V$18:$V$32,$M$18:$M$32,"",0,1)</f>
        <v/>
      </c>
      <c r="BZ13" s="223" t="str" cm="1">
        <f t="array" ref="BZ13">_xlfn.XLOOKUP(A7&amp;A9,$G$18:$G$32&amp;$V$18:$V$32,$Q$18:$Q$32,"",0,1)</f>
        <v/>
      </c>
      <c r="CA13" s="223" t="str" cm="1">
        <f t="array" ref="CA13">_xlfn.XLOOKUP(A7&amp;A9,G18:G32&amp;V18:V32,O18:O32,_xlfn.XLOOKUP(A9&amp;A7,G18:G32&amp;V18:V32,O18:O32,"",0,1),0,1)</f>
        <v/>
      </c>
      <c r="CB13" s="293" t="str" cm="1">
        <f t="array" ref="CB13">_xlfn.XLOOKUP(A7&amp;A9,G18:G32&amp;V18:V32,A18:A32,"",0,1)</f>
        <v/>
      </c>
      <c r="CC13" s="237" t="str">
        <f>IF(COUNTBLANK($AO$6:$AO$11)=2,SUM(BW13,BX24),IF(BW13="",BX24,BW13))</f>
        <v/>
      </c>
      <c r="CD13" s="223" t="str">
        <f>IF(CC13="Ab.","",IF(BY13="",BZ24,BY13))</f>
        <v/>
      </c>
      <c r="CE13" s="223" t="str">
        <f t="shared" si="20"/>
        <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2</v>
      </c>
      <c r="BG14" s="225">
        <f>COUNT(BF6:BF9)</f>
        <v>1</v>
      </c>
      <c r="BH14" s="225">
        <f>COUNT(BG6:BG9)</f>
        <v>1</v>
      </c>
      <c r="BI14" s="225"/>
      <c r="BJ14" s="226"/>
      <c r="BV14" s="292" t="s">
        <v>5474</v>
      </c>
      <c r="BW14" s="223" cm="1">
        <f t="array" ref="BW14">_xlfn.SINGLE(_xlfn.XLOOKUP(A7&amp;A8,G18:G32&amp;V18:V32,N18:N32,_xlfn.XLOOKUP(A8&amp;A7,G18:G32&amp;V18:V32,P18:P32,"",0,1),0,1))</f>
        <v>100</v>
      </c>
      <c r="BX14" s="223" cm="1">
        <f t="array" ref="BX14">_xlfn.XLOOKUP(A7&amp;A8,G18:G32&amp;V18:V32,P18:P32,_xlfn.XLOOKUP(A8&amp;A7,G18:G32&amp;V18:V32,N18:N32,"",0,1),0,1)</f>
        <v>65</v>
      </c>
      <c r="BY14" s="223" cm="1">
        <f t="array" ref="BY14">_xlfn.XLOOKUP(A7&amp;A8,$G$18:$G$32&amp;$V$18:$V$32,$M$18:$M$32,"",0,1)</f>
        <v>19</v>
      </c>
      <c r="BZ14" s="223" cm="1">
        <f t="array" ref="BZ14">_xlfn.XLOOKUP(A7&amp;A8,$G$18:$G$32&amp;$V$18:$V$32,$Q$18:$Q$32,"",0,1)</f>
        <v>14</v>
      </c>
      <c r="CA14" s="223" cm="1">
        <f t="array" ref="CA14">_xlfn.XLOOKUP(A7&amp;A8,G18:G32&amp;V18:V32,O18:O32,_xlfn.XLOOKUP(A8&amp;A7,G18:G32&amp;V18:V32,O18:O32,"",0,1),0,1)</f>
        <v>29</v>
      </c>
      <c r="CB14" s="293" t="str" cm="1">
        <f t="array" ref="CB14">_xlfn.XLOOKUP(A7&amp;A8,G18:G32&amp;V18:V32,A18:A32,"",0,1)</f>
        <v>P</v>
      </c>
      <c r="CC14" s="237">
        <f>IF(COUNTBLANK($AO$6:$AO$11)=2,SUM(BW14,BX19),IF(BW14="",BX19,BW14))</f>
        <v>100</v>
      </c>
      <c r="CD14" s="223">
        <f>IF(CC14="Ab.","",IF(BY14="",BZ19,BY14))</f>
        <v>19</v>
      </c>
      <c r="CE14" s="223">
        <f t="shared" si="20"/>
        <v>29</v>
      </c>
      <c r="CF14" s="294" t="str">
        <f>IF(CB14="",CB19,CB14)</f>
        <v>P</v>
      </c>
      <c r="CG14" s="295" cm="1">
        <f t="array" ref="CG14">_xlfn.XLOOKUP(BV14,$G$18:$G$32&amp;"-"&amp;$V$18:$V$32,$D$18:$D$32,_xlfn.XLOOKUP(BV19,$G$18:$G$32&amp;"-"&amp;$V$18:$V$32,$X$18:$X$32,"",0,1),0,1)</f>
        <v>2</v>
      </c>
      <c r="CH14" s="175" cm="1">
        <f t="array" ref="CH14">_xlfn.XLOOKUP(BV14,$G$18:$G$32&amp;"-"&amp;$V$18:$V$32,$AS$18:$AS$32,_xlfn.XLOOKUP(BV19,$G$18:$G$32&amp;"-"&amp;$V$18:$V$32,$AT$18:$AT$32,"",0,1),0,1)</f>
        <v>1</v>
      </c>
      <c r="CI14" s="818"/>
      <c r="CJ14" s="821"/>
      <c r="CK14" s="557">
        <f t="shared" si="21"/>
        <v>3</v>
      </c>
      <c r="CL14" s="557" t="b">
        <f t="shared" si="19"/>
        <v>0</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2</v>
      </c>
      <c r="BG15" s="227">
        <f>COUNT(BF6:BF8)</f>
        <v>1</v>
      </c>
      <c r="BH15" s="227"/>
      <c r="BI15" s="227"/>
      <c r="BJ15" s="228"/>
      <c r="BV15" s="296" t="s">
        <v>5475</v>
      </c>
      <c r="BW15" s="297" cm="1">
        <f t="array" ref="BW15">_xlfn.SINGLE(_xlfn.XLOOKUP(A7&amp;A6,G18:G32&amp;V18:V32,N18:N32,_xlfn.XLOOKUP(A6&amp;A7,G18:G32&amp;V18:V32,P18:P32,"",0,1),0,1))</f>
        <v>100</v>
      </c>
      <c r="BX15" s="297" cm="1">
        <f t="array" ref="BX15">_xlfn.XLOOKUP(A7&amp;A6,G18:G32&amp;V18:V32,P18:P32,_xlfn.XLOOKUP(A6&amp;A7,G18:G32&amp;V18:V32,N18:N32,"",0,1),0,1)</f>
        <v>67</v>
      </c>
      <c r="BY15" s="297" cm="1">
        <f t="array" ref="BY15">_xlfn.XLOOKUP(A7&amp;A6,$G$18:$G$32&amp;$V$18:$V$32,$M$18:$M$32,"",0,1)</f>
        <v>17</v>
      </c>
      <c r="BZ15" s="297" cm="1">
        <f t="array" ref="BZ15">_xlfn.XLOOKUP(A7&amp;A6,$G$18:$G$32&amp;$V$18:$V$32,$Q$18:$Q$32,"",0,1)</f>
        <v>12</v>
      </c>
      <c r="CA15" s="297" cm="1">
        <f t="array" ref="CA15">_xlfn.XLOOKUP(A7&amp;A6,G18:G32&amp;V18:V32,O18:O32,_xlfn.XLOOKUP(A6&amp;A7,G18:G32&amp;V18:V32,O18:O32,"",0,1),0,1)</f>
        <v>39</v>
      </c>
      <c r="CB15" s="298" t="str" cm="1">
        <f t="array" ref="CB15">_xlfn.XLOOKUP(A7&amp;A6,G18:G32&amp;V18:V32,A18:A32,"",0,1)</f>
        <v>P</v>
      </c>
      <c r="CC15" s="299">
        <f>IF(COUNTBLANK($AO$6:$AO$11)=2,SUM(BW15,BX10),IF(BW15="",BX10,BW15))</f>
        <v>100</v>
      </c>
      <c r="CD15" s="297">
        <f>IF(CC15="Ab.","",IF(BY15="",BZ10,BY15))</f>
        <v>17</v>
      </c>
      <c r="CE15" s="297">
        <f t="shared" si="20"/>
        <v>39</v>
      </c>
      <c r="CF15" s="300" t="str">
        <f>IF(CB15="",CB10,CB15)</f>
        <v>P</v>
      </c>
      <c r="CG15" s="301" cm="1">
        <f t="array" ref="CG15">_xlfn.XLOOKUP(BV15,$G$18:$G$32&amp;"-"&amp;$V$18:$V$32,$D$18:$D$32,_xlfn.XLOOKUP(BV10,$G$18:$G$32&amp;"-"&amp;$V$18:$V$32,$X$18:$X$32,"",0,1),0,1)</f>
        <v>2</v>
      </c>
      <c r="CH15" s="302" cm="1">
        <f t="array" ref="CH15">_xlfn.XLOOKUP(BV15,$G$18:$G$32&amp;"-"&amp;$V$18:$V$32,$AS$18:$AS$32,_xlfn.XLOOKUP(BV10,$G$18:$G$32&amp;"-"&amp;$V$18:$V$32,$AT$18:$AT$32,"",0,1),0,1)</f>
        <v>1</v>
      </c>
      <c r="CI15" s="819"/>
      <c r="CJ15" s="822"/>
      <c r="CK15" s="557">
        <f t="shared" si="21"/>
        <v>1</v>
      </c>
      <c r="CL15" s="557" t="b">
        <f t="shared" si="19"/>
        <v>0</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P</v>
      </c>
      <c r="B18" s="52">
        <f>IF(AO4=5,"",1)</f>
        <v>1</v>
      </c>
      <c r="C18" s="94">
        <f t="shared" ref="C18:C32" si="24">IF(AR18=0,"",IF(B18="","",AR18))</f>
        <v>1</v>
      </c>
      <c r="D18" s="74">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2</v>
      </c>
      <c r="E18" s="109">
        <f>IFERROR(IF(AND(D18&gt;0,Y18=FALSE),N18/O18,IF(AND(D18&gt;0,Y18=TRUE),(N18/O18)*_xlfn.XLOOKUP('GESTION DES JOUEURS'!$X$8&amp;RIGHT('GESTION DES JOUEURS'!$Y$8,1),Tableau14[Colonne1],Tableau14[coef. 2,80/3,10],"",0,1),"")),"")</f>
        <v>3.4482758620689653</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148333G</v>
      </c>
      <c r="G18" s="53">
        <f t="shared" ref="G18:G32" si="25">_xlfn.XLOOKUP(F18,$B$6:$B$11,$A$6:$A$11,"",0,1)</f>
        <v>2</v>
      </c>
      <c r="H18" s="776" t="str">
        <f>IFERROR(VLOOKUP(F18,$B$6:$G$11,2,FALSE),"")</f>
        <v>MA PHUOC</v>
      </c>
      <c r="I18" s="777"/>
      <c r="J18" s="777"/>
      <c r="K18" s="776" t="str">
        <f>IFERROR(VLOOKUP(F18,$B$6:$G$11,4,FALSE),"")</f>
        <v>BICH</v>
      </c>
      <c r="L18" s="778"/>
      <c r="M18" s="76">
        <v>19</v>
      </c>
      <c r="N18" s="82">
        <v>100</v>
      </c>
      <c r="O18" s="110">
        <v>29</v>
      </c>
      <c r="P18" s="81">
        <v>65</v>
      </c>
      <c r="Q18" s="77">
        <v>14</v>
      </c>
      <c r="R18" s="768" t="str">
        <f t="shared" ref="R18:R32" si="26">IFERROR(VLOOKUP(U18,$B$6:$G$11,2,0),"")</f>
        <v>FERNANDES ALVES</v>
      </c>
      <c r="S18" s="769"/>
      <c r="T18" s="78" t="str">
        <f t="shared" ref="T18:T32" si="27">IFERROR(VLOOKUP(U18,$B$6:$G$11,4,0),"")</f>
        <v>FRANCISCO</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156543F</v>
      </c>
      <c r="V18" s="54">
        <f t="shared" ref="V18:V32" si="28">_xlfn.XLOOKUP(U18,$B$6:$B$11,$A$6:$A$11,"",0,1)</f>
        <v>3</v>
      </c>
      <c r="W18" s="111" t="str">
        <f>IFERROR(IF(AND(X18&gt;0,Y18=FALSE),P18/O18,IF(AND(X18&gt;0,Y18=TRUE),(P18/O18)*_xlfn.XLOOKUP('GESTION DES JOUEURS'!$X$8&amp;RIGHT('GESTION DES JOUEURS'!$Y$8,1),Tableau14[Colonne1],Tableau14[coef. 2,80/3,10],"",0,1),"")),"")</f>
        <v/>
      </c>
      <c r="X18" s="55">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0</v>
      </c>
      <c r="Y18" s="677" t="b">
        <v>0</v>
      </c>
      <c r="AA18" s="906"/>
      <c r="AN18" s="244"/>
      <c r="AO18" s="248"/>
      <c r="AP18" s="325">
        <f>IF($O$4="m",_xlfn.XLOOKUP(F18,$B$6:$B$11,$O$6:$O$11,_xlfn.XLOOKUP(F18,$B$6:$B$11,$M$6:$M$11,0,0,1),0,1),_xlfn.XLOOKUP(F18,$B$6:$B$11,$M$6:$M$11,0,0,1))</f>
        <v>2</v>
      </c>
      <c r="AQ18" s="325">
        <f t="shared" ref="AQ18:AQ32" si="29">IF($O$4="m",_xlfn.XLOOKUP(U18,$B$6:$B$11,$O$6:$O$11,0,0,1),_xlfn.XLOOKUP(U18,$B$6:$B$11,$M$6:$M$11,0,0,1))</f>
        <v>3</v>
      </c>
      <c r="AR18" s="326">
        <f>IF(B18="",AH17,AH17+1)</f>
        <v>1</v>
      </c>
      <c r="AS18" s="313">
        <f>SUM(AU18,AW18)</f>
        <v>1</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1</v>
      </c>
      <c r="AX18" s="315">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0</v>
      </c>
      <c r="AZ18" s="326">
        <v>2</v>
      </c>
      <c r="BB18" s="724"/>
      <c r="BC18" s="233" t="b">
        <v>0</v>
      </c>
      <c r="BD18" s="155">
        <v>3</v>
      </c>
      <c r="BE18" s="155" t="b">
        <v>0</v>
      </c>
      <c r="BF18" s="155" t="str">
        <v/>
      </c>
      <c r="BG18" s="155" t="str">
        <v/>
      </c>
      <c r="BH18" s="155">
        <v>0</v>
      </c>
      <c r="BI18" s="157"/>
      <c r="BJ18" s="157"/>
      <c r="BK18" s="155">
        <v>2</v>
      </c>
      <c r="BL18" s="155" t="str">
        <f t="shared" si="23"/>
        <v/>
      </c>
      <c r="BM18" s="161">
        <v>4</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183133H</v>
      </c>
      <c r="G19" s="57">
        <f t="shared" si="25"/>
        <v>1</v>
      </c>
      <c r="H19" s="729" t="str">
        <f>IFERROR(VLOOKUP(F19,$B$6:$G$11,2,FALSE),"")</f>
        <v>ROCHE</v>
      </c>
      <c r="I19" s="726"/>
      <c r="J19" s="730"/>
      <c r="K19" s="726" t="str">
        <f>IFERROR(VLOOKUP(F19,$B$6:$H$11,4,FALSE),"")</f>
        <v>PATRICK</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1</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b">
        <v>0</v>
      </c>
      <c r="BD19" s="155" t="b">
        <v>0</v>
      </c>
      <c r="BE19" s="155" t="b">
        <v>0</v>
      </c>
      <c r="BF19" s="155" t="str">
        <v/>
      </c>
      <c r="BG19" s="155">
        <v>0</v>
      </c>
      <c r="BH19" s="155">
        <v>0</v>
      </c>
      <c r="BI19" s="157"/>
      <c r="BJ19" s="157"/>
      <c r="BK19" s="155">
        <v>3</v>
      </c>
      <c r="BL19" s="155" t="str">
        <f t="shared" si="23"/>
        <v/>
      </c>
      <c r="BM19" s="161">
        <v>5</v>
      </c>
      <c r="BV19" s="292" t="s">
        <v>5479</v>
      </c>
      <c r="BW19" s="223" cm="1">
        <f t="array" ref="BW19">_xlfn.SINGLE(_xlfn.XLOOKUP(A8&amp;A7,G18:G32&amp;V18:V32,N18:N32,_xlfn.XLOOKUP(A7&amp;A8,G18:G32&amp;V18:V32,P18:P32,"",0,1),0,1))</f>
        <v>65</v>
      </c>
      <c r="BX19" s="223" cm="1">
        <f t="array" ref="BX19">_xlfn.XLOOKUP(A8&amp;A7,G18:G32&amp;V18:V32,P18:P32,_xlfn.XLOOKUP(A7&amp;A8,G18:G32&amp;V18:V32,N18:N32,"",0,1),0,1)</f>
        <v>100</v>
      </c>
      <c r="BY19" s="223" t="str" cm="1">
        <f t="array" ref="BY19">_xlfn.XLOOKUP(A8&amp;A7,$G$18:$G$32&amp;$V$18:$V$32,$M$18:$M$32,"",0,1)</f>
        <v/>
      </c>
      <c r="BZ19" s="223" t="str" cm="1">
        <f t="array" ref="BZ19">_xlfn.XLOOKUP(A8&amp;A7,$G$18:$G$32&amp;$V$18:$V$32,$Q$18:$Q$32,"",0,1)</f>
        <v/>
      </c>
      <c r="CA19" s="223" cm="1">
        <f t="array" ref="CA19">_xlfn.XLOOKUP(A8&amp;A7,G18:G32&amp;V18:V32,O18:O32,_xlfn.XLOOKUP(A7&amp;A8,G18:G32&amp;V18:V32,O18:O32,"",0,1),0,1)</f>
        <v>29</v>
      </c>
      <c r="CB19" s="293" t="str" cm="1">
        <f t="array" ref="CB19">_xlfn.XLOOKUP(A8&amp;A7,G18:G32&amp;V18:V32,A18:A32,"",0,1)</f>
        <v/>
      </c>
      <c r="CC19" s="237">
        <f>IF(COUNTBLANK($AO$6:$AO$11)=2,SUM(BW19,BX14),IF(BW19="",BX14,BW19))</f>
        <v>65</v>
      </c>
      <c r="CD19" s="223">
        <f>IF(CC19="Ab.","",IF(BY19="",BZ14,BY19))</f>
        <v>14</v>
      </c>
      <c r="CE19" s="223">
        <f t="shared" si="20"/>
        <v>29</v>
      </c>
      <c r="CF19" s="294" t="str">
        <f>IF(CB19="",CB14,CB19)</f>
        <v>P</v>
      </c>
      <c r="CG19" s="295" cm="1">
        <f t="array" ref="CG19">_xlfn.XLOOKUP(BV19,$G$18:$G$32&amp;"-"&amp;$V$18:$V$32,$D$18:$D$32,_xlfn.XLOOKUP(BV14,$G$18:$G$32&amp;"-"&amp;$V$18:$V$32,$X$18:$X$32,"",0,1),0,1)</f>
        <v>0</v>
      </c>
      <c r="CH19" s="175" cm="1">
        <f t="array" ref="CH19">_xlfn.XLOOKUP(BV19,$G$18:$G$32&amp;"-"&amp;$V$18:$V$32,$AS$18:$AS$32,_xlfn.XLOOKUP(BV14,$G$18:$G$32&amp;"-"&amp;$V$18:$V$32,$AT$18:$AT$32,"",0,1),0,1)</f>
        <v>0</v>
      </c>
      <c r="CI19" s="818"/>
      <c r="CJ19" s="821"/>
      <c r="CK19" s="557">
        <f t="shared" si="21"/>
        <v>2</v>
      </c>
      <c r="CL19" s="557" t="b">
        <f t="shared" si="19"/>
        <v>0</v>
      </c>
    </row>
    <row r="20" spans="1:90" ht="14.45" customHeight="1" thickBot="1" x14ac:dyDescent="0.3">
      <c r="A20" s="245" t="str">
        <f>IF(AO4&lt;3,"",IF(OR(O20&gt;0,N20="ab.",P20="ab."),"P",""))</f>
        <v>P</v>
      </c>
      <c r="B20" s="56">
        <f>IF(AO4&lt;3,"",IF(AO4&lt;5,1,IF(AO4=5,2,3)))</f>
        <v>1</v>
      </c>
      <c r="C20" s="95">
        <f t="shared" si="24"/>
        <v>2</v>
      </c>
      <c r="D20" s="79">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0</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156543F</v>
      </c>
      <c r="G20" s="57">
        <f t="shared" si="25"/>
        <v>3</v>
      </c>
      <c r="H20" s="729" t="str">
        <f>IFERROR(VLOOKUP(F20,$B$6:$G$11,2,FALSE),"")</f>
        <v>FERNANDES ALVES</v>
      </c>
      <c r="I20" s="726"/>
      <c r="J20" s="730"/>
      <c r="K20" s="726" t="str">
        <f t="shared" ref="K20:K32" si="33">IFERROR(VLOOKUP(F20,$B$6:$H$11,4,FALSE),"")</f>
        <v>FRANCISCO</v>
      </c>
      <c r="L20" s="727"/>
      <c r="M20" s="81">
        <v>16</v>
      </c>
      <c r="N20" s="82">
        <v>67</v>
      </c>
      <c r="O20" s="114">
        <v>33</v>
      </c>
      <c r="P20" s="81">
        <v>100</v>
      </c>
      <c r="Q20" s="82">
        <v>18</v>
      </c>
      <c r="R20" s="731" t="str">
        <f t="shared" si="26"/>
        <v>ROCHE</v>
      </c>
      <c r="S20" s="732"/>
      <c r="T20" s="83" t="str">
        <f t="shared" si="27"/>
        <v>PATRICK</v>
      </c>
      <c r="U20" s="83" t="str">
        <f>IF(AO4&lt;3,"",IF(AND(AO4&lt;5,N19&gt;P19),F19,IF(AND(AO4&lt;5,P19&gt;N19),U19,IF(AND(AO4&lt;5,N19=P19,M19&gt;Q19),F19,IF(AND(AO4&lt;5,N19=P19,Q19&gt;M19),U19,IF(AND(AO4&lt;5,N19=P19,Q19=M19),F19,IF($O$4="M",_xlfn.XLOOKUP('DATA TDJ'!C39,$O$6:$O$11,$B$6:$B$11,_xlfn.XLOOKUP('DATA TDJ'!C39,$M$6:$M$11,$B$6:$B$11," ",0,1),0,1),_xlfn.XLOOKUP('DATA TDJ'!C39,$M$6:$M$11,$B$6:$B$11," ",0,1))))))))</f>
        <v>183133H</v>
      </c>
      <c r="V20" s="58">
        <f t="shared" si="28"/>
        <v>1</v>
      </c>
      <c r="W20" s="115">
        <f>IFERROR(IF(AND(X20&gt;0,Y20=FALSE),P20/O20,IF(AND(X20&gt;0,Y20=TRUE),(P20/O20)*_xlfn.XLOOKUP('GESTION DES JOUEURS'!$X$8&amp;RIGHT('GESTION DES JOUEURS'!$Y$8,1),Tableau14[Colonne1],Tableau14[coef. 2,80/3,10],"",0,1),"")),"")</f>
        <v>3.0303030303030303</v>
      </c>
      <c r="X20" s="59">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2</v>
      </c>
      <c r="Y20" s="678" t="b">
        <v>0</v>
      </c>
      <c r="AA20" s="905"/>
      <c r="AN20" s="244"/>
      <c r="AO20" s="248"/>
      <c r="AP20" s="325">
        <f t="shared" si="30"/>
        <v>3</v>
      </c>
      <c r="AQ20" s="325">
        <f t="shared" si="29"/>
        <v>1</v>
      </c>
      <c r="AR20" s="326">
        <f t="shared" si="31"/>
        <v>2</v>
      </c>
      <c r="AS20" s="317">
        <f t="shared" si="32"/>
        <v>0</v>
      </c>
      <c r="AT20" s="318">
        <f t="shared" si="32"/>
        <v>1</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0</v>
      </c>
      <c r="AX20" s="319">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1</v>
      </c>
      <c r="AZ20" s="326">
        <v>4</v>
      </c>
      <c r="BB20" s="724"/>
      <c r="BC20" s="233" t="b">
        <v>0</v>
      </c>
      <c r="BD20" s="155" t="b">
        <v>0</v>
      </c>
      <c r="BE20" s="155" t="b">
        <v>0</v>
      </c>
      <c r="BF20" s="155">
        <v>0</v>
      </c>
      <c r="BG20" s="155">
        <v>0</v>
      </c>
      <c r="BH20" s="155">
        <v>0</v>
      </c>
      <c r="BI20" s="157"/>
      <c r="BJ20" s="157"/>
      <c r="BK20" s="155">
        <v>4</v>
      </c>
      <c r="BL20" s="155">
        <f t="shared" si="23"/>
        <v>4</v>
      </c>
      <c r="BM20" s="161">
        <v>6</v>
      </c>
      <c r="BV20" s="296" t="s">
        <v>5480</v>
      </c>
      <c r="BW20" s="297" cm="1">
        <f t="array" ref="BW20">_xlfn.SINGLE(_xlfn.XLOOKUP(A8&amp;A6,G18:G32&amp;V18:V32,N18:N32,_xlfn.XLOOKUP(A6&amp;A8,G18:G32&amp;V18:V32,P18:P32,"",0,1),0,1))</f>
        <v>67</v>
      </c>
      <c r="BX20" s="297" cm="1">
        <f t="array" ref="BX20">_xlfn.XLOOKUP(A8&amp;A6,G18:G32&amp;V18:V32,P18:P32,_xlfn.XLOOKUP(A6&amp;A8,G18:G32&amp;V18:V32,N18:N32,"",0,1),0,1)</f>
        <v>100</v>
      </c>
      <c r="BY20" s="297" cm="1">
        <f t="array" ref="BY20">_xlfn.XLOOKUP(A8&amp;A6,$G$18:$G$32&amp;$V$18:$V$32,$M$18:$M$32,"",0,1)</f>
        <v>16</v>
      </c>
      <c r="BZ20" s="297" cm="1">
        <f t="array" ref="BZ20">_xlfn.XLOOKUP(A8&amp;A6,$G$18:$G$32&amp;$V$18:$V$32,$Q$18:$Q$32,"",0,1)</f>
        <v>18</v>
      </c>
      <c r="CA20" s="297" cm="1">
        <f t="array" ref="CA20">_xlfn.XLOOKUP(A8&amp;A6,G18:G32&amp;V18:V32,O18:O32,_xlfn.XLOOKUP(A6&amp;A8,G18:G32&amp;V18:V32,O18:O32,"",0,1),0,1)</f>
        <v>33</v>
      </c>
      <c r="CB20" s="298" t="str" cm="1">
        <f t="array" ref="CB20">_xlfn.XLOOKUP(A8&amp;A6,G18:G32&amp;V18:V32,A18:A32,"",0,1)</f>
        <v>P</v>
      </c>
      <c r="CC20" s="299">
        <f>IF(COUNTBLANK($AO$6:$AO$11)=2,SUM(BW20,BX9),IF(BW20="",BX9,BW20))</f>
        <v>67</v>
      </c>
      <c r="CD20" s="297">
        <f>IF(CC20="Ab.","",IF(BY20="",BZ9,BY20))</f>
        <v>16</v>
      </c>
      <c r="CE20" s="297">
        <f t="shared" si="20"/>
        <v>33</v>
      </c>
      <c r="CF20" s="300" t="str">
        <f>IF(CB20="",CB9,CB20)</f>
        <v>P</v>
      </c>
      <c r="CG20" s="301" cm="1">
        <f t="array" ref="CG20">_xlfn.XLOOKUP(BV20,$G$18:$G$32&amp;"-"&amp;$V$18:$V$32,$D$18:$D$32,_xlfn.XLOOKUP(BV9,$G$18:$G$32&amp;"-"&amp;$V$18:$V$32,$X$18:$X$32,"",0,1),0,1)</f>
        <v>0</v>
      </c>
      <c r="CH20" s="302" cm="1">
        <f t="array" ref="CH20">_xlfn.XLOOKUP(BV20,$G$18:$G$32&amp;"-"&amp;$V$18:$V$32,$AS$18:$AS$32,_xlfn.XLOOKUP(BV9,$G$18:$G$32&amp;"-"&amp;$V$18:$V$32,$AT$18:$AT$32,"",0,1),0,1)</f>
        <v>0</v>
      </c>
      <c r="CI20" s="819"/>
      <c r="CJ20" s="822"/>
      <c r="CK20" s="557">
        <f t="shared" si="21"/>
        <v>1</v>
      </c>
      <c r="CL20" s="557" t="b">
        <f t="shared" si="19"/>
        <v>0</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156543F</v>
      </c>
      <c r="G21" s="57">
        <f t="shared" si="25"/>
        <v>3</v>
      </c>
      <c r="H21" s="729" t="str">
        <f>IFERROR(VLOOKUP(F21,$B$6:$G$11,2,FALSE),"")</f>
        <v>FERNANDES ALVES</v>
      </c>
      <c r="I21" s="726"/>
      <c r="J21" s="730"/>
      <c r="K21" s="726" t="str">
        <f t="shared" si="33"/>
        <v>FRANCISCO</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xml:space="preserve">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f t="shared" si="30"/>
        <v>3</v>
      </c>
      <c r="AQ21" s="325">
        <f t="shared" si="29"/>
        <v>0</v>
      </c>
      <c r="AR21" s="326">
        <f t="shared" si="31"/>
        <v>2</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b">
        <v>0</v>
      </c>
      <c r="BD21" s="155" t="b">
        <v>0</v>
      </c>
      <c r="BE21" s="155">
        <v>0</v>
      </c>
      <c r="BF21" s="155">
        <v>0</v>
      </c>
      <c r="BG21" s="155">
        <v>0</v>
      </c>
      <c r="BH21" s="155">
        <v>0</v>
      </c>
      <c r="BI21" s="157"/>
      <c r="BJ21" s="157"/>
      <c r="BK21" s="155">
        <v>5</v>
      </c>
      <c r="BL21" s="155">
        <f t="shared" si="23"/>
        <v>5</v>
      </c>
      <c r="BM21" s="161" t="str">
        <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P</v>
      </c>
      <c r="B22" s="56">
        <f>IF(AO4=3,1,IF(OR(AO4=5,AO4&lt;3),"",IF(AO4&lt;5,1,2)))</f>
        <v>1</v>
      </c>
      <c r="C22" s="95">
        <f t="shared" si="24"/>
        <v>3</v>
      </c>
      <c r="D22" s="79">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2</v>
      </c>
      <c r="E22" s="113">
        <f>IFERROR(IF(AND(D22&gt;0,Y22=FALSE),N22/O22,IF(AND(D22&gt;0,Y22=TRUE),(N22/O22)*_xlfn.XLOOKUP('GESTION DES JOUEURS'!$X$8&amp;RIGHT('GESTION DES JOUEURS'!$Y$8,1),Tableau14[Colonne1],Tableau14[coef. 2,80/3,10],"",0,1),"")),"")</f>
        <v>2.5641025641025643</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148333G</v>
      </c>
      <c r="G22" s="57">
        <f t="shared" si="25"/>
        <v>2</v>
      </c>
      <c r="H22" s="729" t="str">
        <f>IFERROR(VLOOKUP(F22,$B$6:$G$11,2,FALSE),"")</f>
        <v>MA PHUOC</v>
      </c>
      <c r="I22" s="726"/>
      <c r="J22" s="730"/>
      <c r="K22" s="726" t="str">
        <f t="shared" si="33"/>
        <v>BICH</v>
      </c>
      <c r="L22" s="727"/>
      <c r="M22" s="81">
        <v>17</v>
      </c>
      <c r="N22" s="82">
        <v>100</v>
      </c>
      <c r="O22" s="114">
        <v>39</v>
      </c>
      <c r="P22" s="81">
        <v>67</v>
      </c>
      <c r="Q22" s="82">
        <v>12</v>
      </c>
      <c r="R22" s="731" t="str">
        <f t="shared" si="26"/>
        <v>ROCHE</v>
      </c>
      <c r="S22" s="732"/>
      <c r="T22" s="83" t="str">
        <f t="shared" si="27"/>
        <v>PATRICK</v>
      </c>
      <c r="U22" s="83" t="str">
        <f>IF(AO4&lt;3,"",IF(AO4=3,F19,IF(AO4&lt;5,U19,IF($O$4="M",_xlfn.XLOOKUP('DATA TDJ'!C41,$O$6:$O$11,$B$6:$B$11,_xlfn.XLOOKUP('DATA TDJ'!C41,$M$6:$M$11,$B$6:$B$11," ",0,1),0,1),_xlfn.XLOOKUP('DATA TDJ'!C41,$M$6:$M$11,$B$6:$B$11," ",0,1)))))</f>
        <v>183133H</v>
      </c>
      <c r="V22" s="58">
        <f t="shared" si="28"/>
        <v>1</v>
      </c>
      <c r="W22" s="115" t="str">
        <f>IFERROR(IF(AND(X22&gt;0,Y22=FALSE),P22/O22,IF(AND(X22&gt;0,Y22=TRUE),(P22/O22)*_xlfn.XLOOKUP('GESTION DES JOUEURS'!$X$8&amp;RIGHT('GESTION DES JOUEURS'!$Y$8,1),Tableau14[Colonne1],Tableau14[coef. 2,80/3,10],"",0,1),"")),"")</f>
        <v/>
      </c>
      <c r="X22" s="59">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0</v>
      </c>
      <c r="Y22" s="678" t="b">
        <v>0</v>
      </c>
      <c r="AA22" s="911"/>
      <c r="AN22" s="244"/>
      <c r="AO22" s="248"/>
      <c r="AP22" s="325">
        <f t="shared" si="30"/>
        <v>2</v>
      </c>
      <c r="AQ22" s="325">
        <f t="shared" si="29"/>
        <v>1</v>
      </c>
      <c r="AR22" s="326">
        <f t="shared" si="31"/>
        <v>3</v>
      </c>
      <c r="AS22" s="317">
        <f t="shared" si="32"/>
        <v>1</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1</v>
      </c>
      <c r="AX22" s="319">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0</v>
      </c>
      <c r="AZ22" s="326">
        <v>6</v>
      </c>
      <c r="BB22" s="724"/>
      <c r="BC22" s="233" t="b">
        <v>0</v>
      </c>
      <c r="BD22" s="155">
        <v>0</v>
      </c>
      <c r="BE22" s="155">
        <v>0</v>
      </c>
      <c r="BF22" s="155">
        <v>0</v>
      </c>
      <c r="BG22" s="155">
        <v>0</v>
      </c>
      <c r="BH22" s="155">
        <v>0</v>
      </c>
      <c r="BI22" s="157"/>
      <c r="BJ22" s="157"/>
      <c r="BK22" s="156">
        <v>6</v>
      </c>
      <c r="BL22" s="155">
        <f t="shared" si="23"/>
        <v>6</v>
      </c>
      <c r="BM22" s="162" t="str">
        <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3</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b">
        <f t="shared" si="19"/>
        <v>0</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3</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t="str" cm="1">
        <f t="array" ref="BW24">_xlfn.SINGLE(_xlfn.XLOOKUP(A9&amp;A7,G18:G32&amp;V18:V32,N18:N32,_xlfn.XLOOKUP(A7&amp;A9,G18:G32&amp;V18:V32,P18:P32,"",0,1),0,1))</f>
        <v/>
      </c>
      <c r="BX24" s="223" t="str" cm="1">
        <f t="array" ref="BX24">_xlfn.XLOOKUP(A9&amp;A7,G18:G32&amp;V18:V32,P18:P32,_xlfn.XLOOKUP(A7&amp;A9,G18:G32&amp;V18:V32,N18:N32,"",0,1),0,1)</f>
        <v/>
      </c>
      <c r="BY24" s="223" t="str" cm="1">
        <f t="array" ref="BY24">_xlfn.XLOOKUP(A9&amp;A7,$G$18:$G$32&amp;$V$18:$V$32,$M$18:$M$32,"",0,1)</f>
        <v/>
      </c>
      <c r="BZ24" s="223" t="str" cm="1">
        <f t="array" ref="BZ24">_xlfn.XLOOKUP(A9&amp;A7,$G$18:$G$32&amp;$V$18:$V$32,$Q$18:$Q$32,"",0,1)</f>
        <v/>
      </c>
      <c r="CA24" s="223" t="str" cm="1">
        <f t="array" ref="CA24">_xlfn.XLOOKUP(A9&amp;A7,G18:G32&amp;V18:V32,O18:O32,_xlfn.XLOOKUP(A7&amp;A9,G18:G32&amp;V18:V32,O18:O32,"",0,1),0,1)</f>
        <v/>
      </c>
      <c r="CB24" s="293" t="str" cm="1">
        <f t="array" ref="CB24">_xlfn.XLOOKUP(A9&amp;A7,G18:G32&amp;V18:V32,A18:A32,"",0,1)</f>
        <v/>
      </c>
      <c r="CC24" s="237" t="str">
        <f>IF(COUNTBLANK($AO$6:$AO$11)=2,SUM(BW24,BX13),IF(BW24="",BX13,BW24))</f>
        <v/>
      </c>
      <c r="CD24" s="223" t="str">
        <f>IF(CC24="Ab.","",IF(BY24="",BZ13,BY24))</f>
        <v/>
      </c>
      <c r="CE24" s="223" t="str">
        <f t="shared" si="20"/>
        <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b">
        <f t="shared" si="19"/>
        <v>0</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3</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1</v>
      </c>
      <c r="BI25" s="157">
        <f>IF(BI26=FALSE,BH25+1,BH25)</f>
        <v>2</v>
      </c>
      <c r="BJ25" s="157"/>
      <c r="BK25" s="157"/>
      <c r="BL25" s="157"/>
      <c r="BM25" s="163"/>
      <c r="BV25" s="296" t="s">
        <v>5485</v>
      </c>
      <c r="BW25" s="297" cm="1">
        <f t="array" ref="BW25">_xlfn.SINGLE(_xlfn.XLOOKUP(A9&amp;A6,G18:G32&amp;V18:V32,N18:N32,_xlfn.XLOOKUP(A6&amp;A9,G18:G32&amp;V18:V32,P18:P32,"",0,1),0,1))</f>
        <v>0</v>
      </c>
      <c r="BX25" s="297" cm="1">
        <f t="array" ref="BX25">_xlfn.XLOOKUP(A9&amp;A6,G18:G32&amp;V18:V32,P18:P32,_xlfn.XLOOKUP(A6&amp;A9,G18:G32&amp;V18:V32,N18:N32,"",0,1),0,1)</f>
        <v>0</v>
      </c>
      <c r="BY25" s="297" cm="1">
        <f t="array" ref="BY25">_xlfn.XLOOKUP(A9&amp;A6,$G$18:$G$32&amp;$V$18:$V$32,$M$18:$M$32,"",0,1)</f>
        <v>0</v>
      </c>
      <c r="BZ25" s="297" cm="1">
        <f t="array" ref="BZ25">_xlfn.XLOOKUP(A9&amp;A6,$G$18:$G$32&amp;$V$18:$V$32,$Q$18:$Q$32,"",0,1)</f>
        <v>0</v>
      </c>
      <c r="CA25" s="297" cm="1">
        <f t="array" ref="CA25">_xlfn.XLOOKUP(A9&amp;A6,G18:G32&amp;V18:V32,O18:O32,_xlfn.XLOOKUP(A6&amp;A9,G18:G32&amp;V18:V32,O18:O32,"",0,1),0,1)</f>
        <v>0</v>
      </c>
      <c r="CB25" s="298" t="str" cm="1">
        <f t="array" ref="CB25">_xlfn.XLOOKUP(A9&amp;A6,G18:G32&amp;V18:V32,A18:A32,"",0,1)</f>
        <v/>
      </c>
      <c r="CC25" s="299">
        <f>IF(COUNTBLANK($AO$6:$AO$11)=2,SUM(BW25,BX8),IF(BW25="",BX8,BW25))</f>
        <v>0</v>
      </c>
      <c r="CD25" s="297">
        <f>IF(CC25="Ab.","",IF(BY25="",BZ8,BY25))</f>
        <v>0</v>
      </c>
      <c r="CE25" s="297">
        <f t="shared" si="20"/>
        <v>0</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b">
        <f t="shared" si="19"/>
        <v>0</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3</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f>IF(ISEVEN(BF12),BE7,IF(ISEVEN(BG12),BF8))</f>
        <v>2</v>
      </c>
      <c r="BE26" s="155" t="b">
        <f>IF(ISEVEN(BI12),BH10,IF(ISEVEN(BH12),BG9,IF(ISEVEN(BG12),BF8)))</f>
        <v>0</v>
      </c>
      <c r="BF26" s="157"/>
      <c r="BG26" s="155" t="b">
        <f>BC26</f>
        <v>0</v>
      </c>
      <c r="BH26" s="155">
        <f>IF(AND(BD26=3,BE26=3,BC27&lt;&gt;2),FALSE,BD26)</f>
        <v>2</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3</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f>_xlfn.XLOOKUP(BD26,$BC$17:$BH$17,$BC$18:$BH$18,FALSE,0,1)</f>
        <v>3</v>
      </c>
      <c r="BE27" s="155" t="b">
        <f>_xlfn.XLOOKUP(BE26,$BC$17:$BH$17,$BC$18:$BH$18,FALSE,0,1)</f>
        <v>0</v>
      </c>
      <c r="BF27" s="157"/>
      <c r="BG27" s="155" t="b">
        <f>BC27</f>
        <v>0</v>
      </c>
      <c r="BH27" s="155">
        <f>IF(AND(BD26=3,BE26=3,BC27&lt;&gt;2),FALSE,BD27)</f>
        <v>3</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3</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4</v>
      </c>
      <c r="BH28" s="157">
        <f>IF(BH27=FALSE,BI28+1,BI28)</f>
        <v>3</v>
      </c>
      <c r="BI28" s="157">
        <f>IF(BI27=FALSE,BI25+1,BI25)</f>
        <v>3</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b">
        <f t="shared" si="19"/>
        <v>0</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3</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t="str" cm="1">
        <f t="array" ref="BW29">_xlfn.SINGLE(_xlfn.XLOOKUP(A10&amp;A7,G18:G32&amp;V18:V32,N18:N32,_xlfn.XLOOKUP(A7&amp;A10,G18:G32&amp;V18:V32,P18:P32,"",0,1),0,1))</f>
        <v/>
      </c>
      <c r="BX29" s="223" t="str" cm="1">
        <f t="array" ref="BX29">_xlfn.XLOOKUP(A10&amp;A7,G18:G32&amp;V18:V32,P18:P32,_xlfn.XLOOKUP(A7&amp;A10,G18:G32&amp;V18:V32,N18:N32,"",0,1),0,1)</f>
        <v/>
      </c>
      <c r="BY29" s="223" t="str" cm="1">
        <f t="array" ref="BY29">_xlfn.XLOOKUP(A10&amp;A7,$G$18:$G$32&amp;$V$18:$V$32,$M$18:$M$32,"",0,1)</f>
        <v/>
      </c>
      <c r="BZ29" s="223" t="str" cm="1">
        <f t="array" ref="BZ29">_xlfn.XLOOKUP(A10&amp;A7,$G$18:$G$32&amp;$V$18:$V$32,$Q$18:$Q$32,"",0,1)</f>
        <v/>
      </c>
      <c r="CA29" s="223" t="str" cm="1">
        <f t="array" ref="CA29">_xlfn.XLOOKUP(A10&amp;A7,G18:G32&amp;V18:V32,O18:O32,_xlfn.XLOOKUP(A7&amp;A10,G18:G32&amp;V18:V32,O18:O32,"",0,1),0,1)</f>
        <v/>
      </c>
      <c r="CB29" s="293" t="str" cm="1">
        <f t="array" ref="CB29">_xlfn.XLOOKUP(A10&amp;A7,G18:G32&amp;V18:V32,A18:A32,"",0,1)</f>
        <v/>
      </c>
      <c r="CC29" s="237" t="str">
        <f>IF(COUNTBLANK($AO$6:$AO$11)=2,SUM(BW29,BX12),IF(BW29="",BX12,BW29))</f>
        <v/>
      </c>
      <c r="CD29" s="223" t="str">
        <f>IF(CC29="Ab.","",IF(BY29="",BZ12,BY29))</f>
        <v/>
      </c>
      <c r="CE29" s="223" t="str">
        <f t="shared" si="20"/>
        <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b">
        <f t="shared" si="19"/>
        <v>0</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3</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4</v>
      </c>
      <c r="BF30" s="167">
        <f>IF(SUM(BC17:BC22)=21,4,IF(BI27=FALSE,_xlfn.XLOOKUP(BI28,$BK$17:$BK$22,$BM$17:$BM$22,"",0,1),BI27))</f>
        <v>5</v>
      </c>
      <c r="BG30" s="167">
        <f>IF(SUM(BC17:BC22)=21,5,IF(BH27=FALSE,_xlfn.XLOOKUP(BH28,$BK$17:$BK$22,$BM$17:$BM$22,"",0,1),BH27))</f>
        <v>3</v>
      </c>
      <c r="BH30" s="167">
        <f>IF(SUM(BC17:BC22)=21,6,IF(BG27=FALSE,_xlfn.XLOOKUP(BG28,$BK$17:$BK$22,$BM$17:$BM$22,"",0,1),BG27))</f>
        <v>6</v>
      </c>
      <c r="BI30" s="157"/>
      <c r="BJ30" s="157"/>
      <c r="BK30" s="157"/>
      <c r="BL30" s="157"/>
      <c r="BM30" s="163"/>
      <c r="BV30" s="296" t="s">
        <v>5490</v>
      </c>
      <c r="BW30" s="297" cm="1">
        <f t="array" ref="BW30">_xlfn.SINGLE(_xlfn.XLOOKUP(A10&amp;A6,G18:G32&amp;V18:V32,N18:N32,_xlfn.XLOOKUP(A6&amp;A10,G18:G32&amp;V18:V32,P18:P32,"",0,1),0,1))</f>
        <v>0</v>
      </c>
      <c r="BX30" s="297" cm="1">
        <f t="array" ref="BX30">_xlfn.XLOOKUP(A10&amp;A6,G18:G32&amp;V18:V32,P18:P32,_xlfn.XLOOKUP(A6&amp;A10,G18:G32&amp;V18:V32,N18:N32,"",0,1),0,1)</f>
        <v>0</v>
      </c>
      <c r="BY30" s="297" cm="1">
        <f t="array" ref="BY30">_xlfn.XLOOKUP(A10&amp;A6,$G$18:$G$32&amp;$V$18:$V$32,$M$18:$M$32,"",0,1)</f>
        <v>0</v>
      </c>
      <c r="BZ30" s="297" cm="1">
        <f t="array" ref="BZ30">_xlfn.XLOOKUP(A10&amp;A6,$G$18:$G$32&amp;$V$18:$V$32,$Q$18:$Q$32,"",0,1)</f>
        <v>0</v>
      </c>
      <c r="CA30" s="297" cm="1">
        <f t="array" ref="CA30">_xlfn.XLOOKUP(A10&amp;A6,G18:G32&amp;V18:V32,O18:O32,_xlfn.XLOOKUP(A6&amp;A10,G18:G32&amp;V18:V32,O18:O32,"",0,1),0,1)</f>
        <v>0</v>
      </c>
      <c r="CB30" s="298" t="str" cm="1">
        <f t="array" ref="CB30">_xlfn.XLOOKUP(A10&amp;A6,G18:G32&amp;V18:V32,A18:A32,"",0,1)</f>
        <v/>
      </c>
      <c r="CC30" s="299">
        <f>IF(COUNTBLANK($AO$6:$AO$11)=2,SUM(BW30,BX7),IF(BW30="",BX7,BW30))</f>
        <v>0</v>
      </c>
      <c r="CD30" s="297">
        <f>IF(CC30="Ab.","",IF(BY30="",BZ7,BY30))</f>
        <v>0</v>
      </c>
      <c r="CE30" s="297">
        <f t="shared" si="20"/>
        <v>0</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b">
        <f t="shared" si="19"/>
        <v>0</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3</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3</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4</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b">
        <f t="shared" si="19"/>
        <v>0</v>
      </c>
    </row>
    <row r="34" spans="2:90" ht="15" customHeight="1" thickBot="1" x14ac:dyDescent="0.3">
      <c r="AA34" s="718" t="s">
        <v>8130</v>
      </c>
      <c r="BB34" s="266"/>
      <c r="BC34" s="182" t="b">
        <v>0</v>
      </c>
      <c r="BD34" s="168">
        <v>3</v>
      </c>
      <c r="BE34" s="168" t="b">
        <v>0</v>
      </c>
      <c r="BF34" s="168" t="str">
        <v/>
      </c>
      <c r="BG34" s="168">
        <v>0</v>
      </c>
      <c r="BH34" s="170"/>
      <c r="BI34" s="170"/>
      <c r="BJ34" s="170"/>
      <c r="BK34" s="168">
        <v>2</v>
      </c>
      <c r="BL34" s="168" t="str">
        <f>IF(OR($BG$40=BK34,$BH$40=BK34,$BI$40=BK34,$BI$41=BK34,$BH$41=BK34),"",BK34)</f>
        <v/>
      </c>
      <c r="BM34" s="175">
        <v>5</v>
      </c>
      <c r="BV34" s="292" t="s">
        <v>5494</v>
      </c>
      <c r="BW34" s="223" t="str" cm="1">
        <f t="array" ref="BW34">_xlfn.SINGLE(_xlfn.XLOOKUP(A11&amp;A7,G18:G32&amp;V18:V32,N18:N32,_xlfn.XLOOKUP(A7&amp;A11,G18:G32&amp;V18:V32,P18:P32,"",0,1),0,1))</f>
        <v/>
      </c>
      <c r="BX34" s="223" t="str" cm="1">
        <f t="array" ref="BX34">_xlfn.XLOOKUP(A11&amp;A7,G18:G32&amp;V18:V32,P18:P32,_xlfn.XLOOKUP(A7&amp;A11,G18:G32&amp;V18:V32,N18:N32,"",0,1),0,1)</f>
        <v/>
      </c>
      <c r="BY34" s="223" t="str" cm="1">
        <f t="array" ref="BY34">_xlfn.XLOOKUP(A11&amp;A7,$G$18:$G$32&amp;$V$18:$V$32,$M$18:$M$32,"",0,1)</f>
        <v/>
      </c>
      <c r="BZ34" s="223" t="str" cm="1">
        <f t="array" ref="BZ34">_xlfn.XLOOKUP(A11&amp;A7,$G$18:$G$32&amp;$V$18:$V$32,$Q$18:$Q$32,"",0,1)</f>
        <v/>
      </c>
      <c r="CA34" s="223" t="str" cm="1">
        <f t="array" ref="CA34">_xlfn.XLOOKUP(A11&amp;A7,G18:G32&amp;V18:V32,O18:O32,_xlfn.XLOOKUP(A7&amp;A11,G18:G32&amp;V18:V32,O18:O32,"",0,1),0,1)</f>
        <v/>
      </c>
      <c r="CB34" s="293" t="str" cm="1">
        <f t="array" ref="CB34">_xlfn.XLOOKUP(A11&amp;A7,G18:G32&amp;V18:V32,A18:A32,"",0,1)</f>
        <v/>
      </c>
      <c r="CC34" s="237" t="str">
        <f>IF(COUNTBLANK($AO$6:$AO$11)=2,SUM(BW34,BX11),IF(BW34="",BX11,BW34))</f>
        <v/>
      </c>
      <c r="CD34" s="223" t="str">
        <f>IF(CC34="Ab.","",IF(BY34="",BZ11,BY34))</f>
        <v/>
      </c>
      <c r="CE34" s="223" t="str">
        <f t="shared" si="20"/>
        <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b">
        <f t="shared" si="19"/>
        <v>0</v>
      </c>
    </row>
    <row r="35" spans="2:90" ht="18.95" customHeight="1" thickBot="1" x14ac:dyDescent="0.35">
      <c r="B35" s="750" t="str">
        <f>"CLASSEMENT"&amp;" "&amp;K13&amp;" "&amp;L13</f>
        <v>CLASSEMENT Poule B</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b">
        <v>0</v>
      </c>
      <c r="BD35" s="168" t="b">
        <v>0</v>
      </c>
      <c r="BE35" s="168" t="b">
        <v>0</v>
      </c>
      <c r="BF35" s="168">
        <v>0</v>
      </c>
      <c r="BG35" s="168">
        <v>0</v>
      </c>
      <c r="BH35" s="170"/>
      <c r="BI35" s="170"/>
      <c r="BJ35" s="170"/>
      <c r="BK35" s="168">
        <v>3</v>
      </c>
      <c r="BL35" s="168" t="str">
        <f>IF(OR($BG$40=BK35,$BH$40=BK35,$BI$40=BK35,$BI$41=BK35,$BH$41=BK35),"",BK35)</f>
        <v/>
      </c>
      <c r="BM35" s="175" t="str">
        <v/>
      </c>
      <c r="BV35" s="296" t="s">
        <v>5495</v>
      </c>
      <c r="BW35" s="297" cm="1">
        <f t="array" ref="BW35">_xlfn.SINGLE(_xlfn.XLOOKUP(A11&amp;A6,G18:G32&amp;V18:V32,N18:N32,_xlfn.XLOOKUP(A6&amp;A11,G18:G32&amp;V18:V32,P18:P32,"",0,1),0,1))</f>
        <v>0</v>
      </c>
      <c r="BX35" s="297" cm="1">
        <f t="array" ref="BX35">_xlfn.XLOOKUP(A11&amp;A6,G18:G32&amp;V18:V32,P18:P32,_xlfn.XLOOKUP(A6&amp;A11,G18:G32&amp;V18:V32,N18:N32,"",0,1),0,1)</f>
        <v>0</v>
      </c>
      <c r="BY35" s="297" cm="1">
        <f t="array" ref="BY35">_xlfn.XLOOKUP(A11&amp;A6,$G$18:$G$32&amp;$V$18:$V$32,$M$18:$M$32,"",0,1)</f>
        <v>0</v>
      </c>
      <c r="BZ35" s="297" cm="1">
        <f t="array" ref="BZ35">_xlfn.XLOOKUP(A11&amp;A6,$G$18:$G$32&amp;$V$18:$V$32,$Q$18:$Q$32,"",0,1)</f>
        <v>0</v>
      </c>
      <c r="CA35" s="297" cm="1">
        <f t="array" ref="CA35">_xlfn.XLOOKUP(A11&amp;A6,G18:G32&amp;V18:V32,O18:O32,_xlfn.XLOOKUP(A6&amp;A11,G18:G32&amp;V18:V32,O18:O32,"",0,1),0,1)</f>
        <v>0</v>
      </c>
      <c r="CB35" s="298" t="str" cm="1">
        <f t="array" ref="CB35">_xlfn.XLOOKUP(A11&amp;A6,G18:G32&amp;V18:V32,A18:A32,"",0,1)</f>
        <v/>
      </c>
      <c r="CC35" s="299">
        <f>IF(COUNTBLANK($AO$6:$AO$11)=2,SUM(BW35,BX6),IF(BW35="",BX6,BW35))</f>
        <v>0</v>
      </c>
      <c r="CD35" s="297">
        <f>IF(CC35="Ab.","",IF(BY35="",BZ6,BY35))</f>
        <v>0</v>
      </c>
      <c r="CE35" s="297">
        <f t="shared" si="20"/>
        <v>0</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b">
        <f t="shared" si="19"/>
        <v>0</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b">
        <v>0</v>
      </c>
      <c r="BD36" s="168" t="b">
        <v>0</v>
      </c>
      <c r="BE36" s="168">
        <v>0</v>
      </c>
      <c r="BF36" s="168">
        <v>0</v>
      </c>
      <c r="BG36" s="168">
        <v>0</v>
      </c>
      <c r="BH36" s="170"/>
      <c r="BI36" s="170"/>
      <c r="BJ36" s="170"/>
      <c r="BK36" s="168">
        <v>4</v>
      </c>
      <c r="BL36" s="168">
        <f>IF(OR($BG$40=BK36,$BH$40=BK36,$BI$40=BK36,$BI$41=BK36,$BH$41=BK36),"",BK36)</f>
        <v>4</v>
      </c>
      <c r="BM36" s="175" t="str">
        <v/>
      </c>
    </row>
    <row r="37" spans="2:90" ht="14.45" customHeight="1" x14ac:dyDescent="0.25">
      <c r="B37" s="37" t="str" cm="1">
        <f t="array" ref="B37:B39">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148333G</v>
      </c>
      <c r="C37" s="756" t="str">
        <f t="shared" ref="C37:C42" si="35">_xlfn.XLOOKUP(B37,$B$6:$B$11,$C$6:$C$11,"",0,1)</f>
        <v>MA PHUOC</v>
      </c>
      <c r="D37" s="756"/>
      <c r="E37" s="756" t="str">
        <f t="shared" ref="E37:E42" si="36">_xlfn.XLOOKUP(B37,$B$6:$B$11,$E$6:$E$11,"",0,1)</f>
        <v>BICH</v>
      </c>
      <c r="F37" s="756"/>
      <c r="G37" s="756" t="str">
        <f t="shared" ref="G37:G42" si="37">_xlfn.XLOOKUP(B37,$B$6:$B$11,$G$6:$G$11,"",0,1)</f>
        <v>ACADEMIE DE BILLARD DE MAISONS ALFORT</v>
      </c>
      <c r="H37" s="756"/>
      <c r="I37" s="756"/>
      <c r="J37" s="756"/>
      <c r="K37" s="756"/>
      <c r="L37" s="756"/>
      <c r="M37" s="38">
        <f t="shared" ref="M37:M42" si="38">IF(B37="","",_xlfn.XLOOKUP(B37,$B$6:$B$11,$V$6:$V$11,"",0,1))</f>
        <v>4</v>
      </c>
      <c r="N37" s="102">
        <f t="shared" ref="N37:N42" si="39">IF(B37="","",_xlfn.XLOOKUP(B37,$B$6:$B$11,$T$6:$T$11,"",0,1))</f>
        <v>2.9411764705882355</v>
      </c>
      <c r="O37" s="102">
        <f t="shared" ref="O37:O42" si="40">IF(B37="","",_xlfn.XLOOKUP(B37,$B$6:$B$11,$U$6:$U$11,"",0,1))</f>
        <v>3.4482758620689653</v>
      </c>
      <c r="P37" s="351">
        <f t="shared" ref="P37:P42" si="41">IF(B37="","",_xlfn.XLOOKUP(B37,$B$6:$B$11,$S$6:$S$11,"",0,1))</f>
        <v>19</v>
      </c>
      <c r="Q37" s="101">
        <f>IF(B37="","",1)</f>
        <v>1</v>
      </c>
      <c r="R37" s="37" cm="1">
        <f t="array" ref="R37:S37">IF('GESTION DES JOUEURS'!$D$8="Open",_xlfn.XLOOKUP(B37,$B$6:$B$11,$AF$6:$AG$11,"",0,1),_xlfn.XLOOKUP(B37,$B$6:$B$11,$W$6:$X$11,"",0,1))</f>
        <v>8</v>
      </c>
      <c r="S37" s="40">
        <v>1</v>
      </c>
      <c r="T37" s="241"/>
      <c r="U37" s="915" t="str">
        <f>"TABLEAU "&amp;CHAR(10)&amp;B2</f>
        <v>TABLEAU 
Poule B</v>
      </c>
      <c r="V37" s="916"/>
      <c r="W37" s="916"/>
      <c r="X37" s="917"/>
      <c r="AA37" s="924" t="s">
        <v>9888</v>
      </c>
      <c r="AE37" s="443" t="str">
        <f>IF(Q37=1,"",M37)</f>
        <v/>
      </c>
      <c r="AN37" s="244"/>
      <c r="AO37" s="248"/>
      <c r="BB37" s="266"/>
      <c r="BC37" s="182" t="b">
        <v>0</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183133H</v>
      </c>
      <c r="C38" s="728" t="str">
        <f t="shared" si="35"/>
        <v>ROCHE</v>
      </c>
      <c r="D38" s="728"/>
      <c r="E38" s="728" t="str">
        <f t="shared" si="36"/>
        <v>PATRICK</v>
      </c>
      <c r="F38" s="728"/>
      <c r="G38" s="728" t="str">
        <f t="shared" si="37"/>
        <v>BILLARD CLUB DE LIVRY GARGAN</v>
      </c>
      <c r="H38" s="728"/>
      <c r="I38" s="728"/>
      <c r="J38" s="728"/>
      <c r="K38" s="728"/>
      <c r="L38" s="728"/>
      <c r="M38" s="42">
        <f t="shared" si="38"/>
        <v>2</v>
      </c>
      <c r="N38" s="104">
        <f t="shared" si="39"/>
        <v>2.3194444444444446</v>
      </c>
      <c r="O38" s="104">
        <f t="shared" si="40"/>
        <v>3.0303030303030303</v>
      </c>
      <c r="P38" s="352">
        <f t="shared" si="41"/>
        <v>18</v>
      </c>
      <c r="Q38" s="103">
        <f>IF(AO4&lt;2,"",2)</f>
        <v>2</v>
      </c>
      <c r="R38" s="357" cm="1">
        <f t="array" ref="R38:S38">IF('GESTION DES JOUEURS'!$D$8="Open",_xlfn.XLOOKUP(B38,$B$6:$B$11,$AF$6:$AG$11,"",0,1),_xlfn.XLOOKUP(B38,$B$6:$B$11,$W$6:$X$11,"",0,1))</f>
        <v>5</v>
      </c>
      <c r="S38" s="44">
        <v>1</v>
      </c>
      <c r="T38" s="241"/>
      <c r="U38" s="918"/>
      <c r="V38" s="919"/>
      <c r="W38" s="919"/>
      <c r="X38" s="920"/>
      <c r="AA38" s="925"/>
      <c r="AE38" s="443">
        <f t="shared" ref="AE38:AE42" si="42">IF(Q38=1,"",M38)</f>
        <v>2</v>
      </c>
      <c r="AN38" s="244"/>
      <c r="AO38" s="248"/>
      <c r="BB38" s="266"/>
      <c r="BC38" s="170"/>
      <c r="BD38" s="170"/>
      <c r="BE38" s="170"/>
      <c r="BF38" s="170"/>
      <c r="BG38" s="170"/>
      <c r="BH38" s="170"/>
      <c r="BI38" s="170"/>
      <c r="BJ38" s="170"/>
      <c r="BK38" s="169"/>
      <c r="BL38" s="170"/>
      <c r="BM38" s="176"/>
    </row>
    <row r="39" spans="2:90" ht="14.45" customHeight="1" thickBot="1" x14ac:dyDescent="0.3">
      <c r="B39" s="41" t="str">
        <v>156543F</v>
      </c>
      <c r="C39" s="728" t="str">
        <f t="shared" si="35"/>
        <v>FERNANDES ALVES</v>
      </c>
      <c r="D39" s="728"/>
      <c r="E39" s="728" t="str">
        <f t="shared" si="36"/>
        <v>FRANCISCO</v>
      </c>
      <c r="F39" s="728"/>
      <c r="G39" s="728" t="str">
        <f t="shared" si="37"/>
        <v>ACADEMIE DE BILLARD DE MAISONS ALFORT</v>
      </c>
      <c r="H39" s="728"/>
      <c r="I39" s="728"/>
      <c r="J39" s="728"/>
      <c r="K39" s="728"/>
      <c r="L39" s="728"/>
      <c r="M39" s="42">
        <f t="shared" si="38"/>
        <v>0</v>
      </c>
      <c r="N39" s="104">
        <f t="shared" si="39"/>
        <v>2.129032258064516</v>
      </c>
      <c r="O39" s="104" t="str">
        <f t="shared" si="40"/>
        <v>/</v>
      </c>
      <c r="P39" s="352">
        <f t="shared" si="41"/>
        <v>16</v>
      </c>
      <c r="Q39" s="103">
        <f>IF(AO4&lt;3,"",3)</f>
        <v>3</v>
      </c>
      <c r="R39" s="357" cm="1">
        <f t="array" ref="R39:S39">IF('GESTION DES JOUEURS'!$D$8="Open",_xlfn.XLOOKUP(B39,$B$6:$B$11,$AF$6:$AG$11,"",0,1),_xlfn.XLOOKUP(B39,$B$6:$B$11,$W$6:$X$11,"",0,1))</f>
        <v>3</v>
      </c>
      <c r="S39" s="44">
        <v>1</v>
      </c>
      <c r="T39" s="241"/>
      <c r="U39" s="918"/>
      <c r="V39" s="919"/>
      <c r="W39" s="919"/>
      <c r="X39" s="920"/>
      <c r="AE39" s="443">
        <f t="shared" si="42"/>
        <v>0</v>
      </c>
      <c r="AN39" s="244"/>
      <c r="AO39" s="248"/>
      <c r="BB39" s="266"/>
      <c r="BC39" s="170"/>
      <c r="BD39" s="170"/>
      <c r="BE39" s="170"/>
      <c r="BF39" s="170"/>
      <c r="BG39" s="170">
        <f>IF(BG40=FALSE,BF39+1,BF39)</f>
        <v>0</v>
      </c>
      <c r="BH39" s="170">
        <f>IF(BH40=FALSE,BG39+1,BG39)</f>
        <v>0</v>
      </c>
      <c r="BI39" s="170">
        <f>IF(BI40=FALSE,BH39+1,BH39)</f>
        <v>1</v>
      </c>
      <c r="BJ39" s="170"/>
      <c r="BK39" s="170"/>
      <c r="BL39" s="170"/>
      <c r="BM39" s="177"/>
    </row>
    <row r="40" spans="2:90" ht="14.45" customHeight="1" x14ac:dyDescent="0.25">
      <c r="B40" s="41"/>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IF('GESTION DES JOUEURS'!$D$8="Open",_xlfn.XLOOKUP(B40,$B$6:$B$11,$AF$6:$AG$11,"",0,1),_xlfn.XLOOKUP(B40,$B$6:$B$11,$W$6:$X$11,"",0,1))</f>
        <v/>
      </c>
      <c r="S40" s="44"/>
      <c r="T40" s="241"/>
      <c r="U40" s="918"/>
      <c r="V40" s="919"/>
      <c r="W40" s="919"/>
      <c r="X40" s="920"/>
      <c r="AA40" s="926" t="s">
        <v>5447</v>
      </c>
      <c r="AE40" s="443" t="str">
        <f t="shared" si="42"/>
        <v/>
      </c>
      <c r="AN40" s="244"/>
      <c r="AO40" s="248"/>
      <c r="BB40" s="266"/>
      <c r="BC40" s="182">
        <f>IF(ISODD(BE13),BD6,IF(AND(ISODD(BF13),ISODD(BJ7)),BE7,IF(AND(ISODD(BG13),ISODD(BJ8)),BF8,IF(AND(ISODD(BH13),ISODD(BJ9)),BG9,IF(ISODD(BI13),BH10)))))</f>
        <v>1</v>
      </c>
      <c r="BD40" s="168">
        <f>IF(ISEVEN(BE13),BD6,IF(ISEVEN(BF13),BE7))</f>
        <v>2</v>
      </c>
      <c r="BE40" s="168">
        <f>IF(ISEVEN(BH13),BG9,IF(ISEVEN(BG13),BF8,IF(ISEVEN(BF13),BE7)))</f>
        <v>2</v>
      </c>
      <c r="BF40" s="170"/>
      <c r="BG40" s="168">
        <f>BC40</f>
        <v>1</v>
      </c>
      <c r="BH40" s="168">
        <f>BD40</f>
        <v>2</v>
      </c>
      <c r="BI40" s="168" t="b">
        <f>IF(AND(BD40=2,BE40=2),FALSE,BE40)</f>
        <v>0</v>
      </c>
      <c r="BJ40" s="170"/>
      <c r="BK40" s="170"/>
      <c r="BL40" s="170"/>
      <c r="BM40" s="177"/>
    </row>
    <row r="41" spans="2:90" ht="14.45" customHeight="1" x14ac:dyDescent="0.25">
      <c r="B41" s="41"/>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IF('GESTION DES JOUEURS'!$D$8="Open",_xlfn.XLOOKUP(B41,$B$6:$B$11,$AF$6:$AG$11,"",0,1),_xlfn.XLOOKUP(B41,$B$6:$B$11,$W$6:$X$11,"",0,1))</f>
        <v/>
      </c>
      <c r="S41" s="44"/>
      <c r="T41" s="241"/>
      <c r="U41" s="918"/>
      <c r="V41" s="919"/>
      <c r="W41" s="919"/>
      <c r="X41" s="920"/>
      <c r="AA41" s="927"/>
      <c r="AE41" s="443" t="str">
        <f t="shared" si="42"/>
        <v/>
      </c>
      <c r="AN41" s="244"/>
      <c r="AO41" s="248"/>
      <c r="BB41" s="266"/>
      <c r="BC41" s="170"/>
      <c r="BD41" s="168">
        <f>_xlfn.XLOOKUP(BD40,$BC$33:$BG$33,$BC$34:$BG$34,FALSE,0,1)</f>
        <v>3</v>
      </c>
      <c r="BE41" s="168">
        <f>_xlfn.XLOOKUP(BE40,$BC$33:$BG$33,$BC$34:$BG$34,FALSE,0,1)</f>
        <v>3</v>
      </c>
      <c r="BF41" s="170"/>
      <c r="BG41" s="170"/>
      <c r="BH41" s="168">
        <f>BD41</f>
        <v>3</v>
      </c>
      <c r="BI41" s="168" t="b">
        <f>IF(AND(BD40=2,BE40=2),FALSE,BE41)</f>
        <v>0</v>
      </c>
      <c r="BJ41" s="170"/>
      <c r="BK41" s="170"/>
      <c r="BL41" s="170"/>
      <c r="BM41" s="177"/>
    </row>
    <row r="42" spans="2:90" ht="15" customHeight="1" thickBot="1" x14ac:dyDescent="0.3">
      <c r="B42" s="45"/>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IF('GESTION DES JOUEURS'!$D$8="Open",_xlfn.XLOOKUP(B42,$B$6:$B$11,$AF$6:$AG$11,"",0,1),_xlfn.XLOOKUP(B42,$B$6:$B$11,$W$6:$X$11,"",0,1))</f>
        <v/>
      </c>
      <c r="S42" s="48"/>
      <c r="T42" s="241"/>
      <c r="U42" s="921"/>
      <c r="V42" s="922"/>
      <c r="W42" s="922"/>
      <c r="X42" s="923"/>
      <c r="AA42" s="928"/>
      <c r="AE42" s="443" t="str">
        <f t="shared" si="42"/>
        <v/>
      </c>
      <c r="AN42" s="244"/>
      <c r="AO42" s="248"/>
      <c r="BB42" s="266"/>
      <c r="BC42" s="170"/>
      <c r="BD42" s="170"/>
      <c r="BE42" s="170"/>
      <c r="BF42" s="170"/>
      <c r="BG42" s="170"/>
      <c r="BH42" s="170">
        <f>IF(BH41=FALSE,BI42+1,BI42)</f>
        <v>2</v>
      </c>
      <c r="BI42" s="170">
        <f>IF(BI41=FALSE,BI39+1,BI39)</f>
        <v>2</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4</v>
      </c>
      <c r="BF44" s="171">
        <f>IF(SUM(BC33:BC37)=15,4,IF(BI41=FALSE,_xlfn.XLOOKUP(BI42,$BK$33:$BK$37,$BM$33:$BM$37,"",0,1),BI41))</f>
        <v>5</v>
      </c>
      <c r="BG44" s="171">
        <f>IF(SUM(BC33:BC37)=15,5,IF(BH41=FALSE,_xlfn.XLOOKUP(BH42,$BK$33:$BK$37,$BM$33:$BM$37,"",0,1),BH41))</f>
        <v>3</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7" spans="2:90"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idden="1" x14ac:dyDescent="0.25">
      <c r="BB48" s="724"/>
      <c r="BC48" s="186" t="b">
        <v>0</v>
      </c>
      <c r="BD48" s="185">
        <v>3</v>
      </c>
      <c r="BE48" s="185" t="b">
        <v>0</v>
      </c>
      <c r="BF48" s="185">
        <v>0</v>
      </c>
      <c r="BG48" s="191"/>
      <c r="BH48" s="191"/>
      <c r="BI48" s="191"/>
      <c r="BJ48" s="191"/>
      <c r="BK48" s="185">
        <v>2</v>
      </c>
      <c r="BL48" s="185" t="str">
        <f>IF(OR($BD$53=BK48,$BE$53=BK48,$BE$54=BK48,$BD$54=BK48),"",BK48)</f>
        <v/>
      </c>
      <c r="BM48" s="192">
        <v>4</v>
      </c>
    </row>
    <row r="49" spans="25:65" hidden="1" x14ac:dyDescent="0.25">
      <c r="BB49" s="724"/>
      <c r="BC49" s="186" t="b">
        <v>0</v>
      </c>
      <c r="BD49" s="185" t="b">
        <v>0</v>
      </c>
      <c r="BE49" s="185">
        <v>0</v>
      </c>
      <c r="BF49" s="185">
        <v>0</v>
      </c>
      <c r="BG49" s="191"/>
      <c r="BH49" s="191"/>
      <c r="BI49" s="191"/>
      <c r="BJ49" s="191"/>
      <c r="BK49" s="185">
        <v>3</v>
      </c>
      <c r="BL49" s="185" t="str">
        <f>IF(OR($BD$53=BK49,$BE$53=BK49,$BE$54=BK49,$BD$54=BK49),"",BK49)</f>
        <v/>
      </c>
      <c r="BM49" s="192" t="str">
        <v/>
      </c>
    </row>
    <row r="50" spans="25:65" hidden="1" x14ac:dyDescent="0.25">
      <c r="BB50" s="724"/>
      <c r="BC50" s="186" t="b">
        <v>0</v>
      </c>
      <c r="BD50" s="185">
        <v>0</v>
      </c>
      <c r="BE50" s="185">
        <v>0</v>
      </c>
      <c r="BF50" s="185">
        <v>0</v>
      </c>
      <c r="BG50" s="191"/>
      <c r="BH50" s="191"/>
      <c r="BI50" s="191"/>
      <c r="BJ50" s="191"/>
      <c r="BK50" s="185">
        <v>4</v>
      </c>
      <c r="BL50" s="185">
        <f>IF(OR($BD$53=BK50,$BE$53=BK50,$BE$54=BK50,$BD$54=BK50),"",BK50)</f>
        <v>4</v>
      </c>
      <c r="BM50" s="192" t="str">
        <v/>
      </c>
    </row>
    <row r="51" spans="25:65" hidden="1" x14ac:dyDescent="0.25">
      <c r="BB51" s="724"/>
      <c r="BC51" s="191"/>
      <c r="BD51" s="191"/>
      <c r="BE51" s="191"/>
      <c r="BF51" s="191"/>
      <c r="BG51" s="191"/>
      <c r="BH51" s="191"/>
      <c r="BI51" s="191"/>
      <c r="BJ51" s="191"/>
      <c r="BK51" s="191"/>
      <c r="BL51" s="191"/>
      <c r="BM51" s="193"/>
    </row>
    <row r="52" spans="25:65" hidden="1" x14ac:dyDescent="0.25">
      <c r="BB52" s="724"/>
      <c r="BC52" s="191"/>
      <c r="BD52" s="191">
        <f>IF(BD53=FALSE,BC52+1,BC52)</f>
        <v>1</v>
      </c>
      <c r="BE52" s="191">
        <f>IF(BE53=FALSE,BD52+1,BD52)</f>
        <v>1</v>
      </c>
      <c r="BF52" s="191"/>
      <c r="BG52" s="191"/>
      <c r="BH52" s="191"/>
      <c r="BI52" s="191"/>
      <c r="BJ52" s="191"/>
      <c r="BK52" s="191"/>
      <c r="BL52" s="191"/>
      <c r="BM52" s="193"/>
    </row>
    <row r="53" spans="25:65" hidden="1" x14ac:dyDescent="0.25">
      <c r="BB53" s="724"/>
      <c r="BC53" s="191"/>
      <c r="BD53" s="185" t="b">
        <f>IF(ISEVEN(BE14),BD6)</f>
        <v>0</v>
      </c>
      <c r="BE53" s="185">
        <f>IF(ISEVEN(BF14),BE7,IF(ISEVEN(BG14),BF8))</f>
        <v>2</v>
      </c>
      <c r="BF53" s="191"/>
      <c r="BG53" s="191"/>
      <c r="BH53" s="191"/>
      <c r="BI53" s="191"/>
      <c r="BJ53" s="191"/>
      <c r="BK53" s="191"/>
      <c r="BL53" s="191"/>
      <c r="BM53" s="193"/>
    </row>
    <row r="54" spans="25:65" hidden="1" x14ac:dyDescent="0.25">
      <c r="BB54" s="724"/>
      <c r="BC54" s="191"/>
      <c r="BD54" s="185" t="b">
        <f>_xlfn.XLOOKUP(BD53,$BC$47:$BF$47,$BC$48:$BF$48,FALSE,0,1)</f>
        <v>0</v>
      </c>
      <c r="BE54" s="185">
        <f>_xlfn.XLOOKUP(BE53,$BC$47:$BF$47,$BC$48:$BF$48,FALSE,0,1)</f>
        <v>3</v>
      </c>
      <c r="BF54" s="191"/>
      <c r="BG54" s="191"/>
      <c r="BH54" s="191"/>
      <c r="BI54" s="191"/>
      <c r="BJ54" s="191"/>
      <c r="BK54" s="191"/>
      <c r="BL54" s="191"/>
      <c r="BM54" s="193"/>
    </row>
    <row r="55" spans="25:65" hidden="1" x14ac:dyDescent="0.25">
      <c r="BB55" s="724"/>
      <c r="BC55" s="191"/>
      <c r="BD55" s="191">
        <f>IF(BD54=FALSE,BE55+1,BE55)</f>
        <v>2</v>
      </c>
      <c r="BE55" s="191">
        <f>IF(BE54=FALSE,BE52+1,BE52)</f>
        <v>1</v>
      </c>
      <c r="BF55" s="191"/>
      <c r="BG55" s="191"/>
      <c r="BH55" s="191"/>
      <c r="BI55" s="191"/>
      <c r="BJ55" s="191"/>
      <c r="BK55" s="191"/>
      <c r="BL55" s="191"/>
      <c r="BM55" s="193"/>
    </row>
    <row r="56" spans="25:65" hidden="1" x14ac:dyDescent="0.25">
      <c r="BB56" s="724"/>
      <c r="BC56" s="191"/>
      <c r="BD56" s="191"/>
      <c r="BE56" s="191"/>
      <c r="BF56" s="191"/>
      <c r="BG56" s="191"/>
      <c r="BH56" s="191"/>
      <c r="BI56" s="191"/>
      <c r="BJ56" s="191"/>
      <c r="BK56" s="191"/>
      <c r="BL56" s="191"/>
      <c r="BM56" s="193"/>
    </row>
    <row r="57" spans="25:6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idden="1" x14ac:dyDescent="0.25">
      <c r="Y59" s="247"/>
      <c r="Z59" s="247"/>
    </row>
    <row r="60" spans="25:6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t="str" cm="1">
        <f t="array" ref="BM60:BM62">_xlfn._xlws.SORT(BL60:BL62)</f>
        <v/>
      </c>
    </row>
    <row r="61" spans="25:65" hidden="1" x14ac:dyDescent="0.25">
      <c r="Y61" s="247"/>
      <c r="Z61" s="247"/>
      <c r="BB61" s="724"/>
      <c r="BC61" s="204" t="b">
        <v>0</v>
      </c>
      <c r="BD61" s="205">
        <v>3</v>
      </c>
      <c r="BE61" s="205">
        <v>0</v>
      </c>
      <c r="BF61" s="206"/>
      <c r="BG61" s="206"/>
      <c r="BH61" s="206"/>
      <c r="BI61" s="206"/>
      <c r="BJ61" s="206"/>
      <c r="BK61" s="205">
        <v>2</v>
      </c>
      <c r="BL61" s="205" t="str">
        <f>IF(OR($BD$65=BK61,$BE$65=BK61,$BE$66=BK61),"",BK61)</f>
        <v/>
      </c>
      <c r="BM61" s="207" t="str">
        <v/>
      </c>
    </row>
    <row r="62" spans="25:65" hidden="1" x14ac:dyDescent="0.25">
      <c r="Y62" s="247"/>
      <c r="Z62" s="247"/>
      <c r="BB62" s="724"/>
      <c r="BC62" s="204" t="b">
        <v>0</v>
      </c>
      <c r="BD62" s="205">
        <v>0</v>
      </c>
      <c r="BE62" s="205">
        <v>0</v>
      </c>
      <c r="BF62" s="206"/>
      <c r="BG62" s="206"/>
      <c r="BH62" s="206"/>
      <c r="BI62" s="206"/>
      <c r="BJ62" s="206"/>
      <c r="BK62" s="205">
        <v>3</v>
      </c>
      <c r="BL62" s="205" t="str">
        <f>IF(OR($BD$65=BK62,$BE$65=BK62,$BE$66=BK62),"",BK62)</f>
        <v/>
      </c>
      <c r="BM62" s="207" t="str">
        <v/>
      </c>
    </row>
    <row r="63" spans="25:65" hidden="1" x14ac:dyDescent="0.25">
      <c r="Y63" s="247"/>
      <c r="Z63" s="247"/>
      <c r="BB63" s="724"/>
      <c r="BC63" s="208"/>
      <c r="BD63" s="206"/>
      <c r="BE63" s="206"/>
      <c r="BF63" s="206"/>
      <c r="BG63" s="206"/>
      <c r="BH63" s="206"/>
      <c r="BI63" s="206"/>
      <c r="BJ63" s="206"/>
      <c r="BK63" s="206"/>
      <c r="BL63" s="206"/>
      <c r="BM63" s="209"/>
    </row>
    <row r="64" spans="25:65" hidden="1" x14ac:dyDescent="0.25">
      <c r="BB64" s="724"/>
      <c r="BC64" s="208"/>
      <c r="BD64" s="206">
        <f>IF(BD65=FALSE,BC64+1,BC64)</f>
        <v>0</v>
      </c>
      <c r="BE64" s="206">
        <f>IF(BE65=FALSE,BD64+1,BD64)</f>
        <v>0</v>
      </c>
      <c r="BF64" s="206"/>
      <c r="BG64" s="206"/>
      <c r="BH64" s="206"/>
      <c r="BI64" s="206"/>
      <c r="BJ64" s="206"/>
      <c r="BK64" s="206"/>
      <c r="BL64" s="206"/>
      <c r="BM64" s="209"/>
    </row>
    <row r="65" spans="54:65" hidden="1" x14ac:dyDescent="0.25">
      <c r="BB65" s="724"/>
      <c r="BC65" s="208"/>
      <c r="BD65" s="210">
        <f>IF(ISODD(BE15),BD6,IF(AND(ISODD(BF15),ISODD(BJ7)),BE7,IF(ISODD(BG15),BF8)))</f>
        <v>1</v>
      </c>
      <c r="BE65" s="205">
        <f>IF(ISEVEN(BE15),BD6,IF(ISEVEN(BF15),BE7))</f>
        <v>2</v>
      </c>
      <c r="BF65" s="206"/>
      <c r="BG65" s="206"/>
      <c r="BH65" s="206"/>
      <c r="BI65" s="206"/>
      <c r="BJ65" s="206"/>
      <c r="BK65" s="206"/>
      <c r="BL65" s="206"/>
      <c r="BM65" s="209"/>
    </row>
    <row r="66" spans="54:65" hidden="1" x14ac:dyDescent="0.25">
      <c r="BB66" s="724"/>
      <c r="BC66" s="208"/>
      <c r="BD66" s="206"/>
      <c r="BE66" s="205">
        <f>_xlfn.XLOOKUP(BE65,$BC$60:$BE$60,$BC$61:$BE$61,FALSE,0,1)</f>
        <v>3</v>
      </c>
      <c r="BF66" s="206"/>
      <c r="BG66" s="206"/>
      <c r="BH66" s="206"/>
      <c r="BI66" s="206"/>
      <c r="BJ66" s="206"/>
      <c r="BK66" s="206"/>
      <c r="BL66" s="206"/>
      <c r="BM66" s="209"/>
    </row>
    <row r="67" spans="54:65" hidden="1" x14ac:dyDescent="0.25">
      <c r="BB67" s="724"/>
      <c r="BC67" s="208"/>
      <c r="BD67" s="206"/>
      <c r="BE67" s="206">
        <f>IF(BE66=FALSE,BE64+1,BE64)</f>
        <v>0</v>
      </c>
      <c r="BF67" s="206"/>
      <c r="BG67" s="206"/>
      <c r="BH67" s="206"/>
      <c r="BI67" s="206"/>
      <c r="BJ67" s="206"/>
      <c r="BK67" s="206"/>
      <c r="BL67" s="206"/>
      <c r="BM67" s="209"/>
    </row>
    <row r="68" spans="54:65" hidden="1" x14ac:dyDescent="0.25">
      <c r="BB68" s="724"/>
      <c r="BC68" s="208"/>
      <c r="BD68" s="206"/>
      <c r="BE68" s="206"/>
      <c r="BF68" s="206"/>
      <c r="BG68" s="206"/>
      <c r="BH68" s="206"/>
      <c r="BI68" s="206"/>
      <c r="BJ68" s="206"/>
      <c r="BK68" s="206"/>
      <c r="BL68" s="206"/>
      <c r="BM68" s="209"/>
    </row>
    <row r="69" spans="54:6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ZDc7Xf5/F26c4HfcROoxXzDyRl4fp/g+Qu243OH3DYpCnGlmoZvYo7sPiBGpDfQsZp04fMbsr+AqBNZD/ulb3g==" saltValue="NuX/zql00YHsfI3LAkPcmg=="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2009" priority="3">
      <formula>$B18=""</formula>
    </cfRule>
  </conditionalFormatting>
  <conditionalFormatting sqref="B19:Y32">
    <cfRule type="expression" dxfId="2008" priority="2">
      <formula>$B18=MAX($B$18:$B$32)</formula>
    </cfRule>
  </conditionalFormatting>
  <conditionalFormatting sqref="E18:E32 W18:W32">
    <cfRule type="expression" dxfId="2007" priority="4">
      <formula>LEFT($B$15)="3"</formula>
    </cfRule>
  </conditionalFormatting>
  <conditionalFormatting sqref="L13">
    <cfRule type="expression" dxfId="2006" priority="57">
      <formula>$F$13&lt;&gt;"FINALE"</formula>
    </cfRule>
  </conditionalFormatting>
  <conditionalFormatting sqref="T6:U11 N37:O42">
    <cfRule type="expression" dxfId="2004" priority="58">
      <formula>LEFT($B$15)="3"</formula>
    </cfRule>
  </conditionalFormatting>
  <dataValidations count="3">
    <dataValidation type="list" allowBlank="1" showInputMessage="1" showErrorMessage="1" sqref="O6" xr:uid="{1FBAA922-B7BE-4315-9DB5-96CFFB2D4498}">
      <formula1>"1,2,3,4,5,6"</formula1>
    </dataValidation>
    <dataValidation type="list" allowBlank="1" showInputMessage="1" showErrorMessage="1" sqref="W35:X35" xr:uid="{959EB23E-3EC1-4315-A9A0-BC85E69B1250}">
      <formula1>"OUI,NON"</formula1>
    </dataValidation>
    <dataValidation type="list" allowBlank="1" showInputMessage="1" showErrorMessage="1" sqref="O7:O11" xr:uid="{E1AFBFE3-0CC3-485E-BBA6-CA176EF982D4}">
      <formula1>"F,1,2,3,4,5,6"</formula1>
    </dataValidation>
  </dataValidations>
  <hyperlinks>
    <hyperlink ref="AA4:AA5" location="'GESTION DES JOUEURS'!D4" display="GESTION DES JOUEURS" xr:uid="{9154F938-1A19-4BC6-89C0-4E4E2FF599C6}"/>
    <hyperlink ref="U37:X42" location="'T PB'!A1" display="'T PB'!A1" xr:uid="{ED324C12-36A1-4C19-82BF-735B0710DCD9}"/>
    <hyperlink ref="AA9:AA10" location="PA!N18" display="PA!N18" xr:uid="{C14F7E82-DD3C-49E8-9A66-B739FDB20BF6}"/>
    <hyperlink ref="AA11:AA12" location="PB!N18" display="Poule B" xr:uid="{6ABD35B3-31B7-4660-AC01-994626ECEDF8}"/>
    <hyperlink ref="AA13:AA14" location="PC!N18" display="Poule C" xr:uid="{02B5ECEC-790C-4831-B44D-875896C5D5C2}"/>
    <hyperlink ref="AA15:AA16" location="PD!N18" display="Poule D" xr:uid="{250C93D7-F1EB-4926-BE74-6DD65FE05FF2}"/>
    <hyperlink ref="AA17:AA18" location="PE!N18" display="Poule E" xr:uid="{58D0B9FC-76C0-42FC-90CC-4B6AAA287116}"/>
    <hyperlink ref="AA19:AA20" location="PF!N18" display="Poule F" xr:uid="{8966FB07-17DE-422C-AD12-70388850455E}"/>
    <hyperlink ref="AA21:AA22" location="PG!N18" display="Poule G" xr:uid="{31186C79-96F8-4B51-B041-7ACB36FD36A7}"/>
    <hyperlink ref="AA23:AA24" location="PH!N18" display="Poule H" xr:uid="{03359310-69DC-4E12-AE35-8BE089567BF4}"/>
    <hyperlink ref="AA25:AA26" location="PI!N18" display="Poule I" xr:uid="{7FF4D16D-5B1D-45C4-8918-A4939A7C9C40}"/>
    <hyperlink ref="AA27:AA28" location="PJ!N18" display="Poule J" xr:uid="{DCB32B6C-C26A-4107-8477-0D54E44B64E8}"/>
    <hyperlink ref="AA29:AA30" location="PK!N18" display="Poule K" xr:uid="{6D01750B-741E-4578-ADBC-DEBE07E86FD6}"/>
    <hyperlink ref="AA31:AA32" location="PL!N18" display="Poule L" xr:uid="{03EDDBBE-749D-45A5-BD35-D434FE2B5968}"/>
    <hyperlink ref="AA37:AA38" location="Consolante!A1" display="Consolante" xr:uid="{3FAA1798-2DBF-451C-9267-B813DC4B63CD}"/>
    <hyperlink ref="AA40:AA42" location="RESULTATS!A1" display="RESULTATS" xr:uid="{335980BA-7336-4ADF-B21E-68128430AB7B}"/>
    <hyperlink ref="AA34:AA35" location="'Phase finale'!A1" display="Phase Finale" xr:uid="{16EE69C3-1770-46FB-9A89-FE31DDFD2E8B}"/>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FC0476FE-9422-4AE0-BE31-29510917D715}">
            <xm:f>'GESTION DES JOUEURS'!$D$8="Open"</xm:f>
            <x14:dxf>
              <numFmt numFmtId="14" formatCode="0.00%"/>
            </x14:dxf>
          </x14:cfRule>
          <xm:sqref>R37:S42</xm:sqref>
        </x14:conditionalFormatting>
        <x14:conditionalFormatting xmlns:xm="http://schemas.microsoft.com/office/excel/2006/main">
          <x14:cfRule type="expression" priority="8" id="{3B89AA2D-714E-4373-99B1-AC3705E16137}">
            <xm:f>'GESTION DES JOUEURS'!$D$8="Open"</xm:f>
            <x14:dxf>
              <numFmt numFmtId="14" formatCode="0.00%"/>
            </x14:dxf>
          </x14:cfRule>
          <xm:sqref>W6:X11</xm:sqref>
        </x14:conditionalFormatting>
        <x14:conditionalFormatting xmlns:xm="http://schemas.microsoft.com/office/excel/2006/main">
          <x14:cfRule type="expression" priority="1" id="{F3C40DFE-81EA-4F61-A2C7-F0CEF0A22AAE}">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52F4B894-5D78-406A-BFEE-58460D493A50}">
            <xm:f>'GESTION DES JOUEURS'!$T$8&lt;2</xm:f>
            <x14:dxf>
              <font>
                <color theme="0" tint="-0.24994659260841701"/>
              </font>
              <fill>
                <patternFill>
                  <bgColor theme="0" tint="-0.24994659260841701"/>
                </patternFill>
              </fill>
            </x14:dxf>
          </x14:cfRule>
          <x14:cfRule type="expression" priority="42" id="{937FC9B9-75DD-45A7-80D7-E9DFAD01331C}">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C4B948F5-83BB-4101-9E31-E0B612CD2EA5}">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457EFCE8-5D8D-4D8A-9FB3-D3431F873C99}">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D14EE693-9C8C-4D9E-8D2B-A0C39A654C9C}">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FB870120-D2ED-4763-BB5A-9B412FC7D40D}">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B702F55A-26EA-4630-9810-ECE59D5C648B}">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A4305291-172E-4337-B6FD-39DBA7D23D39}">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F584235D-727F-41C4-8E92-3D1E3E7EB7B3}">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1E6DA873-B367-4FC0-891D-5768250620AD}">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399E0315-EC47-4C5E-8E71-D22EF533A3B9}">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98930CE2-D1DE-4616-B77F-D6C4D6E4BBD3}">
            <xm:f>'GESTION DES JOUEURS'!$T$8=1</xm:f>
            <x14:dxf>
              <font>
                <color theme="0" tint="-0.24994659260841701"/>
              </font>
              <fill>
                <patternFill>
                  <bgColor theme="0" tint="-0.24994659260841701"/>
                </patternFill>
              </fill>
            </x14:dxf>
          </x14:cfRule>
          <x14:cfRule type="expression" priority="19" id="{8D89CC9C-5AB3-45D5-AF5E-709E678C00C3}">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BA5FEEE3-647A-453B-9439-DE53A6C144DB}">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A4B2D7A-0490-47E5-A462-ABD9E9773E16}">
          <x14:formula1>
            <xm:f>IF(AND(_xlfn.XLOOKUP($F18,$B$6:$B$11,$AD$6:$AD$11,"",0,1)&lt;&gt;"N1",_xlfn.XLOOKUP($U18,$B$6:$B$11,$AD$6:$AD$11,"",0,1)&lt;&gt;"N1",$B$15="Cadre N1/N2"),Distances!$B$89:$KP$89,Distances!$B$86:$KQ$86)</xm:f>
          </x14:formula1>
          <xm:sqref>O18:O32</xm:sqref>
        </x14:dataValidation>
        <x14:dataValidation type="list" allowBlank="1" showInputMessage="1" showErrorMessage="1" xr:uid="{801D26B2-B9B1-497C-9A09-2C15CEB3F2BF}">
          <x14:formula1>
            <xm:f>IF(AND(_xlfn.XLOOKUP($F18,$B$6:$B$11,$AD$6:$AD$11,"",0,1)&lt;&gt;"N1",_xlfn.XLOOKUP($U18,$B$6:$B$11,$AD$6:$AD$11,"",0,1)&lt;&gt;"N1",$B$15="Cadre N1/N2"),Distances!$B$88:$KP$88,Distances!$B$85:$KQ$85)</xm:f>
          </x14:formula1>
          <xm:sqref>N18:N32 P18:P32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0537-0F93-465B-A50B-2C9B53D36DD1}">
  <sheetPr codeName="Feuil34"/>
  <dimension ref="A1:AL88"/>
  <sheetViews>
    <sheetView workbookViewId="0">
      <selection activeCell="C10" sqref="C10"/>
    </sheetView>
  </sheetViews>
  <sheetFormatPr baseColWidth="10" defaultRowHeight="15" x14ac:dyDescent="0.25"/>
  <cols>
    <col min="1" max="1" width="1.85546875" bestFit="1" customWidth="1"/>
  </cols>
  <sheetData>
    <row r="1" spans="1:38" x14ac:dyDescent="0.25">
      <c r="B1" t="s">
        <v>11511</v>
      </c>
    </row>
    <row r="2" spans="1:38" x14ac:dyDescent="0.25">
      <c r="A2">
        <v>2</v>
      </c>
      <c r="B2" s="21">
        <v>1</v>
      </c>
      <c r="C2" s="1">
        <v>1</v>
      </c>
      <c r="D2" s="1">
        <v>2</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row>
    <row r="3" spans="1:38" x14ac:dyDescent="0.25">
      <c r="A3">
        <v>2</v>
      </c>
      <c r="B3" s="21">
        <v>2</v>
      </c>
      <c r="C3" s="1">
        <v>1</v>
      </c>
      <c r="D3" s="1">
        <v>4</v>
      </c>
      <c r="E3" s="1">
        <v>2</v>
      </c>
      <c r="F3" s="1">
        <v>3</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row>
    <row r="4" spans="1:38" x14ac:dyDescent="0.25">
      <c r="A4">
        <v>2</v>
      </c>
      <c r="B4" s="21">
        <v>3</v>
      </c>
      <c r="C4" s="1">
        <v>1</v>
      </c>
      <c r="D4" s="1">
        <v>6</v>
      </c>
      <c r="E4" s="1">
        <v>2</v>
      </c>
      <c r="F4" s="1">
        <v>5</v>
      </c>
      <c r="G4" s="1">
        <v>3</v>
      </c>
      <c r="H4" s="1">
        <v>4</v>
      </c>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row>
    <row r="5" spans="1:38" x14ac:dyDescent="0.25">
      <c r="A5">
        <v>2</v>
      </c>
      <c r="B5" s="21">
        <v>4</v>
      </c>
      <c r="C5" s="1">
        <v>1</v>
      </c>
      <c r="D5" s="1">
        <v>8</v>
      </c>
      <c r="E5" s="1">
        <v>2</v>
      </c>
      <c r="F5" s="1">
        <v>7</v>
      </c>
      <c r="G5" s="1">
        <v>3</v>
      </c>
      <c r="H5" s="1">
        <v>6</v>
      </c>
      <c r="I5" s="1">
        <v>4</v>
      </c>
      <c r="J5" s="1">
        <v>5</v>
      </c>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x14ac:dyDescent="0.25">
      <c r="A6">
        <v>2</v>
      </c>
      <c r="B6" s="21">
        <v>5</v>
      </c>
      <c r="C6" s="1">
        <v>1</v>
      </c>
      <c r="D6" s="1">
        <v>10</v>
      </c>
      <c r="E6" s="1">
        <v>2</v>
      </c>
      <c r="F6" s="1">
        <v>9</v>
      </c>
      <c r="G6" s="1">
        <v>3</v>
      </c>
      <c r="H6" s="1">
        <v>8</v>
      </c>
      <c r="I6" s="1">
        <v>4</v>
      </c>
      <c r="J6" s="1">
        <v>7</v>
      </c>
      <c r="K6" s="1">
        <v>5</v>
      </c>
      <c r="L6" s="1">
        <v>6</v>
      </c>
      <c r="M6" s="18"/>
      <c r="N6" s="18"/>
      <c r="O6" s="18"/>
      <c r="P6" s="18"/>
      <c r="Q6" s="18"/>
      <c r="R6" s="18"/>
      <c r="S6" s="18"/>
      <c r="T6" s="18"/>
      <c r="U6" s="18"/>
      <c r="V6" s="18"/>
      <c r="W6" s="18"/>
      <c r="X6" s="18"/>
      <c r="Y6" s="18"/>
      <c r="Z6" s="18"/>
      <c r="AA6" s="18"/>
      <c r="AB6" s="18"/>
      <c r="AC6" s="18"/>
      <c r="AD6" s="18"/>
      <c r="AE6" s="18"/>
      <c r="AF6" s="18"/>
      <c r="AG6" s="18"/>
      <c r="AH6" s="18"/>
      <c r="AI6" s="18"/>
      <c r="AJ6" s="18"/>
      <c r="AK6" s="18"/>
      <c r="AL6" s="18"/>
    </row>
    <row r="7" spans="1:38" x14ac:dyDescent="0.25">
      <c r="A7">
        <v>2</v>
      </c>
      <c r="B7" s="21">
        <v>6</v>
      </c>
      <c r="C7" s="1">
        <v>1</v>
      </c>
      <c r="D7" s="1">
        <v>12</v>
      </c>
      <c r="E7" s="1">
        <v>2</v>
      </c>
      <c r="F7" s="1">
        <v>11</v>
      </c>
      <c r="G7" s="1">
        <v>3</v>
      </c>
      <c r="H7" s="1">
        <v>10</v>
      </c>
      <c r="I7" s="1">
        <v>4</v>
      </c>
      <c r="J7" s="1">
        <v>9</v>
      </c>
      <c r="K7" s="1">
        <v>5</v>
      </c>
      <c r="L7" s="1">
        <v>8</v>
      </c>
      <c r="M7" s="1">
        <v>6</v>
      </c>
      <c r="N7" s="1">
        <v>7</v>
      </c>
      <c r="O7" s="18"/>
      <c r="P7" s="18"/>
      <c r="Q7" s="18"/>
      <c r="R7" s="18"/>
      <c r="S7" s="18"/>
      <c r="T7" s="18"/>
      <c r="U7" s="18"/>
      <c r="V7" s="18"/>
      <c r="W7" s="18"/>
      <c r="X7" s="18"/>
      <c r="Y7" s="18"/>
      <c r="Z7" s="18"/>
      <c r="AA7" s="18"/>
      <c r="AB7" s="18"/>
      <c r="AC7" s="18"/>
      <c r="AD7" s="18"/>
      <c r="AE7" s="18"/>
      <c r="AF7" s="18"/>
      <c r="AG7" s="18"/>
      <c r="AH7" s="18"/>
      <c r="AI7" s="18"/>
      <c r="AJ7" s="18"/>
      <c r="AK7" s="18"/>
      <c r="AL7" s="18"/>
    </row>
    <row r="8" spans="1:38" x14ac:dyDescent="0.25">
      <c r="A8">
        <v>2</v>
      </c>
      <c r="B8" s="21">
        <v>7</v>
      </c>
      <c r="C8" s="1">
        <v>1</v>
      </c>
      <c r="D8" s="1">
        <v>14</v>
      </c>
      <c r="E8" s="1">
        <v>2</v>
      </c>
      <c r="F8" s="1">
        <v>13</v>
      </c>
      <c r="G8" s="1">
        <v>3</v>
      </c>
      <c r="H8" s="1">
        <v>12</v>
      </c>
      <c r="I8" s="1">
        <v>4</v>
      </c>
      <c r="J8" s="1">
        <v>11</v>
      </c>
      <c r="K8" s="1">
        <v>5</v>
      </c>
      <c r="L8" s="1">
        <v>10</v>
      </c>
      <c r="M8" s="1">
        <v>6</v>
      </c>
      <c r="N8" s="1">
        <v>9</v>
      </c>
      <c r="O8" s="1">
        <v>7</v>
      </c>
      <c r="P8" s="1">
        <v>8</v>
      </c>
      <c r="Q8" s="18"/>
      <c r="R8" s="18"/>
      <c r="S8" s="18"/>
      <c r="T8" s="18"/>
      <c r="U8" s="18"/>
      <c r="V8" s="18"/>
      <c r="W8" s="18"/>
      <c r="X8" s="18"/>
      <c r="Y8" s="18"/>
      <c r="Z8" s="18"/>
      <c r="AA8" s="18"/>
      <c r="AB8" s="18"/>
      <c r="AC8" s="18"/>
      <c r="AD8" s="18"/>
      <c r="AE8" s="18"/>
      <c r="AF8" s="18"/>
      <c r="AG8" s="18"/>
      <c r="AH8" s="18"/>
      <c r="AI8" s="18"/>
      <c r="AJ8" s="18"/>
      <c r="AK8" s="18"/>
      <c r="AL8" s="18"/>
    </row>
    <row r="9" spans="1:38" x14ac:dyDescent="0.25">
      <c r="A9">
        <v>2</v>
      </c>
      <c r="B9" s="21">
        <v>8</v>
      </c>
      <c r="C9" s="1">
        <v>1</v>
      </c>
      <c r="D9" s="1">
        <v>16</v>
      </c>
      <c r="E9" s="1">
        <v>2</v>
      </c>
      <c r="F9" s="1">
        <v>15</v>
      </c>
      <c r="G9" s="1">
        <v>3</v>
      </c>
      <c r="H9" s="1">
        <v>14</v>
      </c>
      <c r="I9" s="1">
        <v>4</v>
      </c>
      <c r="J9" s="1">
        <v>13</v>
      </c>
      <c r="K9" s="1">
        <v>5</v>
      </c>
      <c r="L9" s="1">
        <v>12</v>
      </c>
      <c r="M9" s="1">
        <v>6</v>
      </c>
      <c r="N9" s="1">
        <v>11</v>
      </c>
      <c r="O9" s="1">
        <v>7</v>
      </c>
      <c r="P9" s="1">
        <v>10</v>
      </c>
      <c r="Q9" s="1">
        <v>8</v>
      </c>
      <c r="R9" s="1">
        <v>9</v>
      </c>
      <c r="S9" s="18"/>
      <c r="T9" s="18"/>
      <c r="U9" s="18"/>
      <c r="V9" s="18"/>
      <c r="W9" s="18"/>
      <c r="X9" s="18"/>
      <c r="Y9" s="18"/>
      <c r="Z9" s="18"/>
      <c r="AA9" s="18"/>
      <c r="AB9" s="18"/>
      <c r="AC9" s="18"/>
      <c r="AD9" s="18"/>
      <c r="AE9" s="18"/>
      <c r="AF9" s="18"/>
      <c r="AG9" s="18"/>
      <c r="AH9" s="18"/>
      <c r="AI9" s="18"/>
      <c r="AJ9" s="18"/>
      <c r="AK9" s="18"/>
      <c r="AL9" s="18"/>
    </row>
    <row r="10" spans="1:38" x14ac:dyDescent="0.25">
      <c r="A10">
        <v>2</v>
      </c>
      <c r="B10" s="21">
        <v>9</v>
      </c>
      <c r="C10" s="1">
        <v>1</v>
      </c>
      <c r="D10" s="1">
        <v>18</v>
      </c>
      <c r="E10" s="1">
        <v>2</v>
      </c>
      <c r="F10" s="1">
        <v>17</v>
      </c>
      <c r="G10" s="1">
        <v>3</v>
      </c>
      <c r="H10" s="1">
        <v>16</v>
      </c>
      <c r="I10" s="1">
        <v>4</v>
      </c>
      <c r="J10" s="1">
        <v>15</v>
      </c>
      <c r="K10" s="1">
        <v>5</v>
      </c>
      <c r="L10" s="1">
        <v>14</v>
      </c>
      <c r="M10" s="1">
        <v>6</v>
      </c>
      <c r="N10" s="1">
        <v>13</v>
      </c>
      <c r="O10" s="1">
        <v>7</v>
      </c>
      <c r="P10" s="1">
        <v>12</v>
      </c>
      <c r="Q10" s="1">
        <v>8</v>
      </c>
      <c r="R10" s="1">
        <v>11</v>
      </c>
      <c r="S10" s="1">
        <v>9</v>
      </c>
      <c r="T10" s="1">
        <v>10</v>
      </c>
      <c r="U10" s="18"/>
      <c r="V10" s="18"/>
      <c r="W10" s="18"/>
      <c r="X10" s="18"/>
      <c r="Y10" s="18"/>
      <c r="Z10" s="18"/>
      <c r="AA10" s="18"/>
      <c r="AB10" s="18"/>
      <c r="AC10" s="18"/>
      <c r="AD10" s="18"/>
      <c r="AE10" s="18"/>
      <c r="AF10" s="18"/>
      <c r="AG10" s="18"/>
      <c r="AH10" s="18"/>
      <c r="AI10" s="18"/>
      <c r="AJ10" s="18"/>
      <c r="AK10" s="18"/>
      <c r="AL10" s="18"/>
    </row>
    <row r="11" spans="1:38" x14ac:dyDescent="0.25">
      <c r="A11">
        <v>2</v>
      </c>
      <c r="B11" s="21">
        <v>10</v>
      </c>
      <c r="C11" s="1">
        <v>1</v>
      </c>
      <c r="D11" s="1">
        <v>20</v>
      </c>
      <c r="E11" s="1">
        <v>2</v>
      </c>
      <c r="F11" s="1">
        <v>19</v>
      </c>
      <c r="G11" s="1">
        <v>3</v>
      </c>
      <c r="H11" s="1">
        <v>18</v>
      </c>
      <c r="I11" s="1">
        <v>4</v>
      </c>
      <c r="J11" s="1">
        <v>17</v>
      </c>
      <c r="K11" s="1">
        <v>5</v>
      </c>
      <c r="L11" s="1">
        <v>16</v>
      </c>
      <c r="M11" s="1">
        <v>6</v>
      </c>
      <c r="N11" s="1">
        <v>15</v>
      </c>
      <c r="O11" s="1">
        <v>7</v>
      </c>
      <c r="P11" s="1">
        <v>14</v>
      </c>
      <c r="Q11" s="1">
        <v>8</v>
      </c>
      <c r="R11" s="1">
        <v>13</v>
      </c>
      <c r="S11" s="1">
        <v>9</v>
      </c>
      <c r="T11" s="1">
        <v>12</v>
      </c>
      <c r="U11" s="1">
        <v>10</v>
      </c>
      <c r="V11" s="1">
        <v>11</v>
      </c>
      <c r="W11" s="18"/>
      <c r="X11" s="18"/>
      <c r="Y11" s="18"/>
      <c r="Z11" s="18"/>
      <c r="AA11" s="18"/>
      <c r="AB11" s="18"/>
      <c r="AC11" s="18"/>
      <c r="AD11" s="18"/>
      <c r="AE11" s="18"/>
      <c r="AF11" s="18"/>
      <c r="AG11" s="18"/>
      <c r="AH11" s="18"/>
      <c r="AI11" s="18"/>
      <c r="AJ11" s="18"/>
      <c r="AK11" s="18"/>
      <c r="AL11" s="18"/>
    </row>
    <row r="12" spans="1:38" x14ac:dyDescent="0.25">
      <c r="B12" t="s">
        <v>8099</v>
      </c>
    </row>
    <row r="13" spans="1:38" x14ac:dyDescent="0.25">
      <c r="A13">
        <v>3</v>
      </c>
      <c r="B13" s="21">
        <v>1</v>
      </c>
      <c r="C13" s="1">
        <v>1</v>
      </c>
      <c r="D13" s="1">
        <v>2</v>
      </c>
      <c r="E13" s="1">
        <v>3</v>
      </c>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row>
    <row r="14" spans="1:38" x14ac:dyDescent="0.25">
      <c r="A14">
        <v>3</v>
      </c>
      <c r="B14" s="21">
        <v>2</v>
      </c>
      <c r="C14" s="1">
        <v>1</v>
      </c>
      <c r="D14" s="1">
        <v>4</v>
      </c>
      <c r="E14" s="1">
        <v>5</v>
      </c>
      <c r="F14" s="1">
        <v>2</v>
      </c>
      <c r="G14" s="1">
        <v>3</v>
      </c>
      <c r="H14" s="1">
        <v>6</v>
      </c>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row>
    <row r="15" spans="1:38" x14ac:dyDescent="0.25">
      <c r="A15">
        <v>3</v>
      </c>
      <c r="B15" s="21">
        <v>3</v>
      </c>
      <c r="C15" s="1">
        <v>1</v>
      </c>
      <c r="D15" s="1">
        <v>6</v>
      </c>
      <c r="E15" s="1">
        <v>7</v>
      </c>
      <c r="F15" s="1">
        <v>2</v>
      </c>
      <c r="G15" s="1">
        <v>5</v>
      </c>
      <c r="H15" s="1">
        <v>8</v>
      </c>
      <c r="I15" s="1">
        <v>3</v>
      </c>
      <c r="J15" s="1">
        <v>4</v>
      </c>
      <c r="K15" s="1">
        <v>9</v>
      </c>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row>
    <row r="16" spans="1:38" x14ac:dyDescent="0.25">
      <c r="A16">
        <v>3</v>
      </c>
      <c r="B16" s="21">
        <v>4</v>
      </c>
      <c r="C16" s="1">
        <v>1</v>
      </c>
      <c r="D16" s="1">
        <v>8</v>
      </c>
      <c r="E16" s="1">
        <v>9</v>
      </c>
      <c r="F16" s="1">
        <v>2</v>
      </c>
      <c r="G16" s="1">
        <v>7</v>
      </c>
      <c r="H16" s="1">
        <v>10</v>
      </c>
      <c r="I16" s="1">
        <v>3</v>
      </c>
      <c r="J16" s="1">
        <v>6</v>
      </c>
      <c r="K16" s="1">
        <v>11</v>
      </c>
      <c r="L16" s="1">
        <v>4</v>
      </c>
      <c r="M16" s="1">
        <v>5</v>
      </c>
      <c r="N16" s="1">
        <v>12</v>
      </c>
      <c r="O16" s="18"/>
      <c r="P16" s="18"/>
      <c r="Q16" s="18"/>
      <c r="R16" s="18"/>
      <c r="S16" s="18"/>
      <c r="T16" s="18"/>
      <c r="U16" s="18"/>
      <c r="V16" s="18"/>
      <c r="W16" s="18"/>
      <c r="X16" s="18"/>
      <c r="Y16" s="18"/>
      <c r="Z16" s="18"/>
      <c r="AA16" s="18"/>
      <c r="AB16" s="18"/>
      <c r="AC16" s="18"/>
      <c r="AD16" s="18"/>
      <c r="AE16" s="18"/>
      <c r="AF16" s="18"/>
      <c r="AG16" s="18"/>
      <c r="AH16" s="18"/>
      <c r="AI16" s="18"/>
      <c r="AJ16" s="18"/>
      <c r="AK16" s="18"/>
      <c r="AL16" s="18"/>
    </row>
    <row r="17" spans="1:38" x14ac:dyDescent="0.25">
      <c r="A17">
        <v>3</v>
      </c>
      <c r="B17" s="21">
        <v>5</v>
      </c>
      <c r="C17" s="1">
        <v>1</v>
      </c>
      <c r="D17" s="1">
        <v>10</v>
      </c>
      <c r="E17" s="1">
        <v>11</v>
      </c>
      <c r="F17" s="1">
        <v>2</v>
      </c>
      <c r="G17" s="1">
        <v>9</v>
      </c>
      <c r="H17" s="1">
        <v>12</v>
      </c>
      <c r="I17" s="1">
        <v>3</v>
      </c>
      <c r="J17" s="1">
        <v>8</v>
      </c>
      <c r="K17" s="1">
        <v>13</v>
      </c>
      <c r="L17" s="1">
        <v>4</v>
      </c>
      <c r="M17" s="1">
        <v>7</v>
      </c>
      <c r="N17" s="1">
        <v>14</v>
      </c>
      <c r="O17" s="1">
        <v>5</v>
      </c>
      <c r="P17" s="1">
        <v>6</v>
      </c>
      <c r="Q17" s="1">
        <v>15</v>
      </c>
      <c r="R17" s="18"/>
      <c r="S17" s="18"/>
      <c r="T17" s="18"/>
      <c r="U17" s="18"/>
      <c r="V17" s="18"/>
      <c r="W17" s="18"/>
      <c r="X17" s="18"/>
      <c r="Y17" s="18"/>
      <c r="Z17" s="18"/>
      <c r="AA17" s="18"/>
      <c r="AB17" s="18"/>
      <c r="AC17" s="18"/>
      <c r="AD17" s="18"/>
      <c r="AE17" s="18"/>
      <c r="AF17" s="18"/>
      <c r="AG17" s="18"/>
      <c r="AH17" s="18"/>
      <c r="AI17" s="18"/>
      <c r="AJ17" s="18"/>
      <c r="AK17" s="18"/>
      <c r="AL17" s="18"/>
    </row>
    <row r="18" spans="1:38" x14ac:dyDescent="0.25">
      <c r="A18">
        <v>3</v>
      </c>
      <c r="B18" s="21">
        <v>6</v>
      </c>
      <c r="C18" s="1">
        <v>1</v>
      </c>
      <c r="D18" s="1">
        <v>12</v>
      </c>
      <c r="E18" s="1">
        <v>13</v>
      </c>
      <c r="F18" s="1">
        <v>2</v>
      </c>
      <c r="G18" s="1">
        <v>11</v>
      </c>
      <c r="H18" s="1">
        <v>14</v>
      </c>
      <c r="I18" s="1">
        <v>3</v>
      </c>
      <c r="J18" s="1">
        <v>10</v>
      </c>
      <c r="K18" s="1">
        <v>15</v>
      </c>
      <c r="L18" s="1">
        <v>4</v>
      </c>
      <c r="M18" s="1">
        <v>9</v>
      </c>
      <c r="N18" s="1">
        <v>16</v>
      </c>
      <c r="O18" s="1">
        <v>5</v>
      </c>
      <c r="P18" s="1">
        <v>8</v>
      </c>
      <c r="Q18" s="1">
        <v>17</v>
      </c>
      <c r="R18" s="1">
        <v>6</v>
      </c>
      <c r="S18" s="1">
        <v>7</v>
      </c>
      <c r="T18" s="1">
        <v>18</v>
      </c>
      <c r="U18" s="18"/>
      <c r="V18" s="18"/>
      <c r="W18" s="18"/>
      <c r="X18" s="18"/>
      <c r="Y18" s="18"/>
      <c r="Z18" s="18"/>
      <c r="AA18" s="18"/>
      <c r="AB18" s="18"/>
      <c r="AC18" s="18"/>
      <c r="AD18" s="18"/>
      <c r="AE18" s="18"/>
      <c r="AF18" s="18"/>
      <c r="AG18" s="18"/>
      <c r="AH18" s="18"/>
      <c r="AI18" s="18"/>
      <c r="AJ18" s="18"/>
      <c r="AK18" s="18"/>
      <c r="AL18" s="18"/>
    </row>
    <row r="19" spans="1:38" x14ac:dyDescent="0.25">
      <c r="A19">
        <v>3</v>
      </c>
      <c r="B19" s="21">
        <v>7</v>
      </c>
      <c r="C19" s="1">
        <v>1</v>
      </c>
      <c r="D19" s="1">
        <v>14</v>
      </c>
      <c r="E19" s="1">
        <v>15</v>
      </c>
      <c r="F19" s="1">
        <v>2</v>
      </c>
      <c r="G19" s="1">
        <v>13</v>
      </c>
      <c r="H19" s="1">
        <v>16</v>
      </c>
      <c r="I19" s="1">
        <v>3</v>
      </c>
      <c r="J19" s="1">
        <v>12</v>
      </c>
      <c r="K19" s="1">
        <v>17</v>
      </c>
      <c r="L19" s="1">
        <v>4</v>
      </c>
      <c r="M19" s="1">
        <v>11</v>
      </c>
      <c r="N19" s="1">
        <v>18</v>
      </c>
      <c r="O19" s="1">
        <v>5</v>
      </c>
      <c r="P19" s="1">
        <v>10</v>
      </c>
      <c r="Q19" s="1">
        <v>19</v>
      </c>
      <c r="R19" s="1">
        <v>6</v>
      </c>
      <c r="S19" s="1">
        <v>9</v>
      </c>
      <c r="T19" s="1">
        <v>20</v>
      </c>
      <c r="U19" s="1">
        <v>7</v>
      </c>
      <c r="V19" s="1">
        <v>8</v>
      </c>
      <c r="W19" s="1">
        <v>21</v>
      </c>
      <c r="X19" s="18"/>
      <c r="Y19" s="18"/>
      <c r="Z19" s="18"/>
      <c r="AA19" s="18"/>
      <c r="AB19" s="18"/>
      <c r="AC19" s="18"/>
      <c r="AD19" s="18"/>
      <c r="AE19" s="18"/>
      <c r="AF19" s="18"/>
      <c r="AG19" s="18"/>
      <c r="AH19" s="18"/>
      <c r="AI19" s="18"/>
      <c r="AJ19" s="18"/>
      <c r="AK19" s="18"/>
      <c r="AL19" s="18"/>
    </row>
    <row r="20" spans="1:38" x14ac:dyDescent="0.25">
      <c r="A20">
        <v>3</v>
      </c>
      <c r="B20" s="21">
        <v>8</v>
      </c>
      <c r="C20" s="1">
        <v>1</v>
      </c>
      <c r="D20" s="1">
        <v>16</v>
      </c>
      <c r="E20" s="1">
        <v>17</v>
      </c>
      <c r="F20" s="1">
        <v>2</v>
      </c>
      <c r="G20" s="1">
        <v>15</v>
      </c>
      <c r="H20" s="1">
        <v>18</v>
      </c>
      <c r="I20" s="1">
        <v>3</v>
      </c>
      <c r="J20" s="1">
        <v>14</v>
      </c>
      <c r="K20" s="1">
        <v>19</v>
      </c>
      <c r="L20" s="1">
        <v>4</v>
      </c>
      <c r="M20" s="1">
        <v>13</v>
      </c>
      <c r="N20" s="1">
        <v>20</v>
      </c>
      <c r="O20" s="1">
        <v>5</v>
      </c>
      <c r="P20" s="1">
        <v>12</v>
      </c>
      <c r="Q20" s="1">
        <v>21</v>
      </c>
      <c r="R20" s="1">
        <v>6</v>
      </c>
      <c r="S20" s="1">
        <v>11</v>
      </c>
      <c r="T20" s="1">
        <v>22</v>
      </c>
      <c r="U20" s="1">
        <v>7</v>
      </c>
      <c r="V20" s="1">
        <v>10</v>
      </c>
      <c r="W20" s="1">
        <v>23</v>
      </c>
      <c r="X20" s="1">
        <v>8</v>
      </c>
      <c r="Y20" s="1">
        <v>9</v>
      </c>
      <c r="Z20" s="1">
        <v>24</v>
      </c>
      <c r="AA20" s="18"/>
      <c r="AB20" s="18"/>
      <c r="AC20" s="18"/>
      <c r="AD20" s="18"/>
      <c r="AE20" s="18"/>
      <c r="AF20" s="18"/>
      <c r="AG20" s="18"/>
      <c r="AH20" s="18"/>
      <c r="AI20" s="18"/>
      <c r="AJ20" s="18"/>
      <c r="AK20" s="18"/>
      <c r="AL20" s="18"/>
    </row>
    <row r="21" spans="1:38" x14ac:dyDescent="0.25">
      <c r="A21">
        <v>3</v>
      </c>
      <c r="B21" s="21">
        <v>9</v>
      </c>
      <c r="C21" s="1">
        <v>1</v>
      </c>
      <c r="D21" s="1">
        <v>18</v>
      </c>
      <c r="E21" s="1">
        <v>19</v>
      </c>
      <c r="F21" s="1">
        <v>2</v>
      </c>
      <c r="G21" s="1">
        <v>17</v>
      </c>
      <c r="H21" s="1">
        <v>20</v>
      </c>
      <c r="I21" s="1">
        <v>3</v>
      </c>
      <c r="J21" s="1">
        <v>16</v>
      </c>
      <c r="K21" s="1">
        <v>21</v>
      </c>
      <c r="L21" s="1">
        <v>4</v>
      </c>
      <c r="M21" s="1">
        <v>15</v>
      </c>
      <c r="N21" s="1">
        <v>22</v>
      </c>
      <c r="O21" s="1">
        <v>5</v>
      </c>
      <c r="P21" s="1">
        <v>14</v>
      </c>
      <c r="Q21" s="1">
        <v>23</v>
      </c>
      <c r="R21" s="1">
        <v>6</v>
      </c>
      <c r="S21" s="1">
        <v>13</v>
      </c>
      <c r="T21" s="1">
        <v>24</v>
      </c>
      <c r="U21" s="1">
        <v>7</v>
      </c>
      <c r="V21" s="1">
        <v>12</v>
      </c>
      <c r="W21" s="1">
        <v>25</v>
      </c>
      <c r="X21" s="1">
        <v>8</v>
      </c>
      <c r="Y21" s="1">
        <v>11</v>
      </c>
      <c r="Z21" s="1">
        <v>26</v>
      </c>
      <c r="AA21" s="1">
        <v>9</v>
      </c>
      <c r="AB21" s="1">
        <v>10</v>
      </c>
      <c r="AC21" s="1">
        <v>27</v>
      </c>
      <c r="AD21" s="18"/>
      <c r="AE21" s="18"/>
      <c r="AF21" s="18"/>
      <c r="AG21" s="18"/>
      <c r="AH21" s="18"/>
      <c r="AI21" s="18"/>
      <c r="AJ21" s="18"/>
      <c r="AK21" s="18"/>
      <c r="AL21" s="18"/>
    </row>
    <row r="22" spans="1:38" x14ac:dyDescent="0.25">
      <c r="A22">
        <v>3</v>
      </c>
      <c r="B22" s="21">
        <v>10</v>
      </c>
      <c r="C22" s="1">
        <v>1</v>
      </c>
      <c r="D22" s="1">
        <v>20</v>
      </c>
      <c r="E22" s="1">
        <v>21</v>
      </c>
      <c r="F22" s="1">
        <v>2</v>
      </c>
      <c r="G22" s="1">
        <v>19</v>
      </c>
      <c r="H22" s="1">
        <v>22</v>
      </c>
      <c r="I22" s="1">
        <v>3</v>
      </c>
      <c r="J22" s="1">
        <v>18</v>
      </c>
      <c r="K22" s="1">
        <v>23</v>
      </c>
      <c r="L22" s="1">
        <v>4</v>
      </c>
      <c r="M22" s="1">
        <v>17</v>
      </c>
      <c r="N22" s="1">
        <v>24</v>
      </c>
      <c r="O22" s="1">
        <v>5</v>
      </c>
      <c r="P22" s="1">
        <v>16</v>
      </c>
      <c r="Q22" s="1">
        <v>25</v>
      </c>
      <c r="R22" s="1">
        <v>6</v>
      </c>
      <c r="S22" s="1">
        <v>15</v>
      </c>
      <c r="T22" s="1">
        <v>26</v>
      </c>
      <c r="U22" s="1">
        <v>7</v>
      </c>
      <c r="V22" s="1">
        <v>14</v>
      </c>
      <c r="W22" s="1">
        <v>27</v>
      </c>
      <c r="X22" s="1">
        <v>8</v>
      </c>
      <c r="Y22" s="1">
        <v>13</v>
      </c>
      <c r="Z22" s="1">
        <v>28</v>
      </c>
      <c r="AA22" s="1">
        <v>9</v>
      </c>
      <c r="AB22" s="1">
        <v>12</v>
      </c>
      <c r="AC22" s="1">
        <v>29</v>
      </c>
      <c r="AD22" s="1">
        <v>10</v>
      </c>
      <c r="AE22" s="1">
        <v>11</v>
      </c>
      <c r="AF22" s="1">
        <v>30</v>
      </c>
      <c r="AG22" s="18"/>
      <c r="AH22" s="18"/>
      <c r="AI22" s="18"/>
      <c r="AJ22" s="18"/>
      <c r="AK22" s="18"/>
      <c r="AL22" s="18"/>
    </row>
    <row r="23" spans="1:38" x14ac:dyDescent="0.25">
      <c r="A23">
        <v>3</v>
      </c>
      <c r="B23" s="21">
        <v>11</v>
      </c>
      <c r="C23" s="1">
        <v>1</v>
      </c>
      <c r="D23" s="1">
        <v>22</v>
      </c>
      <c r="E23" s="1">
        <v>23</v>
      </c>
      <c r="F23" s="1">
        <v>2</v>
      </c>
      <c r="G23" s="1">
        <v>21</v>
      </c>
      <c r="H23" s="1">
        <v>24</v>
      </c>
      <c r="I23" s="1">
        <v>3</v>
      </c>
      <c r="J23" s="1">
        <v>20</v>
      </c>
      <c r="K23" s="1">
        <v>25</v>
      </c>
      <c r="L23" s="1">
        <v>4</v>
      </c>
      <c r="M23" s="1">
        <v>19</v>
      </c>
      <c r="N23" s="1">
        <v>26</v>
      </c>
      <c r="O23" s="1">
        <v>5</v>
      </c>
      <c r="P23" s="1">
        <v>18</v>
      </c>
      <c r="Q23" s="1">
        <v>27</v>
      </c>
      <c r="R23" s="1">
        <v>6</v>
      </c>
      <c r="S23" s="1">
        <v>17</v>
      </c>
      <c r="T23" s="1">
        <v>28</v>
      </c>
      <c r="U23" s="1">
        <v>7</v>
      </c>
      <c r="V23" s="1">
        <v>16</v>
      </c>
      <c r="W23" s="1">
        <v>29</v>
      </c>
      <c r="X23" s="1">
        <v>8</v>
      </c>
      <c r="Y23" s="1">
        <v>15</v>
      </c>
      <c r="Z23" s="1">
        <v>30</v>
      </c>
      <c r="AA23" s="1">
        <v>9</v>
      </c>
      <c r="AB23" s="1">
        <v>14</v>
      </c>
      <c r="AC23" s="1">
        <v>31</v>
      </c>
      <c r="AD23" s="1">
        <v>10</v>
      </c>
      <c r="AE23" s="1">
        <v>13</v>
      </c>
      <c r="AF23" s="1">
        <v>32</v>
      </c>
      <c r="AG23" s="1">
        <v>11</v>
      </c>
      <c r="AH23" s="1">
        <v>12</v>
      </c>
      <c r="AI23" s="1">
        <v>33</v>
      </c>
      <c r="AJ23" s="18"/>
      <c r="AK23" s="18"/>
      <c r="AL23" s="18"/>
    </row>
    <row r="24" spans="1:38" x14ac:dyDescent="0.25">
      <c r="A24">
        <v>3</v>
      </c>
      <c r="B24" s="21">
        <v>12</v>
      </c>
      <c r="C24" s="1">
        <v>1</v>
      </c>
      <c r="D24" s="1">
        <v>24</v>
      </c>
      <c r="E24" s="1">
        <v>25</v>
      </c>
      <c r="F24" s="1">
        <v>2</v>
      </c>
      <c r="G24" s="1">
        <v>23</v>
      </c>
      <c r="H24" s="1">
        <v>26</v>
      </c>
      <c r="I24" s="1">
        <v>3</v>
      </c>
      <c r="J24" s="1">
        <v>22</v>
      </c>
      <c r="K24" s="1">
        <v>27</v>
      </c>
      <c r="L24" s="1">
        <v>4</v>
      </c>
      <c r="M24" s="1">
        <v>21</v>
      </c>
      <c r="N24" s="1">
        <v>28</v>
      </c>
      <c r="O24" s="1">
        <v>5</v>
      </c>
      <c r="P24" s="1">
        <v>20</v>
      </c>
      <c r="Q24" s="1">
        <v>29</v>
      </c>
      <c r="R24" s="1">
        <v>6</v>
      </c>
      <c r="S24" s="1">
        <v>19</v>
      </c>
      <c r="T24" s="1">
        <v>30</v>
      </c>
      <c r="U24" s="1">
        <v>7</v>
      </c>
      <c r="V24" s="1">
        <v>18</v>
      </c>
      <c r="W24" s="1">
        <v>31</v>
      </c>
      <c r="X24" s="1">
        <v>8</v>
      </c>
      <c r="Y24" s="1">
        <v>17</v>
      </c>
      <c r="Z24" s="1">
        <v>32</v>
      </c>
      <c r="AA24" s="1">
        <v>9</v>
      </c>
      <c r="AB24" s="1">
        <v>16</v>
      </c>
      <c r="AC24" s="1">
        <v>33</v>
      </c>
      <c r="AD24" s="1">
        <v>10</v>
      </c>
      <c r="AE24" s="1">
        <v>15</v>
      </c>
      <c r="AF24" s="1">
        <v>34</v>
      </c>
      <c r="AG24" s="1">
        <v>11</v>
      </c>
      <c r="AH24" s="1">
        <v>14</v>
      </c>
      <c r="AI24" s="1">
        <v>35</v>
      </c>
      <c r="AJ24" s="1">
        <v>12</v>
      </c>
      <c r="AK24" s="1">
        <v>13</v>
      </c>
      <c r="AL24" s="1">
        <v>36</v>
      </c>
    </row>
    <row r="25" spans="1:38" x14ac:dyDescent="0.25">
      <c r="B25" t="s">
        <v>8100</v>
      </c>
    </row>
    <row r="26" spans="1:38" x14ac:dyDescent="0.25">
      <c r="A26">
        <v>4</v>
      </c>
      <c r="B26" s="21">
        <v>1</v>
      </c>
      <c r="C26" s="1">
        <v>1</v>
      </c>
      <c r="D26" s="1">
        <v>2</v>
      </c>
      <c r="E26" s="1">
        <v>3</v>
      </c>
      <c r="F26" s="1">
        <v>4</v>
      </c>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row>
    <row r="27" spans="1:38" x14ac:dyDescent="0.25">
      <c r="A27">
        <v>4</v>
      </c>
      <c r="B27" s="21">
        <v>2</v>
      </c>
      <c r="C27" s="1">
        <v>1</v>
      </c>
      <c r="D27" s="1">
        <v>4</v>
      </c>
      <c r="E27" s="1">
        <v>5</v>
      </c>
      <c r="F27" s="1">
        <v>8</v>
      </c>
      <c r="G27" s="1">
        <v>2</v>
      </c>
      <c r="H27" s="1">
        <v>3</v>
      </c>
      <c r="I27" s="1">
        <v>6</v>
      </c>
      <c r="J27" s="1">
        <v>7</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row>
    <row r="28" spans="1:38" x14ac:dyDescent="0.25">
      <c r="A28">
        <v>4</v>
      </c>
      <c r="B28" s="21">
        <v>3</v>
      </c>
      <c r="C28" s="1">
        <v>1</v>
      </c>
      <c r="D28" s="1">
        <v>6</v>
      </c>
      <c r="E28" s="1">
        <v>7</v>
      </c>
      <c r="F28" s="1">
        <v>12</v>
      </c>
      <c r="G28" s="1">
        <v>2</v>
      </c>
      <c r="H28" s="1">
        <v>5</v>
      </c>
      <c r="I28" s="1">
        <v>8</v>
      </c>
      <c r="J28" s="1">
        <v>11</v>
      </c>
      <c r="K28" s="1">
        <v>3</v>
      </c>
      <c r="L28" s="1">
        <v>4</v>
      </c>
      <c r="M28" s="1">
        <v>9</v>
      </c>
      <c r="N28" s="1">
        <v>10</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x14ac:dyDescent="0.25">
      <c r="A29">
        <v>4</v>
      </c>
      <c r="B29" s="21">
        <v>4</v>
      </c>
      <c r="C29" s="1">
        <v>1</v>
      </c>
      <c r="D29" s="1">
        <v>8</v>
      </c>
      <c r="E29" s="1">
        <v>9</v>
      </c>
      <c r="F29" s="1">
        <v>16</v>
      </c>
      <c r="G29" s="1">
        <v>2</v>
      </c>
      <c r="H29" s="1">
        <v>7</v>
      </c>
      <c r="I29" s="1">
        <v>10</v>
      </c>
      <c r="J29" s="1">
        <v>15</v>
      </c>
      <c r="K29" s="1">
        <v>3</v>
      </c>
      <c r="L29" s="1">
        <v>6</v>
      </c>
      <c r="M29" s="1">
        <v>11</v>
      </c>
      <c r="N29" s="1">
        <v>14</v>
      </c>
      <c r="O29" s="1">
        <v>4</v>
      </c>
      <c r="P29" s="1">
        <v>5</v>
      </c>
      <c r="Q29" s="1">
        <v>12</v>
      </c>
      <c r="R29" s="1">
        <v>13</v>
      </c>
      <c r="S29" s="18"/>
      <c r="T29" s="18"/>
      <c r="U29" s="18"/>
      <c r="V29" s="18"/>
      <c r="W29" s="18"/>
      <c r="X29" s="18"/>
      <c r="Y29" s="18"/>
      <c r="Z29" s="18"/>
      <c r="AA29" s="18"/>
      <c r="AB29" s="18"/>
      <c r="AC29" s="18"/>
      <c r="AD29" s="18"/>
      <c r="AE29" s="18"/>
      <c r="AF29" s="18"/>
      <c r="AG29" s="18"/>
      <c r="AH29" s="18"/>
      <c r="AI29" s="18"/>
      <c r="AJ29" s="18"/>
      <c r="AK29" s="18"/>
      <c r="AL29" s="18"/>
    </row>
    <row r="30" spans="1:38" x14ac:dyDescent="0.25">
      <c r="A30">
        <v>4</v>
      </c>
      <c r="B30" s="21">
        <v>5</v>
      </c>
      <c r="C30" s="1">
        <v>1</v>
      </c>
      <c r="D30" s="1">
        <v>10</v>
      </c>
      <c r="E30" s="1">
        <v>11</v>
      </c>
      <c r="F30" s="1">
        <v>20</v>
      </c>
      <c r="G30" s="1">
        <v>2</v>
      </c>
      <c r="H30" s="1">
        <v>9</v>
      </c>
      <c r="I30" s="1">
        <v>12</v>
      </c>
      <c r="J30" s="1">
        <v>19</v>
      </c>
      <c r="K30" s="1">
        <v>3</v>
      </c>
      <c r="L30" s="1">
        <v>8</v>
      </c>
      <c r="M30" s="1">
        <v>13</v>
      </c>
      <c r="N30" s="1">
        <v>18</v>
      </c>
      <c r="O30" s="1">
        <v>4</v>
      </c>
      <c r="P30" s="1">
        <v>7</v>
      </c>
      <c r="Q30" s="1">
        <v>14</v>
      </c>
      <c r="R30" s="1">
        <v>17</v>
      </c>
      <c r="S30" s="1">
        <v>5</v>
      </c>
      <c r="T30" s="1">
        <v>6</v>
      </c>
      <c r="U30" s="1">
        <v>15</v>
      </c>
      <c r="V30" s="1">
        <v>16</v>
      </c>
      <c r="W30" s="18"/>
      <c r="X30" s="18"/>
      <c r="Y30" s="18"/>
      <c r="Z30" s="18"/>
      <c r="AA30" s="18"/>
      <c r="AB30" s="18"/>
      <c r="AC30" s="18"/>
      <c r="AD30" s="18"/>
      <c r="AE30" s="18"/>
      <c r="AF30" s="18"/>
      <c r="AG30" s="18"/>
      <c r="AH30" s="18"/>
      <c r="AI30" s="18"/>
      <c r="AJ30" s="18"/>
      <c r="AK30" s="18"/>
      <c r="AL30" s="18"/>
    </row>
    <row r="31" spans="1:38" x14ac:dyDescent="0.25">
      <c r="A31">
        <v>4</v>
      </c>
      <c r="B31" s="21">
        <v>6</v>
      </c>
      <c r="C31" s="1">
        <v>1</v>
      </c>
      <c r="D31" s="1">
        <v>12</v>
      </c>
      <c r="E31" s="1">
        <v>13</v>
      </c>
      <c r="F31" s="1">
        <v>24</v>
      </c>
      <c r="G31" s="1">
        <v>2</v>
      </c>
      <c r="H31" s="1">
        <v>11</v>
      </c>
      <c r="I31" s="1">
        <v>14</v>
      </c>
      <c r="J31" s="1">
        <v>23</v>
      </c>
      <c r="K31" s="1">
        <v>3</v>
      </c>
      <c r="L31" s="1">
        <v>10</v>
      </c>
      <c r="M31" s="1">
        <v>15</v>
      </c>
      <c r="N31" s="1">
        <v>22</v>
      </c>
      <c r="O31" s="1">
        <v>4</v>
      </c>
      <c r="P31" s="1">
        <v>9</v>
      </c>
      <c r="Q31" s="1">
        <v>16</v>
      </c>
      <c r="R31" s="1">
        <v>21</v>
      </c>
      <c r="S31" s="1">
        <v>5</v>
      </c>
      <c r="T31" s="1">
        <v>8</v>
      </c>
      <c r="U31" s="1">
        <v>17</v>
      </c>
      <c r="V31" s="1">
        <v>20</v>
      </c>
      <c r="W31" s="1">
        <v>6</v>
      </c>
      <c r="X31" s="1">
        <v>7</v>
      </c>
      <c r="Y31" s="1">
        <v>18</v>
      </c>
      <c r="Z31" s="1">
        <v>19</v>
      </c>
      <c r="AA31" s="18"/>
      <c r="AB31" s="18"/>
      <c r="AC31" s="18"/>
      <c r="AD31" s="18"/>
      <c r="AE31" s="18"/>
      <c r="AF31" s="18"/>
      <c r="AG31" s="18"/>
      <c r="AH31" s="18"/>
      <c r="AI31" s="18"/>
      <c r="AJ31" s="18"/>
      <c r="AK31" s="18"/>
      <c r="AL31" s="18"/>
    </row>
    <row r="32" spans="1:38" x14ac:dyDescent="0.25">
      <c r="A32">
        <v>4</v>
      </c>
      <c r="B32" s="21">
        <v>7</v>
      </c>
      <c r="C32" s="1">
        <v>1</v>
      </c>
      <c r="D32" s="1">
        <v>14</v>
      </c>
      <c r="E32" s="1">
        <v>15</v>
      </c>
      <c r="F32" s="1">
        <v>28</v>
      </c>
      <c r="G32" s="1">
        <v>2</v>
      </c>
      <c r="H32" s="1">
        <v>13</v>
      </c>
      <c r="I32" s="1">
        <v>16</v>
      </c>
      <c r="J32" s="1">
        <v>27</v>
      </c>
      <c r="K32" s="1">
        <v>3</v>
      </c>
      <c r="L32" s="1">
        <v>12</v>
      </c>
      <c r="M32" s="1">
        <v>17</v>
      </c>
      <c r="N32" s="1">
        <v>26</v>
      </c>
      <c r="O32" s="1">
        <v>4</v>
      </c>
      <c r="P32" s="1">
        <v>11</v>
      </c>
      <c r="Q32" s="1">
        <v>18</v>
      </c>
      <c r="R32" s="1">
        <v>25</v>
      </c>
      <c r="S32" s="1">
        <v>5</v>
      </c>
      <c r="T32" s="1">
        <v>10</v>
      </c>
      <c r="U32" s="1">
        <v>19</v>
      </c>
      <c r="V32" s="1">
        <v>24</v>
      </c>
      <c r="W32" s="1">
        <v>6</v>
      </c>
      <c r="X32" s="1">
        <v>9</v>
      </c>
      <c r="Y32" s="1">
        <v>20</v>
      </c>
      <c r="Z32" s="1">
        <v>23</v>
      </c>
      <c r="AA32" s="1">
        <v>7</v>
      </c>
      <c r="AB32" s="1">
        <v>8</v>
      </c>
      <c r="AC32" s="1">
        <v>21</v>
      </c>
      <c r="AD32" s="1">
        <v>22</v>
      </c>
      <c r="AE32" s="18"/>
      <c r="AF32" s="18"/>
      <c r="AG32" s="18"/>
      <c r="AH32" s="18"/>
      <c r="AI32" s="18"/>
      <c r="AJ32" s="18"/>
      <c r="AK32" s="18"/>
      <c r="AL32" s="18"/>
    </row>
    <row r="33" spans="1:38" x14ac:dyDescent="0.25">
      <c r="A33">
        <v>4</v>
      </c>
      <c r="B33" s="21">
        <v>8</v>
      </c>
      <c r="C33" s="1">
        <v>1</v>
      </c>
      <c r="D33" s="1">
        <v>16</v>
      </c>
      <c r="E33" s="1">
        <v>17</v>
      </c>
      <c r="F33" s="1">
        <v>32</v>
      </c>
      <c r="G33" s="1">
        <v>2</v>
      </c>
      <c r="H33" s="1">
        <v>15</v>
      </c>
      <c r="I33" s="1">
        <v>18</v>
      </c>
      <c r="J33" s="1">
        <v>31</v>
      </c>
      <c r="K33" s="1">
        <v>3</v>
      </c>
      <c r="L33" s="1">
        <v>14</v>
      </c>
      <c r="M33" s="1">
        <v>19</v>
      </c>
      <c r="N33" s="1">
        <v>30</v>
      </c>
      <c r="O33" s="1">
        <v>4</v>
      </c>
      <c r="P33" s="1">
        <v>13</v>
      </c>
      <c r="Q33" s="1">
        <v>20</v>
      </c>
      <c r="R33" s="1">
        <v>29</v>
      </c>
      <c r="S33" s="1">
        <v>5</v>
      </c>
      <c r="T33" s="1">
        <v>12</v>
      </c>
      <c r="U33" s="1">
        <v>21</v>
      </c>
      <c r="V33" s="1">
        <v>28</v>
      </c>
      <c r="W33" s="1">
        <v>6</v>
      </c>
      <c r="X33" s="1">
        <v>11</v>
      </c>
      <c r="Y33" s="1">
        <v>22</v>
      </c>
      <c r="Z33" s="1">
        <v>27</v>
      </c>
      <c r="AA33" s="1">
        <v>7</v>
      </c>
      <c r="AB33" s="1">
        <v>10</v>
      </c>
      <c r="AC33" s="1">
        <v>23</v>
      </c>
      <c r="AD33" s="1">
        <v>26</v>
      </c>
      <c r="AE33" s="1">
        <v>8</v>
      </c>
      <c r="AF33" s="1">
        <v>9</v>
      </c>
      <c r="AG33" s="1">
        <v>24</v>
      </c>
      <c r="AH33" s="1">
        <v>25</v>
      </c>
      <c r="AI33" s="18"/>
      <c r="AJ33" s="18"/>
      <c r="AK33" s="18"/>
      <c r="AL33" s="18"/>
    </row>
    <row r="34" spans="1:38" x14ac:dyDescent="0.25">
      <c r="A34">
        <v>4</v>
      </c>
      <c r="B34" s="21">
        <v>9</v>
      </c>
      <c r="C34" s="1">
        <v>1</v>
      </c>
      <c r="D34" s="1">
        <v>18</v>
      </c>
      <c r="E34" s="1">
        <v>19</v>
      </c>
      <c r="F34" s="1">
        <v>36</v>
      </c>
      <c r="G34" s="1">
        <v>2</v>
      </c>
      <c r="H34" s="1">
        <v>17</v>
      </c>
      <c r="I34" s="1">
        <v>20</v>
      </c>
      <c r="J34" s="1">
        <v>35</v>
      </c>
      <c r="K34" s="1">
        <v>3</v>
      </c>
      <c r="L34" s="1">
        <v>16</v>
      </c>
      <c r="M34" s="1">
        <v>21</v>
      </c>
      <c r="N34" s="1">
        <v>34</v>
      </c>
      <c r="O34" s="1">
        <v>4</v>
      </c>
      <c r="P34" s="1">
        <v>15</v>
      </c>
      <c r="Q34" s="1">
        <v>22</v>
      </c>
      <c r="R34" s="1">
        <v>33</v>
      </c>
      <c r="S34" s="1">
        <v>5</v>
      </c>
      <c r="T34" s="1">
        <v>14</v>
      </c>
      <c r="U34" s="1">
        <v>23</v>
      </c>
      <c r="V34" s="1">
        <v>32</v>
      </c>
      <c r="W34" s="1">
        <v>6</v>
      </c>
      <c r="X34" s="1">
        <v>13</v>
      </c>
      <c r="Y34" s="1">
        <v>24</v>
      </c>
      <c r="Z34" s="1">
        <v>31</v>
      </c>
      <c r="AA34" s="1">
        <v>7</v>
      </c>
      <c r="AB34" s="1">
        <v>12</v>
      </c>
      <c r="AC34" s="1">
        <v>25</v>
      </c>
      <c r="AD34" s="1">
        <v>30</v>
      </c>
      <c r="AE34" s="1">
        <v>8</v>
      </c>
      <c r="AF34" s="1">
        <v>11</v>
      </c>
      <c r="AG34" s="1">
        <v>26</v>
      </c>
      <c r="AH34" s="1">
        <v>29</v>
      </c>
      <c r="AI34" s="1">
        <v>9</v>
      </c>
      <c r="AJ34" s="1">
        <v>10</v>
      </c>
      <c r="AK34" s="1">
        <v>27</v>
      </c>
      <c r="AL34" s="1">
        <v>28</v>
      </c>
    </row>
    <row r="35" spans="1:38" x14ac:dyDescent="0.25">
      <c r="B35" t="s">
        <v>8101</v>
      </c>
    </row>
    <row r="36" spans="1:38" x14ac:dyDescent="0.25">
      <c r="A36">
        <v>5</v>
      </c>
      <c r="B36" s="21">
        <v>1</v>
      </c>
      <c r="C36" s="1">
        <v>1</v>
      </c>
      <c r="D36" s="1">
        <v>2</v>
      </c>
      <c r="E36" s="1">
        <v>3</v>
      </c>
      <c r="F36" s="1">
        <v>4</v>
      </c>
      <c r="G36" s="1">
        <v>5</v>
      </c>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row>
    <row r="37" spans="1:38" x14ac:dyDescent="0.25">
      <c r="A37">
        <v>5</v>
      </c>
      <c r="B37" s="21">
        <v>2</v>
      </c>
      <c r="C37" s="1">
        <v>1</v>
      </c>
      <c r="D37" s="1">
        <v>4</v>
      </c>
      <c r="E37" s="1">
        <v>5</v>
      </c>
      <c r="F37" s="1">
        <v>8</v>
      </c>
      <c r="G37" s="1">
        <v>9</v>
      </c>
      <c r="H37" s="1">
        <v>2</v>
      </c>
      <c r="I37" s="1">
        <v>3</v>
      </c>
      <c r="J37" s="1">
        <v>6</v>
      </c>
      <c r="K37" s="1">
        <v>7</v>
      </c>
      <c r="L37" s="1">
        <v>10</v>
      </c>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row>
    <row r="38" spans="1:38" x14ac:dyDescent="0.25">
      <c r="A38">
        <v>5</v>
      </c>
      <c r="B38" s="21">
        <v>3</v>
      </c>
      <c r="C38" s="1">
        <v>1</v>
      </c>
      <c r="D38" s="1">
        <v>6</v>
      </c>
      <c r="E38" s="1">
        <v>7</v>
      </c>
      <c r="F38" s="1">
        <v>12</v>
      </c>
      <c r="G38" s="1">
        <v>13</v>
      </c>
      <c r="H38" s="1">
        <v>2</v>
      </c>
      <c r="I38" s="1">
        <v>5</v>
      </c>
      <c r="J38" s="1">
        <v>8</v>
      </c>
      <c r="K38" s="1">
        <v>11</v>
      </c>
      <c r="L38" s="1">
        <v>14</v>
      </c>
      <c r="M38" s="1">
        <v>3</v>
      </c>
      <c r="N38" s="1">
        <v>4</v>
      </c>
      <c r="O38" s="1">
        <v>9</v>
      </c>
      <c r="P38" s="1">
        <v>10</v>
      </c>
      <c r="Q38" s="1">
        <v>15</v>
      </c>
      <c r="R38" s="18"/>
      <c r="S38" s="18"/>
      <c r="T38" s="18"/>
      <c r="U38" s="18"/>
      <c r="V38" s="18"/>
      <c r="W38" s="18"/>
      <c r="X38" s="18"/>
      <c r="Y38" s="18"/>
      <c r="Z38" s="18"/>
      <c r="AA38" s="18"/>
      <c r="AB38" s="18"/>
      <c r="AC38" s="18"/>
      <c r="AD38" s="18"/>
      <c r="AE38" s="18"/>
      <c r="AF38" s="18"/>
      <c r="AG38" s="18"/>
      <c r="AH38" s="18"/>
      <c r="AI38" s="18"/>
      <c r="AJ38" s="18"/>
      <c r="AK38" s="18"/>
    </row>
    <row r="39" spans="1:38" x14ac:dyDescent="0.25">
      <c r="A39">
        <v>5</v>
      </c>
      <c r="B39" s="21">
        <v>4</v>
      </c>
      <c r="C39" s="1">
        <v>1</v>
      </c>
      <c r="D39" s="1">
        <v>8</v>
      </c>
      <c r="E39" s="1">
        <v>9</v>
      </c>
      <c r="F39" s="1">
        <v>16</v>
      </c>
      <c r="G39" s="1">
        <v>17</v>
      </c>
      <c r="H39" s="1">
        <v>2</v>
      </c>
      <c r="I39" s="1">
        <v>7</v>
      </c>
      <c r="J39" s="1">
        <v>10</v>
      </c>
      <c r="K39" s="1">
        <v>15</v>
      </c>
      <c r="L39" s="1">
        <v>18</v>
      </c>
      <c r="M39" s="1">
        <v>3</v>
      </c>
      <c r="N39" s="1">
        <v>6</v>
      </c>
      <c r="O39" s="1">
        <v>11</v>
      </c>
      <c r="P39" s="1">
        <v>14</v>
      </c>
      <c r="Q39" s="1">
        <v>19</v>
      </c>
      <c r="R39" s="1">
        <v>4</v>
      </c>
      <c r="S39" s="1">
        <v>5</v>
      </c>
      <c r="T39" s="1">
        <v>12</v>
      </c>
      <c r="U39" s="1">
        <v>13</v>
      </c>
      <c r="V39" s="1">
        <v>20</v>
      </c>
      <c r="W39" s="18"/>
      <c r="X39" s="18"/>
      <c r="Y39" s="18"/>
      <c r="Z39" s="18"/>
      <c r="AA39" s="18"/>
      <c r="AB39" s="18"/>
      <c r="AC39" s="18"/>
      <c r="AD39" s="18"/>
      <c r="AE39" s="18"/>
      <c r="AF39" s="18"/>
      <c r="AG39" s="18"/>
      <c r="AH39" s="18"/>
      <c r="AI39" s="18"/>
      <c r="AJ39" s="18"/>
      <c r="AK39" s="18"/>
    </row>
    <row r="40" spans="1:38" x14ac:dyDescent="0.25">
      <c r="A40">
        <v>5</v>
      </c>
      <c r="B40" s="21">
        <v>5</v>
      </c>
      <c r="C40" s="1">
        <v>1</v>
      </c>
      <c r="D40" s="1">
        <v>10</v>
      </c>
      <c r="E40" s="1">
        <v>11</v>
      </c>
      <c r="F40" s="1">
        <v>20</v>
      </c>
      <c r="G40" s="1">
        <v>21</v>
      </c>
      <c r="H40" s="1">
        <v>2</v>
      </c>
      <c r="I40" s="1">
        <v>9</v>
      </c>
      <c r="J40" s="1">
        <v>12</v>
      </c>
      <c r="K40" s="1">
        <v>19</v>
      </c>
      <c r="L40" s="1">
        <v>22</v>
      </c>
      <c r="M40" s="1">
        <v>3</v>
      </c>
      <c r="N40" s="1">
        <v>8</v>
      </c>
      <c r="O40" s="1">
        <v>13</v>
      </c>
      <c r="P40" s="1">
        <v>18</v>
      </c>
      <c r="Q40" s="1">
        <v>23</v>
      </c>
      <c r="R40" s="1">
        <v>4</v>
      </c>
      <c r="S40" s="1">
        <v>7</v>
      </c>
      <c r="T40" s="1">
        <v>14</v>
      </c>
      <c r="U40" s="1">
        <v>17</v>
      </c>
      <c r="V40" s="1">
        <v>24</v>
      </c>
      <c r="W40" s="1">
        <v>5</v>
      </c>
      <c r="X40" s="1">
        <v>6</v>
      </c>
      <c r="Y40" s="1">
        <v>15</v>
      </c>
      <c r="Z40" s="1">
        <v>16</v>
      </c>
      <c r="AA40" s="1">
        <v>25</v>
      </c>
      <c r="AB40" s="18"/>
      <c r="AC40" s="18"/>
      <c r="AD40" s="18"/>
      <c r="AE40" s="18"/>
      <c r="AF40" s="18"/>
      <c r="AG40" s="18"/>
      <c r="AH40" s="18"/>
      <c r="AI40" s="18"/>
      <c r="AJ40" s="18"/>
      <c r="AK40" s="18"/>
    </row>
    <row r="41" spans="1:38" x14ac:dyDescent="0.25">
      <c r="A41">
        <v>5</v>
      </c>
      <c r="B41" s="21">
        <v>6</v>
      </c>
      <c r="C41" s="1">
        <v>1</v>
      </c>
      <c r="D41" s="1">
        <v>12</v>
      </c>
      <c r="E41" s="1">
        <v>13</v>
      </c>
      <c r="F41" s="1">
        <v>24</v>
      </c>
      <c r="G41" s="1">
        <v>25</v>
      </c>
      <c r="H41" s="1">
        <v>2</v>
      </c>
      <c r="I41" s="1">
        <v>11</v>
      </c>
      <c r="J41" s="1">
        <v>14</v>
      </c>
      <c r="K41" s="1">
        <v>23</v>
      </c>
      <c r="L41" s="1">
        <v>26</v>
      </c>
      <c r="M41" s="1">
        <v>3</v>
      </c>
      <c r="N41" s="1">
        <v>10</v>
      </c>
      <c r="O41" s="1">
        <v>15</v>
      </c>
      <c r="P41" s="1">
        <v>22</v>
      </c>
      <c r="Q41" s="1">
        <v>27</v>
      </c>
      <c r="R41" s="1">
        <v>4</v>
      </c>
      <c r="S41" s="1">
        <v>9</v>
      </c>
      <c r="T41" s="1">
        <v>16</v>
      </c>
      <c r="U41" s="1">
        <v>21</v>
      </c>
      <c r="V41" s="1">
        <v>28</v>
      </c>
      <c r="W41" s="1">
        <v>5</v>
      </c>
      <c r="X41" s="1">
        <v>8</v>
      </c>
      <c r="Y41" s="1">
        <v>17</v>
      </c>
      <c r="Z41" s="1">
        <v>20</v>
      </c>
      <c r="AA41" s="1">
        <v>29</v>
      </c>
      <c r="AB41" s="1">
        <v>6</v>
      </c>
      <c r="AC41" s="1">
        <v>7</v>
      </c>
      <c r="AD41" s="1">
        <v>18</v>
      </c>
      <c r="AE41" s="1">
        <v>19</v>
      </c>
      <c r="AF41" s="1">
        <v>30</v>
      </c>
      <c r="AG41" s="18"/>
      <c r="AH41" s="18"/>
      <c r="AI41" s="18"/>
      <c r="AJ41" s="18"/>
      <c r="AK41" s="18"/>
    </row>
    <row r="42" spans="1:38" x14ac:dyDescent="0.25">
      <c r="A42">
        <v>5</v>
      </c>
      <c r="B42" s="21">
        <v>7</v>
      </c>
      <c r="C42" s="1">
        <v>1</v>
      </c>
      <c r="D42" s="1">
        <v>14</v>
      </c>
      <c r="E42" s="1">
        <v>15</v>
      </c>
      <c r="F42" s="1">
        <v>28</v>
      </c>
      <c r="G42" s="1">
        <v>29</v>
      </c>
      <c r="H42" s="1">
        <v>2</v>
      </c>
      <c r="I42" s="1">
        <v>13</v>
      </c>
      <c r="J42" s="1">
        <v>16</v>
      </c>
      <c r="K42" s="1">
        <v>27</v>
      </c>
      <c r="L42" s="1">
        <v>30</v>
      </c>
      <c r="M42" s="1">
        <v>3</v>
      </c>
      <c r="N42" s="1">
        <v>12</v>
      </c>
      <c r="O42" s="1">
        <v>17</v>
      </c>
      <c r="P42" s="1">
        <v>26</v>
      </c>
      <c r="Q42" s="1">
        <v>31</v>
      </c>
      <c r="R42" s="1">
        <v>4</v>
      </c>
      <c r="S42" s="1">
        <v>11</v>
      </c>
      <c r="T42" s="1">
        <v>18</v>
      </c>
      <c r="U42" s="1">
        <v>25</v>
      </c>
      <c r="V42" s="1">
        <v>32</v>
      </c>
      <c r="W42" s="1">
        <v>5</v>
      </c>
      <c r="X42" s="1">
        <v>10</v>
      </c>
      <c r="Y42" s="1">
        <v>19</v>
      </c>
      <c r="Z42" s="1">
        <v>24</v>
      </c>
      <c r="AA42" s="1">
        <v>33</v>
      </c>
      <c r="AB42" s="1">
        <v>6</v>
      </c>
      <c r="AC42" s="1">
        <v>9</v>
      </c>
      <c r="AD42" s="1">
        <v>20</v>
      </c>
      <c r="AE42" s="1">
        <v>23</v>
      </c>
      <c r="AF42" s="1">
        <v>34</v>
      </c>
      <c r="AG42" s="1">
        <v>7</v>
      </c>
      <c r="AH42" s="1">
        <v>8</v>
      </c>
      <c r="AI42" s="1">
        <v>21</v>
      </c>
      <c r="AJ42" s="1">
        <v>22</v>
      </c>
      <c r="AK42" s="1">
        <v>35</v>
      </c>
    </row>
    <row r="43" spans="1:38" x14ac:dyDescent="0.25">
      <c r="B43" t="s">
        <v>8102</v>
      </c>
    </row>
    <row r="44" spans="1:38" x14ac:dyDescent="0.25">
      <c r="A44">
        <v>6</v>
      </c>
      <c r="B44" s="21">
        <v>1</v>
      </c>
      <c r="C44" s="1">
        <v>1</v>
      </c>
      <c r="D44" s="1">
        <v>2</v>
      </c>
      <c r="E44" s="1">
        <v>3</v>
      </c>
      <c r="F44" s="1">
        <v>4</v>
      </c>
      <c r="G44" s="1">
        <v>5</v>
      </c>
      <c r="H44" s="1">
        <v>6</v>
      </c>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row>
    <row r="45" spans="1:38" x14ac:dyDescent="0.25">
      <c r="A45">
        <v>6</v>
      </c>
      <c r="B45" s="21">
        <v>2</v>
      </c>
      <c r="C45" s="1">
        <v>1</v>
      </c>
      <c r="D45" s="1">
        <v>4</v>
      </c>
      <c r="E45" s="1">
        <v>5</v>
      </c>
      <c r="F45" s="1">
        <v>8</v>
      </c>
      <c r="G45" s="1">
        <v>9</v>
      </c>
      <c r="H45" s="1">
        <v>12</v>
      </c>
      <c r="I45" s="1">
        <v>2</v>
      </c>
      <c r="J45" s="1">
        <v>3</v>
      </c>
      <c r="K45" s="1">
        <v>6</v>
      </c>
      <c r="L45" s="1">
        <v>7</v>
      </c>
      <c r="M45" s="1">
        <v>10</v>
      </c>
      <c r="N45" s="1">
        <v>11</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x14ac:dyDescent="0.25">
      <c r="A46">
        <v>6</v>
      </c>
      <c r="B46" s="21">
        <v>3</v>
      </c>
      <c r="C46" s="1">
        <v>1</v>
      </c>
      <c r="D46" s="1">
        <v>6</v>
      </c>
      <c r="E46" s="1">
        <v>7</v>
      </c>
      <c r="F46" s="1">
        <v>12</v>
      </c>
      <c r="G46" s="1">
        <v>13</v>
      </c>
      <c r="H46" s="1">
        <v>18</v>
      </c>
      <c r="I46" s="1">
        <v>2</v>
      </c>
      <c r="J46" s="1">
        <v>5</v>
      </c>
      <c r="K46" s="1">
        <v>8</v>
      </c>
      <c r="L46" s="1">
        <v>11</v>
      </c>
      <c r="M46" s="1">
        <v>14</v>
      </c>
      <c r="N46" s="1">
        <v>17</v>
      </c>
      <c r="O46" s="1">
        <v>3</v>
      </c>
      <c r="P46" s="1">
        <v>4</v>
      </c>
      <c r="Q46" s="1">
        <v>9</v>
      </c>
      <c r="R46" s="1">
        <v>10</v>
      </c>
      <c r="S46" s="1">
        <v>15</v>
      </c>
      <c r="T46" s="1">
        <v>16</v>
      </c>
      <c r="U46" s="18"/>
      <c r="V46" s="18"/>
      <c r="W46" s="18"/>
      <c r="X46" s="18"/>
      <c r="Y46" s="18"/>
      <c r="Z46" s="18"/>
      <c r="AA46" s="18"/>
      <c r="AB46" s="18"/>
      <c r="AC46" s="18"/>
      <c r="AD46" s="18"/>
      <c r="AE46" s="18"/>
      <c r="AF46" s="18"/>
      <c r="AG46" s="18"/>
      <c r="AH46" s="18"/>
      <c r="AI46" s="18"/>
      <c r="AJ46" s="18"/>
      <c r="AK46" s="18"/>
      <c r="AL46" s="18"/>
    </row>
    <row r="47" spans="1:38" x14ac:dyDescent="0.25">
      <c r="A47">
        <v>6</v>
      </c>
      <c r="B47" s="21">
        <v>4</v>
      </c>
      <c r="C47" s="1">
        <v>1</v>
      </c>
      <c r="D47" s="1">
        <v>8</v>
      </c>
      <c r="E47" s="1">
        <v>9</v>
      </c>
      <c r="F47" s="1">
        <v>16</v>
      </c>
      <c r="G47" s="1">
        <v>17</v>
      </c>
      <c r="H47" s="1">
        <v>24</v>
      </c>
      <c r="I47" s="1">
        <v>2</v>
      </c>
      <c r="J47" s="1">
        <v>7</v>
      </c>
      <c r="K47" s="1">
        <v>10</v>
      </c>
      <c r="L47" s="1">
        <v>15</v>
      </c>
      <c r="M47" s="1">
        <v>18</v>
      </c>
      <c r="N47" s="1">
        <v>23</v>
      </c>
      <c r="O47" s="1">
        <v>3</v>
      </c>
      <c r="P47" s="1">
        <v>6</v>
      </c>
      <c r="Q47" s="1">
        <v>11</v>
      </c>
      <c r="R47" s="1">
        <v>14</v>
      </c>
      <c r="S47" s="1">
        <v>19</v>
      </c>
      <c r="T47" s="1">
        <v>22</v>
      </c>
      <c r="U47" s="1">
        <v>4</v>
      </c>
      <c r="V47" s="1">
        <v>5</v>
      </c>
      <c r="W47" s="1">
        <v>12</v>
      </c>
      <c r="X47" s="1">
        <v>13</v>
      </c>
      <c r="Y47" s="1">
        <v>20</v>
      </c>
      <c r="Z47" s="1">
        <v>21</v>
      </c>
      <c r="AA47" s="18"/>
      <c r="AB47" s="18"/>
      <c r="AC47" s="18"/>
      <c r="AD47" s="18"/>
      <c r="AE47" s="18"/>
      <c r="AF47" s="18"/>
      <c r="AG47" s="18"/>
      <c r="AH47" s="18"/>
      <c r="AI47" s="18"/>
      <c r="AJ47" s="18"/>
      <c r="AK47" s="18"/>
      <c r="AL47" s="18"/>
    </row>
    <row r="48" spans="1:38" x14ac:dyDescent="0.25">
      <c r="A48">
        <v>6</v>
      </c>
      <c r="B48" s="21">
        <v>5</v>
      </c>
      <c r="C48" s="1">
        <v>1</v>
      </c>
      <c r="D48" s="1">
        <v>10</v>
      </c>
      <c r="E48" s="1">
        <v>11</v>
      </c>
      <c r="F48" s="1">
        <v>20</v>
      </c>
      <c r="G48" s="1">
        <v>21</v>
      </c>
      <c r="H48" s="1">
        <v>30</v>
      </c>
      <c r="I48" s="1">
        <v>2</v>
      </c>
      <c r="J48" s="1">
        <v>9</v>
      </c>
      <c r="K48" s="1">
        <v>12</v>
      </c>
      <c r="L48" s="1">
        <v>19</v>
      </c>
      <c r="M48" s="1">
        <v>22</v>
      </c>
      <c r="N48" s="1">
        <v>29</v>
      </c>
      <c r="O48" s="1">
        <v>3</v>
      </c>
      <c r="P48" s="1">
        <v>8</v>
      </c>
      <c r="Q48" s="1">
        <v>13</v>
      </c>
      <c r="R48" s="1">
        <v>18</v>
      </c>
      <c r="S48" s="1">
        <v>23</v>
      </c>
      <c r="T48" s="1">
        <v>28</v>
      </c>
      <c r="U48" s="1">
        <v>4</v>
      </c>
      <c r="V48" s="1">
        <v>7</v>
      </c>
      <c r="W48" s="1">
        <v>14</v>
      </c>
      <c r="X48" s="1">
        <v>17</v>
      </c>
      <c r="Y48" s="1">
        <v>24</v>
      </c>
      <c r="Z48" s="1">
        <v>27</v>
      </c>
      <c r="AA48" s="1">
        <v>5</v>
      </c>
      <c r="AB48" s="1">
        <v>6</v>
      </c>
      <c r="AC48" s="1">
        <v>15</v>
      </c>
      <c r="AD48" s="1">
        <v>16</v>
      </c>
      <c r="AE48" s="1">
        <v>25</v>
      </c>
      <c r="AF48" s="1">
        <v>26</v>
      </c>
      <c r="AG48" s="18"/>
      <c r="AH48" s="18"/>
      <c r="AI48" s="18"/>
      <c r="AJ48" s="18"/>
      <c r="AK48" s="18"/>
      <c r="AL48" s="18"/>
    </row>
    <row r="49" spans="1:38" x14ac:dyDescent="0.25">
      <c r="A49">
        <v>6</v>
      </c>
      <c r="B49" s="21">
        <v>6</v>
      </c>
      <c r="C49" s="1">
        <v>1</v>
      </c>
      <c r="D49" s="1">
        <v>12</v>
      </c>
      <c r="E49" s="1">
        <v>13</v>
      </c>
      <c r="F49" s="1">
        <v>24</v>
      </c>
      <c r="G49" s="1">
        <v>25</v>
      </c>
      <c r="H49" s="1">
        <v>36</v>
      </c>
      <c r="I49" s="1">
        <v>2</v>
      </c>
      <c r="J49" s="1">
        <v>11</v>
      </c>
      <c r="K49" s="1">
        <v>14</v>
      </c>
      <c r="L49" s="1">
        <v>23</v>
      </c>
      <c r="M49" s="1">
        <v>26</v>
      </c>
      <c r="N49" s="1">
        <v>35</v>
      </c>
      <c r="O49" s="1">
        <v>3</v>
      </c>
      <c r="P49" s="1">
        <v>10</v>
      </c>
      <c r="Q49" s="1">
        <v>15</v>
      </c>
      <c r="R49" s="1">
        <v>22</v>
      </c>
      <c r="S49" s="1">
        <v>27</v>
      </c>
      <c r="T49" s="1">
        <v>34</v>
      </c>
      <c r="U49" s="1">
        <v>4</v>
      </c>
      <c r="V49" s="1">
        <v>9</v>
      </c>
      <c r="W49" s="1">
        <v>16</v>
      </c>
      <c r="X49" s="1">
        <v>21</v>
      </c>
      <c r="Y49" s="1">
        <v>28</v>
      </c>
      <c r="Z49" s="1">
        <v>33</v>
      </c>
      <c r="AA49" s="1">
        <v>5</v>
      </c>
      <c r="AB49" s="1">
        <v>8</v>
      </c>
      <c r="AC49" s="1">
        <v>17</v>
      </c>
      <c r="AD49" s="1">
        <v>20</v>
      </c>
      <c r="AE49" s="1">
        <v>29</v>
      </c>
      <c r="AF49" s="1">
        <v>32</v>
      </c>
      <c r="AG49" s="1">
        <v>6</v>
      </c>
      <c r="AH49" s="1">
        <v>7</v>
      </c>
      <c r="AI49" s="1">
        <v>18</v>
      </c>
      <c r="AJ49" s="1">
        <v>19</v>
      </c>
      <c r="AK49" s="1">
        <v>30</v>
      </c>
      <c r="AL49" s="1">
        <v>31</v>
      </c>
    </row>
    <row r="51" spans="1:38" x14ac:dyDescent="0.25">
      <c r="B51" t="s">
        <v>8103</v>
      </c>
      <c r="C51">
        <v>6</v>
      </c>
      <c r="D51">
        <v>23</v>
      </c>
    </row>
    <row r="52" spans="1:38" x14ac:dyDescent="0.25">
      <c r="B52" t="s">
        <v>8104</v>
      </c>
      <c r="C52">
        <f>ROUNDUP(D51/C51,0)</f>
        <v>4</v>
      </c>
    </row>
    <row r="57" spans="1:38" x14ac:dyDescent="0.25">
      <c r="B57">
        <v>1</v>
      </c>
      <c r="C57">
        <f>B53+1</f>
        <v>1</v>
      </c>
      <c r="D57" cm="1">
        <f t="array" ref="D57">_xlfn.XLOOKUP($C$51&amp;$C$52,'Répartition des poules'!$A$13:$A$48&amp;'Répartition des poules'!$B$13:$B$48,'Répartition des poules'!$C$13:$C$48,"",0,1)</f>
        <v>1</v>
      </c>
    </row>
    <row r="58" spans="1:38" x14ac:dyDescent="0.25">
      <c r="B58">
        <f ca="1">IF(B57="","",IF(OFFSET(B57,-$C$51+1,0)=$C$52,"",IF(C58&lt;C57,B57+1,B57)))</f>
        <v>1</v>
      </c>
      <c r="C58">
        <f>IF(C57=$C$51,1,C57+1)</f>
        <v>2</v>
      </c>
      <c r="D58" cm="1">
        <f t="array" ref="D58">_xlfn.XLOOKUP($C$51&amp;$C$52,'Répartition des poules'!$A$13:$A$48&amp;'Répartition des poules'!$B$13:$B$48,'Répartition des poules'!$D$13:$D$48,"",0,1)</f>
        <v>8</v>
      </c>
    </row>
    <row r="59" spans="1:38" x14ac:dyDescent="0.25">
      <c r="B59">
        <f ca="1">IF(B58="","",IF(OFFSET(B58,-$C$51+1,0)=$C$52,"",IF(C59&lt;C58,B58+1,B58)))</f>
        <v>1</v>
      </c>
      <c r="C59">
        <f t="shared" ref="C59:C88" si="0">IF(C58=$C$51,1,C58+1)</f>
        <v>3</v>
      </c>
      <c r="D59" cm="1">
        <f t="array" ref="D59">_xlfn.XLOOKUP($C$51&amp;$C$52,'Répartition des poules'!$A$13:$A$48&amp;'Répartition des poules'!$B$13:$B$48,'Répartition des poules'!$E$13:$E$48,"",0,1)</f>
        <v>9</v>
      </c>
    </row>
    <row r="60" spans="1:38" x14ac:dyDescent="0.25">
      <c r="B60">
        <f ca="1">IF(B59="","",IF(OFFSET(B59,-$C$51+1,0)=$C$52,"",IF(C60&lt;C59,B59+1,B59)))</f>
        <v>1</v>
      </c>
      <c r="C60">
        <f t="shared" si="0"/>
        <v>4</v>
      </c>
      <c r="D60" cm="1">
        <f t="array" ref="D60">_xlfn.XLOOKUP($C$51&amp;$C$52,'Répartition des poules'!$A$13:$A$48&amp;'Répartition des poules'!$B$13:$B$48,'Répartition des poules'!$F$13:$F$48,"",0,1)</f>
        <v>16</v>
      </c>
    </row>
    <row r="61" spans="1:38" x14ac:dyDescent="0.25">
      <c r="B61">
        <f ca="1">IF(B60="","",IF(OFFSET(B60,-$C$51+1,0)=$C$52,"",IF(C61&lt;C60,B60+1,B60)))</f>
        <v>1</v>
      </c>
      <c r="C61">
        <f t="shared" si="0"/>
        <v>5</v>
      </c>
      <c r="D61" cm="1">
        <f t="array" ref="D61">_xlfn.XLOOKUP($C$51&amp;$C$52,'Répartition des poules'!$A$13:$A$48&amp;'Répartition des poules'!$B$13:$B$48,'Répartition des poules'!$G$13:$G$48,"",0,1)</f>
        <v>17</v>
      </c>
    </row>
    <row r="62" spans="1:38" x14ac:dyDescent="0.25">
      <c r="B62">
        <f t="shared" ref="B62:B88" ca="1" si="1">IF(B61="","",IF(OFFSET(B61,-$C$51+1,0)=$C$52,"",IF(C62&lt;C61,B61+1,B61)))</f>
        <v>1</v>
      </c>
      <c r="C62">
        <f t="shared" si="0"/>
        <v>6</v>
      </c>
      <c r="D62" cm="1">
        <f t="array" ref="D62">_xlfn.XLOOKUP($C$51&amp;$C$52,'Répartition des poules'!$A$13:$A$48&amp;'Répartition des poules'!$B$13:$B$48,'Répartition des poules'!$H$13:$H$48,"",0,1)</f>
        <v>24</v>
      </c>
    </row>
    <row r="63" spans="1:38" x14ac:dyDescent="0.25">
      <c r="B63">
        <f t="shared" ca="1" si="1"/>
        <v>2</v>
      </c>
      <c r="C63">
        <f t="shared" si="0"/>
        <v>1</v>
      </c>
      <c r="D63" cm="1">
        <f t="array" ref="D63">_xlfn.XLOOKUP($C$51&amp;$C$52,'Répartition des poules'!$A$13:$A$48&amp;'Répartition des poules'!$B$13:$B$48,'Répartition des poules'!$I$13:$I$48,"",0,1)</f>
        <v>2</v>
      </c>
    </row>
    <row r="64" spans="1:38" x14ac:dyDescent="0.25">
      <c r="B64">
        <f t="shared" ca="1" si="1"/>
        <v>2</v>
      </c>
      <c r="C64">
        <f t="shared" si="0"/>
        <v>2</v>
      </c>
      <c r="D64" cm="1">
        <f t="array" ref="D64">_xlfn.XLOOKUP($C$51&amp;$C$52,'Répartition des poules'!$A$13:$A$48&amp;'Répartition des poules'!$B$13:$B$48,'Répartition des poules'!$J$13:$J$48,"",0,1)</f>
        <v>7</v>
      </c>
    </row>
    <row r="65" spans="2:4" x14ac:dyDescent="0.25">
      <c r="B65">
        <f t="shared" ca="1" si="1"/>
        <v>2</v>
      </c>
      <c r="C65">
        <f t="shared" si="0"/>
        <v>3</v>
      </c>
      <c r="D65" cm="1">
        <f t="array" ref="D65">_xlfn.XLOOKUP($C$51&amp;$C$52,'Répartition des poules'!$A$13:$A$48&amp;'Répartition des poules'!$B$13:$B$48,'Répartition des poules'!$K$13:$K$48,"",0,1)</f>
        <v>10</v>
      </c>
    </row>
    <row r="66" spans="2:4" x14ac:dyDescent="0.25">
      <c r="B66">
        <f t="shared" ca="1" si="1"/>
        <v>2</v>
      </c>
      <c r="C66">
        <f t="shared" si="0"/>
        <v>4</v>
      </c>
      <c r="D66" cm="1">
        <f t="array" ref="D66">_xlfn.XLOOKUP($C$51&amp;$C$52,'Répartition des poules'!$A$13:$A$48&amp;'Répartition des poules'!$B$13:$B$48,'Répartition des poules'!$L$13:$L$48,"",0,1)</f>
        <v>15</v>
      </c>
    </row>
    <row r="67" spans="2:4" x14ac:dyDescent="0.25">
      <c r="B67">
        <f t="shared" ca="1" si="1"/>
        <v>2</v>
      </c>
      <c r="C67">
        <f t="shared" si="0"/>
        <v>5</v>
      </c>
      <c r="D67" cm="1">
        <f t="array" ref="D67">_xlfn.XLOOKUP($C$51&amp;$C$52,'Répartition des poules'!$A$13:$A$48&amp;'Répartition des poules'!$B$13:$B$48,'Répartition des poules'!$M$13:$M$48,"",0,1)</f>
        <v>18</v>
      </c>
    </row>
    <row r="68" spans="2:4" x14ac:dyDescent="0.25">
      <c r="B68">
        <f t="shared" ca="1" si="1"/>
        <v>2</v>
      </c>
      <c r="C68">
        <f t="shared" si="0"/>
        <v>6</v>
      </c>
      <c r="D68" cm="1">
        <f t="array" ref="D68">_xlfn.XLOOKUP($C$51&amp;$C$52,'Répartition des poules'!$A$13:$A$48&amp;'Répartition des poules'!$B$13:$B$48,'Répartition des poules'!$N$13:$N$48,"",0,1)</f>
        <v>23</v>
      </c>
    </row>
    <row r="69" spans="2:4" x14ac:dyDescent="0.25">
      <c r="B69">
        <f t="shared" ca="1" si="1"/>
        <v>3</v>
      </c>
      <c r="C69">
        <f t="shared" si="0"/>
        <v>1</v>
      </c>
      <c r="D69" cm="1">
        <f t="array" ref="D69">_xlfn.XLOOKUP($C$51&amp;$C$52,'Répartition des poules'!$A$13:$A$48&amp;'Répartition des poules'!$B$13:$B$48,'Répartition des poules'!$O$13:$O$48,"",0,1)</f>
        <v>3</v>
      </c>
    </row>
    <row r="70" spans="2:4" x14ac:dyDescent="0.25">
      <c r="B70">
        <f t="shared" ca="1" si="1"/>
        <v>3</v>
      </c>
      <c r="C70">
        <f t="shared" si="0"/>
        <v>2</v>
      </c>
      <c r="D70" cm="1">
        <f t="array" ref="D70">_xlfn.XLOOKUP($C$51&amp;$C$52,'Répartition des poules'!$A$13:$A$48&amp;'Répartition des poules'!$B$13:$B$48,'Répartition des poules'!$P$13:$P$48,"",0,1)</f>
        <v>6</v>
      </c>
    </row>
    <row r="71" spans="2:4" x14ac:dyDescent="0.25">
      <c r="B71">
        <f t="shared" ca="1" si="1"/>
        <v>3</v>
      </c>
      <c r="C71">
        <f t="shared" si="0"/>
        <v>3</v>
      </c>
      <c r="D71" cm="1">
        <f t="array" ref="D71">_xlfn.XLOOKUP($C$51&amp;$C$52,'Répartition des poules'!$A$13:$A$48&amp;'Répartition des poules'!$B$13:$B$48,'Répartition des poules'!$Q$13:$Q$48,"",0,1)</f>
        <v>11</v>
      </c>
    </row>
    <row r="72" spans="2:4" x14ac:dyDescent="0.25">
      <c r="B72">
        <f t="shared" ca="1" si="1"/>
        <v>3</v>
      </c>
      <c r="C72">
        <f t="shared" si="0"/>
        <v>4</v>
      </c>
      <c r="D72" cm="1">
        <f t="array" ref="D72">_xlfn.XLOOKUP($C$51&amp;$C$52,'Répartition des poules'!$A$13:$A$48&amp;'Répartition des poules'!$B$13:$B$48,'Répartition des poules'!$R$13:$R$48,"",0,1)</f>
        <v>14</v>
      </c>
    </row>
    <row r="73" spans="2:4" x14ac:dyDescent="0.25">
      <c r="B73">
        <f t="shared" ca="1" si="1"/>
        <v>3</v>
      </c>
      <c r="C73">
        <f t="shared" si="0"/>
        <v>5</v>
      </c>
      <c r="D73" cm="1">
        <f t="array" ref="D73">_xlfn.XLOOKUP($C$51&amp;$C$52,'Répartition des poules'!$A$13:$A$48&amp;'Répartition des poules'!$B$13:$B$48,'Répartition des poules'!$S$13:$S$48,"",0,1)</f>
        <v>19</v>
      </c>
    </row>
    <row r="74" spans="2:4" x14ac:dyDescent="0.25">
      <c r="B74">
        <f t="shared" ca="1" si="1"/>
        <v>3</v>
      </c>
      <c r="C74">
        <f t="shared" si="0"/>
        <v>6</v>
      </c>
      <c r="D74" cm="1">
        <f t="array" ref="D74">_xlfn.XLOOKUP($C$51&amp;$C$52,'Répartition des poules'!$A$13:$A$48&amp;'Répartition des poules'!$B$13:$B$48,'Répartition des poules'!$T$13:$T$48,"",0,1)</f>
        <v>22</v>
      </c>
    </row>
    <row r="75" spans="2:4" x14ac:dyDescent="0.25">
      <c r="B75">
        <f t="shared" ca="1" si="1"/>
        <v>4</v>
      </c>
      <c r="C75">
        <f t="shared" si="0"/>
        <v>1</v>
      </c>
      <c r="D75" cm="1">
        <f t="array" ref="D75">_xlfn.XLOOKUP($C$51&amp;$C$52,'Répartition des poules'!$A$13:$A$48&amp;'Répartition des poules'!$B$13:$B$48,'Répartition des poules'!$U$13:$U$48,"",0,1)</f>
        <v>4</v>
      </c>
    </row>
    <row r="76" spans="2:4" x14ac:dyDescent="0.25">
      <c r="B76">
        <f t="shared" ca="1" si="1"/>
        <v>4</v>
      </c>
      <c r="C76">
        <f t="shared" si="0"/>
        <v>2</v>
      </c>
      <c r="D76" cm="1">
        <f t="array" ref="D76">_xlfn.XLOOKUP($C$51&amp;$C$52,'Répartition des poules'!$A$13:$A$48&amp;'Répartition des poules'!$B$13:$B$48,'Répartition des poules'!$V$13:$V$48,"",0,1)</f>
        <v>5</v>
      </c>
    </row>
    <row r="77" spans="2:4" x14ac:dyDescent="0.25">
      <c r="B77">
        <f t="shared" ca="1" si="1"/>
        <v>4</v>
      </c>
      <c r="C77">
        <f t="shared" si="0"/>
        <v>3</v>
      </c>
      <c r="D77" cm="1">
        <f t="array" ref="D77">_xlfn.XLOOKUP($C$51&amp;$C$52,'Répartition des poules'!$A$13:$A$48&amp;'Répartition des poules'!$B$13:$B$48,'Répartition des poules'!$W$13:$W$48,"",0,1)</f>
        <v>12</v>
      </c>
    </row>
    <row r="78" spans="2:4" x14ac:dyDescent="0.25">
      <c r="B78">
        <f t="shared" ca="1" si="1"/>
        <v>4</v>
      </c>
      <c r="C78">
        <f t="shared" si="0"/>
        <v>4</v>
      </c>
      <c r="D78" cm="1">
        <f t="array" ref="D78">_xlfn.XLOOKUP($C$51&amp;$C$52,'Répartition des poules'!$A$13:$A$48&amp;'Répartition des poules'!$B$13:$B$48,'Répartition des poules'!$X$13:$X$48,"",0,1)</f>
        <v>13</v>
      </c>
    </row>
    <row r="79" spans="2:4" x14ac:dyDescent="0.25">
      <c r="B79">
        <f t="shared" ca="1" si="1"/>
        <v>4</v>
      </c>
      <c r="C79">
        <f t="shared" si="0"/>
        <v>5</v>
      </c>
      <c r="D79" cm="1">
        <f t="array" ref="D79">_xlfn.XLOOKUP($C$51&amp;$C$52,'Répartition des poules'!$A$13:$A$48&amp;'Répartition des poules'!$B$13:$B$48,'Répartition des poules'!$Y$13:$Y$48,"",0,1)</f>
        <v>20</v>
      </c>
    </row>
    <row r="80" spans="2:4" x14ac:dyDescent="0.25">
      <c r="B80">
        <f t="shared" ca="1" si="1"/>
        <v>4</v>
      </c>
      <c r="C80">
        <f t="shared" si="0"/>
        <v>6</v>
      </c>
      <c r="D80" cm="1">
        <f t="array" ref="D80">_xlfn.XLOOKUP($C$51&amp;$C$52,'Répartition des poules'!$A$13:$A$48&amp;'Répartition des poules'!$B$13:$B$48,'Répartition des poules'!$Z$13:$Z$48,"",0,1)</f>
        <v>21</v>
      </c>
    </row>
    <row r="81" spans="2:4" x14ac:dyDescent="0.25">
      <c r="B81" t="str">
        <f t="shared" ca="1" si="1"/>
        <v/>
      </c>
      <c r="C81">
        <f t="shared" si="0"/>
        <v>1</v>
      </c>
      <c r="D81" cm="1">
        <f t="array" ref="D81">_xlfn.XLOOKUP($C$51&amp;$C$52,'Répartition des poules'!$A$13:$A$48&amp;'Répartition des poules'!$B$13:$B$48,'Répartition des poules'!$AA$13:$AA$48,"",0,1)</f>
        <v>0</v>
      </c>
    </row>
    <row r="82" spans="2:4" x14ac:dyDescent="0.25">
      <c r="B82" t="str">
        <f t="shared" ca="1" si="1"/>
        <v/>
      </c>
      <c r="C82">
        <f t="shared" si="0"/>
        <v>2</v>
      </c>
      <c r="D82" cm="1">
        <f t="array" ref="D82">_xlfn.XLOOKUP($C$51&amp;$C$52,'Répartition des poules'!$A$13:$A$48&amp;'Répartition des poules'!$B$13:$B$48,'Répartition des poules'!$AB$13:$AB$48,"",0,1)</f>
        <v>0</v>
      </c>
    </row>
    <row r="83" spans="2:4" x14ac:dyDescent="0.25">
      <c r="B83" t="str">
        <f t="shared" ca="1" si="1"/>
        <v/>
      </c>
      <c r="C83">
        <f t="shared" si="0"/>
        <v>3</v>
      </c>
      <c r="D83" cm="1">
        <f t="array" ref="D83">_xlfn.XLOOKUP($C$51&amp;$C$52,'Répartition des poules'!$A$13:$A$48&amp;'Répartition des poules'!$B$13:$B$48,'Répartition des poules'!$AC$13:$AC$48,"",0,1)</f>
        <v>0</v>
      </c>
    </row>
    <row r="84" spans="2:4" x14ac:dyDescent="0.25">
      <c r="B84" t="str">
        <f t="shared" ca="1" si="1"/>
        <v/>
      </c>
      <c r="C84">
        <f t="shared" si="0"/>
        <v>4</v>
      </c>
      <c r="D84" cm="1">
        <f t="array" ref="D84">_xlfn.XLOOKUP($C$51&amp;$C$52,'Répartition des poules'!$A$13:$A$48&amp;'Répartition des poules'!$B$13:$B$48,'Répartition des poules'!$AD$13:$AD$48,"",0,1)</f>
        <v>0</v>
      </c>
    </row>
    <row r="85" spans="2:4" x14ac:dyDescent="0.25">
      <c r="B85" t="str">
        <f t="shared" ca="1" si="1"/>
        <v/>
      </c>
      <c r="C85">
        <f t="shared" si="0"/>
        <v>5</v>
      </c>
      <c r="D85" cm="1">
        <f t="array" ref="D85">_xlfn.XLOOKUP($C$51&amp;$C$52,'Répartition des poules'!$A$13:$A$48&amp;'Répartition des poules'!$B$13:$B$48,'Répartition des poules'!$AE$13:$AE$48,"",0,1)</f>
        <v>0</v>
      </c>
    </row>
    <row r="86" spans="2:4" x14ac:dyDescent="0.25">
      <c r="B86" t="str">
        <f t="shared" ca="1" si="1"/>
        <v/>
      </c>
      <c r="C86">
        <f t="shared" si="0"/>
        <v>6</v>
      </c>
      <c r="D86" cm="1">
        <f t="array" ref="D86">_xlfn.XLOOKUP($C$51&amp;$C$52,'Répartition des poules'!$A$13:$A$48&amp;'Répartition des poules'!$B$13:$B$48,'Répartition des poules'!$AF$13:$AF$48,"",0,1)</f>
        <v>0</v>
      </c>
    </row>
    <row r="87" spans="2:4" x14ac:dyDescent="0.25">
      <c r="B87" t="str">
        <f t="shared" ca="1" si="1"/>
        <v/>
      </c>
      <c r="C87">
        <f t="shared" si="0"/>
        <v>1</v>
      </c>
      <c r="D87" cm="1">
        <f t="array" ref="D87">_xlfn.XLOOKUP($C$51&amp;$C$52,'Répartition des poules'!$A$13:$A$48&amp;'Répartition des poules'!$B$13:$B$48,'Répartition des poules'!$AG$13:$AG$48,"",0,1)</f>
        <v>0</v>
      </c>
    </row>
    <row r="88" spans="2:4" x14ac:dyDescent="0.25">
      <c r="B88" t="str">
        <f t="shared" ca="1" si="1"/>
        <v/>
      </c>
      <c r="C88">
        <f t="shared" si="0"/>
        <v>2</v>
      </c>
      <c r="D88" cm="1">
        <f t="array" ref="D88">_xlfn.XLOOKUP($C$51&amp;$C$52,'Répartition des poules'!$A$13:$A$48&amp;'Répartition des poules'!$B$13:$B$48,'Répartition des poules'!$AH$13:$AH$48,"",0,1)</f>
        <v>0</v>
      </c>
    </row>
  </sheetData>
  <sheetProtection algorithmName="SHA-512" hashValue="WtOq21CCPuP/2RbuKgM74vMcHh7YmvIUwSGntVyY2CTFNLoNzZeY0ak5hf67EVSWf5aa1y4+3QPAyI1dy4kt9A==" saltValue="CufWSHTHroUdbcb2XexAlA==" spinCount="100000" sheet="1" objects="1" scenarios="1"/>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850B9-57D7-4C66-9887-2459859C1439}">
  <sheetPr>
    <tabColor rgb="FFD7D7D7"/>
    <pageSetUpPr fitToPage="1"/>
  </sheetPr>
  <dimension ref="A1:AZ40"/>
  <sheetViews>
    <sheetView zoomScale="53" zoomScaleNormal="70"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IF(PB!F13="FINALE","District 93-94"&amp;" - "&amp;IF(MONTH(AT5)&gt;8,YEAR(AT5)&amp;"/"&amp;YEAR(AT5)+1,YEAR(AT5)-1&amp;"/"&amp;YEAR(AT5))&amp;CHAR(10)&amp;PB!F13&amp;CHAR(10)&amp;PB!B15&amp;AT2,"District 93-94"&amp;" - "&amp;IF(MONTH(AT5)&gt;8,YEAR(AT5)&amp;"/"&amp;YEAR(AT5)+1,YEAR(AT5)-1&amp;"/"&amp;YEAR(AT5))&amp;CHAR(10)&amp;'GESTION DES JOUEURS'!C2&amp;CHAR(10)&amp;PB!K13&amp;" "&amp;PB!L13)</f>
        <v>District 93-94 - 2024/2025
Journée 3 -  Libre R2
Poule B</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IF(PB!M14="","",PB!M14)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IF(LEFT(PB!$B$15)="C","   -   "&amp;_xlfn.XLOOKUP(PB!B15,Distances!D2:D77,Distances!K2:K77,"",0,1),"")</f>
        <v/>
      </c>
      <c r="AV2" s="450" t="s">
        <v>8130</v>
      </c>
    </row>
    <row r="3" spans="1:48" ht="21.95" customHeight="1" thickBot="1" x14ac:dyDescent="0.3">
      <c r="A3" s="32"/>
      <c r="B3" s="868" t="str">
        <f>IF('GESTION DES JOUEURS'!$F$6="","","Directeur de jeu : "&amp;PB!S13)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"&amp;_xlfn.XLOOKUP(PB!B15,Distances!D2:D77,Distances!A2:A77,"",0,1)&amp;AT2</f>
        <v>Mode de jeu : Libre</v>
      </c>
      <c r="C5" s="877"/>
      <c r="D5" s="877"/>
      <c r="E5" s="877"/>
      <c r="F5" s="877"/>
      <c r="G5" s="876" t="str">
        <f>"Catégorie : "&amp;_xlfn.XLOOKUP(PB!B15,Distances!D2:D77,Distances!B2:B77,"",0,1)</f>
        <v>Catégorie : R2</v>
      </c>
      <c r="H5" s="877"/>
      <c r="I5" s="877"/>
      <c r="J5" s="877"/>
      <c r="K5" s="877"/>
      <c r="L5" s="877"/>
      <c r="M5" s="877"/>
      <c r="N5" s="878"/>
      <c r="O5" s="870" t="str">
        <f>IF(G5="Catégorie : N1/N2","Distance réduite : 150 pts"&amp;CHAR(10)&amp;"si N2 Vs N2 120pts",PB!B14&amp;" "&amp;PB!E14&amp;" "&amp;PB!F14)</f>
        <v>Distance : 100 Pts</v>
      </c>
      <c r="P5" s="871"/>
      <c r="Q5" s="871"/>
      <c r="R5" s="871"/>
      <c r="S5" s="871"/>
      <c r="T5" s="871"/>
      <c r="U5" s="872"/>
      <c r="V5" s="870" t="str">
        <f>IFERROR(IF(G5="Catégorie : N1/N2","Reprises : 15"&amp;CHAR(10)&amp;"si N2 Vs N2 Reprises : 20 ",PB!G14&amp;" "&amp;PB!J14),"")</f>
        <v>Reprises : 40</v>
      </c>
      <c r="W5" s="871"/>
      <c r="X5" s="871"/>
      <c r="Y5" s="871"/>
      <c r="Z5" s="871"/>
      <c r="AA5" s="871"/>
      <c r="AB5" s="871"/>
      <c r="AC5" s="872"/>
      <c r="AD5" s="873" t="str">
        <f>_xlfn.XLOOKUP(PB!B15,Distances!D2:D77,Distances!J2:J77,"",0,1)&amp;" "&amp;_xlfn.XLOOKUP(PB!B15,Distances!D2:D77,Distances!I2:I77,"",0,1)&amp;"0 m"</f>
        <v>PC 2,80 m</v>
      </c>
      <c r="AE5" s="874"/>
      <c r="AF5" s="874"/>
      <c r="AG5" s="874"/>
      <c r="AH5" s="874"/>
      <c r="AI5" s="875"/>
      <c r="AJ5" s="850">
        <f>IF(PB!T14=0,"DATE",PB!T14)</f>
        <v>45633</v>
      </c>
      <c r="AK5" s="851"/>
      <c r="AL5" s="851"/>
      <c r="AM5" s="851"/>
      <c r="AN5" s="851"/>
      <c r="AO5" s="851"/>
      <c r="AP5" s="851"/>
      <c r="AQ5" s="852"/>
      <c r="AS5" s="841" t="s">
        <v>8129</v>
      </c>
      <c r="AT5" s="32">
        <f ca="1">IF(PB!T14&gt;1,AJ5,TODAY())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IF(PB!$AO$4&lt;2,"","JOUEURS")</f>
        <v>JOUEURS</v>
      </c>
      <c r="D8" s="139"/>
      <c r="E8" s="853" t="str">
        <f>IF(C10="","",C10)</f>
        <v>ROCHE P.</v>
      </c>
      <c r="F8" s="853"/>
      <c r="G8" s="853"/>
      <c r="H8" s="853"/>
      <c r="I8" s="139"/>
      <c r="J8" s="853" t="str">
        <f>IF(C15="","",C15)</f>
        <v>MA PHUOC B.</v>
      </c>
      <c r="K8" s="853"/>
      <c r="L8" s="853"/>
      <c r="M8" s="853"/>
      <c r="N8" s="139"/>
      <c r="O8" s="853" t="str">
        <f>IF(C20="","",C20)</f>
        <v>FERNANDES ALVES F.</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IF(PB!$AO$4&lt;2,"","RESULTATS")</f>
        <v>RESULTATS</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IF(PB!AO4=2,_xlfn.XLOOKUP(1,PB!M6:M11,PB!C6:D11&amp;" "&amp;LEFT(PB!E6)&amp;".","",0,1),IF(COUNT(PB!A6:A11)&gt;2,CONCATENATE(PB!C6," ",LEFT(PB!E6),"."),""))</f>
        <v>ROCHE P.</v>
      </c>
      <c r="D10" s="32"/>
      <c r="E10" s="885" t="e" vm="3">
        <f>IF(PB!W35="NON",AG1,IF(PB!AO4&gt;0,_xlfn.XLOOKUP('T PB'!C13,'LOGOS CLUBS'!$B$2:$B$65,'LOGOS CLUBS'!$C$2:$C$65,C13,0,1),""))</f>
        <v>#VALUE!</v>
      </c>
      <c r="F10" s="885"/>
      <c r="G10" s="885"/>
      <c r="H10" s="885"/>
      <c r="I10" s="32"/>
      <c r="J10" s="882">
        <f>IF(AND(PB!$AO$4=2,PB!$A18="P"),PB!N18,IF(AND(COUNT(PB!$A$6:$A$11)&gt;2,PB!$CF10="P"),PB!$CC10,""))</f>
        <v>67</v>
      </c>
      <c r="K10" s="882"/>
      <c r="L10" s="882">
        <f>IF(AND(PB!$AO$4=2,PB!$A18="P"),PB!O18,IF(AND(COUNT(PB!$A$6:$A$11)&gt;2,PB!$CF10="P"),PB!$CE10,""))</f>
        <v>39</v>
      </c>
      <c r="M10" s="882"/>
      <c r="N10" s="142"/>
      <c r="O10" s="882">
        <f>IF(PB!$AO$4=2,"",IF(AND(COUNT(PB!$A$6:$A$11)&gt;2,PB!$CF9="P"),PB!$CC9,""))</f>
        <v>100</v>
      </c>
      <c r="P10" s="882"/>
      <c r="Q10" s="882">
        <f>IF(PB!$AO$4=2,"",IF(AND(COUNT(PB!$A$6:$A$11)&gt;2,PB!$CF9="P"),PB!$CE9,""))</f>
        <v>33</v>
      </c>
      <c r="R10" s="882"/>
      <c r="S10" s="142"/>
      <c r="T10" s="882" t="str">
        <f>IF(PB!$AO$4=2,"",IF(AND(COUNT(PB!$A$6:$A$11)&gt;2,PB!$CF8="P"),PB!$CC8,""))</f>
        <v/>
      </c>
      <c r="U10" s="882"/>
      <c r="V10" s="882" t="str">
        <f>IF(PB!$AO$4=2,"",IF(AND(COUNT(PB!$A$6:$A$11)&gt;2,PB!$CF8="P"),PB!$CE8,""))</f>
        <v/>
      </c>
      <c r="W10" s="882"/>
      <c r="X10" s="142"/>
      <c r="Y10" s="882" t="str">
        <f>IF(PB!$AO$4=2,"",IF(AND(COUNT(PB!$A$6:$A$11)&gt;2,PB!$CF7="P"),PB!$CC7,""))</f>
        <v/>
      </c>
      <c r="Z10" s="882"/>
      <c r="AA10" s="882" t="str">
        <f>IF(PB!$AO$4=2,"",IF(AND(COUNT(PB!$A$6:$A$11)&gt;2,PB!$CF7="P"),PB!$CE7,""))</f>
        <v/>
      </c>
      <c r="AB10" s="882"/>
      <c r="AC10" s="142"/>
      <c r="AD10" s="882" t="str">
        <f>IF(PB!$AO$4=2,"",IF(AND(COUNT(PB!$A$6:$A$11)&gt;2,PB!$CF6="P"),PB!$CC6,""))</f>
        <v/>
      </c>
      <c r="AE10" s="882"/>
      <c r="AF10" s="882" t="str">
        <f>IF(PB!$AO$4=2,"",IF(AND(COUNT(PB!$A$6:$A$11)&gt;2,PB!$CF6="P"),PB!$CE6,""))</f>
        <v/>
      </c>
      <c r="AG10" s="882"/>
      <c r="AH10" s="32"/>
      <c r="AI10" s="32"/>
      <c r="AJ10" s="32"/>
      <c r="AK10" s="882" cm="1">
        <f t="array" ref="AK10">IF(PB!$AO$4&lt;2,"",IF(_xlfn.XLOOKUP('T PB'!C12,"Licence n° "&amp;PB!$B$6:$B$11,PB!$AO$6:$AO$11,"",0,1)=1,"",_xlfn.XLOOKUP('T PB'!C12,"Licence n° "&amp;PB!$B$6:$B$11,PB!$V$6:$V$11,"",0,1)))</f>
        <v>2</v>
      </c>
      <c r="AL10" s="882"/>
      <c r="AM10" s="879" cm="1">
        <f t="array" ref="AM10">IF(PB!$AO$4&lt;2,"",IF(_xlfn.XLOOKUP('T PB'!C12,"Licence n° "&amp;PB!$B$6:$B$11,PB!$AO$6:$AO$11,"",0,1)=1,"",_xlfn.XLOOKUP('T PB'!C12,"Licence n° "&amp;PB!$B$6:$B$11,PB!$T$6:$T$11,"",0,1)))</f>
        <v>2.3194444444444446</v>
      </c>
      <c r="AN10" s="879"/>
      <c r="AO10" s="32"/>
      <c r="AP10" s="561" cm="1">
        <f t="array" ref="AP10">_xlfn.XLOOKUP(C12,"Licence n° "&amp;PB!$B$6:$B$11,PB!$W$6:$W$11,"",0,1)</f>
        <v>5</v>
      </c>
      <c r="AQ10" s="32"/>
      <c r="AS10" s="843" t="str">
        <f>IF('GESTION DES JOUEURS'!$D$8="Finale","Poule Finale","Poule A")</f>
        <v>Poule A</v>
      </c>
      <c r="AT10" s="32"/>
      <c r="AV10" s="838"/>
    </row>
    <row r="11" spans="1:48" ht="12.6" customHeight="1" thickBot="1" x14ac:dyDescent="0.3">
      <c r="A11" s="32"/>
      <c r="B11" s="32"/>
      <c r="C11" s="143" t="str" cm="1">
        <f t="array" ref="C11">IF(PB!$AO$4=2,_xlfn.XLOOKUP(1,PB!$M$6:$M$11,PB!$K$6:$K$11&amp;" "&amp;PB!$AS$6:$AS$11,"",0,1),IF(COUNT(PB!$A$6:$A$11)&gt;2,PB!$K6&amp;" - "&amp;PB!$AS6," "))</f>
        <v>NC - 0,00</v>
      </c>
      <c r="D11" s="32"/>
      <c r="E11" s="885"/>
      <c r="F11" s="885"/>
      <c r="G11" s="885"/>
      <c r="H11" s="885"/>
      <c r="I11" s="32"/>
      <c r="J11" s="144" t="str">
        <f>IF(K11="","","Pts")</f>
        <v>Pts</v>
      </c>
      <c r="K11" s="880">
        <f>IF(PB!$AO$4=2,PB!D18,IF(AND(COUNT(PB!$A$6:$A$11)&gt;2,PB!$CF10="P"),PB!$CG10,""))</f>
        <v>0</v>
      </c>
      <c r="L11" s="880"/>
      <c r="M11" s="144" t="str">
        <f>IF(K11="","","Rep.")</f>
        <v>Rep.</v>
      </c>
      <c r="N11" s="144"/>
      <c r="O11" s="144" t="str">
        <f>IF(P11="","","Pts")</f>
        <v>Pts</v>
      </c>
      <c r="P11" s="880">
        <f>IF(PB!$AO$4=2,"",IF(AND(COUNT(PB!$A$6:$A$11)&gt;2,PB!$CF9="P"),PB!$CG9,""))</f>
        <v>2</v>
      </c>
      <c r="Q11" s="880"/>
      <c r="R11" s="144" t="str">
        <f>IF(P11="","","Rep.")</f>
        <v>Rep.</v>
      </c>
      <c r="S11" s="144"/>
      <c r="T11" s="144" t="str">
        <f>IF(U11="","","Pts")</f>
        <v/>
      </c>
      <c r="U11" s="880" t="str">
        <f>IF(PB!$AO$4=2,"",IF(AND(COUNT(PB!$A$6:$A$11)&gt;2,PB!$CF8="P"),PB!$CG8,""))</f>
        <v/>
      </c>
      <c r="V11" s="880"/>
      <c r="W11" s="144" t="str">
        <f>IF(U11="","","Rep.")</f>
        <v/>
      </c>
      <c r="X11" s="144"/>
      <c r="Y11" s="144" t="str">
        <f>IF(Z11="","","Pts")</f>
        <v/>
      </c>
      <c r="Z11" s="880" t="str">
        <f>IF(PB!$AO$4=2,"",IF(AND(COUNT(PB!$A$6:$A$11)&gt;2,PB!$CF7="P"),PB!$CG7,""))</f>
        <v/>
      </c>
      <c r="AA11" s="880"/>
      <c r="AB11" s="144" t="str">
        <f>IF(Z11="","","Rep.")</f>
        <v/>
      </c>
      <c r="AC11" s="144"/>
      <c r="AD11" s="144" t="str">
        <f>IF(AE11="","","Pts")</f>
        <v/>
      </c>
      <c r="AE11" s="880" t="str">
        <f>IF(PB!$AO$4=2,"",IF(AND(COUNT(PB!$A$6:$A$11)&gt;2,PB!$CF6="P"),PB!$CG6,""))</f>
        <v/>
      </c>
      <c r="AF11" s="880"/>
      <c r="AG11" s="144" t="str">
        <f>IF(AE11="","","Rep.")</f>
        <v/>
      </c>
      <c r="AH11" s="32"/>
      <c r="AI11" s="32"/>
      <c r="AJ11" s="32"/>
      <c r="AK11" s="145" t="str">
        <f>IF(AL11="","","PM")</f>
        <v>PM</v>
      </c>
      <c r="AL11" s="881" cm="1">
        <f t="array" ref="AL11">IF(SUM(PB!$Q$6:$Q$11)=0,"",IF(PB!$AO$4&gt;1,IF(_xlfn.XLOOKUP('T PB'!C12,"Licence n° "&amp;PB!$B$6:$B$11,PB!$AO$6:$AO$11,"",0,1)=1,"Forfait",_xlfn.XLOOKUP('T PB'!C12,"Licence n° "&amp;PB!$B$37:$B$42,PB!$Q$37:$Q$42,"",0,1)),""))</f>
        <v>2</v>
      </c>
      <c r="AM11" s="881"/>
      <c r="AN11" s="145" t="str">
        <f>IF(AL11="","","MGP")</f>
        <v>MGP</v>
      </c>
      <c r="AO11" s="32"/>
      <c r="AP11" s="146" t="str">
        <f>IF(OR(PB!$AO$4&lt;2,LEFT(PB!$F$13)="F"),"","Pts Rk")</f>
        <v>Pts Rk</v>
      </c>
      <c r="AQ11" s="32"/>
      <c r="AS11" s="844"/>
      <c r="AT11" s="32"/>
      <c r="AV11" s="839"/>
    </row>
    <row r="12" spans="1:48" ht="12.6" customHeight="1" x14ac:dyDescent="0.25">
      <c r="A12" s="32"/>
      <c r="B12" s="32"/>
      <c r="C12" s="147" t="str">
        <f>IF(PB!AO4=2,"Licence n° "&amp;_xlfn.XLOOKUP(1,PB!M6:M11,PB!B6:B11,"",0,1),IF(COUNT(PB!A6:A11)&gt;2,"Licence n° "&amp;PB!B6," "))</f>
        <v>Licence n° 183133H</v>
      </c>
      <c r="D12" s="32"/>
      <c r="E12" s="885"/>
      <c r="F12" s="885"/>
      <c r="G12" s="885"/>
      <c r="H12" s="885"/>
      <c r="I12" s="32"/>
      <c r="J12" s="144" t="str">
        <f>IF(K11="","","Moy.")</f>
        <v>Moy.</v>
      </c>
      <c r="K12" s="880"/>
      <c r="L12" s="880"/>
      <c r="M12" s="144" t="str">
        <f>IF(K11="","","MS")</f>
        <v>MS</v>
      </c>
      <c r="N12" s="144"/>
      <c r="O12" s="144" t="str">
        <f>IF(P11="","","Moy.")</f>
        <v>Moy.</v>
      </c>
      <c r="P12" s="880"/>
      <c r="Q12" s="880"/>
      <c r="R12" s="144" t="str">
        <f>IF(P11="","","MS")</f>
        <v>MS</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Mpart.</v>
      </c>
      <c r="AL12" s="881"/>
      <c r="AM12" s="881"/>
      <c r="AN12" s="145" t="str">
        <f>IF(AL11="","","MS")</f>
        <v>MS</v>
      </c>
      <c r="AO12" s="32"/>
      <c r="AP12" s="148" t="str">
        <f>IF(OR(PB!$AO$4&lt;2,LEFT(PB!$F$13)="F"),"","Bonus")</f>
        <v>Bonus</v>
      </c>
      <c r="AQ12" s="32"/>
      <c r="AS12" s="845" t="s">
        <v>8113</v>
      </c>
      <c r="AT12" s="32"/>
    </row>
    <row r="13" spans="1:48" ht="50.1" customHeight="1" x14ac:dyDescent="0.25">
      <c r="A13" s="32"/>
      <c r="B13" s="32"/>
      <c r="C13" s="149" t="str">
        <f>IF(PB!AO4=2,_xlfn.XLOOKUP(1,PB!M6:M11,PB!G6:G11,"",0,1),IF(COUNT(PB!A6:A11)&gt;2,PB!G6," "))</f>
        <v>BILLARD CLUB DE LIVRY GARGAN</v>
      </c>
      <c r="D13" s="32"/>
      <c r="E13" s="885"/>
      <c r="F13" s="885"/>
      <c r="G13" s="885"/>
      <c r="H13" s="885"/>
      <c r="I13" s="32"/>
      <c r="J13" s="883" t="str">
        <f>IF(K11="","",IF(K11&gt;0,J10/L10,"/"))</f>
        <v>/</v>
      </c>
      <c r="K13" s="883"/>
      <c r="L13" s="884">
        <f>IF(AND(PB!$AO$4=2,PB!$A18="P"),PB!M18,IF(AND(COUNT(PB!$A$6:$A$11)&gt;2,PB!$CF10="P"),PB!$CD10,""))</f>
        <v>12</v>
      </c>
      <c r="M13" s="884"/>
      <c r="N13" s="32"/>
      <c r="O13" s="883">
        <f>IF(P11="","",IF(P11&gt;0,O10/Q10,"/"))</f>
        <v>3.0303030303030303</v>
      </c>
      <c r="P13" s="883"/>
      <c r="Q13" s="884">
        <f>IF(PB!$AO$4=2,"",IF(AND(COUNT(PB!$A$6:$A$11)&gt;2,PB!$CF9="P"),PB!$CD9,""))</f>
        <v>18</v>
      </c>
      <c r="R13" s="884"/>
      <c r="S13" s="32"/>
      <c r="T13" s="883" t="str">
        <f>IF(U11="","",IF(U11&gt;0,T10/V10,"/"))</f>
        <v/>
      </c>
      <c r="U13" s="883"/>
      <c r="V13" s="884" t="str">
        <f>IF(PB!$AO$4=2,"",IF(AND(COUNT(PB!$A$6:$A$11)&gt;2,PB!$CF8="P"),PB!$CD8,""))</f>
        <v/>
      </c>
      <c r="W13" s="884"/>
      <c r="X13" s="32"/>
      <c r="Y13" s="883" t="str">
        <f>IF(Z11="","",IF(Z11&gt;0,Y10/AA10,"/"))</f>
        <v/>
      </c>
      <c r="Z13" s="883"/>
      <c r="AA13" s="884" t="str">
        <f>IF(PB!$AO$4=2,"",IF(AND(COUNT(PB!$A$6:$A$11)&gt;2,PB!$CF7="P"),PB!$CD7,""))</f>
        <v/>
      </c>
      <c r="AB13" s="884"/>
      <c r="AC13" s="32"/>
      <c r="AD13" s="883" t="str">
        <f>IF(AE11="","",IF(AE11&gt;0,AD10/AF10,"/"))</f>
        <v/>
      </c>
      <c r="AE13" s="883"/>
      <c r="AF13" s="884" t="str">
        <f>IF(PB!$AO$4=2,"",IF(AND(COUNT(PB!$A$6:$A$11)&gt;2,PB!$CF6="P"),PB!$CD6,""))</f>
        <v/>
      </c>
      <c r="AG13" s="884"/>
      <c r="AH13" s="32"/>
      <c r="AI13" s="32"/>
      <c r="AJ13" s="32"/>
      <c r="AK13" s="883" cm="1">
        <f t="array" ref="AK13">IF(PB!$AO$4&lt;2,"",IF(_xlfn.XLOOKUP('T PB'!C12,"Licence n° "&amp;PB!$B$6:$B$11,PB!$AO$6:$AO$11,"",0,1)=1,"",_xlfn.XLOOKUP('T PB'!C12,"Licence n° "&amp;PB!$B$6:$B$11,PB!$U$6:$U$11,"",0,1)))</f>
        <v>3.0303030303030303</v>
      </c>
      <c r="AL13" s="883"/>
      <c r="AM13" s="884" cm="1">
        <f t="array" ref="AM13">IF(PB!$AO$4&lt;2,"",IF(_xlfn.XLOOKUP('T PB'!C12,"Licence n° "&amp;PB!$B$6:$B$11,PB!$AO$6:$AO$11,"",0,1)=1,"",_xlfn.XLOOKUP('T PB'!C12,"Licence n° "&amp;PB!$B$6:$B$11,PB!$S$6:$S$11,"",0,1)))</f>
        <v>18</v>
      </c>
      <c r="AN13" s="884"/>
      <c r="AO13" s="32"/>
      <c r="AP13" s="562" cm="1">
        <f t="array" ref="AP13">_xlfn.XLOOKUP(C12,"Licence n° "&amp;PB!$B$6:$B$11,PB!$X$6:$X$11,"",0,1)</f>
        <v>1</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IF(PB!AO4=2,_xlfn.XLOOKUP(2,PB!M6:M11,PB!C6:D11&amp;" "&amp;LEFT(PB!E6:E11)&amp;".","",0,1),IF(COUNT(PB!A6:A11)&gt;2,CONCATENATE(PB!C7," ",LEFT(PB!E7),"."),""))</f>
        <v>MA PHUOC B.</v>
      </c>
      <c r="D15" s="32"/>
      <c r="E15" s="882">
        <f>IF(AND(PB!$AO$4=2,PB!$A18="P"),PB!P18,IF(AND(COUNT(PB!$A$6:$A$11)&gt;2,PB!$CF15="P"),PB!$CC15,""))</f>
        <v>100</v>
      </c>
      <c r="F15" s="882"/>
      <c r="G15" s="882">
        <f>IF(AND(PB!$AO$4=2,PB!$A18="P"),PB!O18,IF(AND(COUNT(PB!$A$6:$A$11)&gt;2,PB!$CF15="P"),PB!$CE15,""))</f>
        <v>39</v>
      </c>
      <c r="H15" s="882"/>
      <c r="I15" s="32"/>
      <c r="J15" s="885" t="e" vm="2">
        <f>IF(PB!W35="NON",AG1,IF(PB!AO4=2,"MATCH 1",IF(PB!AO4&gt;2,_xlfn.XLOOKUP(C18,'LOGOS CLUBS'!$B$2:$B$65,'LOGOS CLUBS'!$C$2:$C$65,C18,0,1),"")))</f>
        <v>#VALUE!</v>
      </c>
      <c r="K15" s="885"/>
      <c r="L15" s="885"/>
      <c r="M15" s="885"/>
      <c r="N15" s="32"/>
      <c r="O15" s="882">
        <f>IF(PB!$AO$4=2,"",IF(AND(COUNT(PB!$A$6:$A$11)&gt;2,PB!$CF14="P"),PB!$CC14,""))</f>
        <v>100</v>
      </c>
      <c r="P15" s="882"/>
      <c r="Q15" s="882">
        <f>IF(PB!$AO$4=2,"",IF(AND(COUNT(PB!$A$6:$A$11)&gt;2,PB!$CF14="P"),PB!$CE14,""))</f>
        <v>29</v>
      </c>
      <c r="R15" s="882"/>
      <c r="S15" s="142"/>
      <c r="T15" s="882" t="str">
        <f>IF(PB!$AO$4=2,"",IF(AND(COUNT(PB!$A$6:$A$11)&gt;2,PB!$CF13="P"),PB!$CC13,""))</f>
        <v/>
      </c>
      <c r="U15" s="882"/>
      <c r="V15" s="882" t="str">
        <f>IF(PB!$AO$4=2,"",IF(AND(COUNT(PB!$A$6:$A$11)&gt;2,PB!$CF13="P"),PB!$CE13,""))</f>
        <v/>
      </c>
      <c r="W15" s="882"/>
      <c r="X15" s="142"/>
      <c r="Y15" s="882" t="str">
        <f>IF(PB!$AO$4=2,"",IF(AND(COUNT(PB!$A$6:$A$11)&gt;2,PB!$CF12="P"),PB!$CC12,""))</f>
        <v/>
      </c>
      <c r="Z15" s="882"/>
      <c r="AA15" s="882" t="str">
        <f>IF(PB!$AO$4=2,"",IF(AND(COUNT(PB!$A$6:$A$11)&gt;2,PB!$CF12="P"),PB!$CE12,""))</f>
        <v/>
      </c>
      <c r="AB15" s="882"/>
      <c r="AC15" s="142"/>
      <c r="AD15" s="882" t="str">
        <f>IF(PB!$AO$4=2,"",IF(AND(COUNT(PB!$A$6:$A$11)&gt;2,PB!$CF11="P"),PB!$CC11,""))</f>
        <v/>
      </c>
      <c r="AE15" s="882"/>
      <c r="AF15" s="882" t="str">
        <f>IF(PB!$AO$4=2,"",IF(AND(COUNT(PB!$A$6:$A$11)&gt;2,PB!$CF11="P"),PB!$CE11,""))</f>
        <v/>
      </c>
      <c r="AG15" s="882"/>
      <c r="AH15" s="32"/>
      <c r="AI15" s="32"/>
      <c r="AJ15" s="32"/>
      <c r="AK15" s="882" cm="1">
        <f t="array" ref="AK15">IF(PB!$AO$4&lt;2,"",IF(_xlfn.XLOOKUP('T PB'!C17,"Licence n° "&amp;PB!$B$6:$B$11,PB!$AO$6:$AO$11,"",0,1)=1,"",_xlfn.XLOOKUP('T PB'!C17,"Licence n° "&amp;PB!$B$6:$B$11,PB!$V$6:$V$11,"",0,1)))</f>
        <v>4</v>
      </c>
      <c r="AL15" s="882"/>
      <c r="AM15" s="879" cm="1">
        <f t="array" ref="AM15">IF(PB!$AO$4&lt;2,"",IF(_xlfn.XLOOKUP('T PB'!C17,"Licence n° "&amp;PB!$B$6:$B$11,PB!$AO$6:$AO$11,"",0,1)=1,"",_xlfn.XLOOKUP('T PB'!C17,"Licence n° "&amp;PB!$B$6:$B$11,PB!$T$6:$T$11,"",0,1)))</f>
        <v>2.9411764705882355</v>
      </c>
      <c r="AN15" s="879"/>
      <c r="AO15" s="32"/>
      <c r="AP15" s="561" cm="1">
        <f t="array" ref="AP15">_xlfn.XLOOKUP(C17,"Licence n° "&amp;PB!$B$6:$B$11,PB!$W$6:$W$11,"",0,1)</f>
        <v>8</v>
      </c>
      <c r="AQ15" s="32"/>
      <c r="AS15" s="840" t="s">
        <v>8114</v>
      </c>
      <c r="AT15" s="32"/>
    </row>
    <row r="16" spans="1:48" ht="12.6" customHeight="1" x14ac:dyDescent="0.25">
      <c r="A16" s="32"/>
      <c r="B16" s="32"/>
      <c r="C16" s="143" t="str" cm="1">
        <f t="array" ref="C16">IF(PB!$AO$4=2,_xlfn.XLOOKUP(2,PB!$M$6:$M$11,PB!$K$6:$K$11&amp;" "&amp;PB!$AS$6:$AS$11,"",0,1),IF(COUNT(PB!$A$6:$A$11)&gt;2,PB!$K7&amp;" - "&amp;PB!$AS7," "))</f>
        <v>R2  - 0,00</v>
      </c>
      <c r="D16" s="32"/>
      <c r="E16" s="144" t="str">
        <f>IF(F16="","","Pts")</f>
        <v>Pts</v>
      </c>
      <c r="F16" s="880">
        <f>IF(PB!$AO$4=2,PB!X18,IF(AND(COUNT(PB!$A$6:$A$11)&gt;2,PB!$CF15="P"),PB!$CG15,""))</f>
        <v>2</v>
      </c>
      <c r="G16" s="880"/>
      <c r="H16" s="144" t="str">
        <f>IF(F16="","","Rep.")</f>
        <v>Rep.</v>
      </c>
      <c r="I16" s="32"/>
      <c r="J16" s="885"/>
      <c r="K16" s="885"/>
      <c r="L16" s="885"/>
      <c r="M16" s="885"/>
      <c r="N16" s="32"/>
      <c r="O16" s="144" t="str">
        <f>IF(P16="","","Pts")</f>
        <v>Pts</v>
      </c>
      <c r="P16" s="880">
        <f>IF(PB!$AO$4=2,"",IF(AND(COUNT(PB!$A$6:$A$11)&gt;2,PB!$CF14="P"),PB!$CG14,""))</f>
        <v>2</v>
      </c>
      <c r="Q16" s="880"/>
      <c r="R16" s="144" t="str">
        <f>IF(P16="","","Rep.")</f>
        <v>Rep.</v>
      </c>
      <c r="S16" s="50"/>
      <c r="T16" s="144" t="str">
        <f>IF(U16="","","Pts")</f>
        <v/>
      </c>
      <c r="U16" s="880" t="str">
        <f>IF(PB!$AO$4=2,"",IF(AND(COUNT(PB!$A$6:$A$11)&gt;2,PB!$CF13="P"),PB!$CG13,""))</f>
        <v/>
      </c>
      <c r="V16" s="880"/>
      <c r="W16" s="144" t="str">
        <f>IF(U16="","","Rep.")</f>
        <v/>
      </c>
      <c r="X16" s="144"/>
      <c r="Y16" s="144" t="str">
        <f>IF(Z16="","","Pts")</f>
        <v/>
      </c>
      <c r="Z16" s="880" t="str">
        <f>IF(PB!$AO$4=2,"",IF(AND(COUNT(PB!$A$6:$A$11)&gt;2,PB!$CF12="P"),PB!$CG12,""))</f>
        <v/>
      </c>
      <c r="AA16" s="880"/>
      <c r="AB16" s="144" t="str">
        <f>IF(Z16="","","Rep.")</f>
        <v/>
      </c>
      <c r="AC16" s="144"/>
      <c r="AD16" s="144" t="str">
        <f>IF(AE16="","","Pts")</f>
        <v/>
      </c>
      <c r="AE16" s="880" t="str">
        <f>IF(PB!$AO$4=2,"",IF(AND(COUNT(PB!$A$6:$A$11)&gt;2,PB!$CF11="P"),PB!$CG11,""))</f>
        <v/>
      </c>
      <c r="AF16" s="880"/>
      <c r="AG16" s="144" t="str">
        <f>IF(AE16="","","Rep.")</f>
        <v/>
      </c>
      <c r="AH16" s="32"/>
      <c r="AI16" s="32"/>
      <c r="AJ16" s="32"/>
      <c r="AK16" s="145" t="str">
        <f>IF(AL16="","","PM")</f>
        <v>PM</v>
      </c>
      <c r="AL16" s="881" cm="1">
        <f t="array" ref="AL16">IF(SUM(PB!$Q$6:$Q$11)=0,"",IF(PB!$AO$4&gt;1,IF(_xlfn.XLOOKUP('T PB'!C17,"Licence n° "&amp;PB!$B$6:$B$11,PB!$AO$6:$AO$11,"",0,1)=1,"Forfait",_xlfn.XLOOKUP('T PB'!C17,"Licence n° "&amp;PB!$B$37:$B$42,PB!$Q$37:$Q$42,"",0,1)),""))</f>
        <v>1</v>
      </c>
      <c r="AM16" s="881"/>
      <c r="AN16" s="145" t="str">
        <f>IF(AL16="","","MGP")</f>
        <v>MGP</v>
      </c>
      <c r="AO16" s="32"/>
      <c r="AP16" s="151" t="str">
        <f>IF(OR(PB!$AO$4&lt;2,LEFT(PB!$F$13)="F"),"","Pts Rk")</f>
        <v>Pts Rk</v>
      </c>
      <c r="AQ16" s="32"/>
      <c r="AS16" s="840"/>
      <c r="AT16" s="32"/>
    </row>
    <row r="17" spans="1:52" ht="12.6" customHeight="1" x14ac:dyDescent="0.25">
      <c r="A17" s="32"/>
      <c r="B17" s="32"/>
      <c r="C17" s="147" t="str">
        <f>IF(PB!AO4=2,"Licence n° "&amp;_xlfn.XLOOKUP(2,PB!M6:M11,PB!B6:B11,"",0,1),IF(COUNT(PB!A6:A11)&gt;2,"Licence n° "&amp;PB!B7," "))</f>
        <v>Licence n° 148333G</v>
      </c>
      <c r="D17" s="32"/>
      <c r="E17" s="144" t="str">
        <f>IF(F16="","","Moy.")</f>
        <v>Moy.</v>
      </c>
      <c r="F17" s="880"/>
      <c r="G17" s="880"/>
      <c r="H17" s="144" t="str">
        <f>IF(F16="","","MS")</f>
        <v>MS</v>
      </c>
      <c r="I17" s="32"/>
      <c r="J17" s="885"/>
      <c r="K17" s="885"/>
      <c r="L17" s="885"/>
      <c r="M17" s="885"/>
      <c r="N17" s="32"/>
      <c r="O17" s="144" t="str">
        <f>IF(P16="","","Moy.")</f>
        <v>Moy.</v>
      </c>
      <c r="P17" s="880"/>
      <c r="Q17" s="880"/>
      <c r="R17" s="144" t="str">
        <f>IF(P16="","","MS")</f>
        <v>MS</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Mpart.</v>
      </c>
      <c r="AL17" s="881"/>
      <c r="AM17" s="881"/>
      <c r="AN17" s="145" t="str">
        <f>IF(AL16="","","MS")</f>
        <v>MS</v>
      </c>
      <c r="AO17" s="32"/>
      <c r="AP17" s="148" t="str">
        <f>IF(OR(PB!$AO$4&lt;2,LEFT(PB!$F$13)="F"),"","Bonus")</f>
        <v>Bonus</v>
      </c>
      <c r="AQ17" s="32"/>
      <c r="AS17" s="846" t="s">
        <v>8115</v>
      </c>
      <c r="AT17" s="32"/>
      <c r="AZ17" s="241"/>
    </row>
    <row r="18" spans="1:52" ht="50.1" customHeight="1" x14ac:dyDescent="0.25">
      <c r="A18" s="32"/>
      <c r="B18" s="32"/>
      <c r="C18" s="149" t="str">
        <f>IF(PB!AO4=2,_xlfn.XLOOKUP(2,PB!M6:M11,PB!G6:G11,"",0,1),IF(COUNT(PB!A6:A11)&gt;2,PB!G7," "))</f>
        <v>ACADEMIE DE BILLARD DE MAISONS ALFORT</v>
      </c>
      <c r="D18" s="32"/>
      <c r="E18" s="883">
        <f>IF(F16="","",IF(F16&gt;0,E15/G15,"/"))</f>
        <v>2.5641025641025643</v>
      </c>
      <c r="F18" s="883"/>
      <c r="G18" s="884">
        <f>IF(AND(PB!$AO$4=2,PB!$A18="P"),PB!Q18,IF(AND(COUNT(PB!$A$6:$A$11)&gt;2,PB!$CF15="P"),PB!$CD15,""))</f>
        <v>17</v>
      </c>
      <c r="H18" s="884"/>
      <c r="I18" s="32"/>
      <c r="J18" s="885"/>
      <c r="K18" s="885"/>
      <c r="L18" s="885"/>
      <c r="M18" s="885"/>
      <c r="N18" s="32"/>
      <c r="O18" s="883">
        <f>IF(P16="","",IF(P16&gt;0,O15/Q15,"/"))</f>
        <v>3.4482758620689653</v>
      </c>
      <c r="P18" s="883"/>
      <c r="Q18" s="884">
        <f>IF(PB!$AO$4=2,"",IF(AND(COUNT(PB!$A$6:$A$11)&gt;2,PB!$CF14="P"),PB!$CD14,""))</f>
        <v>19</v>
      </c>
      <c r="R18" s="884"/>
      <c r="S18" s="32"/>
      <c r="T18" s="883" t="str">
        <f>IF(U16="","",IF(U16&gt;0,T15/V15,"/"))</f>
        <v/>
      </c>
      <c r="U18" s="883"/>
      <c r="V18" s="884" t="str">
        <f>IF(PB!$AO$4=2,"",IF(AND(COUNT(PB!$A$6:$A$11)&gt;2,PB!$CF13="P"),PB!$CD13,""))</f>
        <v/>
      </c>
      <c r="W18" s="884"/>
      <c r="X18" s="32"/>
      <c r="Y18" s="883" t="str">
        <f>IF(Z16="","",IF(Z16&gt;0,Y15/AA15,"/"))</f>
        <v/>
      </c>
      <c r="Z18" s="883"/>
      <c r="AA18" s="884" t="str">
        <f>IF(PB!$AO$4=2,"",IF(AND(COUNT(PB!$A$6:$A$11)&gt;2,PB!$CF12="P"),PB!$CD12,""))</f>
        <v/>
      </c>
      <c r="AB18" s="884"/>
      <c r="AC18" s="32"/>
      <c r="AD18" s="883" t="str">
        <f>IF(AE16="","",IF(AE16&gt;0,AD15/AF15,"/"))</f>
        <v/>
      </c>
      <c r="AE18" s="883"/>
      <c r="AF18" s="884" t="str">
        <f>IF(PB!$AO$4=2,"",IF(AND(COUNT(PB!$A$6:$A$11)&gt;2,PB!$CF11="P"),PB!$CD11,""))</f>
        <v/>
      </c>
      <c r="AG18" s="884"/>
      <c r="AH18" s="32"/>
      <c r="AI18" s="32"/>
      <c r="AJ18" s="32"/>
      <c r="AK18" s="883" cm="1">
        <f t="array" ref="AK18">IF(PB!$AO$4&lt;2,"",IF(_xlfn.XLOOKUP('T PB'!C17,"Licence n° "&amp;PB!$B$6:$B$11,PB!$AO$6:$AO$11,"",0,1)=1,"",_xlfn.XLOOKUP('T PB'!C17,"Licence n° "&amp;PB!$B$6:$B$11,PB!$U$6:$U$11,"",0,1)))</f>
        <v>3.4482758620689653</v>
      </c>
      <c r="AL18" s="883"/>
      <c r="AM18" s="884" cm="1">
        <f t="array" ref="AM18">IF(PB!$AO$4&lt;2,"",IF(_xlfn.XLOOKUP('T PB'!C17,"Licence n° "&amp;PB!$B$6:$B$11,PB!$AO$6:$AO$11,"",0,1)=1,"",_xlfn.XLOOKUP('T PB'!C17,"Licence n° "&amp;PB!$B$6:$B$11,PB!$S$6:$S$11,"",0,1)))</f>
        <v>19</v>
      </c>
      <c r="AN18" s="884"/>
      <c r="AO18" s="32"/>
      <c r="AP18" s="562" cm="1">
        <f t="array" ref="AP18">_xlfn.XLOOKUP(C17,"Licence n° "&amp;PB!$B$6:$B$11,PB!$X$6:$X$11,"",0,1)</f>
        <v>1</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IF(PB!AO4=2,C10,IF(COUNT(PB!A6:A11)&gt;2,CONCATENATE(PB!C8," ",LEFT(PB!E8),"."),""))</f>
        <v>FERNANDES ALVES F.</v>
      </c>
      <c r="D20" s="32"/>
      <c r="E20" s="882">
        <f>IF(PB!$AO$4=2,"",IF(AND(COUNT(PB!$A$6:$A$11)&gt;2,PB!$CF20="P"),PB!$CC20,""))</f>
        <v>67</v>
      </c>
      <c r="F20" s="882"/>
      <c r="G20" s="882">
        <f>IF(PB!$AO$4=2,"",IF(AND(COUNT(PB!$A$6:$A$11)&gt;2,PB!$CF20="P"),PB!$CE20,""))</f>
        <v>33</v>
      </c>
      <c r="H20" s="882"/>
      <c r="I20" s="142"/>
      <c r="J20" s="882">
        <f>IF(PB!$AO$4=2,"",IF(AND(COUNT(PB!$A$6:$A$11)&gt;2,PB!$CF19="P"),PB!$CC19,""))</f>
        <v>65</v>
      </c>
      <c r="K20" s="882"/>
      <c r="L20" s="882">
        <f>IF(PB!$AO$4=2,"",IF(AND(COUNT(PB!$A$6:$A$11)&gt;2,PB!$CF19="P"),PB!$CE19,""))</f>
        <v>29</v>
      </c>
      <c r="M20" s="882"/>
      <c r="N20" s="32"/>
      <c r="O20" s="885" t="e" vm="2">
        <f>IF(PB!W35="NON",AG1,IF(PB!AO4=2,"MATCH 2",IF(PB!AO4&gt;2,_xlfn.XLOOKUP(C23,'LOGOS CLUBS'!$B$2:$B$65,'LOGOS CLUBS'!$C$2:$C$65,C23,0,1),"")))</f>
        <v>#VALUE!</v>
      </c>
      <c r="P20" s="885"/>
      <c r="Q20" s="885"/>
      <c r="R20" s="885"/>
      <c r="S20" s="32"/>
      <c r="T20" s="882" t="str">
        <f>IF(AND(PB!$AO$4=2,PB!$A19="P"),PB!P19,IF(AND(COUNT(PB!$A$6:$A$11)&gt;2,PB!$CF18="P"),PB!$CC18,""))</f>
        <v/>
      </c>
      <c r="U20" s="882"/>
      <c r="V20" s="882" t="str">
        <f>IF(AND(PB!$AO$4=2,PB!$A19="P"),PB!O19,IF(AND(COUNT(PB!$A$6:$A$11)&gt;2,PB!$CF18="P"),PB!$CE18,""))</f>
        <v/>
      </c>
      <c r="W20" s="882"/>
      <c r="X20" s="142"/>
      <c r="Y20" s="882" t="str">
        <f>IF(PB!$AO$4=2,"",IF(AND(COUNT(PB!$A$6:$A$11)&gt;2,PB!$CF17="P"),PB!$CC17,""))</f>
        <v/>
      </c>
      <c r="Z20" s="882"/>
      <c r="AA20" s="882" t="str">
        <f>IF(PB!$AO$4=2,"",IF(AND(COUNT(PB!$A$6:$A$11)&gt;2,PB!$CF17="P"),PB!$CE17,""))</f>
        <v/>
      </c>
      <c r="AB20" s="882"/>
      <c r="AC20" s="142"/>
      <c r="AD20" s="882" t="str">
        <f>IF(PB!$AO$4=2,"",IF(AND(COUNT(PB!$A$6:$A$11)&gt;2,PB!$CF16="P"),PB!$CC16,""))</f>
        <v/>
      </c>
      <c r="AE20" s="882"/>
      <c r="AF20" s="882" t="str">
        <f>IF(PB!$AO$4=2,"",IF(AND(COUNT(PB!$A$6:$A$11)&gt;2,PB!$CF16="P"),PB!$CE16,""))</f>
        <v/>
      </c>
      <c r="AG20" s="882"/>
      <c r="AH20" s="32"/>
      <c r="AI20" s="32"/>
      <c r="AJ20" s="32"/>
      <c r="AK20" s="882" cm="1">
        <f t="array" ref="AK20">IF(PB!$AO$4&lt;3,"",IF(_xlfn.XLOOKUP('T PB'!C22,"Licence n° "&amp;PB!$B$6:$B$11,PB!$AO$6:$AO$11,"",0,1)=1,"",_xlfn.XLOOKUP('T PB'!C22,"Licence n° "&amp;PB!$B$6:$B$11,PB!$V$6:$V$11,"",0,1)))</f>
        <v>0</v>
      </c>
      <c r="AL20" s="882"/>
      <c r="AM20" s="879" cm="1">
        <f t="array" ref="AM20">IF(PB!$AO$4&lt;3,"",IF(_xlfn.XLOOKUP('T PB'!C22,"Licence n° "&amp;PB!$B$6:$B$11,PB!$AO$6:$AO$11,"",0,1)=1,"",_xlfn.XLOOKUP('T PB'!C22,"Licence n° "&amp;PB!$B$6:$B$11,PB!$T$6:$T$11,"",0,1)))</f>
        <v>2.129032258064516</v>
      </c>
      <c r="AN20" s="879"/>
      <c r="AO20" s="32"/>
      <c r="AP20" s="561" cm="1">
        <f t="array" ref="AP20">IF(PB!$AO$4&lt;3,"",_xlfn.XLOOKUP(C22,"Licence n° "&amp;PB!$B$6:$B$11,PB!$W$6:$W$11,"",0,1))</f>
        <v>3</v>
      </c>
      <c r="AQ20" s="32"/>
      <c r="AS20" s="847" t="s">
        <v>8116</v>
      </c>
      <c r="AT20" s="32"/>
      <c r="AZ20" s="241"/>
    </row>
    <row r="21" spans="1:52" ht="12.6" customHeight="1" x14ac:dyDescent="0.25">
      <c r="A21" s="32"/>
      <c r="B21" s="32"/>
      <c r="C21" s="143" t="str" cm="1">
        <f t="array" ref="C21">IF(PB!$AO$4=2,_xlfn.XLOOKUP(1,PB!$M$6:$M$11,PB!$K$6:$K$11&amp;" "&amp;PB!$AS$6:$AS$11,"",0,1),IF(COUNT(PB!$A$6:$A$11)&gt;2,PB!$K8&amp;" - "&amp;PB!$AS8," "))</f>
        <v>R2 - 0,00</v>
      </c>
      <c r="D21" s="32"/>
      <c r="E21" s="144" t="str">
        <f>IF(F21="","","Pts")</f>
        <v>Pts</v>
      </c>
      <c r="F21" s="880">
        <f>IF(PB!$AO$4=2,"",IF(AND(COUNT(PB!$A$6:$A$11)&gt;2,PB!$CF20="P"),PB!$CG20,""))</f>
        <v>0</v>
      </c>
      <c r="G21" s="880"/>
      <c r="H21" s="144" t="str">
        <f>IF(F21="","","Rep.")</f>
        <v>Rep.</v>
      </c>
      <c r="I21" s="144"/>
      <c r="J21" s="144" t="str">
        <f>IF(K21="","","Pts")</f>
        <v>Pts</v>
      </c>
      <c r="K21" s="880">
        <f>IF(PB!$AO$4=2,"",IF(AND(COUNT(PB!$A$6:$A$11)&gt;2,PB!$CF19="P"),PB!$CG19,""))</f>
        <v>0</v>
      </c>
      <c r="L21" s="880"/>
      <c r="M21" s="144" t="str">
        <f>IF(K21="","","Rep.")</f>
        <v>Rep.</v>
      </c>
      <c r="N21" s="32"/>
      <c r="O21" s="885"/>
      <c r="P21" s="885"/>
      <c r="Q21" s="885"/>
      <c r="R21" s="885"/>
      <c r="S21" s="32"/>
      <c r="T21" s="144" t="str">
        <f>IF(U21="","","Pts")</f>
        <v/>
      </c>
      <c r="U21" s="880" t="str">
        <f>IF(PB!$AO$4=2,PB!X19,IF(AND(COUNT(PB!$A$6:$A$11)&gt;2,PB!$CF18="P"),PB!$CG18,""))</f>
        <v/>
      </c>
      <c r="V21" s="880"/>
      <c r="W21" s="144" t="str">
        <f>IF(U21="","","Rep.")</f>
        <v/>
      </c>
      <c r="X21" s="144"/>
      <c r="Y21" s="144" t="str">
        <f>IF(Z21="","","Pts")</f>
        <v/>
      </c>
      <c r="Z21" s="880" t="str">
        <f>IF(PB!$AO$4=2,"",IF(AND(COUNT(PB!$A$6:$A$11)&gt;2,PB!$CF17="P"),PB!$CG17,""))</f>
        <v/>
      </c>
      <c r="AA21" s="880"/>
      <c r="AB21" s="144" t="str">
        <f>IF(Z21="","","Rep.")</f>
        <v/>
      </c>
      <c r="AC21" s="144"/>
      <c r="AD21" s="144" t="str">
        <f>IF(AE21="","","Pts")</f>
        <v/>
      </c>
      <c r="AE21" s="880" t="str">
        <f>IF(PB!$AO$4=2,"",IF(AND(COUNT(PB!$A$6:$A$11)&gt;2,PB!$CF16="P"),PB!$CG16,""))</f>
        <v/>
      </c>
      <c r="AF21" s="880"/>
      <c r="AG21" s="144" t="str">
        <f>IF(AE21="","","Rep.")</f>
        <v/>
      </c>
      <c r="AH21" s="32"/>
      <c r="AI21" s="32"/>
      <c r="AJ21" s="32"/>
      <c r="AK21" s="145" t="str">
        <f>IF(AL21="","","PM")</f>
        <v>PM</v>
      </c>
      <c r="AL21" s="881" cm="1">
        <f t="array" ref="AL21">IF(SUM(PB!$Q$6:$Q$11)=0,"",IF(PB!$AO$4&gt;2,IF(_xlfn.XLOOKUP('T PB'!C22,"Licence n° "&amp;PB!$B$6:$B$11,PB!$AO$6:$AO$11,"",0,1)=1,"Forfait",_xlfn.XLOOKUP('T PB'!C22,"Licence n° "&amp;PB!$B$37:$B$42,PB!$Q$37:$Q$42,"",0,1)),""))</f>
        <v>3</v>
      </c>
      <c r="AM21" s="881"/>
      <c r="AN21" s="145" t="str">
        <f>IF(AL21="","","MGP")</f>
        <v>MGP</v>
      </c>
      <c r="AO21" s="32"/>
      <c r="AP21" s="151" t="str">
        <f>IF(OR(PB!$AO$4&lt;3,LEFT(PB!$F$13)="F"),"","Pts Rk")</f>
        <v>Pts Rk</v>
      </c>
      <c r="AQ21" s="32"/>
      <c r="AS21" s="847"/>
      <c r="AT21" s="32"/>
    </row>
    <row r="22" spans="1:52" ht="12.6" customHeight="1" x14ac:dyDescent="0.25">
      <c r="A22" s="32"/>
      <c r="B22" s="32"/>
      <c r="C22" s="147" t="str">
        <f>IF(PB!AO4=2,C12,IF(COUNT(PB!A6:A11)&gt;2,"Licence n° "&amp;PB!B8," "))</f>
        <v>Licence n° 156543F</v>
      </c>
      <c r="D22" s="32"/>
      <c r="E22" s="144" t="str">
        <f>IF(F21="","","Moy.")</f>
        <v>Moy.</v>
      </c>
      <c r="F22" s="880"/>
      <c r="G22" s="880"/>
      <c r="H22" s="144" t="str">
        <f>IF(F21="","","MS")</f>
        <v>MS</v>
      </c>
      <c r="I22" s="144"/>
      <c r="J22" s="144" t="str">
        <f>IF(K21="","","Moy.")</f>
        <v>Moy.</v>
      </c>
      <c r="K22" s="880"/>
      <c r="L22" s="880"/>
      <c r="M22" s="144" t="str">
        <f>IF(K21="","","MS")</f>
        <v>MS</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Mpart.</v>
      </c>
      <c r="AL22" s="881"/>
      <c r="AM22" s="881"/>
      <c r="AN22" s="145" t="str">
        <f>IF(AL21="","","MS")</f>
        <v>MS</v>
      </c>
      <c r="AO22" s="32"/>
      <c r="AP22" s="148" t="str">
        <f>IF(OR(PB!$AO$4&lt;3,LEFT(PB!$F$13)="F"),"","Bonus")</f>
        <v>Bonus</v>
      </c>
      <c r="AQ22" s="32"/>
      <c r="AS22" s="848" t="s">
        <v>8117</v>
      </c>
      <c r="AT22" s="32"/>
    </row>
    <row r="23" spans="1:52" ht="50.1" customHeight="1" x14ac:dyDescent="0.25">
      <c r="A23" s="32"/>
      <c r="B23" s="32"/>
      <c r="C23" s="149" t="str">
        <f>IF(PB!AO4=2,C13,IF(COUNT(PB!A6:A11)&gt;2,PB!G8," "))</f>
        <v>ACADEMIE DE BILLARD DE MAISONS ALFORT</v>
      </c>
      <c r="D23" s="32"/>
      <c r="E23" s="883" t="str">
        <f>IF(F21="","",IF(F21&gt;0,E20/G20,"/"))</f>
        <v>/</v>
      </c>
      <c r="F23" s="883"/>
      <c r="G23" s="884">
        <f>IF(PB!$AO$4=2,"",IF(AND(COUNT(PB!$A$6:$A$11)&gt;2,PB!$CF20="P"),PB!$CD20,""))</f>
        <v>16</v>
      </c>
      <c r="H23" s="884"/>
      <c r="I23" s="32"/>
      <c r="J23" s="883" t="str">
        <f>IF(K21="","",IF(K21&gt;0,J20/L20,"/"))</f>
        <v>/</v>
      </c>
      <c r="K23" s="883"/>
      <c r="L23" s="884">
        <f>IF(PB!$AO$4=2,"",IF(AND(COUNT(PB!$A$6:$A$11)&gt;2,PB!$CF19="P"),PB!$CD19,""))</f>
        <v>14</v>
      </c>
      <c r="M23" s="884"/>
      <c r="N23" s="32"/>
      <c r="O23" s="885"/>
      <c r="P23" s="885"/>
      <c r="Q23" s="885"/>
      <c r="R23" s="885"/>
      <c r="S23" s="32"/>
      <c r="T23" s="883" t="str">
        <f>IF(U21="","",IF(U21&gt;0,T20/V20,"/"))</f>
        <v/>
      </c>
      <c r="U23" s="883"/>
      <c r="V23" s="884" t="str">
        <f>IF(AND(PB!$AO$4=2,PB!$A19="P"),PB!Q19,IF(AND(COUNT(PB!$A$6:$A$11)&gt;2,PB!$CF18="P"),PB!$CD18,""))</f>
        <v/>
      </c>
      <c r="W23" s="884"/>
      <c r="X23" s="32"/>
      <c r="Y23" s="883" t="str">
        <f>IF(Z21="","",IF(Z21&gt;0,Y20/AA20,"/"))</f>
        <v/>
      </c>
      <c r="Z23" s="883"/>
      <c r="AA23" s="884" t="str">
        <f>IF(PB!$AO$4=2,"",IF(AND(COUNT(PB!$A$6:$A$11)&gt;2,PB!$CF17="P"),PB!$CD17,""))</f>
        <v/>
      </c>
      <c r="AB23" s="884"/>
      <c r="AC23" s="32"/>
      <c r="AD23" s="883" t="str">
        <f>IF(AE21="","",IF(AE21&gt;0,AD20/AF20,"/"))</f>
        <v/>
      </c>
      <c r="AE23" s="883"/>
      <c r="AF23" s="884" t="str">
        <f>IF(PB!$AO$4=2,"",IF(AND(COUNT(PB!$A$6:$A$11)&gt;2,PB!$CF16="P"),PB!$CD16,""))</f>
        <v/>
      </c>
      <c r="AG23" s="884"/>
      <c r="AH23" s="32"/>
      <c r="AI23" s="32"/>
      <c r="AJ23" s="32"/>
      <c r="AK23" s="883" t="str" cm="1">
        <f t="array" ref="AK23">IF(PB!$AO$4&lt;3,"",IF(_xlfn.XLOOKUP('T PB'!C22,"Licence n° "&amp;PB!$B$6:$B$11,PB!$AO$6:$AO$11,"",0,1)=1,"",_xlfn.XLOOKUP('T PB'!C22,"Licence n° "&amp;PB!$B$6:$B$11,PB!$U$6:$U$11,"",0,1)))</f>
        <v>/</v>
      </c>
      <c r="AL23" s="883"/>
      <c r="AM23" s="884" cm="1">
        <f t="array" ref="AM23">IF(PB!$AO$4&lt;3,"",IF(_xlfn.XLOOKUP('T PB'!C22,"Licence n° "&amp;PB!$B$6:$B$11,PB!$AO$6:$AO$11,"",0,1)=1,"",_xlfn.XLOOKUP('T PB'!C22,"Licence n° "&amp;PB!$B$6:$B$11,PB!$S$6:$S$11,"",0,1)))</f>
        <v>16</v>
      </c>
      <c r="AN23" s="884"/>
      <c r="AO23" s="32"/>
      <c r="AP23" s="562" cm="1">
        <f t="array" ref="AP23">IF(PB!$AO$4&lt;3,"",_xlfn.XLOOKUP(C22,"Licence n° "&amp;PB!$B$6:$B$11,PB!$X$6:$X$11,"",0,1))</f>
        <v>1</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IF(PB!AO4=2,C15,IF(COUNT(PB!A6:A11)&gt;3,CONCATENATE(PB!C9," ",LEFT(PB!E9),"."),""))</f>
        <v/>
      </c>
      <c r="D25" s="32"/>
      <c r="E25" s="882" t="str">
        <f>IF(PB!$AO$4=2,"",IF(AND(COUNT(PB!$A$6:$A$11)&gt;2,PB!$CF25="P"),PB!$CC25,""))</f>
        <v/>
      </c>
      <c r="F25" s="882"/>
      <c r="G25" s="882" t="str">
        <f>IF(PB!$AO$4=2,"",IF(AND(COUNT(PB!$A$6:$A$11)&gt;2,PB!$CF25="P"),PB!$CE25,""))</f>
        <v/>
      </c>
      <c r="H25" s="882"/>
      <c r="I25" s="142"/>
      <c r="J25" s="882" t="str">
        <f>IF(PB!$AO$4=2,"",IF(AND(COUNT(PB!$A$6:$A$11)&gt;2,PB!$CF24="P"),PB!$CC24,""))</f>
        <v/>
      </c>
      <c r="K25" s="882"/>
      <c r="L25" s="882" t="str">
        <f>IF(PB!$AO$4=2,"",IF(AND(COUNT(PB!$A$6:$A$11)&gt;2,PB!$CF24="P"),PB!$CE24,""))</f>
        <v/>
      </c>
      <c r="M25" s="882"/>
      <c r="N25" s="142"/>
      <c r="O25" s="882" t="str">
        <f>IF(AND(PB!$AO$4=2,PB!$A19="P"),PB!N19,IF(AND(COUNT(PB!$A$6:$A$11)&gt;2,PB!$CF23="P"),PB!$CC23,""))</f>
        <v/>
      </c>
      <c r="P25" s="882"/>
      <c r="Q25" s="882" t="str">
        <f>IF(AND(PB!$AO$4=2,PB!$A19="P"),PB!O19,IF(AND(COUNT(PB!$A$6:$A$11)&gt;2,PB!$CF23="P"),PB!$CE23,""))</f>
        <v/>
      </c>
      <c r="R25" s="882"/>
      <c r="S25" s="32"/>
      <c r="T25" s="886" t="str">
        <f>IF(PB!W35="NON",AG1,IF(OR(PB!AO4=2,COUNT(PB!A6:A11)&gt;3),_xlfn.XLOOKUP('T PB'!C28,'LOGOS CLUBS'!$B$2:$B$65,'LOGOS CLUBS'!$C$2:$C$65,C28,0,1),""))</f>
        <v/>
      </c>
      <c r="U25" s="886"/>
      <c r="V25" s="886"/>
      <c r="W25" s="886"/>
      <c r="X25" s="32"/>
      <c r="Y25" s="882" t="str">
        <f>IF(PB!$AO$4=2,"",IF(AND(COUNT(PB!$A$6:$A$11)&gt;2,PB!$CF22="P"),PB!$CC22,""))</f>
        <v/>
      </c>
      <c r="Z25" s="882"/>
      <c r="AA25" s="882" t="str">
        <f>IF(PB!$AO$4=2,"",IF(AND(COUNT(PB!$A$6:$A$11)&gt;2,PB!$CF22="P"),PB!$CE22,""))</f>
        <v/>
      </c>
      <c r="AB25" s="882"/>
      <c r="AC25" s="142"/>
      <c r="AD25" s="882" t="str">
        <f>IF(PB!$AO$4=2,"",IF(AND(COUNT(PB!$A$6:$A$11)&gt;2,PB!$CF21="P"),PB!$CC21,""))</f>
        <v/>
      </c>
      <c r="AE25" s="882"/>
      <c r="AF25" s="882" t="str">
        <f>IF(PB!$AO$4=2,"",IF(AND(COUNT(PB!$A$6:$A$11)&gt;2,PB!$CF21="P"),PB!$CE21,""))</f>
        <v/>
      </c>
      <c r="AG25" s="882"/>
      <c r="AH25" s="32"/>
      <c r="AI25" s="32"/>
      <c r="AJ25" s="32"/>
      <c r="AK25" s="882" t="str" cm="1">
        <f t="array" ref="AK25">IF(PB!$AO$4&lt;3,"",IF(_xlfn.XLOOKUP('T PB'!C27,"Licence n° "&amp;PB!$B$6:$B$11,PB!$AO$6:$AO$11,"",0,1)=1,"",_xlfn.XLOOKUP('T PB'!C27,"Licence n° "&amp;PB!$B$6:$B$11,PB!$V$6:$V$11,"",0,1)))</f>
        <v/>
      </c>
      <c r="AL25" s="882"/>
      <c r="AM25" s="879" t="str" cm="1">
        <f t="array" ref="AM25">IF(PB!$AO$4&lt;3,"",IF(_xlfn.XLOOKUP('T PB'!C27,"Licence n° "&amp;PB!$B$6:$B$11,PB!$AO$6:$AO$11,"",0,1)=1,"",_xlfn.XLOOKUP('T PB'!C27,"Licence n° "&amp;PB!$B$6:$B$11,PB!$T$6:$T$11,"",0,1)))</f>
        <v/>
      </c>
      <c r="AN25" s="879"/>
      <c r="AO25" s="32"/>
      <c r="AP25" s="561" t="str" cm="1">
        <f t="array" ref="AP25">IF(OR(PB!AO4&lt;3,COUNT(PB!$A$6:$A$11&lt;3)),"",_xlfn.XLOOKUP(C27,"Licence n° "&amp;PB!$B$6:$B$11,PB!$W$6:$W$11,"",0,1))</f>
        <v/>
      </c>
      <c r="AQ25" s="32"/>
      <c r="AS25" s="849" t="s">
        <v>8118</v>
      </c>
      <c r="AT25" s="32"/>
    </row>
    <row r="26" spans="1:52" ht="12.6" customHeight="1" x14ac:dyDescent="0.25">
      <c r="A26" s="32"/>
      <c r="B26" s="32"/>
      <c r="C26" s="143" t="str" cm="1">
        <f t="array" ref="C26">IF(PB!$AO$4=2,_xlfn.XLOOKUP(2,PB!$M$6:$M$11,PB!$K$6:$K$11&amp;" "&amp;PB!$AS$6:$AS$11,"",0,1),IF(COUNT(PB!$A$6:$A$11)&gt;3,PB!$K9&amp;" - "&amp;PB!$AS9," "))</f>
        <v xml:space="preserve"> </v>
      </c>
      <c r="D26" s="32"/>
      <c r="E26" s="144" t="str">
        <f>IF(F26="","","Pts")</f>
        <v/>
      </c>
      <c r="F26" s="880" t="str">
        <f>IF(PB!$AO$4=2,"",IF(AND(COUNT(PB!$A$6:$A$11)&gt;2,PB!$CF25="P"),PB!$CG25,""))</f>
        <v/>
      </c>
      <c r="G26" s="880"/>
      <c r="H26" s="144" t="str">
        <f>IF(F26="","","Rep.")</f>
        <v/>
      </c>
      <c r="I26" s="144"/>
      <c r="J26" s="144" t="str">
        <f>IF(K26="","","Pts")</f>
        <v/>
      </c>
      <c r="K26" s="880" t="str">
        <f>IF(PB!$AO$4=2,"",IF(AND(COUNT(PB!$A$6:$A$11)&gt;2,PB!$CF24="P"),PB!$CG24,""))</f>
        <v/>
      </c>
      <c r="L26" s="880"/>
      <c r="M26" s="144" t="str">
        <f>IF(K26="","","Rep.")</f>
        <v/>
      </c>
      <c r="N26" s="144"/>
      <c r="O26" s="144" t="str">
        <f>IF(P26="","","Pts")</f>
        <v/>
      </c>
      <c r="P26" s="880" t="str">
        <f>IF(PB!$AO$4=2,PB!D19,IF(AND(COUNT(PB!$A$6:$A$11)&gt;2,PB!$CF23="P"),PB!$CG23,""))</f>
        <v/>
      </c>
      <c r="Q26" s="880"/>
      <c r="R26" s="144" t="str">
        <f>IF(P26="","","Rep.")</f>
        <v/>
      </c>
      <c r="S26" s="32"/>
      <c r="T26" s="886"/>
      <c r="U26" s="886"/>
      <c r="V26" s="886"/>
      <c r="W26" s="886"/>
      <c r="X26" s="32"/>
      <c r="Y26" s="144" t="str">
        <f>IF(Z26="","","Pts")</f>
        <v/>
      </c>
      <c r="Z26" s="880" t="str">
        <f>IF(PB!$AO$4=2,"",IF(AND(COUNT(PB!$A$6:$A$11)&gt;2,PB!$CF22="P"),PB!$CG22,""))</f>
        <v/>
      </c>
      <c r="AA26" s="880"/>
      <c r="AB26" s="144" t="str">
        <f>IF(Z26="","","Rep.")</f>
        <v/>
      </c>
      <c r="AC26" s="144"/>
      <c r="AD26" s="144" t="str">
        <f>IF(AE26="","","Pts")</f>
        <v/>
      </c>
      <c r="AE26" s="880" t="str">
        <f>IF(PB!$AO$4=2,"",IF(AND(COUNT(PB!$A$6:$A$11)&gt;2,PB!$CF21="P"),PB!$CG21,""))</f>
        <v/>
      </c>
      <c r="AF26" s="880"/>
      <c r="AG26" s="144" t="str">
        <f>IF(AE26="","","Rep.")</f>
        <v/>
      </c>
      <c r="AH26" s="32"/>
      <c r="AI26" s="32"/>
      <c r="AJ26" s="32"/>
      <c r="AK26" s="145" t="str">
        <f>IF(AL26="","","PM")</f>
        <v/>
      </c>
      <c r="AL26" s="881" t="str" cm="1">
        <f t="array" ref="AL26">IF(SUM(PB!$Q$6:$Q$11)=0,"",IF(PB!$AO$4&gt;2,IF(_xlfn.XLOOKUP('T PB'!C27,"Licence n° "&amp;PB!$B$6:$B$11,PB!$AO$6:$AO$11,"",0,1)=1,"Forfait",_xlfn.XLOOKUP('T PB'!C27,"Licence n° "&amp;PB!$B$37:$B$42,PB!$Q$37:$Q$42,"",0,1)),""))</f>
        <v/>
      </c>
      <c r="AM26" s="881"/>
      <c r="AN26" s="145" t="str">
        <f>IF(AL26="","","MGP")</f>
        <v/>
      </c>
      <c r="AO26" s="32"/>
      <c r="AP26" s="151" t="str">
        <f>IF(AND(COUNT(PB!$A$6:$A$11)&gt;3,PB!$AO$4&gt;2,LEFT(PB!$F$13)="P"),"Pts Rk","")</f>
        <v/>
      </c>
      <c r="AQ26" s="32"/>
      <c r="AS26" s="849"/>
      <c r="AT26" s="32"/>
    </row>
    <row r="27" spans="1:52" ht="12.6" customHeight="1" x14ac:dyDescent="0.25">
      <c r="A27" s="32"/>
      <c r="B27" s="32"/>
      <c r="C27" s="147" t="str">
        <f>IF(PB!AO4=2,C17,IF(COUNT(PB!A6:A11)&gt;3,"Licence n° "&amp;PB!B9,"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IF(AND(COUNT(PB!$A$6:$A$11)&gt;3,PB!$AO$4&gt;2,LEFT(PB!$F$13)="P"),"Bonus","")</f>
        <v/>
      </c>
      <c r="AQ27" s="32"/>
      <c r="AS27" s="829" t="s">
        <v>8119</v>
      </c>
      <c r="AT27" s="32"/>
    </row>
    <row r="28" spans="1:52" ht="50.1" customHeight="1" x14ac:dyDescent="0.25">
      <c r="A28" s="32"/>
      <c r="B28" s="32"/>
      <c r="C28" s="149" t="str">
        <f>IF(PB!AO4=2,C18,IF(COUNT(PB!A6:A11)&gt;3,PB!G9," "))</f>
        <v xml:space="preserve"> </v>
      </c>
      <c r="D28" s="32"/>
      <c r="E28" s="883" t="str">
        <f>IF(F26="","",IF(F26&gt;0,E25/G25,"/"))</f>
        <v/>
      </c>
      <c r="F28" s="883"/>
      <c r="G28" s="884" t="str">
        <f>IF(PB!$AO$4=2,"",IF(AND(COUNT(PB!$A$6:$A$11)&gt;2,PB!$CF25="P"),PB!$CD25,""))</f>
        <v/>
      </c>
      <c r="H28" s="884"/>
      <c r="I28" s="32"/>
      <c r="J28" s="883" t="str">
        <f>IF(K26="","",IF(K26&gt;0,J25/L25,"/"))</f>
        <v/>
      </c>
      <c r="K28" s="883"/>
      <c r="L28" s="884" t="str">
        <f>IF(PB!$AO$4=2,"",IF(AND(COUNT(PB!$A$6:$A$11)&gt;2,PB!$CF24="P"),PB!$CD24,""))</f>
        <v/>
      </c>
      <c r="M28" s="884"/>
      <c r="N28" s="32"/>
      <c r="O28" s="883" t="str">
        <f>IF(P26="","",IF(P26&gt;0,O25/Q25,"/"))</f>
        <v/>
      </c>
      <c r="P28" s="883"/>
      <c r="Q28" s="884" t="str">
        <f>IF(AND(PB!$AO$4=2,PB!$A19="P"),PB!M19,IF(AND(COUNT(PB!$A$6:$A$11)&gt;2,PB!$CF23="P"),PB!$CD23,""))</f>
        <v/>
      </c>
      <c r="R28" s="884"/>
      <c r="S28" s="32"/>
      <c r="T28" s="886"/>
      <c r="U28" s="886"/>
      <c r="V28" s="886"/>
      <c r="W28" s="886"/>
      <c r="X28" s="32"/>
      <c r="Y28" s="883" t="str">
        <f>IF(Z26="","",IF(Z26&gt;0,Y25/AA25,"/"))</f>
        <v/>
      </c>
      <c r="Z28" s="883"/>
      <c r="AA28" s="884" t="str">
        <f>IF(PB!$AO$4=2,"",IF(AND(COUNT(PB!$A$6:$A$11)&gt;2,PB!$CF22="P"),PB!$CD22,""))</f>
        <v/>
      </c>
      <c r="AB28" s="884"/>
      <c r="AC28" s="32"/>
      <c r="AD28" s="883" t="str">
        <f>IF(AE26="","",IF(AE26&gt;0,AD25/AF25,"/"))</f>
        <v/>
      </c>
      <c r="AE28" s="883"/>
      <c r="AF28" s="884" t="str">
        <f>IF(PB!$AO$4=2,"",IF(AND(COUNT(PB!$A$6:$A$11)&gt;2,PB!$CF21="P"),PB!$CD21,""))</f>
        <v/>
      </c>
      <c r="AG28" s="884"/>
      <c r="AH28" s="32"/>
      <c r="AI28" s="32"/>
      <c r="AJ28" s="32"/>
      <c r="AK28" s="883" t="str" cm="1">
        <f t="array" ref="AK28">IF(PB!$AO$4&lt;3,"",IF(_xlfn.XLOOKUP('T PB'!C27,"Licence n° "&amp;PB!$B$6:$B$11,PB!$AO$6:$AO$11,"",0,1)=1,"",_xlfn.XLOOKUP('T PB'!C27,"Licence n° "&amp;PB!$B$6:$B$11,PB!$U$6:$U$11,"",0,1)))</f>
        <v/>
      </c>
      <c r="AL28" s="883"/>
      <c r="AM28" s="884" t="str" cm="1">
        <f t="array" ref="AM28">IF(PB!$AO$4&lt;3,"",IF(_xlfn.XLOOKUP('T PB'!C27,"Licence n° "&amp;PB!$B$6:$B$11,PB!$AO$6:$AO$11,"",0,1)=1,"",_xlfn.XLOOKUP('T PB'!C27,"Licence n° "&amp;PB!$B$6:$B$11,PB!$S$6:$S$11,"",0,1)))</f>
        <v/>
      </c>
      <c r="AN28" s="884"/>
      <c r="AO28" s="32"/>
      <c r="AP28" s="562" t="str" cm="1">
        <f t="array" ref="AP28">IF(OR(PB!AO4&lt;3,COUNT(PB!$A$6:$A$11)&lt;4),"",_xlfn.XLOOKUP(C27,"Licence n° "&amp;PB!$B$6:$B$11,PB!$X$6:$X$11,"",0,1))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IF(PB!AO4=2,"",IF(COUNT(PB!A6:A11)&gt;4,CONCATENATE(PB!C10," ",LEFT(PB!E10),"."),""))</f>
        <v/>
      </c>
      <c r="D30" s="32"/>
      <c r="E30" s="882" t="str">
        <f>IF(PB!$AO$4=2,"",IF(AND(COUNT(PB!$A$6:$A$11)&gt;2,PB!$CF30="P"),PB!$CC30,""))</f>
        <v/>
      </c>
      <c r="F30" s="882"/>
      <c r="G30" s="882" t="str">
        <f>IF(PB!$AO$4=2,"",IF(AND(COUNT(PB!$A$6:$A$11)&gt;2,PB!$CF30="P"),PB!$CE30,""))</f>
        <v/>
      </c>
      <c r="H30" s="882"/>
      <c r="I30" s="142"/>
      <c r="J30" s="882" t="str">
        <f>IF(PB!$AO$4=2,"",IF(AND(COUNT(PB!$A$6:$A$11)&gt;2,PB!$CF29="P"),PB!$CC29,""))</f>
        <v/>
      </c>
      <c r="K30" s="882"/>
      <c r="L30" s="882" t="str">
        <f>IF(PB!$AO$4=2,"",IF(AND(COUNT(PB!$A$6:$A$11)&gt;2,PB!$CF29="P"),PB!$CE29,""))</f>
        <v/>
      </c>
      <c r="M30" s="882"/>
      <c r="N30" s="142"/>
      <c r="O30" s="882" t="str">
        <f>IF(PB!$AO$4=2,"",IF(AND(COUNT(PB!$A$6:$A$11)&gt;2,PB!$CF28="P"),PB!$CC28,""))</f>
        <v/>
      </c>
      <c r="P30" s="882"/>
      <c r="Q30" s="882" t="str">
        <f>IF(PB!$AO$4=2,"",IF(AND(COUNT(PB!$A$6:$A$11)&gt;2,PB!$CF28="P"),PB!$CE28,""))</f>
        <v/>
      </c>
      <c r="R30" s="882"/>
      <c r="S30" s="142"/>
      <c r="T30" s="882" t="str">
        <f>IF(PB!$AO$4=2,"",IF(AND(COUNT(PB!$A$6:$A$11)&gt;2,PB!$CF27="P"),PB!$CC27,""))</f>
        <v/>
      </c>
      <c r="U30" s="882"/>
      <c r="V30" s="882" t="str">
        <f>IF(PB!$AO$4=2,"",IF(AND(COUNT(PB!$A$6:$A$11)&gt;2,PB!$CF27="P"),PB!$CE27,""))</f>
        <v/>
      </c>
      <c r="W30" s="882"/>
      <c r="X30" s="32"/>
      <c r="Y30" s="887" t="str">
        <f>IF(PB!W35="NON",AG1,IF(PB!AO4=2,"",IF(COUNT(PB!A6:A11)&gt;4,_xlfn.XLOOKUP('T PB'!C33,'LOGOS CLUBS'!$B$2:$B$65,'LOGOS CLUBS'!$C$2:$C$65,C33,0,1),"")))</f>
        <v/>
      </c>
      <c r="Z30" s="887"/>
      <c r="AA30" s="887"/>
      <c r="AB30" s="887"/>
      <c r="AC30" s="32"/>
      <c r="AD30" s="882" t="str">
        <f>IF(PB!$AO$4=2,"",IF(AND(COUNT(PB!$A$6:$A$11)&gt;2,PB!$CF26="P"),PB!$CC26,""))</f>
        <v/>
      </c>
      <c r="AE30" s="882"/>
      <c r="AF30" s="882" t="str">
        <f>IF(PB!$AO$4=2,"",IF(AND(COUNT(PB!$A$6:$A$11)&gt;2,PB!$CF26="P"),PB!$CE26,""))</f>
        <v/>
      </c>
      <c r="AG30" s="882"/>
      <c r="AH30" s="32"/>
      <c r="AI30" s="32"/>
      <c r="AJ30" s="32"/>
      <c r="AK30" s="882" t="str" cm="1">
        <f t="array" ref="AK30">IF(PB!$AO$4&lt;3,"",IF(_xlfn.XLOOKUP('T PB'!C32,"Licence n° "&amp;PB!$B$6:$B$11,PB!$AO$6:$AO$11,"",0,1)=1,"",_xlfn.XLOOKUP('T PB'!C32,"Licence n° "&amp;PB!$B$6:$B$11,PB!$V$6:$V$11,"",0,1)))</f>
        <v/>
      </c>
      <c r="AL30" s="882"/>
      <c r="AM30" s="879" t="str" cm="1">
        <f t="array" ref="AM30">IF(PB!$AO$4&lt;3,"",IF(_xlfn.XLOOKUP('T PB'!C32,"Licence n° "&amp;PB!$B$6:$B$11,PB!$AO$6:$AO$11,"",0,1)=1,"",_xlfn.XLOOKUP('T PB'!C32,"Licence n° "&amp;PB!$B$6:$B$11,PB!$T$6:$T$11,"",0,1)))</f>
        <v/>
      </c>
      <c r="AN30" s="879"/>
      <c r="AO30" s="32"/>
      <c r="AP30" s="561" t="str" cm="1">
        <f t="array" ref="AP30">_xlfn.XLOOKUP(C32,"Licence n° "&amp;PB!$B$6:$B$11,PB!$W$6:$W$11,"",0,1)</f>
        <v/>
      </c>
      <c r="AQ30" s="32"/>
      <c r="AS30" s="830" t="s">
        <v>8120</v>
      </c>
      <c r="AT30" s="32"/>
    </row>
    <row r="31" spans="1:52" ht="12.6" customHeight="1" x14ac:dyDescent="0.25">
      <c r="A31" s="32"/>
      <c r="B31" s="32"/>
      <c r="C31" s="143" t="str">
        <f>IF(PB!$AO$4=2,"",IF(COUNT(PB!$A$6:$A$11)&gt;4,PB!$K10&amp;" - "&amp;PB!$AS10," "))</f>
        <v xml:space="preserve"> </v>
      </c>
      <c r="D31" s="32"/>
      <c r="E31" s="144" t="str">
        <f>IF(F31="","","Pts")</f>
        <v/>
      </c>
      <c r="F31" s="880" t="str">
        <f>IF(PB!$AO$4=2,"",IF(AND(COUNT(PB!$A$6:$A$11)&gt;2,PB!$CF30="P"),PB!$CG30,""))</f>
        <v/>
      </c>
      <c r="G31" s="880"/>
      <c r="H31" s="144" t="str">
        <f>IF(F31="","","Rep.")</f>
        <v/>
      </c>
      <c r="I31" s="144"/>
      <c r="J31" s="144" t="str">
        <f>IF(K31="","","Pts")</f>
        <v/>
      </c>
      <c r="K31" s="880" t="str">
        <f>IF(PB!$AO$4=2,"",IF(AND(COUNT(PB!$A$6:$A$11)&gt;2,PB!$CF29="P"),PB!$CG29,""))</f>
        <v/>
      </c>
      <c r="L31" s="880"/>
      <c r="M31" s="144" t="str">
        <f>IF(K31="","","Rep.")</f>
        <v/>
      </c>
      <c r="N31" s="144"/>
      <c r="O31" s="144" t="str">
        <f>IF(P31="","","Pts")</f>
        <v/>
      </c>
      <c r="P31" s="880" t="str">
        <f>IF(PB!$AO$4=2,"",IF(AND(COUNT(PB!$A$6:$A$11)&gt;2,PB!$CF28="P"),PB!$CG28,""))</f>
        <v/>
      </c>
      <c r="Q31" s="880"/>
      <c r="R31" s="144" t="str">
        <f>IF(P31="","","Rep.")</f>
        <v/>
      </c>
      <c r="S31" s="144"/>
      <c r="T31" s="144" t="str">
        <f>IF(U31="","","Pts")</f>
        <v/>
      </c>
      <c r="U31" s="880" t="str">
        <f>IF(PB!$AO$4=2,"",IF(AND(COUNT(PB!$A$6:$A$11)&gt;2,PB!$CF27="P"),PB!$CG27,""))</f>
        <v/>
      </c>
      <c r="V31" s="880"/>
      <c r="W31" s="144" t="str">
        <f>IF(U31="","","Rep.")</f>
        <v/>
      </c>
      <c r="X31" s="32"/>
      <c r="Y31" s="887"/>
      <c r="Z31" s="887"/>
      <c r="AA31" s="887"/>
      <c r="AB31" s="887"/>
      <c r="AC31" s="32"/>
      <c r="AD31" s="144" t="str">
        <f>IF(AE31="","","Pts")</f>
        <v/>
      </c>
      <c r="AE31" s="880" t="str">
        <f>IF(PB!$AO$4=2,"",IF(AND(COUNT(PB!$A$6:$A$11)&gt;2,PB!$CF26="P"),PB!$CG26,""))</f>
        <v/>
      </c>
      <c r="AF31" s="880"/>
      <c r="AG31" s="144" t="str">
        <f>IF(AE31="","","Rep.")</f>
        <v/>
      </c>
      <c r="AH31" s="32"/>
      <c r="AI31" s="32"/>
      <c r="AJ31" s="32"/>
      <c r="AK31" s="145" t="str">
        <f>IF(AL31="","","PM")</f>
        <v/>
      </c>
      <c r="AL31" s="881" t="str" cm="1">
        <f t="array" ref="AL31">IF(SUM(PB!$Q$6:$Q$11)=0,"",IF(PB!$AO$4&gt;2,IF(_xlfn.XLOOKUP('T PB'!C32,"Licence n° "&amp;PB!$B$6:$B$11,PB!$AO$6:$AO$11,"",0,1)=1,"Forfait",_xlfn.XLOOKUP('T PB'!C32,"Licence n° "&amp;PB!$B$37:$B$42,PB!$Q$37:$Q$42,"",0,1)),""))</f>
        <v/>
      </c>
      <c r="AM31" s="881"/>
      <c r="AN31" s="145" t="str">
        <f>IF(AL31="","","MGP")</f>
        <v/>
      </c>
      <c r="AO31" s="32"/>
      <c r="AP31" s="151" t="str">
        <f>IF(AND(COUNT(PB!$A$6:$A$11)&gt;4,PB!$AO$4&gt;2,LEFT(PB!$F$13)="P"),"Pts Rk","")</f>
        <v/>
      </c>
      <c r="AQ31" s="32"/>
      <c r="AS31" s="830"/>
      <c r="AT31" s="32"/>
    </row>
    <row r="32" spans="1:52" ht="12.6" customHeight="1" x14ac:dyDescent="0.25">
      <c r="A32" s="32"/>
      <c r="B32" s="32"/>
      <c r="C32" s="147" t="str">
        <f>IF(PB!AO4=2,"",IF(COUNT(PB!A6:A11)&gt;4,"Licence n° "&amp;PB!B10,"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IF(AND(COUNT(PB!$A$6:$A$11)&gt;4,PB!$AO$4&gt;2,LEFT(PB!$F$13)="P"),"Bonus","")</f>
        <v/>
      </c>
      <c r="AQ32" s="32"/>
      <c r="AS32" s="831" t="s">
        <v>8121</v>
      </c>
      <c r="AT32" s="32"/>
    </row>
    <row r="33" spans="1:46" ht="50.1" customHeight="1" x14ac:dyDescent="0.25">
      <c r="A33" s="32"/>
      <c r="B33" s="32"/>
      <c r="C33" s="149" t="str">
        <f>IF(PB!AO4=2,"",IF(COUNT(PB!A6:A11)&gt;4,PB!G10," "))</f>
        <v xml:space="preserve"> </v>
      </c>
      <c r="D33" s="32"/>
      <c r="E33" s="883" t="str">
        <f>IF(F31="","",IF(F31&gt;0,E30/G30,"/"))</f>
        <v/>
      </c>
      <c r="F33" s="883"/>
      <c r="G33" s="884" t="str">
        <f>IF(PB!$AO$4=2,"",IF(AND(COUNT(PB!$A$6:$A$11)&gt;2,PB!$CF30="P"),PB!$CD30,""))</f>
        <v/>
      </c>
      <c r="H33" s="884"/>
      <c r="I33" s="32"/>
      <c r="J33" s="883" t="str">
        <f>IF(K31="","",IF(K31&gt;0,J30/L30,"/"))</f>
        <v/>
      </c>
      <c r="K33" s="883"/>
      <c r="L33" s="884" t="str">
        <f>IF(PB!$AO$4=2,"",IF(AND(COUNT(PB!$A$6:$A$11)&gt;2,PB!$CF29="P"),PB!$CD29,""))</f>
        <v/>
      </c>
      <c r="M33" s="884"/>
      <c r="N33" s="32"/>
      <c r="O33" s="883" t="str">
        <f>IF(P31="","",IF(P31&gt;0,O30/Q30,"/"))</f>
        <v/>
      </c>
      <c r="P33" s="883"/>
      <c r="Q33" s="884" t="str">
        <f>IF(PB!$AO$4=2,"",IF(AND(COUNT(PB!$A$6:$A$11)&gt;2,PB!$CF28="P"),PB!$CD28,""))</f>
        <v/>
      </c>
      <c r="R33" s="884"/>
      <c r="S33" s="32"/>
      <c r="T33" s="883" t="str">
        <f>IF(U31="","",IF(U31&gt;0,T30/V30,"/"))</f>
        <v/>
      </c>
      <c r="U33" s="883"/>
      <c r="V33" s="884" t="str">
        <f>IF(PB!$AO$4=2,"",IF(AND(COUNT(PB!$A$6:$A$11)&gt;2,PB!$CF27="P"),PB!$CD27,""))</f>
        <v/>
      </c>
      <c r="W33" s="884"/>
      <c r="X33" s="32"/>
      <c r="Y33" s="887"/>
      <c r="Z33" s="887"/>
      <c r="AA33" s="887"/>
      <c r="AB33" s="887"/>
      <c r="AC33" s="32"/>
      <c r="AD33" s="883" t="str">
        <f>IF(AE31="","",IF(AE31&gt;0,AD30/AF30,"/"))</f>
        <v/>
      </c>
      <c r="AE33" s="883"/>
      <c r="AF33" s="884" t="str">
        <f>IF(PB!$AO$4=2,"",IF(AND(COUNT(PB!$A$6:$A$11)&gt;2,PB!$CF26="P"),PB!$CD26,""))</f>
        <v/>
      </c>
      <c r="AG33" s="884"/>
      <c r="AH33" s="32"/>
      <c r="AI33" s="32"/>
      <c r="AJ33" s="32"/>
      <c r="AK33" s="883" t="str" cm="1">
        <f t="array" ref="AK33">IF(PB!$AO$4&lt;3,"",IF(_xlfn.XLOOKUP('T PB'!C32,"Licence n° "&amp;PB!$B$6:$B$11,PB!$AO$6:$AO$11,"",0,1)=1,"",_xlfn.XLOOKUP('T PB'!C32,"Licence n° "&amp;PB!$B$6:$B$11,PB!$U$6:$U$11,"",0,1)))</f>
        <v/>
      </c>
      <c r="AL33" s="883"/>
      <c r="AM33" s="884" t="str" cm="1">
        <f t="array" ref="AM33">IF(PB!$AO$4&lt;3,"",IF(_xlfn.XLOOKUP('T PB'!C32,"Licence n° "&amp;PB!$B$6:$B$11,PB!$AO$6:$AO$11,"",0,1)=1,"",_xlfn.XLOOKUP('T PB'!C32,"Licence n° "&amp;PB!$B$6:$B$11,PB!$S$6:$S$11,"",0,1)))</f>
        <v/>
      </c>
      <c r="AN33" s="884"/>
      <c r="AO33" s="32"/>
      <c r="AP33" s="562" t="str" cm="1">
        <f t="array" ref="AP33">_xlfn.XLOOKUP(C32,"Licence n° "&amp;PB!$B$6:$B$11,PB!$X$6:$X$11,"",0,1)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IF(PB!AO4=2,"",IF(COUNT(PB!A6:A11)&gt;5,CONCATENATE(PB!C11," ",LEFT(PB!E11),"."),""))</f>
        <v/>
      </c>
      <c r="D35" s="32"/>
      <c r="E35" s="882" t="str">
        <f>IF(PB!$AO$4=2,"",IF(AND(COUNT(PB!$A$6:$A$11)&gt;2,PB!$CF35="P"),PB!$CC35,""))</f>
        <v/>
      </c>
      <c r="F35" s="882"/>
      <c r="G35" s="882" t="str">
        <f>IF(PB!$AO$4=2,"",IF(AND(COUNT(PB!$A$6:$A$11)&gt;2,PB!$CF35="P"),PB!$CE35,""))</f>
        <v/>
      </c>
      <c r="H35" s="882"/>
      <c r="I35" s="142"/>
      <c r="J35" s="882" t="str">
        <f>IF(PB!$AO$4=2,"",IF(AND(COUNT(PB!$A$6:$A$11)&gt;2,PB!$CF34="P"),PB!$CC34,""))</f>
        <v/>
      </c>
      <c r="K35" s="882"/>
      <c r="L35" s="882" t="str">
        <f>IF(PB!$AO$4=2,"",IF(AND(COUNT(PB!$A$6:$A$11)&gt;2,PB!$CF34="P"),PB!$CE34,""))</f>
        <v/>
      </c>
      <c r="M35" s="882"/>
      <c r="N35" s="142"/>
      <c r="O35" s="882" t="str">
        <f>IF(PB!$AO$4=2,"",IF(AND(COUNT(PB!$A$6:$A$11)&gt;2,PB!$CF33="P"),PB!$CC33,""))</f>
        <v/>
      </c>
      <c r="P35" s="882"/>
      <c r="Q35" s="882" t="str">
        <f>IF(PB!$AO$4=2,"",IF(AND(COUNT(PB!$A$6:$A$11)&gt;2,PB!$CF33="P"),PB!$CE33,""))</f>
        <v/>
      </c>
      <c r="R35" s="882"/>
      <c r="S35" s="142"/>
      <c r="T35" s="882" t="str">
        <f>IF(PB!$AO$4=2,"",IF(AND(COUNT(PB!$A$6:$A$11)&gt;2,PB!$CF32="P"),PB!$CC32,""))</f>
        <v/>
      </c>
      <c r="U35" s="882"/>
      <c r="V35" s="882" t="str">
        <f>IF(PB!$AO$4=2,"",IF(AND(COUNT(PB!$A$6:$A$11)&gt;2,PB!$CF32="P"),PB!$CE32,""))</f>
        <v/>
      </c>
      <c r="W35" s="882"/>
      <c r="X35" s="142"/>
      <c r="Y35" s="882" t="str">
        <f>IF(PB!$AO$4=2,"",IF(AND(COUNT(PB!$A$6:$A$11)&gt;2,PB!$CF31="P"),PB!$CC31,""))</f>
        <v/>
      </c>
      <c r="Z35" s="882"/>
      <c r="AA35" s="882" t="str">
        <f>IF(PB!$AO$4=2,"",IF(AND(COUNT(PB!$A$6:$A$11)&gt;2,PB!$CF31="P"),PB!$CE31,""))</f>
        <v/>
      </c>
      <c r="AB35" s="882"/>
      <c r="AC35" s="32"/>
      <c r="AD35" s="885" t="str">
        <f>IF(PB!W35="NON",AG1,IF(PB!AO4=2,"",IF(COUNT(PB!A6:A11)&gt;5,_xlfn.XLOOKUP('T PB'!C38,'LOGOS CLUBS'!$B$2:$B$65,'LOGOS CLUBS'!$C$2:$C$65,C38,0,1),"")))</f>
        <v/>
      </c>
      <c r="AE35" s="885"/>
      <c r="AF35" s="885"/>
      <c r="AG35" s="885"/>
      <c r="AH35" s="32"/>
      <c r="AI35" s="32"/>
      <c r="AJ35" s="32"/>
      <c r="AK35" s="882" t="str" cm="1">
        <f t="array" ref="AK35">IF(PB!$AO$4&lt;3,"",IF(_xlfn.XLOOKUP('T PB'!C37,"Licence n° "&amp;PB!$B$6:$B$11,PB!$AO$6:$AO$11,"",0,1)=1,"",_xlfn.XLOOKUP('T PB'!C37,"Licence n° "&amp;PB!$B$6:$B$11,PB!$V$6:$V$11,"",0,1)))</f>
        <v/>
      </c>
      <c r="AL35" s="882"/>
      <c r="AM35" s="879" t="str" cm="1">
        <f t="array" ref="AM35">IF(PB!$AO$4&lt;3,"",IF(_xlfn.XLOOKUP('T PB'!C37,"Licence n° "&amp;PB!$B$6:$B$11,PB!$AO$6:$AO$11,"",0,1)=1,"",_xlfn.XLOOKUP('T PB'!C37,"Licence n° "&amp;PB!$B$6:$B$11,PB!$T$6:$T$11,"",0,1)))</f>
        <v/>
      </c>
      <c r="AN35" s="879"/>
      <c r="AO35" s="32"/>
      <c r="AP35" s="561" t="str" cm="1">
        <f t="array" ref="AP35">_xlfn.XLOOKUP(C37,"Licence n° "&amp;PB!$B$6:$B$11,PB!$W$6:$W$11,"",0,1)</f>
        <v/>
      </c>
      <c r="AQ35" s="32"/>
      <c r="AS35" s="832" t="s">
        <v>8124</v>
      </c>
      <c r="AT35" s="32"/>
    </row>
    <row r="36" spans="1:46" ht="12.6" customHeight="1" x14ac:dyDescent="0.25">
      <c r="A36" s="32"/>
      <c r="B36" s="32"/>
      <c r="C36" s="143" t="str">
        <f>IF(PB!$AO$4=2,"",IF(COUNT(PB!$A$6:$A$11)&gt;5,PB!$K11&amp;" - "&amp;PB!$AS11," "))</f>
        <v xml:space="preserve"> </v>
      </c>
      <c r="D36" s="32"/>
      <c r="E36" s="144" t="str">
        <f>IF(F36="","","Pts")</f>
        <v/>
      </c>
      <c r="F36" s="880" t="str">
        <f>IF(PB!$AO$4=2,"",IF(AND(COUNT(PB!$A$6:$A$11)&gt;2,PB!$CF35="P"),PB!$CG35,""))</f>
        <v/>
      </c>
      <c r="G36" s="880"/>
      <c r="H36" s="144" t="str">
        <f>IF(F36="","","Rep.")</f>
        <v/>
      </c>
      <c r="I36" s="144"/>
      <c r="J36" s="144" t="str">
        <f>IF(K36="","","Pts")</f>
        <v/>
      </c>
      <c r="K36" s="880" t="str">
        <f>IF(PB!$AO$4=2,"",IF(AND(COUNT(PB!$A$6:$A$11)&gt;2,PB!$CF34="P"),PB!$CG34,""))</f>
        <v/>
      </c>
      <c r="L36" s="880"/>
      <c r="M36" s="144" t="str">
        <f>IF(K36="","","Rep.")</f>
        <v/>
      </c>
      <c r="N36" s="144"/>
      <c r="O36" s="144" t="str">
        <f>IF(P36="","","Pts")</f>
        <v/>
      </c>
      <c r="P36" s="880" t="str">
        <f>IF(PB!$AO$4=2,"",IF(AND(COUNT(PB!$A$6:$A$11)&gt;2,PB!$CF33="P"),PB!$CG33,""))</f>
        <v/>
      </c>
      <c r="Q36" s="880"/>
      <c r="R36" s="144" t="str">
        <f>IF(P36="","","Rep.")</f>
        <v/>
      </c>
      <c r="S36" s="144"/>
      <c r="T36" s="144" t="str">
        <f>IF(U36="","","Pts")</f>
        <v/>
      </c>
      <c r="U36" s="880" t="str">
        <f>IF(PB!$AO$4=2,"",IF(AND(COUNT(PB!$A$6:$A$11)&gt;2,PB!$CF32="P"),PB!$CG32,""))</f>
        <v/>
      </c>
      <c r="V36" s="880"/>
      <c r="W36" s="144" t="str">
        <f>IF(U36="","","Rep.")</f>
        <v/>
      </c>
      <c r="X36" s="144"/>
      <c r="Y36" s="144" t="str">
        <f>IF(Z36="","","Pts")</f>
        <v/>
      </c>
      <c r="Z36" s="880" t="str">
        <f>IF(PB!$AO$4=2,"",IF(AND(COUNT(PB!$A$6:$A$11)&gt;2,PB!$CF31="P"),PB!$CG31,""))</f>
        <v/>
      </c>
      <c r="AA36" s="880"/>
      <c r="AB36" s="144" t="str">
        <f>IF(Z36="","","Rep.")</f>
        <v/>
      </c>
      <c r="AC36" s="32"/>
      <c r="AD36" s="885"/>
      <c r="AE36" s="885"/>
      <c r="AF36" s="885"/>
      <c r="AG36" s="885"/>
      <c r="AH36" s="32"/>
      <c r="AI36" s="32"/>
      <c r="AJ36" s="32"/>
      <c r="AK36" s="145" t="str">
        <f>IF(AL36="","","PM")</f>
        <v/>
      </c>
      <c r="AL36" s="881" t="str" cm="1">
        <f t="array" ref="AL36">IF(SUM(PB!$Q$6:$Q$11)=0,"",IF(PB!$AO$4&gt;2,IF(_xlfn.XLOOKUP('T PB'!C37,"Licence n° "&amp;PB!$B$6:$B$11,PB!$AO$6:$AO$11,"",0,1)=1,"Forfait",_xlfn.XLOOKUP('T PB'!C37,"Licence n° "&amp;PB!$B$37:$B$42,PB!$Q$37:$Q$42,"",0,1)),""))</f>
        <v/>
      </c>
      <c r="AM36" s="881"/>
      <c r="AN36" s="145" t="str">
        <f>IF(AL36="","","MGP")</f>
        <v/>
      </c>
      <c r="AO36" s="32"/>
      <c r="AP36" s="151" t="str">
        <f>IF(AND(COUNT(PB!$A$6:$A$11)&gt;5,PB!$AO$4&gt;2,LEFT(PB!$F$13)="P"),"Pts Rk","")</f>
        <v/>
      </c>
      <c r="AQ36" s="32"/>
      <c r="AS36" s="832"/>
      <c r="AT36" s="32"/>
    </row>
    <row r="37" spans="1:46" ht="12.6" customHeight="1" x14ac:dyDescent="0.25">
      <c r="A37" s="32"/>
      <c r="B37" s="32"/>
      <c r="C37" s="147" t="str">
        <f>IF(PB!AO4=2,"",IF(COUNT(PB!A6:A11)&gt;5,"Licence n° "&amp;PB!B11,"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IF(AND(COUNT(PB!$A$6:$A$11)&gt;5,PB!$AO$4&gt;2,LEFT(PB!$F$13)="P"),"Bonus","")</f>
        <v/>
      </c>
      <c r="AQ37" s="32"/>
      <c r="AS37" s="833" t="s">
        <v>8125</v>
      </c>
      <c r="AT37" s="32"/>
    </row>
    <row r="38" spans="1:46" ht="50.1" customHeight="1" thickBot="1" x14ac:dyDescent="0.3">
      <c r="A38" s="32"/>
      <c r="B38" s="32"/>
      <c r="C38" s="149" t="str">
        <f>IF(PB!AO4=2,"",IF(COUNT(PB!A6:A11)&gt;5,PB!G11," "))</f>
        <v xml:space="preserve"> </v>
      </c>
      <c r="D38" s="32"/>
      <c r="E38" s="883" t="str">
        <f>IF(F36="","",IF(F36&gt;0,E35/G35,"/"))</f>
        <v/>
      </c>
      <c r="F38" s="883"/>
      <c r="G38" s="884" t="str">
        <f>IF(PB!$AO$4=2,"",IF(AND(COUNT(PB!$A$6:$A$11)&gt;2,PB!$CF35="P"),PB!$CD35,""))</f>
        <v/>
      </c>
      <c r="H38" s="884"/>
      <c r="I38" s="32"/>
      <c r="J38" s="883" t="str">
        <f>IF(K36="","",IF(K36&gt;0,J35/L35,"/"))</f>
        <v/>
      </c>
      <c r="K38" s="883"/>
      <c r="L38" s="884" t="str">
        <f>IF(PB!$AO$4=2,"",IF(AND(COUNT(PB!$A$6:$A$11)&gt;2,PB!$CF34="P"),PB!$CD34,""))</f>
        <v/>
      </c>
      <c r="M38" s="884"/>
      <c r="N38" s="32"/>
      <c r="O38" s="883" t="str">
        <f>IF(P36="","",IF(P36&gt;0,O35/Q35,"/"))</f>
        <v/>
      </c>
      <c r="P38" s="883"/>
      <c r="Q38" s="884" t="str">
        <f>IF(PB!$AO$4=2,"",IF(AND(COUNT(PB!$A$6:$A$11)&gt;2,PB!$CF33="P"),PB!$CD33,""))</f>
        <v/>
      </c>
      <c r="R38" s="884"/>
      <c r="S38" s="32"/>
      <c r="T38" s="883" t="str">
        <f>IF(U36="","",IF(U36&gt;0,T35/V35,"/"))</f>
        <v/>
      </c>
      <c r="U38" s="883"/>
      <c r="V38" s="884" t="str">
        <f>IF(PB!$AO$4=2,"",IF(AND(COUNT(PB!$A$6:$A$11)&gt;2,PB!$CF32="P"),PB!$CD32,""))</f>
        <v/>
      </c>
      <c r="W38" s="884"/>
      <c r="X38" s="32"/>
      <c r="Y38" s="883" t="str">
        <f>IF(Z36="","",IF(Z36&gt;0,Y35/AA35,"/"))</f>
        <v/>
      </c>
      <c r="Z38" s="883"/>
      <c r="AA38" s="884" t="str">
        <f>IF(PB!$AO$4=2,"",IF(AND(COUNT(PB!$A$6:$A$11)&gt;2,PB!$CF31="P"),PB!$CD31,""))</f>
        <v/>
      </c>
      <c r="AB38" s="884"/>
      <c r="AC38" s="32"/>
      <c r="AD38" s="885"/>
      <c r="AE38" s="885"/>
      <c r="AF38" s="885"/>
      <c r="AG38" s="885"/>
      <c r="AH38" s="32"/>
      <c r="AI38" s="32"/>
      <c r="AJ38" s="32"/>
      <c r="AK38" s="883" t="str" cm="1">
        <f t="array" ref="AK38">IF(PB!$AO$4&lt;3,"",IF(_xlfn.XLOOKUP('T PB'!C37,"Licence n° "&amp;PB!$B$6:$B$11,PB!$AO$6:$AO$11,"",0,1)=1,"",_xlfn.XLOOKUP('T PB'!C37,"Licence n° "&amp;PB!$B$6:$B$11,PB!$U$6:$U$11,"",0,1)))</f>
        <v/>
      </c>
      <c r="AL38" s="883"/>
      <c r="AM38" s="884" t="str" cm="1">
        <f t="array" ref="AM38">IF(PB!$AO$4&lt;3,"",IF(_xlfn.XLOOKUP('T PB'!C37,"Licence n° "&amp;PB!$B$6:$B$11,PB!$AO$6:$AO$11,"",0,1)=1,"",_xlfn.XLOOKUP('T PB'!C37,"Licence n° "&amp;PB!$B$6:$B$11,PB!$S$6:$S$11,"",0,1)))</f>
        <v/>
      </c>
      <c r="AN38" s="884"/>
      <c r="AO38" s="32"/>
      <c r="AP38" s="562" t="str" cm="1">
        <f t="array" ref="AP38">_xlfn.XLOOKUP(C37,"Licence n° "&amp;PB!$B$6:$B$11,PB!$X$6:$X$11,"",0,1)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VKaFC7PhF8eJhMJl6ksAbXiKUgPUZu3rUl5r/uEtBYCrWq/vzVCjLcjoYb6p9CCMr8Qu7+4cGnwJgiyUQRtprA==" saltValue="BS/IA+L+hxo6o6IH0QBeUA=="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980" priority="130">
      <formula>F16=0</formula>
    </cfRule>
    <cfRule type="expression" dxfId="1979" priority="129">
      <formula>F16=1</formula>
    </cfRule>
    <cfRule type="expression" dxfId="1978" priority="128">
      <formula>F16=2</formula>
    </cfRule>
  </conditionalFormatting>
  <conditionalFormatting sqref="F21">
    <cfRule type="expression" dxfId="1977" priority="113">
      <formula>F21=2</formula>
    </cfRule>
    <cfRule type="expression" dxfId="1976" priority="114">
      <formula>F21=1</formula>
    </cfRule>
    <cfRule type="expression" dxfId="1975" priority="115">
      <formula>F21=0</formula>
    </cfRule>
  </conditionalFormatting>
  <conditionalFormatting sqref="F26">
    <cfRule type="expression" dxfId="1974" priority="98">
      <formula>F26=2</formula>
    </cfRule>
    <cfRule type="expression" dxfId="1973" priority="99">
      <formula>F26=1</formula>
    </cfRule>
    <cfRule type="expression" dxfId="1972" priority="100">
      <formula>F26=0</formula>
    </cfRule>
  </conditionalFormatting>
  <conditionalFormatting sqref="F31">
    <cfRule type="expression" dxfId="1971" priority="83">
      <formula>F31=2</formula>
    </cfRule>
    <cfRule type="expression" dxfId="1970" priority="84">
      <formula>F31=1</formula>
    </cfRule>
    <cfRule type="expression" dxfId="1969" priority="85">
      <formula>F31=0</formula>
    </cfRule>
  </conditionalFormatting>
  <conditionalFormatting sqref="F36">
    <cfRule type="expression" dxfId="1968" priority="70">
      <formula>F36=0</formula>
    </cfRule>
    <cfRule type="expression" dxfId="1967" priority="69">
      <formula>F36=1</formula>
    </cfRule>
    <cfRule type="expression" dxfId="1966" priority="68">
      <formula>F36=2</formula>
    </cfRule>
  </conditionalFormatting>
  <conditionalFormatting sqref="J15:M18">
    <cfRule type="expression" dxfId="1957" priority="147">
      <formula>$J$15="MATCH 1"</formula>
    </cfRule>
  </conditionalFormatting>
  <conditionalFormatting sqref="K21">
    <cfRule type="expression" dxfId="1956" priority="110">
      <formula>K21=2</formula>
    </cfRule>
    <cfRule type="expression" dxfId="1955" priority="111">
      <formula>K21=1</formula>
    </cfRule>
    <cfRule type="expression" dxfId="1954" priority="112">
      <formula>K21=0</formula>
    </cfRule>
  </conditionalFormatting>
  <conditionalFormatting sqref="K26">
    <cfRule type="expression" dxfId="1953" priority="97">
      <formula>K26=0</formula>
    </cfRule>
    <cfRule type="expression" dxfId="1952" priority="96">
      <formula>K26=1</formula>
    </cfRule>
    <cfRule type="expression" dxfId="1951" priority="95">
      <formula>K26=2</formula>
    </cfRule>
  </conditionalFormatting>
  <conditionalFormatting sqref="K31">
    <cfRule type="expression" dxfId="1950" priority="82">
      <formula>K31=0</formula>
    </cfRule>
    <cfRule type="expression" dxfId="1949" priority="80">
      <formula>K31=2</formula>
    </cfRule>
    <cfRule type="expression" dxfId="1948" priority="81">
      <formula>K31=1</formula>
    </cfRule>
  </conditionalFormatting>
  <conditionalFormatting sqref="K36">
    <cfRule type="expression" dxfId="1947" priority="65">
      <formula>K36=2</formula>
    </cfRule>
    <cfRule type="expression" dxfId="1946" priority="66">
      <formula>K36=1</formula>
    </cfRule>
    <cfRule type="expression" dxfId="1945" priority="67">
      <formula>K36=0</formula>
    </cfRule>
  </conditionalFormatting>
  <conditionalFormatting sqref="K11:L12">
    <cfRule type="expression" dxfId="1944" priority="143">
      <formula>K11=2</formula>
    </cfRule>
    <cfRule type="expression" dxfId="1943" priority="144">
      <formula>K11=1</formula>
    </cfRule>
    <cfRule type="expression" dxfId="1942" priority="145">
      <formula>K11=0</formula>
    </cfRule>
  </conditionalFormatting>
  <conditionalFormatting sqref="O20:R23">
    <cfRule type="expression" dxfId="1935" priority="146">
      <formula>$O$20="MATCH 2"</formula>
    </cfRule>
  </conditionalFormatting>
  <conditionalFormatting sqref="P11">
    <cfRule type="expression" dxfId="1934" priority="140">
      <formula>P11=2</formula>
    </cfRule>
    <cfRule type="expression" dxfId="1933" priority="141">
      <formula>P11=1</formula>
    </cfRule>
    <cfRule type="expression" dxfId="1932" priority="142">
      <formula>P11=0</formula>
    </cfRule>
  </conditionalFormatting>
  <conditionalFormatting sqref="P16">
    <cfRule type="expression" dxfId="1931" priority="125">
      <formula>P16=2</formula>
    </cfRule>
    <cfRule type="expression" dxfId="1930" priority="127">
      <formula>P16=0</formula>
    </cfRule>
    <cfRule type="expression" dxfId="1929" priority="126">
      <formula>P16=1</formula>
    </cfRule>
  </conditionalFormatting>
  <conditionalFormatting sqref="P26">
    <cfRule type="expression" dxfId="1928" priority="93">
      <formula>P26=1</formula>
    </cfRule>
    <cfRule type="expression" dxfId="1927" priority="92">
      <formula>P26=2</formula>
    </cfRule>
    <cfRule type="expression" dxfId="1926" priority="94">
      <formula>P26=0</formula>
    </cfRule>
  </conditionalFormatting>
  <conditionalFormatting sqref="P31">
    <cfRule type="expression" dxfId="1925" priority="77">
      <formula>P31=2</formula>
    </cfRule>
    <cfRule type="expression" dxfId="1924" priority="78">
      <formula>P31=1</formula>
    </cfRule>
    <cfRule type="expression" dxfId="1923" priority="79">
      <formula>P31=0</formula>
    </cfRule>
  </conditionalFormatting>
  <conditionalFormatting sqref="P36">
    <cfRule type="expression" dxfId="1922" priority="64">
      <formula>P36=0</formula>
    </cfRule>
    <cfRule type="expression" dxfId="1921" priority="63">
      <formula>P36=1</formula>
    </cfRule>
    <cfRule type="expression" dxfId="1920" priority="62">
      <formula>P36=2</formula>
    </cfRule>
  </conditionalFormatting>
  <conditionalFormatting sqref="U11">
    <cfRule type="expression" dxfId="1919" priority="138">
      <formula>U11=1</formula>
    </cfRule>
    <cfRule type="expression" dxfId="1918" priority="139">
      <formula>U11=0</formula>
    </cfRule>
    <cfRule type="expression" dxfId="1917" priority="137">
      <formula>U11=2</formula>
    </cfRule>
  </conditionalFormatting>
  <conditionalFormatting sqref="U16">
    <cfRule type="expression" dxfId="1916" priority="123">
      <formula>U16=1</formula>
    </cfRule>
    <cfRule type="expression" dxfId="1915" priority="122">
      <formula>U16=2</formula>
    </cfRule>
    <cfRule type="expression" dxfId="1914" priority="124">
      <formula>U16=0</formula>
    </cfRule>
  </conditionalFormatting>
  <conditionalFormatting sqref="U21">
    <cfRule type="expression" dxfId="1913" priority="108">
      <formula>U21=1</formula>
    </cfRule>
    <cfRule type="expression" dxfId="1912" priority="109">
      <formula>U21=0</formula>
    </cfRule>
    <cfRule type="expression" dxfId="1911" priority="107">
      <formula>U21=2</formula>
    </cfRule>
  </conditionalFormatting>
  <conditionalFormatting sqref="U31">
    <cfRule type="expression" dxfId="1910" priority="76">
      <formula>U31=0</formula>
    </cfRule>
    <cfRule type="expression" dxfId="1909" priority="75">
      <formula>U31=1</formula>
    </cfRule>
    <cfRule type="expression" dxfId="1908" priority="74">
      <formula>U31=2</formula>
    </cfRule>
  </conditionalFormatting>
  <conditionalFormatting sqref="U36">
    <cfRule type="expression" dxfId="1907" priority="61">
      <formula>U36=0</formula>
    </cfRule>
    <cfRule type="expression" dxfId="1906" priority="60">
      <formula>U36=1</formula>
    </cfRule>
    <cfRule type="expression" dxfId="1905" priority="59">
      <formula>U36=2</formula>
    </cfRule>
  </conditionalFormatting>
  <conditionalFormatting sqref="Z11">
    <cfRule type="expression" dxfId="1904" priority="134">
      <formula>Z11=2</formula>
    </cfRule>
    <cfRule type="expression" dxfId="1903" priority="136">
      <formula>Z11=0</formula>
    </cfRule>
    <cfRule type="expression" dxfId="1902" priority="135">
      <formula>Z11=1</formula>
    </cfRule>
  </conditionalFormatting>
  <conditionalFormatting sqref="Z16">
    <cfRule type="expression" dxfId="1901" priority="119">
      <formula>Z16=2</formula>
    </cfRule>
    <cfRule type="expression" dxfId="1900" priority="120">
      <formula>Z16=1</formula>
    </cfRule>
    <cfRule type="expression" dxfId="1899" priority="121">
      <formula>Z16=0</formula>
    </cfRule>
  </conditionalFormatting>
  <conditionalFormatting sqref="Z21">
    <cfRule type="expression" dxfId="1898" priority="104">
      <formula>Z21=2</formula>
    </cfRule>
    <cfRule type="expression" dxfId="1897" priority="105">
      <formula>Z21=1</formula>
    </cfRule>
    <cfRule type="expression" dxfId="1896" priority="106">
      <formula>Z21=0</formula>
    </cfRule>
  </conditionalFormatting>
  <conditionalFormatting sqref="Z26">
    <cfRule type="expression" dxfId="1895" priority="89">
      <formula>Z26=2</formula>
    </cfRule>
    <cfRule type="expression" dxfId="1894" priority="90">
      <formula>Z26=1</formula>
    </cfRule>
    <cfRule type="expression" dxfId="1893" priority="91">
      <formula>Z26=0</formula>
    </cfRule>
  </conditionalFormatting>
  <conditionalFormatting sqref="Z36">
    <cfRule type="expression" dxfId="1892" priority="57">
      <formula>Z36=1</formula>
    </cfRule>
    <cfRule type="expression" dxfId="1891" priority="56">
      <formula>Z36=2</formula>
    </cfRule>
    <cfRule type="expression" dxfId="1890" priority="58">
      <formula>Z36=0</formula>
    </cfRule>
  </conditionalFormatting>
  <conditionalFormatting sqref="AE11">
    <cfRule type="expression" dxfId="1885" priority="133">
      <formula>AE11=0</formula>
    </cfRule>
    <cfRule type="expression" dxfId="1884" priority="132">
      <formula>AE11=1</formula>
    </cfRule>
    <cfRule type="expression" dxfId="1883" priority="131">
      <formula>AE11=2</formula>
    </cfRule>
  </conditionalFormatting>
  <conditionalFormatting sqref="AE16">
    <cfRule type="expression" dxfId="1882" priority="118">
      <formula>AE16=0</formula>
    </cfRule>
    <cfRule type="expression" dxfId="1881" priority="117">
      <formula>AE16=1</formula>
    </cfRule>
    <cfRule type="expression" dxfId="1880" priority="116">
      <formula>AE16=2</formula>
    </cfRule>
  </conditionalFormatting>
  <conditionalFormatting sqref="AE21">
    <cfRule type="expression" dxfId="1879" priority="101">
      <formula>AE21=2</formula>
    </cfRule>
    <cfRule type="expression" dxfId="1878" priority="103">
      <formula>AE21=0</formula>
    </cfRule>
    <cfRule type="expression" dxfId="1877" priority="102">
      <formula>AE21=1</formula>
    </cfRule>
  </conditionalFormatting>
  <conditionalFormatting sqref="AE26">
    <cfRule type="expression" dxfId="1876" priority="87">
      <formula>AE26=1</formula>
    </cfRule>
    <cfRule type="expression" dxfId="1875" priority="86">
      <formula>AE26=2</formula>
    </cfRule>
    <cfRule type="expression" dxfId="1874" priority="88">
      <formula>AE26=0</formula>
    </cfRule>
  </conditionalFormatting>
  <conditionalFormatting sqref="AE31">
    <cfRule type="expression" dxfId="1873" priority="72">
      <formula>AE31=1</formula>
    </cfRule>
    <cfRule type="expression" dxfId="1872" priority="73">
      <formula>AE31=0</formula>
    </cfRule>
    <cfRule type="expression" dxfId="1871" priority="71">
      <formula>AE31=2</formula>
    </cfRule>
  </conditionalFormatting>
  <hyperlinks>
    <hyperlink ref="AS2" location="'GESTION DES JOUEURS'!D4" display="GESTION DES JOUEURS" xr:uid="{F7F41FE9-36E3-42DF-ABE3-0067A1C97A94}"/>
    <hyperlink ref="AS10:AS11" location="PA!N18" display="PA!N18" xr:uid="{E5A716A7-A8FD-4595-B90F-52BD18002F4A}"/>
    <hyperlink ref="AS12:AS13" location="PB!N18" display="Poule B" xr:uid="{405D6400-41A6-4A82-8A5E-5F45BAAB846B}"/>
    <hyperlink ref="AS15:AS16" location="PC!N18" display="Poule C" xr:uid="{C9599914-60C0-4F26-96F9-170B699B1569}"/>
    <hyperlink ref="AS17:AS18" location="PD!N18" display="Poule D" xr:uid="{3B070DEF-888C-4214-A331-507A4190BAF9}"/>
    <hyperlink ref="AS20:AS21" location="PE!N18" display="Poule E" xr:uid="{F994AD75-1CBA-41FF-B354-9A54B88B2FB1}"/>
    <hyperlink ref="AS22:AS23" location="PF!N18" display="Poule F" xr:uid="{A200EC20-AFFF-495D-9C1A-430DB4A97B5F}"/>
    <hyperlink ref="AS25:AS26" location="PG!N18" display="Poule G" xr:uid="{3EEE3CE4-C505-4648-A8DA-549D27D6E573}"/>
    <hyperlink ref="AS27:AS28" location="PH!N18" display="Poule H" xr:uid="{4147D93E-58EE-434A-8F54-805A1415AF89}"/>
    <hyperlink ref="AS30:AS31" location="PI!N18" display="Poule I" xr:uid="{B5871FC3-5223-42F4-90CF-C12014CBC87D}"/>
    <hyperlink ref="AS32:AS33" location="PJ!N18" display="Poule J" xr:uid="{41E3AFAB-84D3-4EDA-A8B5-CF123C842AD5}"/>
    <hyperlink ref="AS35:AS36" location="PK!N18" display="Poule K" xr:uid="{D0EA98C0-76DB-4C11-AAD6-471633B1AFD9}"/>
    <hyperlink ref="AS37:AS38" location="PL!N18" display="Poule L" xr:uid="{16BBD7A8-529C-4925-AB4E-ADE7D76CB315}"/>
    <hyperlink ref="AV2" location="'Phase finale'!A1" display="Phase Finale" xr:uid="{BFBA0769-5C25-4FDA-A7C2-E772C9E31401}"/>
    <hyperlink ref="AV9:AV11" location="RESULTATS!A1" display="RESULTATS" xr:uid="{9A9B3F40-469C-42A2-8F32-50554A7DFAFD}"/>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9217" id="{F69BB5B9-4E59-41C8-B66F-80A8E47BD1B8}">
            <xm:f>AND(COUNT(PB!$A$6:$A$11)=3,PB!$AO$4&gt;2)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9248" id="{D43BC46C-0690-496C-8754-2AD84D8E765D}">
            <xm:f>AND(COUNT(PB!$A$6:$A$11)=4,PB!$AO$4&gt;2)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41930509-12FD-4D8C-BFC0-227741549710}">
            <xm:f>PB!$AO$4=2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9290" id="{69A1B72C-63C2-4232-82BB-F824FDF5BD94}">
            <xm:f>AND(COUNT(PB!$A$6:$A$11)=4,PB!$AO$4&gt;2)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CF59833E-9E2E-4B25-8874-DD4F3027DEAF}">
            <xm:f>PB!$AO$4=2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9310" id="{593009AC-EA20-49B5-87A7-B625CCCEE5F5}">
            <xm:f>AND(COUNT(PB!$A$6:$A$11)=5,PB!$AO$4&gt;2)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9315" id="{5EAFFC19-04D6-413A-B1C0-CF1CC04A1AF2}">
            <xm:f>AND(COUNT(PB!$A$6:$A$11)&gt;=5,PB!$AO$4&gt;2)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9370" id="{349C15CC-6097-45B0-AA90-B078C2E13491}">
            <xm:f>AND(COUNT(PB!$A$6:$A$11)&gt;=5,PB!$AO$4&gt;2)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9445" id="{261EB357-CF52-492C-925B-F91ADAF98EA5}">
            <xm:f>AND(COUNT(PB!$A$6:$A$11)=3,PB!$AO$4&gt;2)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9473" id="{6F7F346E-DC8E-48CF-BA1C-08B97F68A755}">
            <xm:f>PB!$AO$4=2</xm:f>
            <x14:dxf>
              <border>
                <top/>
                <vertical/>
                <horizontal/>
              </border>
            </x14:dxf>
          </x14:cfRule>
          <x14:cfRule type="expression" priority="19472" id="{6CB996E1-32C1-46C7-B4C5-A16046641D42}">
            <xm:f>AND(COUNT(PB!$A$6:$A$11)=4,PB!$AO$4&gt;2)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9508" id="{B4029181-EE88-4F8A-B82E-1BF12B247AA3}">
            <xm:f>AND(COUNT(PB!$A$6:$A$11)&gt;=5,PB!$AO$4&gt;2)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9583" id="{9BB3A778-706E-43B0-BD26-FA6F73C0AA06}">
            <xm:f>AND(COUNT(PB!$A$6:$A$11)=3,PB!$AO$4&gt;2)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9610" id="{1E4BCA8A-739F-45E6-B0E2-E66011BC863D}">
            <xm:f>AND(COUNT(PB!$A$6:$A$11)=4,PB!$AO$4&gt;2)</xm:f>
            <x14:dxf>
              <border>
                <bottom/>
                <vertical/>
                <horizontal/>
              </border>
            </x14:dxf>
          </x14:cfRule>
          <x14:cfRule type="expression" priority="19611" id="{673DE7D8-CB3A-41BE-B968-E22B16535DAB}">
            <xm:f>PB!$AO$4=2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9646" id="{7EAE78D0-0A66-470F-A526-036DEE208AFC}">
            <xm:f>AND(COUNT(PB!$A$6:$A$11)=4,PB!$AO$4&gt;2)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9676" id="{CD0FF58C-4BE6-49ED-B59B-78332F612A9C}">
            <xm:f>PB!$AO$4=2</xm:f>
            <x14:dxf>
              <border>
                <bottom/>
                <vertical/>
                <horizontal/>
              </border>
            </x14:dxf>
          </x14:cfRule>
          <x14:cfRule type="expression" priority="19677" id="{D1432B18-EEFC-43C7-BF7E-18B1441C1842}">
            <xm:f>AND(COUNT(PB!$A$6:$A$11)=4,PB!$AO$4&gt;2)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9678" id="{B8968B8C-B2A2-46CB-8F23-FAF91ADCE49D}">
            <xm:f>AND(COUNT(PB!$A$6:$A$11)=4,PB!$AO$4&gt;2)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9708" id="{B094B078-EC2E-47B5-94D8-F1D7460796C1}">
            <xm:f>AND(COUNT(PB!$A$6:$A$11)=3,PB!$AO$4&gt;2)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9720" id="{76A4C64A-0812-4DD6-8392-33DB67C3A865}">
            <xm:f>AND(COUNT(PB!$A$6:$A$11)&gt;=5,PB!$AO$4&gt;2)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9745" id="{A4B9669B-89C2-444C-9FB1-E7B2A51721E0}">
            <xm:f>AND(COUNT(PB!$A$6:$A$11)=6,PB!$AO$4&gt;2)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9778" id="{17C876DF-E638-4490-B4D2-7F373212C04A}">
            <xm:f>AND(COUNT(PB!$A$6:$A$11)=6,PB!$AO$4&gt;2)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9803" id="{8BB5A66D-4DC4-4373-B74F-C6B15A83BDF2}">
            <xm:f>AND(COUNT(PB!$A$6:$A$11)=6,PB!$AO$4&gt;2)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9836" id="{E9004F23-913C-4AE1-829F-19BDCA4340AD}">
            <xm:f>AND(COUNT(PB!$A$6:$A$11)=6,PB!$AO$4&gt;2)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9855" id="{1158DCE9-3A11-4307-8A92-664B141F6FEA}">
            <xm:f>AND(LEFT(PB!$F$13)="F",$AL$11=1,PB!$BU$5="X")</xm:f>
            <x14:dxf>
              <font>
                <color rgb="FF8E0000"/>
              </font>
              <fill>
                <patternFill>
                  <bgColor rgb="FFFBE93B"/>
                </patternFill>
              </fill>
            </x14:dxf>
          </x14:cfRule>
          <x14:cfRule type="expression" priority="19854" id="{42D29F9A-60A8-431E-93C2-F25A97BD9537}">
            <xm:f>AND(LEFT(PB!$F$13)="F",$AL$11=2,PB!$BU$5="X")</xm:f>
            <x14:dxf>
              <font>
                <color rgb="FF8E0000"/>
              </font>
              <fill>
                <patternFill>
                  <bgColor theme="2"/>
                </patternFill>
              </fill>
            </x14:dxf>
          </x14:cfRule>
          <x14:cfRule type="expression" priority="19853" id="{6870E1CA-E9BC-4E9D-83FF-EB73E6A677A7}">
            <xm:f>AND(LEFT(PB!$F$13)="F",$AL$11=3,PB!$BU$5="X")</xm:f>
            <x14:dxf>
              <font>
                <color rgb="FF8E0000"/>
              </font>
              <fill>
                <patternFill>
                  <bgColor rgb="FFFECF82"/>
                </patternFill>
              </fill>
            </x14:dxf>
          </x14:cfRule>
          <xm:sqref>AL11</xm:sqref>
        </x14:conditionalFormatting>
        <x14:conditionalFormatting xmlns:xm="http://schemas.microsoft.com/office/excel/2006/main">
          <x14:cfRule type="expression" priority="19857" id="{3278F7BA-F950-4611-AACD-5CBECD1EF16A}">
            <xm:f>AND(LEFT(PB!$F$13)="F",$AL$16=2,PB!$BU$5="X")</xm:f>
            <x14:dxf>
              <font>
                <color rgb="FF8E0000"/>
              </font>
              <fill>
                <patternFill>
                  <bgColor theme="2"/>
                </patternFill>
              </fill>
            </x14:dxf>
          </x14:cfRule>
          <x14:cfRule type="expression" priority="19858" id="{B8DE0B6D-A147-4E84-B3A7-642FD308E398}">
            <xm:f>AND(LEFT(PB!$F$13)="F",$AL$16=1,PB!$BU$5="X")</xm:f>
            <x14:dxf>
              <font>
                <color rgb="FF8E0000"/>
              </font>
              <fill>
                <patternFill>
                  <bgColor rgb="FFFBE93B"/>
                </patternFill>
              </fill>
            </x14:dxf>
          </x14:cfRule>
          <x14:cfRule type="expression" priority="19856" id="{947C9CAC-5B0B-44D0-976D-5CA17C71FB4E}">
            <xm:f>AND(LEFT(PB!$F$13)="F",$AL$16=3,PB!$BU$5="X")</xm:f>
            <x14:dxf>
              <font>
                <color rgb="FF8E0000"/>
              </font>
              <fill>
                <patternFill>
                  <bgColor rgb="FFFECF82"/>
                </patternFill>
              </fill>
            </x14:dxf>
          </x14:cfRule>
          <xm:sqref>AL16</xm:sqref>
        </x14:conditionalFormatting>
        <x14:conditionalFormatting xmlns:xm="http://schemas.microsoft.com/office/excel/2006/main">
          <x14:cfRule type="expression" priority="19859" id="{B247883E-BCBD-4D91-8548-FB5BA2F9536B}">
            <xm:f>AND(LEFT(PB!$F$13)="F",$AL$21=3,PB!$BU$5="X")</xm:f>
            <x14:dxf>
              <font>
                <color rgb="FF8E0000"/>
              </font>
              <fill>
                <patternFill>
                  <bgColor rgb="FFFECF82"/>
                </patternFill>
              </fill>
            </x14:dxf>
          </x14:cfRule>
          <x14:cfRule type="expression" priority="19860" id="{CE975DBD-852E-40E4-ABF2-DBA27848FAC2}">
            <xm:f>AND(LEFT(PB!$F$13)="F",$AL$21=2,PB!$BU$5="X")</xm:f>
            <x14:dxf>
              <font>
                <color rgb="FF8E0000"/>
              </font>
              <fill>
                <patternFill>
                  <bgColor theme="2"/>
                </patternFill>
              </fill>
            </x14:dxf>
          </x14:cfRule>
          <x14:cfRule type="expression" priority="19861" id="{2EFFA582-DA2C-41BB-97C3-B45D971A099A}">
            <xm:f>AND(LEFT(PB!$F$13)="F",$AL$21=1,PB!$BU$5="X")</xm:f>
            <x14:dxf>
              <font>
                <color rgb="FF8E0000"/>
              </font>
              <fill>
                <patternFill>
                  <bgColor rgb="FFFBE93B"/>
                </patternFill>
              </fill>
            </x14:dxf>
          </x14:cfRule>
          <xm:sqref>AL21</xm:sqref>
        </x14:conditionalFormatting>
        <x14:conditionalFormatting xmlns:xm="http://schemas.microsoft.com/office/excel/2006/main">
          <x14:cfRule type="expression" priority="19864" id="{80727567-0487-4512-842D-6AF09D333366}">
            <xm:f>AND(LEFT(PB!$F$13)="F",$AL$26=1,PB!$BU$5="X")</xm:f>
            <x14:dxf>
              <font>
                <color rgb="FF8E0000"/>
              </font>
              <fill>
                <patternFill>
                  <bgColor rgb="FFFBE93B"/>
                </patternFill>
              </fill>
            </x14:dxf>
          </x14:cfRule>
          <x14:cfRule type="expression" priority="19863" id="{1096AC8D-F5B4-43A6-9686-E860AB5AA6E2}">
            <xm:f>AND(LEFT(PB!$F$13)="F",$AL$26=2,PB!$BU$5="X")</xm:f>
            <x14:dxf>
              <font>
                <color rgb="FF8E0000"/>
              </font>
              <fill>
                <patternFill>
                  <bgColor theme="2"/>
                </patternFill>
              </fill>
            </x14:dxf>
          </x14:cfRule>
          <x14:cfRule type="expression" priority="19862" id="{1A9807B2-2032-4CAF-A154-51AEF0F37ADC}">
            <xm:f>AND(LEFT(PB!$F$13)="F",$AL$26=3,PB!$BU$5="X")</xm:f>
            <x14:dxf>
              <font>
                <color rgb="FF8E0000"/>
              </font>
              <fill>
                <patternFill>
                  <bgColor rgb="FFFECF82"/>
                </patternFill>
              </fill>
            </x14:dxf>
          </x14:cfRule>
          <xm:sqref>AL26</xm:sqref>
        </x14:conditionalFormatting>
        <x14:conditionalFormatting xmlns:xm="http://schemas.microsoft.com/office/excel/2006/main">
          <x14:cfRule type="expression" priority="19866" id="{2DC72776-C864-42C4-AF8A-D43D9FC7BEE0}">
            <xm:f>AND(LEFT(PB!$F$13)="F",$AL$31=2,PB!$BU$5="X")</xm:f>
            <x14:dxf>
              <font>
                <color rgb="FF8E0000"/>
              </font>
              <fill>
                <patternFill>
                  <bgColor theme="2"/>
                </patternFill>
              </fill>
            </x14:dxf>
          </x14:cfRule>
          <x14:cfRule type="expression" priority="19865" id="{D436B651-9A92-4C9B-AE3D-72C25D1E95FD}">
            <xm:f>AND(LEFT(PB!$F$13)="F",$AL$31=3,PB!$BU$5="X")</xm:f>
            <x14:dxf>
              <font>
                <color rgb="FF8E0000"/>
              </font>
              <fill>
                <patternFill>
                  <bgColor rgb="FFFECF82"/>
                </patternFill>
              </fill>
            </x14:dxf>
          </x14:cfRule>
          <x14:cfRule type="expression" priority="19867" id="{4DF447AC-E998-42D0-B9DF-5CB8CF05396F}">
            <xm:f>AND(LEFT(PB!$F$13)="F",$AL$31=1,PB!$BU$5="X")</xm:f>
            <x14:dxf>
              <font>
                <color rgb="FF8E0000"/>
              </font>
              <fill>
                <patternFill>
                  <bgColor rgb="FFFBE93B"/>
                </patternFill>
              </fill>
            </x14:dxf>
          </x14:cfRule>
          <xm:sqref>AL31</xm:sqref>
        </x14:conditionalFormatting>
        <x14:conditionalFormatting xmlns:xm="http://schemas.microsoft.com/office/excel/2006/main">
          <x14:cfRule type="expression" priority="19868" id="{EE3DAB67-D441-47AD-B695-A668EF6E4E65}">
            <xm:f>AND(LEFT(PB!$F$13)="F",$AL$36=3,PB!$BU$5="X")</xm:f>
            <x14:dxf>
              <font>
                <color rgb="FF8E0000"/>
              </font>
              <fill>
                <patternFill>
                  <bgColor rgb="FFFECF82"/>
                </patternFill>
              </fill>
            </x14:dxf>
          </x14:cfRule>
          <x14:cfRule type="expression" priority="19869" id="{D77E6F0D-FD5A-4FBF-A1F8-068003AEF659}">
            <xm:f>AND(LEFT(PB!$F$13)="F",$AL$36=2,PB!$BU$5="X")</xm:f>
            <x14:dxf>
              <font>
                <color rgb="FF8E0000"/>
              </font>
              <fill>
                <patternFill>
                  <bgColor theme="2"/>
                </patternFill>
              </fill>
            </x14:dxf>
          </x14:cfRule>
          <x14:cfRule type="expression" priority="19870" id="{821AB81F-AB04-4EC8-99A7-6257BD95678A}">
            <xm:f>AND(LEFT(PB!$F$13)="F",$AL$36=1,PB!$BU$5="X")</xm:f>
            <x14:dxf>
              <font>
                <color rgb="FF8E0000"/>
              </font>
              <fill>
                <patternFill>
                  <bgColor rgb="FFFBE93B"/>
                </patternFill>
              </fill>
            </x14:dxf>
          </x14:cfRule>
          <xm:sqref>AL36</xm:sqref>
        </x14:conditionalFormatting>
        <x14:conditionalFormatting xmlns:xm="http://schemas.microsoft.com/office/excel/2006/main">
          <x14:cfRule type="expression" priority="148" id="{C8ED8A75-DEC9-406D-B8A6-FD89DC77A138}">
            <xm:f>LEFT(PB!$B$15)="3"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748" id="{38DB1FB3-3FFE-4E7D-966A-C68F54262270}">
            <xm:f>AND(LEFT(PA!$F$13)="P",PA!$AO$4&gt;1)</xm:f>
            <x14:dxf>
              <border>
                <bottom/>
                <vertical/>
                <horizontal/>
              </border>
            </x14:dxf>
          </x14:cfRule>
          <xm:sqref>AP10 AP12 AP15 AP17</xm:sqref>
        </x14:conditionalFormatting>
        <x14:conditionalFormatting xmlns:xm="http://schemas.microsoft.com/office/excel/2006/main">
          <x14:cfRule type="expression" priority="4" id="{083F5B0F-A619-42FD-B23B-B1F005677F61}">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752" id="{752A2098-580F-49AE-97E3-382FE19EAF44}">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754" id="{DCC1E915-A6BC-4C4C-A396-7BBAC9F95341}">
            <xm:f>AND(LEFT(PA!$F$13)="P",PA!$AO$4&gt;1)</xm:f>
            <x14:dxf>
              <border>
                <top/>
                <vertical/>
                <horizontal/>
              </border>
            </x14:dxf>
          </x14:cfRule>
          <xm:sqref>AP11 AP13 AP16 AP18</xm:sqref>
        </x14:conditionalFormatting>
        <x14:conditionalFormatting xmlns:xm="http://schemas.microsoft.com/office/excel/2006/main">
          <x14:cfRule type="expression" priority="11778" id="{32588E7A-565B-4C40-AF2C-ED2DE108A5BB}">
            <xm:f>AND(LEFT(PA!$F$13)="P",PA!$AO$4&gt;1)</xm:f>
            <x14:dxf>
              <fill>
                <patternFill>
                  <bgColor theme="1"/>
                </patternFill>
              </fill>
            </x14:dxf>
          </x14:cfRule>
          <xm:sqref>AP14 AP19</xm:sqref>
        </x14:conditionalFormatting>
        <x14:conditionalFormatting xmlns:xm="http://schemas.microsoft.com/office/excel/2006/main">
          <x14:cfRule type="expression" priority="11758" id="{065251C3-E920-4796-967B-A0C4AB60F937}">
            <xm:f>AND(LEFT(PA!$F$13)="P",PA!$AO$4&gt;2)</xm:f>
            <x14:dxf>
              <border>
                <bottom/>
                <vertical/>
                <horizontal/>
              </border>
            </x14:dxf>
          </x14:cfRule>
          <xm:sqref>AP20 AP22</xm:sqref>
        </x14:conditionalFormatting>
        <x14:conditionalFormatting xmlns:xm="http://schemas.microsoft.com/office/excel/2006/main">
          <x14:cfRule type="expression" priority="11760" id="{AB8B43BC-51AB-4C3F-B9CB-AD7F55C3055E}">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761" id="{2DBCA334-3D2A-4DF9-8ADB-AE7AF1205A00}">
            <xm:f>AND(LEFT(PA!$F$13)="P",PA!$AO$4&gt;2)</xm:f>
            <x14:dxf>
              <border>
                <top/>
                <vertical/>
                <horizontal/>
              </border>
            </x14:dxf>
          </x14:cfRule>
          <xm:sqref>AP21 AP23</xm:sqref>
        </x14:conditionalFormatting>
        <x14:conditionalFormatting xmlns:xm="http://schemas.microsoft.com/office/excel/2006/main">
          <x14:cfRule type="expression" priority="11780" id="{F34D9756-BDA7-420D-9880-2B34E224173D}">
            <xm:f>AND(LEFT(PA!$F$13)="P",PA!$AO$4&gt;2)</xm:f>
            <x14:dxf>
              <fill>
                <patternFill>
                  <bgColor theme="1"/>
                </patternFill>
              </fill>
            </x14:dxf>
          </x14:cfRule>
          <xm:sqref>AP24</xm:sqref>
        </x14:conditionalFormatting>
        <x14:conditionalFormatting xmlns:xm="http://schemas.microsoft.com/office/excel/2006/main">
          <x14:cfRule type="expression" priority="11763" id="{7B04371D-1DC6-4093-ABF5-4A771B1F7652}">
            <xm:f>AND(LEFT(PA!$F$13)="P",PA!$AO$4&gt;2,COUNT(PA!$A$6:$A$11)&gt;3)</xm:f>
            <x14:dxf>
              <border>
                <bottom/>
                <vertical/>
                <horizontal/>
              </border>
            </x14:dxf>
          </x14:cfRule>
          <xm:sqref>AP25 AP27</xm:sqref>
        </x14:conditionalFormatting>
        <x14:conditionalFormatting xmlns:xm="http://schemas.microsoft.com/office/excel/2006/main">
          <x14:cfRule type="expression" priority="11765" id="{96526868-A66B-40E6-9935-07FC9BF5913B}">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766" id="{06E8F8C0-F62D-4EBA-8D05-4601A493FB60}">
            <xm:f>AND(LEFT(PA!$F$13)="P",PA!$AO$4&gt;2,COUNT(PA!$A$6:$A$11)&gt;3)</xm:f>
            <x14:dxf>
              <border>
                <top/>
                <vertical/>
                <horizontal/>
              </border>
            </x14:dxf>
          </x14:cfRule>
          <xm:sqref>AP26 AP28</xm:sqref>
        </x14:conditionalFormatting>
        <x14:conditionalFormatting xmlns:xm="http://schemas.microsoft.com/office/excel/2006/main">
          <x14:cfRule type="expression" priority="11781" id="{BE067BD4-6D4D-4B4D-B948-3529C4C3AB73}">
            <xm:f>AND(LEFT(PA!$F$13)="P",PA!$AO$4&gt;2,COUNT(PA!$A$6:$A$11)&gt;3)</xm:f>
            <x14:dxf>
              <fill>
                <patternFill>
                  <bgColor theme="1"/>
                </patternFill>
              </fill>
            </x14:dxf>
          </x14:cfRule>
          <xm:sqref>AP29</xm:sqref>
        </x14:conditionalFormatting>
        <x14:conditionalFormatting xmlns:xm="http://schemas.microsoft.com/office/excel/2006/main">
          <x14:cfRule type="expression" priority="11768" id="{641EC9A0-ED76-46EC-B060-504DE345DE8A}">
            <xm:f>AND(LEFT(PA!$F$13)="P",PA!$AO$4&gt;2,COUNT(PA!$A$6:$A$11)&gt;4)</xm:f>
            <x14:dxf>
              <border>
                <bottom/>
                <vertical/>
                <horizontal/>
              </border>
            </x14:dxf>
          </x14:cfRule>
          <xm:sqref>AP30 AP32</xm:sqref>
        </x14:conditionalFormatting>
        <x14:conditionalFormatting xmlns:xm="http://schemas.microsoft.com/office/excel/2006/main">
          <x14:cfRule type="expression" priority="11770" id="{99DFBAD3-B979-45EE-AA19-EDE1A3FA135A}">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771" id="{2449D5A1-CB4D-4AEA-90C3-6A2883367F17}">
            <xm:f>AND(LEFT(PA!$F$13)="P",PA!$AO$4&gt;2,COUNT(PA!$A$6:$A$11)&gt;4)</xm:f>
            <x14:dxf>
              <border>
                <top/>
                <vertical/>
                <horizontal/>
              </border>
            </x14:dxf>
          </x14:cfRule>
          <xm:sqref>AP31 AP33</xm:sqref>
        </x14:conditionalFormatting>
        <x14:conditionalFormatting xmlns:xm="http://schemas.microsoft.com/office/excel/2006/main">
          <x14:cfRule type="expression" priority="11782" id="{3AAE182E-9846-4304-82FD-2C51C15F81C2}">
            <xm:f>AND(LEFT(PA!$F$13)="P",PA!$AO$4&gt;2,COUNT(PA!$A$6:$A$11)&gt;4)</xm:f>
            <x14:dxf>
              <fill>
                <patternFill>
                  <bgColor theme="1"/>
                </patternFill>
              </fill>
            </x14:dxf>
          </x14:cfRule>
          <xm:sqref>AP34</xm:sqref>
        </x14:conditionalFormatting>
        <x14:conditionalFormatting xmlns:xm="http://schemas.microsoft.com/office/excel/2006/main">
          <x14:cfRule type="expression" priority="11773" id="{499BD44B-1823-46D0-B336-1DCF94D3C203}">
            <xm:f>AND(LEFT(PA!$F$13)="P",PA!$AO$4&gt;2,COUNT(PA!$A$6:$A$11)&gt;5)</xm:f>
            <x14:dxf>
              <border>
                <bottom/>
                <vertical/>
                <horizontal/>
              </border>
            </x14:dxf>
          </x14:cfRule>
          <xm:sqref>AP35 AP37</xm:sqref>
        </x14:conditionalFormatting>
        <x14:conditionalFormatting xmlns:xm="http://schemas.microsoft.com/office/excel/2006/main">
          <x14:cfRule type="expression" priority="11775" id="{7A3B6866-9F08-44F7-9085-DDE7E331823C}">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776" id="{FF8360DD-53F8-471C-A3C9-0F16AEA64944}">
            <xm:f>AND(LEFT(PA!$F$13)="P",PA!$AO$4&gt;2,COUNT(PA!$A$6:$A$11)&gt;5)</xm:f>
            <x14:dxf>
              <border>
                <top/>
                <vertical/>
                <horizontal/>
              </border>
            </x14:dxf>
          </x14:cfRule>
          <xm:sqref>AP36 AP38</xm:sqref>
        </x14:conditionalFormatting>
        <x14:conditionalFormatting xmlns:xm="http://schemas.microsoft.com/office/excel/2006/main">
          <x14:cfRule type="expression" priority="19871" id="{36C8B949-4BD1-49CB-A6D2-B9BB6494042C}">
            <xm:f>AND(LEFT(PB!$F$13)="P",PB!$AO$4&gt;1)</xm:f>
            <x14:dxf>
              <fill>
                <patternFill>
                  <bgColor theme="1"/>
                </patternFill>
              </fill>
            </x14:dxf>
          </x14:cfRule>
          <xm:sqref>AP9:AQ9 AQ10:AQ19</xm:sqref>
        </x14:conditionalFormatting>
        <x14:conditionalFormatting xmlns:xm="http://schemas.microsoft.com/office/excel/2006/main">
          <x14:cfRule type="expression" priority="19873" id="{52203974-6E97-4935-9B98-E68B1FF6DF9F}">
            <xm:f>AND(LEFT(PB!$F$13)="P",PB!$AO$4&gt;2)</xm:f>
            <x14:dxf>
              <fill>
                <patternFill>
                  <bgColor theme="1"/>
                </patternFill>
              </fill>
            </x14:dxf>
          </x14:cfRule>
          <xm:sqref>AQ20:AQ24</xm:sqref>
        </x14:conditionalFormatting>
        <x14:conditionalFormatting xmlns:xm="http://schemas.microsoft.com/office/excel/2006/main">
          <x14:cfRule type="expression" priority="19874" id="{2E5A5446-57F2-4D6B-B5A7-D7BD9229B834}">
            <xm:f>AND(LEFT(PB!$F$13)="P",PB!$AO$4&gt;2,COUNT(PB!$A$6:$A$11)&gt;3)</xm:f>
            <x14:dxf>
              <fill>
                <patternFill>
                  <bgColor theme="1"/>
                </patternFill>
              </fill>
            </x14:dxf>
          </x14:cfRule>
          <xm:sqref>AQ25:AQ29</xm:sqref>
        </x14:conditionalFormatting>
        <x14:conditionalFormatting xmlns:xm="http://schemas.microsoft.com/office/excel/2006/main">
          <x14:cfRule type="expression" priority="19875" id="{6AD139C7-A7D4-482E-B690-38E26BF42CA8}">
            <xm:f>AND(LEFT(PB!$F$13)="P",PB!$AO$4&gt;2,COUNT(PB!$A$6:$A$11)&gt;4)</xm:f>
            <x14:dxf>
              <fill>
                <patternFill>
                  <bgColor theme="1"/>
                </patternFill>
              </fill>
            </x14:dxf>
          </x14:cfRule>
          <xm:sqref>AQ30:AQ34</xm:sqref>
        </x14:conditionalFormatting>
        <x14:conditionalFormatting xmlns:xm="http://schemas.microsoft.com/office/excel/2006/main">
          <x14:cfRule type="expression" priority="19876" id="{3BBAE7D4-03FE-43F6-A09F-1DDECC158894}">
            <xm:f>AND(LEFT(PB!$F$13)="P",PB!$AO$4&gt;2,COUNT(PB!$A$6:$A$11)&gt;5)</xm:f>
            <x14:dxf>
              <fill>
                <patternFill>
                  <bgColor theme="1"/>
                </patternFill>
              </fill>
            </x14:dxf>
          </x14:cfRule>
          <xm:sqref>AQ35:AQ38 AP39:AQ39</xm:sqref>
        </x14:conditionalFormatting>
        <x14:conditionalFormatting xmlns:xm="http://schemas.microsoft.com/office/excel/2006/main">
          <x14:cfRule type="expression" priority="39" id="{E7A8090A-FCDA-4C0A-BD74-59BA4798BAAD}">
            <xm:f>'GESTION DES JOUEURS'!$T$8&lt;2</xm:f>
            <x14:dxf>
              <font>
                <color theme="0" tint="-0.24994659260841701"/>
              </font>
              <fill>
                <patternFill>
                  <bgColor theme="0" tint="-0.24994659260841701"/>
                </patternFill>
              </fill>
            </x14:dxf>
          </x14:cfRule>
          <x14:cfRule type="expression" priority="40" id="{41B22BA8-DE50-45CF-8658-6E4BDFCFE463}">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691AB262-AF2C-43C1-A8A9-14DEF1565DCC}">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312A0B7F-5AEA-48CC-9F4A-F8BCC1FBFEDE}">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5BFC825D-076D-4E9A-A84F-F5BC26FB5A42}">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369FC699-C324-48C0-BCC5-F8B584434EF1}">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7E9EBE62-CEFA-4F1F-AA89-A64CE5A474BD}">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6BA5BE1E-80A8-4611-BE0B-7F550A90B95E}">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3FCF4FEB-7A08-47BD-8281-82C6FFBBB33C}">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93F2C6A9-0367-49B0-BE4A-BD50299A5347}">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A7723CB3-4BED-4084-95F7-DCCA75B3F6CB}">
            <xm:f>'GESTION DES JOUEURS'!$D$8="Finale"</xm:f>
            <x14:dxf>
              <font>
                <color theme="0" tint="-0.24994659260841701"/>
              </font>
              <fill>
                <patternFill>
                  <bgColor theme="0" tint="-0.24994659260841701"/>
                </patternFill>
              </fill>
            </x14:dxf>
          </x14:cfRule>
          <x14:cfRule type="expression" priority="25" id="{82FD120C-DB98-4E1C-BA13-2D0A1FCDF858}">
            <xm:f>OR('GESTION DES JOUEURS'!$D$8="poules",'GESTION DES JOUEURS'!$D$8="Finale")</xm:f>
            <x14:dxf>
              <font>
                <color theme="0" tint="-0.24994659260841701"/>
              </font>
              <fill>
                <patternFill>
                  <fgColor auto="1"/>
                  <bgColor theme="0" tint="-0.24994659260841701"/>
                </patternFill>
              </fill>
            </x14:dxf>
          </x14:cfRule>
          <x14:cfRule type="expression" priority="24" id="{420A1921-6404-4F46-BBBE-1A6049DDE8FE}">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7C9A3BEB-E64E-466A-AC01-F2E168D8DAC4}">
            <xm:f>'GESTION DES JOUEURS'!$T$8=1</xm:f>
            <x14:dxf>
              <font>
                <color theme="0" tint="-0.24994659260841701"/>
              </font>
              <fill>
                <patternFill>
                  <bgColor theme="0" tint="-0.24994659260841701"/>
                </patternFill>
              </fill>
            </x14:dxf>
          </x14:cfRule>
          <x14:cfRule type="expression" priority="3" id="{8CAF8A94-EE5D-4215-B85B-FEDE98C573FD}">
            <xm:f>OR('GESTION DES JOUEURS'!$D$8="Poules",'GESTION DES JOUEURS'!$D$8="Finale",'GESTION DES JOUEURS'!$D$8="Tournoi")</xm:f>
            <x14:dxf>
              <font>
                <color theme="0" tint="-0.24994659260841701"/>
              </font>
              <fill>
                <patternFill>
                  <bgColor theme="0" tint="-0.24994659260841701"/>
                </patternFill>
              </fill>
            </x14:dxf>
          </x14:cfRule>
          <x14:cfRule type="expression" priority="2" id="{39583FD2-0133-448B-B459-096AC08DEDDE}">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CC887B37-7AE4-46A1-8546-9CE3C1916933}">
            <xm:f>'GESTION DES JOUEURS'!$T$8=1</xm:f>
            <x14:dxf>
              <font>
                <color theme="0" tint="-0.24994659260841701"/>
              </font>
              <fill>
                <patternFill>
                  <bgColor theme="0" tint="-0.24994659260841701"/>
                </patternFill>
              </fill>
            </x14:dxf>
          </x14:cfRule>
          <x14:cfRule type="expression" priority="53" id="{2F743A70-D447-4A41-8A11-6FD8C4B9E17A}">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BCA46-AF4B-4246-ABBC-FF43FC157E8C}">
  <sheetPr>
    <tabColor rgb="FFFFE8A7"/>
  </sheetPr>
  <dimension ref="A1:CL70"/>
  <sheetViews>
    <sheetView topLeftCell="A34" zoomScale="115" zoomScaleNormal="115" workbookViewId="0">
      <selection activeCell="R22" sqref="R22:S22"/>
    </sheetView>
  </sheetViews>
  <sheetFormatPr baseColWidth="10" defaultColWidth="10.85546875" defaultRowHeight="15"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931" t="str">
        <f>'GESTION DES JOUEURS'!M15</f>
        <v>Poule C</v>
      </c>
      <c r="C2" s="932"/>
      <c r="D2" s="932"/>
      <c r="E2" s="932"/>
      <c r="F2" s="932"/>
      <c r="G2" s="932"/>
      <c r="H2" s="932"/>
      <c r="I2" s="932"/>
      <c r="J2" s="932"/>
      <c r="K2" s="932"/>
      <c r="L2" s="932"/>
      <c r="M2" s="932"/>
      <c r="N2" s="932"/>
      <c r="O2" s="932"/>
      <c r="P2" s="932"/>
      <c r="Q2" s="932"/>
      <c r="R2" s="932"/>
      <c r="S2" s="932"/>
      <c r="T2" s="932"/>
      <c r="U2" s="932"/>
      <c r="V2" s="932"/>
      <c r="W2" s="932"/>
      <c r="X2" s="933"/>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3</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Toutes les rencontres ont été jouées :</v>
      </c>
      <c r="BS5" s="900"/>
      <c r="BT5" s="900"/>
      <c r="BU5" s="285" t="str">
        <f>IF(MAX(C18:C32)=COUNTIF(A18:A32,"P"),"X","")</f>
        <v>X</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f t="shared" ref="A6:A11" si="0">IF(B6&lt;&gt;"",A5+1,"")</f>
        <v>1</v>
      </c>
      <c r="B6" s="357" t="str">
        <f>IFERROR(VLOOKUP("C1",'GESTION DES JOUEURS'!$AG$11:$AI$46,3,FALSE),"")</f>
        <v>111337F</v>
      </c>
      <c r="C6" s="938" t="str">
        <f>IFERROR(IF(B6="","",_xlfn.XLOOKUP(B6,'LICENCES 2025'!A:A,'LICENCES 2025'!G:G," ",0,1)),"")</f>
        <v>GONTHIER</v>
      </c>
      <c r="D6" s="939"/>
      <c r="E6" s="940" t="str">
        <f>IFERROR(IF(B6="","",_xlfn.XLOOKUP(B6,'LICENCES 2025'!A:A,'LICENCES 2025'!F:F,"",0,1)),"")</f>
        <v>ARNAUD</v>
      </c>
      <c r="F6" s="940"/>
      <c r="G6" s="941" t="str">
        <f>IFERROR(IF(B6="","",_xlfn.XLOOKUP(B6,'LICENCES 2025'!A:A,'LICENCES 2025'!E:E,"",0,1)),"")</f>
        <v>ASS. BILLARD AMATEUR DE SAINT MAUR</v>
      </c>
      <c r="H6" s="942"/>
      <c r="I6" s="358">
        <f>_xlfn.XLOOKUP(B6,Tableau19[Licence],Tableau19[Clt],"",0,1)</f>
        <v>3</v>
      </c>
      <c r="J6" s="256">
        <f>_xlfn.XLOOKUP(B6,Tableau19[Licence],Tableau19[Moy Gén],"",0,1)</f>
        <v>0</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R2</v>
      </c>
      <c r="L6" s="257">
        <f t="shared" ref="L6:L11" si="1">IF(A6="","",IF(AO6=1,0,COUNTIF($AQ$6:$AQ$11,AQ6)))</f>
        <v>2</v>
      </c>
      <c r="M6" s="385">
        <f t="shared" ref="M6:M11" si="2">_xlfn.SINGLE(_xlfn.XLOOKUP($AO$4,$AV$4:$BA$4,AV6:BA6,"",0,1))</f>
        <v>2</v>
      </c>
      <c r="N6" s="250" t="str">
        <f>IFERROR(IF(VLOOKUP(B6,Tableau19[],10,FALSE)=TRUE,"F",""),"")</f>
        <v/>
      </c>
      <c r="O6" s="251"/>
      <c r="P6" s="101">
        <f t="shared" ref="P6:P11" si="3">IFERROR(SUM(SUMIFS($N$18:$N$32,$G$18:$G$32,A6,$A$18:$A$32,"P"),SUMIFS($P$18:$P$32,$V$18:$V$32,A6,$A$18:$A$32,"P")),"")</f>
        <v>200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66</v>
      </c>
      <c r="R6" s="38"/>
      <c r="S6" s="39">
        <f t="shared" ref="S6:S11" si="4">IFERROR(IF(Q6=0,"",MAX(_xlfn.MAXIFS($M$18:$M$32,$G$18:$G$32,A6,$A$18:$A$32,"P",$N$18:$N$32,"&lt;&gt;"&amp;"Ab."),_xlfn.MAXIFS($Q$18:$Q$32,$V$18:$V$32,A6,$A$18:$A$32,"P",$P$18:$P$32,"&lt;&gt;"&amp;"Ab."))),"")</f>
        <v>19</v>
      </c>
      <c r="T6" s="102">
        <f t="shared" ref="T6:T11" si="5">IFERROR(P6/Q6,"")</f>
        <v>3.0303030303030303</v>
      </c>
      <c r="U6" s="102">
        <f t="shared" ref="U6:U11" si="6">IFERROR(IF(Q6=0,"",IF(MAX(_xlfn.MAXIFS($E$18:$E$32,$G$18:$G$32,A6,$A$18:$A$32,"P"),_xlfn.MAXIFS($W$18:$W$32,$V$18:$V$32,A6,$A$18:$A$32,"P"))=0,"/",MAX(_xlfn.MAXIFS($E$18:$E$32,$G$18:$G$32,A6,$A$18:$A$32,"P"),_xlfn.MAXIFS($W$18:$W$32,$V$18:$V$32,A6,$A$18:$A$32,"P")))),"")</f>
        <v>3.5714285714285716</v>
      </c>
      <c r="V6" s="112">
        <f t="shared" ref="V6:V11" si="7">IFERROR(IF(Q6=0,"",SUM(SUMIFS($D$18:$D$32,$G$18:$G$32,A6,$A$18:$A$32,"P"),SUMIFS($X$18:$X$32,$V$18:$V$32,A6,$A$18:$A$32,"P"))),"")</f>
        <v>4</v>
      </c>
      <c r="W6" s="37">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JOUEURS'!$Y$8="R",PouleATerminée="X"),_xlfn.XLOOKUP(($AO$4&amp;_xlfn.XLOOKUP(B6,$B$37:$B$42,$Q$37:$Q$42,"",0,1)&amp;_xlfn.XLOOKUP(B6,$B$37:$B$42,PC!$AE$37:$AE$42,"",0,1)),PTSRKPOULES[Colonne1],PTSRKPOULES[PR 3B],"",0,1),IF(AND('GESTION DES JOUEURS'!$D$8="Poules",'GESTION DES JOUEURS'!$Y$8="JDSR",PouleATerminée="X"),_xlfn.XLOOKUP($AO$4&amp;_xlfn.XLOOKUP(B6,$B$37:$B$42,$Q$37:$Q$42,"",0,1)&amp;_xlfn.XLOOKUP(B6,$B$37:$B$42,PC!$AE$37:$AE$42,"",0,1),PTSRKPOULES[Colonne1],PTSRKPOULES[PR JDS],"",0,1),""))))</f>
        <v>8</v>
      </c>
      <c r="X6" s="40">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2</v>
      </c>
      <c r="Y6" s="371" t="str">
        <f>IF(AND('GESTION DES JOUEURS'!$D$8="Open",B6&lt;&gt;""),AE6,"")</f>
        <v/>
      </c>
      <c r="AD6" s="554" t="str" cm="1">
        <f t="array" ref="AD6">_xlfn.XLOOKUP(B6,Tableau19[Licence],'GESTION DES JOUEURS'!$O$11:$O$46,"",0,1)</f>
        <v>R2</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ASS. BILLARD AMATEUR DE SAINT MAUR</v>
      </c>
      <c r="AR6" s="807"/>
      <c r="AS6" s="310" t="str">
        <f t="shared" ref="AS6:AS11" si="10">IF(LEFT($B$15)="3",TEXT(J6,"0,000"),TEXT(J6,"0,00"))</f>
        <v>0,00</v>
      </c>
      <c r="AT6" s="308">
        <f t="shared" ref="AT6:AT11" si="11">IF(AO6=1,AT5,AT5+1)</f>
        <v>1</v>
      </c>
      <c r="AU6" s="308">
        <f t="shared" ref="AU6:AU11" si="12">IF(OR(A6="",AO6=1),"",AT6)</f>
        <v>1</v>
      </c>
      <c r="AV6" s="308">
        <f t="shared" ref="AV6:AV11" si="13">IF(AU6=1,1,"")</f>
        <v>1</v>
      </c>
      <c r="AW6" s="308">
        <f>AU6</f>
        <v>1</v>
      </c>
      <c r="AX6" s="309">
        <f t="shared" ref="AX6:AX11" si="14">_xlfn.XLOOKUP(AU6,$BC$69:$BE$69,$BC$70:$BE$70,"",0,1)</f>
        <v>2</v>
      </c>
      <c r="AY6" s="309">
        <f t="shared" ref="AY6:AY11" si="15">_xlfn.XLOOKUP(AU6,$BC$57:$BF$57,$BC$58:$BF$58,"",0,1)</f>
        <v>1</v>
      </c>
      <c r="AZ6" s="309">
        <f t="shared" ref="AZ6:AZ11" si="16">_xlfn.XLOOKUP(AU6,$BC$44:$BG$44,$BC$45:$BG$45,"",0,1)</f>
        <v>2</v>
      </c>
      <c r="BA6" s="309">
        <f t="shared" ref="BA6:BA11" si="17">_xlfn.XLOOKUP(AU6,$BC$30:$BH$30,$BC$31:$BH$31,"",0,1)</f>
        <v>1</v>
      </c>
      <c r="BD6" s="327">
        <v>1</v>
      </c>
      <c r="BE6" s="327"/>
      <c r="BF6" s="327"/>
      <c r="BG6" s="327"/>
      <c r="BH6" s="327"/>
      <c r="BI6" s="327"/>
      <c r="BJ6" s="327">
        <f t="shared" ref="BJ6:BJ11" si="18">COUNT(BD6:BI6)</f>
        <v>1</v>
      </c>
      <c r="BK6" s="244" t="str" cm="1">
        <f t="array" ref="BK6:BK11">_xlfn.SORTBY(AQ6:AQ11,AU6:AU11,1)</f>
        <v>ASS. BILLARD AMATEUR DE SAINT MAUR</v>
      </c>
      <c r="BV6" s="286" t="s">
        <v>5466</v>
      </c>
      <c r="BW6" s="287" t="str" cm="1">
        <f t="array" ref="BW6">_xlfn.XLOOKUP(A6&amp;A11,G18:G32&amp;V18:V32,N18:N32,_xlfn.XLOOKUP(A11&amp;A6,G18:G32&amp;V18:V32,P18:P32,"",0,1),0,1)</f>
        <v/>
      </c>
      <c r="BX6" s="287" t="str" cm="1">
        <f t="array" ref="BX6">_xlfn.XLOOKUP(A6&amp;A11,G18:G32&amp;V18:V32,P18:P32,_xlfn.XLOOKUP(A11&amp;A6,G18:G32&amp;V18:V32,N18:N32,"",0,1),0,1)</f>
        <v/>
      </c>
      <c r="BY6" s="287" t="str" cm="1">
        <f t="array" ref="BY6">_xlfn.XLOOKUP(A6&amp;A11,$G$18:$G$32&amp;$V$18:$V$32,$M$18:$M$32,"",0,1)</f>
        <v/>
      </c>
      <c r="BZ6" s="287" t="str" cm="1">
        <f t="array" ref="BZ6">_xlfn.XLOOKUP(A6&amp;A11,$G$18:$G$32&amp;$V$18:$V$32,$Q$18:$Q$32,"",0,1)</f>
        <v/>
      </c>
      <c r="CA6" s="287" t="str" cm="1">
        <f t="array" ref="CA6">_xlfn.XLOOKUP(A6&amp;A11,G18:G32&amp;V18:V32,O18:O32,_xlfn.XLOOKUP(A11&amp;A6,G18:G32&amp;V18:V32,O18:O32,"",0,1),0,1)</f>
        <v/>
      </c>
      <c r="CB6" s="288" t="str" cm="1">
        <f t="array" ref="CB6">_xlfn.XLOOKUP(A6&amp;A11,G18:G32&amp;V18:V32,A18:A32,"",0,1)</f>
        <v/>
      </c>
      <c r="CC6" s="289" t="str">
        <f>IF(COUNTBLANK($AO$6:$AO$11)=2,SUM(BW6,BX35),IF(BW6="",BX35,BW6))</f>
        <v/>
      </c>
      <c r="CD6" s="287" t="str">
        <f>IF(CC6="Ab.","",IF(BY6="",BZ35,BY6))</f>
        <v/>
      </c>
      <c r="CE6" s="287" t="str">
        <f>IF(CC6="ab.","",CA6)</f>
        <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x14ac:dyDescent="0.25">
      <c r="A7" s="365">
        <f t="shared" si="0"/>
        <v>2</v>
      </c>
      <c r="B7" s="41" t="str">
        <f>IFERROR(VLOOKUP("C2",'GESTION DES JOUEURS'!$AG$11:$AI$46,3,FALSE),"")</f>
        <v>013922M</v>
      </c>
      <c r="C7" s="766" t="str">
        <f>IFERROR(IF(B7="","",_xlfn.XLOOKUP(B7,'LICENCES 2025'!A:A,'LICENCES 2025'!G:G," ",0,1)),"")</f>
        <v>PEYROLE</v>
      </c>
      <c r="D7" s="767"/>
      <c r="E7" s="728" t="str">
        <f>IFERROR(IF(B7="","",_xlfn.XLOOKUP(B7,'LICENCES 2025'!A:A,'LICENCES 2025'!F:F,"",0,1)),"")</f>
        <v>PHILIPPE</v>
      </c>
      <c r="F7" s="728"/>
      <c r="G7" s="802" t="str">
        <f>IFERROR(IF(B7="","",_xlfn.XLOOKUP(B7,'LICENCES 2025'!A:A,'LICENCES 2025'!E:E,"",0,1)),"")</f>
        <v>BILLARD CLUB DE LIVRY GARGAN</v>
      </c>
      <c r="H7" s="803"/>
      <c r="I7" s="356">
        <f>_xlfn.XLOOKUP(B7,Tableau19[Licence],Tableau19[Clt],"",0,1)</f>
        <v>6</v>
      </c>
      <c r="J7" s="258">
        <f>_xlfn.XLOOKUP(B7,Tableau19[Licence],Tableau19[Moy Gén],"",0,1)</f>
        <v>0</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R2</v>
      </c>
      <c r="L7" s="259">
        <f t="shared" si="1"/>
        <v>1</v>
      </c>
      <c r="M7" s="386">
        <f t="shared" si="2"/>
        <v>1</v>
      </c>
      <c r="N7" s="252" t="str">
        <f>IFERROR(IF(VLOOKUP(B7,Tableau19[],10,FALSE)=TRUE,"F",""),"")</f>
        <v/>
      </c>
      <c r="O7" s="253"/>
      <c r="P7" s="103">
        <f t="shared" si="3"/>
        <v>158</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78</v>
      </c>
      <c r="R7" s="42"/>
      <c r="S7" s="43">
        <f t="shared" si="4"/>
        <v>14</v>
      </c>
      <c r="T7" s="104">
        <f t="shared" si="5"/>
        <v>2.0256410256410255</v>
      </c>
      <c r="U7" s="104" t="str">
        <f t="shared" si="6"/>
        <v>/</v>
      </c>
      <c r="V7" s="116">
        <f t="shared" si="7"/>
        <v>0</v>
      </c>
      <c r="W7" s="41">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JOUEURS'!$Y$8="R",PouleATerminée="X"),_xlfn.XLOOKUP(($AO$4&amp;_xlfn.XLOOKUP(B7,$B$37:$B$42,$Q$37:$Q$42,"",0,1)&amp;_xlfn.XLOOKUP(B7,$B$37:$B$42,PC!$AE$37:$AE$42,"",0,1)),PTSRKPOULES[Colonne1],PTSRKPOULES[PR 3B],"",0,1),IF(AND('GESTION DES JOUEURS'!$D$8="Poules",'GESTION DES JOUEURS'!$Y$8="JDSR",PouleATerminée="X"),_xlfn.XLOOKUP($AO$4&amp;_xlfn.XLOOKUP(B7,$B$37:$B$42,$Q$37:$Q$42,"",0,1)&amp;_xlfn.XLOOKUP(B7,$B$37:$B$42,PC!$AE$37:$AE$42,"",0,1),PTSRKPOULES[Colonne1],PTSRKPOULES[PR JDS],"",0,1),""))))</f>
        <v>3</v>
      </c>
      <c r="X7" s="44">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2</v>
      </c>
      <c r="Y7" s="371" t="str">
        <f>IF(AND('GESTION DES JOUEURS'!$D$8="Open",B7&lt;&gt;""),AE7,"")</f>
        <v/>
      </c>
      <c r="AA7" s="901" t="s">
        <v>8129</v>
      </c>
      <c r="AD7" s="554" t="str" cm="1">
        <f t="array" ref="AD7">_xlfn.XLOOKUP(B7,Tableau19[Licence],'GESTION DES JOUEURS'!$O$11:$O$46,"",0,1)</f>
        <v>R2</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BILLARD CLUB DE LIVRY GARGAN</v>
      </c>
      <c r="AR7" s="807"/>
      <c r="AS7" s="310" t="str">
        <f t="shared" si="10"/>
        <v>0,00</v>
      </c>
      <c r="AT7" s="308">
        <f t="shared" si="11"/>
        <v>2</v>
      </c>
      <c r="AU7" s="308">
        <f t="shared" si="12"/>
        <v>2</v>
      </c>
      <c r="AV7" s="308" t="str">
        <f t="shared" si="13"/>
        <v/>
      </c>
      <c r="AW7" s="308">
        <f>AU7</f>
        <v>2</v>
      </c>
      <c r="AX7" s="309">
        <f t="shared" si="14"/>
        <v>1</v>
      </c>
      <c r="AY7" s="309">
        <f t="shared" si="15"/>
        <v>2</v>
      </c>
      <c r="AZ7" s="309">
        <f t="shared" si="16"/>
        <v>1</v>
      </c>
      <c r="BA7" s="309">
        <f t="shared" si="17"/>
        <v>2</v>
      </c>
      <c r="BD7" s="327" t="b">
        <f>IF(BK7=BK6,A7)</f>
        <v>0</v>
      </c>
      <c r="BE7" s="327">
        <v>2</v>
      </c>
      <c r="BF7" s="327"/>
      <c r="BG7" s="327"/>
      <c r="BH7" s="327"/>
      <c r="BI7" s="327"/>
      <c r="BJ7" s="327">
        <f t="shared" si="18"/>
        <v>1</v>
      </c>
      <c r="BK7" s="244" t="str">
        <v>BILLARD CLUB DE LIVRY GARGAN</v>
      </c>
      <c r="BV7" s="292" t="s">
        <v>5467</v>
      </c>
      <c r="BW7" s="223" t="str" cm="1">
        <f t="array" ref="BW7">_xlfn.XLOOKUP(A6&amp;A10,G18:G32&amp;V18:V32,N18:N32,_xlfn.XLOOKUP(A10&amp;A6,G18:G32&amp;V18:V32,P18:P32,"",0,1),0,1)</f>
        <v/>
      </c>
      <c r="BX7" s="223" t="str" cm="1">
        <f t="array" ref="BX7">_xlfn.XLOOKUP(A6&amp;A10,G18:G32&amp;V18:V32,P18:P32,_xlfn.XLOOKUP(A10&amp;A6,G18:G32&amp;V18:V32,N18:N32,"",0,1),0,1)</f>
        <v/>
      </c>
      <c r="BY7" s="223" t="str" cm="1">
        <f t="array" ref="BY7">_xlfn.XLOOKUP(A6&amp;A10,$G$18:$G$32&amp;$V$18:$V$32,$M$18:$M$32,"",0,1)</f>
        <v/>
      </c>
      <c r="BZ7" s="223" t="str" cm="1">
        <f t="array" ref="BZ7">_xlfn.XLOOKUP(A6&amp;A10,$G$18:$G$32&amp;$V$18:$V$32,$Q$18:$Q$32,"",0,1)</f>
        <v/>
      </c>
      <c r="CA7" s="223" t="str" cm="1">
        <f t="array" ref="CA7">_xlfn.XLOOKUP(A6&amp;A10,G18:G32&amp;V18:V32,O18:O32,_xlfn.XLOOKUP(A10&amp;A6,G18:G32&amp;V18:V32,O18:O32,"",0,1),0,1)</f>
        <v/>
      </c>
      <c r="CB7" s="293" t="str" cm="1">
        <f t="array" ref="CB7">_xlfn.XLOOKUP(A6&amp;A10,G18:G32&amp;V18:V32,A18:A32,"",0,1)</f>
        <v/>
      </c>
      <c r="CC7" s="237" t="str">
        <f>IF(COUNTBLANK($AO$6:$AO$11)=2,SUM(BW7,BX30),IF(BW7="",BX30,BW7))</f>
        <v/>
      </c>
      <c r="CD7" s="223" t="str">
        <f>IF(CC7="Ab.","",IF(BY7="",BZ30,BY7))</f>
        <v/>
      </c>
      <c r="CE7" s="223" t="str">
        <f t="shared" ref="CE7:CE35" si="20">IF(CC7="ab.","",CA7)</f>
        <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x14ac:dyDescent="0.25">
      <c r="A8" s="365">
        <f t="shared" si="0"/>
        <v>3</v>
      </c>
      <c r="B8" s="41" t="str">
        <f>IFERROR(VLOOKUP("C3",'GESTION DES JOUEURS'!$AG$11:$AI$46,3,FALSE),"")</f>
        <v>154522J</v>
      </c>
      <c r="C8" s="766" t="str">
        <f>IFERROR(IF(B8="","",_xlfn.XLOOKUP(B8,'LICENCES 2025'!A:A,'LICENCES 2025'!G:G," ",0,1)),"")</f>
        <v>PIVONET</v>
      </c>
      <c r="D8" s="767"/>
      <c r="E8" s="728" t="str">
        <f>IFERROR(IF(B8="","",_xlfn.XLOOKUP(B8,'LICENCES 2025'!A:A,'LICENCES 2025'!F:F,"",0,1)),"")</f>
        <v>FRANCIS</v>
      </c>
      <c r="F8" s="728"/>
      <c r="G8" s="802" t="str">
        <f>IFERROR(IF(B8="","",_xlfn.XLOOKUP(B8,'LICENCES 2025'!A:A,'LICENCES 2025'!E:E,"",0,1)),"")</f>
        <v>ASS. BILLARD AMATEUR DE SAINT MAUR</v>
      </c>
      <c r="H8" s="803"/>
      <c r="I8" s="356">
        <f>_xlfn.XLOOKUP(B8,Tableau19[Licence],Tableau19[Clt],"",0,1)</f>
        <v>13</v>
      </c>
      <c r="J8" s="258">
        <f>_xlfn.XLOOKUP(B8,Tableau19[Licence],Tableau19[Moy Gén],"",0,1)</f>
        <v>0</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R2</v>
      </c>
      <c r="L8" s="259">
        <f t="shared" si="1"/>
        <v>2</v>
      </c>
      <c r="M8" s="386">
        <f t="shared" si="2"/>
        <v>3</v>
      </c>
      <c r="N8" s="252" t="str">
        <f>IFERROR(IF(VLOOKUP(B8,Tableau19[],10,FALSE)=TRUE,"F",""),"")</f>
        <v/>
      </c>
      <c r="O8" s="253"/>
      <c r="P8" s="103">
        <f t="shared" si="3"/>
        <v>151</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68</v>
      </c>
      <c r="R8" s="42"/>
      <c r="S8" s="43">
        <f t="shared" si="4"/>
        <v>23</v>
      </c>
      <c r="T8" s="104">
        <f t="shared" si="5"/>
        <v>2.2205882352941178</v>
      </c>
      <c r="U8" s="104">
        <f t="shared" si="6"/>
        <v>2.375</v>
      </c>
      <c r="V8" s="116">
        <f t="shared" si="7"/>
        <v>2</v>
      </c>
      <c r="W8" s="41">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JOUEURS'!$Y$8="R",PouleATerminée="X"),_xlfn.XLOOKUP(($AO$4&amp;_xlfn.XLOOKUP(B8,$B$37:$B$42,$Q$37:$Q$42,"",0,1)&amp;_xlfn.XLOOKUP(B8,$B$37:$B$42,PC!$AE$37:$AE$42,"",0,1)),PTSRKPOULES[Colonne1],PTSRKPOULES[PR 3B],"",0,1),IF(AND('GESTION DES JOUEURS'!$D$8="Poules",'GESTION DES JOUEURS'!$Y$8="JDSR",PouleATerminée="X"),_xlfn.XLOOKUP($AO$4&amp;_xlfn.XLOOKUP(B8,$B$37:$B$42,$Q$37:$Q$42,"",0,1)&amp;_xlfn.XLOOKUP(B8,$B$37:$B$42,PC!$AE$37:$AE$42,"",0,1),PTSRKPOULES[Colonne1],PTSRKPOULES[PR JDS],"",0,1),""))))</f>
        <v>5</v>
      </c>
      <c r="X8" s="44">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2</v>
      </c>
      <c r="Y8" s="371" t="str">
        <f>IF(AND('GESTION DES JOUEURS'!$D$8="Open",B8&lt;&gt;""),AE8,"")</f>
        <v/>
      </c>
      <c r="AA8" s="902"/>
      <c r="AD8" s="554" t="str" cm="1">
        <f t="array" ref="AD8">_xlfn.XLOOKUP(B8,Tableau19[Licence],'GESTION DES JOUEURS'!$O$11:$O$46,"",0,1)</f>
        <v>R2</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ASS. BILLARD AMATEUR DE SAINT MAUR</v>
      </c>
      <c r="AR8" s="807"/>
      <c r="AS8" s="310" t="str">
        <f t="shared" si="10"/>
        <v>0,00</v>
      </c>
      <c r="AT8" s="308">
        <f t="shared" si="11"/>
        <v>3</v>
      </c>
      <c r="AU8" s="308">
        <f t="shared" si="12"/>
        <v>3</v>
      </c>
      <c r="AV8" s="308" t="str">
        <f t="shared" si="13"/>
        <v/>
      </c>
      <c r="AW8" s="308" t="str">
        <f>IF(SUM($AW$6:AW7)=3,"",AU8)</f>
        <v/>
      </c>
      <c r="AX8" s="309">
        <f t="shared" si="14"/>
        <v>3</v>
      </c>
      <c r="AY8" s="309">
        <f t="shared" si="15"/>
        <v>4</v>
      </c>
      <c r="AZ8" s="309">
        <f t="shared" si="16"/>
        <v>5</v>
      </c>
      <c r="BA8" s="309">
        <f t="shared" si="17"/>
        <v>6</v>
      </c>
      <c r="BD8" s="327">
        <f>IF(BK8=BK6,A8)</f>
        <v>3</v>
      </c>
      <c r="BE8" s="327" t="b">
        <f>IF(BK8=BK7,A8)</f>
        <v>0</v>
      </c>
      <c r="BF8" s="327">
        <v>3</v>
      </c>
      <c r="BG8" s="327"/>
      <c r="BH8" s="327"/>
      <c r="BI8" s="327"/>
      <c r="BJ8" s="327">
        <f t="shared" si="18"/>
        <v>2</v>
      </c>
      <c r="BK8" s="244" t="str">
        <v>ASS. BILLARD AMATEUR DE SAINT MAUR</v>
      </c>
      <c r="BV8" s="292" t="s">
        <v>5468</v>
      </c>
      <c r="BW8" s="223" t="str" cm="1">
        <f t="array" ref="BW8">_xlfn.XLOOKUP(A6&amp;A9,G18:G32&amp;V18:V32,N18:N32,_xlfn.XLOOKUP(A9&amp;A6,G18:G32&amp;V18:V32,P18:P32,"",0,1),0,1)</f>
        <v/>
      </c>
      <c r="BX8" s="223" t="str" cm="1">
        <f t="array" ref="BX8">_xlfn.XLOOKUP(A6&amp;A9,G18:G32&amp;V18:V32,P18:P32,_xlfn.XLOOKUP(A9&amp;A6,G18:G32&amp;V18:V32,N18:N32,"",0,1),0,1)</f>
        <v/>
      </c>
      <c r="BY8" s="223" t="str" cm="1">
        <f t="array" ref="BY8">_xlfn.XLOOKUP(A6&amp;A9,$G$18:$G$32&amp;$V$18:$V$32,$M$18:$M$32,"",0,1)</f>
        <v/>
      </c>
      <c r="BZ8" s="223" t="str" cm="1">
        <f t="array" ref="BZ8">_xlfn.XLOOKUP(A6&amp;A9,$G$18:$G$32&amp;$V$18:$V$32,$Q$18:$Q$32,"",0,1)</f>
        <v/>
      </c>
      <c r="CA8" s="223" t="str" cm="1">
        <f t="array" ref="CA8">_xlfn.XLOOKUP(A6&amp;A9,G18:G32&amp;V18:V32,O18:O32,_xlfn.XLOOKUP(A9&amp;A6,G18:G32&amp;V18:V32,O18:O32,"",0,1),0,1)</f>
        <v/>
      </c>
      <c r="CB8" s="293" t="str" cm="1">
        <f t="array" ref="CB8">_xlfn.XLOOKUP(A6&amp;A9,G18:G32&amp;V18:V32,A18:A32,"",0,1)</f>
        <v/>
      </c>
      <c r="CC8" s="237" t="str">
        <f>IF(COUNTBLANK($AO$6:$AO$11)=2,SUM(BW8,BX25),IF(BW8="",BX25,BW8))</f>
        <v/>
      </c>
      <c r="CD8" s="223" t="str">
        <f>IF(CC8="Ab.","",IF(BY8="",BZ25,BY8))</f>
        <v/>
      </c>
      <c r="CE8" s="223" t="str">
        <f t="shared" si="20"/>
        <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IFERROR(VLOOKUP("C4",'GESTION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JOUEURS'!$Y$8="R",PouleATerminée="X"),_xlfn.XLOOKUP(($AO$4&amp;_xlfn.XLOOKUP(B9,$B$37:$B$42,$Q$37:$Q$42,"",0,1)&amp;_xlfn.XLOOKUP(B9,$B$37:$B$42,PC!$AE$37:$AE$42,"",0,1)),PTSRKPOULES[Colonne1],PTSRKPOULES[PR 3B],"",0,1),IF(AND('GESTION DES JOUEURS'!$D$8="Poules",'GESTION DES JOUEURS'!$Y$8="JDSR",PouleATerminée="X"),_xlfn.XLOOKUP($AO$4&amp;_xlfn.XLOOKUP(B9,$B$37:$B$42,$Q$37:$Q$42,"",0,1)&amp;_xlfn.XLOOKUP(B9,$B$37:$B$42,PC!$AE$37:$AE$42,"",0,1),PTSRKPOULES[Colonne1],PTSRKPOULES[PR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b">
        <f>IF(BK9=BK6,A9)</f>
        <v>0</v>
      </c>
      <c r="BE9" s="327" t="b">
        <f>IF(BK9=BK7,A9)</f>
        <v>0</v>
      </c>
      <c r="BF9" s="327" t="b">
        <f>IF(BK9=BK8,A9)</f>
        <v>0</v>
      </c>
      <c r="BG9" s="327">
        <v>4</v>
      </c>
      <c r="BH9" s="327"/>
      <c r="BI9" s="327"/>
      <c r="BJ9" s="327">
        <f t="shared" si="18"/>
        <v>1</v>
      </c>
      <c r="BK9" s="244" t="str">
        <v/>
      </c>
      <c r="BV9" s="292" t="s">
        <v>5469</v>
      </c>
      <c r="BW9" s="223" cm="1">
        <f t="array" ref="BW9">_xlfn.XLOOKUP(A6&amp;A8,G18:G32&amp;V18:V32,N18:N32,_xlfn.XLOOKUP(A8&amp;A6,G18:G32&amp;V18:V32,P18:P32,"",0,1),0,1)</f>
        <v>100</v>
      </c>
      <c r="BX9" s="223" cm="1">
        <f t="array" ref="BX9">_xlfn.XLOOKUP(A6&amp;A8,G18:G32&amp;V18:V32,P18:P32,_xlfn.XLOOKUP(A8&amp;A6,G18:G32&amp;V18:V32,N18:N32,"",0,1),0,1)</f>
        <v>56</v>
      </c>
      <c r="BY9" s="223" cm="1">
        <f t="array" ref="BY9">_xlfn.XLOOKUP(A6&amp;A8,$G$18:$G$32&amp;$V$18:$V$32,$M$18:$M$32,"",0,1)</f>
        <v>15</v>
      </c>
      <c r="BZ9" s="223" cm="1">
        <f t="array" ref="BZ9">_xlfn.XLOOKUP(A6&amp;A8,$G$18:$G$32&amp;$V$18:$V$32,$Q$18:$Q$32,"",0,1)</f>
        <v>14</v>
      </c>
      <c r="CA9" s="223" cm="1">
        <f t="array" ref="CA9">_xlfn.XLOOKUP(A6&amp;A8,G18:G32&amp;V18:V32,O18:O32,_xlfn.XLOOKUP(A8&amp;A6,G18:G32&amp;V18:V32,O18:O32,"",0,1),0,1)</f>
        <v>28</v>
      </c>
      <c r="CB9" s="293" t="str" cm="1">
        <f t="array" ref="CB9">_xlfn.XLOOKUP(A6&amp;A8,G18:G32&amp;V18:V32,A18:A32,"",0,1)</f>
        <v>P</v>
      </c>
      <c r="CC9" s="237">
        <f>IF(COUNTBLANK($AO$6:$AO$11)=2,SUM(BW9,BX20),IF(BW9="",BX20,BW9))</f>
        <v>100</v>
      </c>
      <c r="CD9" s="223">
        <f>IF(CC9="Ab.","",IF(BY9="",BZ20,BY9))</f>
        <v>15</v>
      </c>
      <c r="CE9" s="223">
        <f t="shared" si="20"/>
        <v>28</v>
      </c>
      <c r="CF9" s="294" t="str">
        <f>IF(CB9="",CB20,CB9)</f>
        <v>P</v>
      </c>
      <c r="CG9" s="295" cm="1">
        <f t="array" ref="CG9">_xlfn.XLOOKUP(BV9,$G$18:$G$32&amp;"-"&amp;$V$18:$V$32,$D$18:$D$32,_xlfn.XLOOKUP(BV20,$G$18:$G$32&amp;"-"&amp;$V$18:$V$32,$X$18:$X$32,"",0,1),0,1)</f>
        <v>2</v>
      </c>
      <c r="CH9" s="175" cm="1">
        <f t="array" ref="CH9">_xlfn.XLOOKUP(BV9,$G$18:$G$32&amp;"-"&amp;$V$18:$V$32,$AS$18:$AS$32,_xlfn.XLOOKUP(BV20,$G$18:$G$32&amp;"-"&amp;$V$18:$V$32,$AT$18:$AT$32,"",0,1),0,1)</f>
        <v>1</v>
      </c>
      <c r="CI9" s="818"/>
      <c r="CJ9" s="821"/>
      <c r="CK9" s="557">
        <f t="shared" si="21"/>
        <v>3</v>
      </c>
      <c r="CL9" s="557" t="b">
        <f t="shared" si="19"/>
        <v>0</v>
      </c>
    </row>
    <row r="10" spans="1:90" ht="15" customHeight="1" thickBot="1" x14ac:dyDescent="0.3">
      <c r="A10" s="365" t="str">
        <f t="shared" si="0"/>
        <v/>
      </c>
      <c r="B10" s="41" t="str">
        <f>IFERROR(VLOOKUP("C5",'GESTION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JOUEURS'!$Y$8="R",PouleATerminée="X"),_xlfn.XLOOKUP(($AO$4&amp;_xlfn.XLOOKUP(B10,$B$37:$B$42,$Q$37:$Q$42,"",0,1)&amp;_xlfn.XLOOKUP(B10,$B$37:$B$42,PC!$AE$37:$AE$42,"",0,1)),PTSRKPOULES[Colonne1],PTSRKPOULES[PR 3B],"",0,1),IF(AND('GESTION DES JOUEURS'!$D$8="Poules",'GESTION DES JOUEURS'!$Y$8="JDSR",PouleATerminée="X"),_xlfn.XLOOKUP($AO$4&amp;_xlfn.XLOOKUP(B10,$B$37:$B$42,$Q$37:$Q$42,"",0,1)&amp;_xlfn.XLOOKUP(B10,$B$37:$B$42,PC!$AE$37:$AE$42,"",0,1),PTSRKPOULES[Colonne1],PTSRKPOULES[PR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b">
        <f>IF(BK10=BK6,A10)</f>
        <v>0</v>
      </c>
      <c r="BE10" s="327" t="b">
        <f>IF(BK10=BK7,A10)</f>
        <v>0</v>
      </c>
      <c r="BF10" s="327" t="b">
        <f>IF(BK10=BK8,A10)</f>
        <v>0</v>
      </c>
      <c r="BG10" s="327" t="str">
        <f>IF(BK10=BK9,A10)</f>
        <v/>
      </c>
      <c r="BH10" s="327">
        <v>5</v>
      </c>
      <c r="BI10" s="327"/>
      <c r="BJ10" s="327">
        <f t="shared" si="18"/>
        <v>1</v>
      </c>
      <c r="BK10" s="244" t="str">
        <v/>
      </c>
      <c r="BV10" s="296" t="s">
        <v>5470</v>
      </c>
      <c r="BW10" s="297" cm="1">
        <f t="array" ref="BW10">_xlfn.XLOOKUP(A6&amp;A7,G18:G32&amp;V18:V32,N18:N32,_xlfn.XLOOKUP(A7&amp;A6,G18:G32&amp;V18:V32,P18:P32,"",0,1),0,1)</f>
        <v>100</v>
      </c>
      <c r="BX10" s="297" cm="1">
        <f t="array" ref="BX10">_xlfn.XLOOKUP(A6&amp;A7,G18:G32&amp;V18:V32,P18:P32,_xlfn.XLOOKUP(A7&amp;A6,G18:G32&amp;V18:V32,N18:N32,"",0,1),0,1)</f>
        <v>71</v>
      </c>
      <c r="BY10" s="297" cm="1">
        <f t="array" ref="BY10">_xlfn.XLOOKUP(A6&amp;A7,$G$18:$G$32&amp;$V$18:$V$32,$M$18:$M$32,"",0,1)</f>
        <v>19</v>
      </c>
      <c r="BZ10" s="297" cm="1">
        <f t="array" ref="BZ10">_xlfn.XLOOKUP(A6&amp;A7,$G$18:$G$32&amp;$V$18:$V$32,$Q$18:$Q$32,"",0,1)</f>
        <v>11</v>
      </c>
      <c r="CA10" s="297" cm="1">
        <f t="array" ref="CA10">_xlfn.XLOOKUP(A6&amp;A7,G18:G32&amp;V18:V32,O18:O32,_xlfn.XLOOKUP(A7&amp;A6,G18:G32&amp;V18:V32,O18:O32,"",0,1),0,1)</f>
        <v>38</v>
      </c>
      <c r="CB10" s="298" t="str" cm="1">
        <f t="array" ref="CB10">_xlfn.XLOOKUP(A6&amp;A7,G18:G32&amp;V18:V32,A18:A32,"",0,1)</f>
        <v>P</v>
      </c>
      <c r="CC10" s="299">
        <f>IF(COUNTBLANK($AO$6:$AO$11)=2,SUM(BW10,BX15),IF(BW10="",BX15,BW10))</f>
        <v>100</v>
      </c>
      <c r="CD10" s="297">
        <f>IF(CC10="Ab.","",IF(BY10="",BZ15,BY10))</f>
        <v>19</v>
      </c>
      <c r="CE10" s="297">
        <f t="shared" si="20"/>
        <v>38</v>
      </c>
      <c r="CF10" s="300" t="str">
        <f>IF(CB10="",CB15,CB10)</f>
        <v>P</v>
      </c>
      <c r="CG10" s="301" cm="1">
        <f t="array" ref="CG10">_xlfn.XLOOKUP(BV10,$G$18:$G$32&amp;"-"&amp;$V$18:$V$32,$D$18:$D$32,_xlfn.XLOOKUP(BV15,$G$18:$G$32&amp;"-"&amp;$V$18:$V$32,$X$18:$X$32,"",0,1),0,1)</f>
        <v>2</v>
      </c>
      <c r="CH10" s="302" cm="1">
        <f t="array" ref="CH10">_xlfn.XLOOKUP(BV10,$G$18:$G$32&amp;"-"&amp;$V$18:$V$32,$AS$18:$AS$32,_xlfn.XLOOKUP(BV15,$G$18:$G$32&amp;"-"&amp;$V$18:$V$32,$AT$18:$AT$32,"",0,1),0,1)</f>
        <v>1</v>
      </c>
      <c r="CI10" s="819"/>
      <c r="CJ10" s="822"/>
      <c r="CK10" s="557">
        <f t="shared" si="21"/>
        <v>2</v>
      </c>
      <c r="CL10" s="557" t="b">
        <f t="shared" si="19"/>
        <v>0</v>
      </c>
    </row>
    <row r="11" spans="1:90" ht="15" customHeight="1" thickBot="1" x14ac:dyDescent="0.3">
      <c r="A11" s="365" t="str">
        <f t="shared" si="0"/>
        <v/>
      </c>
      <c r="B11" s="45" t="str">
        <f>IFERROR(VLOOKUP("C6",'GESTION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JOUEURS'!$Y$8="R",PouleATerminée="X"),_xlfn.XLOOKUP(($AO$4&amp;_xlfn.XLOOKUP(B11,$B$37:$B$42,$Q$37:$Q$42,"",0,1)&amp;_xlfn.XLOOKUP(B11,$B$37:$B$42,PC!$AE$37:$AE$42,"",0,1)),PTSRKPOULES[Colonne1],PTSRKPOULES[PR 3B],"",0,1),IF(AND('GESTION DES JOUEURS'!$D$8="Poules",'GESTION DES JOUEURS'!$Y$8="JDSR",PouleATerminée="X"),_xlfn.XLOOKUP($AO$4&amp;_xlfn.XLOOKUP(B11,$B$37:$B$42,$Q$37:$Q$42,"",0,1)&amp;_xlfn.XLOOKUP(B11,$B$37:$B$42,PC!$AE$37:$AE$42,"",0,1),PTSRKPOULES[Colonne1],PTSRKPOULES[PR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b">
        <f>IF(BK11=BK6,A11)</f>
        <v>0</v>
      </c>
      <c r="BE11" s="328" t="b">
        <f>IF(BK11=BK7,A11)</f>
        <v>0</v>
      </c>
      <c r="BF11" s="328" t="b">
        <f>IF(BK11=BK8,A11)</f>
        <v>0</v>
      </c>
      <c r="BG11" s="328" t="str">
        <f>IF(BK11=BK9,A11)</f>
        <v/>
      </c>
      <c r="BH11" s="328" t="str">
        <f>IF(BK11=BK10,A11)</f>
        <v/>
      </c>
      <c r="BI11" s="328">
        <v>6</v>
      </c>
      <c r="BJ11" s="328">
        <f t="shared" si="18"/>
        <v>1</v>
      </c>
      <c r="BK11" s="244" t="str">
        <v/>
      </c>
      <c r="BV11" s="286" t="s">
        <v>5471</v>
      </c>
      <c r="BW11" s="287" cm="1">
        <f t="array" ref="BW11">_xlfn.SINGLE(_xlfn.XLOOKUP(A7&amp;A11,G18:G32&amp;V18:V32,N18:N32,_xlfn.XLOOKUP(A11&amp;A7,G18:G32&amp;V18:V32,P18:P32,"",0,1),0,1))</f>
        <v>0</v>
      </c>
      <c r="BX11" s="287" cm="1">
        <f t="array" ref="BX11">_xlfn.XLOOKUP(A7&amp;A11,G18:G32&amp;V18:V32,P18:P32,_xlfn.XLOOKUP(A11&amp;A7,G18:G32&amp;V18:V32,N18:N32,"",0,1),0,1)</f>
        <v>0</v>
      </c>
      <c r="BY11" s="287" cm="1">
        <f t="array" ref="BY11">_xlfn.XLOOKUP(A7&amp;A11,$G$18:$G$32&amp;$V$18:$V$32,$M$18:$M$32,"",0,1)</f>
        <v>0</v>
      </c>
      <c r="BZ11" s="287" cm="1">
        <f t="array" ref="BZ11">_xlfn.XLOOKUP(A7&amp;A11,$G$18:$G$32&amp;$V$18:$V$32,$Q$18:$Q$32,"",0,1)</f>
        <v>0</v>
      </c>
      <c r="CA11" s="287" cm="1">
        <f t="array" ref="CA11">_xlfn.XLOOKUP(A7&amp;A11,G18:G32&amp;V18:V32,O18:O32,_xlfn.XLOOKUP(A11&amp;A7,G18:G32&amp;V18:V32,O18:O32,"",0,1),0,1)</f>
        <v>0</v>
      </c>
      <c r="CB11" s="288" t="str" cm="1">
        <f t="array" ref="CB11">_xlfn.XLOOKUP(A7&amp;A11,G18:G32&amp;V18:V32,A18:A32,"",0,1)</f>
        <v/>
      </c>
      <c r="CC11" s="289">
        <f>IF(COUNTBLANK($AO$6:$AO$11)=2,SUM(BW11,BX34),IF(BW11="",BX34,BW11))</f>
        <v>0</v>
      </c>
      <c r="CD11" s="287">
        <f>IF(CC11="Ab.","",IF(BY11="",BZ34,BY11))</f>
        <v>0</v>
      </c>
      <c r="CE11" s="287">
        <f t="shared" si="20"/>
        <v>0</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2</v>
      </c>
      <c r="BF12" s="221">
        <f t="shared" si="22"/>
        <v>1</v>
      </c>
      <c r="BG12" s="221">
        <f t="shared" si="22"/>
        <v>1</v>
      </c>
      <c r="BH12" s="221">
        <f t="shared" si="22"/>
        <v>1</v>
      </c>
      <c r="BI12" s="221">
        <f t="shared" si="22"/>
        <v>1</v>
      </c>
      <c r="BJ12" s="222">
        <f t="shared" si="22"/>
        <v>1</v>
      </c>
      <c r="BV12" s="292" t="s">
        <v>5472</v>
      </c>
      <c r="BW12" s="223" cm="1">
        <f t="array" ref="BW12">_xlfn.SINGLE(_xlfn.XLOOKUP(A7&amp;A10,G18:G32&amp;V18:V32,N18:N32,_xlfn.XLOOKUP(A10&amp;A7,G18:G32&amp;V18:V32,P18:P32,"",0,1),0,1))</f>
        <v>0</v>
      </c>
      <c r="BX12" s="223" cm="1">
        <f t="array" ref="BX12">_xlfn.XLOOKUP(A7&amp;A10,G18:G32&amp;V18:V32,P18:P32,_xlfn.XLOOKUP(A10&amp;A7,G18:G32&amp;V18:V32,N18:N32,"",0,1),0,1)</f>
        <v>0</v>
      </c>
      <c r="BY12" s="223" cm="1">
        <f t="array" ref="BY12">_xlfn.XLOOKUP(A7&amp;A10,$G$18:$G$32&amp;$V$18:$V$32,$M$18:$M$32,"",0,1)</f>
        <v>0</v>
      </c>
      <c r="BZ12" s="223" cm="1">
        <f t="array" ref="BZ12">_xlfn.XLOOKUP(A7&amp;A10,$G$18:$G$32&amp;$V$18:$V$32,$Q$18:$Q$32,"",0,1)</f>
        <v>0</v>
      </c>
      <c r="CA12" s="223" cm="1">
        <f t="array" ref="CA12">_xlfn.XLOOKUP(A7&amp;A10,G18:G32&amp;V18:V32,O18:O32,_xlfn.XLOOKUP(A10&amp;A7,G18:G32&amp;V18:V32,O18:O32,"",0,1),0,1)</f>
        <v>0</v>
      </c>
      <c r="CB12" s="293" t="str" cm="1">
        <f t="array" ref="CB12">_xlfn.XLOOKUP(A7&amp;A10,G18:G32&amp;V18:V32,A18:A32,"",0,1)</f>
        <v/>
      </c>
      <c r="CC12" s="237">
        <f>IF(COUNTBLANK($AO$6:$AO$11)=2,SUM(BW12,BX29),IF(BW12="",BX29,BW12))</f>
        <v>0</v>
      </c>
      <c r="CD12" s="223">
        <f>IF(CC12="Ab.","",IF(BY12="",BZ29,BY12))</f>
        <v>0</v>
      </c>
      <c r="CE12" s="223">
        <f t="shared" si="20"/>
        <v>0</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IF(K13="Poule","C","")</f>
        <v>C</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2</v>
      </c>
      <c r="BF13" s="223">
        <f>COUNT(BE6:BE10)</f>
        <v>1</v>
      </c>
      <c r="BG13" s="223">
        <f>COUNT(BF6:BF10)</f>
        <v>1</v>
      </c>
      <c r="BH13" s="223">
        <f>COUNT(BG6:BG10)</f>
        <v>1</v>
      </c>
      <c r="BI13" s="223">
        <f>COUNT(BH6:BH10)</f>
        <v>1</v>
      </c>
      <c r="BJ13" s="224"/>
      <c r="BV13" s="292" t="s">
        <v>5473</v>
      </c>
      <c r="BW13" s="223" cm="1">
        <f t="array" ref="BW13">_xlfn.SINGLE(_xlfn.XLOOKUP(A7&amp;A9,G18:G32&amp;V18:V32,N18:N32,_xlfn.XLOOKUP(A9&amp;A7,G18:G32&amp;V18:V32,P18:P32,"",0,1),0,1))</f>
        <v>0</v>
      </c>
      <c r="BX13" s="223" cm="1">
        <f t="array" ref="BX13">_xlfn.XLOOKUP(A7&amp;A9,G18:G32&amp;V18:V32,P18:P32,_xlfn.XLOOKUP(A9&amp;A7,G18:G32&amp;V18:V32,N18:N32,"",0,1),0,1)</f>
        <v>0</v>
      </c>
      <c r="BY13" s="223" cm="1">
        <f t="array" ref="BY13">_xlfn.XLOOKUP(A7&amp;A9,$G$18:$G$32&amp;$V$18:$V$32,$M$18:$M$32,"",0,1)</f>
        <v>0</v>
      </c>
      <c r="BZ13" s="223" cm="1">
        <f t="array" ref="BZ13">_xlfn.XLOOKUP(A7&amp;A9,$G$18:$G$32&amp;$V$18:$V$32,$Q$18:$Q$32,"",0,1)</f>
        <v>0</v>
      </c>
      <c r="CA13" s="223" cm="1">
        <f t="array" ref="CA13">_xlfn.XLOOKUP(A7&amp;A9,G18:G32&amp;V18:V32,O18:O32,_xlfn.XLOOKUP(A9&amp;A7,G18:G32&amp;V18:V32,O18:O32,"",0,1),0,1)</f>
        <v>0</v>
      </c>
      <c r="CB13" s="293" t="str" cm="1">
        <f t="array" ref="CB13">_xlfn.XLOOKUP(A7&amp;A9,G18:G32&amp;V18:V32,A18:A32,"",0,1)</f>
        <v/>
      </c>
      <c r="CC13" s="237">
        <f>IF(COUNTBLANK($AO$6:$AO$11)=2,SUM(BW13,BX24),IF(BW13="",BX24,BW13))</f>
        <v>0</v>
      </c>
      <c r="CD13" s="223">
        <f>IF(CC13="Ab.","",IF(BY13="",BZ24,BY13))</f>
        <v>0</v>
      </c>
      <c r="CE13" s="223">
        <f t="shared" si="20"/>
        <v>0</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2</v>
      </c>
      <c r="BF14" s="225">
        <f>COUNT(BE6:BE9)</f>
        <v>1</v>
      </c>
      <c r="BG14" s="225">
        <f>COUNT(BF6:BF9)</f>
        <v>1</v>
      </c>
      <c r="BH14" s="225">
        <f>COUNT(BG6:BG9)</f>
        <v>1</v>
      </c>
      <c r="BI14" s="225"/>
      <c r="BJ14" s="226"/>
      <c r="BV14" s="292" t="s">
        <v>5474</v>
      </c>
      <c r="BW14" s="223" cm="1">
        <f t="array" ref="BW14">_xlfn.SINGLE(_xlfn.XLOOKUP(A7&amp;A8,G18:G32&amp;V18:V32,N18:N32,_xlfn.XLOOKUP(A8&amp;A7,G18:G32&amp;V18:V32,P18:P32,"",0,1),0,1))</f>
        <v>87</v>
      </c>
      <c r="BX14" s="223" cm="1">
        <f t="array" ref="BX14">_xlfn.XLOOKUP(A7&amp;A8,G18:G32&amp;V18:V32,P18:P32,_xlfn.XLOOKUP(A8&amp;A7,G18:G32&amp;V18:V32,N18:N32,"",0,1),0,1)</f>
        <v>95</v>
      </c>
      <c r="BY14" s="223" t="str" cm="1">
        <f t="array" ref="BY14">_xlfn.XLOOKUP(A7&amp;A8,$G$18:$G$32&amp;$V$18:$V$32,$M$18:$M$32,"",0,1)</f>
        <v/>
      </c>
      <c r="BZ14" s="223" t="str" cm="1">
        <f t="array" ref="BZ14">_xlfn.XLOOKUP(A7&amp;A8,$G$18:$G$32&amp;$V$18:$V$32,$Q$18:$Q$32,"",0,1)</f>
        <v/>
      </c>
      <c r="CA14" s="223" cm="1">
        <f t="array" ref="CA14">_xlfn.XLOOKUP(A7&amp;A8,G18:G32&amp;V18:V32,O18:O32,_xlfn.XLOOKUP(A8&amp;A7,G18:G32&amp;V18:V32,O18:O32,"",0,1),0,1)</f>
        <v>40</v>
      </c>
      <c r="CB14" s="293" t="str" cm="1">
        <f t="array" ref="CB14">_xlfn.XLOOKUP(A7&amp;A8,G18:G32&amp;V18:V32,A18:A32,"",0,1)</f>
        <v/>
      </c>
      <c r="CC14" s="237">
        <f>IF(COUNTBLANK($AO$6:$AO$11)=2,SUM(BW14,BX19),IF(BW14="",BX19,BW14))</f>
        <v>87</v>
      </c>
      <c r="CD14" s="223">
        <f>IF(CC14="Ab.","",IF(BY14="",BZ19,BY14))</f>
        <v>14</v>
      </c>
      <c r="CE14" s="223">
        <f t="shared" si="20"/>
        <v>40</v>
      </c>
      <c r="CF14" s="294" t="str">
        <f>IF(CB14="",CB19,CB14)</f>
        <v>P</v>
      </c>
      <c r="CG14" s="295" cm="1">
        <f t="array" ref="CG14">_xlfn.XLOOKUP(BV14,$G$18:$G$32&amp;"-"&amp;$V$18:$V$32,$D$18:$D$32,_xlfn.XLOOKUP(BV19,$G$18:$G$32&amp;"-"&amp;$V$18:$V$32,$X$18:$X$32,"",0,1),0,1)</f>
        <v>0</v>
      </c>
      <c r="CH14" s="175" cm="1">
        <f t="array" ref="CH14">_xlfn.XLOOKUP(BV14,$G$18:$G$32&amp;"-"&amp;$V$18:$V$32,$AS$18:$AS$32,_xlfn.XLOOKUP(BV19,$G$18:$G$32&amp;"-"&amp;$V$18:$V$32,$AT$18:$AT$32,"",0,1),0,1)</f>
        <v>0</v>
      </c>
      <c r="CI14" s="818"/>
      <c r="CJ14" s="821"/>
      <c r="CK14" s="557">
        <f t="shared" si="21"/>
        <v>3</v>
      </c>
      <c r="CL14" s="557" t="b">
        <f t="shared" si="19"/>
        <v>0</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2</v>
      </c>
      <c r="BF15" s="227">
        <f>COUNT(BE6:BE8)</f>
        <v>1</v>
      </c>
      <c r="BG15" s="227">
        <f>COUNT(BF6:BF8)</f>
        <v>1</v>
      </c>
      <c r="BH15" s="227"/>
      <c r="BI15" s="227"/>
      <c r="BJ15" s="228"/>
      <c r="BV15" s="296" t="s">
        <v>5475</v>
      </c>
      <c r="BW15" s="297" cm="1">
        <f t="array" ref="BW15">_xlfn.SINGLE(_xlfn.XLOOKUP(A7&amp;A6,G18:G32&amp;V18:V32,N18:N32,_xlfn.XLOOKUP(A6&amp;A7,G18:G32&amp;V18:V32,P18:P32,"",0,1),0,1))</f>
        <v>71</v>
      </c>
      <c r="BX15" s="297" cm="1">
        <f t="array" ref="BX15">_xlfn.XLOOKUP(A7&amp;A6,G18:G32&amp;V18:V32,P18:P32,_xlfn.XLOOKUP(A6&amp;A7,G18:G32&amp;V18:V32,N18:N32,"",0,1),0,1)</f>
        <v>100</v>
      </c>
      <c r="BY15" s="297" t="str" cm="1">
        <f t="array" ref="BY15">_xlfn.XLOOKUP(A7&amp;A6,$G$18:$G$32&amp;$V$18:$V$32,$M$18:$M$32,"",0,1)</f>
        <v/>
      </c>
      <c r="BZ15" s="297" t="str" cm="1">
        <f t="array" ref="BZ15">_xlfn.XLOOKUP(A7&amp;A6,$G$18:$G$32&amp;$V$18:$V$32,$Q$18:$Q$32,"",0,1)</f>
        <v/>
      </c>
      <c r="CA15" s="297" cm="1">
        <f t="array" ref="CA15">_xlfn.XLOOKUP(A7&amp;A6,G18:G32&amp;V18:V32,O18:O32,_xlfn.XLOOKUP(A6&amp;A7,G18:G32&amp;V18:V32,O18:O32,"",0,1),0,1)</f>
        <v>38</v>
      </c>
      <c r="CB15" s="298" t="str" cm="1">
        <f t="array" ref="CB15">_xlfn.XLOOKUP(A7&amp;A6,G18:G32&amp;V18:V32,A18:A32,"",0,1)</f>
        <v/>
      </c>
      <c r="CC15" s="299">
        <f>IF(COUNTBLANK($AO$6:$AO$11)=2,SUM(BW15,BX10),IF(BW15="",BX10,BW15))</f>
        <v>71</v>
      </c>
      <c r="CD15" s="297">
        <f>IF(CC15="Ab.","",IF(BY15="",BZ10,BY15))</f>
        <v>11</v>
      </c>
      <c r="CE15" s="297">
        <f t="shared" si="20"/>
        <v>38</v>
      </c>
      <c r="CF15" s="300" t="str">
        <f>IF(CB15="",CB10,CB15)</f>
        <v>P</v>
      </c>
      <c r="CG15" s="301" cm="1">
        <f t="array" ref="CG15">_xlfn.XLOOKUP(BV15,$G$18:$G$32&amp;"-"&amp;$V$18:$V$32,$D$18:$D$32,_xlfn.XLOOKUP(BV10,$G$18:$G$32&amp;"-"&amp;$V$18:$V$32,$X$18:$X$32,"",0,1),0,1)</f>
        <v>0</v>
      </c>
      <c r="CH15" s="302" cm="1">
        <f t="array" ref="CH15">_xlfn.XLOOKUP(BV15,$G$18:$G$32&amp;"-"&amp;$V$18:$V$32,$AS$18:$AS$32,_xlfn.XLOOKUP(BV10,$G$18:$G$32&amp;"-"&amp;$V$18:$V$32,$AT$18:$AT$32,"",0,1),0,1)</f>
        <v>0</v>
      </c>
      <c r="CI15" s="819"/>
      <c r="CJ15" s="822"/>
      <c r="CK15" s="557">
        <f t="shared" si="21"/>
        <v>1</v>
      </c>
      <c r="CL15" s="557" t="b">
        <f t="shared" si="19"/>
        <v>0</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t="str">
        <f t="shared" ref="BL17:BL22" si="23">IF(OR($BG$26=BK17,$BH$26=BK17,$BI$26=BK17,$BI$27=BK17,$BH$27=BK17,$BG$27=BK17),"",BK17)</f>
        <v/>
      </c>
      <c r="BM17" s="160" cm="1">
        <f t="array" ref="BM17:BM22">_xlfn._xlws.SORT(BL17:BL22)</f>
        <v>2</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P</v>
      </c>
      <c r="B18" s="52">
        <f>IF(AO4=5,"",1)</f>
        <v>1</v>
      </c>
      <c r="C18" s="94">
        <f t="shared" ref="C18:C32" si="24">IF(AR18=0,"",IF(B18="","",AR18))</f>
        <v>1</v>
      </c>
      <c r="D18" s="74">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2</v>
      </c>
      <c r="E18" s="109">
        <f>IFERROR(IF(AND(D18&gt;0,Y18=FALSE),N18/O18,IF(AND(D18&gt;0,Y18=TRUE),(N18/O18)*_xlfn.XLOOKUP('GESTION DES JOUEURS'!$X$8&amp;RIGHT('GESTION DES JOUEURS'!$Y$8,1),Tableau14[Colonne1],Tableau14[coef. 2,80/3,10],"",0,1),"")),"")</f>
        <v>3.5714285714285716</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111337F</v>
      </c>
      <c r="G18" s="53">
        <f t="shared" ref="G18:G32" si="25">_xlfn.XLOOKUP(F18,$B$6:$B$11,$A$6:$A$11,"",0,1)</f>
        <v>1</v>
      </c>
      <c r="H18" s="776" t="str">
        <f>IFERROR(VLOOKUP(F18,$B$6:$G$11,2,FALSE),"")</f>
        <v>GONTHIER</v>
      </c>
      <c r="I18" s="777"/>
      <c r="J18" s="777"/>
      <c r="K18" s="776" t="str">
        <f>IFERROR(VLOOKUP(F18,$B$6:$G$11,4,FALSE),"")</f>
        <v>ARNAUD</v>
      </c>
      <c r="L18" s="778"/>
      <c r="M18" s="76">
        <v>15</v>
      </c>
      <c r="N18" s="82">
        <v>100</v>
      </c>
      <c r="O18" s="110">
        <v>28</v>
      </c>
      <c r="P18" s="81">
        <v>56</v>
      </c>
      <c r="Q18" s="77">
        <v>14</v>
      </c>
      <c r="R18" s="768" t="str">
        <f t="shared" ref="R18:R32" si="26">IFERROR(VLOOKUP(U18,$B$6:$G$11,2,0),"")</f>
        <v>PIVONET</v>
      </c>
      <c r="S18" s="769"/>
      <c r="T18" s="78" t="str">
        <f t="shared" ref="T18:T32" si="27">IFERROR(VLOOKUP(U18,$B$6:$G$11,4,0),"")</f>
        <v>FRANCIS</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154522J</v>
      </c>
      <c r="V18" s="54">
        <f t="shared" ref="V18:V32" si="28">_xlfn.XLOOKUP(U18,$B$6:$B$11,$A$6:$A$11,"",0,1)</f>
        <v>3</v>
      </c>
      <c r="W18" s="111" t="str">
        <f>IFERROR(IF(AND(X18&gt;0,Y18=FALSE),P18/O18,IF(AND(X18&gt;0,Y18=TRUE),(P18/O18)*_xlfn.XLOOKUP('GESTION DES JOUEURS'!$X$8&amp;RIGHT('GESTION DES JOUEURS'!$Y$8,1),Tableau14[Colonne1],Tableau14[coef. 2,80/3,10],"",0,1),"")),"")</f>
        <v/>
      </c>
      <c r="X18" s="55">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0</v>
      </c>
      <c r="Y18" s="677" t="b">
        <v>0</v>
      </c>
      <c r="AA18" s="906"/>
      <c r="AN18" s="244"/>
      <c r="AO18" s="248"/>
      <c r="AP18" s="325">
        <f>IF($O$4="m",_xlfn.XLOOKUP(F18,$B$6:$B$11,$O$6:$O$11,_xlfn.XLOOKUP(F18,$B$6:$B$11,$M$6:$M$11,0,0,1),0,1),_xlfn.XLOOKUP(F18,$B$6:$B$11,$M$6:$M$11,0,0,1))</f>
        <v>2</v>
      </c>
      <c r="AQ18" s="325">
        <f t="shared" ref="AQ18:AQ32" si="29">IF($O$4="m",_xlfn.XLOOKUP(U18,$B$6:$B$11,$O$6:$O$11,0,0,1),_xlfn.XLOOKUP(U18,$B$6:$B$11,$M$6:$M$11,0,0,1))</f>
        <v>3</v>
      </c>
      <c r="AR18" s="326">
        <f>IF(B18="",AH17,AH17+1)</f>
        <v>1</v>
      </c>
      <c r="AS18" s="313">
        <f>SUM(AU18,AW18)</f>
        <v>1</v>
      </c>
      <c r="AT18" s="314">
        <f>SUM(AV18,AX18)</f>
        <v>0</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1</v>
      </c>
      <c r="AX18" s="315">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0</v>
      </c>
      <c r="AZ18" s="326">
        <v>2</v>
      </c>
      <c r="BB18" s="724"/>
      <c r="BC18" s="233">
        <v>3</v>
      </c>
      <c r="BD18" s="155" t="b">
        <v>0</v>
      </c>
      <c r="BE18" s="155" t="b">
        <v>0</v>
      </c>
      <c r="BF18" s="155" t="str">
        <v/>
      </c>
      <c r="BG18" s="155" t="str">
        <v/>
      </c>
      <c r="BH18" s="155">
        <v>0</v>
      </c>
      <c r="BI18" s="157"/>
      <c r="BJ18" s="157"/>
      <c r="BK18" s="155">
        <v>2</v>
      </c>
      <c r="BL18" s="155">
        <f t="shared" si="23"/>
        <v>2</v>
      </c>
      <c r="BM18" s="161">
        <v>4</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
      </c>
      <c r="B19" s="56" t="str">
        <f>IF(OR(AO4=5,AO4=2),1,IF(AO4&lt;4,"",2))</f>
        <v/>
      </c>
      <c r="C19" s="95" t="str">
        <f t="shared" si="24"/>
        <v/>
      </c>
      <c r="D19" s="79" t="str">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013922M</v>
      </c>
      <c r="G19" s="57">
        <f t="shared" si="25"/>
        <v>2</v>
      </c>
      <c r="H19" s="729" t="str">
        <f>IFERROR(VLOOKUP(F19,$B$6:$G$11,2,FALSE),"")</f>
        <v>PEYROLE</v>
      </c>
      <c r="I19" s="726"/>
      <c r="J19" s="730"/>
      <c r="K19" s="726" t="str">
        <f>IFERROR(VLOOKUP(F19,$B$6:$H$11,4,FALSE),"")</f>
        <v>PHILIPPE</v>
      </c>
      <c r="L19" s="727"/>
      <c r="M19" s="81"/>
      <c r="N19" s="82"/>
      <c r="O19" s="114"/>
      <c r="P19" s="81"/>
      <c r="Q19" s="82"/>
      <c r="R19" s="731" t="str">
        <f t="shared" si="26"/>
        <v/>
      </c>
      <c r="S19" s="732"/>
      <c r="T19" s="83" t="str">
        <f t="shared" si="27"/>
        <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 xml:space="preserve"> </v>
      </c>
      <c r="V19" s="58" t="str">
        <f t="shared" si="28"/>
        <v/>
      </c>
      <c r="W19" s="115" t="str">
        <f>IFERROR(IF(AND(X19&gt;0,Y19=FALSE),P19/O19,IF(AND(X19&gt;0,Y19=TRUE),(P19/O19)*_xlfn.XLOOKUP('GESTION DES JOUEURS'!$X$8&amp;RIGHT('GESTION DES JOUEURS'!$Y$8,1),Tableau14[Colonne1],Tableau14[coef. 2,80/3,10],"",0,1),"")),"")</f>
        <v/>
      </c>
      <c r="X19" s="59" t="str">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
      </c>
      <c r="Y19" s="678" t="b">
        <v>0</v>
      </c>
      <c r="AA19" s="905" t="s">
        <v>8117</v>
      </c>
      <c r="AN19" s="244"/>
      <c r="AO19" s="248"/>
      <c r="AP19" s="325">
        <f t="shared" ref="AP19:AP32" si="30">IF($O$4="m",_xlfn.XLOOKUP(F19,$B$6:$B$11,$O$6:$O$11,0,0,1),_xlfn.XLOOKUP(F19,$B$6:$B$11,$M$6:$M$11,0,0,1))</f>
        <v>1</v>
      </c>
      <c r="AQ19" s="325">
        <f t="shared" si="29"/>
        <v>0</v>
      </c>
      <c r="AR19" s="326">
        <f t="shared" ref="AR19:AR32" si="31">IF(B19="",AR18,AR18+1)</f>
        <v>1</v>
      </c>
      <c r="AS19" s="317">
        <f t="shared" ref="AS19:AT32" si="32">SUM(AU19,AW19)</f>
        <v>0</v>
      </c>
      <c r="AT19" s="318">
        <f t="shared" si="32"/>
        <v>0</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t="str">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
      </c>
      <c r="AX19" s="319" t="str">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
      </c>
      <c r="AZ19" s="326">
        <v>3</v>
      </c>
      <c r="BB19" s="724"/>
      <c r="BC19" s="233" t="b">
        <v>0</v>
      </c>
      <c r="BD19" s="155" t="b">
        <v>0</v>
      </c>
      <c r="BE19" s="155" t="b">
        <v>0</v>
      </c>
      <c r="BF19" s="155" t="str">
        <v/>
      </c>
      <c r="BG19" s="155">
        <v>0</v>
      </c>
      <c r="BH19" s="155">
        <v>0</v>
      </c>
      <c r="BI19" s="157"/>
      <c r="BJ19" s="157"/>
      <c r="BK19" s="155">
        <v>3</v>
      </c>
      <c r="BL19" s="155" t="str">
        <f t="shared" si="23"/>
        <v/>
      </c>
      <c r="BM19" s="161">
        <v>5</v>
      </c>
      <c r="BV19" s="292" t="s">
        <v>5479</v>
      </c>
      <c r="BW19" s="223" cm="1">
        <f t="array" ref="BW19">_xlfn.SINGLE(_xlfn.XLOOKUP(A8&amp;A7,G18:G32&amp;V18:V32,N18:N32,_xlfn.XLOOKUP(A7&amp;A8,G18:G32&amp;V18:V32,P18:P32,"",0,1),0,1))</f>
        <v>95</v>
      </c>
      <c r="BX19" s="223" cm="1">
        <f t="array" ref="BX19">_xlfn.XLOOKUP(A8&amp;A7,G18:G32&amp;V18:V32,P18:P32,_xlfn.XLOOKUP(A7&amp;A8,G18:G32&amp;V18:V32,N18:N32,"",0,1),0,1)</f>
        <v>87</v>
      </c>
      <c r="BY19" s="223" cm="1">
        <f t="array" ref="BY19">_xlfn.XLOOKUP(A8&amp;A7,$G$18:$G$32&amp;$V$18:$V$32,$M$18:$M$32,"",0,1)</f>
        <v>23</v>
      </c>
      <c r="BZ19" s="223" cm="1">
        <f t="array" ref="BZ19">_xlfn.XLOOKUP(A8&amp;A7,$G$18:$G$32&amp;$V$18:$V$32,$Q$18:$Q$32,"",0,1)</f>
        <v>14</v>
      </c>
      <c r="CA19" s="223" cm="1">
        <f t="array" ref="CA19">_xlfn.XLOOKUP(A8&amp;A7,G18:G32&amp;V18:V32,O18:O32,_xlfn.XLOOKUP(A7&amp;A8,G18:G32&amp;V18:V32,O18:O32,"",0,1),0,1)</f>
        <v>40</v>
      </c>
      <c r="CB19" s="293" t="str" cm="1">
        <f t="array" ref="CB19">_xlfn.XLOOKUP(A8&amp;A7,G18:G32&amp;V18:V32,A18:A32,"",0,1)</f>
        <v>P</v>
      </c>
      <c r="CC19" s="237">
        <f>IF(COUNTBLANK($AO$6:$AO$11)=2,SUM(BW19,BX14),IF(BW19="",BX14,BW19))</f>
        <v>95</v>
      </c>
      <c r="CD19" s="223">
        <f>IF(CC19="Ab.","",IF(BY19="",BZ14,BY19))</f>
        <v>23</v>
      </c>
      <c r="CE19" s="223">
        <f t="shared" si="20"/>
        <v>40</v>
      </c>
      <c r="CF19" s="294" t="str">
        <f>IF(CB19="",CB14,CB19)</f>
        <v>P</v>
      </c>
      <c r="CG19" s="295" cm="1">
        <f t="array" ref="CG19">_xlfn.XLOOKUP(BV19,$G$18:$G$32&amp;"-"&amp;$V$18:$V$32,$D$18:$D$32,_xlfn.XLOOKUP(BV14,$G$18:$G$32&amp;"-"&amp;$V$18:$V$32,$X$18:$X$32,"",0,1),0,1)</f>
        <v>2</v>
      </c>
      <c r="CH19" s="175" cm="1">
        <f t="array" ref="CH19">_xlfn.XLOOKUP(BV19,$G$18:$G$32&amp;"-"&amp;$V$18:$V$32,$AS$18:$AS$32,_xlfn.XLOOKUP(BV14,$G$18:$G$32&amp;"-"&amp;$V$18:$V$32,$AT$18:$AT$32,"",0,1),0,1)</f>
        <v>1</v>
      </c>
      <c r="CI19" s="818"/>
      <c r="CJ19" s="821"/>
      <c r="CK19" s="557">
        <f t="shared" si="21"/>
        <v>2</v>
      </c>
      <c r="CL19" s="557" t="b">
        <f t="shared" si="19"/>
        <v>0</v>
      </c>
    </row>
    <row r="20" spans="1:90" ht="14.45" customHeight="1" thickBot="1" x14ac:dyDescent="0.3">
      <c r="A20" s="245" t="str">
        <f>IF(AO4&lt;3,"",IF(OR(O20&gt;0,N20="ab.",P20="ab."),"P",""))</f>
        <v>P</v>
      </c>
      <c r="B20" s="56">
        <f>IF(AO4&lt;3,"",IF(AO4&lt;5,1,IF(AO4=5,2,3)))</f>
        <v>1</v>
      </c>
      <c r="C20" s="95">
        <f t="shared" si="24"/>
        <v>2</v>
      </c>
      <c r="D20" s="79">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2</v>
      </c>
      <c r="E20" s="113">
        <f>IFERROR(IF(AND(D20&gt;0,Y20=FALSE),N20/O20,IF(AND(D20&gt;0,Y20=TRUE),(N20/O20)*_xlfn.XLOOKUP('GESTION DES JOUEURS'!$X$8&amp;RIGHT('GESTION DES JOUEURS'!$Y$8,1),Tableau14[Colonne1],Tableau14[coef. 2,80/3,10],"",0,1),"")),"")</f>
        <v>2.375</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154522J</v>
      </c>
      <c r="G20" s="57">
        <f t="shared" si="25"/>
        <v>3</v>
      </c>
      <c r="H20" s="729" t="str">
        <f>IFERROR(VLOOKUP(F20,$B$6:$G$11,2,FALSE),"")</f>
        <v>PIVONET</v>
      </c>
      <c r="I20" s="726"/>
      <c r="J20" s="730"/>
      <c r="K20" s="726" t="str">
        <f t="shared" ref="K20:K32" si="33">IFERROR(VLOOKUP(F20,$B$6:$H$11,4,FALSE),"")</f>
        <v>FRANCIS</v>
      </c>
      <c r="L20" s="727"/>
      <c r="M20" s="81">
        <v>23</v>
      </c>
      <c r="N20" s="82">
        <v>95</v>
      </c>
      <c r="O20" s="114">
        <v>40</v>
      </c>
      <c r="P20" s="81">
        <v>87</v>
      </c>
      <c r="Q20" s="82">
        <v>14</v>
      </c>
      <c r="R20" s="731" t="str">
        <f t="shared" si="26"/>
        <v>PEYROLE</v>
      </c>
      <c r="S20" s="732"/>
      <c r="T20" s="83" t="str">
        <f t="shared" si="27"/>
        <v>PHILIPPE</v>
      </c>
      <c r="U20" s="83" t="str">
        <f>IF(AO4&lt;3,"",IF(AND(AO4&lt;5,N19&gt;P19),F19,IF(AND(AO4&lt;5,P19&gt;N19),U19,IF(AND(AO4&lt;5,N19=P19,M19&gt;Q19),F19,IF(AND(AO4&lt;5,N19=P19,Q19&gt;M19),U19,IF(AND(AO4&lt;5,N19=P19,Q19=M19),F19,IF($O$4="M",_xlfn.XLOOKUP('DATA TDJ'!C39,$O$6:$O$11,$B$6:$B$11,_xlfn.XLOOKUP('DATA TDJ'!C39,$M$6:$M$11,$B$6:$B$11," ",0,1),0,1),_xlfn.XLOOKUP('DATA TDJ'!C39,$M$6:$M$11,$B$6:$B$11," ",0,1))))))))</f>
        <v>013922M</v>
      </c>
      <c r="V20" s="58">
        <f t="shared" si="28"/>
        <v>2</v>
      </c>
      <c r="W20" s="115" t="str">
        <f>IFERROR(IF(AND(X20&gt;0,Y20=FALSE),P20/O20,IF(AND(X20&gt;0,Y20=TRUE),(P20/O20)*_xlfn.XLOOKUP('GESTION DES JOUEURS'!$X$8&amp;RIGHT('GESTION DES JOUEURS'!$Y$8,1),Tableau14[Colonne1],Tableau14[coef. 2,80/3,10],"",0,1),"")),"")</f>
        <v/>
      </c>
      <c r="X20" s="59">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0</v>
      </c>
      <c r="Y20" s="678" t="b">
        <v>0</v>
      </c>
      <c r="AA20" s="905"/>
      <c r="AN20" s="244"/>
      <c r="AO20" s="248"/>
      <c r="AP20" s="325">
        <f t="shared" si="30"/>
        <v>3</v>
      </c>
      <c r="AQ20" s="325">
        <f t="shared" si="29"/>
        <v>1</v>
      </c>
      <c r="AR20" s="326">
        <f t="shared" si="31"/>
        <v>2</v>
      </c>
      <c r="AS20" s="317">
        <f t="shared" si="32"/>
        <v>1</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1</v>
      </c>
      <c r="AX20" s="319">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0</v>
      </c>
      <c r="AZ20" s="326">
        <v>4</v>
      </c>
      <c r="BB20" s="724"/>
      <c r="BC20" s="233" t="b">
        <v>0</v>
      </c>
      <c r="BD20" s="155" t="b">
        <v>0</v>
      </c>
      <c r="BE20" s="155" t="b">
        <v>0</v>
      </c>
      <c r="BF20" s="155">
        <v>0</v>
      </c>
      <c r="BG20" s="155">
        <v>0</v>
      </c>
      <c r="BH20" s="155">
        <v>0</v>
      </c>
      <c r="BI20" s="157"/>
      <c r="BJ20" s="157"/>
      <c r="BK20" s="155">
        <v>4</v>
      </c>
      <c r="BL20" s="155">
        <f t="shared" si="23"/>
        <v>4</v>
      </c>
      <c r="BM20" s="161">
        <v>6</v>
      </c>
      <c r="BV20" s="296" t="s">
        <v>5480</v>
      </c>
      <c r="BW20" s="297" cm="1">
        <f t="array" ref="BW20">_xlfn.SINGLE(_xlfn.XLOOKUP(A8&amp;A6,G18:G32&amp;V18:V32,N18:N32,_xlfn.XLOOKUP(A6&amp;A8,G18:G32&amp;V18:V32,P18:P32,"",0,1),0,1))</f>
        <v>56</v>
      </c>
      <c r="BX20" s="297" cm="1">
        <f t="array" ref="BX20">_xlfn.XLOOKUP(A8&amp;A6,G18:G32&amp;V18:V32,P18:P32,_xlfn.XLOOKUP(A6&amp;A8,G18:G32&amp;V18:V32,N18:N32,"",0,1),0,1)</f>
        <v>100</v>
      </c>
      <c r="BY20" s="297" t="str" cm="1">
        <f t="array" ref="BY20">_xlfn.XLOOKUP(A8&amp;A6,$G$18:$G$32&amp;$V$18:$V$32,$M$18:$M$32,"",0,1)</f>
        <v/>
      </c>
      <c r="BZ20" s="297" t="str" cm="1">
        <f t="array" ref="BZ20">_xlfn.XLOOKUP(A8&amp;A6,$G$18:$G$32&amp;$V$18:$V$32,$Q$18:$Q$32,"",0,1)</f>
        <v/>
      </c>
      <c r="CA20" s="297" cm="1">
        <f t="array" ref="CA20">_xlfn.XLOOKUP(A8&amp;A6,G18:G32&amp;V18:V32,O18:O32,_xlfn.XLOOKUP(A6&amp;A8,G18:G32&amp;V18:V32,O18:O32,"",0,1),0,1)</f>
        <v>28</v>
      </c>
      <c r="CB20" s="298" t="str" cm="1">
        <f t="array" ref="CB20">_xlfn.XLOOKUP(A8&amp;A6,G18:G32&amp;V18:V32,A18:A32,"",0,1)</f>
        <v/>
      </c>
      <c r="CC20" s="299">
        <f>IF(COUNTBLANK($AO$6:$AO$11)=2,SUM(BW20,BX9),IF(BW20="",BX9,BW20))</f>
        <v>56</v>
      </c>
      <c r="CD20" s="297">
        <f>IF(CC20="Ab.","",IF(BY20="",BZ9,BY20))</f>
        <v>14</v>
      </c>
      <c r="CE20" s="297">
        <f t="shared" si="20"/>
        <v>28</v>
      </c>
      <c r="CF20" s="300" t="str">
        <f>IF(CB20="",CB9,CB20)</f>
        <v>P</v>
      </c>
      <c r="CG20" s="301" cm="1">
        <f t="array" ref="CG20">_xlfn.XLOOKUP(BV20,$G$18:$G$32&amp;"-"&amp;$V$18:$V$32,$D$18:$D$32,_xlfn.XLOOKUP(BV9,$G$18:$G$32&amp;"-"&amp;$V$18:$V$32,$X$18:$X$32,"",0,1),0,1)</f>
        <v>0</v>
      </c>
      <c r="CH20" s="302" cm="1">
        <f t="array" ref="CH20">_xlfn.XLOOKUP(BV20,$G$18:$G$32&amp;"-"&amp;$V$18:$V$32,$AS$18:$AS$32,_xlfn.XLOOKUP(BV9,$G$18:$G$32&amp;"-"&amp;$V$18:$V$32,$AT$18:$AT$32,"",0,1),0,1)</f>
        <v>0</v>
      </c>
      <c r="CI20" s="819"/>
      <c r="CJ20" s="822"/>
      <c r="CK20" s="557">
        <f t="shared" si="21"/>
        <v>1</v>
      </c>
      <c r="CL20" s="557" t="b">
        <f t="shared" si="19"/>
        <v>0</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154522J</v>
      </c>
      <c r="G21" s="57">
        <f t="shared" si="25"/>
        <v>3</v>
      </c>
      <c r="H21" s="729" t="str">
        <f>IFERROR(VLOOKUP(F21,$B$6:$G$11,2,FALSE),"")</f>
        <v>PIVONET</v>
      </c>
      <c r="I21" s="726"/>
      <c r="J21" s="730"/>
      <c r="K21" s="726" t="str">
        <f t="shared" si="33"/>
        <v>FRANCIS</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xml:space="preserve">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f t="shared" si="30"/>
        <v>3</v>
      </c>
      <c r="AQ21" s="325">
        <f t="shared" si="29"/>
        <v>0</v>
      </c>
      <c r="AR21" s="326">
        <f t="shared" si="31"/>
        <v>2</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b">
        <v>0</v>
      </c>
      <c r="BD21" s="155" t="b">
        <v>0</v>
      </c>
      <c r="BE21" s="155">
        <v>0</v>
      </c>
      <c r="BF21" s="155">
        <v>0</v>
      </c>
      <c r="BG21" s="155">
        <v>0</v>
      </c>
      <c r="BH21" s="155">
        <v>0</v>
      </c>
      <c r="BI21" s="157"/>
      <c r="BJ21" s="157"/>
      <c r="BK21" s="155">
        <v>5</v>
      </c>
      <c r="BL21" s="155">
        <f t="shared" si="23"/>
        <v>5</v>
      </c>
      <c r="BM21" s="161" t="str">
        <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P</v>
      </c>
      <c r="B22" s="56">
        <f>IF(AO4=3,1,IF(OR(AO4=5,AO4&lt;3),"",IF(AO4&lt;5,1,2)))</f>
        <v>1</v>
      </c>
      <c r="C22" s="95">
        <f t="shared" si="24"/>
        <v>3</v>
      </c>
      <c r="D22" s="79">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2</v>
      </c>
      <c r="E22" s="113">
        <f>IFERROR(IF(AND(D22&gt;0,Y22=FALSE),N22/O22,IF(AND(D22&gt;0,Y22=TRUE),(N22/O22)*_xlfn.XLOOKUP('GESTION DES JOUEURS'!$X$8&amp;RIGHT('GESTION DES JOUEURS'!$Y$8,1),Tableau14[Colonne1],Tableau14[coef. 2,80/3,10],"",0,1),"")),"")</f>
        <v>2.6315789473684212</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111337F</v>
      </c>
      <c r="G22" s="57">
        <f t="shared" si="25"/>
        <v>1</v>
      </c>
      <c r="H22" s="729" t="str">
        <f>IFERROR(VLOOKUP(F22,$B$6:$G$11,2,FALSE),"")</f>
        <v>GONTHIER</v>
      </c>
      <c r="I22" s="726"/>
      <c r="J22" s="730"/>
      <c r="K22" s="726" t="str">
        <f t="shared" si="33"/>
        <v>ARNAUD</v>
      </c>
      <c r="L22" s="727"/>
      <c r="M22" s="81">
        <v>19</v>
      </c>
      <c r="N22" s="82">
        <v>100</v>
      </c>
      <c r="O22" s="114">
        <v>38</v>
      </c>
      <c r="P22" s="81">
        <v>71</v>
      </c>
      <c r="Q22" s="82">
        <v>11</v>
      </c>
      <c r="R22" s="731" t="str">
        <f t="shared" si="26"/>
        <v>PEYROLE</v>
      </c>
      <c r="S22" s="732"/>
      <c r="T22" s="83" t="str">
        <f t="shared" si="27"/>
        <v>PHILIPPE</v>
      </c>
      <c r="U22" s="83" t="str">
        <f>IF(AO4&lt;3,"",IF(AO4=3,F19,IF(AO4&lt;5,U19,IF($O$4="M",_xlfn.XLOOKUP('DATA TDJ'!C41,$O$6:$O$11,$B$6:$B$11,_xlfn.XLOOKUP('DATA TDJ'!C41,$M$6:$M$11,$B$6:$B$11," ",0,1),0,1),_xlfn.XLOOKUP('DATA TDJ'!C41,$M$6:$M$11,$B$6:$B$11," ",0,1)))))</f>
        <v>013922M</v>
      </c>
      <c r="V22" s="58">
        <f t="shared" si="28"/>
        <v>2</v>
      </c>
      <c r="W22" s="115" t="str">
        <f>IFERROR(IF(AND(X22&gt;0,Y22=FALSE),P22/O22,IF(AND(X22&gt;0,Y22=TRUE),(P22/O22)*_xlfn.XLOOKUP('GESTION DES JOUEURS'!$X$8&amp;RIGHT('GESTION DES JOUEURS'!$Y$8,1),Tableau14[Colonne1],Tableau14[coef. 2,80/3,10],"",0,1),"")),"")</f>
        <v/>
      </c>
      <c r="X22" s="59">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0</v>
      </c>
      <c r="Y22" s="678" t="b">
        <v>0</v>
      </c>
      <c r="AA22" s="911"/>
      <c r="AN22" s="244"/>
      <c r="AO22" s="248"/>
      <c r="AP22" s="325">
        <f t="shared" si="30"/>
        <v>2</v>
      </c>
      <c r="AQ22" s="325">
        <f t="shared" si="29"/>
        <v>1</v>
      </c>
      <c r="AR22" s="326">
        <f t="shared" si="31"/>
        <v>3</v>
      </c>
      <c r="AS22" s="317">
        <f t="shared" si="32"/>
        <v>1</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1</v>
      </c>
      <c r="AX22" s="319">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0</v>
      </c>
      <c r="AZ22" s="326">
        <v>6</v>
      </c>
      <c r="BB22" s="724"/>
      <c r="BC22" s="233" t="b">
        <v>0</v>
      </c>
      <c r="BD22" s="155">
        <v>0</v>
      </c>
      <c r="BE22" s="155">
        <v>0</v>
      </c>
      <c r="BF22" s="155">
        <v>0</v>
      </c>
      <c r="BG22" s="155">
        <v>0</v>
      </c>
      <c r="BH22" s="155">
        <v>0</v>
      </c>
      <c r="BI22" s="157"/>
      <c r="BJ22" s="157"/>
      <c r="BK22" s="156">
        <v>6</v>
      </c>
      <c r="BL22" s="155">
        <f t="shared" si="23"/>
        <v>6</v>
      </c>
      <c r="BM22" s="162" t="str">
        <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3</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b">
        <f t="shared" si="19"/>
        <v>0</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3</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cm="1">
        <f t="array" ref="BW24">_xlfn.SINGLE(_xlfn.XLOOKUP(A9&amp;A7,G18:G32&amp;V18:V32,N18:N32,_xlfn.XLOOKUP(A7&amp;A9,G18:G32&amp;V18:V32,P18:P32,"",0,1),0,1))</f>
        <v>0</v>
      </c>
      <c r="BX24" s="223" cm="1">
        <f t="array" ref="BX24">_xlfn.XLOOKUP(A9&amp;A7,G18:G32&amp;V18:V32,P18:P32,_xlfn.XLOOKUP(A7&amp;A9,G18:G32&amp;V18:V32,N18:N32,"",0,1),0,1)</f>
        <v>0</v>
      </c>
      <c r="BY24" s="223" cm="1">
        <f t="array" ref="BY24">_xlfn.XLOOKUP(A9&amp;A7,$G$18:$G$32&amp;$V$18:$V$32,$M$18:$M$32,"",0,1)</f>
        <v>0</v>
      </c>
      <c r="BZ24" s="223" cm="1">
        <f t="array" ref="BZ24">_xlfn.XLOOKUP(A9&amp;A7,$G$18:$G$32&amp;$V$18:$V$32,$Q$18:$Q$32,"",0,1)</f>
        <v>0</v>
      </c>
      <c r="CA24" s="223" cm="1">
        <f t="array" ref="CA24">_xlfn.XLOOKUP(A9&amp;A7,G18:G32&amp;V18:V32,O18:O32,_xlfn.XLOOKUP(A7&amp;A9,G18:G32&amp;V18:V32,O18:O32,"",0,1),0,1)</f>
        <v>0</v>
      </c>
      <c r="CB24" s="293" t="str" cm="1">
        <f t="array" ref="CB24">_xlfn.XLOOKUP(A9&amp;A7,G18:G32&amp;V18:V32,A18:A32,"",0,1)</f>
        <v/>
      </c>
      <c r="CC24" s="237">
        <f>IF(COUNTBLANK($AO$6:$AO$11)=2,SUM(BW24,BX13),IF(BW24="",BX13,BW24))</f>
        <v>0</v>
      </c>
      <c r="CD24" s="223">
        <f>IF(CC24="Ab.","",IF(BY24="",BZ13,BY24))</f>
        <v>0</v>
      </c>
      <c r="CE24" s="223">
        <f t="shared" si="20"/>
        <v>0</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b">
        <f t="shared" si="19"/>
        <v>0</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3</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0</v>
      </c>
      <c r="BH25" s="157">
        <f>IF(BH26=FALSE,BG25+1,BG25)</f>
        <v>1</v>
      </c>
      <c r="BI25" s="157">
        <f>IF(BI26=FALSE,BH25+1,BH25)</f>
        <v>2</v>
      </c>
      <c r="BJ25" s="157"/>
      <c r="BK25" s="157"/>
      <c r="BL25" s="157"/>
      <c r="BM25" s="163"/>
      <c r="BV25" s="296" t="s">
        <v>5485</v>
      </c>
      <c r="BW25" s="297" t="str" cm="1">
        <f t="array" ref="BW25">_xlfn.SINGLE(_xlfn.XLOOKUP(A9&amp;A6,G18:G32&amp;V18:V32,N18:N32,_xlfn.XLOOKUP(A6&amp;A9,G18:G32&amp;V18:V32,P18:P32,"",0,1),0,1))</f>
        <v/>
      </c>
      <c r="BX25" s="297" t="str" cm="1">
        <f t="array" ref="BX25">_xlfn.XLOOKUP(A9&amp;A6,G18:G32&amp;V18:V32,P18:P32,_xlfn.XLOOKUP(A6&amp;A9,G18:G32&amp;V18:V32,N18:N32,"",0,1),0,1)</f>
        <v/>
      </c>
      <c r="BY25" s="297" t="str" cm="1">
        <f t="array" ref="BY25">_xlfn.XLOOKUP(A9&amp;A6,$G$18:$G$32&amp;$V$18:$V$32,$M$18:$M$32,"",0,1)</f>
        <v/>
      </c>
      <c r="BZ25" s="297" t="str" cm="1">
        <f t="array" ref="BZ25">_xlfn.XLOOKUP(A9&amp;A6,$G$18:$G$32&amp;$V$18:$V$32,$Q$18:$Q$32,"",0,1)</f>
        <v/>
      </c>
      <c r="CA25" s="297" t="str" cm="1">
        <f t="array" ref="CA25">_xlfn.XLOOKUP(A9&amp;A6,G18:G32&amp;V18:V32,O18:O32,_xlfn.XLOOKUP(A6&amp;A9,G18:G32&amp;V18:V32,O18:O32,"",0,1),0,1)</f>
        <v/>
      </c>
      <c r="CB25" s="298" t="str" cm="1">
        <f t="array" ref="CB25">_xlfn.XLOOKUP(A9&amp;A6,G18:G32&amp;V18:V32,A18:A32,"",0,1)</f>
        <v/>
      </c>
      <c r="CC25" s="299" t="str">
        <f>IF(COUNTBLANK($AO$6:$AO$11)=2,SUM(BW25,BX8),IF(BW25="",BX8,BW25))</f>
        <v/>
      </c>
      <c r="CD25" s="297" t="str">
        <f>IF(CC25="Ab.","",IF(BY25="",BZ8,BY25))</f>
        <v/>
      </c>
      <c r="CE25" s="297" t="str">
        <f t="shared" si="20"/>
        <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b">
        <f t="shared" si="19"/>
        <v>0</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3</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f>IF(ISEVEN(BE12),BD6)</f>
        <v>1</v>
      </c>
      <c r="BD26" s="155" t="b">
        <f>IF(ISEVEN(BF12),BE7,IF(ISEVEN(BG12),BF8))</f>
        <v>0</v>
      </c>
      <c r="BE26" s="155" t="b">
        <f>IF(ISEVEN(BI12),BH10,IF(ISEVEN(BH12),BG9,IF(ISEVEN(BG12),BF8)))</f>
        <v>0</v>
      </c>
      <c r="BF26" s="157"/>
      <c r="BG26" s="155">
        <f>BC26</f>
        <v>1</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3</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f>_xlfn.XLOOKUP(BC26,$BC$17:$BH$17,$BC$18:$BH$18,FALSE,0,1)</f>
        <v>3</v>
      </c>
      <c r="BD27" s="155" t="b">
        <f>_xlfn.XLOOKUP(BD26,$BC$17:$BH$17,$BC$18:$BH$18,FALSE,0,1)</f>
        <v>0</v>
      </c>
      <c r="BE27" s="155" t="b">
        <f>_xlfn.XLOOKUP(BE26,$BC$17:$BH$17,$BC$18:$BH$18,FALSE,0,1)</f>
        <v>0</v>
      </c>
      <c r="BF27" s="157"/>
      <c r="BG27" s="155">
        <f>BC27</f>
        <v>3</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3</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4</v>
      </c>
      <c r="BH28" s="157">
        <f>IF(BH27=FALSE,BI28+1,BI28)</f>
        <v>4</v>
      </c>
      <c r="BI28" s="157">
        <f>IF(BI27=FALSE,BI25+1,BI25)</f>
        <v>3</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b">
        <f t="shared" si="19"/>
        <v>0</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3</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cm="1">
        <f t="array" ref="BW29">_xlfn.SINGLE(_xlfn.XLOOKUP(A10&amp;A7,G18:G32&amp;V18:V32,N18:N32,_xlfn.XLOOKUP(A7&amp;A10,G18:G32&amp;V18:V32,P18:P32,"",0,1),0,1))</f>
        <v>0</v>
      </c>
      <c r="BX29" s="223" cm="1">
        <f t="array" ref="BX29">_xlfn.XLOOKUP(A10&amp;A7,G18:G32&amp;V18:V32,P18:P32,_xlfn.XLOOKUP(A7&amp;A10,G18:G32&amp;V18:V32,N18:N32,"",0,1),0,1)</f>
        <v>0</v>
      </c>
      <c r="BY29" s="223" cm="1">
        <f t="array" ref="BY29">_xlfn.XLOOKUP(A10&amp;A7,$G$18:$G$32&amp;$V$18:$V$32,$M$18:$M$32,"",0,1)</f>
        <v>0</v>
      </c>
      <c r="BZ29" s="223" cm="1">
        <f t="array" ref="BZ29">_xlfn.XLOOKUP(A10&amp;A7,$G$18:$G$32&amp;$V$18:$V$32,$Q$18:$Q$32,"",0,1)</f>
        <v>0</v>
      </c>
      <c r="CA29" s="223" cm="1">
        <f t="array" ref="CA29">_xlfn.XLOOKUP(A10&amp;A7,G18:G32&amp;V18:V32,O18:O32,_xlfn.XLOOKUP(A7&amp;A10,G18:G32&amp;V18:V32,O18:O32,"",0,1),0,1)</f>
        <v>0</v>
      </c>
      <c r="CB29" s="293" t="str" cm="1">
        <f t="array" ref="CB29">_xlfn.XLOOKUP(A10&amp;A7,G18:G32&amp;V18:V32,A18:A32,"",0,1)</f>
        <v/>
      </c>
      <c r="CC29" s="237">
        <f>IF(COUNTBLANK($AO$6:$AO$11)=2,SUM(BW29,BX12),IF(BW29="",BX12,BW29))</f>
        <v>0</v>
      </c>
      <c r="CD29" s="223">
        <f>IF(CC29="Ab.","",IF(BY29="",BZ12,BY29))</f>
        <v>0</v>
      </c>
      <c r="CE29" s="223">
        <f t="shared" si="20"/>
        <v>0</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b">
        <f t="shared" si="19"/>
        <v>0</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3</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4</v>
      </c>
      <c r="BF30" s="167">
        <f>IF(SUM(BC17:BC22)=21,4,IF(BI27=FALSE,_xlfn.XLOOKUP(BI28,$BK$17:$BK$22,$BM$17:$BM$22,"",0,1),BI27))</f>
        <v>5</v>
      </c>
      <c r="BG30" s="167">
        <f>IF(SUM(BC17:BC22)=21,5,IF(BH27=FALSE,_xlfn.XLOOKUP(BH28,$BK$17:$BK$22,$BM$17:$BM$22,"",0,1),BH27))</f>
        <v>6</v>
      </c>
      <c r="BH30" s="167">
        <f>IF(SUM(BC17:BC22)=21,6,IF(BG27=FALSE,_xlfn.XLOOKUP(BG28,$BK$17:$BK$22,$BM$17:$BM$22,"",0,1),BG27))</f>
        <v>3</v>
      </c>
      <c r="BI30" s="157"/>
      <c r="BJ30" s="157"/>
      <c r="BK30" s="157"/>
      <c r="BL30" s="157"/>
      <c r="BM30" s="163"/>
      <c r="BV30" s="296" t="s">
        <v>5490</v>
      </c>
      <c r="BW30" s="297" t="str" cm="1">
        <f t="array" ref="BW30">_xlfn.SINGLE(_xlfn.XLOOKUP(A10&amp;A6,G18:G32&amp;V18:V32,N18:N32,_xlfn.XLOOKUP(A6&amp;A10,G18:G32&amp;V18:V32,P18:P32,"",0,1),0,1))</f>
        <v/>
      </c>
      <c r="BX30" s="297" t="str" cm="1">
        <f t="array" ref="BX30">_xlfn.XLOOKUP(A10&amp;A6,G18:G32&amp;V18:V32,P18:P32,_xlfn.XLOOKUP(A6&amp;A10,G18:G32&amp;V18:V32,N18:N32,"",0,1),0,1)</f>
        <v/>
      </c>
      <c r="BY30" s="297" t="str" cm="1">
        <f t="array" ref="BY30">_xlfn.XLOOKUP(A10&amp;A6,$G$18:$G$32&amp;$V$18:$V$32,$M$18:$M$32,"",0,1)</f>
        <v/>
      </c>
      <c r="BZ30" s="297" t="str" cm="1">
        <f t="array" ref="BZ30">_xlfn.XLOOKUP(A10&amp;A6,$G$18:$G$32&amp;$V$18:$V$32,$Q$18:$Q$32,"",0,1)</f>
        <v/>
      </c>
      <c r="CA30" s="297" t="str" cm="1">
        <f t="array" ref="CA30">_xlfn.XLOOKUP(A10&amp;A6,G18:G32&amp;V18:V32,O18:O32,_xlfn.XLOOKUP(A6&amp;A10,G18:G32&amp;V18:V32,O18:O32,"",0,1),0,1)</f>
        <v/>
      </c>
      <c r="CB30" s="298" t="str" cm="1">
        <f t="array" ref="CB30">_xlfn.XLOOKUP(A10&amp;A6,G18:G32&amp;V18:V32,A18:A32,"",0,1)</f>
        <v/>
      </c>
      <c r="CC30" s="299" t="str">
        <f>IF(COUNTBLANK($AO$6:$AO$11)=2,SUM(BW30,BX7),IF(BW30="",BX7,BW30))</f>
        <v/>
      </c>
      <c r="CD30" s="297" t="str">
        <f>IF(CC30="Ab.","",IF(BY30="",BZ7,BY30))</f>
        <v/>
      </c>
      <c r="CE30" s="297" t="str">
        <f t="shared" si="20"/>
        <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b">
        <f t="shared" si="19"/>
        <v>0</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3</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3</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4</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b">
        <f t="shared" si="19"/>
        <v>0</v>
      </c>
    </row>
    <row r="34" spans="2:90" ht="15" customHeight="1" thickBot="1" x14ac:dyDescent="0.3">
      <c r="AA34" s="718" t="s">
        <v>8130</v>
      </c>
      <c r="BB34" s="266"/>
      <c r="BC34" s="182">
        <v>3</v>
      </c>
      <c r="BD34" s="168" t="b">
        <v>0</v>
      </c>
      <c r="BE34" s="168" t="b">
        <v>0</v>
      </c>
      <c r="BF34" s="168" t="str">
        <v/>
      </c>
      <c r="BG34" s="168">
        <v>0</v>
      </c>
      <c r="BH34" s="170"/>
      <c r="BI34" s="170"/>
      <c r="BJ34" s="170"/>
      <c r="BK34" s="168">
        <v>2</v>
      </c>
      <c r="BL34" s="168" t="str">
        <f>IF(OR($BG$40=BK34,$BH$40=BK34,$BI$40=BK34,$BI$41=BK34,$BH$41=BK34),"",BK34)</f>
        <v/>
      </c>
      <c r="BM34" s="175">
        <v>5</v>
      </c>
      <c r="BV34" s="292" t="s">
        <v>5494</v>
      </c>
      <c r="BW34" s="223" cm="1">
        <f t="array" ref="BW34">_xlfn.SINGLE(_xlfn.XLOOKUP(A11&amp;A7,G18:G32&amp;V18:V32,N18:N32,_xlfn.XLOOKUP(A7&amp;A11,G18:G32&amp;V18:V32,P18:P32,"",0,1),0,1))</f>
        <v>0</v>
      </c>
      <c r="BX34" s="223" cm="1">
        <f t="array" ref="BX34">_xlfn.XLOOKUP(A11&amp;A7,G18:G32&amp;V18:V32,P18:P32,_xlfn.XLOOKUP(A7&amp;A11,G18:G32&amp;V18:V32,N18:N32,"",0,1),0,1)</f>
        <v>0</v>
      </c>
      <c r="BY34" s="223" cm="1">
        <f t="array" ref="BY34">_xlfn.XLOOKUP(A11&amp;A7,$G$18:$G$32&amp;$V$18:$V$32,$M$18:$M$32,"",0,1)</f>
        <v>0</v>
      </c>
      <c r="BZ34" s="223" cm="1">
        <f t="array" ref="BZ34">_xlfn.XLOOKUP(A11&amp;A7,$G$18:$G$32&amp;$V$18:$V$32,$Q$18:$Q$32,"",0,1)</f>
        <v>0</v>
      </c>
      <c r="CA34" s="223" cm="1">
        <f t="array" ref="CA34">_xlfn.XLOOKUP(A11&amp;A7,G18:G32&amp;V18:V32,O18:O32,_xlfn.XLOOKUP(A7&amp;A11,G18:G32&amp;V18:V32,O18:O32,"",0,1),0,1)</f>
        <v>0</v>
      </c>
      <c r="CB34" s="293" t="str" cm="1">
        <f t="array" ref="CB34">_xlfn.XLOOKUP(A11&amp;A7,G18:G32&amp;V18:V32,A18:A32,"",0,1)</f>
        <v/>
      </c>
      <c r="CC34" s="237">
        <f>IF(COUNTBLANK($AO$6:$AO$11)=2,SUM(BW34,BX11),IF(BW34="",BX11,BW34))</f>
        <v>0</v>
      </c>
      <c r="CD34" s="223">
        <f>IF(CC34="Ab.","",IF(BY34="",BZ11,BY34))</f>
        <v>0</v>
      </c>
      <c r="CE34" s="223">
        <f t="shared" si="20"/>
        <v>0</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b">
        <f t="shared" si="19"/>
        <v>0</v>
      </c>
    </row>
    <row r="35" spans="2:90" ht="18.95" customHeight="1" thickBot="1" x14ac:dyDescent="0.35">
      <c r="B35" s="750" t="str">
        <f>"CLASSEMENT"&amp;" "&amp;K13&amp;" "&amp;L13</f>
        <v>CLASSEMENT Poule C</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b">
        <v>0</v>
      </c>
      <c r="BD35" s="168" t="b">
        <v>0</v>
      </c>
      <c r="BE35" s="168" t="b">
        <v>0</v>
      </c>
      <c r="BF35" s="168">
        <v>0</v>
      </c>
      <c r="BG35" s="168">
        <v>0</v>
      </c>
      <c r="BH35" s="170"/>
      <c r="BI35" s="170"/>
      <c r="BJ35" s="170"/>
      <c r="BK35" s="168">
        <v>3</v>
      </c>
      <c r="BL35" s="168" t="str">
        <f>IF(OR($BG$40=BK35,$BH$40=BK35,$BI$40=BK35,$BI$41=BK35,$BH$41=BK35),"",BK35)</f>
        <v/>
      </c>
      <c r="BM35" s="175" t="str">
        <v/>
      </c>
      <c r="BV35" s="296" t="s">
        <v>5495</v>
      </c>
      <c r="BW35" s="297" t="str" cm="1">
        <f t="array" ref="BW35">_xlfn.SINGLE(_xlfn.XLOOKUP(A11&amp;A6,G18:G32&amp;V18:V32,N18:N32,_xlfn.XLOOKUP(A6&amp;A11,G18:G32&amp;V18:V32,P18:P32,"",0,1),0,1))</f>
        <v/>
      </c>
      <c r="BX35" s="297" t="str" cm="1">
        <f t="array" ref="BX35">_xlfn.XLOOKUP(A11&amp;A6,G18:G32&amp;V18:V32,P18:P32,_xlfn.XLOOKUP(A6&amp;A11,G18:G32&amp;V18:V32,N18:N32,"",0,1),0,1)</f>
        <v/>
      </c>
      <c r="BY35" s="297" t="str" cm="1">
        <f t="array" ref="BY35">_xlfn.XLOOKUP(A11&amp;A6,$G$18:$G$32&amp;$V$18:$V$32,$M$18:$M$32,"",0,1)</f>
        <v/>
      </c>
      <c r="BZ35" s="297" t="str" cm="1">
        <f t="array" ref="BZ35">_xlfn.XLOOKUP(A11&amp;A6,$G$18:$G$32&amp;$V$18:$V$32,$Q$18:$Q$32,"",0,1)</f>
        <v/>
      </c>
      <c r="CA35" s="297" t="str" cm="1">
        <f t="array" ref="CA35">_xlfn.XLOOKUP(A11&amp;A6,G18:G32&amp;V18:V32,O18:O32,_xlfn.XLOOKUP(A6&amp;A11,G18:G32&amp;V18:V32,O18:O32,"",0,1),0,1)</f>
        <v/>
      </c>
      <c r="CB35" s="298" t="str" cm="1">
        <f t="array" ref="CB35">_xlfn.XLOOKUP(A11&amp;A6,G18:G32&amp;V18:V32,A18:A32,"",0,1)</f>
        <v/>
      </c>
      <c r="CC35" s="299" t="str">
        <f>IF(COUNTBLANK($AO$6:$AO$11)=2,SUM(BW35,BX6),IF(BW35="",BX6,BW35))</f>
        <v/>
      </c>
      <c r="CD35" s="297" t="str">
        <f>IF(CC35="Ab.","",IF(BY35="",BZ6,BY35))</f>
        <v/>
      </c>
      <c r="CE35" s="297" t="str">
        <f t="shared" si="20"/>
        <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b">
        <f t="shared" si="19"/>
        <v>0</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b">
        <v>0</v>
      </c>
      <c r="BD36" s="168" t="b">
        <v>0</v>
      </c>
      <c r="BE36" s="168">
        <v>0</v>
      </c>
      <c r="BF36" s="168">
        <v>0</v>
      </c>
      <c r="BG36" s="168">
        <v>0</v>
      </c>
      <c r="BH36" s="170"/>
      <c r="BI36" s="170"/>
      <c r="BJ36" s="170"/>
      <c r="BK36" s="168">
        <v>4</v>
      </c>
      <c r="BL36" s="168">
        <f>IF(OR($BG$40=BK36,$BH$40=BK36,$BI$40=BK36,$BI$41=BK36,$BH$41=BK36),"",BK36)</f>
        <v>4</v>
      </c>
      <c r="BM36" s="175" t="str">
        <v/>
      </c>
    </row>
    <row r="37" spans="2:90" ht="14.45" customHeight="1" x14ac:dyDescent="0.25">
      <c r="B37" s="37" t="str" cm="1">
        <f t="array" ref="B37:B39">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111337F</v>
      </c>
      <c r="C37" s="756" t="str">
        <f t="shared" ref="C37:C42" si="35">_xlfn.XLOOKUP(B37,$B$6:$B$11,$C$6:$C$11,"",0,1)</f>
        <v>GONTHIER</v>
      </c>
      <c r="D37" s="756"/>
      <c r="E37" s="756" t="str">
        <f t="shared" ref="E37:E42" si="36">_xlfn.XLOOKUP(B37,$B$6:$B$11,$E$6:$E$11,"",0,1)</f>
        <v>ARNAUD</v>
      </c>
      <c r="F37" s="756"/>
      <c r="G37" s="756" t="str">
        <f t="shared" ref="G37:G42" si="37">_xlfn.XLOOKUP(B37,$B$6:$B$11,$G$6:$G$11,"",0,1)</f>
        <v>ASS. BILLARD AMATEUR DE SAINT MAUR</v>
      </c>
      <c r="H37" s="756"/>
      <c r="I37" s="756"/>
      <c r="J37" s="756"/>
      <c r="K37" s="756"/>
      <c r="L37" s="756"/>
      <c r="M37" s="38">
        <f t="shared" ref="M37:M42" si="38">IF(B37="","",_xlfn.XLOOKUP(B37,$B$6:$B$11,$V$6:$V$11,"",0,1))</f>
        <v>4</v>
      </c>
      <c r="N37" s="102">
        <f t="shared" ref="N37:N42" si="39">IF(B37="","",_xlfn.XLOOKUP(B37,$B$6:$B$11,$T$6:$T$11,"",0,1))</f>
        <v>3.0303030303030303</v>
      </c>
      <c r="O37" s="102">
        <f t="shared" ref="O37:O42" si="40">IF(B37="","",_xlfn.XLOOKUP(B37,$B$6:$B$11,$U$6:$U$11,"",0,1))</f>
        <v>3.5714285714285716</v>
      </c>
      <c r="P37" s="351">
        <f t="shared" ref="P37:P42" si="41">IF(B37="","",_xlfn.XLOOKUP(B37,$B$6:$B$11,$S$6:$S$11,"",0,1))</f>
        <v>19</v>
      </c>
      <c r="Q37" s="101">
        <f>IF(B37="","",1)</f>
        <v>1</v>
      </c>
      <c r="R37" s="37" cm="1">
        <f t="array" ref="R37:S37">IF('GESTION DES JOUEURS'!$D$8="Open",_xlfn.XLOOKUP(B37,$B$6:$B$11,$AF$6:$AG$11,"",0,1),_xlfn.XLOOKUP(B37,$B$6:$B$11,$W$6:$X$11,"",0,1))</f>
        <v>8</v>
      </c>
      <c r="S37" s="40">
        <v>2</v>
      </c>
      <c r="T37" s="241"/>
      <c r="U37" s="943" t="str">
        <f>"TABLEAU "&amp;CHAR(10)&amp;B2</f>
        <v>TABLEAU 
Poule C</v>
      </c>
      <c r="V37" s="944"/>
      <c r="W37" s="944"/>
      <c r="X37" s="945"/>
      <c r="AA37" s="924" t="s">
        <v>9888</v>
      </c>
      <c r="AE37" s="443" t="str">
        <f>IF(Q37=1,"",M37)</f>
        <v/>
      </c>
      <c r="AN37" s="244"/>
      <c r="AO37" s="248"/>
      <c r="BB37" s="266"/>
      <c r="BC37" s="182" t="b">
        <v>0</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154522J</v>
      </c>
      <c r="C38" s="728" t="str">
        <f t="shared" si="35"/>
        <v>PIVONET</v>
      </c>
      <c r="D38" s="728"/>
      <c r="E38" s="728" t="str">
        <f t="shared" si="36"/>
        <v>FRANCIS</v>
      </c>
      <c r="F38" s="728"/>
      <c r="G38" s="728" t="str">
        <f t="shared" si="37"/>
        <v>ASS. BILLARD AMATEUR DE SAINT MAUR</v>
      </c>
      <c r="H38" s="728"/>
      <c r="I38" s="728"/>
      <c r="J38" s="728"/>
      <c r="K38" s="728"/>
      <c r="L38" s="728"/>
      <c r="M38" s="42">
        <f t="shared" si="38"/>
        <v>2</v>
      </c>
      <c r="N38" s="104">
        <f t="shared" si="39"/>
        <v>2.2205882352941178</v>
      </c>
      <c r="O38" s="104">
        <f t="shared" si="40"/>
        <v>2.375</v>
      </c>
      <c r="P38" s="352">
        <f t="shared" si="41"/>
        <v>23</v>
      </c>
      <c r="Q38" s="103">
        <f>IF(AO4&lt;2,"",2)</f>
        <v>2</v>
      </c>
      <c r="R38" s="357" cm="1">
        <f t="array" ref="R38:S38">IF('GESTION DES JOUEURS'!$D$8="Open",_xlfn.XLOOKUP(B38,$B$6:$B$11,$AF$6:$AG$11,"",0,1),_xlfn.XLOOKUP(B38,$B$6:$B$11,$W$6:$X$11,"",0,1))</f>
        <v>5</v>
      </c>
      <c r="S38" s="44">
        <v>2</v>
      </c>
      <c r="T38" s="241"/>
      <c r="U38" s="946"/>
      <c r="V38" s="947"/>
      <c r="W38" s="947"/>
      <c r="X38" s="948"/>
      <c r="AA38" s="925"/>
      <c r="AE38" s="443">
        <f t="shared" ref="AE38:AE42" si="42">IF(Q38=1,"",M38)</f>
        <v>2</v>
      </c>
      <c r="AN38" s="244"/>
      <c r="AO38" s="248"/>
      <c r="BB38" s="266"/>
      <c r="BC38" s="170"/>
      <c r="BD38" s="170"/>
      <c r="BE38" s="170"/>
      <c r="BF38" s="170"/>
      <c r="BG38" s="170"/>
      <c r="BH38" s="170"/>
      <c r="BI38" s="170"/>
      <c r="BJ38" s="170"/>
      <c r="BK38" s="169"/>
      <c r="BL38" s="170"/>
      <c r="BM38" s="176"/>
    </row>
    <row r="39" spans="2:90" ht="14.45" customHeight="1" thickBot="1" x14ac:dyDescent="0.3">
      <c r="B39" s="41" t="str">
        <v>013922M</v>
      </c>
      <c r="C39" s="728" t="str">
        <f t="shared" si="35"/>
        <v>PEYROLE</v>
      </c>
      <c r="D39" s="728"/>
      <c r="E39" s="728" t="str">
        <f t="shared" si="36"/>
        <v>PHILIPPE</v>
      </c>
      <c r="F39" s="728"/>
      <c r="G39" s="728" t="str">
        <f t="shared" si="37"/>
        <v>BILLARD CLUB DE LIVRY GARGAN</v>
      </c>
      <c r="H39" s="728"/>
      <c r="I39" s="728"/>
      <c r="J39" s="728"/>
      <c r="K39" s="728"/>
      <c r="L39" s="728"/>
      <c r="M39" s="42">
        <f t="shared" si="38"/>
        <v>0</v>
      </c>
      <c r="N39" s="104">
        <f t="shared" si="39"/>
        <v>2.0256410256410255</v>
      </c>
      <c r="O39" s="104" t="str">
        <f t="shared" si="40"/>
        <v>/</v>
      </c>
      <c r="P39" s="352">
        <f t="shared" si="41"/>
        <v>14</v>
      </c>
      <c r="Q39" s="103">
        <f>IF(AO4&lt;3,"",3)</f>
        <v>3</v>
      </c>
      <c r="R39" s="357" cm="1">
        <f t="array" ref="R39:S39">IF('GESTION DES JOUEURS'!$D$8="Open",_xlfn.XLOOKUP(B39,$B$6:$B$11,$AF$6:$AG$11,"",0,1),_xlfn.XLOOKUP(B39,$B$6:$B$11,$W$6:$X$11,"",0,1))</f>
        <v>3</v>
      </c>
      <c r="S39" s="44">
        <v>2</v>
      </c>
      <c r="T39" s="241"/>
      <c r="U39" s="946"/>
      <c r="V39" s="947"/>
      <c r="W39" s="947"/>
      <c r="X39" s="948"/>
      <c r="AE39" s="443">
        <f t="shared" si="42"/>
        <v>0</v>
      </c>
      <c r="AN39" s="244"/>
      <c r="AO39" s="248"/>
      <c r="BB39" s="266"/>
      <c r="BC39" s="170"/>
      <c r="BD39" s="170"/>
      <c r="BE39" s="170"/>
      <c r="BF39" s="170"/>
      <c r="BG39" s="170">
        <f>IF(BG40=FALSE,BF39+1,BF39)</f>
        <v>0</v>
      </c>
      <c r="BH39" s="170">
        <f>IF(BH40=FALSE,BG39+1,BG39)</f>
        <v>0</v>
      </c>
      <c r="BI39" s="170">
        <f>IF(BI40=FALSE,BH39+1,BH39)</f>
        <v>1</v>
      </c>
      <c r="BJ39" s="170"/>
      <c r="BK39" s="170"/>
      <c r="BL39" s="170"/>
      <c r="BM39" s="177"/>
    </row>
    <row r="40" spans="2:90" ht="14.45" customHeight="1" x14ac:dyDescent="0.25">
      <c r="B40" s="41"/>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IF('GESTION DES JOUEURS'!$D$8="Open",_xlfn.XLOOKUP(B40,$B$6:$B$11,$AF$6:$AG$11,"",0,1),_xlfn.XLOOKUP(B40,$B$6:$B$11,$W$6:$X$11,"",0,1))</f>
        <v/>
      </c>
      <c r="S40" s="44"/>
      <c r="T40" s="241"/>
      <c r="U40" s="946"/>
      <c r="V40" s="947"/>
      <c r="W40" s="947"/>
      <c r="X40" s="948"/>
      <c r="AA40" s="926" t="s">
        <v>5447</v>
      </c>
      <c r="AE40" s="443" t="str">
        <f t="shared" si="42"/>
        <v/>
      </c>
      <c r="AN40" s="244"/>
      <c r="AO40" s="248"/>
      <c r="BB40" s="266"/>
      <c r="BC40" s="182">
        <f>IF(ISODD(BE13),BD6,IF(AND(ISODD(BF13),ISODD(BJ7)),BE7,IF(AND(ISODD(BG13),ISODD(BJ8)),BF8,IF(AND(ISODD(BH13),ISODD(BJ9)),BG9,IF(ISODD(BI13),BH10)))))</f>
        <v>2</v>
      </c>
      <c r="BD40" s="168">
        <f>IF(ISEVEN(BE13),BD6,IF(ISEVEN(BF13),BE7))</f>
        <v>1</v>
      </c>
      <c r="BE40" s="168" t="b">
        <f>IF(ISEVEN(BH13),BG9,IF(ISEVEN(BG13),BF8,IF(ISEVEN(BF13),BE7)))</f>
        <v>0</v>
      </c>
      <c r="BF40" s="170"/>
      <c r="BG40" s="168">
        <f>BC40</f>
        <v>2</v>
      </c>
      <c r="BH40" s="168">
        <f>BD40</f>
        <v>1</v>
      </c>
      <c r="BI40" s="168" t="b">
        <f>IF(AND(BD40=2,BE40=2),FALSE,BE40)</f>
        <v>0</v>
      </c>
      <c r="BJ40" s="170"/>
      <c r="BK40" s="170"/>
      <c r="BL40" s="170"/>
      <c r="BM40" s="177"/>
    </row>
    <row r="41" spans="2:90" ht="14.45" customHeight="1" x14ac:dyDescent="0.25">
      <c r="B41" s="41"/>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IF('GESTION DES JOUEURS'!$D$8="Open",_xlfn.XLOOKUP(B41,$B$6:$B$11,$AF$6:$AG$11,"",0,1),_xlfn.XLOOKUP(B41,$B$6:$B$11,$W$6:$X$11,"",0,1))</f>
        <v/>
      </c>
      <c r="S41" s="44"/>
      <c r="T41" s="241"/>
      <c r="U41" s="946"/>
      <c r="V41" s="947"/>
      <c r="W41" s="947"/>
      <c r="X41" s="948"/>
      <c r="AA41" s="927"/>
      <c r="AE41" s="443" t="str">
        <f t="shared" si="42"/>
        <v/>
      </c>
      <c r="AN41" s="244"/>
      <c r="AO41" s="248"/>
      <c r="BB41" s="266"/>
      <c r="BC41" s="170"/>
      <c r="BD41" s="168">
        <f>_xlfn.XLOOKUP(BD40,$BC$33:$BG$33,$BC$34:$BG$34,FALSE,0,1)</f>
        <v>3</v>
      </c>
      <c r="BE41" s="168" t="b">
        <f>_xlfn.XLOOKUP(BE40,$BC$33:$BG$33,$BC$34:$BG$34,FALSE,0,1)</f>
        <v>0</v>
      </c>
      <c r="BF41" s="170"/>
      <c r="BG41" s="170"/>
      <c r="BH41" s="168">
        <f>BD41</f>
        <v>3</v>
      </c>
      <c r="BI41" s="168" t="b">
        <f>IF(AND(BD40=2,BE40=2),FALSE,BE41)</f>
        <v>0</v>
      </c>
      <c r="BJ41" s="170"/>
      <c r="BK41" s="170"/>
      <c r="BL41" s="170"/>
      <c r="BM41" s="177"/>
    </row>
    <row r="42" spans="2:90" ht="15" customHeight="1" thickBot="1" x14ac:dyDescent="0.3">
      <c r="B42" s="45"/>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IF('GESTION DES JOUEURS'!$D$8="Open",_xlfn.XLOOKUP(B42,$B$6:$B$11,$AF$6:$AG$11,"",0,1),_xlfn.XLOOKUP(B42,$B$6:$B$11,$W$6:$X$11,"",0,1))</f>
        <v/>
      </c>
      <c r="S42" s="48"/>
      <c r="T42" s="241"/>
      <c r="U42" s="949"/>
      <c r="V42" s="950"/>
      <c r="W42" s="950"/>
      <c r="X42" s="951"/>
      <c r="AA42" s="928"/>
      <c r="AE42" s="443" t="str">
        <f t="shared" si="42"/>
        <v/>
      </c>
      <c r="AN42" s="244"/>
      <c r="AO42" s="248"/>
      <c r="BB42" s="266"/>
      <c r="BC42" s="170"/>
      <c r="BD42" s="170"/>
      <c r="BE42" s="170"/>
      <c r="BF42" s="170"/>
      <c r="BG42" s="170"/>
      <c r="BH42" s="170">
        <f>IF(BH41=FALSE,BI42+1,BI42)</f>
        <v>2</v>
      </c>
      <c r="BI42" s="170">
        <f>IF(BI41=FALSE,BI39+1,BI39)</f>
        <v>2</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2</v>
      </c>
      <c r="BD44" s="171">
        <f>IF(SUM(BC33:BC37)=15,2,IF(BH40=FALSE,_xlfn.XLOOKUP(BH39,$BK$33:$BK$37,$BM$33:$BM$37,"",0,1),BH40))</f>
        <v>1</v>
      </c>
      <c r="BE44" s="171">
        <f>IF(SUM(BC33:BC37)=15,3,IF(BI40=FALSE,_xlfn.XLOOKUP(BI39,$BK$33:$BK$37,$BM$33:$BM$37,"",0,1),BI40))</f>
        <v>4</v>
      </c>
      <c r="BF44" s="171">
        <f>IF(SUM(BC33:BC37)=15,4,IF(BI41=FALSE,_xlfn.XLOOKUP(BI42,$BK$33:$BK$37,$BM$33:$BM$37,"",0,1),BI41))</f>
        <v>5</v>
      </c>
      <c r="BG44" s="171">
        <f>IF(SUM(BC33:BC37)=15,5,IF(BH41=FALSE,_xlfn.XLOOKUP(BH42,$BK$33:$BK$37,$BM$33:$BM$37,"",0,1),BH41))</f>
        <v>3</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7" spans="2:90"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t="str">
        <f>IF(OR($BD$53=BK47,$BE$53=BK47,$BE$54=BK47,$BD$54=BK47),"",BK47)</f>
        <v/>
      </c>
      <c r="BM47" s="190" cm="1">
        <f t="array" ref="BM47:BM50">_xlfn._xlws.SORT(BL47:BL50)</f>
        <v>2</v>
      </c>
    </row>
    <row r="48" spans="2:90" hidden="1" x14ac:dyDescent="0.25">
      <c r="BB48" s="724"/>
      <c r="BC48" s="186">
        <v>3</v>
      </c>
      <c r="BD48" s="185" t="b">
        <v>0</v>
      </c>
      <c r="BE48" s="185" t="b">
        <v>0</v>
      </c>
      <c r="BF48" s="185">
        <v>0</v>
      </c>
      <c r="BG48" s="191"/>
      <c r="BH48" s="191"/>
      <c r="BI48" s="191"/>
      <c r="BJ48" s="191"/>
      <c r="BK48" s="185">
        <v>2</v>
      </c>
      <c r="BL48" s="185">
        <f>IF(OR($BD$53=BK48,$BE$53=BK48,$BE$54=BK48,$BD$54=BK48),"",BK48)</f>
        <v>2</v>
      </c>
      <c r="BM48" s="192">
        <v>4</v>
      </c>
    </row>
    <row r="49" spans="25:65" hidden="1" x14ac:dyDescent="0.25">
      <c r="BB49" s="724"/>
      <c r="BC49" s="186" t="b">
        <v>0</v>
      </c>
      <c r="BD49" s="185" t="b">
        <v>0</v>
      </c>
      <c r="BE49" s="185">
        <v>0</v>
      </c>
      <c r="BF49" s="185">
        <v>0</v>
      </c>
      <c r="BG49" s="191"/>
      <c r="BH49" s="191"/>
      <c r="BI49" s="191"/>
      <c r="BJ49" s="191"/>
      <c r="BK49" s="185">
        <v>3</v>
      </c>
      <c r="BL49" s="185" t="str">
        <f>IF(OR($BD$53=BK49,$BE$53=BK49,$BE$54=BK49,$BD$54=BK49),"",BK49)</f>
        <v/>
      </c>
      <c r="BM49" s="192" t="str">
        <v/>
      </c>
    </row>
    <row r="50" spans="25:65" hidden="1" x14ac:dyDescent="0.25">
      <c r="BB50" s="724"/>
      <c r="BC50" s="186" t="b">
        <v>0</v>
      </c>
      <c r="BD50" s="185">
        <v>0</v>
      </c>
      <c r="BE50" s="185">
        <v>0</v>
      </c>
      <c r="BF50" s="185">
        <v>0</v>
      </c>
      <c r="BG50" s="191"/>
      <c r="BH50" s="191"/>
      <c r="BI50" s="191"/>
      <c r="BJ50" s="191"/>
      <c r="BK50" s="185">
        <v>4</v>
      </c>
      <c r="BL50" s="185">
        <f>IF(OR($BD$53=BK50,$BE$53=BK50,$BE$54=BK50,$BD$54=BK50),"",BK50)</f>
        <v>4</v>
      </c>
      <c r="BM50" s="192" t="str">
        <v/>
      </c>
    </row>
    <row r="51" spans="25:65" hidden="1" x14ac:dyDescent="0.25">
      <c r="BB51" s="724"/>
      <c r="BC51" s="191"/>
      <c r="BD51" s="191"/>
      <c r="BE51" s="191"/>
      <c r="BF51" s="191"/>
      <c r="BG51" s="191"/>
      <c r="BH51" s="191"/>
      <c r="BI51" s="191"/>
      <c r="BJ51" s="191"/>
      <c r="BK51" s="191"/>
      <c r="BL51" s="191"/>
      <c r="BM51" s="193"/>
    </row>
    <row r="52" spans="25:65" hidden="1" x14ac:dyDescent="0.25">
      <c r="BB52" s="724"/>
      <c r="BC52" s="191"/>
      <c r="BD52" s="191">
        <f>IF(BD53=FALSE,BC52+1,BC52)</f>
        <v>0</v>
      </c>
      <c r="BE52" s="191">
        <f>IF(BE53=FALSE,BD52+1,BD52)</f>
        <v>1</v>
      </c>
      <c r="BF52" s="191"/>
      <c r="BG52" s="191"/>
      <c r="BH52" s="191"/>
      <c r="BI52" s="191"/>
      <c r="BJ52" s="191"/>
      <c r="BK52" s="191"/>
      <c r="BL52" s="191"/>
      <c r="BM52" s="193"/>
    </row>
    <row r="53" spans="25:65" hidden="1" x14ac:dyDescent="0.25">
      <c r="BB53" s="724"/>
      <c r="BC53" s="191"/>
      <c r="BD53" s="185">
        <f>IF(ISEVEN(BE14),BD6)</f>
        <v>1</v>
      </c>
      <c r="BE53" s="185" t="b">
        <f>IF(ISEVEN(BF14),BE7,IF(ISEVEN(BG14),BF8))</f>
        <v>0</v>
      </c>
      <c r="BF53" s="191"/>
      <c r="BG53" s="191"/>
      <c r="BH53" s="191"/>
      <c r="BI53" s="191"/>
      <c r="BJ53" s="191"/>
      <c r="BK53" s="191"/>
      <c r="BL53" s="191"/>
      <c r="BM53" s="193"/>
    </row>
    <row r="54" spans="25:65" hidden="1" x14ac:dyDescent="0.25">
      <c r="BB54" s="724"/>
      <c r="BC54" s="191"/>
      <c r="BD54" s="185">
        <f>_xlfn.XLOOKUP(BD53,$BC$47:$BF$47,$BC$48:$BF$48,FALSE,0,1)</f>
        <v>3</v>
      </c>
      <c r="BE54" s="185" t="b">
        <f>_xlfn.XLOOKUP(BE53,$BC$47:$BF$47,$BC$48:$BF$48,FALSE,0,1)</f>
        <v>0</v>
      </c>
      <c r="BF54" s="191"/>
      <c r="BG54" s="191"/>
      <c r="BH54" s="191"/>
      <c r="BI54" s="191"/>
      <c r="BJ54" s="191"/>
      <c r="BK54" s="191"/>
      <c r="BL54" s="191"/>
      <c r="BM54" s="193"/>
    </row>
    <row r="55" spans="25:65" hidden="1" x14ac:dyDescent="0.25">
      <c r="BB55" s="724"/>
      <c r="BC55" s="191"/>
      <c r="BD55" s="191">
        <f>IF(BD54=FALSE,BE55+1,BE55)</f>
        <v>2</v>
      </c>
      <c r="BE55" s="191">
        <f>IF(BE54=FALSE,BE52+1,BE52)</f>
        <v>2</v>
      </c>
      <c r="BF55" s="191"/>
      <c r="BG55" s="191"/>
      <c r="BH55" s="191"/>
      <c r="BI55" s="191"/>
      <c r="BJ55" s="191"/>
      <c r="BK55" s="191"/>
      <c r="BL55" s="191"/>
      <c r="BM55" s="193"/>
    </row>
    <row r="56" spans="25:65" hidden="1" x14ac:dyDescent="0.25">
      <c r="BB56" s="724"/>
      <c r="BC56" s="191"/>
      <c r="BD56" s="191"/>
      <c r="BE56" s="191"/>
      <c r="BF56" s="191"/>
      <c r="BG56" s="191"/>
      <c r="BH56" s="191"/>
      <c r="BI56" s="191"/>
      <c r="BJ56" s="191"/>
      <c r="BK56" s="191"/>
      <c r="BL56" s="191"/>
      <c r="BM56" s="193"/>
    </row>
    <row r="57" spans="25:6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4</v>
      </c>
      <c r="BF57" s="199">
        <f>IF(SUM(BC47:BC50)=10,4,IF(BD54=FALSE,_xlfn.XLOOKUP(BD55,$BK$47:$BK$50,$BM$47:$BM$50,"",0,1),BD54))</f>
        <v>3</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idden="1" x14ac:dyDescent="0.25">
      <c r="Y59" s="247"/>
      <c r="Z59" s="247"/>
    </row>
    <row r="60" spans="25:6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t="str" cm="1">
        <f t="array" ref="BM60:BM62">_xlfn._xlws.SORT(BL60:BL62)</f>
        <v/>
      </c>
    </row>
    <row r="61" spans="25:65" hidden="1" x14ac:dyDescent="0.25">
      <c r="Y61" s="247"/>
      <c r="Z61" s="247"/>
      <c r="BB61" s="724"/>
      <c r="BC61" s="204">
        <v>3</v>
      </c>
      <c r="BD61" s="205" t="b">
        <v>0</v>
      </c>
      <c r="BE61" s="205">
        <v>0</v>
      </c>
      <c r="BF61" s="206"/>
      <c r="BG61" s="206"/>
      <c r="BH61" s="206"/>
      <c r="BI61" s="206"/>
      <c r="BJ61" s="206"/>
      <c r="BK61" s="205">
        <v>2</v>
      </c>
      <c r="BL61" s="205" t="str">
        <f>IF(OR($BD$65=BK61,$BE$65=BK61,$BE$66=BK61),"",BK61)</f>
        <v/>
      </c>
      <c r="BM61" s="207" t="str">
        <v/>
      </c>
    </row>
    <row r="62" spans="25:65" hidden="1" x14ac:dyDescent="0.25">
      <c r="Y62" s="247"/>
      <c r="Z62" s="247"/>
      <c r="BB62" s="724"/>
      <c r="BC62" s="204" t="b">
        <v>0</v>
      </c>
      <c r="BD62" s="205">
        <v>0</v>
      </c>
      <c r="BE62" s="205">
        <v>0</v>
      </c>
      <c r="BF62" s="206"/>
      <c r="BG62" s="206"/>
      <c r="BH62" s="206"/>
      <c r="BI62" s="206"/>
      <c r="BJ62" s="206"/>
      <c r="BK62" s="205">
        <v>3</v>
      </c>
      <c r="BL62" s="205" t="str">
        <f>IF(OR($BD$65=BK62,$BE$65=BK62,$BE$66=BK62),"",BK62)</f>
        <v/>
      </c>
      <c r="BM62" s="207" t="str">
        <v/>
      </c>
    </row>
    <row r="63" spans="25:65" hidden="1" x14ac:dyDescent="0.25">
      <c r="Y63" s="247"/>
      <c r="Z63" s="247"/>
      <c r="BB63" s="724"/>
      <c r="BC63" s="208"/>
      <c r="BD63" s="206"/>
      <c r="BE63" s="206"/>
      <c r="BF63" s="206"/>
      <c r="BG63" s="206"/>
      <c r="BH63" s="206"/>
      <c r="BI63" s="206"/>
      <c r="BJ63" s="206"/>
      <c r="BK63" s="206"/>
      <c r="BL63" s="206"/>
      <c r="BM63" s="209"/>
    </row>
    <row r="64" spans="25:65" hidden="1" x14ac:dyDescent="0.25">
      <c r="BB64" s="724"/>
      <c r="BC64" s="208"/>
      <c r="BD64" s="206">
        <f>IF(BD65=FALSE,BC64+1,BC64)</f>
        <v>0</v>
      </c>
      <c r="BE64" s="206">
        <f>IF(BE65=FALSE,BD64+1,BD64)</f>
        <v>0</v>
      </c>
      <c r="BF64" s="206"/>
      <c r="BG64" s="206"/>
      <c r="BH64" s="206"/>
      <c r="BI64" s="206"/>
      <c r="BJ64" s="206"/>
      <c r="BK64" s="206"/>
      <c r="BL64" s="206"/>
      <c r="BM64" s="209"/>
    </row>
    <row r="65" spans="54:65" hidden="1" x14ac:dyDescent="0.25">
      <c r="BB65" s="724"/>
      <c r="BC65" s="208"/>
      <c r="BD65" s="210">
        <f>IF(ISODD(BE15),BD6,IF(AND(ISODD(BF15),ISODD(BJ7)),BE7,IF(ISODD(BG15),BF8)))</f>
        <v>2</v>
      </c>
      <c r="BE65" s="205">
        <f>IF(ISEVEN(BE15),BD6,IF(ISEVEN(BF15),BE7))</f>
        <v>1</v>
      </c>
      <c r="BF65" s="206"/>
      <c r="BG65" s="206"/>
      <c r="BH65" s="206"/>
      <c r="BI65" s="206"/>
      <c r="BJ65" s="206"/>
      <c r="BK65" s="206"/>
      <c r="BL65" s="206"/>
      <c r="BM65" s="209"/>
    </row>
    <row r="66" spans="54:65" hidden="1" x14ac:dyDescent="0.25">
      <c r="BB66" s="724"/>
      <c r="BC66" s="208"/>
      <c r="BD66" s="206"/>
      <c r="BE66" s="205">
        <f>_xlfn.XLOOKUP(BE65,$BC$60:$BE$60,$BC$61:$BE$61,FALSE,0,1)</f>
        <v>3</v>
      </c>
      <c r="BF66" s="206"/>
      <c r="BG66" s="206"/>
      <c r="BH66" s="206"/>
      <c r="BI66" s="206"/>
      <c r="BJ66" s="206"/>
      <c r="BK66" s="206"/>
      <c r="BL66" s="206"/>
      <c r="BM66" s="209"/>
    </row>
    <row r="67" spans="54:65" hidden="1" x14ac:dyDescent="0.25">
      <c r="BB67" s="724"/>
      <c r="BC67" s="208"/>
      <c r="BD67" s="206"/>
      <c r="BE67" s="206">
        <f>IF(BE66=FALSE,BE64+1,BE64)</f>
        <v>0</v>
      </c>
      <c r="BF67" s="206"/>
      <c r="BG67" s="206"/>
      <c r="BH67" s="206"/>
      <c r="BI67" s="206"/>
      <c r="BJ67" s="206"/>
      <c r="BK67" s="206"/>
      <c r="BL67" s="206"/>
      <c r="BM67" s="209"/>
    </row>
    <row r="68" spans="54:65" hidden="1" x14ac:dyDescent="0.25">
      <c r="BB68" s="724"/>
      <c r="BC68" s="208"/>
      <c r="BD68" s="206"/>
      <c r="BE68" s="206"/>
      <c r="BF68" s="206"/>
      <c r="BG68" s="206"/>
      <c r="BH68" s="206"/>
      <c r="BI68" s="206"/>
      <c r="BJ68" s="206"/>
      <c r="BK68" s="206"/>
      <c r="BL68" s="206"/>
      <c r="BM68" s="209"/>
    </row>
    <row r="69" spans="54:65" hidden="1" x14ac:dyDescent="0.25">
      <c r="BB69" s="724"/>
      <c r="BC69" s="215" cm="1">
        <f t="array" ref="BC69">IF(SUM(BC60:BC62)=6,1,IF(BD65=FALSE,_xlfn.XLOOKUP(BD64,$BK$60:$BK$62,_xlfn.ANCHORARRAY($BM$60),"",0,1),BD65))</f>
        <v>2</v>
      </c>
      <c r="BD69" s="216" cm="1">
        <f t="array" ref="BD69">IF(SUM(BC60:BC62)=6,2,IF(BE65=FALSE,_xlfn.XLOOKUP(BE64,$BK$60:$BK$62,_xlfn.ANCHORARRAY($BM$60),"",0,1),BE65))</f>
        <v>1</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F45AEAmrL1LbWytm/7rj2FPwKA0xth5Ssjo4EE+xC9G9eRbnXmbMVjDhRQZ8lCzcnZhmMNB3MnajY613q+H/6A==" saltValue="CBXbFtFVb2xGgg/dgopXBw=="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1808" priority="3">
      <formula>$B18=""</formula>
    </cfRule>
  </conditionalFormatting>
  <conditionalFormatting sqref="B19:Y32">
    <cfRule type="expression" dxfId="1807" priority="2">
      <formula>$B18=MAX($B$18:$B$32)</formula>
    </cfRule>
  </conditionalFormatting>
  <conditionalFormatting sqref="E18:E32 W18:W32">
    <cfRule type="expression" dxfId="1806" priority="4">
      <formula>LEFT($B$15)="3"</formula>
    </cfRule>
  </conditionalFormatting>
  <conditionalFormatting sqref="L13">
    <cfRule type="expression" dxfId="1805" priority="56">
      <formula>$F$13&lt;&gt;"FINALE"</formula>
    </cfRule>
  </conditionalFormatting>
  <conditionalFormatting sqref="T6:U11 N37:O42">
    <cfRule type="expression" dxfId="1803" priority="57">
      <formula>LEFT($B$15)="3"</formula>
    </cfRule>
  </conditionalFormatting>
  <dataValidations count="3">
    <dataValidation type="list" allowBlank="1" showInputMessage="1" showErrorMessage="1" sqref="O7:O11" xr:uid="{5055E060-4990-49CE-8BFD-4554754F50F4}">
      <formula1>"F,1,2,3,4,5,6"</formula1>
    </dataValidation>
    <dataValidation type="list" allowBlank="1" showInputMessage="1" showErrorMessage="1" sqref="W35:X35" xr:uid="{CBD56101-DAC8-4D2A-8FF0-ACD376EBE589}">
      <formula1>"OUI,NON"</formula1>
    </dataValidation>
    <dataValidation type="list" allowBlank="1" showInputMessage="1" showErrorMessage="1" sqref="O6" xr:uid="{55B85DE6-1D3B-4997-BA8A-B7AA43C92FC3}">
      <formula1>"1,2,3,4,5,6"</formula1>
    </dataValidation>
  </dataValidations>
  <hyperlinks>
    <hyperlink ref="AA4:AA5" location="'GESTION DES JOUEURS'!D4" display="GESTION DES JOUEURS" xr:uid="{4AC68350-E112-449D-9FAC-47FE6A2DDBFF}"/>
    <hyperlink ref="U37:X42" location="'T PC'!A1" display="'T PC'!A1" xr:uid="{5BDC285B-1531-4C97-9E44-2998E44A0E7D}"/>
    <hyperlink ref="AA9:AA10" location="PA!N18" display="PA!N18" xr:uid="{243CAAE8-46F0-4FBF-B377-151947AC5905}"/>
    <hyperlink ref="AA11:AA12" location="PB!N18" display="Poule B" xr:uid="{8FC12B3D-6A6A-4F6B-AE05-1AA839122987}"/>
    <hyperlink ref="AA13:AA14" location="PC!N18" display="Poule C" xr:uid="{B60500DE-C0F1-41AD-AFE2-07DB6DD5EEDD}"/>
    <hyperlink ref="AA15:AA16" location="PD!N18" display="Poule D" xr:uid="{69D3FE05-03B3-4336-8C06-94B3A366BD5B}"/>
    <hyperlink ref="AA17:AA18" location="PE!N18" display="Poule E" xr:uid="{BCDC13E9-7FE7-44AF-8C24-35F1105D87AB}"/>
    <hyperlink ref="AA19:AA20" location="PF!N18" display="Poule F" xr:uid="{23ED3230-3550-492C-883C-77E891A59742}"/>
    <hyperlink ref="AA21:AA22" location="PG!N18" display="Poule G" xr:uid="{55901EFE-FB04-410C-A5C7-B242B19F3C6E}"/>
    <hyperlink ref="AA23:AA24" location="PH!N18" display="Poule H" xr:uid="{7C892C42-7C17-45E2-A053-237E6FE41330}"/>
    <hyperlink ref="AA25:AA26" location="PI!N18" display="Poule I" xr:uid="{F407CA44-4B2F-4C90-84AD-9588897FBA7C}"/>
    <hyperlink ref="AA27:AA28" location="PJ!N18" display="Poule J" xr:uid="{5525E3EB-D308-4937-80C6-D130A3354182}"/>
    <hyperlink ref="AA29:AA30" location="PK!N18" display="Poule K" xr:uid="{C7423BD0-9B89-48FB-9BB1-26F5AF65D707}"/>
    <hyperlink ref="AA31:AA32" location="PL!N18" display="Poule L" xr:uid="{8E947FDE-7FFD-47C7-8423-01687A692D82}"/>
    <hyperlink ref="AA37:AA38" location="Consolante!A1" display="Consolante" xr:uid="{2943D3E1-CFB3-4718-867A-7B42C806C45E}"/>
    <hyperlink ref="AA40:AA42" location="RESULTATS!A1" display="RESULTATS" xr:uid="{7E875E77-6344-4861-9190-6BB210E39854}"/>
    <hyperlink ref="AA34:AA35" location="'Phase finale'!A1" display="Phase Finale" xr:uid="{4455EBCF-C49C-44EB-B0EE-05DD6DDC2E33}"/>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95E7113E-E068-4158-930D-606F9784B5A3}">
            <xm:f>'GESTION DES JOUEURS'!$D$8="Open"</xm:f>
            <x14:dxf>
              <numFmt numFmtId="14" formatCode="0.00%"/>
            </x14:dxf>
          </x14:cfRule>
          <xm:sqref>R37:S42</xm:sqref>
        </x14:conditionalFormatting>
        <x14:conditionalFormatting xmlns:xm="http://schemas.microsoft.com/office/excel/2006/main">
          <x14:cfRule type="expression" priority="8" id="{03B03553-3F5F-423A-88F7-663F454DA774}">
            <xm:f>'GESTION DES JOUEURS'!$D$8="Open"</xm:f>
            <x14:dxf>
              <numFmt numFmtId="14" formatCode="0.00%"/>
            </x14:dxf>
          </x14:cfRule>
          <xm:sqref>W6:X11</xm:sqref>
        </x14:conditionalFormatting>
        <x14:conditionalFormatting xmlns:xm="http://schemas.microsoft.com/office/excel/2006/main">
          <x14:cfRule type="expression" priority="1" id="{BEED0260-D7E0-4EF0-84C6-F5B54DA07FB7}">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897FFF50-9983-4D00-BD67-E142AAAAC88A}">
            <xm:f>'GESTION DES JOUEURS'!$T$8&lt;2</xm:f>
            <x14:dxf>
              <font>
                <color theme="0" tint="-0.24994659260841701"/>
              </font>
              <fill>
                <patternFill>
                  <bgColor theme="0" tint="-0.24994659260841701"/>
                </patternFill>
              </fill>
            </x14:dxf>
          </x14:cfRule>
          <x14:cfRule type="expression" priority="42" id="{EDA09A3F-AF1F-4709-B8B3-025D07547129}">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75BE824C-C89C-4598-A5EC-562FEBEE65D8}">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58F26A37-C0F6-4A12-8BAB-5D0AC7AF7D2D}">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370A0AAB-DA90-4461-835E-5824F176C7F8}">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BA871B7C-FED2-4ACA-A4F7-CE9ABC191562}">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339E5592-C572-4F8D-A8AF-904F619A763A}">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524669E4-BBD0-4C8B-A4C0-33686C4F41DA}">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6EC0B6C1-72F2-4820-A5AE-1ADE4ED4A69F}">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1C92A1BB-C5D4-4E77-B3B5-68F8577B3B5D}">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267C82EA-DA73-4BFA-81C8-E5136F9F97F7}">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B9CA9EFF-8CFF-4D41-BE35-D261AC05360F}">
            <xm:f>'GESTION DES JOUEURS'!$T$8=1</xm:f>
            <x14:dxf>
              <font>
                <color theme="0" tint="-0.24994659260841701"/>
              </font>
              <fill>
                <patternFill>
                  <bgColor theme="0" tint="-0.24994659260841701"/>
                </patternFill>
              </fill>
            </x14:dxf>
          </x14:cfRule>
          <x14:cfRule type="expression" priority="19" id="{27A6B91A-36A3-4E0C-8F4E-59C7DBAF76AC}">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529471D0-E7B0-4F53-88F7-D9ADA4BAE85F}">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D52085-0124-4458-A6A4-FD9FDCE2F6D7}">
          <x14:formula1>
            <xm:f>IF(AND(_xlfn.XLOOKUP($F18,$B$6:$B$11,$AD$6:$AD$11,"",0,1)&lt;&gt;"N1",_xlfn.XLOOKUP($U18,$B$6:$B$11,$AD$6:$AD$11,"",0,1)&lt;&gt;"N1",$B$15="Cadre N1/N2"),Distances!$B$89:$KP$89,Distances!$B$86:$KQ$86)</xm:f>
          </x14:formula1>
          <xm:sqref>O18:O32</xm:sqref>
        </x14:dataValidation>
        <x14:dataValidation type="list" allowBlank="1" showInputMessage="1" showErrorMessage="1" xr:uid="{C224B8E3-61F7-475A-B2C7-FE6D103509B6}">
          <x14:formula1>
            <xm:f>IF(AND(_xlfn.XLOOKUP($F18,$B$6:$B$11,$AD$6:$AD$11,"",0,1)&lt;&gt;"N1",_xlfn.XLOOKUP($U18,$B$6:$B$11,$AD$6:$AD$11,"",0,1)&lt;&gt;"N1",$B$15="Cadre N1/N2"),Distances!$B$88:$KP$88,Distances!$B$85:$KQ$85)</xm:f>
          </x14:formula1>
          <xm:sqref>N18:N32 P18:P32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4AF9-CC27-4809-915A-5F2542E07466}">
  <sheetPr>
    <tabColor rgb="FFFFE8A7"/>
    <pageSetUpPr fitToPage="1"/>
  </sheetPr>
  <dimension ref="A1:AZ40"/>
  <sheetViews>
    <sheetView zoomScale="54" zoomScaleNormal="84" workbookViewId="0">
      <selection activeCell="AS15" sqref="AS15:AS16"/>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IF(PC!F13="FINALE","District 93-94"&amp;" - "&amp;IF(MONTH(AT5)&gt;8,YEAR(AT5)&amp;"/"&amp;YEAR(AT5)+1,YEAR(AT5)-1&amp;"/"&amp;YEAR(AT5))&amp;CHAR(10)&amp;PC!F13&amp;CHAR(10)&amp;PC!B15&amp;AT2,"District 93-94"&amp;" - "&amp;IF(MONTH(AT5)&gt;8,YEAR(AT5)&amp;"/"&amp;YEAR(AT5)+1,YEAR(AT5)-1&amp;"/"&amp;YEAR(AT5))&amp;CHAR(10)&amp;'GESTION DES JOUEURS'!C2&amp;CHAR(10)&amp;PC!K13&amp;" "&amp;PC!L13)</f>
        <v>District 93-94 - 2024/2025
Journée 3 -  Libre R2
Poule C</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IF(PC!M14="","",PC!M14)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IF(LEFT(PC!$B$15)="C","   -   "&amp;_xlfn.XLOOKUP(PC!B15,Distances!D2:D77,Distances!K2:K77,"",0,1),"")</f>
        <v/>
      </c>
      <c r="AV2" s="450" t="s">
        <v>8130</v>
      </c>
    </row>
    <row r="3" spans="1:48" ht="21.95" customHeight="1" thickBot="1" x14ac:dyDescent="0.3">
      <c r="A3" s="32"/>
      <c r="B3" s="868" t="str">
        <f>IF('GESTION DES JOUEURS'!$F$6="","","Directeur de jeu : "&amp;PC!S13)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"&amp;_xlfn.XLOOKUP(PC!B15,Distances!D2:D77,Distances!A2:A77,"",0,1)&amp;AT2</f>
        <v>Mode de jeu : Libre</v>
      </c>
      <c r="C5" s="877"/>
      <c r="D5" s="877"/>
      <c r="E5" s="877"/>
      <c r="F5" s="877"/>
      <c r="G5" s="876" t="str">
        <f>"Catégorie : "&amp;_xlfn.XLOOKUP(PC!B15,Distances!D2:D77,Distances!B2:B77,"",0,1)</f>
        <v>Catégorie : R2</v>
      </c>
      <c r="H5" s="877"/>
      <c r="I5" s="877"/>
      <c r="J5" s="877"/>
      <c r="K5" s="877"/>
      <c r="L5" s="877"/>
      <c r="M5" s="877"/>
      <c r="N5" s="878"/>
      <c r="O5" s="870" t="str">
        <f>IF(G5="Catégorie : N1/N2","Distance réduite : 150 pts"&amp;CHAR(10)&amp;"si N2 Vs N2 120pts",PC!B14&amp;" "&amp;PC!E14&amp;" "&amp;PC!F14)</f>
        <v>Distance : 100 Pts</v>
      </c>
      <c r="P5" s="871"/>
      <c r="Q5" s="871"/>
      <c r="R5" s="871"/>
      <c r="S5" s="871"/>
      <c r="T5" s="871"/>
      <c r="U5" s="872"/>
      <c r="V5" s="870" t="str">
        <f>IFERROR(IF(G5="Catégorie : N1/N2","Reprises : 15"&amp;CHAR(10)&amp;"si N2 Vs N2 Reprises : 20 ",PC!G14&amp;" "&amp;PC!J14),"")</f>
        <v>Reprises : 40</v>
      </c>
      <c r="W5" s="871"/>
      <c r="X5" s="871"/>
      <c r="Y5" s="871"/>
      <c r="Z5" s="871"/>
      <c r="AA5" s="871"/>
      <c r="AB5" s="871"/>
      <c r="AC5" s="872"/>
      <c r="AD5" s="873" t="str">
        <f>_xlfn.XLOOKUP(PC!B15,Distances!D2:D77,Distances!J2:J77,"",0,1)&amp;" "&amp;_xlfn.XLOOKUP(PC!B15,Distances!D2:D77,Distances!I2:I77,"",0,1)&amp;"0 m"</f>
        <v>PC 2,80 m</v>
      </c>
      <c r="AE5" s="874"/>
      <c r="AF5" s="874"/>
      <c r="AG5" s="874"/>
      <c r="AH5" s="874"/>
      <c r="AI5" s="875"/>
      <c r="AJ5" s="850">
        <f>IF(PC!T14=0,"DATE",PC!T14)</f>
        <v>45633</v>
      </c>
      <c r="AK5" s="851"/>
      <c r="AL5" s="851"/>
      <c r="AM5" s="851"/>
      <c r="AN5" s="851"/>
      <c r="AO5" s="851"/>
      <c r="AP5" s="851"/>
      <c r="AQ5" s="852"/>
      <c r="AS5" s="841" t="s">
        <v>8129</v>
      </c>
      <c r="AT5" s="32">
        <f ca="1">IF(PC!T14&gt;1,AJ5,TODAY())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IF(PC!$AO$4&lt;2,"","JOUEURS")</f>
        <v>JOUEURS</v>
      </c>
      <c r="D8" s="139"/>
      <c r="E8" s="853" t="str">
        <f>IF(C10="","",C10)</f>
        <v>GONTHIER A.</v>
      </c>
      <c r="F8" s="853"/>
      <c r="G8" s="853"/>
      <c r="H8" s="853"/>
      <c r="I8" s="139"/>
      <c r="J8" s="853" t="str">
        <f>IF(C15="","",C15)</f>
        <v>PEYROLE P.</v>
      </c>
      <c r="K8" s="853"/>
      <c r="L8" s="853"/>
      <c r="M8" s="853"/>
      <c r="N8" s="139"/>
      <c r="O8" s="853" t="str">
        <f>IF(C20="","",C20)</f>
        <v>PIVONET F.</v>
      </c>
      <c r="P8" s="853"/>
      <c r="Q8" s="853"/>
      <c r="R8" s="853"/>
      <c r="S8" s="139"/>
      <c r="T8" s="853" t="str">
        <f>IF(C25="","",C25)</f>
        <v/>
      </c>
      <c r="U8" s="853"/>
      <c r="V8" s="853"/>
      <c r="W8" s="853"/>
      <c r="X8" s="139"/>
      <c r="Y8" s="853" t="str">
        <f>IF(C30="","",C30)</f>
        <v/>
      </c>
      <c r="Z8" s="853"/>
      <c r="AA8" s="853"/>
      <c r="AB8" s="853"/>
      <c r="AC8" s="139"/>
      <c r="AD8" s="853" t="str">
        <f>IF(C35="","",C35)</f>
        <v/>
      </c>
      <c r="AE8" s="853"/>
      <c r="AF8" s="853"/>
      <c r="AG8" s="853"/>
      <c r="AH8" s="139"/>
      <c r="AI8" s="139"/>
      <c r="AJ8" s="139"/>
      <c r="AK8" s="854" t="str">
        <f>IF(PC!$AO$4&lt;2,"","RESULTATS")</f>
        <v>RESULTATS</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IF(PC!AO4=2,_xlfn.XLOOKUP(1,PC!M6:M11,PC!C6:D11&amp;" "&amp;LEFT(PC!E6)&amp;".","",0,1),IF(COUNT(PC!A6:A11)&gt;2,CONCATENATE(PC!C6," ",LEFT(PC!E6),"."),""))</f>
        <v>GONTHIER A.</v>
      </c>
      <c r="D10" s="32"/>
      <c r="E10" s="885" t="e" vm="4">
        <f>IF(PC!W35="NON",AG1,IF(PC!AO4&gt;0,_xlfn.XLOOKUP('T PC'!C13,'LOGOS CLUBS'!$B$2:$B$65,'LOGOS CLUBS'!$C$2:$C$65,C13,0,1),""))</f>
        <v>#VALUE!</v>
      </c>
      <c r="F10" s="885"/>
      <c r="G10" s="885"/>
      <c r="H10" s="885"/>
      <c r="I10" s="32"/>
      <c r="J10" s="882">
        <f>IF(AND(PC!$AO$4=2,PC!$A18="P"),PC!N18,IF(AND(COUNT(PC!$A$6:$A$11)&gt;2,PC!$CF10="P"),PC!$CC10,""))</f>
        <v>100</v>
      </c>
      <c r="K10" s="882"/>
      <c r="L10" s="882">
        <f>IF(AND(PC!$AO$4=2,PC!$A18="P"),PC!O18,IF(AND(COUNT(PC!$A$6:$A$11)&gt;2,PC!$CF10="P"),PC!$CE10,""))</f>
        <v>38</v>
      </c>
      <c r="M10" s="882"/>
      <c r="N10" s="142"/>
      <c r="O10" s="882">
        <f>IF(PC!$AO$4=2,"",IF(AND(COUNT(PC!$A$6:$A$11)&gt;2,PC!$CF9="P"),PC!$CC9,""))</f>
        <v>100</v>
      </c>
      <c r="P10" s="882"/>
      <c r="Q10" s="882">
        <f>IF(PC!$AO$4=2,"",IF(AND(COUNT(PC!$A$6:$A$11)&gt;2,PC!$CF9="P"),PC!$CE9,""))</f>
        <v>28</v>
      </c>
      <c r="R10" s="882"/>
      <c r="S10" s="142"/>
      <c r="T10" s="882" t="str">
        <f>IF(PC!$AO$4=2,"",IF(AND(COUNT(PC!$A$6:$A$11)&gt;2,PC!$CF8="P"),PC!$CC8,""))</f>
        <v/>
      </c>
      <c r="U10" s="882"/>
      <c r="V10" s="882" t="str">
        <f>IF(PC!$AO$4=2,"",IF(AND(COUNT(PC!$A$6:$A$11)&gt;2,PC!$CF8="P"),PC!$CE8,""))</f>
        <v/>
      </c>
      <c r="W10" s="882"/>
      <c r="X10" s="142"/>
      <c r="Y10" s="882" t="str">
        <f>IF(PC!$AO$4=2,"",IF(AND(COUNT(PC!$A$6:$A$11)&gt;2,PC!$CF7="P"),PC!$CC7,""))</f>
        <v/>
      </c>
      <c r="Z10" s="882"/>
      <c r="AA10" s="882" t="str">
        <f>IF(PC!$AO$4=2,"",IF(AND(COUNT(PC!$A$6:$A$11)&gt;2,PC!$CF7="P"),PC!$CE7,""))</f>
        <v/>
      </c>
      <c r="AB10" s="882"/>
      <c r="AC10" s="142"/>
      <c r="AD10" s="882" t="str">
        <f>IF(PC!$AO$4=2,"",IF(AND(COUNT(PC!$A$6:$A$11)&gt;2,PC!$CF6="P"),PC!$CC6,""))</f>
        <v/>
      </c>
      <c r="AE10" s="882"/>
      <c r="AF10" s="882" t="str">
        <f>IF(PC!$AO$4=2,"",IF(AND(COUNT(PC!$A$6:$A$11)&gt;2,PC!$CF6="P"),PC!$CE6,""))</f>
        <v/>
      </c>
      <c r="AG10" s="882"/>
      <c r="AH10" s="32"/>
      <c r="AI10" s="32"/>
      <c r="AJ10" s="32"/>
      <c r="AK10" s="882" cm="1">
        <f t="array" ref="AK10">IF(PC!$AO$4&lt;2,"",IF(_xlfn.XLOOKUP('T PC'!C12,"Licence n° "&amp;PC!$B$6:$B$11,PC!$AO$6:$AO$11,"",0,1)=1,"",_xlfn.XLOOKUP('T PC'!C12,"Licence n° "&amp;PC!$B$6:$B$11,PC!$V$6:$V$11,"",0,1)))</f>
        <v>4</v>
      </c>
      <c r="AL10" s="882"/>
      <c r="AM10" s="879" cm="1">
        <f t="array" ref="AM10">IF(PC!$AO$4&lt;2,"",IF(_xlfn.XLOOKUP('T PC'!C12,"Licence n° "&amp;PC!$B$6:$B$11,PC!$AO$6:$AO$11,"",0,1)=1,"",_xlfn.XLOOKUP('T PC'!C12,"Licence n° "&amp;PC!$B$6:$B$11,PC!$T$6:$T$11,"",0,1)))</f>
        <v>3.0303030303030303</v>
      </c>
      <c r="AN10" s="879"/>
      <c r="AO10" s="32"/>
      <c r="AP10" s="561" cm="1">
        <f t="array" ref="AP10">_xlfn.XLOOKUP(C12,"Licence n° "&amp;PC!$B$6:$B$11,PC!$W$6:$W$11,"",0,1)</f>
        <v>8</v>
      </c>
      <c r="AQ10" s="32"/>
      <c r="AS10" s="843" t="str">
        <f>IF('GESTION DES JOUEURS'!$D$8="Finale","Poule Finale","Poule A")</f>
        <v>Poule A</v>
      </c>
      <c r="AT10" s="32"/>
      <c r="AV10" s="838"/>
    </row>
    <row r="11" spans="1:48" ht="12.6" customHeight="1" thickBot="1" x14ac:dyDescent="0.3">
      <c r="A11" s="32"/>
      <c r="B11" s="32"/>
      <c r="C11" s="143" t="str" cm="1">
        <f t="array" ref="C11">IF(PC!$AO$4=2,_xlfn.XLOOKUP(1,PC!$M$6:$M$11,PC!$K$6:$K$11&amp;" "&amp;PC!$AS$6:$AS$11,"",0,1),IF(COUNT(PC!$A$6:$A$11)&gt;2,PC!$K6&amp;" - "&amp;PC!$AS6," "))</f>
        <v>R2 - 0,00</v>
      </c>
      <c r="D11" s="32"/>
      <c r="E11" s="885"/>
      <c r="F11" s="885"/>
      <c r="G11" s="885"/>
      <c r="H11" s="885"/>
      <c r="I11" s="32"/>
      <c r="J11" s="144" t="str">
        <f>IF(K11="","","Pts")</f>
        <v>Pts</v>
      </c>
      <c r="K11" s="880">
        <f>IF(PC!$AO$4=2,PC!D18,IF(AND(COUNT(PC!$A$6:$A$11)&gt;2,PC!$CF10="P"),PC!$CG10,""))</f>
        <v>2</v>
      </c>
      <c r="L11" s="880"/>
      <c r="M11" s="144" t="str">
        <f>IF(K11="","","Rep.")</f>
        <v>Rep.</v>
      </c>
      <c r="N11" s="144"/>
      <c r="O11" s="144" t="str">
        <f>IF(P11="","","Pts")</f>
        <v>Pts</v>
      </c>
      <c r="P11" s="880">
        <f>IF(PC!$AO$4=2,"",IF(AND(COUNT(PC!$A$6:$A$11)&gt;2,PC!$CF9="P"),PC!$CG9,""))</f>
        <v>2</v>
      </c>
      <c r="Q11" s="880"/>
      <c r="R11" s="144" t="str">
        <f>IF(P11="","","Rep.")</f>
        <v>Rep.</v>
      </c>
      <c r="S11" s="144"/>
      <c r="T11" s="144" t="str">
        <f>IF(U11="","","Pts")</f>
        <v/>
      </c>
      <c r="U11" s="880" t="str">
        <f>IF(PC!$AO$4=2,"",IF(AND(COUNT(PC!$A$6:$A$11)&gt;2,PC!$CF8="P"),PC!$CG8,""))</f>
        <v/>
      </c>
      <c r="V11" s="880"/>
      <c r="W11" s="144" t="str">
        <f>IF(U11="","","Rep.")</f>
        <v/>
      </c>
      <c r="X11" s="144"/>
      <c r="Y11" s="144" t="str">
        <f>IF(Z11="","","Pts")</f>
        <v/>
      </c>
      <c r="Z11" s="880" t="str">
        <f>IF(PC!$AO$4=2,"",IF(AND(COUNT(PC!$A$6:$A$11)&gt;2,PC!$CF7="P"),PC!$CG7,""))</f>
        <v/>
      </c>
      <c r="AA11" s="880"/>
      <c r="AB11" s="144" t="str">
        <f>IF(Z11="","","Rep.")</f>
        <v/>
      </c>
      <c r="AC11" s="144"/>
      <c r="AD11" s="144" t="str">
        <f>IF(AE11="","","Pts")</f>
        <v/>
      </c>
      <c r="AE11" s="880" t="str">
        <f>IF(PC!$AO$4=2,"",IF(AND(COUNT(PC!$A$6:$A$11)&gt;2,PC!$CF6="P"),PC!$CG6,""))</f>
        <v/>
      </c>
      <c r="AF11" s="880"/>
      <c r="AG11" s="144" t="str">
        <f>IF(AE11="","","Rep.")</f>
        <v/>
      </c>
      <c r="AH11" s="32"/>
      <c r="AI11" s="32"/>
      <c r="AJ11" s="32"/>
      <c r="AK11" s="145" t="str">
        <f>IF(AL11="","","PM")</f>
        <v>PM</v>
      </c>
      <c r="AL11" s="881" cm="1">
        <f t="array" ref="AL11">IF(SUM(PC!$Q$6:$Q$11)=0,"",IF(PC!$AO$4&gt;1,IF(_xlfn.XLOOKUP('T PC'!C12,"Licence n° "&amp;PC!$B$6:$B$11,PC!$AO$6:$AO$11,"",0,1)=1,"Forfait",_xlfn.XLOOKUP('T PC'!C12,"Licence n° "&amp;PC!$B$37:$B$42,PC!$Q$37:$Q$42,"",0,1)),""))</f>
        <v>1</v>
      </c>
      <c r="AM11" s="881"/>
      <c r="AN11" s="145" t="str">
        <f>IF(AL11="","","MGP")</f>
        <v>MGP</v>
      </c>
      <c r="AO11" s="32"/>
      <c r="AP11" s="146" t="str">
        <f>IF(OR(PC!$AO$4&lt;2,LEFT(PC!$F$13)="F"),"","Pts Rk")</f>
        <v>Pts Rk</v>
      </c>
      <c r="AQ11" s="32"/>
      <c r="AS11" s="844"/>
      <c r="AT11" s="32"/>
      <c r="AV11" s="839"/>
    </row>
    <row r="12" spans="1:48" ht="12.6" customHeight="1" x14ac:dyDescent="0.25">
      <c r="A12" s="32"/>
      <c r="B12" s="32"/>
      <c r="C12" s="147" t="str">
        <f>IF(PC!AO4=2,"Licence n° "&amp;_xlfn.XLOOKUP(1,PC!M6:M11,PC!B6:B11,"",0,1),IF(COUNT(PC!A6:A11)&gt;2,"Licence n° "&amp;PC!B6," "))</f>
        <v>Licence n° 111337F</v>
      </c>
      <c r="D12" s="32"/>
      <c r="E12" s="885"/>
      <c r="F12" s="885"/>
      <c r="G12" s="885"/>
      <c r="H12" s="885"/>
      <c r="I12" s="32"/>
      <c r="J12" s="144" t="str">
        <f>IF(K11="","","Moy.")</f>
        <v>Moy.</v>
      </c>
      <c r="K12" s="880"/>
      <c r="L12" s="880"/>
      <c r="M12" s="144" t="str">
        <f>IF(K11="","","MS")</f>
        <v>MS</v>
      </c>
      <c r="N12" s="144"/>
      <c r="O12" s="144" t="str">
        <f>IF(P11="","","Moy.")</f>
        <v>Moy.</v>
      </c>
      <c r="P12" s="880"/>
      <c r="Q12" s="880"/>
      <c r="R12" s="144" t="str">
        <f>IF(P11="","","MS")</f>
        <v>MS</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Mpart.</v>
      </c>
      <c r="AL12" s="881"/>
      <c r="AM12" s="881"/>
      <c r="AN12" s="145" t="str">
        <f>IF(AL11="","","MS")</f>
        <v>MS</v>
      </c>
      <c r="AO12" s="32"/>
      <c r="AP12" s="148" t="str">
        <f>IF(OR(PC!$AO$4&lt;2,LEFT(PC!$F$13)="F"),"","Bonus")</f>
        <v>Bonus</v>
      </c>
      <c r="AQ12" s="32"/>
      <c r="AS12" s="845" t="s">
        <v>8113</v>
      </c>
      <c r="AT12" s="32"/>
    </row>
    <row r="13" spans="1:48" ht="50.1" customHeight="1" x14ac:dyDescent="0.25">
      <c r="A13" s="32"/>
      <c r="B13" s="32"/>
      <c r="C13" s="149" t="str">
        <f>IF(PC!AO4=2,_xlfn.XLOOKUP(1,PC!M6:M11,PC!G6:G11,"",0,1),IF(COUNT(PC!A6:A11)&gt;2,PC!G6," "))</f>
        <v>ASS. BILLARD AMATEUR DE SAINT MAUR</v>
      </c>
      <c r="D13" s="32"/>
      <c r="E13" s="885"/>
      <c r="F13" s="885"/>
      <c r="G13" s="885"/>
      <c r="H13" s="885"/>
      <c r="I13" s="32"/>
      <c r="J13" s="883">
        <f>IF(K11="","",IF(K11&gt;0,J10/L10,"/"))</f>
        <v>2.6315789473684212</v>
      </c>
      <c r="K13" s="883"/>
      <c r="L13" s="884">
        <f>IF(AND(PC!$AO$4=2,PC!$A18="P"),PC!M18,IF(AND(COUNT(PC!$A$6:$A$11)&gt;2,PC!$CF10="P"),PC!$CD10,""))</f>
        <v>19</v>
      </c>
      <c r="M13" s="884"/>
      <c r="N13" s="32"/>
      <c r="O13" s="883">
        <f>IF(P11="","",IF(P11&gt;0,O10/Q10,"/"))</f>
        <v>3.5714285714285716</v>
      </c>
      <c r="P13" s="883"/>
      <c r="Q13" s="884">
        <f>IF(PC!$AO$4=2,"",IF(AND(COUNT(PC!$A$6:$A$11)&gt;2,PC!$CF9="P"),PC!$CD9,""))</f>
        <v>15</v>
      </c>
      <c r="R13" s="884"/>
      <c r="S13" s="32"/>
      <c r="T13" s="883" t="str">
        <f>IF(U11="","",IF(U11&gt;0,T10/V10,"/"))</f>
        <v/>
      </c>
      <c r="U13" s="883"/>
      <c r="V13" s="884" t="str">
        <f>IF(PC!$AO$4=2,"",IF(AND(COUNT(PC!$A$6:$A$11)&gt;2,PC!$CF8="P"),PC!$CD8,""))</f>
        <v/>
      </c>
      <c r="W13" s="884"/>
      <c r="X13" s="32"/>
      <c r="Y13" s="883" t="str">
        <f>IF(Z11="","",IF(Z11&gt;0,Y10/AA10,"/"))</f>
        <v/>
      </c>
      <c r="Z13" s="883"/>
      <c r="AA13" s="884" t="str">
        <f>IF(PC!$AO$4=2,"",IF(AND(COUNT(PC!$A$6:$A$11)&gt;2,PC!$CF7="P"),PC!$CD7,""))</f>
        <v/>
      </c>
      <c r="AB13" s="884"/>
      <c r="AC13" s="32"/>
      <c r="AD13" s="883" t="str">
        <f>IF(AE11="","",IF(AE11&gt;0,AD10/AF10,"/"))</f>
        <v/>
      </c>
      <c r="AE13" s="883"/>
      <c r="AF13" s="884" t="str">
        <f>IF(PC!$AO$4=2,"",IF(AND(COUNT(PC!$A$6:$A$11)&gt;2,PC!$CF6="P"),PC!$CD6,""))</f>
        <v/>
      </c>
      <c r="AG13" s="884"/>
      <c r="AH13" s="32"/>
      <c r="AI13" s="32"/>
      <c r="AJ13" s="32"/>
      <c r="AK13" s="883" cm="1">
        <f t="array" ref="AK13">IF(PC!$AO$4&lt;2,"",IF(_xlfn.XLOOKUP('T PC'!C12,"Licence n° "&amp;PC!$B$6:$B$11,PC!$AO$6:$AO$11,"",0,1)=1,"",_xlfn.XLOOKUP('T PC'!C12,"Licence n° "&amp;PC!$B$6:$B$11,PC!$U$6:$U$11,"",0,1)))</f>
        <v>3.5714285714285716</v>
      </c>
      <c r="AL13" s="883"/>
      <c r="AM13" s="884" cm="1">
        <f t="array" ref="AM13">IF(PC!$AO$4&lt;2,"",IF(_xlfn.XLOOKUP('T PC'!C12,"Licence n° "&amp;PC!$B$6:$B$11,PC!$AO$6:$AO$11,"",0,1)=1,"",_xlfn.XLOOKUP('T PC'!C12,"Licence n° "&amp;PC!$B$6:$B$11,PC!$S$6:$S$11,"",0,1)))</f>
        <v>19</v>
      </c>
      <c r="AN13" s="884"/>
      <c r="AO13" s="32"/>
      <c r="AP13" s="562" cm="1">
        <f t="array" ref="AP13">_xlfn.XLOOKUP(C12,"Licence n° "&amp;PC!$B$6:$B$11,PC!$X$6:$X$11,"",0,1)</f>
        <v>2</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IF(PC!AO4=2,_xlfn.XLOOKUP(2,PC!M6:M11,PC!C6:D11&amp;" "&amp;LEFT(PC!E6:E11)&amp;".","",0,1),IF(COUNT(PC!A6:A11)&gt;2,CONCATENATE(PC!C7," ",LEFT(PC!E7),"."),""))</f>
        <v>PEYROLE P.</v>
      </c>
      <c r="D15" s="32"/>
      <c r="E15" s="882">
        <f>IF(AND(PC!$AO$4=2,PC!$A18="P"),PC!P18,IF(AND(COUNT(PC!$A$6:$A$11)&gt;2,PC!$CF15="P"),PC!$CC15,""))</f>
        <v>71</v>
      </c>
      <c r="F15" s="882"/>
      <c r="G15" s="882">
        <f>IF(AND(PC!$AO$4=2,PC!$A18="P"),PC!O18,IF(AND(COUNT(PC!$A$6:$A$11)&gt;2,PC!$CF15="P"),PC!$CE15,""))</f>
        <v>38</v>
      </c>
      <c r="H15" s="882"/>
      <c r="I15" s="32"/>
      <c r="J15" s="885" t="e" vm="3">
        <f>IF(PC!W35="NON",AG1,IF(PC!AO4=2,"MATCH 1",IF(PC!AO4&gt;2,_xlfn.XLOOKUP(C18,'LOGOS CLUBS'!$B$2:$B$65,'LOGOS CLUBS'!$C$2:$C$65,C18,0,1),"")))</f>
        <v>#VALUE!</v>
      </c>
      <c r="K15" s="885"/>
      <c r="L15" s="885"/>
      <c r="M15" s="885"/>
      <c r="N15" s="32"/>
      <c r="O15" s="882">
        <f>IF(PC!$AO$4=2,"",IF(AND(COUNT(PC!$A$6:$A$11)&gt;2,PC!$CF14="P"),PC!$CC14,""))</f>
        <v>87</v>
      </c>
      <c r="P15" s="882"/>
      <c r="Q15" s="882">
        <f>IF(PC!$AO$4=2,"",IF(AND(COUNT(PC!$A$6:$A$11)&gt;2,PC!$CF14="P"),PC!$CE14,""))</f>
        <v>40</v>
      </c>
      <c r="R15" s="882"/>
      <c r="S15" s="142"/>
      <c r="T15" s="882" t="str">
        <f>IF(PC!$AO$4=2,"",IF(AND(COUNT(PC!$A$6:$A$11)&gt;2,PC!$CF13="P"),PC!$CC13,""))</f>
        <v/>
      </c>
      <c r="U15" s="882"/>
      <c r="V15" s="882" t="str">
        <f>IF(PC!$AO$4=2,"",IF(AND(COUNT(PC!$A$6:$A$11)&gt;2,PC!$CF13="P"),PC!$CE13,""))</f>
        <v/>
      </c>
      <c r="W15" s="882"/>
      <c r="X15" s="142"/>
      <c r="Y15" s="882" t="str">
        <f>IF(PC!$AO$4=2,"",IF(AND(COUNT(PC!$A$6:$A$11)&gt;2,PC!$CF12="P"),PC!$CC12,""))</f>
        <v/>
      </c>
      <c r="Z15" s="882"/>
      <c r="AA15" s="882" t="str">
        <f>IF(PC!$AO$4=2,"",IF(AND(COUNT(PC!$A$6:$A$11)&gt;2,PC!$CF12="P"),PC!$CE12,""))</f>
        <v/>
      </c>
      <c r="AB15" s="882"/>
      <c r="AC15" s="142"/>
      <c r="AD15" s="882" t="str">
        <f>IF(PC!$AO$4=2,"",IF(AND(COUNT(PC!$A$6:$A$11)&gt;2,PC!$CF11="P"),PC!$CC11,""))</f>
        <v/>
      </c>
      <c r="AE15" s="882"/>
      <c r="AF15" s="882" t="str">
        <f>IF(PC!$AO$4=2,"",IF(AND(COUNT(PC!$A$6:$A$11)&gt;2,PC!$CF11="P"),PC!$CE11,""))</f>
        <v/>
      </c>
      <c r="AG15" s="882"/>
      <c r="AH15" s="32"/>
      <c r="AI15" s="32"/>
      <c r="AJ15" s="32"/>
      <c r="AK15" s="882" cm="1">
        <f t="array" ref="AK15">IF(PC!$AO$4&lt;2,"",IF(_xlfn.XLOOKUP('T PC'!C17,"Licence n° "&amp;PC!$B$6:$B$11,PC!$AO$6:$AO$11,"",0,1)=1,"",_xlfn.XLOOKUP('T PC'!C17,"Licence n° "&amp;PC!$B$6:$B$11,PC!$V$6:$V$11,"",0,1)))</f>
        <v>0</v>
      </c>
      <c r="AL15" s="882"/>
      <c r="AM15" s="879" cm="1">
        <f t="array" ref="AM15">IF(PC!$AO$4&lt;2,"",IF(_xlfn.XLOOKUP('T PC'!C17,"Licence n° "&amp;PC!$B$6:$B$11,PC!$AO$6:$AO$11,"",0,1)=1,"",_xlfn.XLOOKUP('T PC'!C17,"Licence n° "&amp;PC!$B$6:$B$11,PC!$T$6:$T$11,"",0,1)))</f>
        <v>2.0256410256410255</v>
      </c>
      <c r="AN15" s="879"/>
      <c r="AO15" s="32"/>
      <c r="AP15" s="561" cm="1">
        <f t="array" ref="AP15">_xlfn.XLOOKUP(C17,"Licence n° "&amp;PC!$B$6:$B$11,PC!$W$6:$W$11,"",0,1)</f>
        <v>3</v>
      </c>
      <c r="AQ15" s="32"/>
      <c r="AS15" s="840" t="s">
        <v>8114</v>
      </c>
      <c r="AT15" s="32"/>
    </row>
    <row r="16" spans="1:48" ht="12.6" customHeight="1" x14ac:dyDescent="0.25">
      <c r="A16" s="32"/>
      <c r="B16" s="32"/>
      <c r="C16" s="143" t="str" cm="1">
        <f t="array" ref="C16">IF(PC!$AO$4=2,_xlfn.XLOOKUP(2,PC!$M$6:$M$11,PC!$K$6:$K$11&amp;" "&amp;PC!$AS$6:$AS$11,"",0,1),IF(COUNT(PC!$A$6:$A$11)&gt;2,PC!$K7&amp;" - "&amp;PC!$AS7," "))</f>
        <v>R2 - 0,00</v>
      </c>
      <c r="D16" s="32"/>
      <c r="E16" s="144" t="str">
        <f>IF(F16="","","Pts")</f>
        <v>Pts</v>
      </c>
      <c r="F16" s="880">
        <f>IF(PC!$AO$4=2,PC!X18,IF(AND(COUNT(PC!$A$6:$A$11)&gt;2,PC!$CF15="P"),PC!$CG15,""))</f>
        <v>0</v>
      </c>
      <c r="G16" s="880"/>
      <c r="H16" s="144" t="str">
        <f>IF(F16="","","Rep.")</f>
        <v>Rep.</v>
      </c>
      <c r="I16" s="32"/>
      <c r="J16" s="885"/>
      <c r="K16" s="885"/>
      <c r="L16" s="885"/>
      <c r="M16" s="885"/>
      <c r="N16" s="32"/>
      <c r="O16" s="144" t="str">
        <f>IF(P16="","","Pts")</f>
        <v>Pts</v>
      </c>
      <c r="P16" s="880">
        <f>IF(PC!$AO$4=2,"",IF(AND(COUNT(PC!$A$6:$A$11)&gt;2,PC!$CF14="P"),PC!$CG14,""))</f>
        <v>0</v>
      </c>
      <c r="Q16" s="880"/>
      <c r="R16" s="144" t="str">
        <f>IF(P16="","","Rep.")</f>
        <v>Rep.</v>
      </c>
      <c r="S16" s="50"/>
      <c r="T16" s="144" t="str">
        <f>IF(U16="","","Pts")</f>
        <v/>
      </c>
      <c r="U16" s="880" t="str">
        <f>IF(PC!$AO$4=2,"",IF(AND(COUNT(PC!$A$6:$A$11)&gt;2,PC!$CF13="P"),PC!$CG13,""))</f>
        <v/>
      </c>
      <c r="V16" s="880"/>
      <c r="W16" s="144" t="str">
        <f>IF(U16="","","Rep.")</f>
        <v/>
      </c>
      <c r="X16" s="144"/>
      <c r="Y16" s="144" t="str">
        <f>IF(Z16="","","Pts")</f>
        <v/>
      </c>
      <c r="Z16" s="880" t="str">
        <f>IF(PC!$AO$4=2,"",IF(AND(COUNT(PC!$A$6:$A$11)&gt;2,PC!$CF12="P"),PC!$CG12,""))</f>
        <v/>
      </c>
      <c r="AA16" s="880"/>
      <c r="AB16" s="144" t="str">
        <f>IF(Z16="","","Rep.")</f>
        <v/>
      </c>
      <c r="AC16" s="144"/>
      <c r="AD16" s="144" t="str">
        <f>IF(AE16="","","Pts")</f>
        <v/>
      </c>
      <c r="AE16" s="880" t="str">
        <f>IF(PC!$AO$4=2,"",IF(AND(COUNT(PC!$A$6:$A$11)&gt;2,PC!$CF11="P"),PC!$CG11,""))</f>
        <v/>
      </c>
      <c r="AF16" s="880"/>
      <c r="AG16" s="144" t="str">
        <f>IF(AE16="","","Rep.")</f>
        <v/>
      </c>
      <c r="AH16" s="32"/>
      <c r="AI16" s="32"/>
      <c r="AJ16" s="32"/>
      <c r="AK16" s="145" t="str">
        <f>IF(AL16="","","PM")</f>
        <v>PM</v>
      </c>
      <c r="AL16" s="881" cm="1">
        <f t="array" ref="AL16">IF(SUM(PC!$Q$6:$Q$11)=0,"",IF(PC!$AO$4&gt;1,IF(_xlfn.XLOOKUP('T PC'!C17,"Licence n° "&amp;PC!$B$6:$B$11,PC!$AO$6:$AO$11,"",0,1)=1,"Forfait",_xlfn.XLOOKUP('T PC'!C17,"Licence n° "&amp;PC!$B$37:$B$42,PC!$Q$37:$Q$42,"",0,1)),""))</f>
        <v>3</v>
      </c>
      <c r="AM16" s="881"/>
      <c r="AN16" s="145" t="str">
        <f>IF(AL16="","","MGP")</f>
        <v>MGP</v>
      </c>
      <c r="AO16" s="32"/>
      <c r="AP16" s="151" t="str">
        <f>IF(OR(PC!$AO$4&lt;2,LEFT(PC!$F$13)="F"),"","Pts Rk")</f>
        <v>Pts Rk</v>
      </c>
      <c r="AQ16" s="32"/>
      <c r="AS16" s="840"/>
      <c r="AT16" s="32"/>
    </row>
    <row r="17" spans="1:52" ht="12.6" customHeight="1" x14ac:dyDescent="0.25">
      <c r="A17" s="32"/>
      <c r="B17" s="32"/>
      <c r="C17" s="147" t="str">
        <f>IF(PC!AO4=2,"Licence n° "&amp;_xlfn.XLOOKUP(2,PC!M6:M11,PC!B6:B11,"",0,1),IF(COUNT(PC!A6:A11)&gt;2,"Licence n° "&amp;PC!B7," "))</f>
        <v>Licence n° 013922M</v>
      </c>
      <c r="D17" s="32"/>
      <c r="E17" s="144" t="str">
        <f>IF(F16="","","Moy.")</f>
        <v>Moy.</v>
      </c>
      <c r="F17" s="880"/>
      <c r="G17" s="880"/>
      <c r="H17" s="144" t="str">
        <f>IF(F16="","","MS")</f>
        <v>MS</v>
      </c>
      <c r="I17" s="32"/>
      <c r="J17" s="885"/>
      <c r="K17" s="885"/>
      <c r="L17" s="885"/>
      <c r="M17" s="885"/>
      <c r="N17" s="32"/>
      <c r="O17" s="144" t="str">
        <f>IF(P16="","","Moy.")</f>
        <v>Moy.</v>
      </c>
      <c r="P17" s="880"/>
      <c r="Q17" s="880"/>
      <c r="R17" s="144" t="str">
        <f>IF(P16="","","MS")</f>
        <v>MS</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Mpart.</v>
      </c>
      <c r="AL17" s="881"/>
      <c r="AM17" s="881"/>
      <c r="AN17" s="145" t="str">
        <f>IF(AL16="","","MS")</f>
        <v>MS</v>
      </c>
      <c r="AO17" s="32"/>
      <c r="AP17" s="148" t="str">
        <f>IF(OR(PC!$AO$4&lt;2,LEFT(PC!$F$13)="F"),"","Bonus")</f>
        <v>Bonus</v>
      </c>
      <c r="AQ17" s="32"/>
      <c r="AS17" s="846" t="s">
        <v>8115</v>
      </c>
      <c r="AT17" s="32"/>
      <c r="AZ17" s="241"/>
    </row>
    <row r="18" spans="1:52" ht="50.1" customHeight="1" x14ac:dyDescent="0.25">
      <c r="A18" s="32"/>
      <c r="B18" s="32"/>
      <c r="C18" s="149" t="str">
        <f>IF(PC!AO4=2,_xlfn.XLOOKUP(2,PC!M6:M11,PC!G6:G11,"",0,1),IF(COUNT(PC!A6:A11)&gt;2,PC!G7," "))</f>
        <v>BILLARD CLUB DE LIVRY GARGAN</v>
      </c>
      <c r="D18" s="32"/>
      <c r="E18" s="883" t="str">
        <f>IF(F16="","",IF(F16&gt;0,E15/G15,"/"))</f>
        <v>/</v>
      </c>
      <c r="F18" s="883"/>
      <c r="G18" s="884">
        <f>IF(AND(PC!$AO$4=2,PC!$A18="P"),PC!Q18,IF(AND(COUNT(PC!$A$6:$A$11)&gt;2,PC!$CF15="P"),PC!$CD15,""))</f>
        <v>11</v>
      </c>
      <c r="H18" s="884"/>
      <c r="I18" s="32"/>
      <c r="J18" s="885"/>
      <c r="K18" s="885"/>
      <c r="L18" s="885"/>
      <c r="M18" s="885"/>
      <c r="N18" s="32"/>
      <c r="O18" s="883" t="str">
        <f>IF(P16="","",IF(P16&gt;0,O15/Q15,"/"))</f>
        <v>/</v>
      </c>
      <c r="P18" s="883"/>
      <c r="Q18" s="884">
        <f>IF(PC!$AO$4=2,"",IF(AND(COUNT(PC!$A$6:$A$11)&gt;2,PC!$CF14="P"),PC!$CD14,""))</f>
        <v>14</v>
      </c>
      <c r="R18" s="884"/>
      <c r="S18" s="32"/>
      <c r="T18" s="883" t="str">
        <f>IF(U16="","",IF(U16&gt;0,T15/V15,"/"))</f>
        <v/>
      </c>
      <c r="U18" s="883"/>
      <c r="V18" s="884" t="str">
        <f>IF(PC!$AO$4=2,"",IF(AND(COUNT(PC!$A$6:$A$11)&gt;2,PC!$CF13="P"),PC!$CD13,""))</f>
        <v/>
      </c>
      <c r="W18" s="884"/>
      <c r="X18" s="32"/>
      <c r="Y18" s="883" t="str">
        <f>IF(Z16="","",IF(Z16&gt;0,Y15/AA15,"/"))</f>
        <v/>
      </c>
      <c r="Z18" s="883"/>
      <c r="AA18" s="884" t="str">
        <f>IF(PC!$AO$4=2,"",IF(AND(COUNT(PC!$A$6:$A$11)&gt;2,PC!$CF12="P"),PC!$CD12,""))</f>
        <v/>
      </c>
      <c r="AB18" s="884"/>
      <c r="AC18" s="32"/>
      <c r="AD18" s="883" t="str">
        <f>IF(AE16="","",IF(AE16&gt;0,AD15/AF15,"/"))</f>
        <v/>
      </c>
      <c r="AE18" s="883"/>
      <c r="AF18" s="884" t="str">
        <f>IF(PC!$AO$4=2,"",IF(AND(COUNT(PC!$A$6:$A$11)&gt;2,PC!$CF11="P"),PC!$CD11,""))</f>
        <v/>
      </c>
      <c r="AG18" s="884"/>
      <c r="AH18" s="32"/>
      <c r="AI18" s="32"/>
      <c r="AJ18" s="32"/>
      <c r="AK18" s="883" t="str" cm="1">
        <f t="array" ref="AK18">IF(PC!$AO$4&lt;2,"",IF(_xlfn.XLOOKUP('T PC'!C17,"Licence n° "&amp;PC!$B$6:$B$11,PC!$AO$6:$AO$11,"",0,1)=1,"",_xlfn.XLOOKUP('T PC'!C17,"Licence n° "&amp;PC!$B$6:$B$11,PC!$U$6:$U$11,"",0,1)))</f>
        <v>/</v>
      </c>
      <c r="AL18" s="883"/>
      <c r="AM18" s="884" cm="1">
        <f t="array" ref="AM18">IF(PC!$AO$4&lt;2,"",IF(_xlfn.XLOOKUP('T PC'!C17,"Licence n° "&amp;PC!$B$6:$B$11,PC!$AO$6:$AO$11,"",0,1)=1,"",_xlfn.XLOOKUP('T PC'!C17,"Licence n° "&amp;PC!$B$6:$B$11,PC!$S$6:$S$11,"",0,1)))</f>
        <v>14</v>
      </c>
      <c r="AN18" s="884"/>
      <c r="AO18" s="32"/>
      <c r="AP18" s="562" cm="1">
        <f t="array" ref="AP18">_xlfn.XLOOKUP(C17,"Licence n° "&amp;PC!$B$6:$B$11,PC!$X$6:$X$11,"",0,1)</f>
        <v>2</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IF(PC!AO4=2,C10,IF(COUNT(PC!A6:A11)&gt;2,CONCATENATE(PC!C8," ",LEFT(PC!E8),"."),""))</f>
        <v>PIVONET F.</v>
      </c>
      <c r="D20" s="32"/>
      <c r="E20" s="882">
        <f>IF(PC!$AO$4=2,"",IF(AND(COUNT(PC!$A$6:$A$11)&gt;2,PC!$CF20="P"),PC!$CC20,""))</f>
        <v>56</v>
      </c>
      <c r="F20" s="882"/>
      <c r="G20" s="882">
        <f>IF(PC!$AO$4=2,"",IF(AND(COUNT(PC!$A$6:$A$11)&gt;2,PC!$CF20="P"),PC!$CE20,""))</f>
        <v>28</v>
      </c>
      <c r="H20" s="882"/>
      <c r="I20" s="142"/>
      <c r="J20" s="882">
        <f>IF(PC!$AO$4=2,"",IF(AND(COUNT(PC!$A$6:$A$11)&gt;2,PC!$CF19="P"),PC!$CC19,""))</f>
        <v>95</v>
      </c>
      <c r="K20" s="882"/>
      <c r="L20" s="882">
        <f>IF(PC!$AO$4=2,"",IF(AND(COUNT(PC!$A$6:$A$11)&gt;2,PC!$CF19="P"),PC!$CE19,""))</f>
        <v>40</v>
      </c>
      <c r="M20" s="882"/>
      <c r="N20" s="32"/>
      <c r="O20" s="885" t="e" vm="4">
        <f>IF(PC!W35="NON",AG1,IF(PC!AO4=2,"MATCH 2",IF(PC!AO4&gt;2,_xlfn.XLOOKUP(C23,'LOGOS CLUBS'!$B$2:$B$65,'LOGOS CLUBS'!$C$2:$C$65,C23,0,1),"")))</f>
        <v>#VALUE!</v>
      </c>
      <c r="P20" s="885"/>
      <c r="Q20" s="885"/>
      <c r="R20" s="885"/>
      <c r="S20" s="32"/>
      <c r="T20" s="882" t="str">
        <f>IF(AND(PC!$AO$4=2,PC!$A19="P"),PC!P19,IF(AND(COUNT(PC!$A$6:$A$11)&gt;2,PC!$CF18="P"),PC!$CC18,""))</f>
        <v/>
      </c>
      <c r="U20" s="882"/>
      <c r="V20" s="882" t="str">
        <f>IF(AND(PC!$AO$4=2,PC!$A19="P"),PC!O19,IF(AND(COUNT(PC!$A$6:$A$11)&gt;2,PC!$CF18="P"),PC!$CE18,""))</f>
        <v/>
      </c>
      <c r="W20" s="882"/>
      <c r="X20" s="142"/>
      <c r="Y20" s="882" t="str">
        <f>IF(PC!$AO$4=2,"",IF(AND(COUNT(PC!$A$6:$A$11)&gt;2,PC!$CF17="P"),PC!$CC17,""))</f>
        <v/>
      </c>
      <c r="Z20" s="882"/>
      <c r="AA20" s="882" t="str">
        <f>IF(PC!$AO$4=2,"",IF(AND(COUNT(PC!$A$6:$A$11)&gt;2,PC!$CF17="P"),PC!$CE17,""))</f>
        <v/>
      </c>
      <c r="AB20" s="882"/>
      <c r="AC20" s="142"/>
      <c r="AD20" s="882" t="str">
        <f>IF(PC!$AO$4=2,"",IF(AND(COUNT(PC!$A$6:$A$11)&gt;2,PC!$CF16="P"),PC!$CC16,""))</f>
        <v/>
      </c>
      <c r="AE20" s="882"/>
      <c r="AF20" s="882" t="str">
        <f>IF(PC!$AO$4=2,"",IF(AND(COUNT(PC!$A$6:$A$11)&gt;2,PC!$CF16="P"),PC!$CE16,""))</f>
        <v/>
      </c>
      <c r="AG20" s="882"/>
      <c r="AH20" s="32"/>
      <c r="AI20" s="32"/>
      <c r="AJ20" s="32"/>
      <c r="AK20" s="882" cm="1">
        <f t="array" ref="AK20">IF(PC!$AO$4&lt;3,"",IF(_xlfn.XLOOKUP('T PC'!C22,"Licence n° "&amp;PC!$B$6:$B$11,PC!$AO$6:$AO$11,"",0,1)=1,"",_xlfn.XLOOKUP('T PC'!C22,"Licence n° "&amp;PC!$B$6:$B$11,PC!$V$6:$V$11,"",0,1)))</f>
        <v>2</v>
      </c>
      <c r="AL20" s="882"/>
      <c r="AM20" s="879" cm="1">
        <f t="array" ref="AM20">IF(PC!$AO$4&lt;3,"",IF(_xlfn.XLOOKUP('T PC'!C22,"Licence n° "&amp;PC!$B$6:$B$11,PC!$AO$6:$AO$11,"",0,1)=1,"",_xlfn.XLOOKUP('T PC'!C22,"Licence n° "&amp;PC!$B$6:$B$11,PC!$T$6:$T$11,"",0,1)))</f>
        <v>2.2205882352941178</v>
      </c>
      <c r="AN20" s="879"/>
      <c r="AO20" s="32"/>
      <c r="AP20" s="561" cm="1">
        <f t="array" ref="AP20">IF(PC!$AO$4&lt;3,"",_xlfn.XLOOKUP(C22,"Licence n° "&amp;PC!$B$6:$B$11,PC!$W$6:$W$11,"",0,1))</f>
        <v>5</v>
      </c>
      <c r="AQ20" s="32"/>
      <c r="AS20" s="847" t="s">
        <v>8116</v>
      </c>
      <c r="AT20" s="32"/>
      <c r="AZ20" s="241"/>
    </row>
    <row r="21" spans="1:52" ht="12.6" customHeight="1" x14ac:dyDescent="0.25">
      <c r="A21" s="32"/>
      <c r="B21" s="32"/>
      <c r="C21" s="143" t="str" cm="1">
        <f t="array" ref="C21">IF(PC!$AO$4=2,_xlfn.XLOOKUP(1,PC!$M$6:$M$11,PC!$K$6:$K$11&amp;" "&amp;PC!$AS$6:$AS$11,"",0,1),IF(COUNT(PC!$A$6:$A$11)&gt;2,PC!$K8&amp;" - "&amp;PC!$AS8," "))</f>
        <v>R2 - 0,00</v>
      </c>
      <c r="D21" s="32"/>
      <c r="E21" s="144" t="str">
        <f>IF(F21="","","Pts")</f>
        <v>Pts</v>
      </c>
      <c r="F21" s="880">
        <f>IF(PC!$AO$4=2,"",IF(AND(COUNT(PC!$A$6:$A$11)&gt;2,PC!$CF20="P"),PC!$CG20,""))</f>
        <v>0</v>
      </c>
      <c r="G21" s="880"/>
      <c r="H21" s="144" t="str">
        <f>IF(F21="","","Rep.")</f>
        <v>Rep.</v>
      </c>
      <c r="I21" s="144"/>
      <c r="J21" s="144" t="str">
        <f>IF(K21="","","Pts")</f>
        <v>Pts</v>
      </c>
      <c r="K21" s="880">
        <f>IF(PC!$AO$4=2,"",IF(AND(COUNT(PC!$A$6:$A$11)&gt;2,PC!$CF19="P"),PC!$CG19,""))</f>
        <v>2</v>
      </c>
      <c r="L21" s="880"/>
      <c r="M21" s="144" t="str">
        <f>IF(K21="","","Rep.")</f>
        <v>Rep.</v>
      </c>
      <c r="N21" s="32"/>
      <c r="O21" s="885"/>
      <c r="P21" s="885"/>
      <c r="Q21" s="885"/>
      <c r="R21" s="885"/>
      <c r="S21" s="32"/>
      <c r="T21" s="144" t="str">
        <f>IF(U21="","","Pts")</f>
        <v/>
      </c>
      <c r="U21" s="880" t="str">
        <f>IF(PC!$AO$4=2,PC!X19,IF(AND(COUNT(PC!$A$6:$A$11)&gt;2,PC!$CF18="P"),PC!$CG18,""))</f>
        <v/>
      </c>
      <c r="V21" s="880"/>
      <c r="W21" s="144" t="str">
        <f>IF(U21="","","Rep.")</f>
        <v/>
      </c>
      <c r="X21" s="144"/>
      <c r="Y21" s="144" t="str">
        <f>IF(Z21="","","Pts")</f>
        <v/>
      </c>
      <c r="Z21" s="880" t="str">
        <f>IF(PC!$AO$4=2,"",IF(AND(COUNT(PC!$A$6:$A$11)&gt;2,PC!$CF17="P"),PC!$CG17,""))</f>
        <v/>
      </c>
      <c r="AA21" s="880"/>
      <c r="AB21" s="144" t="str">
        <f>IF(Z21="","","Rep.")</f>
        <v/>
      </c>
      <c r="AC21" s="144"/>
      <c r="AD21" s="144" t="str">
        <f>IF(AE21="","","Pts")</f>
        <v/>
      </c>
      <c r="AE21" s="880" t="str">
        <f>IF(PC!$AO$4=2,"",IF(AND(COUNT(PC!$A$6:$A$11)&gt;2,PC!$CF16="P"),PC!$CG16,""))</f>
        <v/>
      </c>
      <c r="AF21" s="880"/>
      <c r="AG21" s="144" t="str">
        <f>IF(AE21="","","Rep.")</f>
        <v/>
      </c>
      <c r="AH21" s="32"/>
      <c r="AI21" s="32"/>
      <c r="AJ21" s="32"/>
      <c r="AK21" s="145" t="str">
        <f>IF(AL21="","","PM")</f>
        <v>PM</v>
      </c>
      <c r="AL21" s="881" cm="1">
        <f t="array" ref="AL21">IF(SUM(PC!$Q$6:$Q$11)=0,"",IF(PC!$AO$4&gt;2,IF(_xlfn.XLOOKUP('T PC'!C22,"Licence n° "&amp;PC!$B$6:$B$11,PC!$AO$6:$AO$11,"",0,1)=1,"Forfait",_xlfn.XLOOKUP('T PC'!C22,"Licence n° "&amp;PC!$B$37:$B$42,PC!$Q$37:$Q$42,"",0,1)),""))</f>
        <v>2</v>
      </c>
      <c r="AM21" s="881"/>
      <c r="AN21" s="145" t="str">
        <f>IF(AL21="","","MGP")</f>
        <v>MGP</v>
      </c>
      <c r="AO21" s="32"/>
      <c r="AP21" s="151" t="str">
        <f>IF(OR(PC!$AO$4&lt;3,LEFT(PC!$F$13)="F"),"","Pts Rk")</f>
        <v>Pts Rk</v>
      </c>
      <c r="AQ21" s="32"/>
      <c r="AS21" s="847"/>
      <c r="AT21" s="32"/>
    </row>
    <row r="22" spans="1:52" ht="12.6" customHeight="1" x14ac:dyDescent="0.25">
      <c r="A22" s="32"/>
      <c r="B22" s="32"/>
      <c r="C22" s="147" t="str">
        <f>IF(PC!AO4=2,C12,IF(COUNT(PC!A6:A11)&gt;2,"Licence n° "&amp;PC!B8," "))</f>
        <v>Licence n° 154522J</v>
      </c>
      <c r="D22" s="32"/>
      <c r="E22" s="144" t="str">
        <f>IF(F21="","","Moy.")</f>
        <v>Moy.</v>
      </c>
      <c r="F22" s="880"/>
      <c r="G22" s="880"/>
      <c r="H22" s="144" t="str">
        <f>IF(F21="","","MS")</f>
        <v>MS</v>
      </c>
      <c r="I22" s="144"/>
      <c r="J22" s="144" t="str">
        <f>IF(K21="","","Moy.")</f>
        <v>Moy.</v>
      </c>
      <c r="K22" s="880"/>
      <c r="L22" s="880"/>
      <c r="M22" s="144" t="str">
        <f>IF(K21="","","MS")</f>
        <v>MS</v>
      </c>
      <c r="N22" s="32"/>
      <c r="O22" s="885"/>
      <c r="P22" s="885"/>
      <c r="Q22" s="885"/>
      <c r="R22" s="885"/>
      <c r="S22" s="32"/>
      <c r="T22" s="144" t="str">
        <f>IF(U21="","","Moy.")</f>
        <v/>
      </c>
      <c r="U22" s="880"/>
      <c r="V22" s="880"/>
      <c r="W22" s="144" t="str">
        <f>IF(U21="","","MS")</f>
        <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Mpart.</v>
      </c>
      <c r="AL22" s="881"/>
      <c r="AM22" s="881"/>
      <c r="AN22" s="145" t="str">
        <f>IF(AL21="","","MS")</f>
        <v>MS</v>
      </c>
      <c r="AO22" s="32"/>
      <c r="AP22" s="148" t="str">
        <f>IF(OR(PC!$AO$4&lt;3,LEFT(PC!$F$13)="F"),"","Bonus")</f>
        <v>Bonus</v>
      </c>
      <c r="AQ22" s="32"/>
      <c r="AS22" s="848" t="s">
        <v>8117</v>
      </c>
      <c r="AT22" s="32"/>
    </row>
    <row r="23" spans="1:52" ht="50.1" customHeight="1" x14ac:dyDescent="0.25">
      <c r="A23" s="32"/>
      <c r="B23" s="32"/>
      <c r="C23" s="149" t="str">
        <f>IF(PC!AO4=2,C13,IF(COUNT(PC!A6:A11)&gt;2,PC!G8," "))</f>
        <v>ASS. BILLARD AMATEUR DE SAINT MAUR</v>
      </c>
      <c r="D23" s="32"/>
      <c r="E23" s="883" t="str">
        <f>IF(F21="","",IF(F21&gt;0,E20/G20,"/"))</f>
        <v>/</v>
      </c>
      <c r="F23" s="883"/>
      <c r="G23" s="884">
        <f>IF(PC!$AO$4=2,"",IF(AND(COUNT(PC!$A$6:$A$11)&gt;2,PC!$CF20="P"),PC!$CD20,""))</f>
        <v>14</v>
      </c>
      <c r="H23" s="884"/>
      <c r="I23" s="32"/>
      <c r="J23" s="883">
        <f>IF(K21="","",IF(K21&gt;0,J20/L20,"/"))</f>
        <v>2.375</v>
      </c>
      <c r="K23" s="883"/>
      <c r="L23" s="884">
        <f>IF(PC!$AO$4=2,"",IF(AND(COUNT(PC!$A$6:$A$11)&gt;2,PC!$CF19="P"),PC!$CD19,""))</f>
        <v>23</v>
      </c>
      <c r="M23" s="884"/>
      <c r="N23" s="32"/>
      <c r="O23" s="885"/>
      <c r="P23" s="885"/>
      <c r="Q23" s="885"/>
      <c r="R23" s="885"/>
      <c r="S23" s="32"/>
      <c r="T23" s="883" t="str">
        <f>IF(U21="","",IF(U21&gt;0,T20/V20,"/"))</f>
        <v/>
      </c>
      <c r="U23" s="883"/>
      <c r="V23" s="884" t="str">
        <f>IF(AND(PC!$AO$4=2,PC!$A19="P"),PC!Q19,IF(AND(COUNT(PC!$A$6:$A$11)&gt;2,PC!$CF18="P"),PC!$CD18,""))</f>
        <v/>
      </c>
      <c r="W23" s="884"/>
      <c r="X23" s="32"/>
      <c r="Y23" s="883" t="str">
        <f>IF(Z21="","",IF(Z21&gt;0,Y20/AA20,"/"))</f>
        <v/>
      </c>
      <c r="Z23" s="883"/>
      <c r="AA23" s="884" t="str">
        <f>IF(PC!$AO$4=2,"",IF(AND(COUNT(PC!$A$6:$A$11)&gt;2,PC!$CF17="P"),PC!$CD17,""))</f>
        <v/>
      </c>
      <c r="AB23" s="884"/>
      <c r="AC23" s="32"/>
      <c r="AD23" s="883" t="str">
        <f>IF(AE21="","",IF(AE21&gt;0,AD20/AF20,"/"))</f>
        <v/>
      </c>
      <c r="AE23" s="883"/>
      <c r="AF23" s="884" t="str">
        <f>IF(PC!$AO$4=2,"",IF(AND(COUNT(PC!$A$6:$A$11)&gt;2,PC!$CF16="P"),PC!$CD16,""))</f>
        <v/>
      </c>
      <c r="AG23" s="884"/>
      <c r="AH23" s="32"/>
      <c r="AI23" s="32"/>
      <c r="AJ23" s="32"/>
      <c r="AK23" s="883" cm="1">
        <f t="array" ref="AK23">IF(PC!$AO$4&lt;3,"",IF(_xlfn.XLOOKUP('T PC'!C22,"Licence n° "&amp;PC!$B$6:$B$11,PC!$AO$6:$AO$11,"",0,1)=1,"",_xlfn.XLOOKUP('T PC'!C22,"Licence n° "&amp;PC!$B$6:$B$11,PC!$U$6:$U$11,"",0,1)))</f>
        <v>2.375</v>
      </c>
      <c r="AL23" s="883"/>
      <c r="AM23" s="884" cm="1">
        <f t="array" ref="AM23">IF(PC!$AO$4&lt;3,"",IF(_xlfn.XLOOKUP('T PC'!C22,"Licence n° "&amp;PC!$B$6:$B$11,PC!$AO$6:$AO$11,"",0,1)=1,"",_xlfn.XLOOKUP('T PC'!C22,"Licence n° "&amp;PC!$B$6:$B$11,PC!$S$6:$S$11,"",0,1)))</f>
        <v>23</v>
      </c>
      <c r="AN23" s="884"/>
      <c r="AO23" s="32"/>
      <c r="AP23" s="562" cm="1">
        <f t="array" ref="AP23">IF(PC!$AO$4&lt;3,"",_xlfn.XLOOKUP(C22,"Licence n° "&amp;PC!$B$6:$B$11,PC!$X$6:$X$11,"",0,1))</f>
        <v>2</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IF(PC!AO4=2,C15,IF(COUNT(PC!A6:A11)&gt;3,CONCATENATE(PC!C9," ",LEFT(PC!E9),"."),""))</f>
        <v/>
      </c>
      <c r="D25" s="32"/>
      <c r="E25" s="882" t="str">
        <f>IF(PC!$AO$4=2,"",IF(AND(COUNT(PC!$A$6:$A$11)&gt;2,PC!$CF25="P"),PC!$CC25,""))</f>
        <v/>
      </c>
      <c r="F25" s="882"/>
      <c r="G25" s="882" t="str">
        <f>IF(PC!$AO$4=2,"",IF(AND(COUNT(PC!$A$6:$A$11)&gt;2,PC!$CF25="P"),PC!$CE25,""))</f>
        <v/>
      </c>
      <c r="H25" s="882"/>
      <c r="I25" s="142"/>
      <c r="J25" s="882" t="str">
        <f>IF(PC!$AO$4=2,"",IF(AND(COUNT(PC!$A$6:$A$11)&gt;2,PC!$CF24="P"),PC!$CC24,""))</f>
        <v/>
      </c>
      <c r="K25" s="882"/>
      <c r="L25" s="882" t="str">
        <f>IF(PC!$AO$4=2,"",IF(AND(COUNT(PC!$A$6:$A$11)&gt;2,PC!$CF24="P"),PC!$CE24,""))</f>
        <v/>
      </c>
      <c r="M25" s="882"/>
      <c r="N25" s="142"/>
      <c r="O25" s="882" t="str">
        <f>IF(AND(PC!$AO$4=2,PC!$A19="P"),PC!N19,IF(AND(COUNT(PC!$A$6:$A$11)&gt;2,PC!$CF23="P"),PC!$CC23,""))</f>
        <v/>
      </c>
      <c r="P25" s="882"/>
      <c r="Q25" s="882" t="str">
        <f>IF(AND(PC!$AO$4=2,PC!$A19="P"),PC!O19,IF(AND(COUNT(PC!$A$6:$A$11)&gt;2,PC!$CF23="P"),PC!$CE23,""))</f>
        <v/>
      </c>
      <c r="R25" s="882"/>
      <c r="S25" s="32"/>
      <c r="T25" s="886" t="str">
        <f>IF(PC!W35="NON",AG1,IF(OR(PC!AO4=2,COUNT(PC!A6:A11)&gt;3),_xlfn.XLOOKUP('T PC'!C28,'LOGOS CLUBS'!$B$2:$B$65,'LOGOS CLUBS'!$C$2:$C$65,C28,0,1),""))</f>
        <v/>
      </c>
      <c r="U25" s="886"/>
      <c r="V25" s="886"/>
      <c r="W25" s="886"/>
      <c r="X25" s="32"/>
      <c r="Y25" s="882" t="str">
        <f>IF(PC!$AO$4=2,"",IF(AND(COUNT(PC!$A$6:$A$11)&gt;2,PC!$CF22="P"),PC!$CC22,""))</f>
        <v/>
      </c>
      <c r="Z25" s="882"/>
      <c r="AA25" s="882" t="str">
        <f>IF(PC!$AO$4=2,"",IF(AND(COUNT(PC!$A$6:$A$11)&gt;2,PC!$CF22="P"),PC!$CE22,""))</f>
        <v/>
      </c>
      <c r="AB25" s="882"/>
      <c r="AC25" s="142"/>
      <c r="AD25" s="882" t="str">
        <f>IF(PC!$AO$4=2,"",IF(AND(COUNT(PC!$A$6:$A$11)&gt;2,PC!$CF21="P"),PC!$CC21,""))</f>
        <v/>
      </c>
      <c r="AE25" s="882"/>
      <c r="AF25" s="882" t="str">
        <f>IF(PC!$AO$4=2,"",IF(AND(COUNT(PC!$A$6:$A$11)&gt;2,PC!$CF21="P"),PC!$CE21,""))</f>
        <v/>
      </c>
      <c r="AG25" s="882"/>
      <c r="AH25" s="32"/>
      <c r="AI25" s="32"/>
      <c r="AJ25" s="32"/>
      <c r="AK25" s="882" t="str" cm="1">
        <f t="array" ref="AK25">IF(PC!$AO$4&lt;3,"",IF(_xlfn.XLOOKUP('T PC'!C27,"Licence n° "&amp;PC!$B$6:$B$11,PC!$AO$6:$AO$11,"",0,1)=1,"",_xlfn.XLOOKUP('T PC'!C27,"Licence n° "&amp;PC!$B$6:$B$11,PC!$V$6:$V$11,"",0,1)))</f>
        <v/>
      </c>
      <c r="AL25" s="882"/>
      <c r="AM25" s="879" t="str" cm="1">
        <f t="array" ref="AM25">IF(PC!$AO$4&lt;3,"",IF(_xlfn.XLOOKUP('T PC'!C27,"Licence n° "&amp;PC!$B$6:$B$11,PC!$AO$6:$AO$11,"",0,1)=1,"",_xlfn.XLOOKUP('T PC'!C27,"Licence n° "&amp;PC!$B$6:$B$11,PC!$T$6:$T$11,"",0,1)))</f>
        <v/>
      </c>
      <c r="AN25" s="879"/>
      <c r="AO25" s="32"/>
      <c r="AP25" s="561" t="str" cm="1">
        <f t="array" ref="AP25">IF(OR(PC!AO4&lt;3,COUNT(PC!$A$6:$A$11&lt;3)),"",_xlfn.XLOOKUP(C27,"Licence n° "&amp;PC!$B$6:$B$11,PC!$W$6:$W$11,"",0,1))</f>
        <v/>
      </c>
      <c r="AQ25" s="32"/>
      <c r="AS25" s="849" t="s">
        <v>8118</v>
      </c>
      <c r="AT25" s="32"/>
    </row>
    <row r="26" spans="1:52" ht="12.6" customHeight="1" x14ac:dyDescent="0.25">
      <c r="A26" s="32"/>
      <c r="B26" s="32"/>
      <c r="C26" s="143" t="str" cm="1">
        <f t="array" ref="C26">IF(PC!$AO$4=2,_xlfn.XLOOKUP(2,PC!$M$6:$M$11,PC!$K$6:$K$11&amp;" "&amp;PC!$AS$6:$AS$11,"",0,1),IF(COUNT(PC!$A$6:$A$11)&gt;3,PC!$K9&amp;" - "&amp;PC!$AS9," "))</f>
        <v xml:space="preserve"> </v>
      </c>
      <c r="D26" s="32"/>
      <c r="E26" s="144" t="str">
        <f>IF(F26="","","Pts")</f>
        <v/>
      </c>
      <c r="F26" s="880" t="str">
        <f>IF(PC!$AO$4=2,"",IF(AND(COUNT(PC!$A$6:$A$11)&gt;2,PC!$CF25="P"),PC!$CG25,""))</f>
        <v/>
      </c>
      <c r="G26" s="880"/>
      <c r="H26" s="144" t="str">
        <f>IF(F26="","","Rep.")</f>
        <v/>
      </c>
      <c r="I26" s="144"/>
      <c r="J26" s="144" t="str">
        <f>IF(K26="","","Pts")</f>
        <v/>
      </c>
      <c r="K26" s="880" t="str">
        <f>IF(PC!$AO$4=2,"",IF(AND(COUNT(PC!$A$6:$A$11)&gt;2,PC!$CF24="P"),PC!$CG24,""))</f>
        <v/>
      </c>
      <c r="L26" s="880"/>
      <c r="M26" s="144" t="str">
        <f>IF(K26="","","Rep.")</f>
        <v/>
      </c>
      <c r="N26" s="144"/>
      <c r="O26" s="144" t="str">
        <f>IF(P26="","","Pts")</f>
        <v/>
      </c>
      <c r="P26" s="880" t="str">
        <f>IF(PC!$AO$4=2,PC!D19,IF(AND(COUNT(PC!$A$6:$A$11)&gt;2,PC!$CF23="P"),PC!$CG23,""))</f>
        <v/>
      </c>
      <c r="Q26" s="880"/>
      <c r="R26" s="144" t="str">
        <f>IF(P26="","","Rep.")</f>
        <v/>
      </c>
      <c r="S26" s="32"/>
      <c r="T26" s="886"/>
      <c r="U26" s="886"/>
      <c r="V26" s="886"/>
      <c r="W26" s="886"/>
      <c r="X26" s="32"/>
      <c r="Y26" s="144" t="str">
        <f>IF(Z26="","","Pts")</f>
        <v/>
      </c>
      <c r="Z26" s="880" t="str">
        <f>IF(PC!$AO$4=2,"",IF(AND(COUNT(PC!$A$6:$A$11)&gt;2,PC!$CF22="P"),PC!$CG22,""))</f>
        <v/>
      </c>
      <c r="AA26" s="880"/>
      <c r="AB26" s="144" t="str">
        <f>IF(Z26="","","Rep.")</f>
        <v/>
      </c>
      <c r="AC26" s="144"/>
      <c r="AD26" s="144" t="str">
        <f>IF(AE26="","","Pts")</f>
        <v/>
      </c>
      <c r="AE26" s="880" t="str">
        <f>IF(PC!$AO$4=2,"",IF(AND(COUNT(PC!$A$6:$A$11)&gt;2,PC!$CF21="P"),PC!$CG21,""))</f>
        <v/>
      </c>
      <c r="AF26" s="880"/>
      <c r="AG26" s="144" t="str">
        <f>IF(AE26="","","Rep.")</f>
        <v/>
      </c>
      <c r="AH26" s="32"/>
      <c r="AI26" s="32"/>
      <c r="AJ26" s="32"/>
      <c r="AK26" s="145" t="str">
        <f>IF(AL26="","","PM")</f>
        <v/>
      </c>
      <c r="AL26" s="881" t="str" cm="1">
        <f t="array" ref="AL26">IF(SUM(PC!$Q$6:$Q$11)=0,"",IF(PC!$AO$4&gt;2,IF(_xlfn.XLOOKUP('T PC'!C27,"Licence n° "&amp;PC!$B$6:$B$11,PC!$AO$6:$AO$11,"",0,1)=1,"Forfait",_xlfn.XLOOKUP('T PC'!C27,"Licence n° "&amp;PC!$B$37:$B$42,PC!$Q$37:$Q$42,"",0,1)),""))</f>
        <v/>
      </c>
      <c r="AM26" s="881"/>
      <c r="AN26" s="145" t="str">
        <f>IF(AL26="","","MGP")</f>
        <v/>
      </c>
      <c r="AO26" s="32"/>
      <c r="AP26" s="151" t="str">
        <f>IF(AND(COUNT(PC!$A$6:$A$11)&gt;3,PC!$AO$4&gt;2,LEFT(PC!$F$13)="P"),"Pts Rk","")</f>
        <v/>
      </c>
      <c r="AQ26" s="32"/>
      <c r="AS26" s="849"/>
      <c r="AT26" s="32"/>
    </row>
    <row r="27" spans="1:52" ht="12.6" customHeight="1" x14ac:dyDescent="0.25">
      <c r="A27" s="32"/>
      <c r="B27" s="32"/>
      <c r="C27" s="147" t="str">
        <f>IF(PC!AO4=2,C17,IF(COUNT(PC!A6:A11)&gt;3,"Licence n° "&amp;PC!B9," "))</f>
        <v xml:space="preserve"> </v>
      </c>
      <c r="D27" s="32"/>
      <c r="E27" s="144" t="str">
        <f>IF(F26="","","Moy.")</f>
        <v/>
      </c>
      <c r="F27" s="880"/>
      <c r="G27" s="880"/>
      <c r="H27" s="144" t="str">
        <f>IF(F26="","","MS")</f>
        <v/>
      </c>
      <c r="I27" s="144"/>
      <c r="J27" s="144" t="str">
        <f>IF(K26="","","Moy.")</f>
        <v/>
      </c>
      <c r="K27" s="880"/>
      <c r="L27" s="880"/>
      <c r="M27" s="144" t="str">
        <f>IF(K26="","","MS")</f>
        <v/>
      </c>
      <c r="N27" s="144"/>
      <c r="O27" s="144" t="str">
        <f>IF(P26="","","Moy.")</f>
        <v/>
      </c>
      <c r="P27" s="880"/>
      <c r="Q27" s="880"/>
      <c r="R27" s="144" t="str">
        <f>IF(P26="","","MS")</f>
        <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IF(AND(COUNT(PC!$A$6:$A$11)&gt;3,PC!$AO$4&gt;2,LEFT(PC!$F$13)="P"),"Bonus","")</f>
        <v/>
      </c>
      <c r="AQ27" s="32"/>
      <c r="AS27" s="829" t="s">
        <v>8119</v>
      </c>
      <c r="AT27" s="32"/>
    </row>
    <row r="28" spans="1:52" ht="50.1" customHeight="1" x14ac:dyDescent="0.25">
      <c r="A28" s="32"/>
      <c r="B28" s="32"/>
      <c r="C28" s="149" t="str">
        <f>IF(PC!AO4=2,C18,IF(COUNT(PC!A6:A11)&gt;3,PC!G9," "))</f>
        <v xml:space="preserve"> </v>
      </c>
      <c r="D28" s="32"/>
      <c r="E28" s="883" t="str">
        <f>IF(F26="","",IF(F26&gt;0,E25/G25,"/"))</f>
        <v/>
      </c>
      <c r="F28" s="883"/>
      <c r="G28" s="884" t="str">
        <f>IF(PC!$AO$4=2,"",IF(AND(COUNT(PC!$A$6:$A$11)&gt;2,PC!$CF25="P"),PC!$CD25,""))</f>
        <v/>
      </c>
      <c r="H28" s="884"/>
      <c r="I28" s="32"/>
      <c r="J28" s="883" t="str">
        <f>IF(K26="","",IF(K26&gt;0,J25/L25,"/"))</f>
        <v/>
      </c>
      <c r="K28" s="883"/>
      <c r="L28" s="884" t="str">
        <f>IF(PC!$AO$4=2,"",IF(AND(COUNT(PC!$A$6:$A$11)&gt;2,PC!$CF24="P"),PC!$CD24,""))</f>
        <v/>
      </c>
      <c r="M28" s="884"/>
      <c r="N28" s="32"/>
      <c r="O28" s="883" t="str">
        <f>IF(P26="","",IF(P26&gt;0,O25/Q25,"/"))</f>
        <v/>
      </c>
      <c r="P28" s="883"/>
      <c r="Q28" s="884" t="str">
        <f>IF(AND(PC!$AO$4=2,PC!$A19="P"),PC!M19,IF(AND(COUNT(PC!$A$6:$A$11)&gt;2,PC!$CF23="P"),PC!$CD23,""))</f>
        <v/>
      </c>
      <c r="R28" s="884"/>
      <c r="S28" s="32"/>
      <c r="T28" s="886"/>
      <c r="U28" s="886"/>
      <c r="V28" s="886"/>
      <c r="W28" s="886"/>
      <c r="X28" s="32"/>
      <c r="Y28" s="883" t="str">
        <f>IF(Z26="","",IF(Z26&gt;0,Y25/AA25,"/"))</f>
        <v/>
      </c>
      <c r="Z28" s="883"/>
      <c r="AA28" s="884" t="str">
        <f>IF(PC!$AO$4=2,"",IF(AND(COUNT(PC!$A$6:$A$11)&gt;2,PC!$CF22="P"),PC!$CD22,""))</f>
        <v/>
      </c>
      <c r="AB28" s="884"/>
      <c r="AC28" s="32"/>
      <c r="AD28" s="883" t="str">
        <f>IF(AE26="","",IF(AE26&gt;0,AD25/AF25,"/"))</f>
        <v/>
      </c>
      <c r="AE28" s="883"/>
      <c r="AF28" s="884" t="str">
        <f>IF(PC!$AO$4=2,"",IF(AND(COUNT(PC!$A$6:$A$11)&gt;2,PC!$CF21="P"),PC!$CD21,""))</f>
        <v/>
      </c>
      <c r="AG28" s="884"/>
      <c r="AH28" s="32"/>
      <c r="AI28" s="32"/>
      <c r="AJ28" s="32"/>
      <c r="AK28" s="883" t="str" cm="1">
        <f t="array" ref="AK28">IF(PC!$AO$4&lt;3,"",IF(_xlfn.XLOOKUP('T PC'!C27,"Licence n° "&amp;PC!$B$6:$B$11,PC!$AO$6:$AO$11,"",0,1)=1,"",_xlfn.XLOOKUP('T PC'!C27,"Licence n° "&amp;PC!$B$6:$B$11,PC!$U$6:$U$11,"",0,1)))</f>
        <v/>
      </c>
      <c r="AL28" s="883"/>
      <c r="AM28" s="884" t="str" cm="1">
        <f t="array" ref="AM28">IF(PC!$AO$4&lt;3,"",IF(_xlfn.XLOOKUP('T PC'!C27,"Licence n° "&amp;PC!$B$6:$B$11,PC!$AO$6:$AO$11,"",0,1)=1,"",_xlfn.XLOOKUP('T PC'!C27,"Licence n° "&amp;PC!$B$6:$B$11,PC!$S$6:$S$11,"",0,1)))</f>
        <v/>
      </c>
      <c r="AN28" s="884"/>
      <c r="AO28" s="32"/>
      <c r="AP28" s="562" t="str" cm="1">
        <f t="array" ref="AP28">IF(OR(PC!AO4&lt;3,COUNT(PC!$A$6:$A$11)&lt;4),"",_xlfn.XLOOKUP(C27,"Licence n° "&amp;PC!$B$6:$B$11,PC!$X$6:$X$11,"",0,1))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IF(PC!AO4=2,"",IF(COUNT(PC!A6:A11)&gt;4,CONCATENATE(PC!C10," ",LEFT(PC!E10),"."),""))</f>
        <v/>
      </c>
      <c r="D30" s="32"/>
      <c r="E30" s="882" t="str">
        <f>IF(PC!$AO$4=2,"",IF(AND(COUNT(PC!$A$6:$A$11)&gt;2,PC!$CF30="P"),PC!$CC30,""))</f>
        <v/>
      </c>
      <c r="F30" s="882"/>
      <c r="G30" s="882" t="str">
        <f>IF(PC!$AO$4=2,"",IF(AND(COUNT(PC!$A$6:$A$11)&gt;2,PC!$CF30="P"),PC!$CE30,""))</f>
        <v/>
      </c>
      <c r="H30" s="882"/>
      <c r="I30" s="142"/>
      <c r="J30" s="882" t="str">
        <f>IF(PC!$AO$4=2,"",IF(AND(COUNT(PC!$A$6:$A$11)&gt;2,PC!$CF29="P"),PC!$CC29,""))</f>
        <v/>
      </c>
      <c r="K30" s="882"/>
      <c r="L30" s="882" t="str">
        <f>IF(PC!$AO$4=2,"",IF(AND(COUNT(PC!$A$6:$A$11)&gt;2,PC!$CF29="P"),PC!$CE29,""))</f>
        <v/>
      </c>
      <c r="M30" s="882"/>
      <c r="N30" s="142"/>
      <c r="O30" s="882" t="str">
        <f>IF(PC!$AO$4=2,"",IF(AND(COUNT(PC!$A$6:$A$11)&gt;2,PC!$CF28="P"),PC!$CC28,""))</f>
        <v/>
      </c>
      <c r="P30" s="882"/>
      <c r="Q30" s="882" t="str">
        <f>IF(PC!$AO$4=2,"",IF(AND(COUNT(PC!$A$6:$A$11)&gt;2,PC!$CF28="P"),PC!$CE28,""))</f>
        <v/>
      </c>
      <c r="R30" s="882"/>
      <c r="S30" s="142"/>
      <c r="T30" s="882" t="str">
        <f>IF(PC!$AO$4=2,"",IF(AND(COUNT(PC!$A$6:$A$11)&gt;2,PC!$CF27="P"),PC!$CC27,""))</f>
        <v/>
      </c>
      <c r="U30" s="882"/>
      <c r="V30" s="882" t="str">
        <f>IF(PC!$AO$4=2,"",IF(AND(COUNT(PC!$A$6:$A$11)&gt;2,PC!$CF27="P"),PC!$CE27,""))</f>
        <v/>
      </c>
      <c r="W30" s="882"/>
      <c r="X30" s="32"/>
      <c r="Y30" s="887" t="str">
        <f>IF(PC!W35="NON",AG1,IF(PC!AO4=2,"",IF(COUNT(PC!A6:A11)&gt;4,_xlfn.XLOOKUP('T PC'!C33,'LOGOS CLUBS'!$B$2:$B$65,'LOGOS CLUBS'!$C$2:$C$65,C33,0,1),"")))</f>
        <v/>
      </c>
      <c r="Z30" s="887"/>
      <c r="AA30" s="887"/>
      <c r="AB30" s="887"/>
      <c r="AC30" s="32"/>
      <c r="AD30" s="882" t="str">
        <f>IF(PC!$AO$4=2,"",IF(AND(COUNT(PC!$A$6:$A$11)&gt;2,PC!$CF26="P"),PC!$CC26,""))</f>
        <v/>
      </c>
      <c r="AE30" s="882"/>
      <c r="AF30" s="882" t="str">
        <f>IF(PC!$AO$4=2,"",IF(AND(COUNT(PC!$A$6:$A$11)&gt;2,PC!$CF26="P"),PC!$CE26,""))</f>
        <v/>
      </c>
      <c r="AG30" s="882"/>
      <c r="AH30" s="32"/>
      <c r="AI30" s="32"/>
      <c r="AJ30" s="32"/>
      <c r="AK30" s="882" t="str" cm="1">
        <f t="array" ref="AK30">IF(PC!$AO$4&lt;3,"",IF(_xlfn.XLOOKUP('T PC'!C32,"Licence n° "&amp;PC!$B$6:$B$11,PC!$AO$6:$AO$11,"",0,1)=1,"",_xlfn.XLOOKUP('T PC'!C32,"Licence n° "&amp;PC!$B$6:$B$11,PC!$V$6:$V$11,"",0,1)))</f>
        <v/>
      </c>
      <c r="AL30" s="882"/>
      <c r="AM30" s="879" t="str" cm="1">
        <f t="array" ref="AM30">IF(PC!$AO$4&lt;3,"",IF(_xlfn.XLOOKUP('T PC'!C32,"Licence n° "&amp;PC!$B$6:$B$11,PC!$AO$6:$AO$11,"",0,1)=1,"",_xlfn.XLOOKUP('T PC'!C32,"Licence n° "&amp;PC!$B$6:$B$11,PC!$T$6:$T$11,"",0,1)))</f>
        <v/>
      </c>
      <c r="AN30" s="879"/>
      <c r="AO30" s="32"/>
      <c r="AP30" s="561" t="str" cm="1">
        <f t="array" ref="AP30">_xlfn.XLOOKUP(C32,"Licence n° "&amp;PC!$B$6:$B$11,PC!$W$6:$W$11,"",0,1)</f>
        <v/>
      </c>
      <c r="AQ30" s="32"/>
      <c r="AS30" s="830" t="s">
        <v>8120</v>
      </c>
      <c r="AT30" s="32"/>
    </row>
    <row r="31" spans="1:52" ht="12.6" customHeight="1" x14ac:dyDescent="0.25">
      <c r="A31" s="32"/>
      <c r="B31" s="32"/>
      <c r="C31" s="143" t="str">
        <f>IF(PC!$AO$4=2,"",IF(COUNT(PC!$A$6:$A$11)&gt;4,PC!$K10&amp;" - "&amp;PC!$AS10," "))</f>
        <v xml:space="preserve"> </v>
      </c>
      <c r="D31" s="32"/>
      <c r="E31" s="144" t="str">
        <f>IF(F31="","","Pts")</f>
        <v/>
      </c>
      <c r="F31" s="880" t="str">
        <f>IF(PC!$AO$4=2,"",IF(AND(COUNT(PC!$A$6:$A$11)&gt;2,PC!$CF30="P"),PC!$CG30,""))</f>
        <v/>
      </c>
      <c r="G31" s="880"/>
      <c r="H31" s="144" t="str">
        <f>IF(F31="","","Rep.")</f>
        <v/>
      </c>
      <c r="I31" s="144"/>
      <c r="J31" s="144" t="str">
        <f>IF(K31="","","Pts")</f>
        <v/>
      </c>
      <c r="K31" s="880" t="str">
        <f>IF(PC!$AO$4=2,"",IF(AND(COUNT(PC!$A$6:$A$11)&gt;2,PC!$CF29="P"),PC!$CG29,""))</f>
        <v/>
      </c>
      <c r="L31" s="880"/>
      <c r="M31" s="144" t="str">
        <f>IF(K31="","","Rep.")</f>
        <v/>
      </c>
      <c r="N31" s="144"/>
      <c r="O31" s="144" t="str">
        <f>IF(P31="","","Pts")</f>
        <v/>
      </c>
      <c r="P31" s="880" t="str">
        <f>IF(PC!$AO$4=2,"",IF(AND(COUNT(PC!$A$6:$A$11)&gt;2,PC!$CF28="P"),PC!$CG28,""))</f>
        <v/>
      </c>
      <c r="Q31" s="880"/>
      <c r="R31" s="144" t="str">
        <f>IF(P31="","","Rep.")</f>
        <v/>
      </c>
      <c r="S31" s="144"/>
      <c r="T31" s="144" t="str">
        <f>IF(U31="","","Pts")</f>
        <v/>
      </c>
      <c r="U31" s="880" t="str">
        <f>IF(PC!$AO$4=2,"",IF(AND(COUNT(PC!$A$6:$A$11)&gt;2,PC!$CF27="P"),PC!$CG27,""))</f>
        <v/>
      </c>
      <c r="V31" s="880"/>
      <c r="W31" s="144" t="str">
        <f>IF(U31="","","Rep.")</f>
        <v/>
      </c>
      <c r="X31" s="32"/>
      <c r="Y31" s="887"/>
      <c r="Z31" s="887"/>
      <c r="AA31" s="887"/>
      <c r="AB31" s="887"/>
      <c r="AC31" s="32"/>
      <c r="AD31" s="144" t="str">
        <f>IF(AE31="","","Pts")</f>
        <v/>
      </c>
      <c r="AE31" s="880" t="str">
        <f>IF(PC!$AO$4=2,"",IF(AND(COUNT(PC!$A$6:$A$11)&gt;2,PC!$CF26="P"),PC!$CG26,""))</f>
        <v/>
      </c>
      <c r="AF31" s="880"/>
      <c r="AG31" s="144" t="str">
        <f>IF(AE31="","","Rep.")</f>
        <v/>
      </c>
      <c r="AH31" s="32"/>
      <c r="AI31" s="32"/>
      <c r="AJ31" s="32"/>
      <c r="AK31" s="145" t="str">
        <f>IF(AL31="","","PM")</f>
        <v/>
      </c>
      <c r="AL31" s="881" t="str" cm="1">
        <f t="array" ref="AL31">IF(SUM(PC!$Q$6:$Q$11)=0,"",IF(PC!$AO$4&gt;2,IF(_xlfn.XLOOKUP('T PC'!C32,"Licence n° "&amp;PC!$B$6:$B$11,PC!$AO$6:$AO$11,"",0,1)=1,"Forfait",_xlfn.XLOOKUP('T PC'!C32,"Licence n° "&amp;PC!$B$37:$B$42,PC!$Q$37:$Q$42,"",0,1)),""))</f>
        <v/>
      </c>
      <c r="AM31" s="881"/>
      <c r="AN31" s="145" t="str">
        <f>IF(AL31="","","MGP")</f>
        <v/>
      </c>
      <c r="AO31" s="32"/>
      <c r="AP31" s="151" t="str">
        <f>IF(AND(COUNT(PC!$A$6:$A$11)&gt;4,PC!$AO$4&gt;2,LEFT(PC!$F$13)="P"),"Pts Rk","")</f>
        <v/>
      </c>
      <c r="AQ31" s="32"/>
      <c r="AS31" s="830"/>
      <c r="AT31" s="32"/>
    </row>
    <row r="32" spans="1:52" ht="12.6" customHeight="1" x14ac:dyDescent="0.25">
      <c r="A32" s="32"/>
      <c r="B32" s="32"/>
      <c r="C32" s="147" t="str">
        <f>IF(PC!AO4=2,"",IF(COUNT(PC!A6:A11)&gt;4,"Licence n° "&amp;PC!B10," "))</f>
        <v xml:space="preserve">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IF(AND(COUNT(PC!$A$6:$A$11)&gt;4,PC!$AO$4&gt;2,LEFT(PC!$F$13)="P"),"Bonus","")</f>
        <v/>
      </c>
      <c r="AQ32" s="32"/>
      <c r="AS32" s="831" t="s">
        <v>8121</v>
      </c>
      <c r="AT32" s="32"/>
    </row>
    <row r="33" spans="1:46" ht="50.1" customHeight="1" x14ac:dyDescent="0.25">
      <c r="A33" s="32"/>
      <c r="B33" s="32"/>
      <c r="C33" s="149" t="str">
        <f>IF(PC!AO4=2,"",IF(COUNT(PC!A6:A11)&gt;4,PC!G10," "))</f>
        <v xml:space="preserve"> </v>
      </c>
      <c r="D33" s="32"/>
      <c r="E33" s="883" t="str">
        <f>IF(F31="","",IF(F31&gt;0,E30/G30,"/"))</f>
        <v/>
      </c>
      <c r="F33" s="883"/>
      <c r="G33" s="884" t="str">
        <f>IF(PC!$AO$4=2,"",IF(AND(COUNT(PC!$A$6:$A$11)&gt;2,PC!$CF30="P"),PC!$CD30,""))</f>
        <v/>
      </c>
      <c r="H33" s="884"/>
      <c r="I33" s="32"/>
      <c r="J33" s="883" t="str">
        <f>IF(K31="","",IF(K31&gt;0,J30/L30,"/"))</f>
        <v/>
      </c>
      <c r="K33" s="883"/>
      <c r="L33" s="884" t="str">
        <f>IF(PC!$AO$4=2,"",IF(AND(COUNT(PC!$A$6:$A$11)&gt;2,PC!$CF29="P"),PC!$CD29,""))</f>
        <v/>
      </c>
      <c r="M33" s="884"/>
      <c r="N33" s="32"/>
      <c r="O33" s="883" t="str">
        <f>IF(P31="","",IF(P31&gt;0,O30/Q30,"/"))</f>
        <v/>
      </c>
      <c r="P33" s="883"/>
      <c r="Q33" s="884" t="str">
        <f>IF(PC!$AO$4=2,"",IF(AND(COUNT(PC!$A$6:$A$11)&gt;2,PC!$CF28="P"),PC!$CD28,""))</f>
        <v/>
      </c>
      <c r="R33" s="884"/>
      <c r="S33" s="32"/>
      <c r="T33" s="883" t="str">
        <f>IF(U31="","",IF(U31&gt;0,T30/V30,"/"))</f>
        <v/>
      </c>
      <c r="U33" s="883"/>
      <c r="V33" s="884" t="str">
        <f>IF(PC!$AO$4=2,"",IF(AND(COUNT(PC!$A$6:$A$11)&gt;2,PC!$CF27="P"),PC!$CD27,""))</f>
        <v/>
      </c>
      <c r="W33" s="884"/>
      <c r="X33" s="32"/>
      <c r="Y33" s="887"/>
      <c r="Z33" s="887"/>
      <c r="AA33" s="887"/>
      <c r="AB33" s="887"/>
      <c r="AC33" s="32"/>
      <c r="AD33" s="883" t="str">
        <f>IF(AE31="","",IF(AE31&gt;0,AD30/AF30,"/"))</f>
        <v/>
      </c>
      <c r="AE33" s="883"/>
      <c r="AF33" s="884" t="str">
        <f>IF(PC!$AO$4=2,"",IF(AND(COUNT(PC!$A$6:$A$11)&gt;2,PC!$CF26="P"),PC!$CD26,""))</f>
        <v/>
      </c>
      <c r="AG33" s="884"/>
      <c r="AH33" s="32"/>
      <c r="AI33" s="32"/>
      <c r="AJ33" s="32"/>
      <c r="AK33" s="883" t="str" cm="1">
        <f t="array" ref="AK33">IF(PC!$AO$4&lt;3,"",IF(_xlfn.XLOOKUP('T PC'!C32,"Licence n° "&amp;PC!$B$6:$B$11,PC!$AO$6:$AO$11,"",0,1)=1,"",_xlfn.XLOOKUP('T PC'!C32,"Licence n° "&amp;PC!$B$6:$B$11,PC!$U$6:$U$11,"",0,1)))</f>
        <v/>
      </c>
      <c r="AL33" s="883"/>
      <c r="AM33" s="884" t="str" cm="1">
        <f t="array" ref="AM33">IF(PC!$AO$4&lt;3,"",IF(_xlfn.XLOOKUP('T PC'!C32,"Licence n° "&amp;PC!$B$6:$B$11,PC!$AO$6:$AO$11,"",0,1)=1,"",_xlfn.XLOOKUP('T PC'!C32,"Licence n° "&amp;PC!$B$6:$B$11,PC!$S$6:$S$11,"",0,1)))</f>
        <v/>
      </c>
      <c r="AN33" s="884"/>
      <c r="AO33" s="32"/>
      <c r="AP33" s="562" t="str" cm="1">
        <f t="array" ref="AP33">_xlfn.XLOOKUP(C32,"Licence n° "&amp;PC!$B$6:$B$11,PC!$X$6:$X$11,"",0,1)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IF(PC!AO4=2,"",IF(COUNT(PC!A6:A11)&gt;5,CONCATENATE(PC!C11," ",LEFT(PC!E11),"."),""))</f>
        <v/>
      </c>
      <c r="D35" s="32"/>
      <c r="E35" s="882" t="str">
        <f>IF(PC!$AO$4=2,"",IF(AND(COUNT(PC!$A$6:$A$11)&gt;2,PC!$CF35="P"),PC!$CC35,""))</f>
        <v/>
      </c>
      <c r="F35" s="882"/>
      <c r="G35" s="882" t="str">
        <f>IF(PC!$AO$4=2,"",IF(AND(COUNT(PC!$A$6:$A$11)&gt;2,PC!$CF35="P"),PC!$CE35,""))</f>
        <v/>
      </c>
      <c r="H35" s="882"/>
      <c r="I35" s="142"/>
      <c r="J35" s="882" t="str">
        <f>IF(PC!$AO$4=2,"",IF(AND(COUNT(PC!$A$6:$A$11)&gt;2,PC!$CF34="P"),PC!$CC34,""))</f>
        <v/>
      </c>
      <c r="K35" s="882"/>
      <c r="L35" s="882" t="str">
        <f>IF(PC!$AO$4=2,"",IF(AND(COUNT(PC!$A$6:$A$11)&gt;2,PC!$CF34="P"),PC!$CE34,""))</f>
        <v/>
      </c>
      <c r="M35" s="882"/>
      <c r="N35" s="142"/>
      <c r="O35" s="882" t="str">
        <f>IF(PC!$AO$4=2,"",IF(AND(COUNT(PC!$A$6:$A$11)&gt;2,PC!$CF33="P"),PC!$CC33,""))</f>
        <v/>
      </c>
      <c r="P35" s="882"/>
      <c r="Q35" s="882" t="str">
        <f>IF(PC!$AO$4=2,"",IF(AND(COUNT(PC!$A$6:$A$11)&gt;2,PC!$CF33="P"),PC!$CE33,""))</f>
        <v/>
      </c>
      <c r="R35" s="882"/>
      <c r="S35" s="142"/>
      <c r="T35" s="882" t="str">
        <f>IF(PC!$AO$4=2,"",IF(AND(COUNT(PC!$A$6:$A$11)&gt;2,PC!$CF32="P"),PC!$CC32,""))</f>
        <v/>
      </c>
      <c r="U35" s="882"/>
      <c r="V35" s="882" t="str">
        <f>IF(PC!$AO$4=2,"",IF(AND(COUNT(PC!$A$6:$A$11)&gt;2,PC!$CF32="P"),PC!$CE32,""))</f>
        <v/>
      </c>
      <c r="W35" s="882"/>
      <c r="X35" s="142"/>
      <c r="Y35" s="882" t="str">
        <f>IF(PC!$AO$4=2,"",IF(AND(COUNT(PC!$A$6:$A$11)&gt;2,PC!$CF31="P"),PC!$CC31,""))</f>
        <v/>
      </c>
      <c r="Z35" s="882"/>
      <c r="AA35" s="882" t="str">
        <f>IF(PC!$AO$4=2,"",IF(AND(COUNT(PC!$A$6:$A$11)&gt;2,PC!$CF31="P"),PC!$CE31,""))</f>
        <v/>
      </c>
      <c r="AB35" s="882"/>
      <c r="AC35" s="32"/>
      <c r="AD35" s="885" t="str">
        <f>IF(PC!W35="NON",AG1,IF(PC!AO4=2,"",IF(COUNT(PC!A6:A11)&gt;5,_xlfn.XLOOKUP('T PC'!C38,'LOGOS CLUBS'!$B$2:$B$65,'LOGOS CLUBS'!$C$2:$C$65,C38,0,1),"")))</f>
        <v/>
      </c>
      <c r="AE35" s="885"/>
      <c r="AF35" s="885"/>
      <c r="AG35" s="885"/>
      <c r="AH35" s="32"/>
      <c r="AI35" s="32"/>
      <c r="AJ35" s="32"/>
      <c r="AK35" s="882" t="str" cm="1">
        <f t="array" ref="AK35">IF(PC!$AO$4&lt;3,"",IF(_xlfn.XLOOKUP('T PC'!C37,"Licence n° "&amp;PC!$B$6:$B$11,PC!$AO$6:$AO$11,"",0,1)=1,"",_xlfn.XLOOKUP('T PC'!C37,"Licence n° "&amp;PC!$B$6:$B$11,PC!$V$6:$V$11,"",0,1)))</f>
        <v/>
      </c>
      <c r="AL35" s="882"/>
      <c r="AM35" s="879" t="str" cm="1">
        <f t="array" ref="AM35">IF(PC!$AO$4&lt;3,"",IF(_xlfn.XLOOKUP('T PC'!C37,"Licence n° "&amp;PC!$B$6:$B$11,PC!$AO$6:$AO$11,"",0,1)=1,"",_xlfn.XLOOKUP('T PC'!C37,"Licence n° "&amp;PC!$B$6:$B$11,PC!$T$6:$T$11,"",0,1)))</f>
        <v/>
      </c>
      <c r="AN35" s="879"/>
      <c r="AO35" s="32"/>
      <c r="AP35" s="561" t="str" cm="1">
        <f t="array" ref="AP35">_xlfn.XLOOKUP(C37,"Licence n° "&amp;PC!$B$6:$B$11,PC!$W$6:$W$11,"",0,1)</f>
        <v/>
      </c>
      <c r="AQ35" s="32"/>
      <c r="AS35" s="832" t="s">
        <v>8124</v>
      </c>
      <c r="AT35" s="32"/>
    </row>
    <row r="36" spans="1:46" ht="12.6" customHeight="1" x14ac:dyDescent="0.25">
      <c r="A36" s="32"/>
      <c r="B36" s="32"/>
      <c r="C36" s="143" t="str">
        <f>IF(PC!$AO$4=2,"",IF(COUNT(PC!$A$6:$A$11)&gt;5,PC!$K11&amp;" - "&amp;PC!$AS11," "))</f>
        <v xml:space="preserve"> </v>
      </c>
      <c r="D36" s="32"/>
      <c r="E36" s="144" t="str">
        <f>IF(F36="","","Pts")</f>
        <v/>
      </c>
      <c r="F36" s="880" t="str">
        <f>IF(PC!$AO$4=2,"",IF(AND(COUNT(PC!$A$6:$A$11)&gt;2,PC!$CF35="P"),PC!$CG35,""))</f>
        <v/>
      </c>
      <c r="G36" s="880"/>
      <c r="H36" s="144" t="str">
        <f>IF(F36="","","Rep.")</f>
        <v/>
      </c>
      <c r="I36" s="144"/>
      <c r="J36" s="144" t="str">
        <f>IF(K36="","","Pts")</f>
        <v/>
      </c>
      <c r="K36" s="880" t="str">
        <f>IF(PC!$AO$4=2,"",IF(AND(COUNT(PC!$A$6:$A$11)&gt;2,PC!$CF34="P"),PC!$CG34,""))</f>
        <v/>
      </c>
      <c r="L36" s="880"/>
      <c r="M36" s="144" t="str">
        <f>IF(K36="","","Rep.")</f>
        <v/>
      </c>
      <c r="N36" s="144"/>
      <c r="O36" s="144" t="str">
        <f>IF(P36="","","Pts")</f>
        <v/>
      </c>
      <c r="P36" s="880" t="str">
        <f>IF(PC!$AO$4=2,"",IF(AND(COUNT(PC!$A$6:$A$11)&gt;2,PC!$CF33="P"),PC!$CG33,""))</f>
        <v/>
      </c>
      <c r="Q36" s="880"/>
      <c r="R36" s="144" t="str">
        <f>IF(P36="","","Rep.")</f>
        <v/>
      </c>
      <c r="S36" s="144"/>
      <c r="T36" s="144" t="str">
        <f>IF(U36="","","Pts")</f>
        <v/>
      </c>
      <c r="U36" s="880" t="str">
        <f>IF(PC!$AO$4=2,"",IF(AND(COUNT(PC!$A$6:$A$11)&gt;2,PC!$CF32="P"),PC!$CG32,""))</f>
        <v/>
      </c>
      <c r="V36" s="880"/>
      <c r="W36" s="144" t="str">
        <f>IF(U36="","","Rep.")</f>
        <v/>
      </c>
      <c r="X36" s="144"/>
      <c r="Y36" s="144" t="str">
        <f>IF(Z36="","","Pts")</f>
        <v/>
      </c>
      <c r="Z36" s="880" t="str">
        <f>IF(PC!$AO$4=2,"",IF(AND(COUNT(PC!$A$6:$A$11)&gt;2,PC!$CF31="P"),PC!$CG31,""))</f>
        <v/>
      </c>
      <c r="AA36" s="880"/>
      <c r="AB36" s="144" t="str">
        <f>IF(Z36="","","Rep.")</f>
        <v/>
      </c>
      <c r="AC36" s="32"/>
      <c r="AD36" s="885"/>
      <c r="AE36" s="885"/>
      <c r="AF36" s="885"/>
      <c r="AG36" s="885"/>
      <c r="AH36" s="32"/>
      <c r="AI36" s="32"/>
      <c r="AJ36" s="32"/>
      <c r="AK36" s="145" t="str">
        <f>IF(AL36="","","PM")</f>
        <v/>
      </c>
      <c r="AL36" s="881" t="str" cm="1">
        <f t="array" ref="AL36">IF(SUM(PC!$Q$6:$Q$11)=0,"",IF(PC!$AO$4&gt;2,IF(_xlfn.XLOOKUP('T PC'!C37,"Licence n° "&amp;PC!$B$6:$B$11,PC!$AO$6:$AO$11,"",0,1)=1,"Forfait",_xlfn.XLOOKUP('T PC'!C37,"Licence n° "&amp;PC!$B$37:$B$42,PC!$Q$37:$Q$42,"",0,1)),""))</f>
        <v/>
      </c>
      <c r="AM36" s="881"/>
      <c r="AN36" s="145" t="str">
        <f>IF(AL36="","","MGP")</f>
        <v/>
      </c>
      <c r="AO36" s="32"/>
      <c r="AP36" s="151" t="str">
        <f>IF(AND(COUNT(PC!$A$6:$A$11)&gt;5,PC!$AO$4&gt;2,LEFT(PC!$F$13)="P"),"Pts Rk","")</f>
        <v/>
      </c>
      <c r="AQ36" s="32"/>
      <c r="AS36" s="832"/>
      <c r="AT36" s="32"/>
    </row>
    <row r="37" spans="1:46" ht="12.6" customHeight="1" x14ac:dyDescent="0.25">
      <c r="A37" s="32"/>
      <c r="B37" s="32"/>
      <c r="C37" s="147" t="str">
        <f>IF(PC!AO4=2,"",IF(COUNT(PC!A6:A11)&gt;5,"Licence n° "&amp;PC!B11," "))</f>
        <v xml:space="preserve">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IF(AND(COUNT(PC!$A$6:$A$11)&gt;5,PC!$AO$4&gt;2,LEFT(PC!$F$13)="P"),"Bonus","")</f>
        <v/>
      </c>
      <c r="AQ37" s="32"/>
      <c r="AS37" s="833" t="s">
        <v>8125</v>
      </c>
      <c r="AT37" s="32"/>
    </row>
    <row r="38" spans="1:46" ht="50.1" customHeight="1" thickBot="1" x14ac:dyDescent="0.3">
      <c r="A38" s="32"/>
      <c r="B38" s="32"/>
      <c r="C38" s="149" t="str">
        <f>IF(PC!AO4=2,"",IF(COUNT(PC!A6:A11)&gt;5,PC!G11," "))</f>
        <v xml:space="preserve"> </v>
      </c>
      <c r="D38" s="32"/>
      <c r="E38" s="883" t="str">
        <f>IF(F36="","",IF(F36&gt;0,E35/G35,"/"))</f>
        <v/>
      </c>
      <c r="F38" s="883"/>
      <c r="G38" s="884" t="str">
        <f>IF(PC!$AO$4=2,"",IF(AND(COUNT(PC!$A$6:$A$11)&gt;2,PC!$CF35="P"),PC!$CD35,""))</f>
        <v/>
      </c>
      <c r="H38" s="884"/>
      <c r="I38" s="32"/>
      <c r="J38" s="883" t="str">
        <f>IF(K36="","",IF(K36&gt;0,J35/L35,"/"))</f>
        <v/>
      </c>
      <c r="K38" s="883"/>
      <c r="L38" s="884" t="str">
        <f>IF(PC!$AO$4=2,"",IF(AND(COUNT(PC!$A$6:$A$11)&gt;2,PC!$CF34="P"),PC!$CD34,""))</f>
        <v/>
      </c>
      <c r="M38" s="884"/>
      <c r="N38" s="32"/>
      <c r="O38" s="883" t="str">
        <f>IF(P36="","",IF(P36&gt;0,O35/Q35,"/"))</f>
        <v/>
      </c>
      <c r="P38" s="883"/>
      <c r="Q38" s="884" t="str">
        <f>IF(PC!$AO$4=2,"",IF(AND(COUNT(PC!$A$6:$A$11)&gt;2,PC!$CF33="P"),PC!$CD33,""))</f>
        <v/>
      </c>
      <c r="R38" s="884"/>
      <c r="S38" s="32"/>
      <c r="T38" s="883" t="str">
        <f>IF(U36="","",IF(U36&gt;0,T35/V35,"/"))</f>
        <v/>
      </c>
      <c r="U38" s="883"/>
      <c r="V38" s="884" t="str">
        <f>IF(PC!$AO$4=2,"",IF(AND(COUNT(PC!$A$6:$A$11)&gt;2,PC!$CF32="P"),PC!$CD32,""))</f>
        <v/>
      </c>
      <c r="W38" s="884"/>
      <c r="X38" s="32"/>
      <c r="Y38" s="883" t="str">
        <f>IF(Z36="","",IF(Z36&gt;0,Y35/AA35,"/"))</f>
        <v/>
      </c>
      <c r="Z38" s="883"/>
      <c r="AA38" s="884" t="str">
        <f>IF(PC!$AO$4=2,"",IF(AND(COUNT(PC!$A$6:$A$11)&gt;2,PC!$CF31="P"),PC!$CD31,""))</f>
        <v/>
      </c>
      <c r="AB38" s="884"/>
      <c r="AC38" s="32"/>
      <c r="AD38" s="885"/>
      <c r="AE38" s="885"/>
      <c r="AF38" s="885"/>
      <c r="AG38" s="885"/>
      <c r="AH38" s="32"/>
      <c r="AI38" s="32"/>
      <c r="AJ38" s="32"/>
      <c r="AK38" s="883" t="str" cm="1">
        <f t="array" ref="AK38">IF(PC!$AO$4&lt;3,"",IF(_xlfn.XLOOKUP('T PC'!C37,"Licence n° "&amp;PC!$B$6:$B$11,PC!$AO$6:$AO$11,"",0,1)=1,"",_xlfn.XLOOKUP('T PC'!C37,"Licence n° "&amp;PC!$B$6:$B$11,PC!$U$6:$U$11,"",0,1)))</f>
        <v/>
      </c>
      <c r="AL38" s="883"/>
      <c r="AM38" s="884" t="str" cm="1">
        <f t="array" ref="AM38">IF(PC!$AO$4&lt;3,"",IF(_xlfn.XLOOKUP('T PC'!C37,"Licence n° "&amp;PC!$B$6:$B$11,PC!$AO$6:$AO$11,"",0,1)=1,"",_xlfn.XLOOKUP('T PC'!C37,"Licence n° "&amp;PC!$B$6:$B$11,PC!$S$6:$S$11,"",0,1)))</f>
        <v/>
      </c>
      <c r="AN38" s="884"/>
      <c r="AO38" s="32"/>
      <c r="AP38" s="562" t="str" cm="1">
        <f t="array" ref="AP38">_xlfn.XLOOKUP(C37,"Licence n° "&amp;PC!$B$6:$B$11,PC!$X$6:$X$11,"",0,1)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CTIPjpb7ewSwIjcHMAAxewKKGGTueB1mNcm/EY3yYPcfNYFKAZkKRVHVlhRQQd8n5v1PPRFyh3YArHo6s2L1g==" saltValue="Y/GJqmJ0jFLgTvN1f6Ct2Q=="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779" priority="130">
      <formula>F16=0</formula>
    </cfRule>
    <cfRule type="expression" dxfId="1778" priority="129">
      <formula>F16=1</formula>
    </cfRule>
    <cfRule type="expression" dxfId="1777" priority="128">
      <formula>F16=2</formula>
    </cfRule>
  </conditionalFormatting>
  <conditionalFormatting sqref="F21">
    <cfRule type="expression" dxfId="1776" priority="113">
      <formula>F21=2</formula>
    </cfRule>
    <cfRule type="expression" dxfId="1775" priority="114">
      <formula>F21=1</formula>
    </cfRule>
    <cfRule type="expression" dxfId="1774" priority="115">
      <formula>F21=0</formula>
    </cfRule>
  </conditionalFormatting>
  <conditionalFormatting sqref="F26">
    <cfRule type="expression" dxfId="1773" priority="98">
      <formula>F26=2</formula>
    </cfRule>
    <cfRule type="expression" dxfId="1772" priority="99">
      <formula>F26=1</formula>
    </cfRule>
    <cfRule type="expression" dxfId="1771" priority="100">
      <formula>F26=0</formula>
    </cfRule>
  </conditionalFormatting>
  <conditionalFormatting sqref="F31">
    <cfRule type="expression" dxfId="1770" priority="83">
      <formula>F31=2</formula>
    </cfRule>
    <cfRule type="expression" dxfId="1769" priority="84">
      <formula>F31=1</formula>
    </cfRule>
    <cfRule type="expression" dxfId="1768" priority="85">
      <formula>F31=0</formula>
    </cfRule>
  </conditionalFormatting>
  <conditionalFormatting sqref="F36">
    <cfRule type="expression" dxfId="1767" priority="70">
      <formula>F36=0</formula>
    </cfRule>
    <cfRule type="expression" dxfId="1766" priority="69">
      <formula>F36=1</formula>
    </cfRule>
    <cfRule type="expression" dxfId="1765" priority="68">
      <formula>F36=2</formula>
    </cfRule>
  </conditionalFormatting>
  <conditionalFormatting sqref="J15:M18">
    <cfRule type="expression" dxfId="1756" priority="147">
      <formula>$J$15="MATCH 1"</formula>
    </cfRule>
  </conditionalFormatting>
  <conditionalFormatting sqref="K21">
    <cfRule type="expression" dxfId="1755" priority="110">
      <formula>K21=2</formula>
    </cfRule>
    <cfRule type="expression" dxfId="1754" priority="111">
      <formula>K21=1</formula>
    </cfRule>
    <cfRule type="expression" dxfId="1753" priority="112">
      <formula>K21=0</formula>
    </cfRule>
  </conditionalFormatting>
  <conditionalFormatting sqref="K26">
    <cfRule type="expression" dxfId="1752" priority="97">
      <formula>K26=0</formula>
    </cfRule>
    <cfRule type="expression" dxfId="1751" priority="96">
      <formula>K26=1</formula>
    </cfRule>
    <cfRule type="expression" dxfId="1750" priority="95">
      <formula>K26=2</formula>
    </cfRule>
  </conditionalFormatting>
  <conditionalFormatting sqref="K31">
    <cfRule type="expression" dxfId="1749" priority="82">
      <formula>K31=0</formula>
    </cfRule>
    <cfRule type="expression" dxfId="1748" priority="80">
      <formula>K31=2</formula>
    </cfRule>
    <cfRule type="expression" dxfId="1747" priority="81">
      <formula>K31=1</formula>
    </cfRule>
  </conditionalFormatting>
  <conditionalFormatting sqref="K36">
    <cfRule type="expression" dxfId="1746" priority="65">
      <formula>K36=2</formula>
    </cfRule>
    <cfRule type="expression" dxfId="1745" priority="66">
      <formula>K36=1</formula>
    </cfRule>
    <cfRule type="expression" dxfId="1744" priority="67">
      <formula>K36=0</formula>
    </cfRule>
  </conditionalFormatting>
  <conditionalFormatting sqref="K11:L12">
    <cfRule type="expression" dxfId="1743" priority="143">
      <formula>K11=2</formula>
    </cfRule>
    <cfRule type="expression" dxfId="1742" priority="144">
      <formula>K11=1</formula>
    </cfRule>
    <cfRule type="expression" dxfId="1741" priority="145">
      <formula>K11=0</formula>
    </cfRule>
  </conditionalFormatting>
  <conditionalFormatting sqref="O20:R23">
    <cfRule type="expression" dxfId="1734" priority="146">
      <formula>$O$20="MATCH 2"</formula>
    </cfRule>
  </conditionalFormatting>
  <conditionalFormatting sqref="P11">
    <cfRule type="expression" dxfId="1733" priority="140">
      <formula>P11=2</formula>
    </cfRule>
    <cfRule type="expression" dxfId="1732" priority="141">
      <formula>P11=1</formula>
    </cfRule>
    <cfRule type="expression" dxfId="1731" priority="142">
      <formula>P11=0</formula>
    </cfRule>
  </conditionalFormatting>
  <conditionalFormatting sqref="P16">
    <cfRule type="expression" dxfId="1730" priority="125">
      <formula>P16=2</formula>
    </cfRule>
    <cfRule type="expression" dxfId="1729" priority="127">
      <formula>P16=0</formula>
    </cfRule>
    <cfRule type="expression" dxfId="1728" priority="126">
      <formula>P16=1</formula>
    </cfRule>
  </conditionalFormatting>
  <conditionalFormatting sqref="P26">
    <cfRule type="expression" dxfId="1727" priority="93">
      <formula>P26=1</formula>
    </cfRule>
    <cfRule type="expression" dxfId="1726" priority="92">
      <formula>P26=2</formula>
    </cfRule>
    <cfRule type="expression" dxfId="1725" priority="94">
      <formula>P26=0</formula>
    </cfRule>
  </conditionalFormatting>
  <conditionalFormatting sqref="P31">
    <cfRule type="expression" dxfId="1724" priority="77">
      <formula>P31=2</formula>
    </cfRule>
    <cfRule type="expression" dxfId="1723" priority="78">
      <formula>P31=1</formula>
    </cfRule>
    <cfRule type="expression" dxfId="1722" priority="79">
      <formula>P31=0</formula>
    </cfRule>
  </conditionalFormatting>
  <conditionalFormatting sqref="P36">
    <cfRule type="expression" dxfId="1721" priority="64">
      <formula>P36=0</formula>
    </cfRule>
    <cfRule type="expression" dxfId="1720" priority="63">
      <formula>P36=1</formula>
    </cfRule>
    <cfRule type="expression" dxfId="1719" priority="62">
      <formula>P36=2</formula>
    </cfRule>
  </conditionalFormatting>
  <conditionalFormatting sqref="U11">
    <cfRule type="expression" dxfId="1718" priority="138">
      <formula>U11=1</formula>
    </cfRule>
    <cfRule type="expression" dxfId="1717" priority="139">
      <formula>U11=0</formula>
    </cfRule>
    <cfRule type="expression" dxfId="1716" priority="137">
      <formula>U11=2</formula>
    </cfRule>
  </conditionalFormatting>
  <conditionalFormatting sqref="U16">
    <cfRule type="expression" dxfId="1715" priority="123">
      <formula>U16=1</formula>
    </cfRule>
    <cfRule type="expression" dxfId="1714" priority="122">
      <formula>U16=2</formula>
    </cfRule>
    <cfRule type="expression" dxfId="1713" priority="124">
      <formula>U16=0</formula>
    </cfRule>
  </conditionalFormatting>
  <conditionalFormatting sqref="U21">
    <cfRule type="expression" dxfId="1712" priority="108">
      <formula>U21=1</formula>
    </cfRule>
    <cfRule type="expression" dxfId="1711" priority="109">
      <formula>U21=0</formula>
    </cfRule>
    <cfRule type="expression" dxfId="1710" priority="107">
      <formula>U21=2</formula>
    </cfRule>
  </conditionalFormatting>
  <conditionalFormatting sqref="U31">
    <cfRule type="expression" dxfId="1709" priority="76">
      <formula>U31=0</formula>
    </cfRule>
    <cfRule type="expression" dxfId="1708" priority="75">
      <formula>U31=1</formula>
    </cfRule>
    <cfRule type="expression" dxfId="1707" priority="74">
      <formula>U31=2</formula>
    </cfRule>
  </conditionalFormatting>
  <conditionalFormatting sqref="U36">
    <cfRule type="expression" dxfId="1706" priority="61">
      <formula>U36=0</formula>
    </cfRule>
    <cfRule type="expression" dxfId="1705" priority="60">
      <formula>U36=1</formula>
    </cfRule>
    <cfRule type="expression" dxfId="1704" priority="59">
      <formula>U36=2</formula>
    </cfRule>
  </conditionalFormatting>
  <conditionalFormatting sqref="Z11">
    <cfRule type="expression" dxfId="1703" priority="134">
      <formula>Z11=2</formula>
    </cfRule>
    <cfRule type="expression" dxfId="1702" priority="136">
      <formula>Z11=0</formula>
    </cfRule>
    <cfRule type="expression" dxfId="1701" priority="135">
      <formula>Z11=1</formula>
    </cfRule>
  </conditionalFormatting>
  <conditionalFormatting sqref="Z16">
    <cfRule type="expression" dxfId="1700" priority="119">
      <formula>Z16=2</formula>
    </cfRule>
    <cfRule type="expression" dxfId="1699" priority="120">
      <formula>Z16=1</formula>
    </cfRule>
    <cfRule type="expression" dxfId="1698" priority="121">
      <formula>Z16=0</formula>
    </cfRule>
  </conditionalFormatting>
  <conditionalFormatting sqref="Z21">
    <cfRule type="expression" dxfId="1697" priority="104">
      <formula>Z21=2</formula>
    </cfRule>
    <cfRule type="expression" dxfId="1696" priority="105">
      <formula>Z21=1</formula>
    </cfRule>
    <cfRule type="expression" dxfId="1695" priority="106">
      <formula>Z21=0</formula>
    </cfRule>
  </conditionalFormatting>
  <conditionalFormatting sqref="Z26">
    <cfRule type="expression" dxfId="1694" priority="89">
      <formula>Z26=2</formula>
    </cfRule>
    <cfRule type="expression" dxfId="1693" priority="90">
      <formula>Z26=1</formula>
    </cfRule>
    <cfRule type="expression" dxfId="1692" priority="91">
      <formula>Z26=0</formula>
    </cfRule>
  </conditionalFormatting>
  <conditionalFormatting sqref="Z36">
    <cfRule type="expression" dxfId="1691" priority="57">
      <formula>Z36=1</formula>
    </cfRule>
    <cfRule type="expression" dxfId="1690" priority="56">
      <formula>Z36=2</formula>
    </cfRule>
    <cfRule type="expression" dxfId="1689" priority="58">
      <formula>Z36=0</formula>
    </cfRule>
  </conditionalFormatting>
  <conditionalFormatting sqref="AE11">
    <cfRule type="expression" dxfId="1684" priority="133">
      <formula>AE11=0</formula>
    </cfRule>
    <cfRule type="expression" dxfId="1683" priority="132">
      <formula>AE11=1</formula>
    </cfRule>
    <cfRule type="expression" dxfId="1682" priority="131">
      <formula>AE11=2</formula>
    </cfRule>
  </conditionalFormatting>
  <conditionalFormatting sqref="AE16">
    <cfRule type="expression" dxfId="1681" priority="118">
      <formula>AE16=0</formula>
    </cfRule>
    <cfRule type="expression" dxfId="1680" priority="117">
      <formula>AE16=1</formula>
    </cfRule>
    <cfRule type="expression" dxfId="1679" priority="116">
      <formula>AE16=2</formula>
    </cfRule>
  </conditionalFormatting>
  <conditionalFormatting sqref="AE21">
    <cfRule type="expression" dxfId="1678" priority="101">
      <formula>AE21=2</formula>
    </cfRule>
    <cfRule type="expression" dxfId="1677" priority="103">
      <formula>AE21=0</formula>
    </cfRule>
    <cfRule type="expression" dxfId="1676" priority="102">
      <formula>AE21=1</formula>
    </cfRule>
  </conditionalFormatting>
  <conditionalFormatting sqref="AE26">
    <cfRule type="expression" dxfId="1675" priority="87">
      <formula>AE26=1</formula>
    </cfRule>
    <cfRule type="expression" dxfId="1674" priority="86">
      <formula>AE26=2</formula>
    </cfRule>
    <cfRule type="expression" dxfId="1673" priority="88">
      <formula>AE26=0</formula>
    </cfRule>
  </conditionalFormatting>
  <conditionalFormatting sqref="AE31">
    <cfRule type="expression" dxfId="1672" priority="72">
      <formula>AE31=1</formula>
    </cfRule>
    <cfRule type="expression" dxfId="1671" priority="73">
      <formula>AE31=0</formula>
    </cfRule>
    <cfRule type="expression" dxfId="1670" priority="71">
      <formula>AE31=2</formula>
    </cfRule>
  </conditionalFormatting>
  <hyperlinks>
    <hyperlink ref="AS2" location="'GESTION DES JOUEURS'!D4" display="GESTION DES JOUEURS" xr:uid="{D3309028-CC6F-4574-A816-7CC88C70E0E4}"/>
    <hyperlink ref="AS10:AS11" location="PA!N18" display="PA!N18" xr:uid="{31939907-A8BD-49C9-9394-69E89DC9FE3F}"/>
    <hyperlink ref="AS12:AS13" location="PB!N18" display="Poule B" xr:uid="{3739B21D-8945-42D2-9486-B5BD9DA5A1D1}"/>
    <hyperlink ref="AS15:AS16" location="PC!N18" display="Poule C" xr:uid="{0C9F009D-0EA0-42DF-9911-EB801EB1E838}"/>
    <hyperlink ref="AS17:AS18" location="PD!N18" display="Poule D" xr:uid="{3613E9A4-1F1B-4F0D-B445-D7A8374B69AD}"/>
    <hyperlink ref="AS20:AS21" location="PE!N18" display="Poule E" xr:uid="{DAED8EA3-5D31-44BB-B347-4E6D63AAEDD7}"/>
    <hyperlink ref="AS22:AS23" location="PF!N18" display="Poule F" xr:uid="{652EA11D-26EE-48D4-BA75-C9C71BD1FA28}"/>
    <hyperlink ref="AS25:AS26" location="PG!N18" display="Poule G" xr:uid="{1655DFB7-36A8-415D-B00B-528B42F9C165}"/>
    <hyperlink ref="AS27:AS28" location="PH!N18" display="Poule H" xr:uid="{1602D0F1-4532-46B3-BF85-6027E5D53AAC}"/>
    <hyperlink ref="AS30:AS31" location="PI!N18" display="Poule I" xr:uid="{272059A6-24E7-4FCE-84CE-CF5EB51755AB}"/>
    <hyperlink ref="AS32:AS33" location="PJ!N18" display="Poule J" xr:uid="{AF0080AA-CFA0-424A-9A4E-FBDD8E10A904}"/>
    <hyperlink ref="AS35:AS36" location="PK!N18" display="Poule K" xr:uid="{257892DE-6A27-4431-89A0-172C65C7CB9C}"/>
    <hyperlink ref="AS37:AS38" location="PL!N18" display="Poule L" xr:uid="{93DAF69E-1F99-4EB3-8F32-6565241818C3}"/>
    <hyperlink ref="AV2" location="'Phase finale'!A1" display="Phase Finale" xr:uid="{79F0EEA7-F9CA-4E54-A129-0124EA948447}"/>
    <hyperlink ref="AV9:AV11" location="RESULTATS!A1" display="RESULTATS" xr:uid="{BE60FFE5-514D-4A95-BBBD-133D94255F7E}"/>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8513" id="{E451FD9D-7E3B-4D29-8A7A-053BDBFC8F73}">
            <xm:f>AND(COUNT(PC!$A$6:$A$11)=3,PC!$AO$4&gt;2)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8544" id="{63BAC379-D8EE-4F52-A65D-085BFE45E75E}">
            <xm:f>AND(COUNT(PC!$A$6:$A$11)=4,PC!$AO$4&gt;2)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3A13BCD6-6436-4E88-BAC9-B68FC08B5466}">
            <xm:f>PC!$AO$4=2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8586" id="{42832E92-F4E2-441F-AB71-C19E746CD0F4}">
            <xm:f>AND(COUNT(PC!$A$6:$A$11)=4,PC!$AO$4&gt;2)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208695D6-C6D5-4368-BBFB-B0F66DFD939B}">
            <xm:f>PC!$AO$4=2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8606" id="{F7B764F5-8A25-4989-846C-084A0458F34E}">
            <xm:f>AND(COUNT(PC!$A$6:$A$11)=5,PC!$AO$4&gt;2)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8611" id="{2225A5B9-9F12-4FDA-BC9E-67F9585E3130}">
            <xm:f>AND(COUNT(PC!$A$6:$A$11)&gt;=5,PC!$AO$4&gt;2)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8666" id="{CF6ED760-DA2A-468A-9F36-75838ECFF8F7}">
            <xm:f>AND(COUNT(PC!$A$6:$A$11)&gt;=5,PC!$AO$4&gt;2)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8741" id="{229682C7-6659-4700-86B3-57076706E7B1}">
            <xm:f>AND(COUNT(PC!$A$6:$A$11)=3,PC!$AO$4&gt;2)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8769" id="{F545748D-70B9-493E-A4A7-41BDC72E90C3}">
            <xm:f>PC!$AO$4=2</xm:f>
            <x14:dxf>
              <border>
                <top/>
                <vertical/>
                <horizontal/>
              </border>
            </x14:dxf>
          </x14:cfRule>
          <x14:cfRule type="expression" priority="18768" id="{878004B5-84F9-4838-AC69-34AE519A6FFF}">
            <xm:f>AND(COUNT(PC!$A$6:$A$11)=4,PC!$AO$4&gt;2)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8804" id="{237850EF-C29F-4AE1-8A85-6186562A0701}">
            <xm:f>AND(COUNT(PC!$A$6:$A$11)&gt;=5,PC!$AO$4&gt;2)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8879" id="{4557D38E-1712-410F-80AE-FDBE21984DC3}">
            <xm:f>AND(COUNT(PC!$A$6:$A$11)=3,PC!$AO$4&gt;2)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8906" id="{B4307298-F7D2-4BC4-A2ED-6CB343E8792B}">
            <xm:f>AND(COUNT(PC!$A$6:$A$11)=4,PC!$AO$4&gt;2)</xm:f>
            <x14:dxf>
              <border>
                <bottom/>
                <vertical/>
                <horizontal/>
              </border>
            </x14:dxf>
          </x14:cfRule>
          <x14:cfRule type="expression" priority="18907" id="{79688B10-44EF-42BA-A336-87BC725C39C4}">
            <xm:f>PC!$AO$4=2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8942" id="{49C88301-7145-4A0C-A72A-01551D8898DF}">
            <xm:f>AND(COUNT(PC!$A$6:$A$11)=4,PC!$AO$4&gt;2)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8972" id="{F137657C-89BA-4D5C-91EE-DB85D0B56515}">
            <xm:f>PC!$AO$4=2</xm:f>
            <x14:dxf>
              <border>
                <bottom/>
                <vertical/>
                <horizontal/>
              </border>
            </x14:dxf>
          </x14:cfRule>
          <x14:cfRule type="expression" priority="18973" id="{D05B33BA-2446-4E41-9F57-A076B24C429A}">
            <xm:f>AND(COUNT(PC!$A$6:$A$11)=4,PC!$AO$4&gt;2)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8974" id="{3E1B4A54-1C2A-432F-9141-FC76890DFE22}">
            <xm:f>AND(COUNT(PC!$A$6:$A$11)=4,PC!$AO$4&gt;2)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9004" id="{289F7C2F-FFEF-439B-8263-E6A987E102F1}">
            <xm:f>AND(COUNT(PC!$A$6:$A$11)=3,PC!$AO$4&gt;2)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9016" id="{AD5DA0FF-8625-4BF6-AFEB-BDD1CFF4233D}">
            <xm:f>AND(COUNT(PC!$A$6:$A$11)&gt;=5,PC!$AO$4&gt;2)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9041" id="{F4E879EE-404E-4026-BBDE-2D3274836CAC}">
            <xm:f>AND(COUNT(PC!$A$6:$A$11)=6,PC!$AO$4&gt;2)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9074" id="{BAB49661-43C6-4D07-98CC-2793C2EFDB28}">
            <xm:f>AND(COUNT(PC!$A$6:$A$11)=6,PC!$AO$4&gt;2)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9099" id="{3907E4C4-065A-4987-8BAD-46ABAD1452AE}">
            <xm:f>AND(COUNT(PC!$A$6:$A$11)=6,PC!$AO$4&gt;2)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9132" id="{AB1CE452-C458-40CF-AC25-3C9EC51AC029}">
            <xm:f>AND(COUNT(PC!$A$6:$A$11)=6,PC!$AO$4&gt;2)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9151" id="{375FFEFF-36CB-45D3-8E0C-1644C2572BFF}">
            <xm:f>AND(LEFT(PC!$F$13)="F",$AL$11=1,PC!$BU$5="X")</xm:f>
            <x14:dxf>
              <font>
                <color rgb="FF8E0000"/>
              </font>
              <fill>
                <patternFill>
                  <bgColor rgb="FFFBE93B"/>
                </patternFill>
              </fill>
            </x14:dxf>
          </x14:cfRule>
          <x14:cfRule type="expression" priority="19150" id="{55BD4819-82D3-4D0A-8291-2547D01B825E}">
            <xm:f>AND(LEFT(PC!$F$13)="F",$AL$11=2,PC!$BU$5="X")</xm:f>
            <x14:dxf>
              <font>
                <color rgb="FF8E0000"/>
              </font>
              <fill>
                <patternFill>
                  <bgColor theme="2"/>
                </patternFill>
              </fill>
            </x14:dxf>
          </x14:cfRule>
          <x14:cfRule type="expression" priority="19149" id="{8ACF8035-3684-49B2-AF0F-217F0ADE7E4C}">
            <xm:f>AND(LEFT(PC!$F$13)="F",$AL$11=3,PC!$BU$5="X")</xm:f>
            <x14:dxf>
              <font>
                <color rgb="FF8E0000"/>
              </font>
              <fill>
                <patternFill>
                  <bgColor rgb="FFFECF82"/>
                </patternFill>
              </fill>
            </x14:dxf>
          </x14:cfRule>
          <xm:sqref>AL11</xm:sqref>
        </x14:conditionalFormatting>
        <x14:conditionalFormatting xmlns:xm="http://schemas.microsoft.com/office/excel/2006/main">
          <x14:cfRule type="expression" priority="19153" id="{5FFD932A-C7BA-41D5-935E-90561231EA93}">
            <xm:f>AND(LEFT(PC!$F$13)="F",$AL$16=2,PC!$BU$5="X")</xm:f>
            <x14:dxf>
              <font>
                <color rgb="FF8E0000"/>
              </font>
              <fill>
                <patternFill>
                  <bgColor theme="2"/>
                </patternFill>
              </fill>
            </x14:dxf>
          </x14:cfRule>
          <x14:cfRule type="expression" priority="19154" id="{0A087834-72E1-44EE-B12B-2F8DF7E3F2D8}">
            <xm:f>AND(LEFT(PC!$F$13)="F",$AL$16=1,PC!$BU$5="X")</xm:f>
            <x14:dxf>
              <font>
                <color rgb="FF8E0000"/>
              </font>
              <fill>
                <patternFill>
                  <bgColor rgb="FFFBE93B"/>
                </patternFill>
              </fill>
            </x14:dxf>
          </x14:cfRule>
          <x14:cfRule type="expression" priority="19152" id="{0F236D33-55EC-4B0E-87DD-7E1989ED0850}">
            <xm:f>AND(LEFT(PC!$F$13)="F",$AL$16=3,PC!$BU$5="X")</xm:f>
            <x14:dxf>
              <font>
                <color rgb="FF8E0000"/>
              </font>
              <fill>
                <patternFill>
                  <bgColor rgb="FFFECF82"/>
                </patternFill>
              </fill>
            </x14:dxf>
          </x14:cfRule>
          <xm:sqref>AL16</xm:sqref>
        </x14:conditionalFormatting>
        <x14:conditionalFormatting xmlns:xm="http://schemas.microsoft.com/office/excel/2006/main">
          <x14:cfRule type="expression" priority="19155" id="{82A9F5C9-A374-4F6F-84B0-E8DD0526C1D5}">
            <xm:f>AND(LEFT(PC!$F$13)="F",$AL$21=3,PC!$BU$5="X")</xm:f>
            <x14:dxf>
              <font>
                <color rgb="FF8E0000"/>
              </font>
              <fill>
                <patternFill>
                  <bgColor rgb="FFFECF82"/>
                </patternFill>
              </fill>
            </x14:dxf>
          </x14:cfRule>
          <x14:cfRule type="expression" priority="19156" id="{75598DB2-272D-49D4-9D59-13AA0051D802}">
            <xm:f>AND(LEFT(PC!$F$13)="F",$AL$21=2,PC!$BU$5="X")</xm:f>
            <x14:dxf>
              <font>
                <color rgb="FF8E0000"/>
              </font>
              <fill>
                <patternFill>
                  <bgColor theme="2"/>
                </patternFill>
              </fill>
            </x14:dxf>
          </x14:cfRule>
          <x14:cfRule type="expression" priority="19157" id="{117468DA-E545-4777-A2BA-41A092BE180A}">
            <xm:f>AND(LEFT(PC!$F$13)="F",$AL$21=1,PC!$BU$5="X")</xm:f>
            <x14:dxf>
              <font>
                <color rgb="FF8E0000"/>
              </font>
              <fill>
                <patternFill>
                  <bgColor rgb="FFFBE93B"/>
                </patternFill>
              </fill>
            </x14:dxf>
          </x14:cfRule>
          <xm:sqref>AL21</xm:sqref>
        </x14:conditionalFormatting>
        <x14:conditionalFormatting xmlns:xm="http://schemas.microsoft.com/office/excel/2006/main">
          <x14:cfRule type="expression" priority="19160" id="{EF2E21A1-9BF1-456A-9C55-4EF449A73FD8}">
            <xm:f>AND(LEFT(PC!$F$13)="F",$AL$26=1,PC!$BU$5="X")</xm:f>
            <x14:dxf>
              <font>
                <color rgb="FF8E0000"/>
              </font>
              <fill>
                <patternFill>
                  <bgColor rgb="FFFBE93B"/>
                </patternFill>
              </fill>
            </x14:dxf>
          </x14:cfRule>
          <x14:cfRule type="expression" priority="19159" id="{4D573404-9758-4595-A2CC-B6BE85B73230}">
            <xm:f>AND(LEFT(PC!$F$13)="F",$AL$26=2,PC!$BU$5="X")</xm:f>
            <x14:dxf>
              <font>
                <color rgb="FF8E0000"/>
              </font>
              <fill>
                <patternFill>
                  <bgColor theme="2"/>
                </patternFill>
              </fill>
            </x14:dxf>
          </x14:cfRule>
          <x14:cfRule type="expression" priority="19158" id="{E0292B54-4F40-4FD6-9AED-5363063D0752}">
            <xm:f>AND(LEFT(PC!$F$13)="F",$AL$26=3,PC!$BU$5="X")</xm:f>
            <x14:dxf>
              <font>
                <color rgb="FF8E0000"/>
              </font>
              <fill>
                <patternFill>
                  <bgColor rgb="FFFECF82"/>
                </patternFill>
              </fill>
            </x14:dxf>
          </x14:cfRule>
          <xm:sqref>AL26</xm:sqref>
        </x14:conditionalFormatting>
        <x14:conditionalFormatting xmlns:xm="http://schemas.microsoft.com/office/excel/2006/main">
          <x14:cfRule type="expression" priority="19162" id="{B29F93D4-EEFA-492A-9A42-4AA5CA39971E}">
            <xm:f>AND(LEFT(PC!$F$13)="F",$AL$31=2,PC!$BU$5="X")</xm:f>
            <x14:dxf>
              <font>
                <color rgb="FF8E0000"/>
              </font>
              <fill>
                <patternFill>
                  <bgColor theme="2"/>
                </patternFill>
              </fill>
            </x14:dxf>
          </x14:cfRule>
          <x14:cfRule type="expression" priority="19161" id="{3D0BA584-BBD9-4F15-B7C0-4A494591CBA9}">
            <xm:f>AND(LEFT(PC!$F$13)="F",$AL$31=3,PC!$BU$5="X")</xm:f>
            <x14:dxf>
              <font>
                <color rgb="FF8E0000"/>
              </font>
              <fill>
                <patternFill>
                  <bgColor rgb="FFFECF82"/>
                </patternFill>
              </fill>
            </x14:dxf>
          </x14:cfRule>
          <x14:cfRule type="expression" priority="19163" id="{B0D4B919-866B-4972-A7B6-2C35E05CDFCB}">
            <xm:f>AND(LEFT(PC!$F$13)="F",$AL$31=1,PC!$BU$5="X")</xm:f>
            <x14:dxf>
              <font>
                <color rgb="FF8E0000"/>
              </font>
              <fill>
                <patternFill>
                  <bgColor rgb="FFFBE93B"/>
                </patternFill>
              </fill>
            </x14:dxf>
          </x14:cfRule>
          <xm:sqref>AL31</xm:sqref>
        </x14:conditionalFormatting>
        <x14:conditionalFormatting xmlns:xm="http://schemas.microsoft.com/office/excel/2006/main">
          <x14:cfRule type="expression" priority="19164" id="{C85EA2CB-25A3-40CC-98FC-057C130CE475}">
            <xm:f>AND(LEFT(PC!$F$13)="F",$AL$36=3,PC!$BU$5="X")</xm:f>
            <x14:dxf>
              <font>
                <color rgb="FF8E0000"/>
              </font>
              <fill>
                <patternFill>
                  <bgColor rgb="FFFECF82"/>
                </patternFill>
              </fill>
            </x14:dxf>
          </x14:cfRule>
          <x14:cfRule type="expression" priority="19165" id="{AB95AF6F-6258-4D17-A0E8-7D0136A05A0B}">
            <xm:f>AND(LEFT(PC!$F$13)="F",$AL$36=2,PC!$BU$5="X")</xm:f>
            <x14:dxf>
              <font>
                <color rgb="FF8E0000"/>
              </font>
              <fill>
                <patternFill>
                  <bgColor theme="2"/>
                </patternFill>
              </fill>
            </x14:dxf>
          </x14:cfRule>
          <x14:cfRule type="expression" priority="19166" id="{487F8F8F-04D9-46AB-80B5-E817AE4B943F}">
            <xm:f>AND(LEFT(PC!$F$13)="F",$AL$36=1,PC!$BU$5="X")</xm:f>
            <x14:dxf>
              <font>
                <color rgb="FF8E0000"/>
              </font>
              <fill>
                <patternFill>
                  <bgColor rgb="FFFBE93B"/>
                </patternFill>
              </fill>
            </x14:dxf>
          </x14:cfRule>
          <xm:sqref>AL36</xm:sqref>
        </x14:conditionalFormatting>
        <x14:conditionalFormatting xmlns:xm="http://schemas.microsoft.com/office/excel/2006/main">
          <x14:cfRule type="expression" priority="148" id="{7B9B956E-9113-4ACB-BE34-AF108C2C4B69}">
            <xm:f>LEFT(PC!$B$15)="3"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783" id="{1050B725-DE93-47A6-954B-C8E29B291855}">
            <xm:f>AND(LEFT(PA!$F$13)="P",PA!$AO$4&gt;1)</xm:f>
            <x14:dxf>
              <border>
                <bottom/>
                <vertical/>
                <horizontal/>
              </border>
            </x14:dxf>
          </x14:cfRule>
          <xm:sqref>AP10 AP12 AP15 AP17</xm:sqref>
        </x14:conditionalFormatting>
        <x14:conditionalFormatting xmlns:xm="http://schemas.microsoft.com/office/excel/2006/main">
          <x14:cfRule type="expression" priority="4" id="{05DA52E2-268A-4073-BD7C-47BB8468B0E1}">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787" id="{E380E17A-CC7D-460A-AD17-886D9D7894D5}">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789" id="{7F7ED01B-64A4-48FB-970E-4F15E49F6E9C}">
            <xm:f>AND(LEFT(PA!$F$13)="P",PA!$AO$4&gt;1)</xm:f>
            <x14:dxf>
              <border>
                <top/>
                <vertical/>
                <horizontal/>
              </border>
            </x14:dxf>
          </x14:cfRule>
          <xm:sqref>AP11 AP13 AP16 AP18</xm:sqref>
        </x14:conditionalFormatting>
        <x14:conditionalFormatting xmlns:xm="http://schemas.microsoft.com/office/excel/2006/main">
          <x14:cfRule type="expression" priority="11813" id="{3B7F0076-C2D6-4602-8A1D-76EE137109D0}">
            <xm:f>AND(LEFT(PA!$F$13)="P",PA!$AO$4&gt;1)</xm:f>
            <x14:dxf>
              <fill>
                <patternFill>
                  <bgColor theme="1"/>
                </patternFill>
              </fill>
            </x14:dxf>
          </x14:cfRule>
          <xm:sqref>AP14 AP19</xm:sqref>
        </x14:conditionalFormatting>
        <x14:conditionalFormatting xmlns:xm="http://schemas.microsoft.com/office/excel/2006/main">
          <x14:cfRule type="expression" priority="11793" id="{92AE1665-CA5E-43B9-A7E8-FC3C631031F3}">
            <xm:f>AND(LEFT(PA!$F$13)="P",PA!$AO$4&gt;2)</xm:f>
            <x14:dxf>
              <border>
                <bottom/>
                <vertical/>
                <horizontal/>
              </border>
            </x14:dxf>
          </x14:cfRule>
          <xm:sqref>AP20 AP22</xm:sqref>
        </x14:conditionalFormatting>
        <x14:conditionalFormatting xmlns:xm="http://schemas.microsoft.com/office/excel/2006/main">
          <x14:cfRule type="expression" priority="11795" id="{81865346-2AC1-44F1-B56D-E6324DAE7757}">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796" id="{2CE3B7AE-3B15-458C-940D-56D3475EC916}">
            <xm:f>AND(LEFT(PA!$F$13)="P",PA!$AO$4&gt;2)</xm:f>
            <x14:dxf>
              <border>
                <top/>
                <vertical/>
                <horizontal/>
              </border>
            </x14:dxf>
          </x14:cfRule>
          <xm:sqref>AP21 AP23</xm:sqref>
        </x14:conditionalFormatting>
        <x14:conditionalFormatting xmlns:xm="http://schemas.microsoft.com/office/excel/2006/main">
          <x14:cfRule type="expression" priority="11815" id="{32CD6886-CCA2-48A5-BA5B-486CB3FBC4B7}">
            <xm:f>AND(LEFT(PA!$F$13)="P",PA!$AO$4&gt;2)</xm:f>
            <x14:dxf>
              <fill>
                <patternFill>
                  <bgColor theme="1"/>
                </patternFill>
              </fill>
            </x14:dxf>
          </x14:cfRule>
          <xm:sqref>AP24</xm:sqref>
        </x14:conditionalFormatting>
        <x14:conditionalFormatting xmlns:xm="http://schemas.microsoft.com/office/excel/2006/main">
          <x14:cfRule type="expression" priority="11798" id="{58E21AE4-9290-4509-B621-F2216DDEFB4E}">
            <xm:f>AND(LEFT(PA!$F$13)="P",PA!$AO$4&gt;2,COUNT(PA!$A$6:$A$11)&gt;3)</xm:f>
            <x14:dxf>
              <border>
                <bottom/>
                <vertical/>
                <horizontal/>
              </border>
            </x14:dxf>
          </x14:cfRule>
          <xm:sqref>AP25 AP27</xm:sqref>
        </x14:conditionalFormatting>
        <x14:conditionalFormatting xmlns:xm="http://schemas.microsoft.com/office/excel/2006/main">
          <x14:cfRule type="expression" priority="11800" id="{C84BF603-7339-48CD-ACBE-5099F743747C}">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801" id="{5C43B0DD-8095-45BA-9411-56F681402FC5}">
            <xm:f>AND(LEFT(PA!$F$13)="P",PA!$AO$4&gt;2,COUNT(PA!$A$6:$A$11)&gt;3)</xm:f>
            <x14:dxf>
              <border>
                <top/>
                <vertical/>
                <horizontal/>
              </border>
            </x14:dxf>
          </x14:cfRule>
          <xm:sqref>AP26 AP28</xm:sqref>
        </x14:conditionalFormatting>
        <x14:conditionalFormatting xmlns:xm="http://schemas.microsoft.com/office/excel/2006/main">
          <x14:cfRule type="expression" priority="11816" id="{E10FF4D8-C0E4-4B14-AE39-A5DE86743C23}">
            <xm:f>AND(LEFT(PA!$F$13)="P",PA!$AO$4&gt;2,COUNT(PA!$A$6:$A$11)&gt;3)</xm:f>
            <x14:dxf>
              <fill>
                <patternFill>
                  <bgColor theme="1"/>
                </patternFill>
              </fill>
            </x14:dxf>
          </x14:cfRule>
          <xm:sqref>AP29</xm:sqref>
        </x14:conditionalFormatting>
        <x14:conditionalFormatting xmlns:xm="http://schemas.microsoft.com/office/excel/2006/main">
          <x14:cfRule type="expression" priority="11803" id="{14BFE093-8042-4A14-8CD5-7396D3F4E239}">
            <xm:f>AND(LEFT(PA!$F$13)="P",PA!$AO$4&gt;2,COUNT(PA!$A$6:$A$11)&gt;4)</xm:f>
            <x14:dxf>
              <border>
                <bottom/>
                <vertical/>
                <horizontal/>
              </border>
            </x14:dxf>
          </x14:cfRule>
          <xm:sqref>AP30 AP32</xm:sqref>
        </x14:conditionalFormatting>
        <x14:conditionalFormatting xmlns:xm="http://schemas.microsoft.com/office/excel/2006/main">
          <x14:cfRule type="expression" priority="11805" id="{0BC848AD-036E-4E54-A5EF-660A933C052C}">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806" id="{5413E9DE-CBF8-48A7-A954-371BDF361769}">
            <xm:f>AND(LEFT(PA!$F$13)="P",PA!$AO$4&gt;2,COUNT(PA!$A$6:$A$11)&gt;4)</xm:f>
            <x14:dxf>
              <border>
                <top/>
                <vertical/>
                <horizontal/>
              </border>
            </x14:dxf>
          </x14:cfRule>
          <xm:sqref>AP31 AP33</xm:sqref>
        </x14:conditionalFormatting>
        <x14:conditionalFormatting xmlns:xm="http://schemas.microsoft.com/office/excel/2006/main">
          <x14:cfRule type="expression" priority="11817" id="{33A8C82D-EDC8-4A33-A923-7117AF6463F0}">
            <xm:f>AND(LEFT(PA!$F$13)="P",PA!$AO$4&gt;2,COUNT(PA!$A$6:$A$11)&gt;4)</xm:f>
            <x14:dxf>
              <fill>
                <patternFill>
                  <bgColor theme="1"/>
                </patternFill>
              </fill>
            </x14:dxf>
          </x14:cfRule>
          <xm:sqref>AP34</xm:sqref>
        </x14:conditionalFormatting>
        <x14:conditionalFormatting xmlns:xm="http://schemas.microsoft.com/office/excel/2006/main">
          <x14:cfRule type="expression" priority="11808" id="{1BCEE767-4E1D-4510-8730-582167F77D3B}">
            <xm:f>AND(LEFT(PA!$F$13)="P",PA!$AO$4&gt;2,COUNT(PA!$A$6:$A$11)&gt;5)</xm:f>
            <x14:dxf>
              <border>
                <bottom/>
                <vertical/>
                <horizontal/>
              </border>
            </x14:dxf>
          </x14:cfRule>
          <xm:sqref>AP35 AP37</xm:sqref>
        </x14:conditionalFormatting>
        <x14:conditionalFormatting xmlns:xm="http://schemas.microsoft.com/office/excel/2006/main">
          <x14:cfRule type="expression" priority="11810" id="{1F24CAB3-AE8F-4E0D-9EBF-69071FE6BD50}">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811" id="{B3A6C6A3-7CA0-4185-9426-7B0FCB8D4610}">
            <xm:f>AND(LEFT(PA!$F$13)="P",PA!$AO$4&gt;2,COUNT(PA!$A$6:$A$11)&gt;5)</xm:f>
            <x14:dxf>
              <border>
                <top/>
                <vertical/>
                <horizontal/>
              </border>
            </x14:dxf>
          </x14:cfRule>
          <xm:sqref>AP36 AP38</xm:sqref>
        </x14:conditionalFormatting>
        <x14:conditionalFormatting xmlns:xm="http://schemas.microsoft.com/office/excel/2006/main">
          <x14:cfRule type="expression" priority="19167" id="{2C6ED44D-3D91-47E4-865E-563759498ABC}">
            <xm:f>AND(LEFT(PC!$F$13)="P",PC!$AO$4&gt;1)</xm:f>
            <x14:dxf>
              <fill>
                <patternFill>
                  <bgColor theme="1"/>
                </patternFill>
              </fill>
            </x14:dxf>
          </x14:cfRule>
          <xm:sqref>AP9:AQ9 AQ10:AQ19</xm:sqref>
        </x14:conditionalFormatting>
        <x14:conditionalFormatting xmlns:xm="http://schemas.microsoft.com/office/excel/2006/main">
          <x14:cfRule type="expression" priority="19169" id="{BA16C0C2-5860-4752-918D-25678BC2EB6C}">
            <xm:f>AND(LEFT(PC!$F$13)="P",PC!$AO$4&gt;2)</xm:f>
            <x14:dxf>
              <fill>
                <patternFill>
                  <bgColor theme="1"/>
                </patternFill>
              </fill>
            </x14:dxf>
          </x14:cfRule>
          <xm:sqref>AQ20:AQ24</xm:sqref>
        </x14:conditionalFormatting>
        <x14:conditionalFormatting xmlns:xm="http://schemas.microsoft.com/office/excel/2006/main">
          <x14:cfRule type="expression" priority="19170" id="{6106F9C4-41C5-422C-952A-BBD9AF080BB9}">
            <xm:f>AND(LEFT(PC!$F$13)="P",PC!$AO$4&gt;2,COUNT(PC!$A$6:$A$11)&gt;3)</xm:f>
            <x14:dxf>
              <fill>
                <patternFill>
                  <bgColor theme="1"/>
                </patternFill>
              </fill>
            </x14:dxf>
          </x14:cfRule>
          <xm:sqref>AQ25:AQ29</xm:sqref>
        </x14:conditionalFormatting>
        <x14:conditionalFormatting xmlns:xm="http://schemas.microsoft.com/office/excel/2006/main">
          <x14:cfRule type="expression" priority="19171" id="{0EF42DC8-7354-4FAD-8192-ACE4384B198B}">
            <xm:f>AND(LEFT(PC!$F$13)="P",PC!$AO$4&gt;2,COUNT(PC!$A$6:$A$11)&gt;4)</xm:f>
            <x14:dxf>
              <fill>
                <patternFill>
                  <bgColor theme="1"/>
                </patternFill>
              </fill>
            </x14:dxf>
          </x14:cfRule>
          <xm:sqref>AQ30:AQ34</xm:sqref>
        </x14:conditionalFormatting>
        <x14:conditionalFormatting xmlns:xm="http://schemas.microsoft.com/office/excel/2006/main">
          <x14:cfRule type="expression" priority="19172" id="{CB39161F-7305-4315-BC60-7F4AC9600314}">
            <xm:f>AND(LEFT(PC!$F$13)="P",PC!$AO$4&gt;2,COUNT(PC!$A$6:$A$11)&gt;5)</xm:f>
            <x14:dxf>
              <fill>
                <patternFill>
                  <bgColor theme="1"/>
                </patternFill>
              </fill>
            </x14:dxf>
          </x14:cfRule>
          <xm:sqref>AQ35:AQ38 AP39:AQ39</xm:sqref>
        </x14:conditionalFormatting>
        <x14:conditionalFormatting xmlns:xm="http://schemas.microsoft.com/office/excel/2006/main">
          <x14:cfRule type="expression" priority="39" id="{92B487A2-CA00-46DC-8216-35C08C3DEC16}">
            <xm:f>'GESTION DES JOUEURS'!$T$8&lt;2</xm:f>
            <x14:dxf>
              <font>
                <color theme="0" tint="-0.24994659260841701"/>
              </font>
              <fill>
                <patternFill>
                  <bgColor theme="0" tint="-0.24994659260841701"/>
                </patternFill>
              </fill>
            </x14:dxf>
          </x14:cfRule>
          <x14:cfRule type="expression" priority="40" id="{5D8AF483-9C77-44A8-A816-57291912ADC6}">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B23868D8-E834-4DC5-8CFB-4DA802C2B999}">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400A0919-8C5A-4238-A5AB-606AAAAD4F6F}">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21691401-F02B-46AA-9FA0-575E8F88A296}">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C217598C-1C43-4493-9737-82D00F8CF216}">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38C1C1D1-D63D-4824-BC26-49E98128E320}">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435B83AD-C98D-422C-A1F5-73CBF460834A}">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917CB69E-1323-4267-B5BC-A8095B05B806}">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26407DB2-E397-436A-A276-607F6DC35270}">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1891B331-3631-4614-B42B-057F9E14E729}">
            <xm:f>'GESTION DES JOUEURS'!$D$8="Finale"</xm:f>
            <x14:dxf>
              <font>
                <color theme="0" tint="-0.24994659260841701"/>
              </font>
              <fill>
                <patternFill>
                  <bgColor theme="0" tint="-0.24994659260841701"/>
                </patternFill>
              </fill>
            </x14:dxf>
          </x14:cfRule>
          <x14:cfRule type="expression" priority="25" id="{D3637996-F814-47A7-A173-4C2786B2EEEF}">
            <xm:f>OR('GESTION DES JOUEURS'!$D$8="poules",'GESTION DES JOUEURS'!$D$8="Finale")</xm:f>
            <x14:dxf>
              <font>
                <color theme="0" tint="-0.24994659260841701"/>
              </font>
              <fill>
                <patternFill>
                  <fgColor auto="1"/>
                  <bgColor theme="0" tint="-0.24994659260841701"/>
                </patternFill>
              </fill>
            </x14:dxf>
          </x14:cfRule>
          <x14:cfRule type="expression" priority="24" id="{4D6B2B4B-9ACE-4885-ADB6-1E7573FAB856}">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4B44580C-EE19-48F8-A56F-C76C6A92765F}">
            <xm:f>'GESTION DES JOUEURS'!$T$8=1</xm:f>
            <x14:dxf>
              <font>
                <color theme="0" tint="-0.24994659260841701"/>
              </font>
              <fill>
                <patternFill>
                  <bgColor theme="0" tint="-0.24994659260841701"/>
                </patternFill>
              </fill>
            </x14:dxf>
          </x14:cfRule>
          <x14:cfRule type="expression" priority="3" id="{0776BBDF-9272-4754-BDF6-1982E1AB2038}">
            <xm:f>OR('GESTION DES JOUEURS'!$D$8="Poules",'GESTION DES JOUEURS'!$D$8="Finale",'GESTION DES JOUEURS'!$D$8="Tournoi")</xm:f>
            <x14:dxf>
              <font>
                <color theme="0" tint="-0.24994659260841701"/>
              </font>
              <fill>
                <patternFill>
                  <bgColor theme="0" tint="-0.24994659260841701"/>
                </patternFill>
              </fill>
            </x14:dxf>
          </x14:cfRule>
          <x14:cfRule type="expression" priority="2" id="{89733435-2AB2-4D4B-B430-20347D1A83E5}">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223A5387-C48D-46B4-95D2-70929DD8784C}">
            <xm:f>'GESTION DES JOUEURS'!$T$8=1</xm:f>
            <x14:dxf>
              <font>
                <color theme="0" tint="-0.24994659260841701"/>
              </font>
              <fill>
                <patternFill>
                  <bgColor theme="0" tint="-0.24994659260841701"/>
                </patternFill>
              </fill>
            </x14:dxf>
          </x14:cfRule>
          <x14:cfRule type="expression" priority="53" id="{83ACDD59-178F-4487-B58B-39CC5DD381B7}">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3CACE-A13A-4103-B965-ED2B4D1B8AF0}">
  <sheetPr>
    <tabColor rgb="FFC5DDF1"/>
  </sheetPr>
  <dimension ref="A1:CL70"/>
  <sheetViews>
    <sheetView zoomScale="115" zoomScaleNormal="115" workbookViewId="0">
      <selection activeCell="O19" sqref="O19"/>
    </sheetView>
  </sheetViews>
  <sheetFormatPr baseColWidth="10" defaultColWidth="10.85546875" defaultRowHeight="0" customHeight="1" zeroHeight="1" x14ac:dyDescent="0.25"/>
  <cols>
    <col min="1" max="1" width="4.85546875" style="244" bestFit="1" customWidth="1"/>
    <col min="2" max="5" width="10.85546875" style="244" customWidth="1"/>
    <col min="6" max="6" width="8.28515625" style="244" customWidth="1"/>
    <col min="7" max="7" width="5.42578125" style="244" customWidth="1"/>
    <col min="8" max="8" width="23.42578125" style="244" customWidth="1"/>
    <col min="9" max="9" width="4.85546875" style="244" bestFit="1" customWidth="1"/>
    <col min="10" max="10" width="11.140625" style="244" customWidth="1"/>
    <col min="11" max="11" width="6.28515625" style="244" customWidth="1"/>
    <col min="12" max="16" width="10.85546875" style="244" customWidth="1"/>
    <col min="17" max="17" width="11.5703125" style="244" customWidth="1"/>
    <col min="18" max="18" width="8.7109375" style="244" customWidth="1"/>
    <col min="19" max="19" width="8.85546875" style="244" bestFit="1" customWidth="1"/>
    <col min="20" max="20" width="17.140625" style="244" customWidth="1"/>
    <col min="21" max="21" width="10.85546875" style="244" customWidth="1"/>
    <col min="22" max="22" width="5.140625" style="244" customWidth="1"/>
    <col min="23" max="24" width="10.85546875" style="244" customWidth="1"/>
    <col min="25" max="25" width="14.85546875" style="244" customWidth="1"/>
    <col min="26" max="26" width="0.85546875" style="244" customWidth="1"/>
    <col min="27" max="27" width="15.140625" style="241" customWidth="1"/>
    <col min="28" max="28" width="0.85546875" style="244" customWidth="1"/>
    <col min="29" max="29" width="12.42578125" style="244" hidden="1" customWidth="1"/>
    <col min="30" max="30" width="12.85546875" style="244" hidden="1" customWidth="1"/>
    <col min="31" max="31" width="13.140625" style="244" hidden="1" customWidth="1"/>
    <col min="32" max="33" width="10.85546875" style="244" hidden="1" customWidth="1"/>
    <col min="34" max="34" width="5.28515625" style="244" hidden="1" customWidth="1"/>
    <col min="35" max="35" width="7.5703125" style="244" hidden="1" customWidth="1"/>
    <col min="36" max="36" width="8.85546875" style="244" hidden="1" customWidth="1"/>
    <col min="37" max="37" width="7.42578125" style="244" hidden="1" customWidth="1"/>
    <col min="38" max="38" width="5.5703125" style="244" hidden="1" customWidth="1"/>
    <col min="39" max="39" width="10.85546875" style="244" hidden="1" customWidth="1"/>
    <col min="40" max="40" width="10.85546875" style="248" hidden="1" customWidth="1"/>
    <col min="41" max="41" width="43.85546875" style="244" hidden="1" customWidth="1"/>
    <col min="42" max="42" width="10.85546875" style="244" hidden="1" customWidth="1"/>
    <col min="43" max="43" width="40.85546875" style="244" hidden="1" customWidth="1"/>
    <col min="44" max="44" width="10.85546875" style="244" hidden="1" customWidth="1"/>
    <col min="45" max="46" width="4.42578125" style="244" hidden="1" customWidth="1"/>
    <col min="47" max="47" width="5.28515625" style="244" hidden="1" customWidth="1"/>
    <col min="48" max="51" width="4.42578125" style="244" hidden="1" customWidth="1"/>
    <col min="52" max="53" width="10.85546875" style="244" hidden="1" customWidth="1"/>
    <col min="54" max="64" width="5.7109375" style="244" hidden="1" customWidth="1"/>
    <col min="65" max="88" width="10.85546875" style="244" hidden="1" customWidth="1"/>
    <col min="89" max="89" width="4.42578125" style="244" hidden="1" customWidth="1"/>
    <col min="90" max="90" width="8.7109375" style="244" hidden="1" customWidth="1"/>
    <col min="91" max="91" width="0" style="244" hidden="1" customWidth="1"/>
    <col min="92" max="16384" width="10.85546875" style="244"/>
  </cols>
  <sheetData>
    <row r="1" spans="1:90" ht="5.0999999999999996" customHeight="1" thickBot="1" x14ac:dyDescent="0.3"/>
    <row r="2" spans="1:90" ht="45" customHeight="1" thickBot="1" x14ac:dyDescent="0.3">
      <c r="B2" s="952" t="str">
        <f>'GESTION DES JOUEURS'!M17</f>
        <v>Poule D</v>
      </c>
      <c r="C2" s="953"/>
      <c r="D2" s="953"/>
      <c r="E2" s="953"/>
      <c r="F2" s="953"/>
      <c r="G2" s="953"/>
      <c r="H2" s="953"/>
      <c r="I2" s="953"/>
      <c r="J2" s="953"/>
      <c r="K2" s="953"/>
      <c r="L2" s="953"/>
      <c r="M2" s="953"/>
      <c r="N2" s="953"/>
      <c r="O2" s="953"/>
      <c r="P2" s="953"/>
      <c r="Q2" s="953"/>
      <c r="R2" s="953"/>
      <c r="S2" s="953"/>
      <c r="T2" s="953"/>
      <c r="U2" s="953"/>
      <c r="V2" s="953"/>
      <c r="W2" s="953"/>
      <c r="X2" s="954"/>
      <c r="AA2" s="371" t="e" vm="1">
        <v>#VALUE!</v>
      </c>
    </row>
    <row r="3" spans="1:90" ht="5.0999999999999996" customHeight="1" thickBot="1" x14ac:dyDescent="0.3"/>
    <row r="4" spans="1:90" ht="19.5" thickBot="1" x14ac:dyDescent="0.35">
      <c r="B4" s="934" t="s">
        <v>5524</v>
      </c>
      <c r="C4" s="752"/>
      <c r="D4" s="752"/>
      <c r="E4" s="752"/>
      <c r="F4" s="752"/>
      <c r="G4" s="752"/>
      <c r="H4" s="752"/>
      <c r="I4" s="752"/>
      <c r="J4" s="752"/>
      <c r="K4" s="752"/>
      <c r="L4" s="751"/>
      <c r="M4" s="751"/>
      <c r="N4" s="751"/>
      <c r="O4" s="33" t="str">
        <f>IF(SUM(O6:O11)&gt;0,"M","")</f>
        <v/>
      </c>
      <c r="P4" s="750" t="s">
        <v>5447</v>
      </c>
      <c r="Q4" s="751"/>
      <c r="R4" s="751"/>
      <c r="S4" s="751"/>
      <c r="T4" s="751"/>
      <c r="U4" s="751"/>
      <c r="V4" s="751"/>
      <c r="W4" s="751"/>
      <c r="X4" s="796"/>
      <c r="Y4" s="246"/>
      <c r="Z4" s="246"/>
      <c r="AA4" s="891" t="s">
        <v>8128</v>
      </c>
      <c r="AN4" s="306" t="s">
        <v>8511</v>
      </c>
      <c r="AO4" s="305">
        <f>COUNT(A6:A11)-SUM(AO6:AO11)</f>
        <v>2</v>
      </c>
      <c r="AP4" s="248"/>
      <c r="AQ4" s="307"/>
      <c r="AR4" s="807" t="s">
        <v>8512</v>
      </c>
      <c r="AS4" s="308"/>
      <c r="AT4" s="308"/>
      <c r="AU4" s="308"/>
      <c r="AV4" s="308">
        <v>1</v>
      </c>
      <c r="AW4" s="308">
        <v>2</v>
      </c>
      <c r="AX4" s="309">
        <v>3</v>
      </c>
      <c r="AY4" s="309">
        <v>4</v>
      </c>
      <c r="AZ4" s="309">
        <v>5</v>
      </c>
      <c r="BA4" s="309">
        <v>6</v>
      </c>
    </row>
    <row r="5" spans="1:90" ht="15.75" thickBot="1" x14ac:dyDescent="0.3">
      <c r="B5" s="360" t="s">
        <v>21</v>
      </c>
      <c r="C5" s="935" t="s">
        <v>5448</v>
      </c>
      <c r="D5" s="936"/>
      <c r="E5" s="935" t="s">
        <v>5449</v>
      </c>
      <c r="F5" s="936"/>
      <c r="G5" s="935" t="s">
        <v>5450</v>
      </c>
      <c r="H5" s="937"/>
      <c r="I5" s="362" t="s">
        <v>9868</v>
      </c>
      <c r="J5" s="361" t="s">
        <v>5525</v>
      </c>
      <c r="K5" s="363" t="s">
        <v>5526</v>
      </c>
      <c r="L5" s="136"/>
      <c r="M5" s="98" t="s">
        <v>5522</v>
      </c>
      <c r="N5" s="388" t="s">
        <v>5519</v>
      </c>
      <c r="O5" s="99" t="s">
        <v>8131</v>
      </c>
      <c r="P5" s="34" t="s">
        <v>2</v>
      </c>
      <c r="Q5" s="35" t="s">
        <v>18</v>
      </c>
      <c r="R5" s="35"/>
      <c r="S5" s="35" t="s">
        <v>17</v>
      </c>
      <c r="T5" s="35" t="s">
        <v>20</v>
      </c>
      <c r="U5" s="35" t="s">
        <v>19</v>
      </c>
      <c r="V5" s="100" t="s">
        <v>14</v>
      </c>
      <c r="W5" s="34" t="str">
        <f>IF('GESTION DES JOUEURS'!$D$8="Open","Total % J","Pts Rk")</f>
        <v>Pts Rk</v>
      </c>
      <c r="X5" s="243" t="str">
        <f>IF('GESTION DES JOUEURS'!$D$8="Open","Total % Adv.","Bonus")</f>
        <v>Bonus</v>
      </c>
      <c r="Y5" s="371" t="str">
        <f>IF('GESTION DES JOUEURS'!$D$8="Open","Distance Joueur","")</f>
        <v/>
      </c>
      <c r="AA5" s="892"/>
      <c r="AD5" s="199" t="s">
        <v>11515</v>
      </c>
      <c r="AE5" s="199" t="s">
        <v>11516</v>
      </c>
      <c r="AF5" s="199" t="s">
        <v>11513</v>
      </c>
      <c r="AG5" s="199" t="s">
        <v>11517</v>
      </c>
      <c r="AN5" s="244"/>
      <c r="AO5" s="249" t="s">
        <v>11519</v>
      </c>
      <c r="AP5" s="248"/>
      <c r="AQ5" s="307"/>
      <c r="AR5" s="807"/>
      <c r="AS5" s="308"/>
      <c r="AT5" s="308"/>
      <c r="AU5" s="308"/>
      <c r="AV5" s="308"/>
      <c r="AW5" s="308"/>
      <c r="AX5" s="309"/>
      <c r="AY5" s="309"/>
      <c r="AZ5" s="309"/>
      <c r="BA5" s="309"/>
      <c r="BR5" s="900" t="str">
        <f>IF(BU5="X","Toutes les rencontres ont été jouées :","")</f>
        <v>Toutes les rencontres ont été jouées :</v>
      </c>
      <c r="BS5" s="900"/>
      <c r="BT5" s="900"/>
      <c r="BU5" s="285" t="str">
        <f>IF(MAX(C18:C32)=COUNTIF(A18:A32,"P"),"X","")</f>
        <v>X</v>
      </c>
      <c r="BV5" s="303" t="s">
        <v>5461</v>
      </c>
      <c r="BW5" s="303" t="s">
        <v>5462</v>
      </c>
      <c r="BX5" s="303" t="s">
        <v>5463</v>
      </c>
      <c r="BY5" s="303" t="s">
        <v>5464</v>
      </c>
      <c r="BZ5" s="303" t="s">
        <v>5465</v>
      </c>
      <c r="CA5" s="303" t="s">
        <v>18</v>
      </c>
      <c r="CB5" s="303" t="s">
        <v>5412</v>
      </c>
      <c r="CC5" s="303" t="s">
        <v>23</v>
      </c>
      <c r="CD5" s="303" t="s">
        <v>17</v>
      </c>
      <c r="CE5" s="303" t="s">
        <v>18</v>
      </c>
      <c r="CF5" s="303" t="s">
        <v>5412</v>
      </c>
      <c r="CG5" s="304" t="s">
        <v>14</v>
      </c>
      <c r="CH5" s="304" t="s">
        <v>3</v>
      </c>
      <c r="CI5" s="303" t="s">
        <v>11513</v>
      </c>
      <c r="CJ5" s="303" t="s">
        <v>11514</v>
      </c>
      <c r="CK5" s="556" t="s">
        <v>11518</v>
      </c>
      <c r="CL5" s="556" t="s">
        <v>11516</v>
      </c>
    </row>
    <row r="6" spans="1:90" ht="15.75" thickBot="1" x14ac:dyDescent="0.3">
      <c r="A6" s="365">
        <f t="shared" ref="A6:A11" si="0">IF(B6&lt;&gt;"",A5+1,"")</f>
        <v>1</v>
      </c>
      <c r="B6" s="357" t="str">
        <f>IFERROR(VLOOKUP("D1",'GESTION DES JOUEURS'!$AG$11:$AI$46,3,FALSE),"")</f>
        <v>118031R</v>
      </c>
      <c r="C6" s="938" t="str">
        <f>IFERROR(IF(B6="","",_xlfn.XLOOKUP(B6,'LICENCES 2025'!A:A,'LICENCES 2025'!G:G," ",0,1)),"")</f>
        <v>LE HUAN CUA</v>
      </c>
      <c r="D6" s="939"/>
      <c r="E6" s="940" t="str">
        <f>IFERROR(IF(B6="","",_xlfn.XLOOKUP(B6,'LICENCES 2025'!A:A,'LICENCES 2025'!F:F,"",0,1)),"")</f>
        <v>TRAN</v>
      </c>
      <c r="F6" s="940"/>
      <c r="G6" s="941" t="str">
        <f>IFERROR(IF(B6="","",_xlfn.XLOOKUP(B6,'LICENCES 2025'!A:A,'LICENCES 2025'!E:E,"",0,1)),"")</f>
        <v>ACADEMIE DE BILLARD DE MAISONS ALFORT</v>
      </c>
      <c r="H6" s="942"/>
      <c r="I6" s="358">
        <f>_xlfn.XLOOKUP(B6,Tableau19[Licence],Tableau19[Clt],"",0,1)</f>
        <v>4</v>
      </c>
      <c r="J6" s="256">
        <f>_xlfn.XLOOKUP(B6,Tableau19[Licence],Tableau19[Moy Gén],"",0,1)</f>
        <v>0</v>
      </c>
      <c r="K6" s="359" t="str">
        <f>IF(A6="","",IF($B$15="Cadre N1/N2",_xlfn.XLOOKUP(B6,Tableau1[LICENCE],Tableau1[Catégorie],"NC",0,1),IF(_xlfn.XLOOKUP($B$15,Distances!$D$2:$D$77,Distances!$A$2:$A$77,"",0,1)="Libre",_xlfn.XLOOKUP(B6,Tableau2[LICENCE],Tableau2[Catégorie],"NC",0,1),IF(_xlfn.XLOOKUP($B$15,Distances!$D$2:$D$77,Distances!$A$2:$A$77,"",0,1)="Bande",_xlfn.XLOOKUP(B6,Tableau3[LICENCE],Tableau3[Catégorie],"NC",0,1),IF(_xlfn.XLOOKUP($B$15,Distances!$D$2:$D$77,Distances!$A$2:$A$77,"",0,1)="cadre",_xlfn.XLOOKUP(B6,Tableau1[LICENCE],Tableau1[Catégorie],"NC",0,1),IF(_xlfn.XLOOKUP($B$15,Distances!$D$2:$D$77,Distances!$A$2:$A$77,"",0,1)="3 Bandes",_xlfn.XLOOKUP(B6,Tableau4[LICENCE],Tableau4[Catégorie],"NC",0,1)))))))</f>
        <v>R2</v>
      </c>
      <c r="L6" s="257">
        <f t="shared" ref="L6:L11" si="1">IF(A6="","",IF(AO6=1,0,COUNTIF($AQ$6:$AQ$11,AQ6)))</f>
        <v>1</v>
      </c>
      <c r="M6" s="385">
        <f t="shared" ref="M6:M11" si="2">_xlfn.SINGLE(_xlfn.XLOOKUP($AO$4,$AV$4:$BA$4,AV6:BA6,"",0,1))</f>
        <v>1</v>
      </c>
      <c r="N6" s="250" t="str">
        <f>IFERROR(IF(VLOOKUP(B6,Tableau19[],10,FALSE)=TRUE,"F",""),"")</f>
        <v/>
      </c>
      <c r="O6" s="251"/>
      <c r="P6" s="101">
        <f t="shared" ref="P6:P11" si="3">IFERROR(SUM(SUMIFS($N$18:$N$32,$G$18:$G$32,A6,$A$18:$A$32,"P"),SUMIFS($P$18:$P$32,$V$18:$V$32,A6,$A$18:$A$32,"P")),"")</f>
        <v>200</v>
      </c>
      <c r="Q6" s="38">
        <f>IFERROR(SUM(SUMIFS($O$18:$O$32,$G$18:$G$32,A6,$A$18:$A$32,"P",$N$18:$N$32,"&lt;&gt;"&amp;"Ab.",$Y$18:$Y$32,FALSE),SUMIFS($O$18:$O$32,$G$18:$G$32,A6,$A$18:$A$32,"P",$N$18:$N$32,"&lt;&gt;"&amp;"Ab.",$Y$18:$Y$32,TRUE)/_xlfn.XLOOKUP('GESTION DES JOUEURS'!$X$8&amp;RIGHT('GESTION DES JOUEURS'!$Y$8,1),Tableau14[Colonne1],Tableau14[coef. 2,80/3,10],"",0,1),SUMIFS($O$18:$O$32,$V$18:$V$32,A6,$A$18:$A$32,"P",$P$18:$P$32,"&lt;&gt;"&amp;"Ab.",$Y$18:$Y$32,FALSE),SUMIFS($O$18:$O$32,$V$18:$V$32,A6,$A$18:$A$32,"P",$P$18:$P$32,"&lt;&gt;"&amp;"Ab.",$Y$18:$Y$32,TRUE)/_xlfn.XLOOKUP('GESTION DES JOUEURS'!$X$8&amp;RIGHT('GESTION DES JOUEURS'!$Y$8,1),Tableau14[Colonne1],Tableau14[coef. 2,80/3,10],"",0,1)),"")</f>
        <v>48</v>
      </c>
      <c r="R6" s="38"/>
      <c r="S6" s="39">
        <f t="shared" ref="S6:S11" si="4">IFERROR(IF(Q6=0,"",MAX(_xlfn.MAXIFS($M$18:$M$32,$G$18:$G$32,A6,$A$18:$A$32,"P",$N$18:$N$32,"&lt;&gt;"&amp;"Ab."),_xlfn.MAXIFS($Q$18:$Q$32,$V$18:$V$32,A6,$A$18:$A$32,"P",$P$18:$P$32,"&lt;&gt;"&amp;"Ab."))),"")</f>
        <v>20</v>
      </c>
      <c r="T6" s="102">
        <f t="shared" ref="T6:T11" si="5">IFERROR(P6/Q6,"")</f>
        <v>4.166666666666667</v>
      </c>
      <c r="U6" s="102">
        <f t="shared" ref="U6:U11" si="6">IFERROR(IF(Q6=0,"",IF(MAX(_xlfn.MAXIFS($E$18:$E$32,$G$18:$G$32,A6,$A$18:$A$32,"P"),_xlfn.MAXIFS($W$18:$W$32,$V$18:$V$32,A6,$A$18:$A$32,"P"))=0,"/",MAX(_xlfn.MAXIFS($E$18:$E$32,$G$18:$G$32,A6,$A$18:$A$32,"P"),_xlfn.MAXIFS($W$18:$W$32,$V$18:$V$32,A6,$A$18:$A$32,"P")))),"")</f>
        <v>4.3478260869565215</v>
      </c>
      <c r="V6" s="112">
        <f t="shared" ref="V6:V11" si="7">IFERROR(IF(Q6=0,"",SUM(SUMIFS($D$18:$D$32,$G$18:$G$32,A6,$A$18:$A$32,"P"),SUMIFS($X$18:$X$32,$V$18:$V$32,A6,$A$18:$A$32,"P"))),"")</f>
        <v>4</v>
      </c>
      <c r="W6" s="37">
        <f>IF('GESTION DES JOUEURS'!$D$8="Open",AF6,IF(AND('GESTION DES JOUEURS'!$Y$8="D",$F$13="Poules",PouleATerminée="X"),_xlfn.XLOOKUP(_xlfn.XLOOKUP(B6,$B$37:$B$42,$Q$37:$Q$42,"",0,1),PTSRKPOULES[Clt],PTSRKPOULES[PR DISTRICT],"",0,1),IF(AND('GESTION DES JOUEURS'!$D$8="Poules",'GESTION DES JOUEURS'!$Y$8="R",PouleATerminée="X"),_xlfn.XLOOKUP(($AO$4&amp;_xlfn.XLOOKUP(B6,$B$37:$B$42,$Q$37:$Q$42,"",0,1)&amp;_xlfn.XLOOKUP(B6,$B$37:$B$42,PD!$AE$37:$AE$42,"",0,1)),PTSRKPOULES[Colonne1],PTSRKPOULES[PR 3B],"",0,1),IF(AND('GESTION DES JOUEURS'!$D$8="Poules",'GESTION DES JOUEURS'!$Y$8="JDSR",PouleATerminée="X"),_xlfn.XLOOKUP($AO$4&amp;_xlfn.XLOOKUP(B6,$B$37:$B$42,$Q$37:$Q$42,"",0,1)&amp;_xlfn.XLOOKUP(B6,$B$37:$B$42,PD!$AE$37:$AE$42,"",0,1),PTSRKPOULES[Colonne1],PTSRKPOULES[PR JDS],"",0,1),""))))</f>
        <v>8</v>
      </c>
      <c r="X6" s="40">
        <f>IF(T6="","",IF('GESTION DES JOUEURS'!$D$8="Open",AG6,IF(AND($F$13&lt;&gt;"Poules",OR('GESTION DES JOUEURS'!$Y$8="R",'GESTION DES JOUEURS'!$Y$8="JDSR")),"",IF(AND($F$13="Poules",OR('GESTION DES JOUEURS'!$Y$8="R",'GESTION DES JOUEURS'!$Y$8="JDSR"),T6&gt;_xlfn.XLOOKUP('GESTION DES JOUEURS'!$D$4,Distances[Mode de jeu et cat.],Distances[M 3],"",0,1)),_xlfn.XLOOKUP('GESTION DES JOUEURS'!$D$4,Distances[Mode de jeu et cat.],Distances[BT3],"",0,1)+SUM(CH6:CH10),IF(AND($F$13="Poules",OR('GESTION DES JOUEURS'!$Y$8="R",'GESTION DES JOUEURS'!$Y$8="JDSR"),T6&gt;_xlfn.XLOOKUP('GESTION DES JOUEURS'!$D$4,Distances[Mode de jeu et cat.],Distances[M 2],"",0,1)),_xlfn.XLOOKUP('GESTION DES JOUEURS'!$D$4,Distances[Mode de jeu et cat.],Distances[BT2],"",0,1)+SUM(CH6:CH10),IF(AND($F$13="Poules",OR('GESTION DES JOUEURS'!$Y$8="R",'GESTION DES JOUEURS'!$Y$8="JDSR"),T6&gt;_xlfn.XLOOKUP('GESTION DES JOUEURS'!$D$4,Distances[Mode de jeu et cat.],Distances[M 1],"",0,1)),_xlfn.XLOOKUP('GESTION DES JOUEURS'!$D$4,Distances[Mode de jeu et cat.],Distances[BT1],"",0,1)+SUM(CH6:CH10),IF(AND($F$13="Poules",OR('GESTION DES JOUEURS'!$Y$8="R",'GESTION DES JOUEURS'!$Y$8="JDSR"),T6&lt;_xlfn.XLOOKUP('GESTION DES JOUEURS'!$D$4,Distances[Mode de jeu et cat.],Distances[M 1],"",0,1)),0+SUM(CH6:CH10),IF(OR(M6="",$AO$4&lt;2),"",IF(OR(LEFT($F$13)="F",$AO$4&gt;4),"",IF(AND(B6=F18,AO4=2),AS18+AT19,SUM(CH6:CH10)))))))))))</f>
        <v>4</v>
      </c>
      <c r="Y6" s="371" t="str">
        <f>IF(AND('GESTION DES JOUEURS'!$D$8="Open",B6&lt;&gt;""),AE6,"")</f>
        <v/>
      </c>
      <c r="AD6" s="554" t="str" cm="1">
        <f t="array" ref="AD6">_xlfn.XLOOKUP(B6,Tableau19[Licence],'GESTION DES JOUEURS'!$O$11:$O$46,"",0,1)</f>
        <v>R2</v>
      </c>
      <c r="AE6" s="554" t="b">
        <f>IF(AND('GESTION DES JOUEURS'!$D$8="Open",'GESTION DES JOUEURS'!$X$8="Libre"),_xlfn.XLOOKUP(AD6,Tableau13[Cat.],Tableau13[Libre],"Cat ?",0,1),IF(AND('GESTION DES JOUEURS'!$D$8="Open",'GESTION DES JOUEURS'!$X$8="Bande"),_xlfn.XLOOKUP(AD6,Tableau13[Cat.],Tableau13[bande],"Cat ?",0,1),IF(AND('GESTION DES JOUEURS'!$D$8="Open",'GESTION DES JOUEURS'!$X$8="Cadre"),_xlfn.XLOOKUP(AD6,Tableau13[Cat.],Tableau13[Cadre],"Cat ?",0,1),IF(AND('GESTION DES JOUEURS'!$D$8="Open",'GESTION DES JOUEURS'!$X$8="3 Bandes"),_xlfn.XLOOKUP(AD6,Tableau13[Cat.],Tableau13[3 Bandes],"Cat ?",0,1)))))</f>
        <v>0</v>
      </c>
      <c r="AF6" s="554" t="str">
        <f>CI6</f>
        <v/>
      </c>
      <c r="AG6" s="554" t="str">
        <f>CJ6</f>
        <v/>
      </c>
      <c r="AN6" s="244"/>
      <c r="AO6" s="559" t="str">
        <f t="shared" ref="AO6:AO11" si="8">IF(N6="F",1,"")</f>
        <v/>
      </c>
      <c r="AP6" s="248"/>
      <c r="AQ6" s="307" t="str">
        <f t="shared" ref="AQ6:AQ11" si="9">IF(AO6=1,"",G6)</f>
        <v>ACADEMIE DE BILLARD DE MAISONS ALFORT</v>
      </c>
      <c r="AR6" s="807"/>
      <c r="AS6" s="310" t="str">
        <f t="shared" ref="AS6:AS11" si="10">IF(LEFT($B$15)="3",TEXT(J6,"0,000"),TEXT(J6,"0,00"))</f>
        <v>0,00</v>
      </c>
      <c r="AT6" s="308">
        <f t="shared" ref="AT6:AT11" si="11">IF(AO6=1,AT5,AT5+1)</f>
        <v>1</v>
      </c>
      <c r="AU6" s="308">
        <f t="shared" ref="AU6:AU11" si="12">IF(OR(A6="",AO6=1),"",AT6)</f>
        <v>1</v>
      </c>
      <c r="AV6" s="308">
        <f t="shared" ref="AV6:AV11" si="13">IF(AU6=1,1,"")</f>
        <v>1</v>
      </c>
      <c r="AW6" s="308">
        <f>AU6</f>
        <v>1</v>
      </c>
      <c r="AX6" s="309">
        <f t="shared" ref="AX6:AX11" si="14">_xlfn.XLOOKUP(AU6,$BC$69:$BE$69,$BC$70:$BE$70,"",0,1)</f>
        <v>1</v>
      </c>
      <c r="AY6" s="309">
        <f t="shared" ref="AY6:AY11" si="15">_xlfn.XLOOKUP(AU6,$BC$57:$BF$57,$BC$58:$BF$58,"",0,1)</f>
        <v>1</v>
      </c>
      <c r="AZ6" s="309">
        <f t="shared" ref="AZ6:AZ11" si="16">_xlfn.XLOOKUP(AU6,$BC$44:$BG$44,$BC$45:$BG$45,"",0,1)</f>
        <v>1</v>
      </c>
      <c r="BA6" s="309">
        <f t="shared" ref="BA6:BA11" si="17">_xlfn.XLOOKUP(AU6,$BC$30:$BH$30,$BC$31:$BH$31,"",0,1)</f>
        <v>1</v>
      </c>
      <c r="BD6" s="327">
        <v>1</v>
      </c>
      <c r="BE6" s="327"/>
      <c r="BF6" s="327"/>
      <c r="BG6" s="327"/>
      <c r="BH6" s="327"/>
      <c r="BI6" s="327"/>
      <c r="BJ6" s="327">
        <f t="shared" ref="BJ6:BJ11" si="18">COUNT(BD6:BI6)</f>
        <v>1</v>
      </c>
      <c r="BK6" s="244" t="str" cm="1">
        <f t="array" ref="BK6:BK11">_xlfn.SORTBY(AQ6:AQ11,AU6:AU11,1)</f>
        <v>ACADEMIE DE BILLARD DE MAISONS ALFORT</v>
      </c>
      <c r="BV6" s="286" t="s">
        <v>5466</v>
      </c>
      <c r="BW6" s="287" t="str" cm="1">
        <f t="array" ref="BW6">_xlfn.XLOOKUP(A6&amp;A11,G18:G32&amp;V18:V32,N18:N32,_xlfn.XLOOKUP(A11&amp;A6,G18:G32&amp;V18:V32,P18:P32,"",0,1),0,1)</f>
        <v/>
      </c>
      <c r="BX6" s="287" t="str" cm="1">
        <f t="array" ref="BX6">_xlfn.XLOOKUP(A6&amp;A11,G18:G32&amp;V18:V32,P18:P32,_xlfn.XLOOKUP(A11&amp;A6,G18:G32&amp;V18:V32,N18:N32,"",0,1),0,1)</f>
        <v/>
      </c>
      <c r="BY6" s="287" t="str" cm="1">
        <f t="array" ref="BY6">_xlfn.XLOOKUP(A6&amp;A11,$G$18:$G$32&amp;$V$18:$V$32,$M$18:$M$32,"",0,1)</f>
        <v/>
      </c>
      <c r="BZ6" s="287" t="str" cm="1">
        <f t="array" ref="BZ6">_xlfn.XLOOKUP(A6&amp;A11,$G$18:$G$32&amp;$V$18:$V$32,$Q$18:$Q$32,"",0,1)</f>
        <v/>
      </c>
      <c r="CA6" s="287" t="str" cm="1">
        <f t="array" ref="CA6">_xlfn.XLOOKUP(A6&amp;A11,G18:G32&amp;V18:V32,O18:O32,_xlfn.XLOOKUP(A11&amp;A6,G18:G32&amp;V18:V32,O18:O32,"",0,1),0,1)</f>
        <v/>
      </c>
      <c r="CB6" s="288" t="str" cm="1">
        <f t="array" ref="CB6">_xlfn.XLOOKUP(A6&amp;A11,G18:G32&amp;V18:V32,A18:A32,"",0,1)</f>
        <v/>
      </c>
      <c r="CC6" s="289" t="str">
        <f>IF(COUNTBLANK($AO$6:$AO$11)=2,SUM(BW6,BX35),IF(BW6="",BX35,BW6))</f>
        <v/>
      </c>
      <c r="CD6" s="287" t="str">
        <f>IF(CC6="Ab.","",IF(BY6="",BZ35,BY6))</f>
        <v/>
      </c>
      <c r="CE6" s="287" t="str">
        <f>IF(CC6="ab.","",CA6)</f>
        <v/>
      </c>
      <c r="CF6" s="290" t="str">
        <f>IF(CB6="",CB35,CB6)</f>
        <v/>
      </c>
      <c r="CG6" s="291" t="str" cm="1">
        <f t="array" ref="CG6">_xlfn.XLOOKUP(BV6,$G$18:$G$32&amp;"-"&amp;$V$18:$V$32,$D$18:$D$32,_xlfn.XLOOKUP(BV35,$G$18:$G$32&amp;"-"&amp;$V$18:$V$32,$X$18:$X$32,"",0,1),0,1)</f>
        <v/>
      </c>
      <c r="CH6" s="174" t="str" cm="1">
        <f t="array" ref="CH6">_xlfn.XLOOKUP(BV6,$G$18:$G$32&amp;"-"&amp;$V$18:$V$32,$AS$18:$AS$32,_xlfn.XLOOKUP(BV35,$G$18:$G$32&amp;"-"&amp;$V$18:$V$32,$AT$18:$AT$32,"",0,1),0,1)</f>
        <v/>
      </c>
      <c r="CI6" s="817" t="str">
        <f>IFERROR(IF('GESTION DES JOUEURS'!$D$8="Open",SUMIF(CF6:CF10,"P",BW6:BW10)/(COUNTIF(CF6:CF10,"P")*AE6),""),0)</f>
        <v/>
      </c>
      <c r="CJ6" s="820" t="str">
        <f>IFERROR(IF('GESTION DES JOUEURS'!$D$8="Open",SUMIF(CF6:CF10,"P",BX6:BX10)/SUMIF(CF6:CF10,"P",CL6:CL10),""),0)</f>
        <v/>
      </c>
      <c r="CK6" s="557">
        <f>VALUE(RIGHT(BV6,1))</f>
        <v>6</v>
      </c>
      <c r="CL6" s="557" t="str">
        <f t="shared" ref="CL6:CL35" si="19">_xlfn.XLOOKUP(CK6,$A$6:$A$11,$AE$6:$AE$11,"",0,1)</f>
        <v/>
      </c>
    </row>
    <row r="7" spans="1:90" ht="15" x14ac:dyDescent="0.25">
      <c r="A7" s="365">
        <f t="shared" si="0"/>
        <v>2</v>
      </c>
      <c r="B7" s="41" t="str">
        <f>IFERROR(VLOOKUP("D2",'GESTION DES JOUEURS'!$AG$11:$AI$46,3,FALSE),"")</f>
        <v>013428M</v>
      </c>
      <c r="C7" s="766" t="str">
        <f>IFERROR(IF(B7="","",_xlfn.XLOOKUP(B7,'LICENCES 2025'!A:A,'LICENCES 2025'!G:G," ",0,1)),"")</f>
        <v>KEREBEL</v>
      </c>
      <c r="D7" s="767"/>
      <c r="E7" s="728" t="str">
        <f>IFERROR(IF(B7="","",_xlfn.XLOOKUP(B7,'LICENCES 2025'!A:A,'LICENCES 2025'!F:F,"",0,1)),"")</f>
        <v>ERIC</v>
      </c>
      <c r="F7" s="728"/>
      <c r="G7" s="802" t="str">
        <f>IFERROR(IF(B7="","",_xlfn.XLOOKUP(B7,'LICENCES 2025'!A:A,'LICENCES 2025'!E:E,"",0,1)),"")</f>
        <v>ASS. BILLARD AMATEUR DE SAINT MAUR</v>
      </c>
      <c r="H7" s="803"/>
      <c r="I7" s="356">
        <f>_xlfn.XLOOKUP(B7,Tableau19[Licence],Tableau19[Clt],"",0,1)</f>
        <v>5</v>
      </c>
      <c r="J7" s="258">
        <f>_xlfn.XLOOKUP(B7,Tableau19[Licence],Tableau19[Moy Gén],"",0,1)</f>
        <v>0</v>
      </c>
      <c r="K7" s="230" t="str">
        <f>IF(A7="","",IF($B$15="Cadre N1/N2",_xlfn.XLOOKUP(B7,Tableau1[LICENCE],Tableau1[Catégorie],"NC",0,1),IF(_xlfn.XLOOKUP($B$15,Distances!$D$2:$D$77,Distances!$A$2:$A$77,"",0,1)="Libre",_xlfn.XLOOKUP(B7,Tableau2[LICENCE],Tableau2[Catégorie],"NC",0,1),IF(_xlfn.XLOOKUP($B$15,Distances!$D$2:$D$77,Distances!$A$2:$A$77,"",0,1)="Bande",_xlfn.XLOOKUP(B7,Tableau3[LICENCE],Tableau3[Catégorie],"NC",0,1),IF(_xlfn.XLOOKUP($B$15,Distances!$D$2:$D$77,Distances!$A$2:$A$77,"",0,1)="cadre",_xlfn.XLOOKUP(B7,Tableau1[LICENCE],Tableau1[Catégorie],"NC",0,1),IF(_xlfn.XLOOKUP($B$15,Distances!$D$2:$D$77,Distances!$A$2:$A$77,"",0,1)="3 Bandes",_xlfn.XLOOKUP(B7,Tableau4[LICENCE],Tableau4[Catégorie],"NC",0,1)))))))</f>
        <v>R2 </v>
      </c>
      <c r="L7" s="259">
        <f t="shared" si="1"/>
        <v>1</v>
      </c>
      <c r="M7" s="386">
        <f t="shared" si="2"/>
        <v>2</v>
      </c>
      <c r="N7" s="252" t="str">
        <f>IFERROR(IF(VLOOKUP(B7,Tableau19[],10,FALSE)=TRUE,"F",""),"")</f>
        <v/>
      </c>
      <c r="O7" s="253"/>
      <c r="P7" s="103">
        <f t="shared" si="3"/>
        <v>132</v>
      </c>
      <c r="Q7" s="42">
        <f>IFERROR(SUM(SUMIFS($O$18:$O$32,$G$18:$G$32,A7,$A$18:$A$32,"P",$N$18:$N$32,"&lt;&gt;"&amp;"Ab.",$Y$18:$Y$32,FALSE),SUMIFS($O$18:$O$32,$G$18:$G$32,A7,$A$18:$A$32,"P",$N$18:$N$32,"&lt;&gt;"&amp;"Ab.",$Y$18:$Y$32,TRUE)/_xlfn.XLOOKUP('GESTION DES JOUEURS'!$X$8&amp;RIGHT('GESTION DES JOUEURS'!$Y$8,1),Tableau14[Colonne1],Tableau14[coef. 2,80/3,10],"",0,1),SUMIFS($O$18:$O$32,$V$18:$V$32,A7,$A$18:$A$32,"P",$P$18:$P$32,"&lt;&gt;"&amp;"Ab.",$Y$18:$Y$32,FALSE),SUMIFS($O$18:$O$32,$V$18:$V$32,A7,$A$18:$A$32,"P",$P$18:$P$32,"&lt;&gt;"&amp;"Ab.",$Y$18:$Y$32,TRUE)/_xlfn.XLOOKUP('GESTION DES JOUEURS'!$X$8&amp;RIGHT('GESTION DES JOUEURS'!$Y$8,1),Tableau14[Colonne1],Tableau14[coef. 2,80/3,10],"",0,1)),"")</f>
        <v>48</v>
      </c>
      <c r="R7" s="42"/>
      <c r="S7" s="43">
        <f t="shared" si="4"/>
        <v>20</v>
      </c>
      <c r="T7" s="104">
        <f t="shared" si="5"/>
        <v>2.75</v>
      </c>
      <c r="U7" s="104" t="str">
        <f t="shared" si="6"/>
        <v>/</v>
      </c>
      <c r="V7" s="116">
        <f t="shared" si="7"/>
        <v>0</v>
      </c>
      <c r="W7" s="41">
        <f>IF('GESTION DES JOUEURS'!$D$8="Open",AF7,IF(AND('GESTION DES JOUEURS'!$Y$8="D",$F$13="Poules",PouleATerminée="X"),_xlfn.XLOOKUP(_xlfn.XLOOKUP(B7,$B$37:$B$42,$Q$37:$Q$42,"",0,1),PTSRKPOULES[Clt],PTSRKPOULES[PR DISTRICT],"",0,1),IF(AND('GESTION DES JOUEURS'!$D$8="Poules",'GESTION DES JOUEURS'!$Y$8="R",PouleATerminée="X"),_xlfn.XLOOKUP(($AO$4&amp;_xlfn.XLOOKUP(B7,$B$37:$B$42,$Q$37:$Q$42,"",0,1)&amp;_xlfn.XLOOKUP(B7,$B$37:$B$42,PD!$AE$37:$AE$42,"",0,1)),PTSRKPOULES[Colonne1],PTSRKPOULES[PR 3B],"",0,1),IF(AND('GESTION DES JOUEURS'!$D$8="Poules",'GESTION DES JOUEURS'!$Y$8="JDSR",PouleATerminée="X"),_xlfn.XLOOKUP($AO$4&amp;_xlfn.XLOOKUP(B7,$B$37:$B$42,$Q$37:$Q$42,"",0,1)&amp;_xlfn.XLOOKUP(B7,$B$37:$B$42,PD!$AE$37:$AE$42,"",0,1),PTSRKPOULES[Colonne1],PTSRKPOULES[PR JDS],"",0,1),""))))</f>
        <v>5</v>
      </c>
      <c r="X7" s="44">
        <f>IF(T7="","",IF('GESTION DES JOUEURS'!$D$8="Open",AG7,IF(AND($F$13&lt;&gt;"Poules",OR('GESTION DES JOUEURS'!$Y$8="R",'GESTION DES JOUEURS'!$Y$8="JDSR")),"",IF(AND($F$13="Poules",OR('GESTION DES JOUEURS'!$Y$8="R",'GESTION DES JOUEURS'!$Y$8="JDSR"),T7&gt;_xlfn.XLOOKUP('GESTION DES JOUEURS'!$D$4,Distances[Mode de jeu et cat.],Distances[M 3],"",0,1)),_xlfn.XLOOKUP('GESTION DES JOUEURS'!$D$4,Distances[Mode de jeu et cat.],Distances[BT3],"",0,1)+SUM(CH7:CH11),IF(AND($F$13="Poules",OR('GESTION DES JOUEURS'!$Y$8="R",'GESTION DES JOUEURS'!$Y$8="JDSR"),T7&gt;_xlfn.XLOOKUP('GESTION DES JOUEURS'!$D$4,Distances[Mode de jeu et cat.],Distances[M 2],"",0,1)),_xlfn.XLOOKUP('GESTION DES JOUEURS'!$D$4,Distances[Mode de jeu et cat.],Distances[BT2],"",0,1)+SUM(CH7:CH11),IF(AND($F$13="Poules",OR('GESTION DES JOUEURS'!$Y$8="R",'GESTION DES JOUEURS'!$Y$8="JDSR"),T7&gt;_xlfn.XLOOKUP('GESTION DES JOUEURS'!$D$4,Distances[Mode de jeu et cat.],Distances[M 1],"",0,1)),_xlfn.XLOOKUP('GESTION DES JOUEURS'!$D$4,Distances[Mode de jeu et cat.],Distances[BT1],"",0,1)+SUM(CH7:CH11),IF(AND($F$13="Poules",OR('GESTION DES JOUEURS'!$Y$8="R",'GESTION DES JOUEURS'!$Y$8="JDSR"),T7&lt;_xlfn.XLOOKUP('GESTION DES JOUEURS'!$D$4,Distances[Mode de jeu et cat.],Distances[M 1],"",0,1)),0+SUM(CH7:CH11),IF(OR(M7="",$AO$4&lt;2),"",IF(OR(LEFT($F$13)="F",$AO$4&gt;4),"",IF(AND(B7=F19,AO5=2),AS19+AT20,SUM(CH7:CH11)))))))))))</f>
        <v>2</v>
      </c>
      <c r="Y7" s="371" t="str">
        <f>IF(AND('GESTION DES JOUEURS'!$D$8="Open",B7&lt;&gt;""),AE7,"")</f>
        <v/>
      </c>
      <c r="AA7" s="901" t="s">
        <v>8129</v>
      </c>
      <c r="AD7" s="554" t="str" cm="1">
        <f t="array" ref="AD7">_xlfn.XLOOKUP(B7,Tableau19[Licence],'GESTION DES JOUEURS'!$O$11:$O$46,"",0,1)</f>
        <v>R2</v>
      </c>
      <c r="AE7" s="554" t="b">
        <f>IF(AND('GESTION DES JOUEURS'!$D$8="Open",'GESTION DES JOUEURS'!$X$8="Libre"),_xlfn.XLOOKUP(AD7,Tableau13[Cat.],Tableau13[Libre],"Cat ?",0,1),IF(AND('GESTION DES JOUEURS'!$D$8="Open",'GESTION DES JOUEURS'!$X$8="Bande"),_xlfn.XLOOKUP(AD7,Tableau13[Cat.],Tableau13[bande],"Cat ?",0,1),IF(AND('GESTION DES JOUEURS'!$D$8="Open",'GESTION DES JOUEURS'!$X$8="Cadre"),_xlfn.XLOOKUP(AD7,Tableau13[Cat.],Tableau13[Cadre],"Cat ?",0,1),IF(AND('GESTION DES JOUEURS'!$D$8="Open",'GESTION DES JOUEURS'!$X$8="3 Bandes"),_xlfn.XLOOKUP(AD7,Tableau13[Cat.],Tableau13[3 Bandes],"Cat ?",0,1)))))</f>
        <v>0</v>
      </c>
      <c r="AF7" s="554" t="str">
        <f>CI11</f>
        <v/>
      </c>
      <c r="AG7" s="554" t="str">
        <f>CJ11</f>
        <v/>
      </c>
      <c r="AN7" s="244"/>
      <c r="AO7" s="559" t="str">
        <f t="shared" si="8"/>
        <v/>
      </c>
      <c r="AP7" s="248"/>
      <c r="AQ7" s="307" t="str">
        <f t="shared" si="9"/>
        <v>ASS. BILLARD AMATEUR DE SAINT MAUR</v>
      </c>
      <c r="AR7" s="807"/>
      <c r="AS7" s="310" t="str">
        <f t="shared" si="10"/>
        <v>0,00</v>
      </c>
      <c r="AT7" s="308">
        <f t="shared" si="11"/>
        <v>2</v>
      </c>
      <c r="AU7" s="308">
        <f t="shared" si="12"/>
        <v>2</v>
      </c>
      <c r="AV7" s="308" t="str">
        <f t="shared" si="13"/>
        <v/>
      </c>
      <c r="AW7" s="308">
        <f>AU7</f>
        <v>2</v>
      </c>
      <c r="AX7" s="309">
        <f t="shared" si="14"/>
        <v>2</v>
      </c>
      <c r="AY7" s="309">
        <f t="shared" si="15"/>
        <v>2</v>
      </c>
      <c r="AZ7" s="309">
        <f t="shared" si="16"/>
        <v>2</v>
      </c>
      <c r="BA7" s="309">
        <f t="shared" si="17"/>
        <v>2</v>
      </c>
      <c r="BD7" s="327" t="b">
        <f>IF(BK7=BK6,A7)</f>
        <v>0</v>
      </c>
      <c r="BE7" s="327">
        <v>2</v>
      </c>
      <c r="BF7" s="327"/>
      <c r="BG7" s="327"/>
      <c r="BH7" s="327"/>
      <c r="BI7" s="327"/>
      <c r="BJ7" s="327">
        <f t="shared" si="18"/>
        <v>1</v>
      </c>
      <c r="BK7" s="244" t="str">
        <v>ASS. BILLARD AMATEUR DE SAINT MAUR</v>
      </c>
      <c r="BV7" s="292" t="s">
        <v>5467</v>
      </c>
      <c r="BW7" s="223" t="str" cm="1">
        <f t="array" ref="BW7">_xlfn.XLOOKUP(A6&amp;A10,G18:G32&amp;V18:V32,N18:N32,_xlfn.XLOOKUP(A10&amp;A6,G18:G32&amp;V18:V32,P18:P32,"",0,1),0,1)</f>
        <v/>
      </c>
      <c r="BX7" s="223" t="str" cm="1">
        <f t="array" ref="BX7">_xlfn.XLOOKUP(A6&amp;A10,G18:G32&amp;V18:V32,P18:P32,_xlfn.XLOOKUP(A10&amp;A6,G18:G32&amp;V18:V32,N18:N32,"",0,1),0,1)</f>
        <v/>
      </c>
      <c r="BY7" s="223" t="str" cm="1">
        <f t="array" ref="BY7">_xlfn.XLOOKUP(A6&amp;A10,$G$18:$G$32&amp;$V$18:$V$32,$M$18:$M$32,"",0,1)</f>
        <v/>
      </c>
      <c r="BZ7" s="223" t="str" cm="1">
        <f t="array" ref="BZ7">_xlfn.XLOOKUP(A6&amp;A10,$G$18:$G$32&amp;$V$18:$V$32,$Q$18:$Q$32,"",0,1)</f>
        <v/>
      </c>
      <c r="CA7" s="223" t="str" cm="1">
        <f t="array" ref="CA7">_xlfn.XLOOKUP(A6&amp;A10,G18:G32&amp;V18:V32,O18:O32,_xlfn.XLOOKUP(A10&amp;A6,G18:G32&amp;V18:V32,O18:O32,"",0,1),0,1)</f>
        <v/>
      </c>
      <c r="CB7" s="293" t="str" cm="1">
        <f t="array" ref="CB7">_xlfn.XLOOKUP(A6&amp;A10,G18:G32&amp;V18:V32,A18:A32,"",0,1)</f>
        <v/>
      </c>
      <c r="CC7" s="237" t="str">
        <f>IF(COUNTBLANK($AO$6:$AO$11)=2,SUM(BW7,BX30),IF(BW7="",BX30,BW7))</f>
        <v/>
      </c>
      <c r="CD7" s="223" t="str">
        <f>IF(CC7="Ab.","",IF(BY7="",BZ30,BY7))</f>
        <v/>
      </c>
      <c r="CE7" s="223" t="str">
        <f t="shared" ref="CE7:CE35" si="20">IF(CC7="ab.","",CA7)</f>
        <v/>
      </c>
      <c r="CF7" s="294" t="str">
        <f>IF(CB7="",CB30,CB7)</f>
        <v/>
      </c>
      <c r="CG7" s="295" t="str" cm="1">
        <f t="array" ref="CG7">_xlfn.XLOOKUP(BV7,$G$18:$G$32&amp;"-"&amp;$V$18:$V$32,$D$18:$D$32,_xlfn.XLOOKUP(BV30,$G$18:$G$32&amp;"-"&amp;$V$18:$V$32,$X$18:$X$32,"",0,1),0,1)</f>
        <v/>
      </c>
      <c r="CH7" s="175" t="str" cm="1">
        <f t="array" ref="CH7">_xlfn.XLOOKUP(BV7,$G$18:$G$32&amp;"-"&amp;$V$18:$V$32,$AS$18:$AS$32,_xlfn.XLOOKUP(BV30,$G$18:$G$32&amp;"-"&amp;$V$18:$V$32,$AT$18:$AT$32,"",0,1),0,1)</f>
        <v/>
      </c>
      <c r="CI7" s="818"/>
      <c r="CJ7" s="821"/>
      <c r="CK7" s="557">
        <f t="shared" ref="CK7:CK35" si="21">VALUE(RIGHT(BV7,1))</f>
        <v>5</v>
      </c>
      <c r="CL7" s="557" t="str">
        <f t="shared" si="19"/>
        <v/>
      </c>
    </row>
    <row r="8" spans="1:90" ht="15" x14ac:dyDescent="0.25">
      <c r="A8" s="365" t="str">
        <f t="shared" si="0"/>
        <v/>
      </c>
      <c r="B8" s="41" t="str">
        <f>IFERROR(VLOOKUP("D3",'GESTION DES JOUEURS'!$AG$11:$AI$46,3,FALSE),"")</f>
        <v/>
      </c>
      <c r="C8" s="766" t="str">
        <f>IFERROR(IF(B8="","",_xlfn.XLOOKUP(B8,'LICENCES 2025'!A:A,'LICENCES 2025'!G:G," ",0,1)),"")</f>
        <v/>
      </c>
      <c r="D8" s="767"/>
      <c r="E8" s="728" t="str">
        <f>IFERROR(IF(B8="","",_xlfn.XLOOKUP(B8,'LICENCES 2025'!A:A,'LICENCES 2025'!F:F,"",0,1)),"")</f>
        <v/>
      </c>
      <c r="F8" s="728"/>
      <c r="G8" s="802" t="str">
        <f>IFERROR(IF(B8="","",_xlfn.XLOOKUP(B8,'LICENCES 2025'!A:A,'LICENCES 2025'!E:E,"",0,1)),"")</f>
        <v/>
      </c>
      <c r="H8" s="803"/>
      <c r="I8" s="356" t="str">
        <f>_xlfn.XLOOKUP(B8,Tableau19[Licence],Tableau19[Clt],"",0,1)</f>
        <v/>
      </c>
      <c r="J8" s="258" t="str">
        <f>_xlfn.XLOOKUP(B8,Tableau19[Licence],Tableau19[Moy Gén],"",0,1)</f>
        <v/>
      </c>
      <c r="K8" s="230" t="str">
        <f>IF(A8="","",IF($B$15="Cadre N1/N2",_xlfn.XLOOKUP(B8,Tableau1[LICENCE],Tableau1[Catégorie],"NC",0,1),IF(_xlfn.XLOOKUP($B$15,Distances!$D$2:$D$77,Distances!$A$2:$A$77,"",0,1)="Libre",_xlfn.XLOOKUP(B8,Tableau2[LICENCE],Tableau2[Catégorie],"NC",0,1),IF(_xlfn.XLOOKUP($B$15,Distances!$D$2:$D$77,Distances!$A$2:$A$77,"",0,1)="Bande",_xlfn.XLOOKUP(B8,Tableau3[LICENCE],Tableau3[Catégorie],"NC",0,1),IF(_xlfn.XLOOKUP($B$15,Distances!$D$2:$D$77,Distances!$A$2:$A$77,"",0,1)="cadre",_xlfn.XLOOKUP(B8,Tableau1[LICENCE],Tableau1[Catégorie],"NC",0,1),IF(_xlfn.XLOOKUP($B$15,Distances!$D$2:$D$77,Distances!$A$2:$A$77,"",0,1)="3 Bandes",_xlfn.XLOOKUP(B8,Tableau4[LICENCE],Tableau4[Catégorie],"NC",0,1)))))))</f>
        <v/>
      </c>
      <c r="L8" s="259" t="str">
        <f t="shared" si="1"/>
        <v/>
      </c>
      <c r="M8" s="386" t="str">
        <f t="shared" si="2"/>
        <v/>
      </c>
      <c r="N8" s="252" t="str">
        <f>IFERROR(IF(VLOOKUP(B8,Tableau19[],10,FALSE)=TRUE,"F",""),"")</f>
        <v/>
      </c>
      <c r="O8" s="253"/>
      <c r="P8" s="103">
        <f t="shared" si="3"/>
        <v>0</v>
      </c>
      <c r="Q8" s="42">
        <f>IFERROR(SUM(SUMIFS($O$18:$O$32,$G$18:$G$32,A8,$A$18:$A$32,"P",$N$18:$N$32,"&lt;&gt;"&amp;"Ab.",$Y$18:$Y$32,FALSE),SUMIFS($O$18:$O$32,$G$18:$G$32,A8,$A$18:$A$32,"P",$N$18:$N$32,"&lt;&gt;"&amp;"Ab.",$Y$18:$Y$32,TRUE)/_xlfn.XLOOKUP('GESTION DES JOUEURS'!$X$8&amp;RIGHT('GESTION DES JOUEURS'!$Y$8,1),Tableau14[Colonne1],Tableau14[coef. 2,80/3,10],"",0,1),SUMIFS($O$18:$O$32,$V$18:$V$32,A8,$A$18:$A$32,"P",$P$18:$P$32,"&lt;&gt;"&amp;"Ab.",$Y$18:$Y$32,FALSE),SUMIFS($O$18:$O$32,$V$18:$V$32,A8,$A$18:$A$32,"P",$P$18:$P$32,"&lt;&gt;"&amp;"Ab.",$Y$18:$Y$32,TRUE)/_xlfn.XLOOKUP('GESTION DES JOUEURS'!$X$8&amp;RIGHT('GESTION DES JOUEURS'!$Y$8,1),Tableau14[Colonne1],Tableau14[coef. 2,80/3,10],"",0,1)),"")</f>
        <v>0</v>
      </c>
      <c r="R8" s="42"/>
      <c r="S8" s="43" t="str">
        <f t="shared" si="4"/>
        <v/>
      </c>
      <c r="T8" s="104" t="str">
        <f t="shared" si="5"/>
        <v/>
      </c>
      <c r="U8" s="104" t="str">
        <f t="shared" si="6"/>
        <v/>
      </c>
      <c r="V8" s="116" t="str">
        <f t="shared" si="7"/>
        <v/>
      </c>
      <c r="W8" s="41" t="str">
        <f>IF('GESTION DES JOUEURS'!$D$8="Open",AF8,IF(AND('GESTION DES JOUEURS'!$Y$8="D",$F$13="Poules",PouleATerminée="X"),_xlfn.XLOOKUP(_xlfn.XLOOKUP(B8,$B$37:$B$42,$Q$37:$Q$42,"",0,1),PTSRKPOULES[Clt],PTSRKPOULES[PR DISTRICT],"",0,1),IF(AND('GESTION DES JOUEURS'!$D$8="Poules",'GESTION DES JOUEURS'!$Y$8="R",PouleATerminée="X"),_xlfn.XLOOKUP(($AO$4&amp;_xlfn.XLOOKUP(B8,$B$37:$B$42,$Q$37:$Q$42,"",0,1)&amp;_xlfn.XLOOKUP(B8,$B$37:$B$42,PD!$AE$37:$AE$42,"",0,1)),PTSRKPOULES[Colonne1],PTSRKPOULES[PR 3B],"",0,1),IF(AND('GESTION DES JOUEURS'!$D$8="Poules",'GESTION DES JOUEURS'!$Y$8="JDSR",PouleATerminée="X"),_xlfn.XLOOKUP($AO$4&amp;_xlfn.XLOOKUP(B8,$B$37:$B$42,$Q$37:$Q$42,"",0,1)&amp;_xlfn.XLOOKUP(B8,$B$37:$B$42,PD!$AE$37:$AE$42,"",0,1),PTSRKPOULES[Colonne1],PTSRKPOULES[PR JDS],"",0,1),""))))</f>
        <v/>
      </c>
      <c r="X8" s="44" t="str">
        <f>IF(T8="","",IF('GESTION DES JOUEURS'!$D$8="Open",AG8,IF(AND($F$13&lt;&gt;"Poules",OR('GESTION DES JOUEURS'!$Y$8="R",'GESTION DES JOUEURS'!$Y$8="JDSR")),"",IF(AND($F$13="Poules",OR('GESTION DES JOUEURS'!$Y$8="R",'GESTION DES JOUEURS'!$Y$8="JDSR"),T8&gt;_xlfn.XLOOKUP('GESTION DES JOUEURS'!$D$4,Distances[Mode de jeu et cat.],Distances[M 3],"",0,1)),_xlfn.XLOOKUP('GESTION DES JOUEURS'!$D$4,Distances[Mode de jeu et cat.],Distances[BT3],"",0,1)+SUM(CH8:CH12),IF(AND($F$13="Poules",OR('GESTION DES JOUEURS'!$Y$8="R",'GESTION DES JOUEURS'!$Y$8="JDSR"),T8&gt;_xlfn.XLOOKUP('GESTION DES JOUEURS'!$D$4,Distances[Mode de jeu et cat.],Distances[M 2],"",0,1)),_xlfn.XLOOKUP('GESTION DES JOUEURS'!$D$4,Distances[Mode de jeu et cat.],Distances[BT2],"",0,1)+SUM(CH8:CH12),IF(AND($F$13="Poules",OR('GESTION DES JOUEURS'!$Y$8="R",'GESTION DES JOUEURS'!$Y$8="JDSR"),T8&gt;_xlfn.XLOOKUP('GESTION DES JOUEURS'!$D$4,Distances[Mode de jeu et cat.],Distances[M 1],"",0,1)),_xlfn.XLOOKUP('GESTION DES JOUEURS'!$D$4,Distances[Mode de jeu et cat.],Distances[BT1],"",0,1)+SUM(CH8:CH12),IF(AND($F$13="Poules",OR('GESTION DES JOUEURS'!$Y$8="R",'GESTION DES JOUEURS'!$Y$8="JDSR"),T8&lt;_xlfn.XLOOKUP('GESTION DES JOUEURS'!$D$4,Distances[Mode de jeu et cat.],Distances[M 1],"",0,1)),0+SUM(CH8:CH12),IF(OR(M8="",$AO$4&lt;2),"",IF(OR(LEFT($F$13)="F",$AO$4&gt;4),"",IF(AND(B8=F20,AO6=2),AS20+AT21,SUM(CH8:CH12)))))))))))</f>
        <v/>
      </c>
      <c r="Y8" s="371" t="str">
        <f>IF(AND('GESTION DES JOUEURS'!$D$8="Open",B8&lt;&gt;""),AE8,"")</f>
        <v/>
      </c>
      <c r="AA8" s="902"/>
      <c r="AD8" s="554" t="str" cm="1">
        <f t="array" ref="AD8">_xlfn.XLOOKUP(B8,Tableau19[Licence],'GESTION DES JOUEURS'!$O$11:$O$46,"",0,1)</f>
        <v/>
      </c>
      <c r="AE8" s="554" t="b">
        <f>IF(AND('GESTION DES JOUEURS'!$D$8="Open",'GESTION DES JOUEURS'!$X$8="Libre"),_xlfn.XLOOKUP(AD8,Tableau13[Cat.],Tableau13[Libre],"Cat ?",0,1),IF(AND('GESTION DES JOUEURS'!$D$8="Open",'GESTION DES JOUEURS'!$X$8="Bande"),_xlfn.XLOOKUP(AD8,Tableau13[Cat.],Tableau13[bande],"Cat ?",0,1),IF(AND('GESTION DES JOUEURS'!$D$8="Open",'GESTION DES JOUEURS'!$X$8="Cadre"),_xlfn.XLOOKUP(AD8,Tableau13[Cat.],Tableau13[Cadre],"Cat ?",0,1),IF(AND('GESTION DES JOUEURS'!$D$8="Open",'GESTION DES JOUEURS'!$X$8="3 Bandes"),_xlfn.XLOOKUP(AD8,Tableau13[Cat.],Tableau13[3 Bandes],"Cat ?",0,1)))))</f>
        <v>0</v>
      </c>
      <c r="AF8" s="554" t="str">
        <f>CI16</f>
        <v/>
      </c>
      <c r="AG8" s="554" t="str">
        <f>CJ16</f>
        <v/>
      </c>
      <c r="AN8" s="244"/>
      <c r="AO8" s="559" t="str">
        <f t="shared" si="8"/>
        <v/>
      </c>
      <c r="AP8" s="248"/>
      <c r="AQ8" s="307" t="str">
        <f t="shared" si="9"/>
        <v/>
      </c>
      <c r="AR8" s="807"/>
      <c r="AS8" s="310" t="str">
        <f t="shared" si="10"/>
        <v/>
      </c>
      <c r="AT8" s="308">
        <f t="shared" si="11"/>
        <v>3</v>
      </c>
      <c r="AU8" s="308" t="str">
        <f t="shared" si="12"/>
        <v/>
      </c>
      <c r="AV8" s="308" t="str">
        <f t="shared" si="13"/>
        <v/>
      </c>
      <c r="AW8" s="308" t="str">
        <f>IF(SUM($AW$6:AW7)=3,"",AU8)</f>
        <v/>
      </c>
      <c r="AX8" s="309" t="str">
        <f t="shared" si="14"/>
        <v/>
      </c>
      <c r="AY8" s="309" t="str">
        <f t="shared" si="15"/>
        <v/>
      </c>
      <c r="AZ8" s="309" t="str">
        <f t="shared" si="16"/>
        <v/>
      </c>
      <c r="BA8" s="309" t="str">
        <f t="shared" si="17"/>
        <v/>
      </c>
      <c r="BD8" s="327" t="b">
        <f>IF(BK8=BK6,A8)</f>
        <v>0</v>
      </c>
      <c r="BE8" s="327" t="b">
        <f>IF(BK8=BK7,A8)</f>
        <v>0</v>
      </c>
      <c r="BF8" s="327">
        <v>3</v>
      </c>
      <c r="BG8" s="327"/>
      <c r="BH8" s="327"/>
      <c r="BI8" s="327"/>
      <c r="BJ8" s="327">
        <f t="shared" si="18"/>
        <v>1</v>
      </c>
      <c r="BK8" s="244" t="str">
        <v/>
      </c>
      <c r="BV8" s="292" t="s">
        <v>5468</v>
      </c>
      <c r="BW8" s="223" t="str" cm="1">
        <f t="array" ref="BW8">_xlfn.XLOOKUP(A6&amp;A9,G18:G32&amp;V18:V32,N18:N32,_xlfn.XLOOKUP(A9&amp;A6,G18:G32&amp;V18:V32,P18:P32,"",0,1),0,1)</f>
        <v/>
      </c>
      <c r="BX8" s="223" t="str" cm="1">
        <f t="array" ref="BX8">_xlfn.XLOOKUP(A6&amp;A9,G18:G32&amp;V18:V32,P18:P32,_xlfn.XLOOKUP(A9&amp;A6,G18:G32&amp;V18:V32,N18:N32,"",0,1),0,1)</f>
        <v/>
      </c>
      <c r="BY8" s="223" t="str" cm="1">
        <f t="array" ref="BY8">_xlfn.XLOOKUP(A6&amp;A9,$G$18:$G$32&amp;$V$18:$V$32,$M$18:$M$32,"",0,1)</f>
        <v/>
      </c>
      <c r="BZ8" s="223" t="str" cm="1">
        <f t="array" ref="BZ8">_xlfn.XLOOKUP(A6&amp;A9,$G$18:$G$32&amp;$V$18:$V$32,$Q$18:$Q$32,"",0,1)</f>
        <v/>
      </c>
      <c r="CA8" s="223" t="str" cm="1">
        <f t="array" ref="CA8">_xlfn.XLOOKUP(A6&amp;A9,G18:G32&amp;V18:V32,O18:O32,_xlfn.XLOOKUP(A9&amp;A6,G18:G32&amp;V18:V32,O18:O32,"",0,1),0,1)</f>
        <v/>
      </c>
      <c r="CB8" s="293" t="str" cm="1">
        <f t="array" ref="CB8">_xlfn.XLOOKUP(A6&amp;A9,G18:G32&amp;V18:V32,A18:A32,"",0,1)</f>
        <v/>
      </c>
      <c r="CC8" s="237" t="str">
        <f>IF(COUNTBLANK($AO$6:$AO$11)=2,SUM(BW8,BX25),IF(BW8="",BX25,BW8))</f>
        <v/>
      </c>
      <c r="CD8" s="223" t="str">
        <f>IF(CC8="Ab.","",IF(BY8="",BZ25,BY8))</f>
        <v/>
      </c>
      <c r="CE8" s="223" t="str">
        <f t="shared" si="20"/>
        <v/>
      </c>
      <c r="CF8" s="294" t="str">
        <f>IF(CB8="",CB25,CB8)</f>
        <v/>
      </c>
      <c r="CG8" s="295" t="str" cm="1">
        <f t="array" ref="CG8">_xlfn.XLOOKUP(BV8,$G$18:$G$32&amp;"-"&amp;$V$18:$V$32,$D$18:$D$32,_xlfn.XLOOKUP(BV25,$G$18:$G$32&amp;"-"&amp;$V$18:$V$32,$X$18:$X$32,"",0,1),0,1)</f>
        <v/>
      </c>
      <c r="CH8" s="175" t="str" cm="1">
        <f t="array" ref="CH8">_xlfn.XLOOKUP(BV8,$G$18:$G$32&amp;"-"&amp;$V$18:$V$32,$AS$18:$AS$32,_xlfn.XLOOKUP(BV25,$G$18:$G$32&amp;"-"&amp;$V$18:$V$32,$AT$18:$AT$32,"",0,1),0,1)</f>
        <v/>
      </c>
      <c r="CI8" s="818"/>
      <c r="CJ8" s="821"/>
      <c r="CK8" s="557">
        <f t="shared" si="21"/>
        <v>4</v>
      </c>
      <c r="CL8" s="557" t="str">
        <f t="shared" si="19"/>
        <v/>
      </c>
    </row>
    <row r="9" spans="1:90" ht="14.45" customHeight="1" x14ac:dyDescent="0.25">
      <c r="A9" s="365" t="str">
        <f t="shared" si="0"/>
        <v/>
      </c>
      <c r="B9" s="41" t="str">
        <f>IFERROR(VLOOKUP("D4",'GESTION DES JOUEURS'!$AG$11:$AI$46,3,FALSE),"")</f>
        <v/>
      </c>
      <c r="C9" s="766" t="str">
        <f>IFERROR(IF(B9="","",_xlfn.XLOOKUP(B9,'LICENCES 2025'!A:A,'LICENCES 2025'!G:G," ",0,1)),"")</f>
        <v/>
      </c>
      <c r="D9" s="767"/>
      <c r="E9" s="728" t="str">
        <f>IFERROR(IF(B9="","",_xlfn.XLOOKUP(B9,'LICENCES 2025'!A:A,'LICENCES 2025'!F:F,"",0,1)),"")</f>
        <v/>
      </c>
      <c r="F9" s="728"/>
      <c r="G9" s="802" t="str">
        <f>IFERROR(IF(B9="","",_xlfn.XLOOKUP(B9,'LICENCES 2025'!A:A,'LICENCES 2025'!E:E,"",0,1)),"")</f>
        <v/>
      </c>
      <c r="H9" s="803"/>
      <c r="I9" s="356" t="str">
        <f>_xlfn.XLOOKUP(B9,Tableau19[Licence],Tableau19[Clt],"",0,1)</f>
        <v/>
      </c>
      <c r="J9" s="258" t="str">
        <f>_xlfn.XLOOKUP(B9,Tableau19[Licence],Tableau19[Moy Gén],"",0,1)</f>
        <v/>
      </c>
      <c r="K9" s="230" t="str">
        <f>IF(A9="","",IF($B$15="Cadre N1/N2",_xlfn.XLOOKUP(B9,Tableau1[LICENCE],Tableau1[Catégorie],"NC",0,1),IF(_xlfn.XLOOKUP($B$15,Distances!$D$2:$D$77,Distances!$A$2:$A$77,"",0,1)="Libre",_xlfn.XLOOKUP(B9,Tableau2[LICENCE],Tableau2[Catégorie],"NC",0,1),IF(_xlfn.XLOOKUP($B$15,Distances!$D$2:$D$77,Distances!$A$2:$A$77,"",0,1)="Bande",_xlfn.XLOOKUP(B9,Tableau3[LICENCE],Tableau3[Catégorie],"NC",0,1),IF(_xlfn.XLOOKUP($B$15,Distances!$D$2:$D$77,Distances!$A$2:$A$77,"",0,1)="Cadre",_xlfn.XLOOKUP(B9,Tableau1[LICENCE],Tableau1[Catégorie],"NC",0,1),IF(_xlfn.XLOOKUP($B$15,Distances!$D$2:$D$77,Distances!$A$2:$A$77,"",0,1)="3 Bandes",_xlfn.XLOOKUP(B9,Tableau4[LICENCE],Tableau4[Catégorie],"NC",0,1)))))))</f>
        <v/>
      </c>
      <c r="L9" s="259" t="str">
        <f t="shared" si="1"/>
        <v/>
      </c>
      <c r="M9" s="386" t="str">
        <f t="shared" si="2"/>
        <v/>
      </c>
      <c r="N9" s="252" t="str">
        <f>IFERROR(IF(VLOOKUP(B9,Tableau19[],10,FALSE)=TRUE,"F",""),"")</f>
        <v/>
      </c>
      <c r="O9" s="253"/>
      <c r="P9" s="103">
        <f t="shared" si="3"/>
        <v>0</v>
      </c>
      <c r="Q9" s="42">
        <f>IFERROR(SUM(SUMIFS($O$18:$O$32,$G$18:$G$32,A9,$A$18:$A$32,"P",$N$18:$N$32,"&lt;&gt;"&amp;"Ab.",$Y$18:$Y$32,FALSE),SUMIFS($O$18:$O$32,$G$18:$G$32,A9,$A$18:$A$32,"P",$N$18:$N$32,"&lt;&gt;"&amp;"Ab.",$Y$18:$Y$32,TRUE)/_xlfn.XLOOKUP('GESTION DES JOUEURS'!$X$8&amp;RIGHT('GESTION DES JOUEURS'!$Y$8,1),Tableau14[Colonne1],Tableau14[coef. 2,80/3,10],"",0,1),SUMIFS($O$18:$O$32,$V$18:$V$32,A9,$A$18:$A$32,"P",$P$18:$P$32,"&lt;&gt;"&amp;"Ab.",$Y$18:$Y$32,FALSE),SUMIFS($O$18:$O$32,$V$18:$V$32,A9,$A$18:$A$32,"P",$P$18:$P$32,"&lt;&gt;"&amp;"Ab.",$Y$18:$Y$32,TRUE)/_xlfn.XLOOKUP('GESTION DES JOUEURS'!$X$8&amp;RIGHT('GESTION DES JOUEURS'!$Y$8,1),Tableau14[Colonne1],Tableau14[coef. 2,80/3,10],"",0,1)),"")</f>
        <v>0</v>
      </c>
      <c r="R9" s="42"/>
      <c r="S9" s="43" t="str">
        <f t="shared" si="4"/>
        <v/>
      </c>
      <c r="T9" s="104" t="str">
        <f t="shared" si="5"/>
        <v/>
      </c>
      <c r="U9" s="104" t="str">
        <f t="shared" si="6"/>
        <v/>
      </c>
      <c r="V9" s="116" t="str">
        <f t="shared" si="7"/>
        <v/>
      </c>
      <c r="W9" s="41" t="str">
        <f>IF('GESTION DES JOUEURS'!$D$8="Open",AF9,IF(AND('GESTION DES JOUEURS'!$Y$8="D",$F$13="Poules",PouleATerminée="X"),_xlfn.XLOOKUP(_xlfn.XLOOKUP(B9,$B$37:$B$42,$Q$37:$Q$42,"",0,1),PTSRKPOULES[Clt],PTSRKPOULES[PR DISTRICT],"",0,1),IF(AND('GESTION DES JOUEURS'!$D$8="Poules",'GESTION DES JOUEURS'!$Y$8="R",PouleATerminée="X"),_xlfn.XLOOKUP(($AO$4&amp;_xlfn.XLOOKUP(B9,$B$37:$B$42,$Q$37:$Q$42,"",0,1)&amp;_xlfn.XLOOKUP(B9,$B$37:$B$42,PD!$AE$37:$AE$42,"",0,1)),PTSRKPOULES[Colonne1],PTSRKPOULES[PR 3B],"",0,1),IF(AND('GESTION DES JOUEURS'!$D$8="Poules",'GESTION DES JOUEURS'!$Y$8="JDSR",PouleATerminée="X"),_xlfn.XLOOKUP($AO$4&amp;_xlfn.XLOOKUP(B9,$B$37:$B$42,$Q$37:$Q$42,"",0,1)&amp;_xlfn.XLOOKUP(B9,$B$37:$B$42,PD!$AE$37:$AE$42,"",0,1),PTSRKPOULES[Colonne1],PTSRKPOULES[PR JDS],"",0,1),""))))</f>
        <v/>
      </c>
      <c r="X9" s="44" t="str">
        <f>IF(T9="","",IF('GESTION DES JOUEURS'!$D$8="Open",AG9,IF(AND($F$13&lt;&gt;"Poules",OR('GESTION DES JOUEURS'!$Y$8="R",'GESTION DES JOUEURS'!$Y$8="JDSR")),"",IF(AND($F$13="Poules",OR('GESTION DES JOUEURS'!$Y$8="R",'GESTION DES JOUEURS'!$Y$8="JDSR"),T9&gt;_xlfn.XLOOKUP('GESTION DES JOUEURS'!$D$4,Distances[Mode de jeu et cat.],Distances[M 3],"",0,1)),_xlfn.XLOOKUP('GESTION DES JOUEURS'!$D$4,Distances[Mode de jeu et cat.],Distances[BT3],"",0,1)+SUM(CH9:CH13),IF(AND($F$13="Poules",OR('GESTION DES JOUEURS'!$Y$8="R",'GESTION DES JOUEURS'!$Y$8="JDSR"),T9&gt;_xlfn.XLOOKUP('GESTION DES JOUEURS'!$D$4,Distances[Mode de jeu et cat.],Distances[M 2],"",0,1)),_xlfn.XLOOKUP('GESTION DES JOUEURS'!$D$4,Distances[Mode de jeu et cat.],Distances[BT2],"",0,1)+SUM(CH9:CH13),IF(AND($F$13="Poules",OR('GESTION DES JOUEURS'!$Y$8="R",'GESTION DES JOUEURS'!$Y$8="JDSR"),T9&gt;_xlfn.XLOOKUP('GESTION DES JOUEURS'!$D$4,Distances[Mode de jeu et cat.],Distances[M 1],"",0,1)),_xlfn.XLOOKUP('GESTION DES JOUEURS'!$D$4,Distances[Mode de jeu et cat.],Distances[BT1],"",0,1)+SUM(CH9:CH13),IF(AND($F$13="Poules",OR('GESTION DES JOUEURS'!$Y$8="R",'GESTION DES JOUEURS'!$Y$8="JDSR"),T9&lt;_xlfn.XLOOKUP('GESTION DES JOUEURS'!$D$4,Distances[Mode de jeu et cat.],Distances[M 1],"",0,1)),0+SUM(CH9:CH13),IF(OR(M9="",$AO$4&lt;2),"",IF(OR(LEFT($F$13)="F",$AO$4&gt;4),"",IF(AND(B9=F21,AO7=2),AS21+AT22,SUM(CH9:CH13)))))))))))</f>
        <v/>
      </c>
      <c r="Y9" s="371" t="str">
        <f>IF(AND('GESTION DES JOUEURS'!$D$8="Open",B9&lt;&gt;""),AE9,"")</f>
        <v/>
      </c>
      <c r="AA9" s="894" t="str">
        <f>IF('GESTION DES JOUEURS'!$D$8="Finale","Poule Finale","Poule A")</f>
        <v>Poule A</v>
      </c>
      <c r="AD9" s="554" t="str" cm="1">
        <f t="array" ref="AD9">_xlfn.XLOOKUP(B9,Tableau19[Licence],'GESTION DES JOUEURS'!$O$11:$O$46,"",0,1)</f>
        <v/>
      </c>
      <c r="AE9" s="554" t="b">
        <f>IF(AND('GESTION DES JOUEURS'!$D$8="Open",'GESTION DES JOUEURS'!$X$8="Libre"),_xlfn.XLOOKUP(AD9,Tableau13[Cat.],Tableau13[Libre],"Cat ?",0,1),IF(AND('GESTION DES JOUEURS'!$D$8="Open",'GESTION DES JOUEURS'!$X$8="Bande"),_xlfn.XLOOKUP(AD9,Tableau13[Cat.],Tableau13[bande],"Cat ?",0,1),IF(AND('GESTION DES JOUEURS'!$D$8="Open",'GESTION DES JOUEURS'!$X$8="Cadre"),_xlfn.XLOOKUP(AD9,Tableau13[Cat.],Tableau13[Cadre],"Cat ?",0,1),IF(AND('GESTION DES JOUEURS'!$D$8="Open",'GESTION DES JOUEURS'!$X$8="3 Bandes"),_xlfn.XLOOKUP(AD9,Tableau13[Cat.],Tableau13[3 Bandes],"Cat ?",0,1)))))</f>
        <v>0</v>
      </c>
      <c r="AF9" s="554" t="str">
        <f>CI21</f>
        <v/>
      </c>
      <c r="AG9" s="554" t="str">
        <f>CJ21</f>
        <v/>
      </c>
      <c r="AN9" s="244"/>
      <c r="AO9" s="559" t="str">
        <f t="shared" si="8"/>
        <v/>
      </c>
      <c r="AP9" s="248"/>
      <c r="AQ9" s="307" t="str">
        <f t="shared" si="9"/>
        <v/>
      </c>
      <c r="AR9" s="807"/>
      <c r="AS9" s="310" t="str">
        <f t="shared" si="10"/>
        <v/>
      </c>
      <c r="AT9" s="308">
        <f t="shared" si="11"/>
        <v>4</v>
      </c>
      <c r="AU9" s="308" t="str">
        <f t="shared" si="12"/>
        <v/>
      </c>
      <c r="AV9" s="308" t="str">
        <f t="shared" si="13"/>
        <v/>
      </c>
      <c r="AW9" s="308" t="str">
        <f>IF(SUM($AW$6:AW8)=3,"",AU9)</f>
        <v/>
      </c>
      <c r="AX9" s="309" t="str">
        <f t="shared" si="14"/>
        <v/>
      </c>
      <c r="AY9" s="309" t="str">
        <f t="shared" si="15"/>
        <v/>
      </c>
      <c r="AZ9" s="309" t="str">
        <f t="shared" si="16"/>
        <v/>
      </c>
      <c r="BA9" s="309" t="str">
        <f t="shared" si="17"/>
        <v/>
      </c>
      <c r="BD9" s="327" t="b">
        <f>IF(BK9=BK6,A9)</f>
        <v>0</v>
      </c>
      <c r="BE9" s="327" t="b">
        <f>IF(BK9=BK7,A9)</f>
        <v>0</v>
      </c>
      <c r="BF9" s="327" t="str">
        <f>IF(BK9=BK8,A9)</f>
        <v/>
      </c>
      <c r="BG9" s="327">
        <v>4</v>
      </c>
      <c r="BH9" s="327"/>
      <c r="BI9" s="327"/>
      <c r="BJ9" s="327">
        <f t="shared" si="18"/>
        <v>1</v>
      </c>
      <c r="BK9" s="244" t="str">
        <v/>
      </c>
      <c r="BV9" s="292" t="s">
        <v>5469</v>
      </c>
      <c r="BW9" s="223" t="str" cm="1">
        <f t="array" ref="BW9">_xlfn.XLOOKUP(A6&amp;A8,G18:G32&amp;V18:V32,N18:N32,_xlfn.XLOOKUP(A8&amp;A6,G18:G32&amp;V18:V32,P18:P32,"",0,1),0,1)</f>
        <v/>
      </c>
      <c r="BX9" s="223" t="str" cm="1">
        <f t="array" ref="BX9">_xlfn.XLOOKUP(A6&amp;A8,G18:G32&amp;V18:V32,P18:P32,_xlfn.XLOOKUP(A8&amp;A6,G18:G32&amp;V18:V32,N18:N32,"",0,1),0,1)</f>
        <v/>
      </c>
      <c r="BY9" s="223" t="str" cm="1">
        <f t="array" ref="BY9">_xlfn.XLOOKUP(A6&amp;A8,$G$18:$G$32&amp;$V$18:$V$32,$M$18:$M$32,"",0,1)</f>
        <v/>
      </c>
      <c r="BZ9" s="223" t="str" cm="1">
        <f t="array" ref="BZ9">_xlfn.XLOOKUP(A6&amp;A8,$G$18:$G$32&amp;$V$18:$V$32,$Q$18:$Q$32,"",0,1)</f>
        <v/>
      </c>
      <c r="CA9" s="223" t="str" cm="1">
        <f t="array" ref="CA9">_xlfn.XLOOKUP(A6&amp;A8,G18:G32&amp;V18:V32,O18:O32,_xlfn.XLOOKUP(A8&amp;A6,G18:G32&amp;V18:V32,O18:O32,"",0,1),0,1)</f>
        <v/>
      </c>
      <c r="CB9" s="293" t="str" cm="1">
        <f t="array" ref="CB9">_xlfn.XLOOKUP(A6&amp;A8,G18:G32&amp;V18:V32,A18:A32,"",0,1)</f>
        <v/>
      </c>
      <c r="CC9" s="237" t="str">
        <f>IF(COUNTBLANK($AO$6:$AO$11)=2,SUM(BW9,BX20),IF(BW9="",BX20,BW9))</f>
        <v/>
      </c>
      <c r="CD9" s="223" t="str">
        <f>IF(CC9="Ab.","",IF(BY9="",BZ20,BY9))</f>
        <v/>
      </c>
      <c r="CE9" s="223" t="str">
        <f t="shared" si="20"/>
        <v/>
      </c>
      <c r="CF9" s="294" t="str">
        <f>IF(CB9="",CB20,CB9)</f>
        <v/>
      </c>
      <c r="CG9" s="295" t="str" cm="1">
        <f t="array" ref="CG9">_xlfn.XLOOKUP(BV9,$G$18:$G$32&amp;"-"&amp;$V$18:$V$32,$D$18:$D$32,_xlfn.XLOOKUP(BV20,$G$18:$G$32&amp;"-"&amp;$V$18:$V$32,$X$18:$X$32,"",0,1),0,1)</f>
        <v/>
      </c>
      <c r="CH9" s="175" t="str" cm="1">
        <f t="array" ref="CH9">_xlfn.XLOOKUP(BV9,$G$18:$G$32&amp;"-"&amp;$V$18:$V$32,$AS$18:$AS$32,_xlfn.XLOOKUP(BV20,$G$18:$G$32&amp;"-"&amp;$V$18:$V$32,$AT$18:$AT$32,"",0,1),0,1)</f>
        <v/>
      </c>
      <c r="CI9" s="818"/>
      <c r="CJ9" s="821"/>
      <c r="CK9" s="557">
        <f t="shared" si="21"/>
        <v>3</v>
      </c>
      <c r="CL9" s="557" t="str">
        <f t="shared" si="19"/>
        <v/>
      </c>
    </row>
    <row r="10" spans="1:90" ht="15" customHeight="1" thickBot="1" x14ac:dyDescent="0.3">
      <c r="A10" s="365" t="str">
        <f t="shared" si="0"/>
        <v/>
      </c>
      <c r="B10" s="41" t="str">
        <f>IFERROR(VLOOKUP("D5",'GESTION DES JOUEURS'!$AG$11:$AI$46,3,FALSE),"")</f>
        <v/>
      </c>
      <c r="C10" s="766" t="str">
        <f>IFERROR(IF(B10="","",_xlfn.XLOOKUP(B10,'LICENCES 2025'!A:A,'LICENCES 2025'!G:G," ",0,1)),"")</f>
        <v/>
      </c>
      <c r="D10" s="767"/>
      <c r="E10" s="728" t="str">
        <f>IFERROR(IF(B10="","",_xlfn.XLOOKUP(B10,'LICENCES 2025'!A:A,'LICENCES 2025'!F:F,"",0,1)),"")</f>
        <v/>
      </c>
      <c r="F10" s="728"/>
      <c r="G10" s="802" t="str">
        <f>IFERROR(IF(B10="","",_xlfn.XLOOKUP(B10,'LICENCES 2025'!A:A,'LICENCES 2025'!E:E,"",0,1)),"")</f>
        <v/>
      </c>
      <c r="H10" s="803"/>
      <c r="I10" s="356" t="str">
        <f>_xlfn.XLOOKUP(B10,Tableau19[Licence],Tableau19[Clt],"",0,1)</f>
        <v/>
      </c>
      <c r="J10" s="258" t="str">
        <f>_xlfn.XLOOKUP(B10,Tableau19[Licence],Tableau19[Moy Gén],"",0,1)</f>
        <v/>
      </c>
      <c r="K10" s="230" t="str">
        <f>IF(A10="","",IF($B$15="Cadre N1/N2",_xlfn.XLOOKUP(B10,Tableau1[LICENCE],Tableau1[Catégorie],"NC",0,1),IF(_xlfn.XLOOKUP($B$15,Distances!$D$2:$D$77,Distances!$A$2:$A$77,"",0,1)="Libre",_xlfn.XLOOKUP(B10,Tableau2[LICENCE],Tableau2[Catégorie],"NC",0,1),IF(_xlfn.XLOOKUP($B$15,Distances!$D$2:$D$77,Distances!$A$2:$A$77,"",0,1)="Bande",_xlfn.XLOOKUP(B10,Tableau3[LICENCE],Tableau3[Catégorie],"NC",0,1),IF(_xlfn.XLOOKUP($B$15,Distances!$D$2:$D$77,Distances!$A$2:$A$77,"",0,1)="cadre",_xlfn.XLOOKUP(B10,Tableau1[LICENCE],Tableau1[Catégorie],"NC",0,1),IF(_xlfn.XLOOKUP($B$15,Distances!$D$2:$D$77,Distances!$A$2:$A$77,"",0,1)="3 Bandes",_xlfn.XLOOKUP(B10,Tableau4[LICENCE],Tableau4[Catégorie],"NC",0,1)))))))</f>
        <v/>
      </c>
      <c r="L10" s="259" t="str">
        <f t="shared" si="1"/>
        <v/>
      </c>
      <c r="M10" s="386" t="str">
        <f t="shared" si="2"/>
        <v/>
      </c>
      <c r="N10" s="252" t="str">
        <f>IFERROR(IF(VLOOKUP(B10,Tableau19[],10,FALSE)=TRUE,"F",""),"")</f>
        <v/>
      </c>
      <c r="O10" s="253"/>
      <c r="P10" s="103">
        <f t="shared" si="3"/>
        <v>0</v>
      </c>
      <c r="Q10" s="42">
        <f>IFERROR(SUM(SUMIFS($O$18:$O$32,$G$18:$G$32,A10,$A$18:$A$32,"P",$N$18:$N$32,"&lt;&gt;"&amp;"Ab.",$Y$18:$Y$32,FALSE),SUMIFS($O$18:$O$32,$G$18:$G$32,A10,$A$18:$A$32,"P",$N$18:$N$32,"&lt;&gt;"&amp;"Ab.",$Y$18:$Y$32,TRUE)/_xlfn.XLOOKUP('GESTION DES JOUEURS'!$X$8&amp;RIGHT('GESTION DES JOUEURS'!$Y$8,1),Tableau14[Colonne1],Tableau14[coef. 2,80/3,10],"",0,1),SUMIFS($O$18:$O$32,$V$18:$V$32,A10,$A$18:$A$32,"P",$P$18:$P$32,"&lt;&gt;"&amp;"Ab.",$Y$18:$Y$32,FALSE),SUMIFS($O$18:$O$32,$V$18:$V$32,A10,$A$18:$A$32,"P",$P$18:$P$32,"&lt;&gt;"&amp;"Ab.",$Y$18:$Y$32,TRUE)/_xlfn.XLOOKUP('GESTION DES JOUEURS'!$X$8&amp;RIGHT('GESTION DES JOUEURS'!$Y$8,1),Tableau14[Colonne1],Tableau14[coef. 2,80/3,10],"",0,1)),"")</f>
        <v>0</v>
      </c>
      <c r="R10" s="42"/>
      <c r="S10" s="43" t="str">
        <f t="shared" si="4"/>
        <v/>
      </c>
      <c r="T10" s="104" t="str">
        <f t="shared" si="5"/>
        <v/>
      </c>
      <c r="U10" s="104" t="str">
        <f t="shared" si="6"/>
        <v/>
      </c>
      <c r="V10" s="116" t="str">
        <f t="shared" si="7"/>
        <v/>
      </c>
      <c r="W10" s="41" t="str">
        <f>IF('GESTION DES JOUEURS'!$D$8="Open",AF10,IF(AND('GESTION DES JOUEURS'!$Y$8="D",$F$13="Poules",PouleATerminée="X"),_xlfn.XLOOKUP(_xlfn.XLOOKUP(B10,$B$37:$B$42,$Q$37:$Q$42,"",0,1),PTSRKPOULES[Clt],PTSRKPOULES[PR DISTRICT],"",0,1),IF(AND('GESTION DES JOUEURS'!$D$8="Poules",'GESTION DES JOUEURS'!$Y$8="R",PouleATerminée="X"),_xlfn.XLOOKUP(($AO$4&amp;_xlfn.XLOOKUP(B10,$B$37:$B$42,$Q$37:$Q$42,"",0,1)&amp;_xlfn.XLOOKUP(B10,$B$37:$B$42,PD!$AE$37:$AE$42,"",0,1)),PTSRKPOULES[Colonne1],PTSRKPOULES[PR 3B],"",0,1),IF(AND('GESTION DES JOUEURS'!$D$8="Poules",'GESTION DES JOUEURS'!$Y$8="JDSR",PouleATerminée="X"),_xlfn.XLOOKUP($AO$4&amp;_xlfn.XLOOKUP(B10,$B$37:$B$42,$Q$37:$Q$42,"",0,1)&amp;_xlfn.XLOOKUP(B10,$B$37:$B$42,PD!$AE$37:$AE$42,"",0,1),PTSRKPOULES[Colonne1],PTSRKPOULES[PR JDS],"",0,1),""))))</f>
        <v/>
      </c>
      <c r="X10" s="44" t="str">
        <f>IF(T10="","",IF('GESTION DES JOUEURS'!$D$8="Open",AG10,IF(AND($F$13&lt;&gt;"Poules",OR('GESTION DES JOUEURS'!$Y$8="R",'GESTION DES JOUEURS'!$Y$8="JDSR")),"",IF(AND($F$13="Poules",OR('GESTION DES JOUEURS'!$Y$8="R",'GESTION DES JOUEURS'!$Y$8="JDSR"),T10&gt;_xlfn.XLOOKUP('GESTION DES JOUEURS'!$D$4,Distances[Mode de jeu et cat.],Distances[M 3],"",0,1)),_xlfn.XLOOKUP('GESTION DES JOUEURS'!$D$4,Distances[Mode de jeu et cat.],Distances[BT3],"",0,1)+SUM(CH10:CH14),IF(AND($F$13="Poules",OR('GESTION DES JOUEURS'!$Y$8="R",'GESTION DES JOUEURS'!$Y$8="JDSR"),T10&gt;_xlfn.XLOOKUP('GESTION DES JOUEURS'!$D$4,Distances[Mode de jeu et cat.],Distances[M 2],"",0,1)),_xlfn.XLOOKUP('GESTION DES JOUEURS'!$D$4,Distances[Mode de jeu et cat.],Distances[BT2],"",0,1)+SUM(CH10:CH14),IF(AND($F$13="Poules",OR('GESTION DES JOUEURS'!$Y$8="R",'GESTION DES JOUEURS'!$Y$8="JDSR"),T10&gt;_xlfn.XLOOKUP('GESTION DES JOUEURS'!$D$4,Distances[Mode de jeu et cat.],Distances[M 1],"",0,1)),_xlfn.XLOOKUP('GESTION DES JOUEURS'!$D$4,Distances[Mode de jeu et cat.],Distances[BT1],"",0,1)+SUM(CH10:CH14),IF(AND($F$13="Poules",OR('GESTION DES JOUEURS'!$Y$8="R",'GESTION DES JOUEURS'!$Y$8="JDSR"),T10&lt;_xlfn.XLOOKUP('GESTION DES JOUEURS'!$D$4,Distances[Mode de jeu et cat.],Distances[M 1],"",0,1)),0+SUM(CH10:CH14),IF(OR(M10="",$AO$4&lt;2),"",IF(OR(LEFT($F$13)="F",$AO$4&gt;4),"",IF(AND(B10=F22,AO8=2),AS22+AT23,SUM(CH10:CH14)))))))))))</f>
        <v/>
      </c>
      <c r="Y10" s="371" t="str">
        <f>IF(AND('GESTION DES JOUEURS'!$D$8="Open",B10&lt;&gt;""),AE10,"")</f>
        <v/>
      </c>
      <c r="AA10" s="894"/>
      <c r="AD10" s="554" t="str" cm="1">
        <f t="array" ref="AD10">_xlfn.XLOOKUP(B10,Tableau19[Licence],'GESTION DES JOUEURS'!$O$11:$O$46,"",0,1)</f>
        <v/>
      </c>
      <c r="AE10" s="554" t="b">
        <f>IF(AND('GESTION DES JOUEURS'!$D$8="Open",'GESTION DES JOUEURS'!$X$8="Libre"),_xlfn.XLOOKUP(AD10,Tableau13[Cat.],Tableau13[Libre],"Cat ?",0,1),IF(AND('GESTION DES JOUEURS'!$D$8="Open",'GESTION DES JOUEURS'!$X$8="Bande"),_xlfn.XLOOKUP(AD10,Tableau13[Cat.],Tableau13[bande],"Cat ?",0,1),IF(AND('GESTION DES JOUEURS'!$D$8="Open",'GESTION DES JOUEURS'!$X$8="Cadre"),_xlfn.XLOOKUP(AD10,Tableau13[Cat.],Tableau13[Cadre],"Cat ?",0,1),IF(AND('GESTION DES JOUEURS'!$D$8="Open",'GESTION DES JOUEURS'!$X$8="3 Bandes"),_xlfn.XLOOKUP(AD10,Tableau13[Cat.],Tableau13[3 Bandes],"Cat ?",0,1)))))</f>
        <v>0</v>
      </c>
      <c r="AF10" s="554" t="str">
        <f>CI26</f>
        <v/>
      </c>
      <c r="AG10" s="554" t="str">
        <f>CJ26</f>
        <v/>
      </c>
      <c r="AN10" s="244"/>
      <c r="AO10" s="559" t="str">
        <f t="shared" si="8"/>
        <v/>
      </c>
      <c r="AP10" s="248"/>
      <c r="AQ10" s="307" t="str">
        <f t="shared" si="9"/>
        <v/>
      </c>
      <c r="AR10" s="807"/>
      <c r="AS10" s="310" t="str">
        <f t="shared" si="10"/>
        <v/>
      </c>
      <c r="AT10" s="308">
        <f t="shared" si="11"/>
        <v>5</v>
      </c>
      <c r="AU10" s="308" t="str">
        <f t="shared" si="12"/>
        <v/>
      </c>
      <c r="AV10" s="308" t="str">
        <f t="shared" si="13"/>
        <v/>
      </c>
      <c r="AW10" s="308" t="str">
        <f>IF(SUM($AW$6:AW9)=3,"",AU10)</f>
        <v/>
      </c>
      <c r="AX10" s="309" t="str">
        <f t="shared" si="14"/>
        <v/>
      </c>
      <c r="AY10" s="309" t="str">
        <f t="shared" si="15"/>
        <v/>
      </c>
      <c r="AZ10" s="309" t="str">
        <f t="shared" si="16"/>
        <v/>
      </c>
      <c r="BA10" s="309" t="str">
        <f t="shared" si="17"/>
        <v/>
      </c>
      <c r="BD10" s="327" t="b">
        <f>IF(BK10=BK6,A10)</f>
        <v>0</v>
      </c>
      <c r="BE10" s="327" t="b">
        <f>IF(BK10=BK7,A10)</f>
        <v>0</v>
      </c>
      <c r="BF10" s="327" t="str">
        <f>IF(BK10=BK8,A10)</f>
        <v/>
      </c>
      <c r="BG10" s="327" t="str">
        <f>IF(BK10=BK9,A10)</f>
        <v/>
      </c>
      <c r="BH10" s="327">
        <v>5</v>
      </c>
      <c r="BI10" s="327"/>
      <c r="BJ10" s="327">
        <f t="shared" si="18"/>
        <v>1</v>
      </c>
      <c r="BK10" s="244" t="str">
        <v/>
      </c>
      <c r="BV10" s="296" t="s">
        <v>5470</v>
      </c>
      <c r="BW10" s="297" cm="1">
        <f t="array" ref="BW10">_xlfn.XLOOKUP(A6&amp;A7,G18:G32&amp;V18:V32,N18:N32,_xlfn.XLOOKUP(A7&amp;A6,G18:G32&amp;V18:V32,P18:P32,"",0,1),0,1)</f>
        <v>100</v>
      </c>
      <c r="BX10" s="297" cm="1">
        <f t="array" ref="BX10">_xlfn.XLOOKUP(A6&amp;A7,G18:G32&amp;V18:V32,P18:P32,_xlfn.XLOOKUP(A7&amp;A6,G18:G32&amp;V18:V32,N18:N32,"",0,1),0,1)</f>
        <v>53</v>
      </c>
      <c r="BY10" s="297" cm="1">
        <f t="array" ref="BY10">_xlfn.XLOOKUP(A6&amp;A7,$G$18:$G$32&amp;$V$18:$V$32,$M$18:$M$32,"",0,1)</f>
        <v>20</v>
      </c>
      <c r="BZ10" s="297" cm="1">
        <f t="array" ref="BZ10">_xlfn.XLOOKUP(A6&amp;A7,$G$18:$G$32&amp;$V$18:$V$32,$Q$18:$Q$32,"",0,1)</f>
        <v>10</v>
      </c>
      <c r="CA10" s="297" cm="1">
        <f t="array" ref="CA10">_xlfn.XLOOKUP(A6&amp;A7,G18:G32&amp;V18:V32,O18:O32,_xlfn.XLOOKUP(A7&amp;A6,G18:G32&amp;V18:V32,O18:O32,"",0,1),0,1)</f>
        <v>23</v>
      </c>
      <c r="CB10" s="298" t="str" cm="1">
        <f t="array" ref="CB10">_xlfn.XLOOKUP(A6&amp;A7,G18:G32&amp;V18:V32,A18:A32,"",0,1)</f>
        <v>P</v>
      </c>
      <c r="CC10" s="299">
        <f>IF(COUNTBLANK($AO$6:$AO$11)=2,SUM(BW10,BX15),IF(BW10="",BX15,BW10))</f>
        <v>100</v>
      </c>
      <c r="CD10" s="297">
        <f>IF(CC10="Ab.","",IF(BY10="",BZ15,BY10))</f>
        <v>20</v>
      </c>
      <c r="CE10" s="297">
        <f t="shared" si="20"/>
        <v>23</v>
      </c>
      <c r="CF10" s="300" t="str">
        <f>IF(CB10="",CB15,CB10)</f>
        <v>P</v>
      </c>
      <c r="CG10" s="301" cm="1">
        <f t="array" ref="CG10">_xlfn.XLOOKUP(BV10,$G$18:$G$32&amp;"-"&amp;$V$18:$V$32,$D$18:$D$32,_xlfn.XLOOKUP(BV15,$G$18:$G$32&amp;"-"&amp;$V$18:$V$32,$X$18:$X$32,"",0,1),0,1)</f>
        <v>2</v>
      </c>
      <c r="CH10" s="302" cm="1">
        <f t="array" ref="CH10">_xlfn.XLOOKUP(BV10,$G$18:$G$32&amp;"-"&amp;$V$18:$V$32,$AS$18:$AS$32,_xlfn.XLOOKUP(BV15,$G$18:$G$32&amp;"-"&amp;$V$18:$V$32,$AT$18:$AT$32,"",0,1),0,1)</f>
        <v>2</v>
      </c>
      <c r="CI10" s="819"/>
      <c r="CJ10" s="822"/>
      <c r="CK10" s="557">
        <f t="shared" si="21"/>
        <v>2</v>
      </c>
      <c r="CL10" s="557" t="b">
        <f t="shared" si="19"/>
        <v>0</v>
      </c>
    </row>
    <row r="11" spans="1:90" ht="15" customHeight="1" thickBot="1" x14ac:dyDescent="0.3">
      <c r="A11" s="365" t="str">
        <f t="shared" si="0"/>
        <v/>
      </c>
      <c r="B11" s="45" t="str">
        <f>IFERROR(VLOOKUP("D6",'GESTION DES JOUEURS'!$AG$11:$AI$46,3,FALSE),"")</f>
        <v/>
      </c>
      <c r="C11" s="735" t="str">
        <f>IFERROR(IF(B11="","",_xlfn.XLOOKUP(B11,'LICENCES 2025'!A:A,'LICENCES 2025'!G:G," ",0,1)),"")</f>
        <v/>
      </c>
      <c r="D11" s="736"/>
      <c r="E11" s="737" t="str">
        <f>IFERROR(IF(B11="","",_xlfn.XLOOKUP(B11,'LICENCES 2025'!A:A,'LICENCES 2025'!F:F,"",0,1)),"")</f>
        <v/>
      </c>
      <c r="F11" s="737"/>
      <c r="G11" s="804" t="str">
        <f>IFERROR(IF(B11="","",_xlfn.XLOOKUP(B11,'LICENCES 2025'!A:A,'LICENCES 2025'!E:E,"",0,1)),"")</f>
        <v/>
      </c>
      <c r="H11" s="805"/>
      <c r="I11" s="364" t="str">
        <f>_xlfn.XLOOKUP(B11,Tableau19[Licence],Tableau19[Clt],"",0,1)</f>
        <v/>
      </c>
      <c r="J11" s="260" t="str">
        <f>_xlfn.XLOOKUP(B11,Tableau19[Licence],Tableau19[Moy Gén],"",0,1)</f>
        <v/>
      </c>
      <c r="K11" s="231" t="str">
        <f>IF(A11="","",IF($B$15="Cadre N1/N2",_xlfn.XLOOKUP(B11,Tableau1[LICENCE],Tableau1[Catégorie],"NC",0,1),IF(_xlfn.XLOOKUP($B$15,Distances!$D$2:$D$77,Distances!$A$2:$A$77,"",0,1)="Libre",_xlfn.XLOOKUP(B11,Tableau2[LICENCE],Tableau2[Catégorie],"NC",0,1),IF(_xlfn.XLOOKUP($B$15,Distances!$D$2:$D$77,Distances!$A$2:$A$77,"",0,1)="Bande",_xlfn.XLOOKUP(B11,Tableau3[LICENCE],Tableau3[Catégorie],"NC",0,1),IF(_xlfn.XLOOKUP($B$15,Distances!$D$2:$D$77,Distances!$A$2:$A$77,"",0,1)="cadre",_xlfn.XLOOKUP(B11,Tableau1[LICENCE],Tableau1[Catégorie],"NC",0,1),IF(_xlfn.XLOOKUP($B$15,Distances!$D$2:$D$77,Distances!$A$2:$A$77,"",0,1)="3 Bandes",_xlfn.XLOOKUP(B11,Tableau4[LICENCE],Tableau4[Catégorie],"NC",0,1)))))))</f>
        <v/>
      </c>
      <c r="L11" s="261" t="str">
        <f t="shared" si="1"/>
        <v/>
      </c>
      <c r="M11" s="387" t="str">
        <f t="shared" si="2"/>
        <v/>
      </c>
      <c r="N11" s="254" t="str">
        <f>IFERROR(IF(VLOOKUP(B11,Tableau19[],10,FALSE)=TRUE,"F",""),"")</f>
        <v/>
      </c>
      <c r="O11" s="255"/>
      <c r="P11" s="105">
        <f t="shared" si="3"/>
        <v>0</v>
      </c>
      <c r="Q11" s="46">
        <f>IFERROR(SUM(SUMIFS($O$18:$O$32,$G$18:$G$32,A11,$A$18:$A$32,"P",$N$18:$N$32,"&lt;&gt;"&amp;"Ab.",$Y$18:$Y$32,FALSE),SUMIFS($O$18:$O$32,$G$18:$G$32,A11,$A$18:$A$32,"P",$N$18:$N$32,"&lt;&gt;"&amp;"Ab.",$Y$18:$Y$32,TRUE)/_xlfn.XLOOKUP('GESTION DES JOUEURS'!$X$8&amp;RIGHT('GESTION DES JOUEURS'!$Y$8,1),Tableau14[Colonne1],Tableau14[coef. 2,80/3,10],"",0,1),SUMIFS($O$18:$O$32,$V$18:$V$32,A11,$A$18:$A$32,"P",$P$18:$P$32,"&lt;&gt;"&amp;"Ab.",$Y$18:$Y$32,FALSE),SUMIFS($O$18:$O$32,$V$18:$V$32,A11,$A$18:$A$32,"P",$P$18:$P$32,"&lt;&gt;"&amp;"Ab.",$Y$18:$Y$32,TRUE)/_xlfn.XLOOKUP('GESTION DES JOUEURS'!$X$8&amp;RIGHT('GESTION DES JOUEURS'!$Y$8,1),Tableau14[Colonne1],Tableau14[coef. 2,80/3,10],"",0,1)),"")</f>
        <v>0</v>
      </c>
      <c r="R11" s="46"/>
      <c r="S11" s="47" t="str">
        <f t="shared" si="4"/>
        <v/>
      </c>
      <c r="T11" s="106" t="str">
        <f t="shared" si="5"/>
        <v/>
      </c>
      <c r="U11" s="106" t="str">
        <f t="shared" si="6"/>
        <v/>
      </c>
      <c r="V11" s="123" t="str">
        <f t="shared" si="7"/>
        <v/>
      </c>
      <c r="W11" s="45" t="str">
        <f>IF('GESTION DES JOUEURS'!$D$8="Open",AF11,IF(AND('GESTION DES JOUEURS'!$Y$8="D",$F$13="Poules",PouleATerminée="X"),_xlfn.XLOOKUP(_xlfn.XLOOKUP(B11,$B$37:$B$42,$Q$37:$Q$42,"",0,1),PTSRKPOULES[Clt],PTSRKPOULES[PR DISTRICT],"",0,1),IF(AND('GESTION DES JOUEURS'!$D$8="Poules",'GESTION DES JOUEURS'!$Y$8="R",PouleATerminée="X"),_xlfn.XLOOKUP(($AO$4&amp;_xlfn.XLOOKUP(B11,$B$37:$B$42,$Q$37:$Q$42,"",0,1)&amp;_xlfn.XLOOKUP(B11,$B$37:$B$42,PD!$AE$37:$AE$42,"",0,1)),PTSRKPOULES[Colonne1],PTSRKPOULES[PR 3B],"",0,1),IF(AND('GESTION DES JOUEURS'!$D$8="Poules",'GESTION DES JOUEURS'!$Y$8="JDSR",PouleATerminée="X"),_xlfn.XLOOKUP($AO$4&amp;_xlfn.XLOOKUP(B11,$B$37:$B$42,$Q$37:$Q$42,"",0,1)&amp;_xlfn.XLOOKUP(B11,$B$37:$B$42,PD!$AE$37:$AE$42,"",0,1),PTSRKPOULES[Colonne1],PTSRKPOULES[PR JDS],"",0,1),""))))</f>
        <v/>
      </c>
      <c r="X11" s="48" t="str">
        <f>IF(T11="","",IF('GESTION DES JOUEURS'!$D$8="Open",AG11,IF(AND($F$13&lt;&gt;"Poules",OR('GESTION DES JOUEURS'!$Y$8="R",'GESTION DES JOUEURS'!$Y$8="JDSR")),"",IF(AND($F$13="Poules",OR('GESTION DES JOUEURS'!$Y$8="R",'GESTION DES JOUEURS'!$Y$8="JDSR"),T11&gt;_xlfn.XLOOKUP('GESTION DES JOUEURS'!$D$4,Distances[Mode de jeu et cat.],Distances[M 3],"",0,1)),_xlfn.XLOOKUP('GESTION DES JOUEURS'!$D$4,Distances[Mode de jeu et cat.],Distances[BT3],"",0,1)+SUM(CH11:CH15),IF(AND($F$13="Poules",OR('GESTION DES JOUEURS'!$Y$8="R",'GESTION DES JOUEURS'!$Y$8="JDSR"),T11&gt;_xlfn.XLOOKUP('GESTION DES JOUEURS'!$D$4,Distances[Mode de jeu et cat.],Distances[M 2],"",0,1)),_xlfn.XLOOKUP('GESTION DES JOUEURS'!$D$4,Distances[Mode de jeu et cat.],Distances[BT2],"",0,1)+SUM(CH11:CH15),IF(AND($F$13="Poules",OR('GESTION DES JOUEURS'!$Y$8="R",'GESTION DES JOUEURS'!$Y$8="JDSR"),T11&gt;_xlfn.XLOOKUP('GESTION DES JOUEURS'!$D$4,Distances[Mode de jeu et cat.],Distances[M 1],"",0,1)),_xlfn.XLOOKUP('GESTION DES JOUEURS'!$D$4,Distances[Mode de jeu et cat.],Distances[BT1],"",0,1)+SUM(CH11:CH15),IF(AND($F$13="Poules",OR('GESTION DES JOUEURS'!$Y$8="R",'GESTION DES JOUEURS'!$Y$8="JDSR"),T11&lt;_xlfn.XLOOKUP('GESTION DES JOUEURS'!$D$4,Distances[Mode de jeu et cat.],Distances[M 1],"",0,1)),0+SUM(CH11:CH15),IF(OR(M11="",$AO$4&lt;2),"",IF(OR(LEFT($F$13)="F",$AO$4&gt;4),"",IF(AND(B11=F23,AO9=2),AS23+AT24,SUM(CH11:CH15)))))))))))</f>
        <v/>
      </c>
      <c r="Y11" s="371" t="str">
        <f>IF(AND('GESTION DES JOUEURS'!$D$8="Open",B11&lt;&gt;""),AE11,"")</f>
        <v/>
      </c>
      <c r="AA11" s="893" t="s">
        <v>8113</v>
      </c>
      <c r="AD11" s="554" t="str" cm="1">
        <f t="array" ref="AD11">_xlfn.XLOOKUP(B11,Tableau19[Licence],'GESTION DES JOUEURS'!$O$11:$O$46,"",0,1)</f>
        <v/>
      </c>
      <c r="AE11" s="554" t="b">
        <f>IF(AND('GESTION DES JOUEURS'!$D$8="Open",'GESTION DES JOUEURS'!$X$8="Libre"),_xlfn.XLOOKUP(AD11,Tableau13[Cat.],Tableau13[Libre],"Cat ?",0,1),IF(AND('GESTION DES JOUEURS'!$D$8="Open",'GESTION DES JOUEURS'!$X$8="Bande"),_xlfn.XLOOKUP(AD11,Tableau13[Cat.],Tableau13[bande],"Cat ?",0,1),IF(AND('GESTION DES JOUEURS'!$D$8="Open",'GESTION DES JOUEURS'!$X$8="Cadre"),_xlfn.XLOOKUP(AD11,Tableau13[Cat.],Tableau13[Cadre],"Cat ?",0,1),IF(AND('GESTION DES JOUEURS'!$D$8="Open",'GESTION DES JOUEURS'!$X$8="3 Bandes"),_xlfn.XLOOKUP(AD11,Tableau13[Cat.],Tableau13[3 Bandes],"Cat ?",0,1)))))</f>
        <v>0</v>
      </c>
      <c r="AF11" s="554" t="str">
        <f>CI31</f>
        <v/>
      </c>
      <c r="AG11" s="554" t="str">
        <f>CJ31</f>
        <v/>
      </c>
      <c r="AN11" s="244"/>
      <c r="AO11" s="559" t="str">
        <f t="shared" si="8"/>
        <v/>
      </c>
      <c r="AP11" s="248"/>
      <c r="AQ11" s="307" t="str">
        <f t="shared" si="9"/>
        <v/>
      </c>
      <c r="AR11" s="807"/>
      <c r="AS11" s="310" t="str">
        <f t="shared" si="10"/>
        <v/>
      </c>
      <c r="AT11" s="308">
        <f t="shared" si="11"/>
        <v>6</v>
      </c>
      <c r="AU11" s="308" t="str">
        <f t="shared" si="12"/>
        <v/>
      </c>
      <c r="AV11" s="308" t="str">
        <f t="shared" si="13"/>
        <v/>
      </c>
      <c r="AW11" s="308" t="str">
        <f>IF(SUM($AW$6:AW10)=3,"",AU11)</f>
        <v/>
      </c>
      <c r="AX11" s="309" t="str">
        <f t="shared" si="14"/>
        <v/>
      </c>
      <c r="AY11" s="309" t="str">
        <f t="shared" si="15"/>
        <v/>
      </c>
      <c r="AZ11" s="309" t="str">
        <f t="shared" si="16"/>
        <v/>
      </c>
      <c r="BA11" s="309" t="str">
        <f t="shared" si="17"/>
        <v/>
      </c>
      <c r="BD11" s="328" t="b">
        <f>IF(BK11=BK6,A11)</f>
        <v>0</v>
      </c>
      <c r="BE11" s="328" t="b">
        <f>IF(BK11=BK7,A11)</f>
        <v>0</v>
      </c>
      <c r="BF11" s="328" t="str">
        <f>IF(BK11=BK8,A11)</f>
        <v/>
      </c>
      <c r="BG11" s="328" t="str">
        <f>IF(BK11=BK9,A11)</f>
        <v/>
      </c>
      <c r="BH11" s="328" t="str">
        <f>IF(BK11=BK10,A11)</f>
        <v/>
      </c>
      <c r="BI11" s="328">
        <v>6</v>
      </c>
      <c r="BJ11" s="328">
        <f t="shared" si="18"/>
        <v>1</v>
      </c>
      <c r="BK11" s="244" t="str">
        <v/>
      </c>
      <c r="BV11" s="286" t="s">
        <v>5471</v>
      </c>
      <c r="BW11" s="287" t="str" cm="1">
        <f t="array" ref="BW11">_xlfn.SINGLE(_xlfn.XLOOKUP(A7&amp;A11,G18:G32&amp;V18:V32,N18:N32,_xlfn.XLOOKUP(A11&amp;A7,G18:G32&amp;V18:V32,P18:P32,"",0,1),0,1))</f>
        <v/>
      </c>
      <c r="BX11" s="287" t="str" cm="1">
        <f t="array" ref="BX11">_xlfn.XLOOKUP(A7&amp;A11,G18:G32&amp;V18:V32,P18:P32,_xlfn.XLOOKUP(A11&amp;A7,G18:G32&amp;V18:V32,N18:N32,"",0,1),0,1)</f>
        <v/>
      </c>
      <c r="BY11" s="287" t="str" cm="1">
        <f t="array" ref="BY11">_xlfn.XLOOKUP(A7&amp;A11,$G$18:$G$32&amp;$V$18:$V$32,$M$18:$M$32,"",0,1)</f>
        <v/>
      </c>
      <c r="BZ11" s="287" t="str" cm="1">
        <f t="array" ref="BZ11">_xlfn.XLOOKUP(A7&amp;A11,$G$18:$G$32&amp;$V$18:$V$32,$Q$18:$Q$32,"",0,1)</f>
        <v/>
      </c>
      <c r="CA11" s="287" t="str" cm="1">
        <f t="array" ref="CA11">_xlfn.XLOOKUP(A7&amp;A11,G18:G32&amp;V18:V32,O18:O32,_xlfn.XLOOKUP(A11&amp;A7,G18:G32&amp;V18:V32,O18:O32,"",0,1),0,1)</f>
        <v/>
      </c>
      <c r="CB11" s="288" t="str" cm="1">
        <f t="array" ref="CB11">_xlfn.XLOOKUP(A7&amp;A11,G18:G32&amp;V18:V32,A18:A32,"",0,1)</f>
        <v/>
      </c>
      <c r="CC11" s="289" t="str">
        <f>IF(COUNTBLANK($AO$6:$AO$11)=2,SUM(BW11,BX34),IF(BW11="",BX34,BW11))</f>
        <v/>
      </c>
      <c r="CD11" s="287" t="str">
        <f>IF(CC11="Ab.","",IF(BY11="",BZ34,BY11))</f>
        <v/>
      </c>
      <c r="CE11" s="287" t="str">
        <f t="shared" si="20"/>
        <v/>
      </c>
      <c r="CF11" s="290" t="str">
        <f>IF(CB11="",CB34,CB11)</f>
        <v/>
      </c>
      <c r="CG11" s="291" t="str" cm="1">
        <f t="array" ref="CG11">_xlfn.XLOOKUP(BV11,$G$18:$G$32&amp;"-"&amp;$V$18:$V$32,$D$18:$D$32,_xlfn.XLOOKUP(BV34,$G$18:$G$32&amp;"-"&amp;$V$18:$V$32,$X$18:$X$32,"",0,1),0,1)</f>
        <v/>
      </c>
      <c r="CH11" s="174" t="str" cm="1">
        <f t="array" ref="CH11">_xlfn.XLOOKUP(BV11,$G$18:$G$32&amp;"-"&amp;$V$18:$V$32,$AS$18:$AS$32,_xlfn.XLOOKUP(BV34,$G$18:$G$32&amp;"-"&amp;$V$18:$V$32,$AT$18:$AT$32,"",0,1),0,1)</f>
        <v/>
      </c>
      <c r="CI11" s="817" t="str">
        <f>IFERROR(IF('GESTION DES JOUEURS'!$D$8="Open",SUMIF(CF11:CF15,"P",BW11:BW15)/(COUNTIF(CF11:CF15,"P")*AE7),""),0)</f>
        <v/>
      </c>
      <c r="CJ11" s="820" t="str">
        <f>IFERROR(IF('GESTION DES JOUEURS'!$D$8="Open",SUMIF(CF11:CF15,"P",BX11:BX15)/SUMIF(CF11:CF15,"P",CL11:CL15),""),0)</f>
        <v/>
      </c>
      <c r="CK11" s="557">
        <f t="shared" si="21"/>
        <v>6</v>
      </c>
      <c r="CL11" s="557" t="str">
        <f t="shared" si="19"/>
        <v/>
      </c>
    </row>
    <row r="12" spans="1:90" ht="18.95" customHeight="1" thickBot="1" x14ac:dyDescent="0.3">
      <c r="AA12" s="893"/>
      <c r="BD12" s="217">
        <v>6</v>
      </c>
      <c r="BE12" s="236">
        <f t="shared" ref="BE12:BJ12" si="22">COUNT(BD6:BD11)</f>
        <v>1</v>
      </c>
      <c r="BF12" s="221">
        <f t="shared" si="22"/>
        <v>1</v>
      </c>
      <c r="BG12" s="221">
        <f t="shared" si="22"/>
        <v>1</v>
      </c>
      <c r="BH12" s="221">
        <f t="shared" si="22"/>
        <v>1</v>
      </c>
      <c r="BI12" s="221">
        <f t="shared" si="22"/>
        <v>1</v>
      </c>
      <c r="BJ12" s="222">
        <f t="shared" si="22"/>
        <v>1</v>
      </c>
      <c r="BV12" s="292" t="s">
        <v>5472</v>
      </c>
      <c r="BW12" s="223" t="str" cm="1">
        <f t="array" ref="BW12">_xlfn.SINGLE(_xlfn.XLOOKUP(A7&amp;A10,G18:G32&amp;V18:V32,N18:N32,_xlfn.XLOOKUP(A10&amp;A7,G18:G32&amp;V18:V32,P18:P32,"",0,1),0,1))</f>
        <v/>
      </c>
      <c r="BX12" s="223" t="str" cm="1">
        <f t="array" ref="BX12">_xlfn.XLOOKUP(A7&amp;A10,G18:G32&amp;V18:V32,P18:P32,_xlfn.XLOOKUP(A10&amp;A7,G18:G32&amp;V18:V32,N18:N32,"",0,1),0,1)</f>
        <v/>
      </c>
      <c r="BY12" s="223" t="str" cm="1">
        <f t="array" ref="BY12">_xlfn.XLOOKUP(A7&amp;A10,$G$18:$G$32&amp;$V$18:$V$32,$M$18:$M$32,"",0,1)</f>
        <v/>
      </c>
      <c r="BZ12" s="223" t="str" cm="1">
        <f t="array" ref="BZ12">_xlfn.XLOOKUP(A7&amp;A10,$G$18:$G$32&amp;$V$18:$V$32,$Q$18:$Q$32,"",0,1)</f>
        <v/>
      </c>
      <c r="CA12" s="223" t="str" cm="1">
        <f t="array" ref="CA12">_xlfn.XLOOKUP(A7&amp;A10,G18:G32&amp;V18:V32,O18:O32,_xlfn.XLOOKUP(A10&amp;A7,G18:G32&amp;V18:V32,O18:O32,"",0,1),0,1)</f>
        <v/>
      </c>
      <c r="CB12" s="293" t="str" cm="1">
        <f t="array" ref="CB12">_xlfn.XLOOKUP(A7&amp;A10,G18:G32&amp;V18:V32,A18:A32,"",0,1)</f>
        <v/>
      </c>
      <c r="CC12" s="237" t="str">
        <f>IF(COUNTBLANK($AO$6:$AO$11)=2,SUM(BW12,BX29),IF(BW12="",BX29,BW12))</f>
        <v/>
      </c>
      <c r="CD12" s="223" t="str">
        <f>IF(CC12="Ab.","",IF(BY12="",BZ29,BY12))</f>
        <v/>
      </c>
      <c r="CE12" s="223" t="str">
        <f t="shared" si="20"/>
        <v/>
      </c>
      <c r="CF12" s="294" t="str">
        <f>IF(CB12="",CB29,CB12)</f>
        <v/>
      </c>
      <c r="CG12" s="295" t="str" cm="1">
        <f t="array" ref="CG12">_xlfn.XLOOKUP(BV12,$G$18:$G$32&amp;"-"&amp;$V$18:$V$32,$D$18:$D$32,_xlfn.XLOOKUP(BV29,$G$18:$G$32&amp;"-"&amp;$V$18:$V$32,$X$18:$X$32,"",0,1),0,1)</f>
        <v/>
      </c>
      <c r="CH12" s="175" t="str" cm="1">
        <f t="array" ref="CH12">_xlfn.XLOOKUP(BV12,$G$18:$G$32&amp;"-"&amp;$V$18:$V$32,$AS$18:$AS$32,_xlfn.XLOOKUP(BV29,$G$18:$G$32&amp;"-"&amp;$V$18:$V$32,$AT$18:$AT$32,"",0,1),0,1)</f>
        <v/>
      </c>
      <c r="CI12" s="818"/>
      <c r="CJ12" s="821"/>
      <c r="CK12" s="557">
        <f t="shared" si="21"/>
        <v>5</v>
      </c>
      <c r="CL12" s="557" t="str">
        <f t="shared" si="19"/>
        <v/>
      </c>
    </row>
    <row r="13" spans="1:90" ht="19.5" thickBot="1" x14ac:dyDescent="0.3">
      <c r="B13" s="895" t="s">
        <v>5528</v>
      </c>
      <c r="C13" s="896"/>
      <c r="D13" s="896"/>
      <c r="E13" s="896"/>
      <c r="F13" s="897" t="str">
        <f>'GESTION DES JOUEURS'!$D$8</f>
        <v>Poules</v>
      </c>
      <c r="G13" s="897"/>
      <c r="H13" s="897"/>
      <c r="I13" s="897"/>
      <c r="J13" s="897"/>
      <c r="K13" s="107" t="str">
        <f>IF(F13="FINALE","","Poule")</f>
        <v>Poule</v>
      </c>
      <c r="L13" s="242" t="str">
        <f>IF(K13="Poule","D","")</f>
        <v>D</v>
      </c>
      <c r="M13" s="898" t="s">
        <v>5529</v>
      </c>
      <c r="N13" s="898"/>
      <c r="O13" s="898"/>
      <c r="P13" s="898"/>
      <c r="Q13" s="898"/>
      <c r="R13" s="339"/>
      <c r="S13" s="794" t="str">
        <f>'GESTION DES JOUEURS'!$G$6&amp;" "&amp;'GESTION DES JOUEURS'!$J$6</f>
        <v>LEMONIER THIERY</v>
      </c>
      <c r="T13" s="794"/>
      <c r="U13" s="794"/>
      <c r="V13" s="794"/>
      <c r="W13" s="794"/>
      <c r="X13" s="795"/>
      <c r="AA13" s="899" t="s">
        <v>8114</v>
      </c>
      <c r="BD13" s="218">
        <v>5</v>
      </c>
      <c r="BE13" s="237">
        <f>COUNT(BD6:BD10)</f>
        <v>1</v>
      </c>
      <c r="BF13" s="223">
        <f>COUNT(BE6:BE10)</f>
        <v>1</v>
      </c>
      <c r="BG13" s="223">
        <f>COUNT(BF6:BF10)</f>
        <v>1</v>
      </c>
      <c r="BH13" s="223">
        <f>COUNT(BG6:BG10)</f>
        <v>1</v>
      </c>
      <c r="BI13" s="223">
        <f>COUNT(BH6:BH10)</f>
        <v>1</v>
      </c>
      <c r="BJ13" s="224"/>
      <c r="BV13" s="292" t="s">
        <v>5473</v>
      </c>
      <c r="BW13" s="223" t="str" cm="1">
        <f t="array" ref="BW13">_xlfn.SINGLE(_xlfn.XLOOKUP(A7&amp;A9,G18:G32&amp;V18:V32,N18:N32,_xlfn.XLOOKUP(A9&amp;A7,G18:G32&amp;V18:V32,P18:P32,"",0,1),0,1))</f>
        <v/>
      </c>
      <c r="BX13" s="223" t="str" cm="1">
        <f t="array" ref="BX13">_xlfn.XLOOKUP(A7&amp;A9,G18:G32&amp;V18:V32,P18:P32,_xlfn.XLOOKUP(A9&amp;A7,G18:G32&amp;V18:V32,N18:N32,"",0,1),0,1)</f>
        <v/>
      </c>
      <c r="BY13" s="223" t="str" cm="1">
        <f t="array" ref="BY13">_xlfn.XLOOKUP(A7&amp;A9,$G$18:$G$32&amp;$V$18:$V$32,$M$18:$M$32,"",0,1)</f>
        <v/>
      </c>
      <c r="BZ13" s="223" t="str" cm="1">
        <f t="array" ref="BZ13">_xlfn.XLOOKUP(A7&amp;A9,$G$18:$G$32&amp;$V$18:$V$32,$Q$18:$Q$32,"",0,1)</f>
        <v/>
      </c>
      <c r="CA13" s="223" t="str" cm="1">
        <f t="array" ref="CA13">_xlfn.XLOOKUP(A7&amp;A9,G18:G32&amp;V18:V32,O18:O32,_xlfn.XLOOKUP(A9&amp;A7,G18:G32&amp;V18:V32,O18:O32,"",0,1),0,1)</f>
        <v/>
      </c>
      <c r="CB13" s="293" t="str" cm="1">
        <f t="array" ref="CB13">_xlfn.XLOOKUP(A7&amp;A9,G18:G32&amp;V18:V32,A18:A32,"",0,1)</f>
        <v/>
      </c>
      <c r="CC13" s="237" t="str">
        <f>IF(COUNTBLANK($AO$6:$AO$11)=2,SUM(BW13,BX24),IF(BW13="",BX24,BW13))</f>
        <v/>
      </c>
      <c r="CD13" s="223" t="str">
        <f>IF(CC13="Ab.","",IF(BY13="",BZ24,BY13))</f>
        <v/>
      </c>
      <c r="CE13" s="223" t="str">
        <f t="shared" si="20"/>
        <v/>
      </c>
      <c r="CF13" s="294" t="str">
        <f>IF(CB13="",CB24,CB13)</f>
        <v/>
      </c>
      <c r="CG13" s="295" t="str" cm="1">
        <f t="array" ref="CG13">_xlfn.XLOOKUP(BV13,$G$18:$G$32&amp;"-"&amp;$V$18:$V$32,$D$18:$D$32,_xlfn.XLOOKUP(BV24,$G$18:$G$32&amp;"-"&amp;$V$18:$V$32,$X$18:$X$32,"",0,1),0,1)</f>
        <v/>
      </c>
      <c r="CH13" s="175" t="str" cm="1">
        <f t="array" ref="CH13">_xlfn.XLOOKUP(BV13,$G$18:$G$32&amp;"-"&amp;$V$18:$V$32,$AS$18:$AS$32,_xlfn.XLOOKUP(BV24,$G$18:$G$32&amp;"-"&amp;$V$18:$V$32,$AT$18:$AT$32,"",0,1),0,1)</f>
        <v/>
      </c>
      <c r="CI13" s="818"/>
      <c r="CJ13" s="821"/>
      <c r="CK13" s="557">
        <f t="shared" si="21"/>
        <v>4</v>
      </c>
      <c r="CL13" s="557" t="str">
        <f t="shared" si="19"/>
        <v/>
      </c>
    </row>
    <row r="14" spans="1:90" ht="19.5" thickBot="1" x14ac:dyDescent="0.3">
      <c r="B14" s="797" t="str">
        <f>'GESTION DES JOUEURS'!$G$4</f>
        <v>Distance :</v>
      </c>
      <c r="C14" s="798"/>
      <c r="D14" s="798"/>
      <c r="E14" s="107">
        <f>'GESTION DES JOUEURS'!$I$4</f>
        <v>100</v>
      </c>
      <c r="F14" s="107" t="s">
        <v>2</v>
      </c>
      <c r="G14" s="798" t="s">
        <v>5496</v>
      </c>
      <c r="H14" s="798"/>
      <c r="I14" s="107"/>
      <c r="J14" s="798">
        <f>'GESTION DES JOUEURS'!$K$4</f>
        <v>40</v>
      </c>
      <c r="K14" s="798"/>
      <c r="L14" s="108" t="s">
        <v>5453</v>
      </c>
      <c r="M14" s="897" t="str">
        <f>'GESTION DES JOUEURS'!$B$6</f>
        <v>9031 - ACADEMIE DE BILLARD DE MAISONS ALFORT</v>
      </c>
      <c r="N14" s="897"/>
      <c r="O14" s="897"/>
      <c r="P14" s="897"/>
      <c r="Q14" s="897"/>
      <c r="R14" s="271"/>
      <c r="S14" s="107" t="s">
        <v>5497</v>
      </c>
      <c r="T14" s="903">
        <f>'GESTION DES JOUEURS'!$K$2</f>
        <v>45633</v>
      </c>
      <c r="U14" s="903"/>
      <c r="V14" s="903"/>
      <c r="W14" s="903"/>
      <c r="X14" s="904"/>
      <c r="AA14" s="899"/>
      <c r="BD14" s="219">
        <v>4</v>
      </c>
      <c r="BE14" s="238">
        <f>COUNT(BD6:BD9)</f>
        <v>1</v>
      </c>
      <c r="BF14" s="225">
        <f>COUNT(BE6:BE9)</f>
        <v>1</v>
      </c>
      <c r="BG14" s="225">
        <f>COUNT(BF6:BF9)</f>
        <v>1</v>
      </c>
      <c r="BH14" s="225">
        <f>COUNT(BG6:BG9)</f>
        <v>1</v>
      </c>
      <c r="BI14" s="225"/>
      <c r="BJ14" s="226"/>
      <c r="BV14" s="292" t="s">
        <v>5474</v>
      </c>
      <c r="BW14" s="223" t="str" cm="1">
        <f t="array" ref="BW14">_xlfn.SINGLE(_xlfn.XLOOKUP(A7&amp;A8,G18:G32&amp;V18:V32,N18:N32,_xlfn.XLOOKUP(A8&amp;A7,G18:G32&amp;V18:V32,P18:P32,"",0,1),0,1))</f>
        <v/>
      </c>
      <c r="BX14" s="223" t="str" cm="1">
        <f t="array" ref="BX14">_xlfn.XLOOKUP(A7&amp;A8,G18:G32&amp;V18:V32,P18:P32,_xlfn.XLOOKUP(A8&amp;A7,G18:G32&amp;V18:V32,N18:N32,"",0,1),0,1)</f>
        <v/>
      </c>
      <c r="BY14" s="223" t="str" cm="1">
        <f t="array" ref="BY14">_xlfn.XLOOKUP(A7&amp;A8,$G$18:$G$32&amp;$V$18:$V$32,$M$18:$M$32,"",0,1)</f>
        <v/>
      </c>
      <c r="BZ14" s="223" t="str" cm="1">
        <f t="array" ref="BZ14">_xlfn.XLOOKUP(A7&amp;A8,$G$18:$G$32&amp;$V$18:$V$32,$Q$18:$Q$32,"",0,1)</f>
        <v/>
      </c>
      <c r="CA14" s="223" t="str" cm="1">
        <f t="array" ref="CA14">_xlfn.XLOOKUP(A7&amp;A8,G18:G32&amp;V18:V32,O18:O32,_xlfn.XLOOKUP(A8&amp;A7,G18:G32&amp;V18:V32,O18:O32,"",0,1),0,1)</f>
        <v/>
      </c>
      <c r="CB14" s="293" t="str" cm="1">
        <f t="array" ref="CB14">_xlfn.XLOOKUP(A7&amp;A8,G18:G32&amp;V18:V32,A18:A32,"",0,1)</f>
        <v/>
      </c>
      <c r="CC14" s="237" t="str">
        <f>IF(COUNTBLANK($AO$6:$AO$11)=2,SUM(BW14,BX19),IF(BW14="",BX19,BW14))</f>
        <v/>
      </c>
      <c r="CD14" s="223" t="str">
        <f>IF(CC14="Ab.","",IF(BY14="",BZ19,BY14))</f>
        <v/>
      </c>
      <c r="CE14" s="223" t="str">
        <f t="shared" si="20"/>
        <v/>
      </c>
      <c r="CF14" s="294" t="str">
        <f>IF(CB14="",CB19,CB14)</f>
        <v/>
      </c>
      <c r="CG14" s="295" t="str" cm="1">
        <f t="array" ref="CG14">_xlfn.XLOOKUP(BV14,$G$18:$G$32&amp;"-"&amp;$V$18:$V$32,$D$18:$D$32,_xlfn.XLOOKUP(BV19,$G$18:$G$32&amp;"-"&amp;$V$18:$V$32,$X$18:$X$32,"",0,1),0,1)</f>
        <v/>
      </c>
      <c r="CH14" s="175" t="str" cm="1">
        <f t="array" ref="CH14">_xlfn.XLOOKUP(BV14,$G$18:$G$32&amp;"-"&amp;$V$18:$V$32,$AS$18:$AS$32,_xlfn.XLOOKUP(BV19,$G$18:$G$32&amp;"-"&amp;$V$18:$V$32,$AT$18:$AT$32,"",0,1),0,1)</f>
        <v/>
      </c>
      <c r="CI14" s="818"/>
      <c r="CJ14" s="821"/>
      <c r="CK14" s="557">
        <f t="shared" si="21"/>
        <v>3</v>
      </c>
      <c r="CL14" s="557" t="str">
        <f t="shared" si="19"/>
        <v/>
      </c>
    </row>
    <row r="15" spans="1:90" ht="27" thickBot="1" x14ac:dyDescent="0.45">
      <c r="B15" s="908" t="str">
        <f>'GESTION DES JOUEURS'!$D$4</f>
        <v>Libre R2</v>
      </c>
      <c r="C15" s="909"/>
      <c r="D15" s="789" t="s">
        <v>5455</v>
      </c>
      <c r="E15" s="790"/>
      <c r="F15" s="790"/>
      <c r="G15" s="790"/>
      <c r="H15" s="790"/>
      <c r="I15" s="790"/>
      <c r="J15" s="790"/>
      <c r="K15" s="790"/>
      <c r="L15" s="790"/>
      <c r="M15" s="790"/>
      <c r="N15" s="790"/>
      <c r="O15" s="790"/>
      <c r="P15" s="790"/>
      <c r="Q15" s="790"/>
      <c r="R15" s="790"/>
      <c r="S15" s="790"/>
      <c r="T15" s="790"/>
      <c r="U15" s="790"/>
      <c r="V15" s="790"/>
      <c r="W15" s="790"/>
      <c r="X15" s="791"/>
      <c r="AA15" s="907" t="s">
        <v>8115</v>
      </c>
      <c r="BD15" s="220">
        <v>3</v>
      </c>
      <c r="BE15" s="239">
        <f>COUNT(BD6:BD8)</f>
        <v>1</v>
      </c>
      <c r="BF15" s="227">
        <f>COUNT(BE6:BE8)</f>
        <v>1</v>
      </c>
      <c r="BG15" s="227">
        <f>COUNT(BF6:BF8)</f>
        <v>1</v>
      </c>
      <c r="BH15" s="227"/>
      <c r="BI15" s="227"/>
      <c r="BJ15" s="228"/>
      <c r="BV15" s="296" t="s">
        <v>5475</v>
      </c>
      <c r="BW15" s="297" cm="1">
        <f t="array" ref="BW15">_xlfn.SINGLE(_xlfn.XLOOKUP(A7&amp;A6,G18:G32&amp;V18:V32,N18:N32,_xlfn.XLOOKUP(A6&amp;A7,G18:G32&amp;V18:V32,P18:P32,"",0,1),0,1))</f>
        <v>79</v>
      </c>
      <c r="BX15" s="297" cm="1">
        <f t="array" ref="BX15">_xlfn.XLOOKUP(A7&amp;A6,G18:G32&amp;V18:V32,P18:P32,_xlfn.XLOOKUP(A6&amp;A7,G18:G32&amp;V18:V32,N18:N32,"",0,1),0,1)</f>
        <v>100</v>
      </c>
      <c r="BY15" s="297" cm="1">
        <f t="array" ref="BY15">_xlfn.XLOOKUP(A7&amp;A6,$G$18:$G$32&amp;$V$18:$V$32,$M$18:$M$32,"",0,1)</f>
        <v>20</v>
      </c>
      <c r="BZ15" s="297" cm="1">
        <f t="array" ref="BZ15">_xlfn.XLOOKUP(A7&amp;A6,$G$18:$G$32&amp;$V$18:$V$32,$Q$18:$Q$32,"",0,1)</f>
        <v>18</v>
      </c>
      <c r="CA15" s="297" cm="1">
        <f t="array" ref="CA15">_xlfn.XLOOKUP(A7&amp;A6,G18:G32&amp;V18:V32,O18:O32,_xlfn.XLOOKUP(A6&amp;A7,G18:G32&amp;V18:V32,O18:O32,"",0,1),0,1)</f>
        <v>25</v>
      </c>
      <c r="CB15" s="298" t="str" cm="1">
        <f t="array" ref="CB15">_xlfn.XLOOKUP(A7&amp;A6,G18:G32&amp;V18:V32,A18:A32,"",0,1)</f>
        <v>P</v>
      </c>
      <c r="CC15" s="299">
        <f>IF(COUNTBLANK($AO$6:$AO$11)=2,SUM(BW15,BX10),IF(BW15="",BX10,BW15))</f>
        <v>79</v>
      </c>
      <c r="CD15" s="297">
        <f>IF(CC15="Ab.","",IF(BY15="",BZ10,BY15))</f>
        <v>20</v>
      </c>
      <c r="CE15" s="297">
        <f t="shared" si="20"/>
        <v>25</v>
      </c>
      <c r="CF15" s="300" t="str">
        <f>IF(CB15="",CB10,CB15)</f>
        <v>P</v>
      </c>
      <c r="CG15" s="301" cm="1">
        <f t="array" ref="CG15">_xlfn.XLOOKUP(BV15,$G$18:$G$32&amp;"-"&amp;$V$18:$V$32,$D$18:$D$32,_xlfn.XLOOKUP(BV10,$G$18:$G$32&amp;"-"&amp;$V$18:$V$32,$X$18:$X$32,"",0,1),0,1)</f>
        <v>0</v>
      </c>
      <c r="CH15" s="302" cm="1">
        <f t="array" ref="CH15">_xlfn.XLOOKUP(BV15,$G$18:$G$32&amp;"-"&amp;$V$18:$V$32,$AS$18:$AS$32,_xlfn.XLOOKUP(BV10,$G$18:$G$32&amp;"-"&amp;$V$18:$V$32,$AT$18:$AT$32,"",0,1),0,1)</f>
        <v>1</v>
      </c>
      <c r="CI15" s="819"/>
      <c r="CJ15" s="822"/>
      <c r="CK15" s="557">
        <f t="shared" si="21"/>
        <v>1</v>
      </c>
      <c r="CL15" s="557" t="b">
        <f t="shared" si="19"/>
        <v>0</v>
      </c>
    </row>
    <row r="16" spans="1:90" ht="18.95" customHeight="1" thickBot="1" x14ac:dyDescent="0.3">
      <c r="B16" s="771" t="s">
        <v>5456</v>
      </c>
      <c r="C16" s="771" t="s">
        <v>5457</v>
      </c>
      <c r="D16" s="786" t="s">
        <v>5458</v>
      </c>
      <c r="E16" s="787"/>
      <c r="F16" s="787"/>
      <c r="G16" s="787"/>
      <c r="H16" s="787"/>
      <c r="I16" s="787"/>
      <c r="J16" s="787"/>
      <c r="K16" s="787"/>
      <c r="L16" s="787"/>
      <c r="M16" s="787"/>
      <c r="N16" s="788"/>
      <c r="O16" s="49" t="s">
        <v>5459</v>
      </c>
      <c r="P16" s="773" t="s">
        <v>5460</v>
      </c>
      <c r="Q16" s="774"/>
      <c r="R16" s="774"/>
      <c r="S16" s="774"/>
      <c r="T16" s="774"/>
      <c r="U16" s="774"/>
      <c r="V16" s="774"/>
      <c r="W16" s="774"/>
      <c r="X16" s="775"/>
      <c r="Y16" s="823" t="str">
        <f>IF('GESTION DES JOUEURS'!$W$8=3.1,"cocher si match"&amp;CHAR(10)&amp;"sur 2,80m",IF('GESTION DES JOUEURS'!$W$8=2.8,"cocher si match"&amp;CHAR(10)&amp;"sur 3,10m",""))</f>
        <v>cocher si match
sur 3,10m</v>
      </c>
      <c r="AA16" s="907"/>
      <c r="AN16" s="244"/>
      <c r="AO16" s="248"/>
      <c r="AS16" s="825" t="s">
        <v>5530</v>
      </c>
      <c r="AT16" s="826"/>
      <c r="AU16" s="827" t="s">
        <v>5531</v>
      </c>
      <c r="AV16" s="828"/>
      <c r="AW16" s="827" t="s">
        <v>5532</v>
      </c>
      <c r="AX16" s="828"/>
      <c r="BV16" s="286" t="s">
        <v>5476</v>
      </c>
      <c r="BW16" s="287" cm="1">
        <f t="array" ref="BW16">_xlfn.SINGLE(_xlfn.XLOOKUP(A8&amp;A11,G18:G32&amp;V18:V32,N18:N32,_xlfn.XLOOKUP(A11&amp;A8,G18:G32&amp;V18:V32,P18:P32,"",0,1),0,1))</f>
        <v>0</v>
      </c>
      <c r="BX16" s="287" cm="1">
        <f t="array" ref="BX16">_xlfn.XLOOKUP(A8&amp;A11,G18:G32&amp;V18:V32,P18:P32,_xlfn.XLOOKUP(A11&amp;A8,G18:G32&amp;V18:V32,N18:N32,"",0,1),0,1)</f>
        <v>0</v>
      </c>
      <c r="BY16" s="287" cm="1">
        <f t="array" ref="BY16">_xlfn.XLOOKUP(A8&amp;A11,$G$18:$G$32&amp;$V$18:$V$32,$M$18:$M$32,"",0,1)</f>
        <v>0</v>
      </c>
      <c r="BZ16" s="287" cm="1">
        <f t="array" ref="BZ16">_xlfn.XLOOKUP(A8&amp;A11,$G$18:$G$32&amp;$V$18:$V$32,$Q$18:$Q$32,"",0,1)</f>
        <v>0</v>
      </c>
      <c r="CA16" s="287" cm="1">
        <f t="array" ref="CA16">_xlfn.XLOOKUP(A8&amp;A11,G18:G32&amp;V18:V32,O18:O32,_xlfn.XLOOKUP(A11&amp;A8,G18:G32&amp;V18:V32,O18:O32,"",0,1),0,1)</f>
        <v>0</v>
      </c>
      <c r="CB16" s="288" t="str" cm="1">
        <f t="array" ref="CB16">_xlfn.XLOOKUP(A8&amp;A11,G18:G32&amp;V18:V32,A18:A32,"",0,1)</f>
        <v/>
      </c>
      <c r="CC16" s="289">
        <f>IF(COUNTBLANK($AO$6:$AO$11)=2,SUM(BW16,BX33),IF(BW16="",BX33,BW16))</f>
        <v>0</v>
      </c>
      <c r="CD16" s="287">
        <f>IF(CC16="Ab.","",IF(BY16="",BZ33,BY16))</f>
        <v>0</v>
      </c>
      <c r="CE16" s="287">
        <f t="shared" si="20"/>
        <v>0</v>
      </c>
      <c r="CF16" s="290" t="str">
        <f>IF(CB16="",CB33,CB16)</f>
        <v/>
      </c>
      <c r="CG16" s="291" t="str" cm="1">
        <f t="array" ref="CG16">_xlfn.XLOOKUP(BV16,$G$18:$G$32&amp;"-"&amp;$V$18:$V$32,$D$18:$D$32,_xlfn.XLOOKUP(BV33,$G$18:$G$32&amp;"-"&amp;$V$18:$V$32,$X$18:$X$32,"",0,1),0,1)</f>
        <v/>
      </c>
      <c r="CH16" s="174" t="str" cm="1">
        <f t="array" ref="CH16">_xlfn.XLOOKUP(BV16,$G$18:$G$32&amp;"-"&amp;$V$18:$V$32,$AS$18:$AS$32,_xlfn.XLOOKUP(BV33,$G$18:$G$32&amp;"-"&amp;$V$18:$V$32,$AT$18:$AT$32,"",0,1),0,1)</f>
        <v/>
      </c>
      <c r="CI16" s="817" t="str">
        <f>IFERROR(IF('GESTION DES JOUEURS'!$D$8="Open",SUMIF(CF16:CF20,"P",BW16:BW20)/(COUNTIF(CF16:CF20,"P")*AE8),""),0)</f>
        <v/>
      </c>
      <c r="CJ16" s="820" t="str">
        <f>IFERROR(IF('GESTION DES JOUEURS'!$D$8="Open",SUMIF(CF16:CF20,"P",BX16:BX20)/SUMIF(CF16:CF20,"P",CL16:CL20),""),0)</f>
        <v/>
      </c>
      <c r="CK16" s="557">
        <f t="shared" si="21"/>
        <v>6</v>
      </c>
      <c r="CL16" s="557" t="str">
        <f t="shared" si="19"/>
        <v/>
      </c>
    </row>
    <row r="17" spans="1:90" ht="15" customHeight="1" thickBot="1" x14ac:dyDescent="0.3">
      <c r="B17" s="772"/>
      <c r="C17" s="772"/>
      <c r="D17" s="344" t="s">
        <v>14</v>
      </c>
      <c r="E17" s="68" t="s">
        <v>5521</v>
      </c>
      <c r="F17" s="69" t="s">
        <v>21</v>
      </c>
      <c r="G17" s="70"/>
      <c r="H17" s="783" t="s">
        <v>8</v>
      </c>
      <c r="I17" s="784"/>
      <c r="J17" s="784"/>
      <c r="K17" s="783" t="s">
        <v>9</v>
      </c>
      <c r="L17" s="785"/>
      <c r="M17" s="345" t="s">
        <v>17</v>
      </c>
      <c r="N17" s="346" t="s">
        <v>23</v>
      </c>
      <c r="O17" s="347" t="s">
        <v>18</v>
      </c>
      <c r="P17" s="345" t="s">
        <v>23</v>
      </c>
      <c r="Q17" s="346" t="s">
        <v>17</v>
      </c>
      <c r="R17" s="759" t="s">
        <v>8</v>
      </c>
      <c r="S17" s="760"/>
      <c r="T17" s="71" t="s">
        <v>9</v>
      </c>
      <c r="U17" s="71" t="s">
        <v>21</v>
      </c>
      <c r="V17" s="72"/>
      <c r="W17" s="73" t="s">
        <v>5521</v>
      </c>
      <c r="X17" s="348" t="s">
        <v>14</v>
      </c>
      <c r="Y17" s="824"/>
      <c r="AA17" s="906" t="s">
        <v>8116</v>
      </c>
      <c r="AN17" s="244"/>
      <c r="AO17" s="248"/>
      <c r="AP17" s="325" t="s">
        <v>5498</v>
      </c>
      <c r="AQ17" s="325" t="s">
        <v>5499</v>
      </c>
      <c r="AR17" s="326"/>
      <c r="AS17" s="311" t="s">
        <v>31</v>
      </c>
      <c r="AT17" s="312" t="s">
        <v>32</v>
      </c>
      <c r="AU17" s="311" t="s">
        <v>31</v>
      </c>
      <c r="AV17" s="312" t="s">
        <v>32</v>
      </c>
      <c r="AW17" s="311" t="s">
        <v>31</v>
      </c>
      <c r="AX17" s="312" t="s">
        <v>32</v>
      </c>
      <c r="AZ17" s="326">
        <v>1</v>
      </c>
      <c r="BB17" s="723">
        <v>6</v>
      </c>
      <c r="BC17" s="232" cm="1">
        <f t="array" ref="BC17:BC22">_xlfn._xlws.SORT(BD6:BD11)</f>
        <v>1</v>
      </c>
      <c r="BD17" s="158" cm="1">
        <f t="array" ref="BD17:BD22">_xlfn._xlws.SORT(BE6:BE11)</f>
        <v>2</v>
      </c>
      <c r="BE17" s="158" cm="1">
        <f t="array" ref="BE17:BE22">_xlfn._xlws.SORT(BF6:BF11)</f>
        <v>3</v>
      </c>
      <c r="BF17" s="158" cm="1">
        <f t="array" ref="BF17:BF22">_xlfn._xlws.SORT(BG6:BG11)</f>
        <v>4</v>
      </c>
      <c r="BG17" s="158" cm="1">
        <f t="array" ref="BG17:BG22">_xlfn._xlws.SORT(BH6:BH11)</f>
        <v>5</v>
      </c>
      <c r="BH17" s="158" cm="1">
        <f t="array" ref="BH17:BH22">_xlfn._xlws.SORT(BI6:BI11)</f>
        <v>6</v>
      </c>
      <c r="BI17" s="159"/>
      <c r="BJ17" s="159"/>
      <c r="BK17" s="158">
        <v>1</v>
      </c>
      <c r="BL17" s="158">
        <f t="shared" ref="BL17:BL22" si="23">IF(OR($BG$26=BK17,$BH$26=BK17,$BI$26=BK17,$BI$27=BK17,$BH$27=BK17,$BG$27=BK17),"",BK17)</f>
        <v>1</v>
      </c>
      <c r="BM17" s="160" cm="1">
        <f t="array" ref="BM17:BM22">_xlfn._xlws.SORT(BL17:BL22)</f>
        <v>1</v>
      </c>
      <c r="BV17" s="292" t="s">
        <v>5477</v>
      </c>
      <c r="BW17" s="223" cm="1">
        <f t="array" ref="BW17">_xlfn.SINGLE(_xlfn.XLOOKUP(A8&amp;A10,G18:G32&amp;V18:V32,N18:N32,_xlfn.XLOOKUP(A10&amp;A8,G18:G32&amp;V18:V32,P18:P32,"",0,1),0,1))</f>
        <v>0</v>
      </c>
      <c r="BX17" s="223" cm="1">
        <f t="array" ref="BX17">_xlfn.XLOOKUP(A8&amp;A10,G18:G32&amp;V18:V32,P18:P32,_xlfn.XLOOKUP(A10&amp;A8,G18:G32&amp;V18:V32,N18:N32,"",0,1),0,1)</f>
        <v>0</v>
      </c>
      <c r="BY17" s="223" cm="1">
        <f t="array" ref="BY17">_xlfn.XLOOKUP(A8&amp;A10,$G$18:$G$32&amp;$V$18:$V$32,$M$18:$M$32,"",0,1)</f>
        <v>0</v>
      </c>
      <c r="BZ17" s="223" cm="1">
        <f t="array" ref="BZ17">_xlfn.XLOOKUP(A8&amp;A10,$G$18:$G$32&amp;$V$18:$V$32,$Q$18:$Q$32,"",0,1)</f>
        <v>0</v>
      </c>
      <c r="CA17" s="223" cm="1">
        <f t="array" ref="CA17">_xlfn.XLOOKUP(A8&amp;A10,G18:G32&amp;V18:V32,O18:O32,_xlfn.XLOOKUP(A10&amp;A8,G18:G32&amp;V18:V32,O18:O32,"",0,1),0,1)</f>
        <v>0</v>
      </c>
      <c r="CB17" s="293" t="str" cm="1">
        <f t="array" ref="CB17">_xlfn.XLOOKUP(A8&amp;A10,G18:G32&amp;V18:V32,A18:A32,"",0,1)</f>
        <v/>
      </c>
      <c r="CC17" s="237">
        <f>IF(COUNTBLANK($AO$6:$AO$11)=2,SUM(BW17,BX28),IF(BW17="",BX28,BW17))</f>
        <v>0</v>
      </c>
      <c r="CD17" s="223">
        <f>IF(CC17="Ab.","",IF(BY17="",BZ28,BY17))</f>
        <v>0</v>
      </c>
      <c r="CE17" s="223">
        <f t="shared" si="20"/>
        <v>0</v>
      </c>
      <c r="CF17" s="294" t="str">
        <f>IF(CB17="",CB28,CB17)</f>
        <v/>
      </c>
      <c r="CG17" s="295" t="str" cm="1">
        <f t="array" ref="CG17">_xlfn.XLOOKUP(BV17,$G$18:$G$32&amp;"-"&amp;$V$18:$V$32,$D$18:$D$32,_xlfn.XLOOKUP(BV28,$G$18:$G$32&amp;"-"&amp;$V$18:$V$32,$X$18:$X$32,"",0,1),0,1)</f>
        <v/>
      </c>
      <c r="CH17" s="175" t="str" cm="1">
        <f t="array" ref="CH17">_xlfn.XLOOKUP(BV17,$G$18:$G$32&amp;"-"&amp;$V$18:$V$32,$AS$18:$AS$32,_xlfn.XLOOKUP(BV28,$G$18:$G$32&amp;"-"&amp;$V$18:$V$32,$AT$18:$AT$32,"",0,1),0,1)</f>
        <v/>
      </c>
      <c r="CI17" s="818"/>
      <c r="CJ17" s="821"/>
      <c r="CK17" s="557">
        <f t="shared" si="21"/>
        <v>5</v>
      </c>
      <c r="CL17" s="557" t="str">
        <f t="shared" si="19"/>
        <v/>
      </c>
    </row>
    <row r="18" spans="1:90" ht="14.45" customHeight="1" x14ac:dyDescent="0.25">
      <c r="A18" s="245" t="str">
        <f>IF(AO4=5,"",IF(OR(O18&gt;0,N18="ab.",P18="ab."),"P",""))</f>
        <v>P</v>
      </c>
      <c r="B18" s="52">
        <f>IF(AO4=5,"",1)</f>
        <v>1</v>
      </c>
      <c r="C18" s="94">
        <f t="shared" ref="C18:C32" si="24">IF(AR18=0,"",IF(B18="","",AR18))</f>
        <v>1</v>
      </c>
      <c r="D18" s="74">
        <f>IF(A18="","",IF(N18="ab.",0,IF(P18="ab.",2,IF(AND('GESTION DES JOUEURS'!$D$8&lt;&gt;"Open",O18&gt;0,N18&gt;P18),2,IF(AND('GESTION DES JOUEURS'!$D$8&lt;&gt;"Open",O18&gt;0,N18&lt;P18),0,IF(AND('GESTION DES JOUEURS'!$D$8&lt;&gt;"Open",O18&gt;0,N18=P18),1,IF(AND('GESTION DES JOUEURS'!$D$8="Open",(N18/_xlfn.XLOOKUP(F18,$B$6:$B$11,$AE$6:$AE$11,"",0,1))&gt;(P18/_xlfn.XLOOKUP(U18,$B$6:$B$11,$AE$6:$AE$11,"",0,1))),2,IF(AND('GESTION DES JOUEURS'!$D$8="Open",(N18/_xlfn.XLOOKUP(F18,$B$6:$B$11,$AE$6:$AE$11,"",0,1))=(P18/_xlfn.XLOOKUP(U18,$B$6:$B$11,$AE$6:$AE$11,"",0,1))),1,IF(AND('GESTION DES JOUEURS'!$D$8="Open",(N18/_xlfn.XLOOKUP(F18,$B$6:$B$11,$AE$6:$AE$11,"",0,1))&lt;(P18/_xlfn.XLOOKUP(U18,$B$6:$B$11,$AE$6:$AE$11,"",0,1))),0,"")))))))))</f>
        <v>2</v>
      </c>
      <c r="E18" s="109">
        <f>IFERROR(IF(AND(D18&gt;0,Y18=FALSE),N18/O18,IF(AND(D18&gt;0,Y18=TRUE),(N18/O18)*_xlfn.XLOOKUP('GESTION DES JOUEURS'!$X$8&amp;RIGHT('GESTION DES JOUEURS'!$Y$8,1),Tableau14[Colonne1],Tableau14[coef. 2,80/3,10],"",0,1),"")),"")</f>
        <v>4.3478260869565215</v>
      </c>
      <c r="F18" s="75" t="str">
        <f>IF(OR(AO4=2,AND($O$4="M",COUNTBLANK($AO$6:$AO$11)=2)),_xlfn.XLOOKUP(1,$O$6:$O$11,$B$6:$B$11,_xlfn.XLOOKUP(1,$M$6:$M$11,$B$6:$B$11," ",0,1),0,1),IF(OR(AO4&lt;5,AND($O$4="M",COUNTBLANK($AO$6:$AO$11)&lt;5)),_xlfn.XLOOKUP('DATA TDJ'!B15,$O$6:$O$11,$B$6:$B$11,_xlfn.XLOOKUP('DATA TDJ'!B15,$M$6:$M$11,$B$6:$B$11," ",0,1),0,1),IF($O$4="M",_xlfn.XLOOKUP('DATA TDJ'!B37,$O$6:$O$11,$B$6:$B$11,_xlfn.XLOOKUP('DATA TDJ'!B37,$M$6:$M$11,$B$6:$B$11," ",0,1),0,1),_xlfn.XLOOKUP('DATA TDJ'!B37,$M$6:$M$11,$B$6:$B$11," ",0,1))))</f>
        <v>118031R</v>
      </c>
      <c r="G18" s="53">
        <f t="shared" ref="G18:G32" si="25">_xlfn.XLOOKUP(F18,$B$6:$B$11,$A$6:$A$11,"",0,1)</f>
        <v>1</v>
      </c>
      <c r="H18" s="776" t="str">
        <f>IFERROR(VLOOKUP(F18,$B$6:$G$11,2,FALSE),"")</f>
        <v>LE HUAN CUA</v>
      </c>
      <c r="I18" s="777"/>
      <c r="J18" s="777"/>
      <c r="K18" s="776" t="str">
        <f>IFERROR(VLOOKUP(F18,$B$6:$G$11,4,FALSE),"")</f>
        <v>TRAN</v>
      </c>
      <c r="L18" s="778"/>
      <c r="M18" s="76">
        <v>20</v>
      </c>
      <c r="N18" s="82">
        <v>100</v>
      </c>
      <c r="O18" s="110">
        <v>23</v>
      </c>
      <c r="P18" s="81">
        <v>53</v>
      </c>
      <c r="Q18" s="77">
        <v>10</v>
      </c>
      <c r="R18" s="768" t="str">
        <f t="shared" ref="R18:R32" si="26">IFERROR(VLOOKUP(U18,$B$6:$G$11,2,0),"")</f>
        <v>KEREBEL</v>
      </c>
      <c r="S18" s="769"/>
      <c r="T18" s="78" t="str">
        <f t="shared" ref="T18:T32" si="27">IFERROR(VLOOKUP(U18,$B$6:$G$11,4,0),"")</f>
        <v>ERIC</v>
      </c>
      <c r="U18" s="78" t="str">
        <f>IF(OR(AO4=2,AND($O$4="M",COUNTBLANK($AO$6:$AO$11)=2)),_xlfn.XLOOKUP(2,$O$6:$O$11,$B$6:$B$11,_xlfn.XLOOKUP(2,$M$6:$M$11,$B$6:$B$11," ",0,1),0,1),IF(OR(AO4&lt;5,AND($O$4="M",COUNTBLANK($AO$6:$AO$11)&lt;5)),_xlfn.XLOOKUP('DATA TDJ'!C15,$O$6:$O$11,$B$6:$B$11,_xlfn.XLOOKUP('DATA TDJ'!C15,$M$6:$M$11,$B$6:$B$11," ",0,1),0,1),IF($O$4="M",_xlfn.XLOOKUP('DATA TDJ'!C37,$O$6:$O$11,$B$6:$B$11,_xlfn.XLOOKUP('DATA TDJ'!C37,$M$6:$M$11,$B$6:$B$11," ",0,1),0,1),_xlfn.XLOOKUP('DATA TDJ'!C37,$M$6:$M$11,$B$6:$B$11," ",0,1))))</f>
        <v>013428M</v>
      </c>
      <c r="V18" s="54">
        <f t="shared" ref="V18:V32" si="28">_xlfn.XLOOKUP(U18,$B$6:$B$11,$A$6:$A$11,"",0,1)</f>
        <v>2</v>
      </c>
      <c r="W18" s="111" t="str">
        <f>IFERROR(IF(AND(X18&gt;0,Y18=FALSE),P18/O18,IF(AND(X18&gt;0,Y18=TRUE),(P18/O18)*_xlfn.XLOOKUP('GESTION DES JOUEURS'!$X$8&amp;RIGHT('GESTION DES JOUEURS'!$Y$8,1),Tableau14[Colonne1],Tableau14[coef. 2,80/3,10],"",0,1),"")),"")</f>
        <v/>
      </c>
      <c r="X18" s="55">
        <f>IF(A18="","",IF(P18="ab.",0,IF(N18="ab.",2,IF(AND('GESTION DES JOUEURS'!$D$8&lt;&gt;"Open",O18&gt;0,P18&gt;N18),2,IF(AND('GESTION DES JOUEURS'!$D$8&lt;&gt;"Open",O18&gt;0,P18&lt;N18),0,IF(AND('GESTION DES JOUEURS'!$D$8&lt;&gt;"Open",O18&gt;0,P18=N18),1,IF(AND('GESTION DES JOUEURS'!$D$8="Open",(P18/_xlfn.XLOOKUP(U18,$B$6:$B$11,$AE$6:$AE$11,"",0,1))&gt;(N18/_xlfn.XLOOKUP(F18,$B$6:$B$11,$AE$6:$AE$11,"",0,1))),2,IF(AND('GESTION DES JOUEURS'!$D$8="Open",(P18/_xlfn.XLOOKUP(U18,$B$6:$B$11,$AE$6:$AE$11,"",0,1))=(N18/_xlfn.XLOOKUP(F18,$B$6:$B$11,$AE$6:$AE$11,"",0,1))),1,IF(AND('GESTION DES JOUEURS'!$D$8="Open",(P18/_xlfn.XLOOKUP(U18,$B$6:$B$11,$AE$6:$AE$11,"",0,1))&lt;(N18/_xlfn.XLOOKUP(F18,$B$6:$B$11,$AE$6:$AE$11,"",0,1))),0,"")))))))))</f>
        <v>0</v>
      </c>
      <c r="Y18" s="677" t="b">
        <v>0</v>
      </c>
      <c r="AA18" s="906"/>
      <c r="AN18" s="244"/>
      <c r="AO18" s="248"/>
      <c r="AP18" s="325">
        <f>IF($O$4="m",_xlfn.XLOOKUP(F18,$B$6:$B$11,$O$6:$O$11,_xlfn.XLOOKUP(F18,$B$6:$B$11,$M$6:$M$11,0,0,1),0,1),_xlfn.XLOOKUP(F18,$B$6:$B$11,$M$6:$M$11,0,0,1))</f>
        <v>1</v>
      </c>
      <c r="AQ18" s="325">
        <f t="shared" ref="AQ18:AQ32" si="29">IF($O$4="m",_xlfn.XLOOKUP(U18,$B$6:$B$11,$O$6:$O$11,0,0,1),_xlfn.XLOOKUP(U18,$B$6:$B$11,$M$6:$M$11,0,0,1))</f>
        <v>2</v>
      </c>
      <c r="AR18" s="326">
        <f>IF(B18="",AH17,AH17+1)</f>
        <v>1</v>
      </c>
      <c r="AS18" s="313">
        <f>SUM(AU18,AW18)</f>
        <v>2</v>
      </c>
      <c r="AT18" s="314">
        <f>SUM(AV18,AX18)</f>
        <v>1</v>
      </c>
      <c r="AU18" s="313" t="str" cm="1">
        <f t="array" ref="AU18">IFERROR(IF(OR($B$15="Cadre N1/N2",$B$15="Bande R1/R2",$B$15="3 Bandes R1/R2"),IF(_xlfn.XLOOKUP(F18,Tableau19[Licence],'GESTION DES JOUEURS'!$Q$11:$Q$46,"",0,1)&gt;_xlfn.XLOOKUP(U18,Tableau19[Licence],'GESTION DES JOUEURS'!$Q$11:$Q$46,"",0,1),D18+1,""),""),"")</f>
        <v/>
      </c>
      <c r="AV18" s="315" t="str" cm="1">
        <f t="array" ref="AV18">IFERROR(IF(OR($B$15="Cadre N1/N2",$B$15="Bande R1/R2",$B$15="3 Bandes R1/R2"),IF(_xlfn.XLOOKUP(F18,Tableau19[Licence],'GESTION DES JOUEURS'!$Q$11:$Q$46,"",0,1)&lt;_xlfn.XLOOKUP(U18,Tableau19[Licence],'GESTION DES JOUEURS'!$Q$11:$Q$46,"",0,1),X18+1,""),""),"")</f>
        <v/>
      </c>
      <c r="AW18" s="316">
        <f>IFERROR(IF(AND(LEFT($B$15)="3",N18/O18&gt;_xlfn.XLOOKUP($B$15,Distances!$D$2:$D$77,Distances!$N$2:$N$77,"",0,1)),_xlfn.XLOOKUP($B$15,Distances!$D$2:$D$77,Distances!$T$2:$T$77,"",0,1),IF(AND(LEFT($B$15)="3",N18/O18&gt;_xlfn.XLOOKUP($B$15,Distances!$D$2:$D$77,Distances!$M$2:$M$77,"",0,1)),_xlfn.XLOOKUP($B$15,Distances!$D$2:$D$77,Distances!$S$2:$S$77,"",0,1),IF(AND(LEFT($B$15)="3",N18/O18&gt;=_xlfn.XLOOKUP($B$15,Distances!$D$2:$D$77,Distances!$L$2:$L$77,"",0,1)),_xlfn.XLOOKUP($B$15,Distances!$D$2:$D$77,Distances!$R$2:$R$77,"",0,1),IF(AND($B$15="Cadre N1/N2",N18/O18&gt;_xlfn.XLOOKUP("Cadre "&amp;_xlfn.XLOOKUP(F18,$B$6:$B$11,$K$6:$K$11,"",0,1),Distances!$D$2:$D$77,Distances!$N$2:$N$77,"",0,1)),_xlfn.XLOOKUP("Cadre "&amp;_xlfn.XLOOKUP(F18,$B$6:$B$11,$K$6:$K$11,"",0,1),Distances!$D$2:$D$77,Distances!$T$2:$T$77,"",0,1),IF(AND($B$15="Cadre N1/N2",N18/O18&gt;=_xlfn.XLOOKUP("Cadre "&amp;_xlfn.XLOOKUP(F18,$B$6:$B$11,$K$6:$K$11,"",0,1),Distances!$D$2:$D$77,Distances!$L$2:$L$77,"",0,1)),_xlfn.XLOOKUP("Cadre "&amp;_xlfn.XLOOKUP(F18,$B$6:$B$11,$K$6:$K$11,"",0,1),Distances!$D$2:$D$77,Distances!$R$2:$R$77,"",0,1),IF(N18/O18&gt;_xlfn.XLOOKUP($B$15,Distances!$D$2:$D$77,Distances!$N$2:$N$77,"",0,1),_xlfn.XLOOKUP($B$15,Distances!$D$2:$D$77,Distances!$T$2:$T$77,"",0,1),IF(N18/O18&gt;=_xlfn.XLOOKUP($B$15,Distances!$D$2:$D$77,Distances!$L$2:$L$77,"",0,1),_xlfn.XLOOKUP($B$15,Distances!$D$2:$D$77,Distances!$R$2:$R$77,"",0,1),0))))))),"")</f>
        <v>2</v>
      </c>
      <c r="AX18" s="315">
        <f>IFERROR(IF(AND(LEFT($B$15)="3",P18/O18&gt;_xlfn.XLOOKUP($B$15,Distances!$D$2:$D$77,Distances!$N$2:$N$77,"",0,1)),_xlfn.XLOOKUP($B$15,Distances!$D$2:$D$77,Distances!$T$2:$T$77,"",0,1),IF(AND(LEFT($B$15)="3",P18/O18&gt;_xlfn.XLOOKUP($B$15,Distances!$D$2:$D$77,Distances!$M$2:$M$77,"",0,1)),_xlfn.XLOOKUP($B$15,Distances!$D$2:$D$77,Distances!$S$2:$S$77,"",0,1),IF(AND(LEFT($B$15)="3",P18/O18&gt;=_xlfn.XLOOKUP($B$15,Distances!$D$2:$D$77,Distances!$L$2:$L$77,"",0,1)),_xlfn.XLOOKUP($B$15,Distances!$D$2:$D$77,Distances!$R$2:$R$77,"",0,1),IF(AND($B$15="Cadre N1/N2",P18/O18&gt;_xlfn.XLOOKUP("Cadre "&amp;_xlfn.XLOOKUP(U18,$B$6:$B$11,$K$6:$K$11,"",0,1),Distances!$D$2:$D$77,Distances!$N$2:$N$77,"",0,1)),_xlfn.XLOOKUP("Cadre "&amp;_xlfn.XLOOKUP(U18,$B$6:$B$11,$K$6:$K$11,"",0,1),Distances!$D$2:$D$77,Distances!$T$2:$T$77,"",0,1),IF(AND($B$15="Cadre N1/N2",P18/O18&gt;=_xlfn.XLOOKUP("Cadre "&amp;_xlfn.XLOOKUP(U18,$B$6:$B$11,$K$6:$K$11,"",0,1),Distances!$D$2:$D$77,Distances!$L$2:$L$77,"",0,1)),_xlfn.XLOOKUP("Cadre "&amp;_xlfn.XLOOKUP(U18,$B$6:$B$11,$K$6:$K$11,"",0,1),Distances!$D$2:$D$77,Distances!$R$2:$R$77,"",0,1),IF(P18/O18&gt;_xlfn.XLOOKUP($B$15,Distances!$D$2:$D$77,Distances!$N$2:$N$77,"",0,1),_xlfn.XLOOKUP($B$15,Distances!$D$2:$D$77,Distances!$T$2:$T$77,"",0,1),IF(P18/O18&gt;=_xlfn.XLOOKUP($B$15,Distances!$D$2:$D$77,Distances!$L$2:$L$77,"",0,1),_xlfn.XLOOKUP($B$15,Distances!$D$2:$D$77,Distances!$R$2:$R$77,"",0,1),0))))))),"")</f>
        <v>1</v>
      </c>
      <c r="AZ18" s="326">
        <v>2</v>
      </c>
      <c r="BB18" s="724"/>
      <c r="BC18" s="233" t="b">
        <v>0</v>
      </c>
      <c r="BD18" s="155" t="b">
        <v>0</v>
      </c>
      <c r="BE18" s="155" t="str">
        <v/>
      </c>
      <c r="BF18" s="155" t="str">
        <v/>
      </c>
      <c r="BG18" s="155" t="str">
        <v/>
      </c>
      <c r="BH18" s="155">
        <v>0</v>
      </c>
      <c r="BI18" s="157"/>
      <c r="BJ18" s="157"/>
      <c r="BK18" s="155">
        <v>2</v>
      </c>
      <c r="BL18" s="155">
        <f t="shared" si="23"/>
        <v>2</v>
      </c>
      <c r="BM18" s="161">
        <v>2</v>
      </c>
      <c r="BV18" s="292" t="s">
        <v>5478</v>
      </c>
      <c r="BW18" s="223" cm="1">
        <f t="array" ref="BW18">_xlfn.SINGLE(_xlfn.XLOOKUP(A8&amp;A9,G18:G32&amp;V18:V32,N18:N32,_xlfn.XLOOKUP(A9&amp;A8,G18:G32&amp;V18:V32,P18:P32,"",0,1),0,1))</f>
        <v>0</v>
      </c>
      <c r="BX18" s="223" cm="1">
        <f t="array" ref="BX18">_xlfn.XLOOKUP(A8&amp;A9,G18:G32&amp;V18:V32,P18:P32,_xlfn.XLOOKUP(A9&amp;A8,G18:G32&amp;V18:V32,N18:N32,"",0,1),0,1)</f>
        <v>0</v>
      </c>
      <c r="BY18" s="223" cm="1">
        <f t="array" ref="BY18">_xlfn.XLOOKUP(A8&amp;A9,$G$18:$G$32&amp;$V$18:$V$32,$M$18:$M$32,"",0,1)</f>
        <v>0</v>
      </c>
      <c r="BZ18" s="223" cm="1">
        <f t="array" ref="BZ18">_xlfn.XLOOKUP(A8&amp;A9,$G$18:$G$32&amp;$V$18:$V$32,$Q$18:$Q$32,"",0,1)</f>
        <v>0</v>
      </c>
      <c r="CA18" s="223" cm="1">
        <f t="array" ref="CA18">_xlfn.XLOOKUP(A8&amp;A9,G18:G32&amp;V18:V32,O18:O32,_xlfn.XLOOKUP(A9&amp;A8,G18:G32&amp;V18:V32,O18:O32,"",0,1),0,1)</f>
        <v>0</v>
      </c>
      <c r="CB18" s="293" t="str" cm="1">
        <f t="array" ref="CB18">_xlfn.XLOOKUP(A8&amp;A9,G18:G32&amp;V18:V32,A18:A32,"",0,1)</f>
        <v/>
      </c>
      <c r="CC18" s="237">
        <f>IF(COUNTBLANK($AO$6:$AO$11)=2,SUM(BW18,BX23),IF(BW18="",BX23,BW18))</f>
        <v>0</v>
      </c>
      <c r="CD18" s="223">
        <f>IF(CC18="Ab.","",IF(BY18="",BZ23,BY18))</f>
        <v>0</v>
      </c>
      <c r="CE18" s="223">
        <f t="shared" si="20"/>
        <v>0</v>
      </c>
      <c r="CF18" s="294" t="str">
        <f>IF(CB18="",CB23,CB18)</f>
        <v/>
      </c>
      <c r="CG18" s="295" t="str" cm="1">
        <f t="array" ref="CG18">_xlfn.XLOOKUP(BV18,$G$18:$G$32&amp;"-"&amp;$V$18:$V$32,$D$18:$D$32,_xlfn.XLOOKUP(BV23,$G$18:$G$32&amp;"-"&amp;$V$18:$V$32,$X$18:$X$32,"",0,1),0,1)</f>
        <v/>
      </c>
      <c r="CH18" s="175" t="str" cm="1">
        <f t="array" ref="CH18">_xlfn.XLOOKUP(BV18,$G$18:$G$32&amp;"-"&amp;$V$18:$V$32,$AS$18:$AS$32,_xlfn.XLOOKUP(BV23,$G$18:$G$32&amp;"-"&amp;$V$18:$V$32,$AT$18:$AT$32,"",0,1),0,1)</f>
        <v/>
      </c>
      <c r="CI18" s="818"/>
      <c r="CJ18" s="821"/>
      <c r="CK18" s="557">
        <f t="shared" si="21"/>
        <v>4</v>
      </c>
      <c r="CL18" s="557" t="str">
        <f t="shared" si="19"/>
        <v/>
      </c>
    </row>
    <row r="19" spans="1:90" ht="14.45" customHeight="1" x14ac:dyDescent="0.25">
      <c r="A19" s="245" t="str">
        <f>IF(AO4=3,"",IF(OR(O19&gt;0,N19="ab.",P19="ab."),"P",""))</f>
        <v>P</v>
      </c>
      <c r="B19" s="56">
        <f>IF(OR(AO4=5,AO4=2),1,IF(AO4&lt;4,"",2))</f>
        <v>1</v>
      </c>
      <c r="C19" s="95">
        <f t="shared" si="24"/>
        <v>2</v>
      </c>
      <c r="D19" s="79">
        <f>IF(A19="","",IF(N19="ab.",0,IF(P19="ab.",2,IF(AND('GESTION DES JOUEURS'!$D$8&lt;&gt;"Open",O19&gt;0,N19&gt;P19),2,IF(AND('GESTION DES JOUEURS'!$D$8&lt;&gt;"Open",O19&gt;0,N19&lt;P19),0,IF(AND('GESTION DES JOUEURS'!$D$8&lt;&gt;"Open",O19&gt;0,N19=P19),1,IF(AND('GESTION DES JOUEURS'!$D$8="Open",(N19/_xlfn.XLOOKUP(F19,$B$6:$B$11,$AE$6:$AE$11,"",0,1))&gt;(P19/_xlfn.XLOOKUP(U19,$B$6:$B$11,$AE$6:$AE$11,"",0,1))),2,IF(AND('GESTION DES JOUEURS'!$D$8="Open",(N19/_xlfn.XLOOKUP(F19,$B$6:$B$11,$AE$6:$AE$11,"",0,1))=(P19/_xlfn.XLOOKUP(U19,$B$6:$B$11,$AE$6:$AE$11,"",0,1))),1,IF(AND('GESTION DES JOUEURS'!$D$8="Open",(N19/_xlfn.XLOOKUP(F19,$B$6:$B$11,$AE$6:$AE$11,"",0,1))&lt;(P19/_xlfn.XLOOKUP(U19,$B$6:$B$11,$AE$6:$AE$11,"",0,1))),0,"")))))))))</f>
        <v>0</v>
      </c>
      <c r="E19" s="113" t="str">
        <f>IFERROR(IF(AND(D19&gt;0,Y19=FALSE),N19/O19,IF(AND(D19&gt;0,Y19=TRUE),(N19/O19)*_xlfn.XLOOKUP('GESTION DES JOUEURS'!$X$8&amp;RIGHT('GESTION DES JOUEURS'!$Y$8,1),Tableau14[Colonne1],Tableau14[coef. 2,80/3,10],"",0,1),"")),"")</f>
        <v/>
      </c>
      <c r="F19" s="80" t="str">
        <f>IF(AO4=2,_xlfn.XLOOKUP(2,$O$6:$O$11,$B$6:$B$11,_xlfn.XLOOKUP(2,$M$6:$M$11,$B$6:$B$11," ",0,1),0,1),IF(AO4&lt;5,_xlfn.XLOOKUP('DATA TDJ'!B16,$O$6:$O$11,$B$6:$B$11,_xlfn.XLOOKUP('DATA TDJ'!B16,$M$6:$M$11,$B$6:$B$11," ",0,1),0,1),IF($O$4="M",_xlfn.XLOOKUP('DATA TDJ'!B38,$O$6:$O$11,$B$6:$B$11,_xlfn.XLOOKUP('DATA TDJ'!B38,$M$6:$M$11,$B$6:$B$11," ",0,1),0,1),_xlfn.XLOOKUP('DATA TDJ'!B38,$M$6:$M$11,$B$6:$B$11," ",0,1))))</f>
        <v>013428M</v>
      </c>
      <c r="G19" s="57">
        <f t="shared" si="25"/>
        <v>2</v>
      </c>
      <c r="H19" s="729" t="str">
        <f>IFERROR(VLOOKUP(F19,$B$6:$G$11,2,FALSE),"")</f>
        <v>KEREBEL</v>
      </c>
      <c r="I19" s="726"/>
      <c r="J19" s="730"/>
      <c r="K19" s="726" t="str">
        <f>IFERROR(VLOOKUP(F19,$B$6:$H$11,4,FALSE),"")</f>
        <v>ERIC</v>
      </c>
      <c r="L19" s="727"/>
      <c r="M19" s="81">
        <v>20</v>
      </c>
      <c r="N19" s="82">
        <v>79</v>
      </c>
      <c r="O19" s="114">
        <v>25</v>
      </c>
      <c r="P19" s="81">
        <v>100</v>
      </c>
      <c r="Q19" s="82">
        <v>18</v>
      </c>
      <c r="R19" s="731" t="str">
        <f t="shared" si="26"/>
        <v>LE HUAN CUA</v>
      </c>
      <c r="S19" s="732"/>
      <c r="T19" s="83" t="str">
        <f t="shared" si="27"/>
        <v>TRAN</v>
      </c>
      <c r="U19" s="83" t="str">
        <f>IF(OR(AO4=2,AND($O$4="M",COUNTBLANK($AO$6:$AO$11)=2)),_xlfn.XLOOKUP(1,$O$6:$O$11,$B$6:$B$11,_xlfn.XLOOKUP(1,$M$6:$M$11,$B$6:$B$11," ",0,1),0,1),IF(OR(AO4&lt;5,AND($O$4="M",COUNTBLANK($AO$6:$AO$11)&lt;5)),_xlfn.XLOOKUP('DATA TDJ'!C16,$O$6:$O$11,$B$6:$B$11,_xlfn.XLOOKUP('DATA TDJ'!C16,$M$6:$M$11,$B$6:$B$11," ",0,1),0,1),IF($O$4="M",_xlfn.XLOOKUP('DATA TDJ'!C38,$O$6:$O$11,$B$6:$B$11,_xlfn.XLOOKUP('DATA TDJ'!C38,$M$6:$M$11,$B$6:$B$11," ",0,1),0,1),_xlfn.XLOOKUP('DATA TDJ'!C38,$M$6:$M$11,$B$6:$B$11," ",0,1))))</f>
        <v>118031R</v>
      </c>
      <c r="V19" s="58">
        <f t="shared" si="28"/>
        <v>1</v>
      </c>
      <c r="W19" s="115">
        <f>IFERROR(IF(AND(X19&gt;0,Y19=FALSE),P19/O19,IF(AND(X19&gt;0,Y19=TRUE),(P19/O19)*_xlfn.XLOOKUP('GESTION DES JOUEURS'!$X$8&amp;RIGHT('GESTION DES JOUEURS'!$Y$8,1),Tableau14[Colonne1],Tableau14[coef. 2,80/3,10],"",0,1),"")),"")</f>
        <v>4</v>
      </c>
      <c r="X19" s="59">
        <f>IF(A19="","",IF(P19="ab.",0,IF(N19="ab.",2,IF(AND('GESTION DES JOUEURS'!$D$8&lt;&gt;"Open",O19&gt;0,P19&gt;N19),2,IF(AND('GESTION DES JOUEURS'!$D$8&lt;&gt;"Open",O19&gt;0,P19&lt;N19),0,IF(AND('GESTION DES JOUEURS'!$D$8&lt;&gt;"Open",O19&gt;0,P19=N19),1,IF(AND('GESTION DES JOUEURS'!$D$8="Open",(P19/_xlfn.XLOOKUP(U19,$B$6:$B$11,$AE$6:$AE$11,"",0,1))&gt;(N19/_xlfn.XLOOKUP(F19,$B$6:$B$11,$AE$6:$AE$11,"",0,1))),2,IF(AND('GESTION DES JOUEURS'!$D$8="Open",(P19/_xlfn.XLOOKUP(U19,$B$6:$B$11,$AE$6:$AE$11,"",0,1))=(N19/_xlfn.XLOOKUP(F19,$B$6:$B$11,$AE$6:$AE$11,"",0,1))),1,IF(AND('GESTION DES JOUEURS'!$D$8="Open",(P19/_xlfn.XLOOKUP(U19,$B$6:$B$11,$AE$6:$AE$11,"",0,1))&lt;(N19/_xlfn.XLOOKUP(F19,$B$6:$B$11,$AE$6:$AE$11,"",0,1))),0,"")))))))))</f>
        <v>2</v>
      </c>
      <c r="Y19" s="678" t="b">
        <v>0</v>
      </c>
      <c r="AA19" s="905" t="s">
        <v>8117</v>
      </c>
      <c r="AN19" s="244"/>
      <c r="AO19" s="248"/>
      <c r="AP19" s="325">
        <f t="shared" ref="AP19:AP32" si="30">IF($O$4="m",_xlfn.XLOOKUP(F19,$B$6:$B$11,$O$6:$O$11,0,0,1),_xlfn.XLOOKUP(F19,$B$6:$B$11,$M$6:$M$11,0,0,1))</f>
        <v>2</v>
      </c>
      <c r="AQ19" s="325">
        <f t="shared" si="29"/>
        <v>1</v>
      </c>
      <c r="AR19" s="326">
        <f t="shared" ref="AR19:AR32" si="31">IF(B19="",AR18,AR18+1)</f>
        <v>2</v>
      </c>
      <c r="AS19" s="317">
        <f t="shared" ref="AS19:AT32" si="32">SUM(AU19,AW19)</f>
        <v>1</v>
      </c>
      <c r="AT19" s="318">
        <f t="shared" si="32"/>
        <v>2</v>
      </c>
      <c r="AU19" s="317" t="str" cm="1">
        <f t="array" ref="AU19">IFERROR(IF(OR($B$15="Cadre N1/N2",$B$15="Bande R1/R2",$B$15="3 Bandes R1/R2"),IF(_xlfn.XLOOKUP(F19,Tableau19[Licence],'GESTION DES JOUEURS'!$Q$11:$Q$46,"",0,1)&gt;_xlfn.XLOOKUP(U19,Tableau19[Licence],'GESTION DES JOUEURS'!$Q$11:$Q$46,"",0,1),D19+1,""),""),"")</f>
        <v/>
      </c>
      <c r="AV19" s="319" t="str" cm="1">
        <f t="array" ref="AV19">IFERROR(IF(OR($B$15="Cadre N1/N2",$B$15="Bande R1/R2",$B$15="3 Bandes R1/R2"),IF(_xlfn.XLOOKUP(F19,Tableau19[Licence],'GESTION DES JOUEURS'!$Q$11:$Q$46,"",0,1)&lt;_xlfn.XLOOKUP(U19,Tableau19[Licence],'GESTION DES JOUEURS'!$Q$11:$Q$46,"",0,1),X19+1,""),""),"")</f>
        <v/>
      </c>
      <c r="AW19" s="320">
        <f>IFERROR(IF(AND(LEFT($B$15)="3",N19/O19&gt;_xlfn.XLOOKUP($B$15,Distances!$D$2:$D$77,Distances!$N$2:$N$77,"",0,1)),_xlfn.XLOOKUP($B$15,Distances!$D$2:$D$77,Distances!$T$2:$T$77,"",0,1),IF(AND(LEFT($B$15)="3",N19/O19&gt;_xlfn.XLOOKUP($B$15,Distances!$D$2:$D$77,Distances!$M$2:$M$77,"",0,1)),_xlfn.XLOOKUP($B$15,Distances!$D$2:$D$77,Distances!$S$2:$S$77,"",0,1),IF(AND(LEFT($B$15)="3",N19/O19&gt;=_xlfn.XLOOKUP($B$15,Distances!$D$2:$D$77,Distances!$L$2:$L$77,"",0,1)),_xlfn.XLOOKUP($B$15,Distances!$D$2:$D$77,Distances!$R$2:$R$77,"",0,1),IF(AND($B$15="Cadre N1/N2",N19/O19&gt;_xlfn.XLOOKUP("Cadre "&amp;_xlfn.XLOOKUP(F19,$B$6:$B$11,$K$6:$K$11,"",0,1),Distances!$D$2:$D$77,Distances!$N$2:$N$77,"",0,1)),_xlfn.XLOOKUP("Cadre "&amp;_xlfn.XLOOKUP(F19,$B$6:$B$11,$K$6:$K$11,"",0,1),Distances!$D$2:$D$77,Distances!$T$2:$T$77,"",0,1),IF(AND($B$15="Cadre N1/N2",N19/O19&gt;=_xlfn.XLOOKUP("Cadre "&amp;_xlfn.XLOOKUP(F19,$B$6:$B$11,$K$6:$K$11,"",0,1),Distances!$D$2:$D$77,Distances!$L$2:$L$77,"",0,1)),_xlfn.XLOOKUP("Cadre "&amp;_xlfn.XLOOKUP(F19,$B$6:$B$11,$K$6:$K$11,"",0,1),Distances!$D$2:$D$77,Distances!$R$2:$R$77,"",0,1),IF(N19/O19&gt;_xlfn.XLOOKUP($B$15,Distances!$D$2:$D$77,Distances!$N$2:$N$77,"",0,1),_xlfn.XLOOKUP($B$15,Distances!$D$2:$D$77,Distances!$T$2:$T$77,"",0,1),IF(N19/O19&gt;=_xlfn.XLOOKUP($B$15,Distances!$D$2:$D$77,Distances!$L$2:$L$77,"",0,1),_xlfn.XLOOKUP($B$15,Distances!$D$2:$D$77,Distances!$R$2:$R$77,"",0,1),0))))))),"")</f>
        <v>1</v>
      </c>
      <c r="AX19" s="319">
        <f>IFERROR(IF(AND(LEFT($B$15)="3",P19/O19&gt;_xlfn.XLOOKUP($B$15,Distances!$D$2:$D$77,Distances!$N$2:$N$77,"",0,1)),_xlfn.XLOOKUP($B$15,Distances!$D$2:$D$77,Distances!$T$2:$T$77,"",0,1),IF(AND(LEFT($B$15)="3",P19/O19&gt;_xlfn.XLOOKUP($B$15,Distances!$D$2:$D$77,Distances!$M$2:$M$77,"",0,1)),_xlfn.XLOOKUP($B$15,Distances!$D$2:$D$77,Distances!$S$2:$S$77,"",0,1),IF(AND(LEFT($B$15)="3",P19/O19&gt;=_xlfn.XLOOKUP($B$15,Distances!$D$2:$D$77,Distances!$L$2:$L$77,"",0,1)),_xlfn.XLOOKUP($B$15,Distances!$D$2:$D$77,Distances!$R$2:$R$77,"",0,1),IF(AND($B$15="Cadre N1/N2",P19/O19&gt;_xlfn.XLOOKUP("Cadre "&amp;_xlfn.XLOOKUP(U19,$B$6:$B$11,$K$6:$K$11,"",0,1),Distances!$D$2:$D$77,Distances!$N$2:$N$77,"",0,1)),_xlfn.XLOOKUP("Cadre "&amp;_xlfn.XLOOKUP(U19,$B$6:$B$11,$K$6:$K$11,"",0,1),Distances!$D$2:$D$77,Distances!$T$2:$T$77,"",0,1),IF(AND($B$15="Cadre N1/N2",P19/O19&gt;=_xlfn.XLOOKUP("Cadre "&amp;_xlfn.XLOOKUP(U19,$B$6:$B$11,$K$6:$K$11,"",0,1),Distances!$D$2:$D$77,Distances!$L$2:$L$77,"",0,1)),_xlfn.XLOOKUP("Cadre "&amp;_xlfn.XLOOKUP(U19,$B$6:$B$11,$K$6:$K$11,"",0,1),Distances!$D$2:$D$77,Distances!$R$2:$R$77,"",0,1),IF(P19/O19&gt;_xlfn.XLOOKUP($B$15,Distances!$D$2:$D$77,Distances!$N$2:$N$77,"",0,1),_xlfn.XLOOKUP($B$15,Distances!$D$2:$D$77,Distances!$T$2:$T$77,"",0,1),IF(P19/O19&gt;=_xlfn.XLOOKUP($B$15,Distances!$D$2:$D$77,Distances!$L$2:$L$77,"",0,1),_xlfn.XLOOKUP($B$15,Distances!$D$2:$D$77,Distances!$R$2:$R$77,"",0,1),0))))))),"")</f>
        <v>2</v>
      </c>
      <c r="AZ19" s="326">
        <v>3</v>
      </c>
      <c r="BB19" s="724"/>
      <c r="BC19" s="233" t="b">
        <v>0</v>
      </c>
      <c r="BD19" s="155" t="b">
        <v>0</v>
      </c>
      <c r="BE19" s="155" t="str">
        <v/>
      </c>
      <c r="BF19" s="155" t="str">
        <v/>
      </c>
      <c r="BG19" s="155">
        <v>0</v>
      </c>
      <c r="BH19" s="155">
        <v>0</v>
      </c>
      <c r="BI19" s="157"/>
      <c r="BJ19" s="157"/>
      <c r="BK19" s="155">
        <v>3</v>
      </c>
      <c r="BL19" s="155">
        <f t="shared" si="23"/>
        <v>3</v>
      </c>
      <c r="BM19" s="161">
        <v>3</v>
      </c>
      <c r="BV19" s="292" t="s">
        <v>5479</v>
      </c>
      <c r="BW19" s="223" t="str" cm="1">
        <f t="array" ref="BW19">_xlfn.SINGLE(_xlfn.XLOOKUP(A8&amp;A7,G18:G32&amp;V18:V32,N18:N32,_xlfn.XLOOKUP(A7&amp;A8,G18:G32&amp;V18:V32,P18:P32,"",0,1),0,1))</f>
        <v/>
      </c>
      <c r="BX19" s="223" t="str" cm="1">
        <f t="array" ref="BX19">_xlfn.XLOOKUP(A8&amp;A7,G18:G32&amp;V18:V32,P18:P32,_xlfn.XLOOKUP(A7&amp;A8,G18:G32&amp;V18:V32,N18:N32,"",0,1),0,1)</f>
        <v/>
      </c>
      <c r="BY19" s="223" t="str" cm="1">
        <f t="array" ref="BY19">_xlfn.XLOOKUP(A8&amp;A7,$G$18:$G$32&amp;$V$18:$V$32,$M$18:$M$32,"",0,1)</f>
        <v/>
      </c>
      <c r="BZ19" s="223" t="str" cm="1">
        <f t="array" ref="BZ19">_xlfn.XLOOKUP(A8&amp;A7,$G$18:$G$32&amp;$V$18:$V$32,$Q$18:$Q$32,"",0,1)</f>
        <v/>
      </c>
      <c r="CA19" s="223" t="str" cm="1">
        <f t="array" ref="CA19">_xlfn.XLOOKUP(A8&amp;A7,G18:G32&amp;V18:V32,O18:O32,_xlfn.XLOOKUP(A7&amp;A8,G18:G32&amp;V18:V32,O18:O32,"",0,1),0,1)</f>
        <v/>
      </c>
      <c r="CB19" s="293" t="str" cm="1">
        <f t="array" ref="CB19">_xlfn.XLOOKUP(A8&amp;A7,G18:G32&amp;V18:V32,A18:A32,"",0,1)</f>
        <v/>
      </c>
      <c r="CC19" s="237" t="str">
        <f>IF(COUNTBLANK($AO$6:$AO$11)=2,SUM(BW19,BX14),IF(BW19="",BX14,BW19))</f>
        <v/>
      </c>
      <c r="CD19" s="223" t="str">
        <f>IF(CC19="Ab.","",IF(BY19="",BZ14,BY19))</f>
        <v/>
      </c>
      <c r="CE19" s="223" t="str">
        <f t="shared" si="20"/>
        <v/>
      </c>
      <c r="CF19" s="294" t="str">
        <f>IF(CB19="",CB14,CB19)</f>
        <v/>
      </c>
      <c r="CG19" s="295" t="str" cm="1">
        <f t="array" ref="CG19">_xlfn.XLOOKUP(BV19,$G$18:$G$32&amp;"-"&amp;$V$18:$V$32,$D$18:$D$32,_xlfn.XLOOKUP(BV14,$G$18:$G$32&amp;"-"&amp;$V$18:$V$32,$X$18:$X$32,"",0,1),0,1)</f>
        <v/>
      </c>
      <c r="CH19" s="175" t="str" cm="1">
        <f t="array" ref="CH19">_xlfn.XLOOKUP(BV19,$G$18:$G$32&amp;"-"&amp;$V$18:$V$32,$AS$18:$AS$32,_xlfn.XLOOKUP(BV14,$G$18:$G$32&amp;"-"&amp;$V$18:$V$32,$AT$18:$AT$32,"",0,1),0,1)</f>
        <v/>
      </c>
      <c r="CI19" s="818"/>
      <c r="CJ19" s="821"/>
      <c r="CK19" s="557">
        <f t="shared" si="21"/>
        <v>2</v>
      </c>
      <c r="CL19" s="557" t="b">
        <f t="shared" si="19"/>
        <v>0</v>
      </c>
    </row>
    <row r="20" spans="1:90" ht="14.45" customHeight="1" thickBot="1" x14ac:dyDescent="0.3">
      <c r="A20" s="245" t="str">
        <f>IF(AO4&lt;3,"",IF(OR(O20&gt;0,N20="ab.",P20="ab."),"P",""))</f>
        <v/>
      </c>
      <c r="B20" s="56" t="str">
        <f>IF(AO4&lt;3,"",IF(AO4&lt;5,1,IF(AO4=5,2,3)))</f>
        <v/>
      </c>
      <c r="C20" s="95" t="str">
        <f t="shared" si="24"/>
        <v/>
      </c>
      <c r="D20" s="79" t="str">
        <f>IF(A20="","",IF(N20="ab.",0,IF(P20="ab.",2,IF(AND('GESTION DES JOUEURS'!$D$8&lt;&gt;"Open",O20&gt;0,N20&gt;P20),2,IF(AND('GESTION DES JOUEURS'!$D$8&lt;&gt;"Open",O20&gt;0,N20&lt;P20),0,IF(AND('GESTION DES JOUEURS'!$D$8&lt;&gt;"Open",O20&gt;0,N20=P20),1,IF(AND('GESTION DES JOUEURS'!$D$8="Open",(N20/_xlfn.XLOOKUP(F20,$B$6:$B$11,$AE$6:$AE$11,"",0,1))&gt;(P20/_xlfn.XLOOKUP(U20,$B$6:$B$11,$AE$6:$AE$11,"",0,1))),2,IF(AND('GESTION DES JOUEURS'!$D$8="Open",(N20/_xlfn.XLOOKUP(F20,$B$6:$B$11,$AE$6:$AE$11,"",0,1))=(P20/_xlfn.XLOOKUP(U20,$B$6:$B$11,$AE$6:$AE$11,"",0,1))),1,IF(AND('GESTION DES JOUEURS'!$D$8="Open",(N20/_xlfn.XLOOKUP(F20,$B$6:$B$11,$AE$6:$AE$11,"",0,1))&lt;(P20/_xlfn.XLOOKUP(U20,$B$6:$B$11,$AE$6:$AE$11,"",0,1))),0,"")))))))))</f>
        <v/>
      </c>
      <c r="E20" s="113" t="str">
        <f>IFERROR(IF(AND(D20&gt;0,Y20=FALSE),N20/O20,IF(AND(D20&gt;0,Y20=TRUE),(N20/O20)*_xlfn.XLOOKUP('GESTION DES JOUEURS'!$X$8&amp;RIGHT('GESTION DES JOUEURS'!$Y$8,1),Tableau14[Colonne1],Tableau14[coef. 2,80/3,10],"",0,1),"")),"")</f>
        <v/>
      </c>
      <c r="F20" s="80" t="str">
        <f>IF(AO4&lt;3,"",IF(AND(AO4=3,D18&gt;X18),U18,IF(AND(AO4=3,X18&gt;D18),F18,IF(AND(AO4=3,D18=X18,Q18&gt;M18),F18,IF(AND(AO4=3,D18=X18),U18,IF(AND(AO4&lt;5,D18&gt;X18),F18,IF(AND(AO4&lt;5,X18&gt;D18),U18,IF(AND(AO4&lt;5,D18=X18,M18&gt;Q18),F18,IF(AND(AO4&lt;5,N18=P18,Q18&gt;M18),U18,IF(AND(AO4&lt;5,N18=P18,Q18=M18),F18,IF($O$4="M",_xlfn.XLOOKUP('DATA TDJ'!B39,$O$6:$O$11,$B$6:$B$11,_xlfn.XLOOKUP('DATA TDJ'!B39,$M$6:$M$11,$B$6:$B$11," ",0,1),0,1),_xlfn.XLOOKUP('DATA TDJ'!B39,$M$6:$M$11,$B$6:$B$11," ",0,1))))))))))))</f>
        <v/>
      </c>
      <c r="G20" s="57" t="str">
        <f t="shared" si="25"/>
        <v/>
      </c>
      <c r="H20" s="729" t="str">
        <f>IFERROR(VLOOKUP(F20,$B$6:$G$11,2,FALSE),"")</f>
        <v/>
      </c>
      <c r="I20" s="726"/>
      <c r="J20" s="730"/>
      <c r="K20" s="726" t="str">
        <f t="shared" ref="K20:K32" si="33">IFERROR(VLOOKUP(F20,$B$6:$H$11,4,FALSE),"")</f>
        <v/>
      </c>
      <c r="L20" s="727"/>
      <c r="M20" s="81"/>
      <c r="N20" s="82"/>
      <c r="O20" s="114"/>
      <c r="P20" s="81"/>
      <c r="Q20" s="82"/>
      <c r="R20" s="731" t="str">
        <f t="shared" si="26"/>
        <v/>
      </c>
      <c r="S20" s="732"/>
      <c r="T20" s="83" t="str">
        <f t="shared" si="27"/>
        <v/>
      </c>
      <c r="U20" s="83" t="str">
        <f>IF(AO4&lt;3,"",IF(AND(AO4&lt;5,N19&gt;P19),F19,IF(AND(AO4&lt;5,P19&gt;N19),U19,IF(AND(AO4&lt;5,N19=P19,M19&gt;Q19),F19,IF(AND(AO4&lt;5,N19=P19,Q19&gt;M19),U19,IF(AND(AO4&lt;5,N19=P19,Q19=M19),F19,IF($O$4="M",_xlfn.XLOOKUP('DATA TDJ'!C39,$O$6:$O$11,$B$6:$B$11,_xlfn.XLOOKUP('DATA TDJ'!C39,$M$6:$M$11,$B$6:$B$11," ",0,1),0,1),_xlfn.XLOOKUP('DATA TDJ'!C39,$M$6:$M$11,$B$6:$B$11," ",0,1))))))))</f>
        <v/>
      </c>
      <c r="V20" s="58" t="str">
        <f t="shared" si="28"/>
        <v/>
      </c>
      <c r="W20" s="115" t="str">
        <f>IFERROR(IF(AND(X20&gt;0,Y20=FALSE),P20/O20,IF(AND(X20&gt;0,Y20=TRUE),(P20/O20)*_xlfn.XLOOKUP('GESTION DES JOUEURS'!$X$8&amp;RIGHT('GESTION DES JOUEURS'!$Y$8,1),Tableau14[Colonne1],Tableau14[coef. 2,80/3,10],"",0,1),"")),"")</f>
        <v/>
      </c>
      <c r="X20" s="59" t="str">
        <f>IF(A20="","",IF(P20="ab.",0,IF(N20="ab.",2,IF(AND('GESTION DES JOUEURS'!$D$8&lt;&gt;"Open",O20&gt;0,P20&gt;N20),2,IF(AND('GESTION DES JOUEURS'!$D$8&lt;&gt;"Open",O20&gt;0,P20&lt;N20),0,IF(AND('GESTION DES JOUEURS'!$D$8&lt;&gt;"Open",O20&gt;0,P20=N20),1,IF(AND('GESTION DES JOUEURS'!$D$8="Open",(P20/_xlfn.XLOOKUP(U20,$B$6:$B$11,$AE$6:$AE$11,"",0,1))&gt;(N20/_xlfn.XLOOKUP(F20,$B$6:$B$11,$AE$6:$AE$11,"",0,1))),2,IF(AND('GESTION DES JOUEURS'!$D$8="Open",(P20/_xlfn.XLOOKUP(U20,$B$6:$B$11,$AE$6:$AE$11,"",0,1))=(N20/_xlfn.XLOOKUP(F20,$B$6:$B$11,$AE$6:$AE$11,"",0,1))),1,IF(AND('GESTION DES JOUEURS'!$D$8="Open",(P20/_xlfn.XLOOKUP(U20,$B$6:$B$11,$AE$6:$AE$11,"",0,1))&lt;(N20/_xlfn.XLOOKUP(F20,$B$6:$B$11,$AE$6:$AE$11,"",0,1))),0,"")))))))))</f>
        <v/>
      </c>
      <c r="Y20" s="678" t="b">
        <v>0</v>
      </c>
      <c r="AA20" s="905"/>
      <c r="AN20" s="244"/>
      <c r="AO20" s="248"/>
      <c r="AP20" s="325" t="str">
        <f t="shared" si="30"/>
        <v/>
      </c>
      <c r="AQ20" s="325" t="str">
        <f t="shared" si="29"/>
        <v/>
      </c>
      <c r="AR20" s="326">
        <f t="shared" si="31"/>
        <v>2</v>
      </c>
      <c r="AS20" s="317">
        <f t="shared" si="32"/>
        <v>0</v>
      </c>
      <c r="AT20" s="318">
        <f t="shared" si="32"/>
        <v>0</v>
      </c>
      <c r="AU20" s="317" t="str" cm="1">
        <f t="array" ref="AU20">IFERROR(IF(OR($B$15="Cadre N1/N2",$B$15="Bande R1/R2",$B$15="3 Bandes R1/R2"),IF(_xlfn.XLOOKUP(F20,Tableau19[Licence],'GESTION DES JOUEURS'!$Q$11:$Q$46,"",0,1)&gt;_xlfn.XLOOKUP(U20,Tableau19[Licence],'GESTION DES JOUEURS'!$Q$11:$Q$46,"",0,1),D20+1,""),""),"")</f>
        <v/>
      </c>
      <c r="AV20" s="319" t="str" cm="1">
        <f t="array" ref="AV20">IFERROR(IF(OR($B$15="Cadre N1/N2",$B$15="Bande R1/R2",$B$15="3 Bandes R1/R2"),IF(_xlfn.XLOOKUP(F20,Tableau19[Licence],'GESTION DES JOUEURS'!$Q$11:$Q$46,"",0,1)&lt;_xlfn.XLOOKUP(U20,Tableau19[Licence],'GESTION DES JOUEURS'!$Q$11:$Q$46,"",0,1),X20+1,""),""),"")</f>
        <v/>
      </c>
      <c r="AW20" s="320" t="str">
        <f>IFERROR(IF(AND(LEFT($B$15)="3",N20/O20&gt;_xlfn.XLOOKUP($B$15,Distances!$D$2:$D$77,Distances!$N$2:$N$77,"",0,1)),_xlfn.XLOOKUP($B$15,Distances!$D$2:$D$77,Distances!$T$2:$T$77,"",0,1),IF(AND(LEFT($B$15)="3",N20/O20&gt;_xlfn.XLOOKUP($B$15,Distances!$D$2:$D$77,Distances!$M$2:$M$77,"",0,1)),_xlfn.XLOOKUP($B$15,Distances!$D$2:$D$77,Distances!$S$2:$S$77,"",0,1),IF(AND(LEFT($B$15)="3",N20/O20&gt;=_xlfn.XLOOKUP($B$15,Distances!$D$2:$D$77,Distances!$L$2:$L$77,"",0,1)),_xlfn.XLOOKUP($B$15,Distances!$D$2:$D$77,Distances!$R$2:$R$77,"",0,1),IF(AND($B$15="Cadre N1/N2",N20/O20&gt;_xlfn.XLOOKUP("Cadre "&amp;_xlfn.XLOOKUP(F20,$B$6:$B$11,$K$6:$K$11,"",0,1),Distances!$D$2:$D$77,Distances!$N$2:$N$77,"",0,1)),_xlfn.XLOOKUP("Cadre "&amp;_xlfn.XLOOKUP(F20,$B$6:$B$11,$K$6:$K$11,"",0,1),Distances!$D$2:$D$77,Distances!$T$2:$T$77,"",0,1),IF(AND($B$15="Cadre N1/N2",N20/O20&gt;=_xlfn.XLOOKUP("Cadre "&amp;_xlfn.XLOOKUP(F20,$B$6:$B$11,$K$6:$K$11,"",0,1),Distances!$D$2:$D$77,Distances!$L$2:$L$77,"",0,1)),_xlfn.XLOOKUP("Cadre "&amp;_xlfn.XLOOKUP(F20,$B$6:$B$11,$K$6:$K$11,"",0,1),Distances!$D$2:$D$77,Distances!$R$2:$R$77,"",0,1),IF(N20/O20&gt;_xlfn.XLOOKUP($B$15,Distances!$D$2:$D$77,Distances!$N$2:$N$77,"",0,1),_xlfn.XLOOKUP($B$15,Distances!$D$2:$D$77,Distances!$T$2:$T$77,"",0,1),IF(N20/O20&gt;=_xlfn.XLOOKUP($B$15,Distances!$D$2:$D$77,Distances!$L$2:$L$77,"",0,1),_xlfn.XLOOKUP($B$15,Distances!$D$2:$D$77,Distances!$R$2:$R$77,"",0,1),0))))))),"")</f>
        <v/>
      </c>
      <c r="AX20" s="319" t="str">
        <f>IFERROR(IF(AND(LEFT($B$15)="3",P20/O20&gt;_xlfn.XLOOKUP($B$15,Distances!$D$2:$D$77,Distances!$N$2:$N$77,"",0,1)),_xlfn.XLOOKUP($B$15,Distances!$D$2:$D$77,Distances!$T$2:$T$77,"",0,1),IF(AND(LEFT($B$15)="3",P20/O20&gt;_xlfn.XLOOKUP($B$15,Distances!$D$2:$D$77,Distances!$M$2:$M$77,"",0,1)),_xlfn.XLOOKUP($B$15,Distances!$D$2:$D$77,Distances!$S$2:$S$77,"",0,1),IF(AND(LEFT($B$15)="3",P20/O20&gt;=_xlfn.XLOOKUP($B$15,Distances!$D$2:$D$77,Distances!$L$2:$L$77,"",0,1)),_xlfn.XLOOKUP($B$15,Distances!$D$2:$D$77,Distances!$R$2:$R$77,"",0,1),IF(AND($B$15="Cadre N1/N2",P20/O20&gt;_xlfn.XLOOKUP("Cadre "&amp;_xlfn.XLOOKUP(U20,$B$6:$B$11,$K$6:$K$11,"",0,1),Distances!$D$2:$D$77,Distances!$N$2:$N$77,"",0,1)),_xlfn.XLOOKUP("Cadre "&amp;_xlfn.XLOOKUP(U20,$B$6:$B$11,$K$6:$K$11,"",0,1),Distances!$D$2:$D$77,Distances!$T$2:$T$77,"",0,1),IF(AND($B$15="Cadre N1/N2",P20/O20&gt;=_xlfn.XLOOKUP("Cadre "&amp;_xlfn.XLOOKUP(U20,$B$6:$B$11,$K$6:$K$11,"",0,1),Distances!$D$2:$D$77,Distances!$L$2:$L$77,"",0,1)),_xlfn.XLOOKUP("Cadre "&amp;_xlfn.XLOOKUP(U20,$B$6:$B$11,$K$6:$K$11,"",0,1),Distances!$D$2:$D$77,Distances!$R$2:$R$77,"",0,1),IF(P20/O20&gt;_xlfn.XLOOKUP($B$15,Distances!$D$2:$D$77,Distances!$N$2:$N$77,"",0,1),_xlfn.XLOOKUP($B$15,Distances!$D$2:$D$77,Distances!$T$2:$T$77,"",0,1),IF(P20/O20&gt;=_xlfn.XLOOKUP($B$15,Distances!$D$2:$D$77,Distances!$L$2:$L$77,"",0,1),_xlfn.XLOOKUP($B$15,Distances!$D$2:$D$77,Distances!$R$2:$R$77,"",0,1),0))))))),"")</f>
        <v/>
      </c>
      <c r="AZ20" s="326">
        <v>4</v>
      </c>
      <c r="BB20" s="724"/>
      <c r="BC20" s="233" t="b">
        <v>0</v>
      </c>
      <c r="BD20" s="155" t="b">
        <v>0</v>
      </c>
      <c r="BE20" s="155" t="str">
        <v/>
      </c>
      <c r="BF20" s="155">
        <v>0</v>
      </c>
      <c r="BG20" s="155">
        <v>0</v>
      </c>
      <c r="BH20" s="155">
        <v>0</v>
      </c>
      <c r="BI20" s="157"/>
      <c r="BJ20" s="157"/>
      <c r="BK20" s="155">
        <v>4</v>
      </c>
      <c r="BL20" s="155">
        <f t="shared" si="23"/>
        <v>4</v>
      </c>
      <c r="BM20" s="161">
        <v>4</v>
      </c>
      <c r="BV20" s="296" t="s">
        <v>5480</v>
      </c>
      <c r="BW20" s="297" t="str" cm="1">
        <f t="array" ref="BW20">_xlfn.SINGLE(_xlfn.XLOOKUP(A8&amp;A6,G18:G32&amp;V18:V32,N18:N32,_xlfn.XLOOKUP(A6&amp;A8,G18:G32&amp;V18:V32,P18:P32,"",0,1),0,1))</f>
        <v/>
      </c>
      <c r="BX20" s="297" t="str" cm="1">
        <f t="array" ref="BX20">_xlfn.XLOOKUP(A8&amp;A6,G18:G32&amp;V18:V32,P18:P32,_xlfn.XLOOKUP(A6&amp;A8,G18:G32&amp;V18:V32,N18:N32,"",0,1),0,1)</f>
        <v/>
      </c>
      <c r="BY20" s="297" t="str" cm="1">
        <f t="array" ref="BY20">_xlfn.XLOOKUP(A8&amp;A6,$G$18:$G$32&amp;$V$18:$V$32,$M$18:$M$32,"",0,1)</f>
        <v/>
      </c>
      <c r="BZ20" s="297" t="str" cm="1">
        <f t="array" ref="BZ20">_xlfn.XLOOKUP(A8&amp;A6,$G$18:$G$32&amp;$V$18:$V$32,$Q$18:$Q$32,"",0,1)</f>
        <v/>
      </c>
      <c r="CA20" s="297" t="str" cm="1">
        <f t="array" ref="CA20">_xlfn.XLOOKUP(A8&amp;A6,G18:G32&amp;V18:V32,O18:O32,_xlfn.XLOOKUP(A6&amp;A8,G18:G32&amp;V18:V32,O18:O32,"",0,1),0,1)</f>
        <v/>
      </c>
      <c r="CB20" s="298" t="str" cm="1">
        <f t="array" ref="CB20">_xlfn.XLOOKUP(A8&amp;A6,G18:G32&amp;V18:V32,A18:A32,"",0,1)</f>
        <v/>
      </c>
      <c r="CC20" s="299" t="str">
        <f>IF(COUNTBLANK($AO$6:$AO$11)=2,SUM(BW20,BX9),IF(BW20="",BX9,BW20))</f>
        <v/>
      </c>
      <c r="CD20" s="297" t="str">
        <f>IF(CC20="Ab.","",IF(BY20="",BZ9,BY20))</f>
        <v/>
      </c>
      <c r="CE20" s="297" t="str">
        <f t="shared" si="20"/>
        <v/>
      </c>
      <c r="CF20" s="300" t="str">
        <f>IF(CB20="",CB9,CB20)</f>
        <v/>
      </c>
      <c r="CG20" s="301" t="str" cm="1">
        <f t="array" ref="CG20">_xlfn.XLOOKUP(BV20,$G$18:$G$32&amp;"-"&amp;$V$18:$V$32,$D$18:$D$32,_xlfn.XLOOKUP(BV9,$G$18:$G$32&amp;"-"&amp;$V$18:$V$32,$X$18:$X$32,"",0,1),0,1)</f>
        <v/>
      </c>
      <c r="CH20" s="302" t="str" cm="1">
        <f t="array" ref="CH20">_xlfn.XLOOKUP(BV20,$G$18:$G$32&amp;"-"&amp;$V$18:$V$32,$AS$18:$AS$32,_xlfn.XLOOKUP(BV9,$G$18:$G$32&amp;"-"&amp;$V$18:$V$32,$AT$18:$AT$32,"",0,1),0,1)</f>
        <v/>
      </c>
      <c r="CI20" s="819"/>
      <c r="CJ20" s="822"/>
      <c r="CK20" s="557">
        <f t="shared" si="21"/>
        <v>1</v>
      </c>
      <c r="CL20" s="557" t="b">
        <f t="shared" si="19"/>
        <v>0</v>
      </c>
    </row>
    <row r="21" spans="1:90" ht="14.45" customHeight="1" x14ac:dyDescent="0.25">
      <c r="A21" s="245" t="str">
        <f>IF(AO4&lt;=3,"",IF(OR(O21&gt;0,N21="ab.",P21="ab."),"P",""))</f>
        <v/>
      </c>
      <c r="B21" s="56" t="str">
        <f>IF(AO4&lt;4,"",IF(AO4&lt;5,2,1))</f>
        <v/>
      </c>
      <c r="C21" s="95" t="str">
        <f t="shared" si="24"/>
        <v/>
      </c>
      <c r="D21" s="79" t="str">
        <f>IF(A21="","",IF(N21="ab.",0,IF(P21="ab.",2,IF(AND('GESTION DES JOUEURS'!$D$8&lt;&gt;"Open",O21&gt;0,N21&gt;P21),2,IF(AND('GESTION DES JOUEURS'!$D$8&lt;&gt;"Open",O21&gt;0,N21&lt;P21),0,IF(AND('GESTION DES JOUEURS'!$D$8&lt;&gt;"Open",O21&gt;0,N21=P21),1,IF(AND('GESTION DES JOUEURS'!$D$8="Open",(N21/_xlfn.XLOOKUP(F21,$B$6:$B$11,$AE$6:$AE$11,"",0,1))&gt;(P21/_xlfn.XLOOKUP(U21,$B$6:$B$11,$AE$6:$AE$11,"",0,1))),2,IF(AND('GESTION DES JOUEURS'!$D$8="Open",(N21/_xlfn.XLOOKUP(F21,$B$6:$B$11,$AE$6:$AE$11,"",0,1))=(P21/_xlfn.XLOOKUP(U21,$B$6:$B$11,$AE$6:$AE$11,"",0,1))),1,IF(AND('GESTION DES JOUEURS'!$D$8="Open",(N21/_xlfn.XLOOKUP(F21,$B$6:$B$11,$AE$6:$AE$11,"",0,1))&lt;(P21/_xlfn.XLOOKUP(U21,$B$6:$B$11,$AE$6:$AE$11,"",0,1))),0,"")))))))))</f>
        <v/>
      </c>
      <c r="E21" s="113" t="str">
        <f>IFERROR(IF(AND(D21&gt;0,Y21=FALSE),N21/O21,IF(AND(D21&gt;0,Y21=TRUE),(N21/O21)*_xlfn.XLOOKUP('GESTION DES JOUEURS'!$X$8&amp;RIGHT('GESTION DES JOUEURS'!$Y$8,1),Tableau14[Colonne1],Tableau14[coef. 2,80/3,10],"",0,1),"")),"")</f>
        <v/>
      </c>
      <c r="F21" s="80" t="str">
        <f>IF(AO4&lt;3,"",IF(AND(AO4=3,F20=F18),F18,IF(AND(AO4=3,F20=U18),U18,IF(AND(AO4=4,F20=F18),U18,IF(AND(AO4=4,F20=U18),F18,IF($O$4="M",_xlfn.XLOOKUP('DATA TDJ'!B40,$O$6:$O$11,$B$6:$B$11,_xlfn.XLOOKUP('DATA TDJ'!B40,$M$6:$M$11,$B$6:$B$11," ",0,1),0,1),_xlfn.XLOOKUP('DATA TDJ'!B40,$M$6:$M$11,$B$6:$B$11," ",0,1)))))))</f>
        <v/>
      </c>
      <c r="G21" s="57" t="str">
        <f t="shared" si="25"/>
        <v/>
      </c>
      <c r="H21" s="729" t="str">
        <f>IFERROR(VLOOKUP(F21,$B$6:$G$11,2,FALSE),"")</f>
        <v/>
      </c>
      <c r="I21" s="726"/>
      <c r="J21" s="730"/>
      <c r="K21" s="726" t="str">
        <f t="shared" si="33"/>
        <v/>
      </c>
      <c r="L21" s="727"/>
      <c r="M21" s="81"/>
      <c r="N21" s="82"/>
      <c r="O21" s="114"/>
      <c r="P21" s="81"/>
      <c r="Q21" s="82"/>
      <c r="R21" s="731" t="str">
        <f t="shared" si="26"/>
        <v/>
      </c>
      <c r="S21" s="732"/>
      <c r="T21" s="83" t="str">
        <f t="shared" si="27"/>
        <v/>
      </c>
      <c r="U21" s="83" t="str">
        <f>IF(AO4&lt;3,"",IF(AND(AO4&lt;5,U20=F19),U19,IF(AND(AO4&lt;5,U20=U19),F19,IF($O$4="M",_xlfn.XLOOKUP('DATA TDJ'!C40,$O$6:$O$11,$B$6:$B$11,_xlfn.XLOOKUP('DATA TDJ'!C40,$M$6:$M$11,$B$6:$B$11," ",0,1),0,1),_xlfn.XLOOKUP('DATA TDJ'!C40,$M$6:$M$11,$B$6:$B$11," ",0,1)))))</f>
        <v/>
      </c>
      <c r="V21" s="58" t="str">
        <f t="shared" si="28"/>
        <v/>
      </c>
      <c r="W21" s="115" t="str">
        <f>IFERROR(IF(AND(X21&gt;0,Y21=FALSE),P21/O21,IF(AND(X21&gt;0,Y21=TRUE),(P21/O21)*_xlfn.XLOOKUP('GESTION DES JOUEURS'!$X$8&amp;RIGHT('GESTION DES JOUEURS'!$Y$8,1),Tableau14[Colonne1],Tableau14[coef. 2,80/3,10],"",0,1),"")),"")</f>
        <v/>
      </c>
      <c r="X21" s="59" t="str">
        <f>IF(A21="","",IF(P21="ab.",0,IF(N21="ab.",2,IF(AND('GESTION DES JOUEURS'!$D$8&lt;&gt;"Open",O21&gt;0,P21&gt;N21),2,IF(AND('GESTION DES JOUEURS'!$D$8&lt;&gt;"Open",O21&gt;0,P21&lt;N21),0,IF(AND('GESTION DES JOUEURS'!$D$8&lt;&gt;"Open",O21&gt;0,P21=N21),1,IF(AND('GESTION DES JOUEURS'!$D$8="Open",(P21/_xlfn.XLOOKUP(U21,$B$6:$B$11,$AE$6:$AE$11,"",0,1))&gt;(N21/_xlfn.XLOOKUP(F21,$B$6:$B$11,$AE$6:$AE$11,"",0,1))),2,IF(AND('GESTION DES JOUEURS'!$D$8="Open",(P21/_xlfn.XLOOKUP(U21,$B$6:$B$11,$AE$6:$AE$11,"",0,1))=(N21/_xlfn.XLOOKUP(F21,$B$6:$B$11,$AE$6:$AE$11,"",0,1))),1,IF(AND('GESTION DES JOUEURS'!$D$8="Open",(P21/_xlfn.XLOOKUP(U21,$B$6:$B$11,$AE$6:$AE$11,"",0,1))&lt;(N21/_xlfn.XLOOKUP(F21,$B$6:$B$11,$AE$6:$AE$11,"",0,1))),0,"")))))))))</f>
        <v/>
      </c>
      <c r="Y21" s="678" t="b">
        <v>0</v>
      </c>
      <c r="AA21" s="911" t="s">
        <v>8118</v>
      </c>
      <c r="AN21" s="244"/>
      <c r="AO21" s="248"/>
      <c r="AP21" s="325" t="str">
        <f t="shared" si="30"/>
        <v/>
      </c>
      <c r="AQ21" s="325" t="str">
        <f t="shared" si="29"/>
        <v/>
      </c>
      <c r="AR21" s="326">
        <f t="shared" si="31"/>
        <v>2</v>
      </c>
      <c r="AS21" s="317">
        <f t="shared" si="32"/>
        <v>0</v>
      </c>
      <c r="AT21" s="318">
        <f t="shared" si="32"/>
        <v>0</v>
      </c>
      <c r="AU21" s="317" t="str" cm="1">
        <f t="array" ref="AU21">IFERROR(IF(OR($B$15="Cadre N1/N2",$B$15="Bande R1/R2",$B$15="3 Bandes R1/R2"),IF(_xlfn.XLOOKUP(F21,Tableau19[Licence],'GESTION DES JOUEURS'!$Q$11:$Q$46,"",0,1)&gt;_xlfn.XLOOKUP(U21,Tableau19[Licence],'GESTION DES JOUEURS'!$Q$11:$Q$46,"",0,1),D21+1,""),""),"")</f>
        <v/>
      </c>
      <c r="AV21" s="319" t="str" cm="1">
        <f t="array" ref="AV21">IFERROR(IF(OR($B$15="Cadre N1/N2",$B$15="Bande R1/R2",$B$15="3 Bandes R1/R2"),IF(_xlfn.XLOOKUP(F21,Tableau19[Licence],'GESTION DES JOUEURS'!$Q$11:$Q$46,"",0,1)&lt;_xlfn.XLOOKUP(U21,Tableau19[Licence],'GESTION DES JOUEURS'!$Q$11:$Q$46,"",0,1),X21+1,""),""),"")</f>
        <v/>
      </c>
      <c r="AW21" s="320" t="str">
        <f>IFERROR(IF(AND(LEFT($B$15)="3",N21/O21&gt;_xlfn.XLOOKUP($B$15,Distances!$D$2:$D$77,Distances!$N$2:$N$77,"",0,1)),_xlfn.XLOOKUP($B$15,Distances!$D$2:$D$77,Distances!$T$2:$T$77,"",0,1),IF(AND(LEFT($B$15)="3",N21/O21&gt;_xlfn.XLOOKUP($B$15,Distances!$D$2:$D$77,Distances!$M$2:$M$77,"",0,1)),_xlfn.XLOOKUP($B$15,Distances!$D$2:$D$77,Distances!$S$2:$S$77,"",0,1),IF(AND(LEFT($B$15)="3",N21/O21&gt;=_xlfn.XLOOKUP($B$15,Distances!$D$2:$D$77,Distances!$L$2:$L$77,"",0,1)),_xlfn.XLOOKUP($B$15,Distances!$D$2:$D$77,Distances!$R$2:$R$77,"",0,1),IF(AND($B$15="Cadre N1/N2",N21/O21&gt;_xlfn.XLOOKUP("Cadre "&amp;_xlfn.XLOOKUP(F21,$B$6:$B$11,$K$6:$K$11,"",0,1),Distances!$D$2:$D$77,Distances!$N$2:$N$77,"",0,1)),_xlfn.XLOOKUP("Cadre "&amp;_xlfn.XLOOKUP(F21,$B$6:$B$11,$K$6:$K$11,"",0,1),Distances!$D$2:$D$77,Distances!$T$2:$T$77,"",0,1),IF(AND($B$15="Cadre N1/N2",N21/O21&gt;=_xlfn.XLOOKUP("Cadre "&amp;_xlfn.XLOOKUP(F21,$B$6:$B$11,$K$6:$K$11,"",0,1),Distances!$D$2:$D$77,Distances!$L$2:$L$77,"",0,1)),_xlfn.XLOOKUP("Cadre "&amp;_xlfn.XLOOKUP(F21,$B$6:$B$11,$K$6:$K$11,"",0,1),Distances!$D$2:$D$77,Distances!$R$2:$R$77,"",0,1),IF(N21/O21&gt;_xlfn.XLOOKUP($B$15,Distances!$D$2:$D$77,Distances!$N$2:$N$77,"",0,1),_xlfn.XLOOKUP($B$15,Distances!$D$2:$D$77,Distances!$T$2:$T$77,"",0,1),IF(N21/O21&gt;=_xlfn.XLOOKUP($B$15,Distances!$D$2:$D$77,Distances!$L$2:$L$77,"",0,1),_xlfn.XLOOKUP($B$15,Distances!$D$2:$D$77,Distances!$R$2:$R$77,"",0,1),0))))))),"")</f>
        <v/>
      </c>
      <c r="AX21" s="319" t="str">
        <f>IFERROR(IF(AND(LEFT($B$15)="3",P21/O21&gt;_xlfn.XLOOKUP($B$15,Distances!$D$2:$D$77,Distances!$N$2:$N$77,"",0,1)),_xlfn.XLOOKUP($B$15,Distances!$D$2:$D$77,Distances!$T$2:$T$77,"",0,1),IF(AND(LEFT($B$15)="3",P21/O21&gt;_xlfn.XLOOKUP($B$15,Distances!$D$2:$D$77,Distances!$M$2:$M$77,"",0,1)),_xlfn.XLOOKUP($B$15,Distances!$D$2:$D$77,Distances!$S$2:$S$77,"",0,1),IF(AND(LEFT($B$15)="3",P21/O21&gt;=_xlfn.XLOOKUP($B$15,Distances!$D$2:$D$77,Distances!$L$2:$L$77,"",0,1)),_xlfn.XLOOKUP($B$15,Distances!$D$2:$D$77,Distances!$R$2:$R$77,"",0,1),IF(AND($B$15="Cadre N1/N2",P21/O21&gt;_xlfn.XLOOKUP("Cadre "&amp;_xlfn.XLOOKUP(U21,$B$6:$B$11,$K$6:$K$11,"",0,1),Distances!$D$2:$D$77,Distances!$N$2:$N$77,"",0,1)),_xlfn.XLOOKUP("Cadre "&amp;_xlfn.XLOOKUP(U21,$B$6:$B$11,$K$6:$K$11,"",0,1),Distances!$D$2:$D$77,Distances!$T$2:$T$77,"",0,1),IF(AND($B$15="Cadre N1/N2",P21/O21&gt;=_xlfn.XLOOKUP("Cadre "&amp;_xlfn.XLOOKUP(U21,$B$6:$B$11,$K$6:$K$11,"",0,1),Distances!$D$2:$D$77,Distances!$L$2:$L$77,"",0,1)),_xlfn.XLOOKUP("Cadre "&amp;_xlfn.XLOOKUP(U21,$B$6:$B$11,$K$6:$K$11,"",0,1),Distances!$D$2:$D$77,Distances!$R$2:$R$77,"",0,1),IF(P21/O21&gt;_xlfn.XLOOKUP($B$15,Distances!$D$2:$D$77,Distances!$N$2:$N$77,"",0,1),_xlfn.XLOOKUP($B$15,Distances!$D$2:$D$77,Distances!$T$2:$T$77,"",0,1),IF(P21/O21&gt;=_xlfn.XLOOKUP($B$15,Distances!$D$2:$D$77,Distances!$L$2:$L$77,"",0,1),_xlfn.XLOOKUP($B$15,Distances!$D$2:$D$77,Distances!$R$2:$R$77,"",0,1),0))))))),"")</f>
        <v/>
      </c>
      <c r="AZ21" s="326">
        <v>5</v>
      </c>
      <c r="BB21" s="724"/>
      <c r="BC21" s="233" t="b">
        <v>0</v>
      </c>
      <c r="BD21" s="155" t="b">
        <v>0</v>
      </c>
      <c r="BE21" s="155">
        <v>0</v>
      </c>
      <c r="BF21" s="155">
        <v>0</v>
      </c>
      <c r="BG21" s="155">
        <v>0</v>
      </c>
      <c r="BH21" s="155">
        <v>0</v>
      </c>
      <c r="BI21" s="157"/>
      <c r="BJ21" s="157"/>
      <c r="BK21" s="155">
        <v>5</v>
      </c>
      <c r="BL21" s="155">
        <f t="shared" si="23"/>
        <v>5</v>
      </c>
      <c r="BM21" s="161">
        <v>5</v>
      </c>
      <c r="BV21" s="286" t="s">
        <v>5481</v>
      </c>
      <c r="BW21" s="287" cm="1">
        <f t="array" ref="BW21">_xlfn.SINGLE(_xlfn.XLOOKUP(A9&amp;A11,G18:G32&amp;V18:V32,N18:N32,_xlfn.XLOOKUP(A11&amp;A9,G18:G32&amp;V18:V32,P18:P32,"",0,1),0,1))</f>
        <v>0</v>
      </c>
      <c r="BX21" s="287" cm="1">
        <f t="array" ref="BX21">_xlfn.XLOOKUP(A9&amp;A11,G18:G32&amp;V18:V32,P18:P32,_xlfn.XLOOKUP(A11&amp;A9,G18:G32&amp;V18:V32,N18:N32,"",0,1),0,1)</f>
        <v>0</v>
      </c>
      <c r="BY21" s="287" cm="1">
        <f t="array" ref="BY21">_xlfn.XLOOKUP(A9&amp;A11,$G$18:$G$32&amp;$V$18:$V$32,$M$18:$M$32,"",0,1)</f>
        <v>0</v>
      </c>
      <c r="BZ21" s="287" cm="1">
        <f t="array" ref="BZ21">_xlfn.XLOOKUP(A9&amp;A11,$G$18:$G$32&amp;$V$18:$V$32,$Q$18:$Q$32,"",0,1)</f>
        <v>0</v>
      </c>
      <c r="CA21" s="287" cm="1">
        <f t="array" ref="CA21">_xlfn.XLOOKUP(A9&amp;A11,G18:G32&amp;V18:V32,O18:O32,_xlfn.XLOOKUP(A11&amp;A9,G18:G32&amp;V18:V32,O18:O32,"",0,1),0,1)</f>
        <v>0</v>
      </c>
      <c r="CB21" s="288" t="str" cm="1">
        <f t="array" ref="CB21">_xlfn.XLOOKUP(A9&amp;A11,G18:G32&amp;V18:V32,A18:A32,"",0,1)</f>
        <v/>
      </c>
      <c r="CC21" s="289">
        <f>IF(COUNTBLANK($AO$6:$AO$11)=2,SUM(BW21,BX32),IF(BW21="",BX32,BW21))</f>
        <v>0</v>
      </c>
      <c r="CD21" s="287">
        <f>IF(CC21="Ab.","",IF(BY21="",BZ32,BY21))</f>
        <v>0</v>
      </c>
      <c r="CE21" s="287">
        <f t="shared" si="20"/>
        <v>0</v>
      </c>
      <c r="CF21" s="290" t="str">
        <f>IF(CB21="",CB32,CB21)</f>
        <v/>
      </c>
      <c r="CG21" s="291" t="str" cm="1">
        <f t="array" ref="CG21">_xlfn.XLOOKUP(BV21,$G$18:$G$32&amp;"-"&amp;$V$18:$V$32,$D$18:$D$32,_xlfn.XLOOKUP(BV32,$G$18:$G$32&amp;"-"&amp;$V$18:$V$32,$X$18:$X$32,"",0,1),0,1)</f>
        <v/>
      </c>
      <c r="CH21" s="174" t="str" cm="1">
        <f t="array" ref="CH21">_xlfn.XLOOKUP(BV21,$G$18:$G$32&amp;"-"&amp;$V$18:$V$32,$AS$18:$AS$32,_xlfn.XLOOKUP(BV32,$G$18:$G$32&amp;"-"&amp;$V$18:$V$32,$AT$18:$AT$32,"",0,1),0,1)</f>
        <v/>
      </c>
      <c r="CI21" s="817" t="str">
        <f>IFERROR(IF('GESTION DES JOUEURS'!$D$8="Open",SUMIF(CF21:CF25,"P",BW21:BW25)/(COUNTIF(CF21:CF25,"P")*AE9),""),0)</f>
        <v/>
      </c>
      <c r="CJ21" s="820" t="str">
        <f>IFERROR(IF('GESTION DES JOUEURS'!$D$8="Open",SUMIF(CF21:CF25,"P",BX21:BX25)/SUMIF(CF21:CF25,"P",CL21:CL25),""),0)</f>
        <v/>
      </c>
      <c r="CK21" s="557">
        <f t="shared" si="21"/>
        <v>6</v>
      </c>
      <c r="CL21" s="557" t="str">
        <f t="shared" si="19"/>
        <v/>
      </c>
    </row>
    <row r="22" spans="1:90" ht="14.45" customHeight="1" x14ac:dyDescent="0.25">
      <c r="A22" s="245" t="str">
        <f>IF(OR(AO4&lt;3,AO4=5),"",IF(OR(O22&gt;0,N22="ab.",P22="ab."),"P",""))</f>
        <v/>
      </c>
      <c r="B22" s="56" t="str">
        <f>IF(AO4=3,1,IF(OR(AO4=5,AO4&lt;3),"",IF(AO4&lt;5,1,2)))</f>
        <v/>
      </c>
      <c r="C22" s="95" t="str">
        <f t="shared" si="24"/>
        <v/>
      </c>
      <c r="D22" s="79" t="str">
        <f>IF(A22="","",IF(N22="ab.",0,IF(P22="ab.",2,IF(AND('GESTION DES JOUEURS'!$D$8&lt;&gt;"Open",O22&gt;0,N22&gt;P22),2,IF(AND('GESTION DES JOUEURS'!$D$8&lt;&gt;"Open",O22&gt;0,N22&lt;P22),0,IF(AND('GESTION DES JOUEURS'!$D$8&lt;&gt;"Open",O22&gt;0,N22=P22),1,IF(AND('GESTION DES JOUEURS'!$D$8="Open",(N22/_xlfn.XLOOKUP(F22,$B$6:$B$11,$AE$6:$AE$11,"",0,1))&gt;(P22/_xlfn.XLOOKUP(U22,$B$6:$B$11,$AE$6:$AE$11,"",0,1))),2,IF(AND('GESTION DES JOUEURS'!$D$8="Open",(N22/_xlfn.XLOOKUP(F22,$B$6:$B$11,$AE$6:$AE$11,"",0,1))=(P22/_xlfn.XLOOKUP(U22,$B$6:$B$11,$AE$6:$AE$11,"",0,1))),1,IF(AND('GESTION DES JOUEURS'!$D$8="Open",(N22/_xlfn.XLOOKUP(F22,$B$6:$B$11,$AE$6:$AE$11,"",0,1))&lt;(P22/_xlfn.XLOOKUP(U22,$B$6:$B$11,$AE$6:$AE$11,"",0,1))),0,"")))))))))</f>
        <v/>
      </c>
      <c r="E22" s="113" t="str">
        <f>IFERROR(IF(AND(D22&gt;0,Y22=FALSE),N22/O22,IF(AND(D22&gt;0,Y22=TRUE),(N22/O22)*_xlfn.XLOOKUP('GESTION DES JOUEURS'!$X$8&amp;RIGHT('GESTION DES JOUEURS'!$Y$8,1),Tableau14[Colonne1],Tableau14[coef. 2,80/3,10],"",0,1),"")),"")</f>
        <v/>
      </c>
      <c r="F22" s="80" t="str">
        <f>IF(AO4&lt;3,"",IF(AND(AO4=3,OR(SUM(AP20:AQ20)=3,SUM(AP20:AQ20)=7)),U18,IF(AND(AO4=3,OR(SUM(AP20:AQ20)=4,SUM(AP20:AQ20)=6)),F18,IF(AND(AO4=4,OR(SUM(AP20:AQ20)=3,SUM(AP20:AQ20)=7)),F18,IF(AND(AO4=4,OR(SUM(AP20:AQ20)=4,SUM(AP20:AQ20)=6)),U18,IF($O$4="M",_xlfn.XLOOKUP('DATA TDJ'!B41,$O$6:$O$11,$B$6:$B$11,_xlfn.XLOOKUP('DATA TDJ'!B41,$M$6:$M$11,$B$6:$B$11," ",0,1),0,1),_xlfn.XLOOKUP('DATA TDJ'!B41,$M$6:$M$11,$B$6:$B$11," ",0,1)))))))</f>
        <v/>
      </c>
      <c r="G22" s="57" t="str">
        <f t="shared" si="25"/>
        <v/>
      </c>
      <c r="H22" s="729" t="str">
        <f>IFERROR(VLOOKUP(F22,$B$6:$G$11,2,FALSE),"")</f>
        <v/>
      </c>
      <c r="I22" s="726"/>
      <c r="J22" s="730"/>
      <c r="K22" s="726" t="str">
        <f t="shared" si="33"/>
        <v/>
      </c>
      <c r="L22" s="727"/>
      <c r="M22" s="81"/>
      <c r="N22" s="82"/>
      <c r="O22" s="114"/>
      <c r="P22" s="81"/>
      <c r="Q22" s="82"/>
      <c r="R22" s="731" t="str">
        <f t="shared" si="26"/>
        <v/>
      </c>
      <c r="S22" s="732"/>
      <c r="T22" s="83" t="str">
        <f t="shared" si="27"/>
        <v/>
      </c>
      <c r="U22" s="83" t="str">
        <f>IF(AO4&lt;3,"",IF(AO4=3,F19,IF(AO4&lt;5,U19,IF($O$4="M",_xlfn.XLOOKUP('DATA TDJ'!C41,$O$6:$O$11,$B$6:$B$11,_xlfn.XLOOKUP('DATA TDJ'!C41,$M$6:$M$11,$B$6:$B$11," ",0,1),0,1),_xlfn.XLOOKUP('DATA TDJ'!C41,$M$6:$M$11,$B$6:$B$11," ",0,1)))))</f>
        <v/>
      </c>
      <c r="V22" s="58" t="str">
        <f t="shared" si="28"/>
        <v/>
      </c>
      <c r="W22" s="115" t="str">
        <f>IFERROR(IF(AND(X22&gt;0,Y22=FALSE),P22/O22,IF(AND(X22&gt;0,Y22=TRUE),(P22/O22)*_xlfn.XLOOKUP('GESTION DES JOUEURS'!$X$8&amp;RIGHT('GESTION DES JOUEURS'!$Y$8,1),Tableau14[Colonne1],Tableau14[coef. 2,80/3,10],"",0,1),"")),"")</f>
        <v/>
      </c>
      <c r="X22" s="59" t="str">
        <f>IF(A22="","",IF(P22="ab.",0,IF(N22="ab.",2,IF(AND('GESTION DES JOUEURS'!$D$8&lt;&gt;"Open",O22&gt;0,P22&gt;N22),2,IF(AND('GESTION DES JOUEURS'!$D$8&lt;&gt;"Open",O22&gt;0,P22&lt;N22),0,IF(AND('GESTION DES JOUEURS'!$D$8&lt;&gt;"Open",O22&gt;0,P22=N22),1,IF(AND('GESTION DES JOUEURS'!$D$8="Open",(P22/_xlfn.XLOOKUP(U22,$B$6:$B$11,$AE$6:$AE$11,"",0,1))&gt;(N22/_xlfn.XLOOKUP(F22,$B$6:$B$11,$AE$6:$AE$11,"",0,1))),2,IF(AND('GESTION DES JOUEURS'!$D$8="Open",(P22/_xlfn.XLOOKUP(U22,$B$6:$B$11,$AE$6:$AE$11,"",0,1))=(N22/_xlfn.XLOOKUP(F22,$B$6:$B$11,$AE$6:$AE$11,"",0,1))),1,IF(AND('GESTION DES JOUEURS'!$D$8="Open",(P22/_xlfn.XLOOKUP(U22,$B$6:$B$11,$AE$6:$AE$11,"",0,1))&lt;(N22/_xlfn.XLOOKUP(F22,$B$6:$B$11,$AE$6:$AE$11,"",0,1))),0,"")))))))))</f>
        <v/>
      </c>
      <c r="Y22" s="678" t="b">
        <v>0</v>
      </c>
      <c r="AA22" s="911"/>
      <c r="AN22" s="244"/>
      <c r="AO22" s="248"/>
      <c r="AP22" s="325" t="str">
        <f t="shared" si="30"/>
        <v/>
      </c>
      <c r="AQ22" s="325" t="str">
        <f t="shared" si="29"/>
        <v/>
      </c>
      <c r="AR22" s="326">
        <f t="shared" si="31"/>
        <v>2</v>
      </c>
      <c r="AS22" s="317">
        <f t="shared" si="32"/>
        <v>0</v>
      </c>
      <c r="AT22" s="318">
        <f t="shared" si="32"/>
        <v>0</v>
      </c>
      <c r="AU22" s="317" t="str" cm="1">
        <f t="array" ref="AU22">IFERROR(IF(OR($B$15="Cadre N1/N2",$B$15="Bande R1/R2",$B$15="3 Bandes R1/R2"),IF(_xlfn.XLOOKUP(F22,Tableau19[Licence],'GESTION DES JOUEURS'!$Q$11:$Q$46,"",0,1)&gt;_xlfn.XLOOKUP(U22,Tableau19[Licence],'GESTION DES JOUEURS'!$Q$11:$Q$46,"",0,1),D22+1,""),""),"")</f>
        <v/>
      </c>
      <c r="AV22" s="319" t="str" cm="1">
        <f t="array" ref="AV22">IFERROR(IF(OR($B$15="Cadre N1/N2",$B$15="Bande R1/R2",$B$15="3 Bandes R1/R2"),IF(_xlfn.XLOOKUP(F22,Tableau19[Licence],'GESTION DES JOUEURS'!$Q$11:$Q$46,"",0,1)&lt;_xlfn.XLOOKUP(U22,Tableau19[Licence],'GESTION DES JOUEURS'!$Q$11:$Q$46,"",0,1),X22+1,""),""),"")</f>
        <v/>
      </c>
      <c r="AW22" s="320" t="str">
        <f>IFERROR(IF(AND(LEFT($B$15)="3",N22/O22&gt;_xlfn.XLOOKUP($B$15,Distances!$D$2:$D$77,Distances!$N$2:$N$77,"",0,1)),_xlfn.XLOOKUP($B$15,Distances!$D$2:$D$77,Distances!$T$2:$T$77,"",0,1),IF(AND(LEFT($B$15)="3",N22/O22&gt;_xlfn.XLOOKUP($B$15,Distances!$D$2:$D$77,Distances!$M$2:$M$77,"",0,1)),_xlfn.XLOOKUP($B$15,Distances!$D$2:$D$77,Distances!$S$2:$S$77,"",0,1),IF(AND(LEFT($B$15)="3",N22/O22&gt;=_xlfn.XLOOKUP($B$15,Distances!$D$2:$D$77,Distances!$L$2:$L$77,"",0,1)),_xlfn.XLOOKUP($B$15,Distances!$D$2:$D$77,Distances!$R$2:$R$77,"",0,1),IF(AND($B$15="Cadre N1/N2",N22/O22&gt;_xlfn.XLOOKUP("Cadre "&amp;_xlfn.XLOOKUP(F22,$B$6:$B$11,$K$6:$K$11,"",0,1),Distances!$D$2:$D$77,Distances!$N$2:$N$77,"",0,1)),_xlfn.XLOOKUP("Cadre "&amp;_xlfn.XLOOKUP(F22,$B$6:$B$11,$K$6:$K$11,"",0,1),Distances!$D$2:$D$77,Distances!$T$2:$T$77,"",0,1),IF(AND($B$15="Cadre N1/N2",N22/O22&gt;=_xlfn.XLOOKUP("Cadre "&amp;_xlfn.XLOOKUP(F22,$B$6:$B$11,$K$6:$K$11,"",0,1),Distances!$D$2:$D$77,Distances!$L$2:$L$77,"",0,1)),_xlfn.XLOOKUP("Cadre "&amp;_xlfn.XLOOKUP(F22,$B$6:$B$11,$K$6:$K$11,"",0,1),Distances!$D$2:$D$77,Distances!$R$2:$R$77,"",0,1),IF(N22/O22&gt;_xlfn.XLOOKUP($B$15,Distances!$D$2:$D$77,Distances!$N$2:$N$77,"",0,1),_xlfn.XLOOKUP($B$15,Distances!$D$2:$D$77,Distances!$T$2:$T$77,"",0,1),IF(N22/O22&gt;=_xlfn.XLOOKUP($B$15,Distances!$D$2:$D$77,Distances!$L$2:$L$77,"",0,1),_xlfn.XLOOKUP($B$15,Distances!$D$2:$D$77,Distances!$R$2:$R$77,"",0,1),0))))))),"")</f>
        <v/>
      </c>
      <c r="AX22" s="319" t="str">
        <f>IFERROR(IF(AND(LEFT($B$15)="3",P22/O22&gt;_xlfn.XLOOKUP($B$15,Distances!$D$2:$D$77,Distances!$N$2:$N$77,"",0,1)),_xlfn.XLOOKUP($B$15,Distances!$D$2:$D$77,Distances!$T$2:$T$77,"",0,1),IF(AND(LEFT($B$15)="3",P22/O22&gt;_xlfn.XLOOKUP($B$15,Distances!$D$2:$D$77,Distances!$M$2:$M$77,"",0,1)),_xlfn.XLOOKUP($B$15,Distances!$D$2:$D$77,Distances!$S$2:$S$77,"",0,1),IF(AND(LEFT($B$15)="3",P22/O22&gt;=_xlfn.XLOOKUP($B$15,Distances!$D$2:$D$77,Distances!$L$2:$L$77,"",0,1)),_xlfn.XLOOKUP($B$15,Distances!$D$2:$D$77,Distances!$R$2:$R$77,"",0,1),IF(AND($B$15="Cadre N1/N2",P22/O22&gt;_xlfn.XLOOKUP("Cadre "&amp;_xlfn.XLOOKUP(U22,$B$6:$B$11,$K$6:$K$11,"",0,1),Distances!$D$2:$D$77,Distances!$N$2:$N$77,"",0,1)),_xlfn.XLOOKUP("Cadre "&amp;_xlfn.XLOOKUP(U22,$B$6:$B$11,$K$6:$K$11,"",0,1),Distances!$D$2:$D$77,Distances!$T$2:$T$77,"",0,1),IF(AND($B$15="Cadre N1/N2",P22/O22&gt;=_xlfn.XLOOKUP("Cadre "&amp;_xlfn.XLOOKUP(U22,$B$6:$B$11,$K$6:$K$11,"",0,1),Distances!$D$2:$D$77,Distances!$L$2:$L$77,"",0,1)),_xlfn.XLOOKUP("Cadre "&amp;_xlfn.XLOOKUP(U22,$B$6:$B$11,$K$6:$K$11,"",0,1),Distances!$D$2:$D$77,Distances!$R$2:$R$77,"",0,1),IF(P22/O22&gt;_xlfn.XLOOKUP($B$15,Distances!$D$2:$D$77,Distances!$N$2:$N$77,"",0,1),_xlfn.XLOOKUP($B$15,Distances!$D$2:$D$77,Distances!$T$2:$T$77,"",0,1),IF(P22/O22&gt;=_xlfn.XLOOKUP($B$15,Distances!$D$2:$D$77,Distances!$L$2:$L$77,"",0,1),_xlfn.XLOOKUP($B$15,Distances!$D$2:$D$77,Distances!$R$2:$R$77,"",0,1),0))))))),"")</f>
        <v/>
      </c>
      <c r="AZ22" s="326">
        <v>6</v>
      </c>
      <c r="BB22" s="724"/>
      <c r="BC22" s="233" t="b">
        <v>0</v>
      </c>
      <c r="BD22" s="155">
        <v>0</v>
      </c>
      <c r="BE22" s="155">
        <v>0</v>
      </c>
      <c r="BF22" s="155">
        <v>0</v>
      </c>
      <c r="BG22" s="155">
        <v>0</v>
      </c>
      <c r="BH22" s="155">
        <v>0</v>
      </c>
      <c r="BI22" s="157"/>
      <c r="BJ22" s="157"/>
      <c r="BK22" s="156">
        <v>6</v>
      </c>
      <c r="BL22" s="155">
        <f t="shared" si="23"/>
        <v>6</v>
      </c>
      <c r="BM22" s="162">
        <v>6</v>
      </c>
      <c r="BV22" s="292" t="s">
        <v>5482</v>
      </c>
      <c r="BW22" s="223" cm="1">
        <f t="array" ref="BW22">_xlfn.SINGLE(_xlfn.XLOOKUP(A9&amp;A10,G18:G32&amp;V18:V32,N18:N32,_xlfn.XLOOKUP(A10&amp;A9,G18:G32&amp;V18:V32,P18:P32,"",0,1),0,1))</f>
        <v>0</v>
      </c>
      <c r="BX22" s="223" cm="1">
        <f t="array" ref="BX22">_xlfn.XLOOKUP(A9&amp;A10,G18:G32&amp;V18:V32,P18:P32,_xlfn.XLOOKUP(A10&amp;A9,G18:G32&amp;V18:V32,N18:N32,"",0,1),0,1)</f>
        <v>0</v>
      </c>
      <c r="BY22" s="223" cm="1">
        <f t="array" ref="BY22">_xlfn.XLOOKUP(A9&amp;A10,$G$18:$G$32&amp;$V$18:$V$32,$M$18:$M$32,"",0,1)</f>
        <v>0</v>
      </c>
      <c r="BZ22" s="223" cm="1">
        <f t="array" ref="BZ22">_xlfn.XLOOKUP(A9&amp;A10,$G$18:$G$32&amp;$V$18:$V$32,$Q$18:$Q$32,"",0,1)</f>
        <v>0</v>
      </c>
      <c r="CA22" s="223" cm="1">
        <f t="array" ref="CA22">_xlfn.XLOOKUP(A9&amp;A10,G18:G32&amp;V18:V32,O18:O32,_xlfn.XLOOKUP(A10&amp;A9,G18:G32&amp;V18:V32,O18:O32,"",0,1),0,1)</f>
        <v>0</v>
      </c>
      <c r="CB22" s="293" t="str" cm="1">
        <f t="array" ref="CB22">_xlfn.XLOOKUP(A9&amp;A10,G18:G32&amp;V18:V32,A18:A32,"",0,1)</f>
        <v/>
      </c>
      <c r="CC22" s="237">
        <f>IF(COUNTBLANK($AO$6:$AO$11)=2,SUM(BW22,BX27),IF(BW22="",BX27,BW22))</f>
        <v>0</v>
      </c>
      <c r="CD22" s="223">
        <f>IF(CC22="Ab.","",IF(BY22="",BZ27,BY22))</f>
        <v>0</v>
      </c>
      <c r="CE22" s="223">
        <f t="shared" si="20"/>
        <v>0</v>
      </c>
      <c r="CF22" s="294" t="str">
        <f>IF(CB22="",CB27,CB22)</f>
        <v/>
      </c>
      <c r="CG22" s="295" t="str" cm="1">
        <f t="array" ref="CG22">_xlfn.XLOOKUP(BV22,$G$18:$G$32&amp;"-"&amp;$V$18:$V$32,$D$18:$D$32,_xlfn.XLOOKUP(BV27,$G$18:$G$32&amp;"-"&amp;$V$18:$V$32,$X$18:$X$32,"",0,1),0,1)</f>
        <v/>
      </c>
      <c r="CH22" s="175" t="str" cm="1">
        <f t="array" ref="CH22">_xlfn.XLOOKUP(BV22,$G$18:$G$32&amp;"-"&amp;$V$18:$V$32,$AS$18:$AS$32,_xlfn.XLOOKUP(BV27,$G$18:$G$32&amp;"-"&amp;$V$18:$V$32,$AT$18:$AT$32,"",0,1),0,1)</f>
        <v/>
      </c>
      <c r="CI22" s="818"/>
      <c r="CJ22" s="821"/>
      <c r="CK22" s="557">
        <f t="shared" si="21"/>
        <v>5</v>
      </c>
      <c r="CL22" s="557" t="str">
        <f t="shared" si="19"/>
        <v/>
      </c>
    </row>
    <row r="23" spans="1:90" ht="14.45" customHeight="1" x14ac:dyDescent="0.25">
      <c r="A23" s="245" t="str">
        <f>IF(AO4&lt;=3,"",IF(OR(O23&gt;0,N23="ab.",P23="ab."),"P",""))</f>
        <v/>
      </c>
      <c r="B23" s="56" t="str">
        <f>IF(AO4&lt;4,"",IF(AO4&lt;5,2,IF(AO4=5,2,3)))</f>
        <v/>
      </c>
      <c r="C23" s="95" t="str">
        <f t="shared" si="24"/>
        <v/>
      </c>
      <c r="D23" s="79" t="str">
        <f>IF(A23="","",IF(N23="ab.",0,IF(P23="ab.",2,IF(AND('GESTION DES JOUEURS'!$D$8&lt;&gt;"Open",O23&gt;0,N23&gt;P23),2,IF(AND('GESTION DES JOUEURS'!$D$8&lt;&gt;"Open",O23&gt;0,N23&lt;P23),0,IF(AND('GESTION DES JOUEURS'!$D$8&lt;&gt;"Open",O23&gt;0,N23=P23),1,IF(AND('GESTION DES JOUEURS'!$D$8="Open",(N23/_xlfn.XLOOKUP(F23,$B$6:$B$11,$AE$6:$AE$11,"",0,1))&gt;(P23/_xlfn.XLOOKUP(U23,$B$6:$B$11,$AE$6:$AE$11,"",0,1))),2,IF(AND('GESTION DES JOUEURS'!$D$8="Open",(N23/_xlfn.XLOOKUP(F23,$B$6:$B$11,$AE$6:$AE$11,"",0,1))=(P23/_xlfn.XLOOKUP(U23,$B$6:$B$11,$AE$6:$AE$11,"",0,1))),1,IF(AND('GESTION DES JOUEURS'!$D$8="Open",(N23/_xlfn.XLOOKUP(F23,$B$6:$B$11,$AE$6:$AE$11,"",0,1))&lt;(P23/_xlfn.XLOOKUP(U23,$B$6:$B$11,$AE$6:$AE$11,"",0,1))),0,"")))))))))</f>
        <v/>
      </c>
      <c r="E23" s="113" t="str">
        <f>IFERROR(IF(AND(D23&gt;0,Y23=FALSE),N23/O23,IF(AND(D23&gt;0,Y23=TRUE),(N23/O23)*_xlfn.XLOOKUP('GESTION DES JOUEURS'!$X$8&amp;RIGHT('GESTION DES JOUEURS'!$Y$8,1),Tableau14[Colonne1],Tableau14[coef. 2,80/3,10],"",0,1),"")),"")</f>
        <v/>
      </c>
      <c r="F23" s="80" t="str">
        <f>IF(AO4&lt;4,"",IF(AND(AO4=4,OR(SUM(AP21:AQ21)=3,SUM(AP21:AQ21)=7)),U18,IF(AND(AO4=4,OR(SUM(AP21:AQ21)=4,SUM(AP21:AQ21)=6)),F18,IF($O$4="M",_xlfn.XLOOKUP('DATA TDJ'!B42,$O$6:$O$11,$B$6:$B$11,_xlfn.XLOOKUP('DATA TDJ'!B42,$M$6:$M$11,$B$6:$B$11," ",0,1),0,1),_xlfn.XLOOKUP('DATA TDJ'!B42,$M$6:$M$11,$B$6:$B$11," ",0,1)))))</f>
        <v/>
      </c>
      <c r="G23" s="57" t="str">
        <f t="shared" si="25"/>
        <v/>
      </c>
      <c r="H23" s="729" t="str">
        <f t="shared" ref="H23:H32" si="34">IFERROR(VLOOKUP(F23,$B$6:$G$11,2,FALSE),"")</f>
        <v/>
      </c>
      <c r="I23" s="726"/>
      <c r="J23" s="730"/>
      <c r="K23" s="726" t="str">
        <f t="shared" si="33"/>
        <v/>
      </c>
      <c r="L23" s="727"/>
      <c r="M23" s="81"/>
      <c r="N23" s="82"/>
      <c r="O23" s="114"/>
      <c r="P23" s="81"/>
      <c r="Q23" s="82"/>
      <c r="R23" s="731" t="str">
        <f t="shared" si="26"/>
        <v/>
      </c>
      <c r="S23" s="732"/>
      <c r="T23" s="83" t="str">
        <f t="shared" si="27"/>
        <v/>
      </c>
      <c r="U23" s="83" t="str">
        <f>IF(AO4&lt;4,"",IF(AO4&lt;5,F19,IF($O$4="M",_xlfn.XLOOKUP('DATA TDJ'!C42,$O$6:$O$11,$B$6:$B$11,_xlfn.XLOOKUP('DATA TDJ'!C42,$M$6:$M$11,$B$6:$B$11," ",0,1),0,1),_xlfn.XLOOKUP('DATA TDJ'!C42,$M$6:$M$11,$B$6:$B$11," ",0,1))))</f>
        <v/>
      </c>
      <c r="V23" s="58" t="str">
        <f t="shared" si="28"/>
        <v/>
      </c>
      <c r="W23" s="115" t="str">
        <f>IFERROR(IF(AND(X23&gt;0,Y23=FALSE),P23/O23,IF(AND(X23&gt;0,Y23=TRUE),(P23/O23)*_xlfn.XLOOKUP('GESTION DES JOUEURS'!$X$8&amp;RIGHT('GESTION DES JOUEURS'!$Y$8,1),Tableau14[Colonne1],Tableau14[coef. 2,80/3,10],"",0,1),"")),"")</f>
        <v/>
      </c>
      <c r="X23" s="59" t="str">
        <f>IF(A23="","",IF(P23="ab.",0,IF(N23="ab.",2,IF(AND('GESTION DES JOUEURS'!$D$8&lt;&gt;"Open",O23&gt;0,P23&gt;N23),2,IF(AND('GESTION DES JOUEURS'!$D$8&lt;&gt;"Open",O23&gt;0,P23&lt;N23),0,IF(AND('GESTION DES JOUEURS'!$D$8&lt;&gt;"Open",O23&gt;0,P23=N23),1,IF(AND('GESTION DES JOUEURS'!$D$8="Open",(P23/_xlfn.XLOOKUP(U23,$B$6:$B$11,$AE$6:$AE$11,"",0,1))&gt;(N23/_xlfn.XLOOKUP(F23,$B$6:$B$11,$AE$6:$AE$11,"",0,1))),2,IF(AND('GESTION DES JOUEURS'!$D$8="Open",(P23/_xlfn.XLOOKUP(U23,$B$6:$B$11,$AE$6:$AE$11,"",0,1))=(N23/_xlfn.XLOOKUP(F23,$B$6:$B$11,$AE$6:$AE$11,"",0,1))),1,IF(AND('GESTION DES JOUEURS'!$D$8="Open",(P23/_xlfn.XLOOKUP(U23,$B$6:$B$11,$AE$6:$AE$11,"",0,1))&lt;(N23/_xlfn.XLOOKUP(F23,$B$6:$B$11,$AE$6:$AE$11,"",0,1))),0,"")))))))))</f>
        <v/>
      </c>
      <c r="Y23" s="678" t="b">
        <v>0</v>
      </c>
      <c r="AA23" s="910" t="s">
        <v>8119</v>
      </c>
      <c r="AN23" s="244"/>
      <c r="AO23" s="248"/>
      <c r="AP23" s="325" t="str">
        <f t="shared" si="30"/>
        <v/>
      </c>
      <c r="AQ23" s="325" t="str">
        <f t="shared" si="29"/>
        <v/>
      </c>
      <c r="AR23" s="326">
        <f t="shared" si="31"/>
        <v>2</v>
      </c>
      <c r="AS23" s="317">
        <f t="shared" si="32"/>
        <v>0</v>
      </c>
      <c r="AT23" s="318">
        <f t="shared" si="32"/>
        <v>0</v>
      </c>
      <c r="AU23" s="317" t="str" cm="1">
        <f t="array" ref="AU23">IFERROR(IF(OR($B$15="Cadre N1/N2",$B$15="Bande R1/R2",$B$15="3 Bandes R1/R2"),IF(_xlfn.XLOOKUP(F23,Tableau19[Licence],'GESTION DES JOUEURS'!$Q$11:$Q$46,"",0,1)&gt;_xlfn.XLOOKUP(U23,Tableau19[Licence],'GESTION DES JOUEURS'!$Q$11:$Q$46,"",0,1),D23+1,""),""),"")</f>
        <v/>
      </c>
      <c r="AV23" s="319" t="str" cm="1">
        <f t="array" ref="AV23">IFERROR(IF(OR($B$15="Cadre N1/N2",$B$15="Bande R1/R2",$B$15="3 Bandes R1/R2"),IF(_xlfn.XLOOKUP(F23,Tableau19[Licence],'GESTION DES JOUEURS'!$Q$11:$Q$46,"",0,1)&lt;_xlfn.XLOOKUP(U23,Tableau19[Licence],'GESTION DES JOUEURS'!$Q$11:$Q$46,"",0,1),X23+1,""),""),"")</f>
        <v/>
      </c>
      <c r="AW23" s="320" t="str">
        <f>IFERROR(IF(AND(LEFT($B$15)="3",N23/O23&gt;_xlfn.XLOOKUP($B$15,Distances!$D$2:$D$77,Distances!$N$2:$N$77,"",0,1)),_xlfn.XLOOKUP($B$15,Distances!$D$2:$D$77,Distances!$T$2:$T$77,"",0,1),IF(AND(LEFT($B$15)="3",N23/O23&gt;_xlfn.XLOOKUP($B$15,Distances!$D$2:$D$77,Distances!$M$2:$M$77,"",0,1)),_xlfn.XLOOKUP($B$15,Distances!$D$2:$D$77,Distances!$S$2:$S$77,"",0,1),IF(AND(LEFT($B$15)="3",N23/O23&gt;=_xlfn.XLOOKUP($B$15,Distances!$D$2:$D$77,Distances!$L$2:$L$77,"",0,1)),_xlfn.XLOOKUP($B$15,Distances!$D$2:$D$77,Distances!$R$2:$R$77,"",0,1),IF(AND($B$15="Cadre N1/N2",N23/O23&gt;_xlfn.XLOOKUP("Cadre "&amp;_xlfn.XLOOKUP(F23,$B$6:$B$11,$K$6:$K$11,"",0,1),Distances!$D$2:$D$77,Distances!$N$2:$N$77,"",0,1)),_xlfn.XLOOKUP("Cadre "&amp;_xlfn.XLOOKUP(F23,$B$6:$B$11,$K$6:$K$11,"",0,1),Distances!$D$2:$D$77,Distances!$T$2:$T$77,"",0,1),IF(AND($B$15="Cadre N1/N2",N23/O23&gt;=_xlfn.XLOOKUP("Cadre "&amp;_xlfn.XLOOKUP(F23,$B$6:$B$11,$K$6:$K$11,"",0,1),Distances!$D$2:$D$77,Distances!$L$2:$L$77,"",0,1)),_xlfn.XLOOKUP("Cadre "&amp;_xlfn.XLOOKUP(F23,$B$6:$B$11,$K$6:$K$11,"",0,1),Distances!$D$2:$D$77,Distances!$R$2:$R$77,"",0,1),IF(N23/O23&gt;_xlfn.XLOOKUP($B$15,Distances!$D$2:$D$77,Distances!$N$2:$N$77,"",0,1),_xlfn.XLOOKUP($B$15,Distances!$D$2:$D$77,Distances!$T$2:$T$77,"",0,1),IF(N23/O23&gt;=_xlfn.XLOOKUP($B$15,Distances!$D$2:$D$77,Distances!$L$2:$L$77,"",0,1),_xlfn.XLOOKUP($B$15,Distances!$D$2:$D$77,Distances!$R$2:$R$77,"",0,1),0))))))),"")</f>
        <v/>
      </c>
      <c r="AX23" s="319" t="str">
        <f>IFERROR(IF(AND(LEFT($B$15)="3",P23/O23&gt;_xlfn.XLOOKUP($B$15,Distances!$D$2:$D$77,Distances!$N$2:$N$77,"",0,1)),_xlfn.XLOOKUP($B$15,Distances!$D$2:$D$77,Distances!$T$2:$T$77,"",0,1),IF(AND(LEFT($B$15)="3",P23/O23&gt;_xlfn.XLOOKUP($B$15,Distances!$D$2:$D$77,Distances!$M$2:$M$77,"",0,1)),_xlfn.XLOOKUP($B$15,Distances!$D$2:$D$77,Distances!$S$2:$S$77,"",0,1),IF(AND(LEFT($B$15)="3",P23/O23&gt;=_xlfn.XLOOKUP($B$15,Distances!$D$2:$D$77,Distances!$L$2:$L$77,"",0,1)),_xlfn.XLOOKUP($B$15,Distances!$D$2:$D$77,Distances!$R$2:$R$77,"",0,1),IF(AND($B$15="Cadre N1/N2",P23/O23&gt;_xlfn.XLOOKUP("Cadre "&amp;_xlfn.XLOOKUP(U23,$B$6:$B$11,$K$6:$K$11,"",0,1),Distances!$D$2:$D$77,Distances!$N$2:$N$77,"",0,1)),_xlfn.XLOOKUP("Cadre "&amp;_xlfn.XLOOKUP(U23,$B$6:$B$11,$K$6:$K$11,"",0,1),Distances!$D$2:$D$77,Distances!$T$2:$T$77,"",0,1),IF(AND($B$15="Cadre N1/N2",P23/O23&gt;=_xlfn.XLOOKUP("Cadre "&amp;_xlfn.XLOOKUP(U23,$B$6:$B$11,$K$6:$K$11,"",0,1),Distances!$D$2:$D$77,Distances!$L$2:$L$77,"",0,1)),_xlfn.XLOOKUP("Cadre "&amp;_xlfn.XLOOKUP(U23,$B$6:$B$11,$K$6:$K$11,"",0,1),Distances!$D$2:$D$77,Distances!$R$2:$R$77,"",0,1),IF(P23/O23&gt;_xlfn.XLOOKUP($B$15,Distances!$D$2:$D$77,Distances!$N$2:$N$77,"",0,1),_xlfn.XLOOKUP($B$15,Distances!$D$2:$D$77,Distances!$T$2:$T$77,"",0,1),IF(P23/O23&gt;=_xlfn.XLOOKUP($B$15,Distances!$D$2:$D$77,Distances!$L$2:$L$77,"",0,1),_xlfn.XLOOKUP($B$15,Distances!$D$2:$D$77,Distances!$R$2:$R$77,"",0,1),0))))))),"")</f>
        <v/>
      </c>
      <c r="AZ23" s="326">
        <v>7</v>
      </c>
      <c r="BB23" s="724"/>
      <c r="BC23" s="157"/>
      <c r="BD23" s="157"/>
      <c r="BE23" s="157"/>
      <c r="BF23" s="157"/>
      <c r="BG23" s="157"/>
      <c r="BH23" s="157"/>
      <c r="BI23" s="157"/>
      <c r="BJ23" s="157"/>
      <c r="BK23" s="157"/>
      <c r="BL23" s="157"/>
      <c r="BM23" s="163"/>
      <c r="BV23" s="292" t="s">
        <v>5483</v>
      </c>
      <c r="BW23" s="223" cm="1">
        <f t="array" ref="BW23">_xlfn.SINGLE(_xlfn.XLOOKUP(A9&amp;A8,G18:G32&amp;V18:V32,N18:N32,_xlfn.XLOOKUP(A8&amp;A9,G18:G32&amp;V18:V32,P18:P32,"",0,1),0,1))</f>
        <v>0</v>
      </c>
      <c r="BX23" s="223" cm="1">
        <f t="array" ref="BX23">_xlfn.XLOOKUP(A9&amp;A8,G18:G32&amp;V18:V32,P18:P32,_xlfn.XLOOKUP(A8&amp;A9,G18:G32&amp;V18:V32,N18:N32,"",0,1),0,1)</f>
        <v>0</v>
      </c>
      <c r="BY23" s="223" cm="1">
        <f t="array" ref="BY23">_xlfn.XLOOKUP(A9&amp;A8,$G$18:$G$32&amp;$V$18:$V$32,$M$18:$M$32,"",0,1)</f>
        <v>0</v>
      </c>
      <c r="BZ23" s="223" cm="1">
        <f t="array" ref="BZ23">_xlfn.XLOOKUP(A9&amp;A8,$G$18:$G$32&amp;$V$18:$V$32,$Q$18:$Q$32,"",0,1)</f>
        <v>0</v>
      </c>
      <c r="CA23" s="223" cm="1">
        <f t="array" ref="CA23">_xlfn.XLOOKUP(A8&amp;A9,G18:G32&amp;V18:V32,O18:O32,_xlfn.XLOOKUP(A9&amp;A8,G18:G32&amp;V18:V32,O18:O32,"",0,1),0,1)</f>
        <v>0</v>
      </c>
      <c r="CB23" s="293" t="str" cm="1">
        <f t="array" ref="CB23">_xlfn.XLOOKUP(A9&amp;A8,G18:G32&amp;V18:V32,A18:A32,"",0,1)</f>
        <v/>
      </c>
      <c r="CC23" s="237">
        <f>IF(COUNTBLANK($AO$6:$AO$11)=2,SUM(BW23,BX18),IF(BW23="",BX18,BW23))</f>
        <v>0</v>
      </c>
      <c r="CD23" s="223">
        <f>IF(CC23="Ab.","",IF(BY23="",BZ18,BY23))</f>
        <v>0</v>
      </c>
      <c r="CE23" s="223">
        <f t="shared" si="20"/>
        <v>0</v>
      </c>
      <c r="CF23" s="294" t="str">
        <f>IF(CB23="",CB18,CB23)</f>
        <v/>
      </c>
      <c r="CG23" s="295" t="str" cm="1">
        <f t="array" ref="CG23">_xlfn.XLOOKUP(BV23,$G$18:$G$32&amp;"-"&amp;$V$18:$V$32,$D$18:$D$32,_xlfn.XLOOKUP(BV18,$G$18:$G$32&amp;"-"&amp;$V$18:$V$32,$X$18:$X$32,"",0,1),0,1)</f>
        <v/>
      </c>
      <c r="CH23" s="175" t="str" cm="1">
        <f t="array" ref="CH23">_xlfn.XLOOKUP(BV23,$G$18:$G$32&amp;"-"&amp;$V$18:$V$32,$AS$18:$AS$32,_xlfn.XLOOKUP(BV18,$G$18:$G$32&amp;"-"&amp;$V$18:$V$32,$AT$18:$AT$32,"",0,1),0,1)</f>
        <v/>
      </c>
      <c r="CI23" s="818"/>
      <c r="CJ23" s="821"/>
      <c r="CK23" s="557">
        <f t="shared" si="21"/>
        <v>3</v>
      </c>
      <c r="CL23" s="557" t="str">
        <f t="shared" si="19"/>
        <v/>
      </c>
    </row>
    <row r="24" spans="1:90" ht="14.45" customHeight="1" x14ac:dyDescent="0.25">
      <c r="A24" s="245" t="str">
        <f>IF($AO$4&lt;=4,"",IF(OR(O24&gt;0,N24="ab.",P24="ab."),"P",""))</f>
        <v/>
      </c>
      <c r="B24" s="60" t="str">
        <f>IF(AO4&lt;5,"",1)</f>
        <v/>
      </c>
      <c r="C24" s="96" t="str">
        <f t="shared" si="24"/>
        <v/>
      </c>
      <c r="D24" s="84" t="str">
        <f>IF(A24="","",IF(N24="ab.",0,IF(P24="ab.",2,IF(AND('GESTION DES JOUEURS'!$D$8&lt;&gt;"Open",O24&gt;0,N24&gt;P24),2,IF(AND('GESTION DES JOUEURS'!$D$8&lt;&gt;"Open",O24&gt;0,N24&lt;P24),0,IF(AND('GESTION DES JOUEURS'!$D$8&lt;&gt;"Open",O24&gt;0,N24=P24),1,IF(AND('GESTION DES JOUEURS'!$D$8="Open",(N24/_xlfn.XLOOKUP(F24,$B$6:$B$11,$AE$6:$AE$11,"",0,1))&gt;(P24/_xlfn.XLOOKUP(U24,$B$6:$B$11,$AE$6:$AE$11,"",0,1))),2,IF(AND('GESTION DES JOUEURS'!$D$8="Open",(N24/_xlfn.XLOOKUP(F24,$B$6:$B$11,$AE$6:$AE$11,"",0,1))=(P24/_xlfn.XLOOKUP(U24,$B$6:$B$11,$AE$6:$AE$11,"",0,1))),1,IF(AND('GESTION DES JOUEURS'!$D$8="Open",(N24/_xlfn.XLOOKUP(F24,$B$6:$B$11,$AE$6:$AE$11,"",0,1))&lt;(P24/_xlfn.XLOOKUP(U24,$B$6:$B$11,$AE$6:$AE$11,"",0,1))),0,"")))))))))</f>
        <v/>
      </c>
      <c r="E24" s="117" t="str">
        <f>IFERROR(IF(AND(D24&gt;0,Y24=FALSE),N24/O24,IF(AND(D24&gt;0,Y24=TRUE),(N24/O24)*_xlfn.XLOOKUP('GESTION DES JOUEURS'!$X$8&amp;RIGHT('GESTION DES JOUEURS'!$Y$8,1),Tableau14[Colonne1],Tableau14[coef. 2,80/3,10],"",0,1),"")),"")</f>
        <v/>
      </c>
      <c r="F24" s="85" t="str">
        <f>IF(AO4&lt;5,"",IF($O$4="M",_xlfn.XLOOKUP('DATA TDJ'!B43,$O$6:$O$11,$B$6:$B$11,_xlfn.XLOOKUP('DATA TDJ'!B43,$M$6:$M$11,$B$6:$B$11," ",0,1),0,1),_xlfn.XLOOKUP('DATA TDJ'!B43,$M$6:$M$11,$B$6:$B$11," ",0,1)))</f>
        <v/>
      </c>
      <c r="G24" s="61" t="str">
        <f t="shared" si="25"/>
        <v/>
      </c>
      <c r="H24" s="729" t="str">
        <f t="shared" si="34"/>
        <v/>
      </c>
      <c r="I24" s="726"/>
      <c r="J24" s="730"/>
      <c r="K24" s="726" t="str">
        <f t="shared" si="33"/>
        <v/>
      </c>
      <c r="L24" s="727"/>
      <c r="M24" s="86"/>
      <c r="N24" s="87"/>
      <c r="O24" s="118"/>
      <c r="P24" s="86"/>
      <c r="Q24" s="87"/>
      <c r="R24" s="731" t="str">
        <f t="shared" si="26"/>
        <v/>
      </c>
      <c r="S24" s="732"/>
      <c r="T24" s="83" t="str">
        <f t="shared" si="27"/>
        <v/>
      </c>
      <c r="U24" s="88" t="str">
        <f>IF(AO4&lt;5,"",IF($O$4="M",_xlfn.XLOOKUP('DATA TDJ'!C43,$O$6:$O$11,$B$6:$B$11,_xlfn.XLOOKUP('DATA TDJ'!C43,$M$6:$M$11,$B$6:$B$11," ",0,1),0,1),_xlfn.XLOOKUP('DATA TDJ'!C43,$M$6:$M$11,$B$6:$B$11," ",0,1)))</f>
        <v/>
      </c>
      <c r="V24" s="62" t="str">
        <f t="shared" si="28"/>
        <v/>
      </c>
      <c r="W24" s="119" t="str">
        <f>IFERROR(IF(AND(X24&gt;0,Y24=FALSE),P24/O24,IF(AND(X24&gt;0,Y24=TRUE),(P24/O24)*_xlfn.XLOOKUP('GESTION DES JOUEURS'!$X$8&amp;RIGHT('GESTION DES JOUEURS'!$Y$8,1),Tableau14[Colonne1],Tableau14[coef. 2,80/3,10],"",0,1),"")),"")</f>
        <v/>
      </c>
      <c r="X24" s="63" t="str">
        <f>IF(A24="","",IF(P24="ab.",0,IF(N24="ab.",2,IF(AND('GESTION DES JOUEURS'!$D$8&lt;&gt;"Open",O24&gt;0,P24&gt;N24),2,IF(AND('GESTION DES JOUEURS'!$D$8&lt;&gt;"Open",O24&gt;0,P24&lt;N24),0,IF(AND('GESTION DES JOUEURS'!$D$8&lt;&gt;"Open",O24&gt;0,P24=N24),1,IF(AND('GESTION DES JOUEURS'!$D$8="Open",(P24/_xlfn.XLOOKUP(U24,$B$6:$B$11,$AE$6:$AE$11,"",0,1))&gt;(N24/_xlfn.XLOOKUP(F24,$B$6:$B$11,$AE$6:$AE$11,"",0,1))),2,IF(AND('GESTION DES JOUEURS'!$D$8="Open",(P24/_xlfn.XLOOKUP(U24,$B$6:$B$11,$AE$6:$AE$11,"",0,1))=(N24/_xlfn.XLOOKUP(F24,$B$6:$B$11,$AE$6:$AE$11,"",0,1))),1,IF(AND('GESTION DES JOUEURS'!$D$8="Open",(P24/_xlfn.XLOOKUP(U24,$B$6:$B$11,$AE$6:$AE$11,"",0,1))&lt;(N24/_xlfn.XLOOKUP(F24,$B$6:$B$11,$AE$6:$AE$11,"",0,1))),0,"")))))))))</f>
        <v/>
      </c>
      <c r="Y24" s="678" t="b">
        <v>0</v>
      </c>
      <c r="AA24" s="910"/>
      <c r="AN24" s="244"/>
      <c r="AO24" s="248"/>
      <c r="AP24" s="325" t="str">
        <f t="shared" si="30"/>
        <v/>
      </c>
      <c r="AQ24" s="325" t="str">
        <f t="shared" si="29"/>
        <v/>
      </c>
      <c r="AR24" s="326">
        <f t="shared" si="31"/>
        <v>2</v>
      </c>
      <c r="AS24" s="317">
        <f t="shared" si="32"/>
        <v>0</v>
      </c>
      <c r="AT24" s="318">
        <f t="shared" si="32"/>
        <v>0</v>
      </c>
      <c r="AU24" s="317" t="str" cm="1">
        <f t="array" ref="AU24">IFERROR(IF(OR($B$15="Cadre N1/N2",$B$15="Bande R1/R2",$B$15="3 Bandes R1/R2"),IF(_xlfn.XLOOKUP(F24,Tableau19[Licence],'GESTION DES JOUEURS'!$Q$11:$Q$46,"",0,1)&gt;_xlfn.XLOOKUP(U24,Tableau19[Licence],'GESTION DES JOUEURS'!$Q$11:$Q$46,"",0,1),D24+1,""),""),"")</f>
        <v/>
      </c>
      <c r="AV24" s="319" t="str" cm="1">
        <f t="array" ref="AV24">IFERROR(IF(OR($B$15="Cadre N1/N2",$B$15="Bande R1/R2",$B$15="3 Bandes R1/R2"),IF(_xlfn.XLOOKUP(F24,Tableau19[Licence],'GESTION DES JOUEURS'!$Q$11:$Q$46,"",0,1)&lt;_xlfn.XLOOKUP(U24,Tableau19[Licence],'GESTION DES JOUEURS'!$Q$11:$Q$46,"",0,1),X24+1,""),""),"")</f>
        <v/>
      </c>
      <c r="AW24" s="320" t="str">
        <f>IFERROR(IF(AND(LEFT($B$15)="3",N24/O24&gt;_xlfn.XLOOKUP($B$15,Distances!$D$2:$D$77,Distances!$N$2:$N$77,"",0,1)),_xlfn.XLOOKUP($B$15,Distances!$D$2:$D$77,Distances!$T$2:$T$77,"",0,1),IF(AND(LEFT($B$15)="3",N24/O24&gt;_xlfn.XLOOKUP($B$15,Distances!$D$2:$D$77,Distances!$M$2:$M$77,"",0,1)),_xlfn.XLOOKUP($B$15,Distances!$D$2:$D$77,Distances!$S$2:$S$77,"",0,1),IF(AND(LEFT($B$15)="3",N24/O24&gt;=_xlfn.XLOOKUP($B$15,Distances!$D$2:$D$77,Distances!$L$2:$L$77,"",0,1)),_xlfn.XLOOKUP($B$15,Distances!$D$2:$D$77,Distances!$R$2:$R$77,"",0,1),IF(AND($B$15="Cadre N1/N2",N24/O24&gt;_xlfn.XLOOKUP("Cadre "&amp;_xlfn.XLOOKUP(F24,$B$6:$B$11,$K$6:$K$11,"",0,1),Distances!$D$2:$D$77,Distances!$N$2:$N$77,"",0,1)),_xlfn.XLOOKUP("Cadre "&amp;_xlfn.XLOOKUP(F24,$B$6:$B$11,$K$6:$K$11,"",0,1),Distances!$D$2:$D$77,Distances!$T$2:$T$77,"",0,1),IF(AND($B$15="Cadre N1/N2",N24/O24&gt;=_xlfn.XLOOKUP("Cadre "&amp;_xlfn.XLOOKUP(F24,$B$6:$B$11,$K$6:$K$11,"",0,1),Distances!$D$2:$D$77,Distances!$L$2:$L$77,"",0,1)),_xlfn.XLOOKUP("Cadre "&amp;_xlfn.XLOOKUP(F24,$B$6:$B$11,$K$6:$K$11,"",0,1),Distances!$D$2:$D$77,Distances!$R$2:$R$77,"",0,1),IF(N24/O24&gt;_xlfn.XLOOKUP($B$15,Distances!$D$2:$D$77,Distances!$N$2:$N$77,"",0,1),_xlfn.XLOOKUP($B$15,Distances!$D$2:$D$77,Distances!$T$2:$T$77,"",0,1),IF(N24/O24&gt;=_xlfn.XLOOKUP($B$15,Distances!$D$2:$D$77,Distances!$L$2:$L$77,"",0,1),_xlfn.XLOOKUP($B$15,Distances!$D$2:$D$77,Distances!$R$2:$R$77,"",0,1),0))))))),"")</f>
        <v/>
      </c>
      <c r="AX24" s="319" t="str">
        <f>IFERROR(IF(AND(LEFT($B$15)="3",P24/O24&gt;_xlfn.XLOOKUP($B$15,Distances!$D$2:$D$77,Distances!$N$2:$N$77,"",0,1)),_xlfn.XLOOKUP($B$15,Distances!$D$2:$D$77,Distances!$T$2:$T$77,"",0,1),IF(AND(LEFT($B$15)="3",P24/O24&gt;_xlfn.XLOOKUP($B$15,Distances!$D$2:$D$77,Distances!$M$2:$M$77,"",0,1)),_xlfn.XLOOKUP($B$15,Distances!$D$2:$D$77,Distances!$S$2:$S$77,"",0,1),IF(AND(LEFT($B$15)="3",P24/O24&gt;=_xlfn.XLOOKUP($B$15,Distances!$D$2:$D$77,Distances!$L$2:$L$77,"",0,1)),_xlfn.XLOOKUP($B$15,Distances!$D$2:$D$77,Distances!$R$2:$R$77,"",0,1),IF(AND($B$15="Cadre N1/N2",P24/O24&gt;_xlfn.XLOOKUP("Cadre "&amp;_xlfn.XLOOKUP(U24,$B$6:$B$11,$K$6:$K$11,"",0,1),Distances!$D$2:$D$77,Distances!$N$2:$N$77,"",0,1)),_xlfn.XLOOKUP("Cadre "&amp;_xlfn.XLOOKUP(U24,$B$6:$B$11,$K$6:$K$11,"",0,1),Distances!$D$2:$D$77,Distances!$T$2:$T$77,"",0,1),IF(AND($B$15="Cadre N1/N2",P24/O24&gt;=_xlfn.XLOOKUP("Cadre "&amp;_xlfn.XLOOKUP(U24,$B$6:$B$11,$K$6:$K$11,"",0,1),Distances!$D$2:$D$77,Distances!$L$2:$L$77,"",0,1)),_xlfn.XLOOKUP("Cadre "&amp;_xlfn.XLOOKUP(U24,$B$6:$B$11,$K$6:$K$11,"",0,1),Distances!$D$2:$D$77,Distances!$R$2:$R$77,"",0,1),IF(P24/O24&gt;_xlfn.XLOOKUP($B$15,Distances!$D$2:$D$77,Distances!$N$2:$N$77,"",0,1),_xlfn.XLOOKUP($B$15,Distances!$D$2:$D$77,Distances!$T$2:$T$77,"",0,1),IF(P24/O24&gt;=_xlfn.XLOOKUP($B$15,Distances!$D$2:$D$77,Distances!$L$2:$L$77,"",0,1),_xlfn.XLOOKUP($B$15,Distances!$D$2:$D$77,Distances!$R$2:$R$77,"",0,1),0))))))),"")</f>
        <v/>
      </c>
      <c r="AZ24" s="326">
        <v>8</v>
      </c>
      <c r="BB24" s="724"/>
      <c r="BC24" s="157"/>
      <c r="BD24" s="157"/>
      <c r="BE24" s="157"/>
      <c r="BF24" s="157"/>
      <c r="BG24" s="157"/>
      <c r="BH24" s="157"/>
      <c r="BI24" s="157"/>
      <c r="BJ24" s="157"/>
      <c r="BK24" s="157"/>
      <c r="BL24" s="157"/>
      <c r="BM24" s="163"/>
      <c r="BV24" s="292" t="s">
        <v>5484</v>
      </c>
      <c r="BW24" s="223" t="str" cm="1">
        <f t="array" ref="BW24">_xlfn.SINGLE(_xlfn.XLOOKUP(A9&amp;A7,G18:G32&amp;V18:V32,N18:N32,_xlfn.XLOOKUP(A7&amp;A9,G18:G32&amp;V18:V32,P18:P32,"",0,1),0,1))</f>
        <v/>
      </c>
      <c r="BX24" s="223" t="str" cm="1">
        <f t="array" ref="BX24">_xlfn.XLOOKUP(A9&amp;A7,G18:G32&amp;V18:V32,P18:P32,_xlfn.XLOOKUP(A7&amp;A9,G18:G32&amp;V18:V32,N18:N32,"",0,1),0,1)</f>
        <v/>
      </c>
      <c r="BY24" s="223" t="str" cm="1">
        <f t="array" ref="BY24">_xlfn.XLOOKUP(A9&amp;A7,$G$18:$G$32&amp;$V$18:$V$32,$M$18:$M$32,"",0,1)</f>
        <v/>
      </c>
      <c r="BZ24" s="223" t="str" cm="1">
        <f t="array" ref="BZ24">_xlfn.XLOOKUP(A9&amp;A7,$G$18:$G$32&amp;$V$18:$V$32,$Q$18:$Q$32,"",0,1)</f>
        <v/>
      </c>
      <c r="CA24" s="223" t="str" cm="1">
        <f t="array" ref="CA24">_xlfn.XLOOKUP(A9&amp;A7,G18:G32&amp;V18:V32,O18:O32,_xlfn.XLOOKUP(A7&amp;A9,G18:G32&amp;V18:V32,O18:O32,"",0,1),0,1)</f>
        <v/>
      </c>
      <c r="CB24" s="293" t="str" cm="1">
        <f t="array" ref="CB24">_xlfn.XLOOKUP(A9&amp;A7,G18:G32&amp;V18:V32,A18:A32,"",0,1)</f>
        <v/>
      </c>
      <c r="CC24" s="237" t="str">
        <f>IF(COUNTBLANK($AO$6:$AO$11)=2,SUM(BW24,BX13),IF(BW24="",BX13,BW24))</f>
        <v/>
      </c>
      <c r="CD24" s="223" t="str">
        <f>IF(CC24="Ab.","",IF(BY24="",BZ13,BY24))</f>
        <v/>
      </c>
      <c r="CE24" s="223" t="str">
        <f t="shared" si="20"/>
        <v/>
      </c>
      <c r="CF24" s="294" t="str">
        <f>IF(CB24="",CB13,CB24)</f>
        <v/>
      </c>
      <c r="CG24" s="295" t="str" cm="1">
        <f t="array" ref="CG24">_xlfn.XLOOKUP(BV24,$G$18:$G$32&amp;"-"&amp;$V$18:$V$32,$D$18:$D$32,_xlfn.XLOOKUP(BV13,$G$18:$G$32&amp;"-"&amp;$V$18:$V$32,$X$18:$X$32,"",0,1),0,1)</f>
        <v/>
      </c>
      <c r="CH24" s="175" t="str" cm="1">
        <f t="array" ref="CH24">_xlfn.XLOOKUP(BV24,$G$18:$G$32&amp;"-"&amp;$V$18:$V$32,$AS$18:$AS$32,_xlfn.XLOOKUP(BV13,$G$18:$G$32&amp;"-"&amp;$V$18:$V$32,$AT$18:$AT$32,"",0,1),0,1)</f>
        <v/>
      </c>
      <c r="CI24" s="818"/>
      <c r="CJ24" s="821"/>
      <c r="CK24" s="557">
        <f t="shared" si="21"/>
        <v>2</v>
      </c>
      <c r="CL24" s="557" t="b">
        <f t="shared" si="19"/>
        <v>0</v>
      </c>
    </row>
    <row r="25" spans="1:90" ht="14.45" customHeight="1" thickBot="1" x14ac:dyDescent="0.3">
      <c r="A25" s="245" t="str">
        <f>IF($AO$4&lt;=4,"",IF(OR(O25&gt;0,N25="ab.",P25="ab."),"P",""))</f>
        <v/>
      </c>
      <c r="B25" s="56" t="str">
        <f>IF(AO4&lt;5,"",2)</f>
        <v/>
      </c>
      <c r="C25" s="95" t="str">
        <f t="shared" si="24"/>
        <v/>
      </c>
      <c r="D25" s="79" t="str">
        <f>IF(A25="","",IF(N25="ab.",0,IF(P25="ab.",2,IF(AND('GESTION DES JOUEURS'!$D$8&lt;&gt;"Open",O25&gt;0,N25&gt;P25),2,IF(AND('GESTION DES JOUEURS'!$D$8&lt;&gt;"Open",O25&gt;0,N25&lt;P25),0,IF(AND('GESTION DES JOUEURS'!$D$8&lt;&gt;"Open",O25&gt;0,N25=P25),1,IF(AND('GESTION DES JOUEURS'!$D$8="Open",(N25/_xlfn.XLOOKUP(F25,$B$6:$B$11,$AE$6:$AE$11,"",0,1))&gt;(P25/_xlfn.XLOOKUP(U25,$B$6:$B$11,$AE$6:$AE$11,"",0,1))),2,IF(AND('GESTION DES JOUEURS'!$D$8="Open",(N25/_xlfn.XLOOKUP(F25,$B$6:$B$11,$AE$6:$AE$11,"",0,1))=(P25/_xlfn.XLOOKUP(U25,$B$6:$B$11,$AE$6:$AE$11,"",0,1))),1,IF(AND('GESTION DES JOUEURS'!$D$8="Open",(N25/_xlfn.XLOOKUP(F25,$B$6:$B$11,$AE$6:$AE$11,"",0,1))&lt;(P25/_xlfn.XLOOKUP(U25,$B$6:$B$11,$AE$6:$AE$11,"",0,1))),0,"")))))))))</f>
        <v/>
      </c>
      <c r="E25" s="113" t="str">
        <f>IFERROR(IF(AND(D25&gt;0,Y25=FALSE),N25/O25,IF(AND(D25&gt;0,Y25=TRUE),(N25/O25)*_xlfn.XLOOKUP('GESTION DES JOUEURS'!$X$8&amp;RIGHT('GESTION DES JOUEURS'!$Y$8,1),Tableau14[Colonne1],Tableau14[coef. 2,80/3,10],"",0,1),"")),"")</f>
        <v/>
      </c>
      <c r="F25" s="80" t="str">
        <f>IF(AO4&lt;5,"",IF($O$4="M",_xlfn.XLOOKUP('DATA TDJ'!B44,$O$6:$O$11,$B$6:$B$11,_xlfn.XLOOKUP('DATA TDJ'!B44,$M$6:$M$11,$B$6:$B$11," ",0,1),0,1),_xlfn.XLOOKUP('DATA TDJ'!B44,$M$6:$M$11,$B$6:$B$11," ",0,1)))</f>
        <v/>
      </c>
      <c r="G25" s="57" t="str">
        <f t="shared" si="25"/>
        <v/>
      </c>
      <c r="H25" s="729" t="str">
        <f t="shared" si="34"/>
        <v/>
      </c>
      <c r="I25" s="726"/>
      <c r="J25" s="730" t="str">
        <f>IFERROR(VLOOKUP(F25,$B$6:$G$11,2,FALSE),"")</f>
        <v/>
      </c>
      <c r="K25" s="726" t="str">
        <f t="shared" si="33"/>
        <v/>
      </c>
      <c r="L25" s="727"/>
      <c r="M25" s="81"/>
      <c r="N25" s="82"/>
      <c r="O25" s="114"/>
      <c r="P25" s="81"/>
      <c r="Q25" s="82"/>
      <c r="R25" s="731" t="str">
        <f t="shared" si="26"/>
        <v/>
      </c>
      <c r="S25" s="732"/>
      <c r="T25" s="83" t="str">
        <f t="shared" si="27"/>
        <v/>
      </c>
      <c r="U25" s="83" t="str">
        <f>IF(AO4&lt;5,"",IF($O$4="M",_xlfn.XLOOKUP('DATA TDJ'!C44,$O$6:$O$11,$B$6:$B$11,_xlfn.XLOOKUP('DATA TDJ'!C44,$M$6:$M$11,$B$6:$B$11," ",0,1),0,1),_xlfn.XLOOKUP('DATA TDJ'!C44,$M$6:$M$11,$B$6:$B$11," ",0,1)))</f>
        <v/>
      </c>
      <c r="V25" s="58" t="str">
        <f t="shared" si="28"/>
        <v/>
      </c>
      <c r="W25" s="115" t="str">
        <f>IFERROR(IF(AND(X25&gt;0,Y25=FALSE),P25/O25,IF(AND(X25&gt;0,Y25=TRUE),(P25/O25)*_xlfn.XLOOKUP('GESTION DES JOUEURS'!$X$8&amp;RIGHT('GESTION DES JOUEURS'!$Y$8,1),Tableau14[Colonne1],Tableau14[coef. 2,80/3,10],"",0,1),"")),"")</f>
        <v/>
      </c>
      <c r="X25" s="59" t="str">
        <f>IF(A25="","",IF(P25="ab.",0,IF(N25="ab.",2,IF(AND('GESTION DES JOUEURS'!$D$8&lt;&gt;"Open",O25&gt;0,P25&gt;N25),2,IF(AND('GESTION DES JOUEURS'!$D$8&lt;&gt;"Open",O25&gt;0,P25&lt;N25),0,IF(AND('GESTION DES JOUEURS'!$D$8&lt;&gt;"Open",O25&gt;0,P25=N25),1,IF(AND('GESTION DES JOUEURS'!$D$8="Open",(P25/_xlfn.XLOOKUP(U25,$B$6:$B$11,$AE$6:$AE$11,"",0,1))&gt;(N25/_xlfn.XLOOKUP(F25,$B$6:$B$11,$AE$6:$AE$11,"",0,1))),2,IF(AND('GESTION DES JOUEURS'!$D$8="Open",(P25/_xlfn.XLOOKUP(U25,$B$6:$B$11,$AE$6:$AE$11,"",0,1))=(N25/_xlfn.XLOOKUP(F25,$B$6:$B$11,$AE$6:$AE$11,"",0,1))),1,IF(AND('GESTION DES JOUEURS'!$D$8="Open",(P25/_xlfn.XLOOKUP(U25,$B$6:$B$11,$AE$6:$AE$11,"",0,1))&lt;(N25/_xlfn.XLOOKUP(F25,$B$6:$B$11,$AE$6:$AE$11,"",0,1))),0,"")))))))))</f>
        <v/>
      </c>
      <c r="Y25" s="678" t="b">
        <v>0</v>
      </c>
      <c r="AA25" s="912" t="s">
        <v>8120</v>
      </c>
      <c r="AN25" s="244"/>
      <c r="AO25" s="248"/>
      <c r="AP25" s="325" t="str">
        <f t="shared" si="30"/>
        <v/>
      </c>
      <c r="AQ25" s="325" t="str">
        <f t="shared" si="29"/>
        <v/>
      </c>
      <c r="AR25" s="326">
        <f t="shared" si="31"/>
        <v>2</v>
      </c>
      <c r="AS25" s="317">
        <f t="shared" si="32"/>
        <v>0</v>
      </c>
      <c r="AT25" s="318">
        <f t="shared" si="32"/>
        <v>0</v>
      </c>
      <c r="AU25" s="317" t="str" cm="1">
        <f t="array" ref="AU25">IFERROR(IF(OR($B$15="Cadre N1/N2",$B$15="Bande R1/R2",$B$15="3 Bandes R1/R2"),IF(_xlfn.XLOOKUP(F25,Tableau19[Licence],'GESTION DES JOUEURS'!$Q$11:$Q$46,"",0,1)&gt;_xlfn.XLOOKUP(U25,Tableau19[Licence],'GESTION DES JOUEURS'!$Q$11:$Q$46,"",0,1),D25+1,""),""),"")</f>
        <v/>
      </c>
      <c r="AV25" s="319" t="str" cm="1">
        <f t="array" ref="AV25">IFERROR(IF(OR($B$15="Cadre N1/N2",$B$15="Bande R1/R2",$B$15="3 Bandes R1/R2"),IF(_xlfn.XLOOKUP(F25,Tableau19[Licence],'GESTION DES JOUEURS'!$Q$11:$Q$46,"",0,1)&lt;_xlfn.XLOOKUP(U25,Tableau19[Licence],'GESTION DES JOUEURS'!$Q$11:$Q$46,"",0,1),X25+1,""),""),"")</f>
        <v/>
      </c>
      <c r="AW25" s="320" t="str">
        <f>IFERROR(IF(AND(LEFT($B$15)="3",N25/O25&gt;_xlfn.XLOOKUP($B$15,Distances!$D$2:$D$77,Distances!$N$2:$N$77,"",0,1)),_xlfn.XLOOKUP($B$15,Distances!$D$2:$D$77,Distances!$T$2:$T$77,"",0,1),IF(AND(LEFT($B$15)="3",N25/O25&gt;_xlfn.XLOOKUP($B$15,Distances!$D$2:$D$77,Distances!$M$2:$M$77,"",0,1)),_xlfn.XLOOKUP($B$15,Distances!$D$2:$D$77,Distances!$S$2:$S$77,"",0,1),IF(AND(LEFT($B$15)="3",N25/O25&gt;=_xlfn.XLOOKUP($B$15,Distances!$D$2:$D$77,Distances!$L$2:$L$77,"",0,1)),_xlfn.XLOOKUP($B$15,Distances!$D$2:$D$77,Distances!$R$2:$R$77,"",0,1),IF(AND($B$15="Cadre N1/N2",N25/O25&gt;_xlfn.XLOOKUP("Cadre "&amp;_xlfn.XLOOKUP(F25,$B$6:$B$11,$K$6:$K$11,"",0,1),Distances!$D$2:$D$77,Distances!$N$2:$N$77,"",0,1)),_xlfn.XLOOKUP("Cadre "&amp;_xlfn.XLOOKUP(F25,$B$6:$B$11,$K$6:$K$11,"",0,1),Distances!$D$2:$D$77,Distances!$T$2:$T$77,"",0,1),IF(AND($B$15="Cadre N1/N2",N25/O25&gt;=_xlfn.XLOOKUP("Cadre "&amp;_xlfn.XLOOKUP(F25,$B$6:$B$11,$K$6:$K$11,"",0,1),Distances!$D$2:$D$77,Distances!$L$2:$L$77,"",0,1)),_xlfn.XLOOKUP("Cadre "&amp;_xlfn.XLOOKUP(F25,$B$6:$B$11,$K$6:$K$11,"",0,1),Distances!$D$2:$D$77,Distances!$R$2:$R$77,"",0,1),IF(N25/O25&gt;_xlfn.XLOOKUP($B$15,Distances!$D$2:$D$77,Distances!$N$2:$N$77,"",0,1),_xlfn.XLOOKUP($B$15,Distances!$D$2:$D$77,Distances!$T$2:$T$77,"",0,1),IF(N25/O25&gt;=_xlfn.XLOOKUP($B$15,Distances!$D$2:$D$77,Distances!$L$2:$L$77,"",0,1),_xlfn.XLOOKUP($B$15,Distances!$D$2:$D$77,Distances!$R$2:$R$77,"",0,1),0))))))),"")</f>
        <v/>
      </c>
      <c r="AX25" s="319" t="str">
        <f>IFERROR(IF(AND(LEFT($B$15)="3",P25/O25&gt;_xlfn.XLOOKUP($B$15,Distances!$D$2:$D$77,Distances!$N$2:$N$77,"",0,1)),_xlfn.XLOOKUP($B$15,Distances!$D$2:$D$77,Distances!$T$2:$T$77,"",0,1),IF(AND(LEFT($B$15)="3",P25/O25&gt;_xlfn.XLOOKUP($B$15,Distances!$D$2:$D$77,Distances!$M$2:$M$77,"",0,1)),_xlfn.XLOOKUP($B$15,Distances!$D$2:$D$77,Distances!$S$2:$S$77,"",0,1),IF(AND(LEFT($B$15)="3",P25/O25&gt;=_xlfn.XLOOKUP($B$15,Distances!$D$2:$D$77,Distances!$L$2:$L$77,"",0,1)),_xlfn.XLOOKUP($B$15,Distances!$D$2:$D$77,Distances!$R$2:$R$77,"",0,1),IF(AND($B$15="Cadre N1/N2",P25/O25&gt;_xlfn.XLOOKUP("Cadre "&amp;_xlfn.XLOOKUP(U25,$B$6:$B$11,$K$6:$K$11,"",0,1),Distances!$D$2:$D$77,Distances!$N$2:$N$77,"",0,1)),_xlfn.XLOOKUP("Cadre "&amp;_xlfn.XLOOKUP(U25,$B$6:$B$11,$K$6:$K$11,"",0,1),Distances!$D$2:$D$77,Distances!$T$2:$T$77,"",0,1),IF(AND($B$15="Cadre N1/N2",P25/O25&gt;=_xlfn.XLOOKUP("Cadre "&amp;_xlfn.XLOOKUP(U25,$B$6:$B$11,$K$6:$K$11,"",0,1),Distances!$D$2:$D$77,Distances!$L$2:$L$77,"",0,1)),_xlfn.XLOOKUP("Cadre "&amp;_xlfn.XLOOKUP(U25,$B$6:$B$11,$K$6:$K$11,"",0,1),Distances!$D$2:$D$77,Distances!$R$2:$R$77,"",0,1),IF(P25/O25&gt;_xlfn.XLOOKUP($B$15,Distances!$D$2:$D$77,Distances!$N$2:$N$77,"",0,1),_xlfn.XLOOKUP($B$15,Distances!$D$2:$D$77,Distances!$T$2:$T$77,"",0,1),IF(P25/O25&gt;=_xlfn.XLOOKUP($B$15,Distances!$D$2:$D$77,Distances!$L$2:$L$77,"",0,1),_xlfn.XLOOKUP($B$15,Distances!$D$2:$D$77,Distances!$R$2:$R$77,"",0,1),0))))))),"")</f>
        <v/>
      </c>
      <c r="AZ25" s="326">
        <v>9</v>
      </c>
      <c r="BB25" s="724"/>
      <c r="BC25" s="157"/>
      <c r="BD25" s="157"/>
      <c r="BE25" s="157"/>
      <c r="BF25" s="157"/>
      <c r="BG25" s="157">
        <f>IF(BG26=FALSE,BF25+1,BF25)</f>
        <v>1</v>
      </c>
      <c r="BH25" s="157">
        <f>IF(BH26=FALSE,BG25+1,BG25)</f>
        <v>2</v>
      </c>
      <c r="BI25" s="157">
        <f>IF(BI26=FALSE,BH25+1,BH25)</f>
        <v>3</v>
      </c>
      <c r="BJ25" s="157"/>
      <c r="BK25" s="157"/>
      <c r="BL25" s="157"/>
      <c r="BM25" s="163"/>
      <c r="BV25" s="296" t="s">
        <v>5485</v>
      </c>
      <c r="BW25" s="297" t="str" cm="1">
        <f t="array" ref="BW25">_xlfn.SINGLE(_xlfn.XLOOKUP(A9&amp;A6,G18:G32&amp;V18:V32,N18:N32,_xlfn.XLOOKUP(A6&amp;A9,G18:G32&amp;V18:V32,P18:P32,"",0,1),0,1))</f>
        <v/>
      </c>
      <c r="BX25" s="297" t="str" cm="1">
        <f t="array" ref="BX25">_xlfn.XLOOKUP(A9&amp;A6,G18:G32&amp;V18:V32,P18:P32,_xlfn.XLOOKUP(A6&amp;A9,G18:G32&amp;V18:V32,N18:N32,"",0,1),0,1)</f>
        <v/>
      </c>
      <c r="BY25" s="297" t="str" cm="1">
        <f t="array" ref="BY25">_xlfn.XLOOKUP(A9&amp;A6,$G$18:$G$32&amp;$V$18:$V$32,$M$18:$M$32,"",0,1)</f>
        <v/>
      </c>
      <c r="BZ25" s="297" t="str" cm="1">
        <f t="array" ref="BZ25">_xlfn.XLOOKUP(A9&amp;A6,$G$18:$G$32&amp;$V$18:$V$32,$Q$18:$Q$32,"",0,1)</f>
        <v/>
      </c>
      <c r="CA25" s="297" t="str" cm="1">
        <f t="array" ref="CA25">_xlfn.XLOOKUP(A9&amp;A6,G18:G32&amp;V18:V32,O18:O32,_xlfn.XLOOKUP(A6&amp;A9,G18:G32&amp;V18:V32,O18:O32,"",0,1),0,1)</f>
        <v/>
      </c>
      <c r="CB25" s="298" t="str" cm="1">
        <f t="array" ref="CB25">_xlfn.XLOOKUP(A9&amp;A6,G18:G32&amp;V18:V32,A18:A32,"",0,1)</f>
        <v/>
      </c>
      <c r="CC25" s="299" t="str">
        <f>IF(COUNTBLANK($AO$6:$AO$11)=2,SUM(BW25,BX8),IF(BW25="",BX8,BW25))</f>
        <v/>
      </c>
      <c r="CD25" s="297" t="str">
        <f>IF(CC25="Ab.","",IF(BY25="",BZ8,BY25))</f>
        <v/>
      </c>
      <c r="CE25" s="297" t="str">
        <f t="shared" si="20"/>
        <v/>
      </c>
      <c r="CF25" s="300" t="str">
        <f>IF(CB25="",CB8,CB25)</f>
        <v/>
      </c>
      <c r="CG25" s="301" t="str" cm="1">
        <f t="array" ref="CG25">_xlfn.XLOOKUP(BV25,$G$18:$G$32&amp;"-"&amp;$V$18:$V$32,$D$18:$D$32,_xlfn.XLOOKUP(BV8,$G$18:$G$32&amp;"-"&amp;$V$18:$V$32,$X$18:$X$32,"",0,1),0,1)</f>
        <v/>
      </c>
      <c r="CH25" s="302" t="str" cm="1">
        <f t="array" ref="CH25">_xlfn.XLOOKUP(BV25,$G$18:$G$32&amp;"-"&amp;$V$18:$V$32,$AS$18:$AS$32,_xlfn.XLOOKUP(BV8,$G$18:$G$32&amp;"-"&amp;$V$18:$V$32,$AT$18:$AT$32,"",0,1),0,1)</f>
        <v/>
      </c>
      <c r="CI25" s="819"/>
      <c r="CJ25" s="822"/>
      <c r="CK25" s="557">
        <f t="shared" si="21"/>
        <v>1</v>
      </c>
      <c r="CL25" s="557" t="b">
        <f t="shared" si="19"/>
        <v>0</v>
      </c>
    </row>
    <row r="26" spans="1:90" ht="14.45" customHeight="1" x14ac:dyDescent="0.25">
      <c r="A26" s="245" t="str">
        <f>IF($AO$4&lt;=5,"",IF(OR(O26&gt;0,N26="ab.",P26="ab."),"P",""))</f>
        <v/>
      </c>
      <c r="B26" s="56" t="str">
        <f>IF(AO4&lt;6,"",3)</f>
        <v/>
      </c>
      <c r="C26" s="95" t="str">
        <f t="shared" si="24"/>
        <v/>
      </c>
      <c r="D26" s="79" t="str">
        <f>IF(A26="","",IF(N26="ab.",0,IF(P26="ab.",2,IF(AND('GESTION DES JOUEURS'!$D$8&lt;&gt;"Open",O26&gt;0,N26&gt;P26),2,IF(AND('GESTION DES JOUEURS'!$D$8&lt;&gt;"Open",O26&gt;0,N26&lt;P26),0,IF(AND('GESTION DES JOUEURS'!$D$8&lt;&gt;"Open",O26&gt;0,N26=P26),1,IF(AND('GESTION DES JOUEURS'!$D$8="Open",(N26/_xlfn.XLOOKUP(F26,$B$6:$B$11,$AE$6:$AE$11,"",0,1))&gt;(P26/_xlfn.XLOOKUP(U26,$B$6:$B$11,$AE$6:$AE$11,"",0,1))),2,IF(AND('GESTION DES JOUEURS'!$D$8="Open",(N26/_xlfn.XLOOKUP(F26,$B$6:$B$11,$AE$6:$AE$11,"",0,1))=(P26/_xlfn.XLOOKUP(U26,$B$6:$B$11,$AE$6:$AE$11,"",0,1))),1,IF(AND('GESTION DES JOUEURS'!$D$8="Open",(N26/_xlfn.XLOOKUP(F26,$B$6:$B$11,$AE$6:$AE$11,"",0,1))&lt;(P26/_xlfn.XLOOKUP(U26,$B$6:$B$11,$AE$6:$AE$11,"",0,1))),0,"")))))))))</f>
        <v/>
      </c>
      <c r="E26" s="113" t="str">
        <f>IFERROR(IF(AND(D26&gt;0,Y26=FALSE),N26/O26,IF(AND(D26&gt;0,Y26=TRUE),(N26/O26)*_xlfn.XLOOKUP('GESTION DES JOUEURS'!$X$8&amp;RIGHT('GESTION DES JOUEURS'!$Y$8,1),Tableau14[Colonne1],Tableau14[coef. 2,80/3,10],"",0,1),"")),"")</f>
        <v/>
      </c>
      <c r="F26" s="80" t="str">
        <f>IF(AO4&lt;5,"",IF($O$4="M",_xlfn.XLOOKUP('DATA TDJ'!B45,$O$6:$O$11,$B$6:$B$11,_xlfn.XLOOKUP('DATA TDJ'!B45,$M$6:$M$11,$B$6:$B$11," ",0,1),0,1),_xlfn.XLOOKUP('DATA TDJ'!B45,$M$6:$M$11,$B$6:$B$11," ",0,1)))</f>
        <v/>
      </c>
      <c r="G26" s="57" t="str">
        <f t="shared" si="25"/>
        <v/>
      </c>
      <c r="H26" s="729" t="str">
        <f t="shared" si="34"/>
        <v/>
      </c>
      <c r="I26" s="726"/>
      <c r="J26" s="730"/>
      <c r="K26" s="726" t="str">
        <f t="shared" si="33"/>
        <v/>
      </c>
      <c r="L26" s="727"/>
      <c r="M26" s="81"/>
      <c r="N26" s="82"/>
      <c r="O26" s="114"/>
      <c r="P26" s="81"/>
      <c r="Q26" s="82"/>
      <c r="R26" s="731" t="str">
        <f t="shared" si="26"/>
        <v/>
      </c>
      <c r="S26" s="732"/>
      <c r="T26" s="83" t="str">
        <f t="shared" si="27"/>
        <v/>
      </c>
      <c r="U26" s="83" t="str">
        <f>IF(AO4&lt;5,"",IF($O$4="M",_xlfn.XLOOKUP('DATA TDJ'!C45,$O$6:$O$11,$B$6:$B$11,_xlfn.XLOOKUP('DATA TDJ'!C45,$M$6:$M$11,$B$6:$B$11," ",0,1),0,1),_xlfn.XLOOKUP('DATA TDJ'!C45,$M$6:$M$11,$B$6:$B$11," ",0,1)))</f>
        <v/>
      </c>
      <c r="V26" s="58" t="str">
        <f t="shared" si="28"/>
        <v/>
      </c>
      <c r="W26" s="115" t="str">
        <f>IFERROR(IF(AND(X26&gt;0,Y26=FALSE),P26/O26,IF(AND(X26&gt;0,Y26=TRUE),(P26/O26)*_xlfn.XLOOKUP('GESTION DES JOUEURS'!$X$8&amp;RIGHT('GESTION DES JOUEURS'!$Y$8,1),Tableau14[Colonne1],Tableau14[coef. 2,80/3,10],"",0,1),"")),"")</f>
        <v/>
      </c>
      <c r="X26" s="59" t="str">
        <f>IF(A26="","",IF(P26="ab.",0,IF(N26="ab.",2,IF(AND('GESTION DES JOUEURS'!$D$8&lt;&gt;"Open",O26&gt;0,P26&gt;N26),2,IF(AND('GESTION DES JOUEURS'!$D$8&lt;&gt;"Open",O26&gt;0,P26&lt;N26),0,IF(AND('GESTION DES JOUEURS'!$D$8&lt;&gt;"Open",O26&gt;0,P26=N26),1,IF(AND('GESTION DES JOUEURS'!$D$8="Open",(P26/_xlfn.XLOOKUP(U26,$B$6:$B$11,$AE$6:$AE$11,"",0,1))&gt;(N26/_xlfn.XLOOKUP(F26,$B$6:$B$11,$AE$6:$AE$11,"",0,1))),2,IF(AND('GESTION DES JOUEURS'!$D$8="Open",(P26/_xlfn.XLOOKUP(U26,$B$6:$B$11,$AE$6:$AE$11,"",0,1))=(N26/_xlfn.XLOOKUP(F26,$B$6:$B$11,$AE$6:$AE$11,"",0,1))),1,IF(AND('GESTION DES JOUEURS'!$D$8="Open",(P26/_xlfn.XLOOKUP(U26,$B$6:$B$11,$AE$6:$AE$11,"",0,1))&lt;(N26/_xlfn.XLOOKUP(F26,$B$6:$B$11,$AE$6:$AE$11,"",0,1))),0,"")))))))))</f>
        <v/>
      </c>
      <c r="Y26" s="678" t="b">
        <v>0</v>
      </c>
      <c r="AA26" s="912"/>
      <c r="AN26" s="244"/>
      <c r="AO26" s="248"/>
      <c r="AP26" s="325" t="str">
        <f t="shared" si="30"/>
        <v/>
      </c>
      <c r="AQ26" s="325" t="str">
        <f t="shared" si="29"/>
        <v/>
      </c>
      <c r="AR26" s="326">
        <f t="shared" si="31"/>
        <v>2</v>
      </c>
      <c r="AS26" s="317">
        <f t="shared" si="32"/>
        <v>0</v>
      </c>
      <c r="AT26" s="318">
        <f t="shared" si="32"/>
        <v>0</v>
      </c>
      <c r="AU26" s="317" t="str" cm="1">
        <f t="array" ref="AU26">IFERROR(IF(OR($B$15="Cadre N1/N2",$B$15="Bande R1/R2",$B$15="3 Bandes R1/R2"),IF(_xlfn.XLOOKUP(F26,Tableau19[Licence],'GESTION DES JOUEURS'!$Q$11:$Q$46,"",0,1)&gt;_xlfn.XLOOKUP(U26,Tableau19[Licence],'GESTION DES JOUEURS'!$Q$11:$Q$46,"",0,1),D26+1,""),""),"")</f>
        <v/>
      </c>
      <c r="AV26" s="319" t="str" cm="1">
        <f t="array" ref="AV26">IFERROR(IF(OR($B$15="Cadre N1/N2",$B$15="Bande R1/R2",$B$15="3 Bandes R1/R2"),IF(_xlfn.XLOOKUP(F26,Tableau19[Licence],'GESTION DES JOUEURS'!$Q$11:$Q$46,"",0,1)&lt;_xlfn.XLOOKUP(U26,Tableau19[Licence],'GESTION DES JOUEURS'!$Q$11:$Q$46,"",0,1),X26+1,""),""),"")</f>
        <v/>
      </c>
      <c r="AW26" s="320" t="str">
        <f>IFERROR(IF(AND(LEFT($B$15)="3",N26/O26&gt;_xlfn.XLOOKUP($B$15,Distances!$D$2:$D$77,Distances!$N$2:$N$77,"",0,1)),_xlfn.XLOOKUP($B$15,Distances!$D$2:$D$77,Distances!$T$2:$T$77,"",0,1),IF(AND(LEFT($B$15)="3",N26/O26&gt;_xlfn.XLOOKUP($B$15,Distances!$D$2:$D$77,Distances!$M$2:$M$77,"",0,1)),_xlfn.XLOOKUP($B$15,Distances!$D$2:$D$77,Distances!$S$2:$S$77,"",0,1),IF(AND(LEFT($B$15)="3",N26/O26&gt;=_xlfn.XLOOKUP($B$15,Distances!$D$2:$D$77,Distances!$L$2:$L$77,"",0,1)),_xlfn.XLOOKUP($B$15,Distances!$D$2:$D$77,Distances!$R$2:$R$77,"",0,1),IF(AND($B$15="Cadre N1/N2",N26/O26&gt;_xlfn.XLOOKUP("Cadre "&amp;_xlfn.XLOOKUP(F26,$B$6:$B$11,$K$6:$K$11,"",0,1),Distances!$D$2:$D$77,Distances!$N$2:$N$77,"",0,1)),_xlfn.XLOOKUP("Cadre "&amp;_xlfn.XLOOKUP(F26,$B$6:$B$11,$K$6:$K$11,"",0,1),Distances!$D$2:$D$77,Distances!$T$2:$T$77,"",0,1),IF(AND($B$15="Cadre N1/N2",N26/O26&gt;=_xlfn.XLOOKUP("Cadre "&amp;_xlfn.XLOOKUP(F26,$B$6:$B$11,$K$6:$K$11,"",0,1),Distances!$D$2:$D$77,Distances!$L$2:$L$77,"",0,1)),_xlfn.XLOOKUP("Cadre "&amp;_xlfn.XLOOKUP(F26,$B$6:$B$11,$K$6:$K$11,"",0,1),Distances!$D$2:$D$77,Distances!$R$2:$R$77,"",0,1),IF(N26/O26&gt;_xlfn.XLOOKUP($B$15,Distances!$D$2:$D$77,Distances!$N$2:$N$77,"",0,1),_xlfn.XLOOKUP($B$15,Distances!$D$2:$D$77,Distances!$T$2:$T$77,"",0,1),IF(N26/O26&gt;=_xlfn.XLOOKUP($B$15,Distances!$D$2:$D$77,Distances!$L$2:$L$77,"",0,1),_xlfn.XLOOKUP($B$15,Distances!$D$2:$D$77,Distances!$R$2:$R$77,"",0,1),0))))))),"")</f>
        <v/>
      </c>
      <c r="AX26" s="319" t="str">
        <f>IFERROR(IF(AND(LEFT($B$15)="3",P26/O26&gt;_xlfn.XLOOKUP($B$15,Distances!$D$2:$D$77,Distances!$N$2:$N$77,"",0,1)),_xlfn.XLOOKUP($B$15,Distances!$D$2:$D$77,Distances!$T$2:$T$77,"",0,1),IF(AND(LEFT($B$15)="3",P26/O26&gt;_xlfn.XLOOKUP($B$15,Distances!$D$2:$D$77,Distances!$M$2:$M$77,"",0,1)),_xlfn.XLOOKUP($B$15,Distances!$D$2:$D$77,Distances!$S$2:$S$77,"",0,1),IF(AND(LEFT($B$15)="3",P26/O26&gt;=_xlfn.XLOOKUP($B$15,Distances!$D$2:$D$77,Distances!$L$2:$L$77,"",0,1)),_xlfn.XLOOKUP($B$15,Distances!$D$2:$D$77,Distances!$R$2:$R$77,"",0,1),IF(AND($B$15="Cadre N1/N2",P26/O26&gt;_xlfn.XLOOKUP("Cadre "&amp;_xlfn.XLOOKUP(U26,$B$6:$B$11,$K$6:$K$11,"",0,1),Distances!$D$2:$D$77,Distances!$N$2:$N$77,"",0,1)),_xlfn.XLOOKUP("Cadre "&amp;_xlfn.XLOOKUP(U26,$B$6:$B$11,$K$6:$K$11,"",0,1),Distances!$D$2:$D$77,Distances!$T$2:$T$77,"",0,1),IF(AND($B$15="Cadre N1/N2",P26/O26&gt;=_xlfn.XLOOKUP("Cadre "&amp;_xlfn.XLOOKUP(U26,$B$6:$B$11,$K$6:$K$11,"",0,1),Distances!$D$2:$D$77,Distances!$L$2:$L$77,"",0,1)),_xlfn.XLOOKUP("Cadre "&amp;_xlfn.XLOOKUP(U26,$B$6:$B$11,$K$6:$K$11,"",0,1),Distances!$D$2:$D$77,Distances!$R$2:$R$77,"",0,1),IF(P26/O26&gt;_xlfn.XLOOKUP($B$15,Distances!$D$2:$D$77,Distances!$N$2:$N$77,"",0,1),_xlfn.XLOOKUP($B$15,Distances!$D$2:$D$77,Distances!$T$2:$T$77,"",0,1),IF(P26/O26&gt;=_xlfn.XLOOKUP($B$15,Distances!$D$2:$D$77,Distances!$L$2:$L$77,"",0,1),_xlfn.XLOOKUP($B$15,Distances!$D$2:$D$77,Distances!$R$2:$R$77,"",0,1),0))))))),"")</f>
        <v/>
      </c>
      <c r="BB26" s="724"/>
      <c r="BC26" s="233" t="b">
        <f>IF(ISEVEN(BE12),BD6)</f>
        <v>0</v>
      </c>
      <c r="BD26" s="155" t="b">
        <f>IF(ISEVEN(BF12),BE7,IF(ISEVEN(BG12),BF8))</f>
        <v>0</v>
      </c>
      <c r="BE26" s="155" t="b">
        <f>IF(ISEVEN(BI12),BH10,IF(ISEVEN(BH12),BG9,IF(ISEVEN(BG12),BF8)))</f>
        <v>0</v>
      </c>
      <c r="BF26" s="157"/>
      <c r="BG26" s="155" t="b">
        <f>BC26</f>
        <v>0</v>
      </c>
      <c r="BH26" s="155" t="b">
        <f>IF(AND(BD26=3,BE26=3,BC27&lt;&gt;2),FALSE,BD26)</f>
        <v>0</v>
      </c>
      <c r="BI26" s="155" t="b">
        <f>IF(AND(BD26=3,BE26=3,BC27=2),FALSE,BE26)</f>
        <v>0</v>
      </c>
      <c r="BJ26" s="157"/>
      <c r="BK26" s="157"/>
      <c r="BL26" s="157"/>
      <c r="BM26" s="163"/>
      <c r="BV26" s="286" t="s">
        <v>5486</v>
      </c>
      <c r="BW26" s="287" cm="1">
        <f t="array" ref="BW26">_xlfn.SINGLE(_xlfn.XLOOKUP(A10&amp;A11,G18:G32&amp;V18:V32,N18:N32,_xlfn.XLOOKUP(A11&amp;A10,G18:G32&amp;V18:V32,P18:P32,"",0,1),0,1))</f>
        <v>0</v>
      </c>
      <c r="BX26" s="287" cm="1">
        <f t="array" ref="BX26">_xlfn.XLOOKUP(A10&amp;A11,G18:G32&amp;V18:V32,P18:P32,_xlfn.XLOOKUP(A11&amp;A10,G18:G32&amp;V18:V32,N18:N32,"",0,1),0,1)</f>
        <v>0</v>
      </c>
      <c r="BY26" s="287" cm="1">
        <f t="array" ref="BY26">_xlfn.XLOOKUP(A10&amp;A11,$G$18:$G$32&amp;$V$18:$V$32,$M$18:$M$32,"",0,1)</f>
        <v>0</v>
      </c>
      <c r="BZ26" s="287" cm="1">
        <f t="array" ref="BZ26">_xlfn.XLOOKUP(A10&amp;A11,$G$18:$G$32&amp;$V$18:$V$32,$Q$18:$Q$32,"",0,1)</f>
        <v>0</v>
      </c>
      <c r="CA26" s="287" cm="1">
        <f t="array" ref="CA26">_xlfn.XLOOKUP(A10&amp;A11,G18:G32&amp;V18:V32,O18:O32,_xlfn.XLOOKUP(A11&amp;A10,G18:G32&amp;V18:V32,O18:O32,"",0,1),0,1)</f>
        <v>0</v>
      </c>
      <c r="CB26" s="288" t="str" cm="1">
        <f t="array" ref="CB26">_xlfn.XLOOKUP(A10&amp;A11,G18:G32&amp;V18:V32,A18:A32,"",0,1)</f>
        <v/>
      </c>
      <c r="CC26" s="289">
        <f>IF(COUNTBLANK($AO$6:$AO$11)=2,SUM(BW26,BX31),IF(BW26="",BX31,BW26))</f>
        <v>0</v>
      </c>
      <c r="CD26" s="287">
        <f>IF(CC26="Ab.","",IF(BY26="",BZ31,BY26))</f>
        <v>0</v>
      </c>
      <c r="CE26" s="287">
        <f t="shared" si="20"/>
        <v>0</v>
      </c>
      <c r="CF26" s="290" t="str">
        <f>IF(CB26="",CB31,CB26)</f>
        <v/>
      </c>
      <c r="CG26" s="291" t="str" cm="1">
        <f t="array" ref="CG26">_xlfn.XLOOKUP(BV26,$G$18:$G$32&amp;"-"&amp;$V$18:$V$32,$D$18:$D$32,_xlfn.XLOOKUP(BV31,$G$18:$G$32&amp;"-"&amp;$V$18:$V$32,$X$18:$X$32,"",0,1),0,1)</f>
        <v/>
      </c>
      <c r="CH26" s="174" t="str" cm="1">
        <f t="array" ref="CH26">_xlfn.XLOOKUP(BV26,$G$18:$G$32&amp;"-"&amp;$V$18:$V$32,$AS$18:$AS$32,_xlfn.XLOOKUP(BV31,$G$18:$G$32&amp;"-"&amp;$V$18:$V$32,$AT$18:$AT$32,"",0,1),0,1)</f>
        <v/>
      </c>
      <c r="CI26" s="817" t="str">
        <f>IFERROR(IF('GESTION DES JOUEURS'!$D$8="Open",SUMIF(CF26:CF30,"P",BW26:BW30)/(COUNTIF(CF26:CF30,"P")*AE10),""),0)</f>
        <v/>
      </c>
      <c r="CJ26" s="820" t="str">
        <f>IFERROR(IF('GESTION DES JOUEURS'!$D$8="Open",SUMIF(CF26:CF30,"P",BX26:BX30)/SUMIF(CF26:CF30,"P",CL26:CL30),""),0)</f>
        <v/>
      </c>
      <c r="CK26" s="557">
        <f t="shared" si="21"/>
        <v>6</v>
      </c>
      <c r="CL26" s="557" t="str">
        <f t="shared" si="19"/>
        <v/>
      </c>
    </row>
    <row r="27" spans="1:90" ht="14.45" customHeight="1" x14ac:dyDescent="0.25">
      <c r="A27" s="245" t="str">
        <f>IF($AO$4&lt;=5,"",IF(OR(O27&gt;0,N27="ab.",P27="ab."),"P",""))</f>
        <v/>
      </c>
      <c r="B27" s="56" t="str">
        <f>IF(AO4&lt;6,"",1)</f>
        <v/>
      </c>
      <c r="C27" s="95" t="str">
        <f t="shared" si="24"/>
        <v/>
      </c>
      <c r="D27" s="79" t="str">
        <f>IF(A27="","",IF(N27="ab.",0,IF(P27="ab.",2,IF(AND('GESTION DES JOUEURS'!$D$8&lt;&gt;"Open",O27&gt;0,N27&gt;P27),2,IF(AND('GESTION DES JOUEURS'!$D$8&lt;&gt;"Open",O27&gt;0,N27&lt;P27),0,IF(AND('GESTION DES JOUEURS'!$D$8&lt;&gt;"Open",O27&gt;0,N27=P27),1,IF(AND('GESTION DES JOUEURS'!$D$8="Open",(N27/_xlfn.XLOOKUP(F27,$B$6:$B$11,$AE$6:$AE$11,"",0,1))&gt;(P27/_xlfn.XLOOKUP(U27,$B$6:$B$11,$AE$6:$AE$11,"",0,1))),2,IF(AND('GESTION DES JOUEURS'!$D$8="Open",(N27/_xlfn.XLOOKUP(F27,$B$6:$B$11,$AE$6:$AE$11,"",0,1))=(P27/_xlfn.XLOOKUP(U27,$B$6:$B$11,$AE$6:$AE$11,"",0,1))),1,IF(AND('GESTION DES JOUEURS'!$D$8="Open",(N27/_xlfn.XLOOKUP(F27,$B$6:$B$11,$AE$6:$AE$11,"",0,1))&lt;(P27/_xlfn.XLOOKUP(U27,$B$6:$B$11,$AE$6:$AE$11,"",0,1))),0,"")))))))))</f>
        <v/>
      </c>
      <c r="E27" s="113" t="str">
        <f>IFERROR(IF(AND(D27&gt;0,Y27=FALSE),N27/O27,IF(AND(D27&gt;0,Y27=TRUE),(N27/O27)*_xlfn.XLOOKUP('GESTION DES JOUEURS'!$X$8&amp;RIGHT('GESTION DES JOUEURS'!$Y$8,1),Tableau14[Colonne1],Tableau14[coef. 2,80/3,10],"",0,1),"")),"")</f>
        <v/>
      </c>
      <c r="F27" s="80" t="str">
        <f>IF(AO4&lt;5,"",IF($O$4="M",_xlfn.XLOOKUP('DATA TDJ'!B46,$O$6:$O$11,$B$6:$B$11,_xlfn.XLOOKUP('DATA TDJ'!B46,$M$6:$M$11,$B$6:$B$11," ",0,1),0,1),_xlfn.XLOOKUP('DATA TDJ'!B46,$M$6:$M$11,$B$6:$B$11," ",0,1)))</f>
        <v/>
      </c>
      <c r="G27" s="57" t="str">
        <f t="shared" si="25"/>
        <v/>
      </c>
      <c r="H27" s="729" t="str">
        <f t="shared" si="34"/>
        <v/>
      </c>
      <c r="I27" s="726"/>
      <c r="J27" s="730"/>
      <c r="K27" s="726" t="str">
        <f t="shared" si="33"/>
        <v/>
      </c>
      <c r="L27" s="727"/>
      <c r="M27" s="81"/>
      <c r="N27" s="82"/>
      <c r="O27" s="114"/>
      <c r="P27" s="81"/>
      <c r="Q27" s="82"/>
      <c r="R27" s="731" t="str">
        <f t="shared" si="26"/>
        <v/>
      </c>
      <c r="S27" s="732"/>
      <c r="T27" s="83" t="str">
        <f t="shared" si="27"/>
        <v/>
      </c>
      <c r="U27" s="83" t="str">
        <f>IF(AO4&lt;5,"",IF($O$4="M",_xlfn.XLOOKUP('DATA TDJ'!C46,$O$6:$O$11,$B$6:$B$11,_xlfn.XLOOKUP('DATA TDJ'!C46,$M$6:$M$11,$B$6:$B$11," ",0,1),0,1),_xlfn.XLOOKUP('DATA TDJ'!C46,$M$6:$M$11,$B$6:$B$11," ",0,1)))</f>
        <v/>
      </c>
      <c r="V27" s="58" t="str">
        <f t="shared" si="28"/>
        <v/>
      </c>
      <c r="W27" s="115" t="str">
        <f>IFERROR(IF(AND(X27&gt;0,Y27=FALSE),P27/O27,IF(AND(X27&gt;0,Y27=TRUE),(P27/O27)*_xlfn.XLOOKUP('GESTION DES JOUEURS'!$X$8&amp;RIGHT('GESTION DES JOUEURS'!$Y$8,1),Tableau14[Colonne1],Tableau14[coef. 2,80/3,10],"",0,1),"")),"")</f>
        <v/>
      </c>
      <c r="X27" s="59" t="str">
        <f>IF(A27="","",IF(P27="ab.",0,IF(N27="ab.",2,IF(AND('GESTION DES JOUEURS'!$D$8&lt;&gt;"Open",O27&gt;0,P27&gt;N27),2,IF(AND('GESTION DES JOUEURS'!$D$8&lt;&gt;"Open",O27&gt;0,P27&lt;N27),0,IF(AND('GESTION DES JOUEURS'!$D$8&lt;&gt;"Open",O27&gt;0,P27=N27),1,IF(AND('GESTION DES JOUEURS'!$D$8="Open",(P27/_xlfn.XLOOKUP(U27,$B$6:$B$11,$AE$6:$AE$11,"",0,1))&gt;(N27/_xlfn.XLOOKUP(F27,$B$6:$B$11,$AE$6:$AE$11,"",0,1))),2,IF(AND('GESTION DES JOUEURS'!$D$8="Open",(P27/_xlfn.XLOOKUP(U27,$B$6:$B$11,$AE$6:$AE$11,"",0,1))=(N27/_xlfn.XLOOKUP(F27,$B$6:$B$11,$AE$6:$AE$11,"",0,1))),1,IF(AND('GESTION DES JOUEURS'!$D$8="Open",(P27/_xlfn.XLOOKUP(U27,$B$6:$B$11,$AE$6:$AE$11,"",0,1))&lt;(N27/_xlfn.XLOOKUP(F27,$B$6:$B$11,$AE$6:$AE$11,"",0,1))),0,"")))))))))</f>
        <v/>
      </c>
      <c r="Y27" s="678" t="b">
        <v>0</v>
      </c>
      <c r="AA27" s="914" t="s">
        <v>8121</v>
      </c>
      <c r="AN27" s="244"/>
      <c r="AO27" s="248"/>
      <c r="AP27" s="325" t="str">
        <f t="shared" si="30"/>
        <v/>
      </c>
      <c r="AQ27" s="325" t="str">
        <f t="shared" si="29"/>
        <v/>
      </c>
      <c r="AR27" s="326">
        <f t="shared" si="31"/>
        <v>2</v>
      </c>
      <c r="AS27" s="317">
        <f t="shared" si="32"/>
        <v>0</v>
      </c>
      <c r="AT27" s="318">
        <f t="shared" si="32"/>
        <v>0</v>
      </c>
      <c r="AU27" s="317" t="str" cm="1">
        <f t="array" ref="AU27">IFERROR(IF(OR($B$15="Cadre N1/N2",$B$15="Bande R1/R2",$B$15="3 Bandes R1/R2"),IF(_xlfn.XLOOKUP(F27,Tableau19[Licence],'GESTION DES JOUEURS'!$Q$11:$Q$46,"",0,1)&gt;_xlfn.XLOOKUP(U27,Tableau19[Licence],'GESTION DES JOUEURS'!$Q$11:$Q$46,"",0,1),D27+1,""),""),"")</f>
        <v/>
      </c>
      <c r="AV27" s="319" t="str" cm="1">
        <f t="array" ref="AV27">IFERROR(IF(OR($B$15="Cadre N1/N2",$B$15="Bande R1/R2",$B$15="3 Bandes R1/R2"),IF(_xlfn.XLOOKUP(F27,Tableau19[Licence],'GESTION DES JOUEURS'!$Q$11:$Q$46,"",0,1)&lt;_xlfn.XLOOKUP(U27,Tableau19[Licence],'GESTION DES JOUEURS'!$Q$11:$Q$46,"",0,1),X27+1,""),""),"")</f>
        <v/>
      </c>
      <c r="AW27" s="320" t="str">
        <f>IFERROR(IF(AND(LEFT($B$15)="3",N27/O27&gt;_xlfn.XLOOKUP($B$15,Distances!$D$2:$D$77,Distances!$N$2:$N$77,"",0,1)),_xlfn.XLOOKUP($B$15,Distances!$D$2:$D$77,Distances!$T$2:$T$77,"",0,1),IF(AND(LEFT($B$15)="3",N27/O27&gt;_xlfn.XLOOKUP($B$15,Distances!$D$2:$D$77,Distances!$M$2:$M$77,"",0,1)),_xlfn.XLOOKUP($B$15,Distances!$D$2:$D$77,Distances!$S$2:$S$77,"",0,1),IF(AND(LEFT($B$15)="3",N27/O27&gt;=_xlfn.XLOOKUP($B$15,Distances!$D$2:$D$77,Distances!$L$2:$L$77,"",0,1)),_xlfn.XLOOKUP($B$15,Distances!$D$2:$D$77,Distances!$R$2:$R$77,"",0,1),IF(AND($B$15="Cadre N1/N2",N27/O27&gt;_xlfn.XLOOKUP("Cadre "&amp;_xlfn.XLOOKUP(F27,$B$6:$B$11,$K$6:$K$11,"",0,1),Distances!$D$2:$D$77,Distances!$N$2:$N$77,"",0,1)),_xlfn.XLOOKUP("Cadre "&amp;_xlfn.XLOOKUP(F27,$B$6:$B$11,$K$6:$K$11,"",0,1),Distances!$D$2:$D$77,Distances!$T$2:$T$77,"",0,1),IF(AND($B$15="Cadre N1/N2",N27/O27&gt;=_xlfn.XLOOKUP("Cadre "&amp;_xlfn.XLOOKUP(F27,$B$6:$B$11,$K$6:$K$11,"",0,1),Distances!$D$2:$D$77,Distances!$L$2:$L$77,"",0,1)),_xlfn.XLOOKUP("Cadre "&amp;_xlfn.XLOOKUP(F27,$B$6:$B$11,$K$6:$K$11,"",0,1),Distances!$D$2:$D$77,Distances!$R$2:$R$77,"",0,1),IF(N27/O27&gt;_xlfn.XLOOKUP($B$15,Distances!$D$2:$D$77,Distances!$N$2:$N$77,"",0,1),_xlfn.XLOOKUP($B$15,Distances!$D$2:$D$77,Distances!$T$2:$T$77,"",0,1),IF(N27/O27&gt;=_xlfn.XLOOKUP($B$15,Distances!$D$2:$D$77,Distances!$L$2:$L$77,"",0,1),_xlfn.XLOOKUP($B$15,Distances!$D$2:$D$77,Distances!$R$2:$R$77,"",0,1),0))))))),"")</f>
        <v/>
      </c>
      <c r="AX27" s="319" t="str">
        <f>IFERROR(IF(AND(LEFT($B$15)="3",P27/O27&gt;_xlfn.XLOOKUP($B$15,Distances!$D$2:$D$77,Distances!$N$2:$N$77,"",0,1)),_xlfn.XLOOKUP($B$15,Distances!$D$2:$D$77,Distances!$T$2:$T$77,"",0,1),IF(AND(LEFT($B$15)="3",P27/O27&gt;_xlfn.XLOOKUP($B$15,Distances!$D$2:$D$77,Distances!$M$2:$M$77,"",0,1)),_xlfn.XLOOKUP($B$15,Distances!$D$2:$D$77,Distances!$S$2:$S$77,"",0,1),IF(AND(LEFT($B$15)="3",P27/O27&gt;=_xlfn.XLOOKUP($B$15,Distances!$D$2:$D$77,Distances!$L$2:$L$77,"",0,1)),_xlfn.XLOOKUP($B$15,Distances!$D$2:$D$77,Distances!$R$2:$R$77,"",0,1),IF(AND($B$15="Cadre N1/N2",P27/O27&gt;_xlfn.XLOOKUP("Cadre "&amp;_xlfn.XLOOKUP(U27,$B$6:$B$11,$K$6:$K$11,"",0,1),Distances!$D$2:$D$77,Distances!$N$2:$N$77,"",0,1)),_xlfn.XLOOKUP("Cadre "&amp;_xlfn.XLOOKUP(U27,$B$6:$B$11,$K$6:$K$11,"",0,1),Distances!$D$2:$D$77,Distances!$T$2:$T$77,"",0,1),IF(AND($B$15="Cadre N1/N2",P27/O27&gt;=_xlfn.XLOOKUP("Cadre "&amp;_xlfn.XLOOKUP(U27,$B$6:$B$11,$K$6:$K$11,"",0,1),Distances!$D$2:$D$77,Distances!$L$2:$L$77,"",0,1)),_xlfn.XLOOKUP("Cadre "&amp;_xlfn.XLOOKUP(U27,$B$6:$B$11,$K$6:$K$11,"",0,1),Distances!$D$2:$D$77,Distances!$R$2:$R$77,"",0,1),IF(P27/O27&gt;_xlfn.XLOOKUP($B$15,Distances!$D$2:$D$77,Distances!$N$2:$N$77,"",0,1),_xlfn.XLOOKUP($B$15,Distances!$D$2:$D$77,Distances!$T$2:$T$77,"",0,1),IF(P27/O27&gt;=_xlfn.XLOOKUP($B$15,Distances!$D$2:$D$77,Distances!$L$2:$L$77,"",0,1),_xlfn.XLOOKUP($B$15,Distances!$D$2:$D$77,Distances!$R$2:$R$77,"",0,1),0))))))),"")</f>
        <v/>
      </c>
      <c r="BB27" s="724"/>
      <c r="BC27" s="233" t="b">
        <f>_xlfn.XLOOKUP(BC26,$BC$17:$BH$17,$BC$18:$BH$18,FALSE,0,1)</f>
        <v>0</v>
      </c>
      <c r="BD27" s="155" t="b">
        <f>_xlfn.XLOOKUP(BD26,$BC$17:$BH$17,$BC$18:$BH$18,FALSE,0,1)</f>
        <v>0</v>
      </c>
      <c r="BE27" s="155" t="b">
        <f>_xlfn.XLOOKUP(BE26,$BC$17:$BH$17,$BC$18:$BH$18,FALSE,0,1)</f>
        <v>0</v>
      </c>
      <c r="BF27" s="157"/>
      <c r="BG27" s="155" t="b">
        <f>BC27</f>
        <v>0</v>
      </c>
      <c r="BH27" s="155" t="b">
        <f>IF(AND(BD26=3,BE26=3,BC27&lt;&gt;2),FALSE,BD27)</f>
        <v>0</v>
      </c>
      <c r="BI27" s="155" t="b">
        <f>IF(AND(BD26=3,BE26=3,BC27=2),FALSE,BE27)</f>
        <v>0</v>
      </c>
      <c r="BJ27" s="157"/>
      <c r="BK27" s="157"/>
      <c r="BL27" s="157"/>
      <c r="BM27" s="163"/>
      <c r="BV27" s="292" t="s">
        <v>5487</v>
      </c>
      <c r="BW27" s="223" cm="1">
        <f t="array" ref="BW27">_xlfn.SINGLE(_xlfn.XLOOKUP(A10&amp;A9,G18:G32&amp;V18:V32,N18:N32,_xlfn.XLOOKUP(A9&amp;A10,G18:G32&amp;V18:V32,P18:P32,"",0,1),0,1))</f>
        <v>0</v>
      </c>
      <c r="BX27" s="223" cm="1">
        <f t="array" ref="BX27">_xlfn.XLOOKUP(A10&amp;A9,G18:G32&amp;V18:V32,P18:P32,_xlfn.XLOOKUP(A9&amp;A10,G18:G32&amp;V18:V32,N18:N32,"",0,1),0,1)</f>
        <v>0</v>
      </c>
      <c r="BY27" s="223" cm="1">
        <f t="array" ref="BY27">_xlfn.XLOOKUP(A10&amp;A9,$G$18:$G$32&amp;$V$18:$V$32,$M$18:$M$32,"",0,1)</f>
        <v>0</v>
      </c>
      <c r="BZ27" s="223" cm="1">
        <f t="array" ref="BZ27">_xlfn.XLOOKUP(A10&amp;A9,$G$18:$G$32&amp;$V$18:$V$32,$Q$18:$Q$32,"",0,1)</f>
        <v>0</v>
      </c>
      <c r="CA27" s="223" cm="1">
        <f t="array" ref="CA27">_xlfn.XLOOKUP(A10&amp;A9,G18:G32&amp;V18:V32,O18:O32,_xlfn.XLOOKUP(A9&amp;A10,G18:G32&amp;V18:V32,O18:O32,"",0,1),0,1)</f>
        <v>0</v>
      </c>
      <c r="CB27" s="293" t="str" cm="1">
        <f t="array" ref="CB27">_xlfn.XLOOKUP(A10&amp;A9,G18:G32&amp;V18:V32,A18:A32,"",0,1)</f>
        <v/>
      </c>
      <c r="CC27" s="237">
        <f>IF(COUNTBLANK($AO$6:$AO$11)=2,SUM(BW27,BX22),IF(BW27="",BX22,BW27))</f>
        <v>0</v>
      </c>
      <c r="CD27" s="223">
        <f>IF(CC27="Ab.","",IF(BY27="",BZ22,BY27))</f>
        <v>0</v>
      </c>
      <c r="CE27" s="223">
        <f t="shared" si="20"/>
        <v>0</v>
      </c>
      <c r="CF27" s="294" t="str">
        <f>IF(CB27="",CB22,CB27)</f>
        <v/>
      </c>
      <c r="CG27" s="295" t="str" cm="1">
        <f t="array" ref="CG27">_xlfn.XLOOKUP(BV27,$G$18:$G$32&amp;"-"&amp;$V$18:$V$32,$D$18:$D$32,_xlfn.XLOOKUP(BV22,$G$18:$G$32&amp;"-"&amp;$V$18:$V$32,$X$18:$X$32,"",0,1),0,1)</f>
        <v/>
      </c>
      <c r="CH27" s="175" t="str" cm="1">
        <f t="array" ref="CH27">_xlfn.XLOOKUP(BV27,$G$18:$G$32&amp;"-"&amp;$V$18:$V$32,$AS$18:$AS$32,_xlfn.XLOOKUP(BV22,$G$18:$G$32&amp;"-"&amp;$V$18:$V$32,$AT$18:$AT$32,"",0,1),0,1)</f>
        <v/>
      </c>
      <c r="CI27" s="818"/>
      <c r="CJ27" s="821"/>
      <c r="CK27" s="557">
        <f t="shared" si="21"/>
        <v>4</v>
      </c>
      <c r="CL27" s="557" t="str">
        <f t="shared" si="19"/>
        <v/>
      </c>
    </row>
    <row r="28" spans="1:90" ht="15" customHeight="1" x14ac:dyDescent="0.25">
      <c r="A28" s="245" t="str">
        <f>IF($AO$4&lt;=4,"",IF(OR(O28&gt;0,N28="ab.",P28="ab."),"P",""))</f>
        <v/>
      </c>
      <c r="B28" s="56" t="str">
        <f>IF(AO4&lt;5,"",IF(AO4=5,1,2))</f>
        <v/>
      </c>
      <c r="C28" s="95" t="str">
        <f t="shared" si="24"/>
        <v/>
      </c>
      <c r="D28" s="79" t="str">
        <f>IF(A28="","",IF(N28="ab.",0,IF(P28="ab.",2,IF(AND('GESTION DES JOUEURS'!$D$8&lt;&gt;"Open",O28&gt;0,N28&gt;P28),2,IF(AND('GESTION DES JOUEURS'!$D$8&lt;&gt;"Open",O28&gt;0,N28&lt;P28),0,IF(AND('GESTION DES JOUEURS'!$D$8&lt;&gt;"Open",O28&gt;0,N28=P28),1,IF(AND('GESTION DES JOUEURS'!$D$8="Open",(N28/_xlfn.XLOOKUP(F28,$B$6:$B$11,$AE$6:$AE$11,"",0,1))&gt;(P28/_xlfn.XLOOKUP(U28,$B$6:$B$11,$AE$6:$AE$11,"",0,1))),2,IF(AND('GESTION DES JOUEURS'!$D$8="Open",(N28/_xlfn.XLOOKUP(F28,$B$6:$B$11,$AE$6:$AE$11,"",0,1))=(P28/_xlfn.XLOOKUP(U28,$B$6:$B$11,$AE$6:$AE$11,"",0,1))),1,IF(AND('GESTION DES JOUEURS'!$D$8="Open",(N28/_xlfn.XLOOKUP(F28,$B$6:$B$11,$AE$6:$AE$11,"",0,1))&lt;(P28/_xlfn.XLOOKUP(U28,$B$6:$B$11,$AE$6:$AE$11,"",0,1))),0,"")))))))))</f>
        <v/>
      </c>
      <c r="E28" s="113" t="str">
        <f>IFERROR(IF(AND(D28&gt;0,Y28=FALSE),N28/O28,IF(AND(D28&gt;0,Y28=TRUE),(N28/O28)*_xlfn.XLOOKUP('GESTION DES JOUEURS'!$X$8&amp;RIGHT('GESTION DES JOUEURS'!$Y$8,1),Tableau14[Colonne1],Tableau14[coef. 2,80/3,10],"",0,1),"")),"")</f>
        <v/>
      </c>
      <c r="F28" s="80" t="str">
        <f>IF(AO4&lt;5,"",IF($O$4="M",_xlfn.XLOOKUP('DATA TDJ'!B47,$O$6:$O$11,$B$6:$B$11,_xlfn.XLOOKUP('DATA TDJ'!B47,$M$6:$M$11,$B$6:$B$11," ",0,1),0,1),_xlfn.XLOOKUP('DATA TDJ'!B47,$M$6:$M$11,$B$6:$B$11," ",0,1)))</f>
        <v/>
      </c>
      <c r="G28" s="57" t="str">
        <f t="shared" si="25"/>
        <v/>
      </c>
      <c r="H28" s="729" t="str">
        <f t="shared" si="34"/>
        <v/>
      </c>
      <c r="I28" s="726"/>
      <c r="J28" s="730"/>
      <c r="K28" s="726" t="str">
        <f t="shared" si="33"/>
        <v/>
      </c>
      <c r="L28" s="727"/>
      <c r="M28" s="81"/>
      <c r="N28" s="82"/>
      <c r="O28" s="114"/>
      <c r="P28" s="81"/>
      <c r="Q28" s="82"/>
      <c r="R28" s="731" t="str">
        <f t="shared" si="26"/>
        <v/>
      </c>
      <c r="S28" s="732"/>
      <c r="T28" s="83" t="str">
        <f t="shared" si="27"/>
        <v/>
      </c>
      <c r="U28" s="83" t="str">
        <f>IF(AO4&lt;5,"",IF($O$4="M",_xlfn.XLOOKUP('DATA TDJ'!C47,$O$6:$O$11,$B$6:$B$11,_xlfn.XLOOKUP('DATA TDJ'!C47,$M$6:$M$11,$B$6:$B$11," ",0,1),0,1),_xlfn.XLOOKUP('DATA TDJ'!C47,$M$6:$M$11,$B$6:$B$11," ",0,1)))</f>
        <v/>
      </c>
      <c r="V28" s="58" t="str">
        <f t="shared" si="28"/>
        <v/>
      </c>
      <c r="W28" s="115" t="str">
        <f>IFERROR(IF(AND(X28&gt;0,Y28=FALSE),P28/O28,IF(AND(X28&gt;0,Y28=TRUE),(P28/O28)*_xlfn.XLOOKUP('GESTION DES JOUEURS'!$X$8&amp;RIGHT('GESTION DES JOUEURS'!$Y$8,1),Tableau14[Colonne1],Tableau14[coef. 2,80/3,10],"",0,1),"")),"")</f>
        <v/>
      </c>
      <c r="X28" s="59" t="str">
        <f>IF(A28="","",IF(P28="ab.",0,IF(N28="ab.",2,IF(AND('GESTION DES JOUEURS'!$D$8&lt;&gt;"Open",O28&gt;0,P28&gt;N28),2,IF(AND('GESTION DES JOUEURS'!$D$8&lt;&gt;"Open",O28&gt;0,P28&lt;N28),0,IF(AND('GESTION DES JOUEURS'!$D$8&lt;&gt;"Open",O28&gt;0,P28=N28),1,IF(AND('GESTION DES JOUEURS'!$D$8="Open",(P28/_xlfn.XLOOKUP(U28,$B$6:$B$11,$AE$6:$AE$11,"",0,1))&gt;(N28/_xlfn.XLOOKUP(F28,$B$6:$B$11,$AE$6:$AE$11,"",0,1))),2,IF(AND('GESTION DES JOUEURS'!$D$8="Open",(P28/_xlfn.XLOOKUP(U28,$B$6:$B$11,$AE$6:$AE$11,"",0,1))=(N28/_xlfn.XLOOKUP(F28,$B$6:$B$11,$AE$6:$AE$11,"",0,1))),1,IF(AND('GESTION DES JOUEURS'!$D$8="Open",(P28/_xlfn.XLOOKUP(U28,$B$6:$B$11,$AE$6:$AE$11,"",0,1))&lt;(N28/_xlfn.XLOOKUP(F28,$B$6:$B$11,$AE$6:$AE$11,"",0,1))),0,"")))))))))</f>
        <v/>
      </c>
      <c r="Y28" s="678" t="b">
        <v>0</v>
      </c>
      <c r="AA28" s="914"/>
      <c r="AN28" s="244"/>
      <c r="AO28" s="248"/>
      <c r="AP28" s="325" t="str">
        <f t="shared" si="30"/>
        <v/>
      </c>
      <c r="AQ28" s="325" t="str">
        <f t="shared" si="29"/>
        <v/>
      </c>
      <c r="AR28" s="326">
        <f t="shared" si="31"/>
        <v>2</v>
      </c>
      <c r="AS28" s="317">
        <f t="shared" si="32"/>
        <v>0</v>
      </c>
      <c r="AT28" s="318">
        <f t="shared" si="32"/>
        <v>0</v>
      </c>
      <c r="AU28" s="317" t="str" cm="1">
        <f t="array" ref="AU28">IFERROR(IF(OR($B$15="Cadre N1/N2",$B$15="Bande R1/R2",$B$15="3 Bandes R1/R2"),IF(_xlfn.XLOOKUP(F28,Tableau19[Licence],'GESTION DES JOUEURS'!$Q$11:$Q$46,"",0,1)&gt;_xlfn.XLOOKUP(U28,Tableau19[Licence],'GESTION DES JOUEURS'!$Q$11:$Q$46,"",0,1),D28+1,""),""),"")</f>
        <v/>
      </c>
      <c r="AV28" s="319" t="str" cm="1">
        <f t="array" ref="AV28">IFERROR(IF(OR($B$15="Cadre N1/N2",$B$15="Bande R1/R2",$B$15="3 Bandes R1/R2"),IF(_xlfn.XLOOKUP(F28,Tableau19[Licence],'GESTION DES JOUEURS'!$Q$11:$Q$46,"",0,1)&lt;_xlfn.XLOOKUP(U28,Tableau19[Licence],'GESTION DES JOUEURS'!$Q$11:$Q$46,"",0,1),X28+1,""),""),"")</f>
        <v/>
      </c>
      <c r="AW28" s="320" t="str">
        <f>IFERROR(IF(AND(LEFT($B$15)="3",N28/O28&gt;_xlfn.XLOOKUP($B$15,Distances!$D$2:$D$77,Distances!$N$2:$N$77,"",0,1)),_xlfn.XLOOKUP($B$15,Distances!$D$2:$D$77,Distances!$T$2:$T$77,"",0,1),IF(AND(LEFT($B$15)="3",N28/O28&gt;_xlfn.XLOOKUP($B$15,Distances!$D$2:$D$77,Distances!$M$2:$M$77,"",0,1)),_xlfn.XLOOKUP($B$15,Distances!$D$2:$D$77,Distances!$S$2:$S$77,"",0,1),IF(AND(LEFT($B$15)="3",N28/O28&gt;=_xlfn.XLOOKUP($B$15,Distances!$D$2:$D$77,Distances!$L$2:$L$77,"",0,1)),_xlfn.XLOOKUP($B$15,Distances!$D$2:$D$77,Distances!$R$2:$R$77,"",0,1),IF(AND($B$15="Cadre N1/N2",N28/O28&gt;_xlfn.XLOOKUP("Cadre "&amp;_xlfn.XLOOKUP(F28,$B$6:$B$11,$K$6:$K$11,"",0,1),Distances!$D$2:$D$77,Distances!$N$2:$N$77,"",0,1)),_xlfn.XLOOKUP("Cadre "&amp;_xlfn.XLOOKUP(F28,$B$6:$B$11,$K$6:$K$11,"",0,1),Distances!$D$2:$D$77,Distances!$T$2:$T$77,"",0,1),IF(AND($B$15="Cadre N1/N2",N28/O28&gt;=_xlfn.XLOOKUP("Cadre "&amp;_xlfn.XLOOKUP(F28,$B$6:$B$11,$K$6:$K$11,"",0,1),Distances!$D$2:$D$77,Distances!$L$2:$L$77,"",0,1)),_xlfn.XLOOKUP("Cadre "&amp;_xlfn.XLOOKUP(F28,$B$6:$B$11,$K$6:$K$11,"",0,1),Distances!$D$2:$D$77,Distances!$R$2:$R$77,"",0,1),IF(N28/O28&gt;_xlfn.XLOOKUP($B$15,Distances!$D$2:$D$77,Distances!$N$2:$N$77,"",0,1),_xlfn.XLOOKUP($B$15,Distances!$D$2:$D$77,Distances!$T$2:$T$77,"",0,1),IF(N28/O28&gt;=_xlfn.XLOOKUP($B$15,Distances!$D$2:$D$77,Distances!$L$2:$L$77,"",0,1),_xlfn.XLOOKUP($B$15,Distances!$D$2:$D$77,Distances!$R$2:$R$77,"",0,1),0))))))),"")</f>
        <v/>
      </c>
      <c r="AX28" s="319" t="str">
        <f>IFERROR(IF(AND(LEFT($B$15)="3",P28/O28&gt;_xlfn.XLOOKUP($B$15,Distances!$D$2:$D$77,Distances!$N$2:$N$77,"",0,1)),_xlfn.XLOOKUP($B$15,Distances!$D$2:$D$77,Distances!$T$2:$T$77,"",0,1),IF(AND(LEFT($B$15)="3",P28/O28&gt;_xlfn.XLOOKUP($B$15,Distances!$D$2:$D$77,Distances!$M$2:$M$77,"",0,1)),_xlfn.XLOOKUP($B$15,Distances!$D$2:$D$77,Distances!$S$2:$S$77,"",0,1),IF(AND(LEFT($B$15)="3",P28/O28&gt;=_xlfn.XLOOKUP($B$15,Distances!$D$2:$D$77,Distances!$L$2:$L$77,"",0,1)),_xlfn.XLOOKUP($B$15,Distances!$D$2:$D$77,Distances!$R$2:$R$77,"",0,1),IF(AND($B$15="Cadre N1/N2",P28/O28&gt;_xlfn.XLOOKUP("Cadre "&amp;_xlfn.XLOOKUP(U28,$B$6:$B$11,$K$6:$K$11,"",0,1),Distances!$D$2:$D$77,Distances!$N$2:$N$77,"",0,1)),_xlfn.XLOOKUP("Cadre "&amp;_xlfn.XLOOKUP(U28,$B$6:$B$11,$K$6:$K$11,"",0,1),Distances!$D$2:$D$77,Distances!$T$2:$T$77,"",0,1),IF(AND($B$15="Cadre N1/N2",P28/O28&gt;=_xlfn.XLOOKUP("Cadre "&amp;_xlfn.XLOOKUP(U28,$B$6:$B$11,$K$6:$K$11,"",0,1),Distances!$D$2:$D$77,Distances!$L$2:$L$77,"",0,1)),_xlfn.XLOOKUP("Cadre "&amp;_xlfn.XLOOKUP(U28,$B$6:$B$11,$K$6:$K$11,"",0,1),Distances!$D$2:$D$77,Distances!$R$2:$R$77,"",0,1),IF(P28/O28&gt;_xlfn.XLOOKUP($B$15,Distances!$D$2:$D$77,Distances!$N$2:$N$77,"",0,1),_xlfn.XLOOKUP($B$15,Distances!$D$2:$D$77,Distances!$T$2:$T$77,"",0,1),IF(P28/O28&gt;=_xlfn.XLOOKUP($B$15,Distances!$D$2:$D$77,Distances!$L$2:$L$77,"",0,1),_xlfn.XLOOKUP($B$15,Distances!$D$2:$D$77,Distances!$R$2:$R$77,"",0,1),0))))))),"")</f>
        <v/>
      </c>
      <c r="BB28" s="724"/>
      <c r="BC28" s="157"/>
      <c r="BD28" s="157"/>
      <c r="BE28" s="157"/>
      <c r="BF28" s="157"/>
      <c r="BG28" s="157">
        <f>IF(BG27=FALSE,BH28+1,BH28)</f>
        <v>6</v>
      </c>
      <c r="BH28" s="157">
        <f>IF(BH27=FALSE,BI28+1,BI28)</f>
        <v>5</v>
      </c>
      <c r="BI28" s="157">
        <f>IF(BI27=FALSE,BI25+1,BI25)</f>
        <v>4</v>
      </c>
      <c r="BJ28" s="157"/>
      <c r="BK28" s="157"/>
      <c r="BL28" s="157"/>
      <c r="BM28" s="163"/>
      <c r="BV28" s="292" t="s">
        <v>5488</v>
      </c>
      <c r="BW28" s="223" cm="1">
        <f t="array" ref="BW28">_xlfn.SINGLE(_xlfn.XLOOKUP(A10&amp;A8,G18:G32&amp;V18:V32,N18:N32,_xlfn.XLOOKUP(A8&amp;A10,G18:G32&amp;V18:V32,P18:P32,"",0,1),0,1))</f>
        <v>0</v>
      </c>
      <c r="BX28" s="223" cm="1">
        <f t="array" ref="BX28">_xlfn.XLOOKUP(A10&amp;A8,G18:G32&amp;V18:V32,P18:P32,_xlfn.XLOOKUP(A8&amp;A10,G18:G32&amp;V18:V32,N18:N32,"",0,1),0,1)</f>
        <v>0</v>
      </c>
      <c r="BY28" s="223" cm="1">
        <f t="array" ref="BY28">_xlfn.XLOOKUP(A10&amp;A8,$G$18:$G$32&amp;$V$18:$V$32,$M$18:$M$32,"",0,1)</f>
        <v>0</v>
      </c>
      <c r="BZ28" s="223" cm="1">
        <f t="array" ref="BZ28">_xlfn.XLOOKUP(A10&amp;A8,$G$18:$G$32&amp;$V$18:$V$32,$Q$18:$Q$32,"",0,1)</f>
        <v>0</v>
      </c>
      <c r="CA28" s="223" cm="1">
        <f t="array" ref="CA28">_xlfn.XLOOKUP(A10&amp;A8,G18:G32&amp;V18:V32,O18:O32,_xlfn.XLOOKUP(A8&amp;A10,G18:G32&amp;V18:V32,O18:O32,"",0,1),0,1)</f>
        <v>0</v>
      </c>
      <c r="CB28" s="293" t="str" cm="1">
        <f t="array" ref="CB28">_xlfn.XLOOKUP(A10&amp;A8,G18:G32&amp;V18:V32,A18:A32,"",0,1)</f>
        <v/>
      </c>
      <c r="CC28" s="237">
        <f>IF(COUNTBLANK($AO$6:$AO$11)=2,SUM(BW28,BX17),IF(BW28="",BX17,BW28))</f>
        <v>0</v>
      </c>
      <c r="CD28" s="223">
        <f>IF(CC28="Ab.","",IF(BY28="",BZ17,BY28))</f>
        <v>0</v>
      </c>
      <c r="CE28" s="223">
        <f t="shared" si="20"/>
        <v>0</v>
      </c>
      <c r="CF28" s="294" t="str">
        <f>IF(CB28="",CB17,CB28)</f>
        <v/>
      </c>
      <c r="CG28" s="295" t="str" cm="1">
        <f t="array" ref="CG28">_xlfn.XLOOKUP(BV28,$G$18:$G$32&amp;"-"&amp;$V$18:$V$32,$D$18:$D$32,_xlfn.XLOOKUP(BV17,$G$18:$G$32&amp;"-"&amp;$V$18:$V$32,$X$18:$X$32,"",0,1),0,1)</f>
        <v/>
      </c>
      <c r="CH28" s="175" t="str" cm="1">
        <f t="array" ref="CH28">_xlfn.XLOOKUP(BV28,$G$18:$G$32&amp;"-"&amp;$V$18:$V$32,$AS$18:$AS$32,_xlfn.XLOOKUP(BV17,$G$18:$G$32&amp;"-"&amp;$V$18:$V$32,$AT$18:$AT$32,"",0,1),0,1)</f>
        <v/>
      </c>
      <c r="CI28" s="818"/>
      <c r="CJ28" s="821"/>
      <c r="CK28" s="557">
        <f t="shared" si="21"/>
        <v>3</v>
      </c>
      <c r="CL28" s="557" t="str">
        <f t="shared" si="19"/>
        <v/>
      </c>
    </row>
    <row r="29" spans="1:90" ht="14.45" customHeight="1" x14ac:dyDescent="0.25">
      <c r="A29" s="245" t="str">
        <f>IF($AO$4&lt;=4,"",IF(OR(O29&gt;0,N29="ab.",P29="ab."),"P",""))</f>
        <v/>
      </c>
      <c r="B29" s="56" t="str">
        <f>IF(AO4&lt;5,"",IF(AO4=5,2,3))</f>
        <v/>
      </c>
      <c r="C29" s="95" t="str">
        <f t="shared" si="24"/>
        <v/>
      </c>
      <c r="D29" s="79" t="str">
        <f>IF(A29="","",IF(N29="ab.",0,IF(P29="ab.",2,IF(AND('GESTION DES JOUEURS'!$D$8&lt;&gt;"Open",O29&gt;0,N29&gt;P29),2,IF(AND('GESTION DES JOUEURS'!$D$8&lt;&gt;"Open",O29&gt;0,N29&lt;P29),0,IF(AND('GESTION DES JOUEURS'!$D$8&lt;&gt;"Open",O29&gt;0,N29=P29),1,IF(AND('GESTION DES JOUEURS'!$D$8="Open",(N29/_xlfn.XLOOKUP(F29,$B$6:$B$11,$AE$6:$AE$11,"",0,1))&gt;(P29/_xlfn.XLOOKUP(U29,$B$6:$B$11,$AE$6:$AE$11,"",0,1))),2,IF(AND('GESTION DES JOUEURS'!$D$8="Open",(N29/_xlfn.XLOOKUP(F29,$B$6:$B$11,$AE$6:$AE$11,"",0,1))=(P29/_xlfn.XLOOKUP(U29,$B$6:$B$11,$AE$6:$AE$11,"",0,1))),1,IF(AND('GESTION DES JOUEURS'!$D$8="Open",(N29/_xlfn.XLOOKUP(F29,$B$6:$B$11,$AE$6:$AE$11,"",0,1))&lt;(P29/_xlfn.XLOOKUP(U29,$B$6:$B$11,$AE$6:$AE$11,"",0,1))),0,"")))))))))</f>
        <v/>
      </c>
      <c r="E29" s="113" t="str">
        <f>IFERROR(IF(AND(D29&gt;0,Y29=FALSE),N29/O29,IF(AND(D29&gt;0,Y29=TRUE),(N29/O29)*_xlfn.XLOOKUP('GESTION DES JOUEURS'!$X$8&amp;RIGHT('GESTION DES JOUEURS'!$Y$8,1),Tableau14[Colonne1],Tableau14[coef. 2,80/3,10],"",0,1),"")),"")</f>
        <v/>
      </c>
      <c r="F29" s="80" t="str">
        <f>IF(AO4&lt;5,"",IF($O$4="M",_xlfn.XLOOKUP('DATA TDJ'!B48,$O$6:$O$11,$B$6:$B$11,_xlfn.XLOOKUP('DATA TDJ'!B48,$M$6:$M$11,$B$6:$B$11," ",0,1),0,1),_xlfn.XLOOKUP('DATA TDJ'!B48,$M$6:$M$11,$B$6:$B$11," ",0,1)))</f>
        <v/>
      </c>
      <c r="G29" s="57" t="str">
        <f t="shared" si="25"/>
        <v/>
      </c>
      <c r="H29" s="729" t="str">
        <f t="shared" si="34"/>
        <v/>
      </c>
      <c r="I29" s="726"/>
      <c r="J29" s="730"/>
      <c r="K29" s="726" t="str">
        <f t="shared" si="33"/>
        <v/>
      </c>
      <c r="L29" s="727"/>
      <c r="M29" s="81"/>
      <c r="N29" s="82"/>
      <c r="O29" s="114"/>
      <c r="P29" s="81"/>
      <c r="Q29" s="82"/>
      <c r="R29" s="731" t="str">
        <f t="shared" si="26"/>
        <v/>
      </c>
      <c r="S29" s="732"/>
      <c r="T29" s="83" t="str">
        <f t="shared" si="27"/>
        <v/>
      </c>
      <c r="U29" s="83" t="str">
        <f>IF(AO4&lt;5,"",IF($O$4="M",_xlfn.XLOOKUP('DATA TDJ'!C48,$O$6:$O$11,$B$6:$B$11,_xlfn.XLOOKUP('DATA TDJ'!C48,$M$6:$M$11,$B$6:$B$11," ",0,1),0,1),_xlfn.XLOOKUP('DATA TDJ'!C48,$M$6:$M$11,$B$6:$B$11," ",0,1)))</f>
        <v/>
      </c>
      <c r="V29" s="58" t="str">
        <f t="shared" si="28"/>
        <v/>
      </c>
      <c r="W29" s="115" t="str">
        <f>IFERROR(IF(AND(X29&gt;0,Y29=FALSE),P29/O29,IF(AND(X29&gt;0,Y29=TRUE),(P29/O29)*_xlfn.XLOOKUP('GESTION DES JOUEURS'!$X$8&amp;RIGHT('GESTION DES JOUEURS'!$Y$8,1),Tableau14[Colonne1],Tableau14[coef. 2,80/3,10],"",0,1),"")),"")</f>
        <v/>
      </c>
      <c r="X29" s="59" t="str">
        <f>IF(A29="","",IF(P29="ab.",0,IF(N29="ab.",2,IF(AND('GESTION DES JOUEURS'!$D$8&lt;&gt;"Open",O29&gt;0,P29&gt;N29),2,IF(AND('GESTION DES JOUEURS'!$D$8&lt;&gt;"Open",O29&gt;0,P29&lt;N29),0,IF(AND('GESTION DES JOUEURS'!$D$8&lt;&gt;"Open",O29&gt;0,P29=N29),1,IF(AND('GESTION DES JOUEURS'!$D$8="Open",(P29/_xlfn.XLOOKUP(U29,$B$6:$B$11,$AE$6:$AE$11,"",0,1))&gt;(N29/_xlfn.XLOOKUP(F29,$B$6:$B$11,$AE$6:$AE$11,"",0,1))),2,IF(AND('GESTION DES JOUEURS'!$D$8="Open",(P29/_xlfn.XLOOKUP(U29,$B$6:$B$11,$AE$6:$AE$11,"",0,1))=(N29/_xlfn.XLOOKUP(F29,$B$6:$B$11,$AE$6:$AE$11,"",0,1))),1,IF(AND('GESTION DES JOUEURS'!$D$8="Open",(P29/_xlfn.XLOOKUP(U29,$B$6:$B$11,$AE$6:$AE$11,"",0,1))&lt;(N29/_xlfn.XLOOKUP(F29,$B$6:$B$11,$AE$6:$AE$11,"",0,1))),0,"")))))))))</f>
        <v/>
      </c>
      <c r="Y29" s="678" t="b">
        <v>0</v>
      </c>
      <c r="AA29" s="913" t="s">
        <v>8124</v>
      </c>
      <c r="AN29" s="244"/>
      <c r="AO29" s="248"/>
      <c r="AP29" s="325" t="str">
        <f t="shared" si="30"/>
        <v/>
      </c>
      <c r="AQ29" s="325" t="str">
        <f t="shared" si="29"/>
        <v/>
      </c>
      <c r="AR29" s="326">
        <f t="shared" si="31"/>
        <v>2</v>
      </c>
      <c r="AS29" s="317">
        <f t="shared" si="32"/>
        <v>0</v>
      </c>
      <c r="AT29" s="318">
        <f t="shared" si="32"/>
        <v>0</v>
      </c>
      <c r="AU29" s="317" t="str" cm="1">
        <f t="array" ref="AU29">IFERROR(IF(OR($B$15="Cadre N1/N2",$B$15="Bande R1/R2",$B$15="3 Bandes R1/R2"),IF(_xlfn.XLOOKUP(F29,Tableau19[Licence],'GESTION DES JOUEURS'!$Q$11:$Q$46,"",0,1)&gt;_xlfn.XLOOKUP(U29,Tableau19[Licence],'GESTION DES JOUEURS'!$Q$11:$Q$46,"",0,1),D29+1,""),""),"")</f>
        <v/>
      </c>
      <c r="AV29" s="319" t="str" cm="1">
        <f t="array" ref="AV29">IFERROR(IF(OR($B$15="Cadre N1/N2",$B$15="Bande R1/R2",$B$15="3 Bandes R1/R2"),IF(_xlfn.XLOOKUP(F29,Tableau19[Licence],'GESTION DES JOUEURS'!$Q$11:$Q$46,"",0,1)&lt;_xlfn.XLOOKUP(U29,Tableau19[Licence],'GESTION DES JOUEURS'!$Q$11:$Q$46,"",0,1),X29+1,""),""),"")</f>
        <v/>
      </c>
      <c r="AW29" s="320" t="str">
        <f>IFERROR(IF(AND(LEFT($B$15)="3",N29/O29&gt;_xlfn.XLOOKUP($B$15,Distances!$D$2:$D$77,Distances!$N$2:$N$77,"",0,1)),_xlfn.XLOOKUP($B$15,Distances!$D$2:$D$77,Distances!$T$2:$T$77,"",0,1),IF(AND(LEFT($B$15)="3",N29/O29&gt;_xlfn.XLOOKUP($B$15,Distances!$D$2:$D$77,Distances!$M$2:$M$77,"",0,1)),_xlfn.XLOOKUP($B$15,Distances!$D$2:$D$77,Distances!$S$2:$S$77,"",0,1),IF(AND(LEFT($B$15)="3",N29/O29&gt;=_xlfn.XLOOKUP($B$15,Distances!$D$2:$D$77,Distances!$L$2:$L$77,"",0,1)),_xlfn.XLOOKUP($B$15,Distances!$D$2:$D$77,Distances!$R$2:$R$77,"",0,1),IF(AND($B$15="Cadre N1/N2",N29/O29&gt;_xlfn.XLOOKUP("Cadre "&amp;_xlfn.XLOOKUP(F29,$B$6:$B$11,$K$6:$K$11,"",0,1),Distances!$D$2:$D$77,Distances!$N$2:$N$77,"",0,1)),_xlfn.XLOOKUP("Cadre "&amp;_xlfn.XLOOKUP(F29,$B$6:$B$11,$K$6:$K$11,"",0,1),Distances!$D$2:$D$77,Distances!$T$2:$T$77,"",0,1),IF(AND($B$15="Cadre N1/N2",N29/O29&gt;=_xlfn.XLOOKUP("Cadre "&amp;_xlfn.XLOOKUP(F29,$B$6:$B$11,$K$6:$K$11,"",0,1),Distances!$D$2:$D$77,Distances!$L$2:$L$77,"",0,1)),_xlfn.XLOOKUP("Cadre "&amp;_xlfn.XLOOKUP(F29,$B$6:$B$11,$K$6:$K$11,"",0,1),Distances!$D$2:$D$77,Distances!$R$2:$R$77,"",0,1),IF(N29/O29&gt;_xlfn.XLOOKUP($B$15,Distances!$D$2:$D$77,Distances!$N$2:$N$77,"",0,1),_xlfn.XLOOKUP($B$15,Distances!$D$2:$D$77,Distances!$T$2:$T$77,"",0,1),IF(N29/O29&gt;=_xlfn.XLOOKUP($B$15,Distances!$D$2:$D$77,Distances!$L$2:$L$77,"",0,1),_xlfn.XLOOKUP($B$15,Distances!$D$2:$D$77,Distances!$R$2:$R$77,"",0,1),0))))))),"")</f>
        <v/>
      </c>
      <c r="AX29" s="319" t="str">
        <f>IFERROR(IF(AND(LEFT($B$15)="3",P29/O29&gt;_xlfn.XLOOKUP($B$15,Distances!$D$2:$D$77,Distances!$N$2:$N$77,"",0,1)),_xlfn.XLOOKUP($B$15,Distances!$D$2:$D$77,Distances!$T$2:$T$77,"",0,1),IF(AND(LEFT($B$15)="3",P29/O29&gt;_xlfn.XLOOKUP($B$15,Distances!$D$2:$D$77,Distances!$M$2:$M$77,"",0,1)),_xlfn.XLOOKUP($B$15,Distances!$D$2:$D$77,Distances!$S$2:$S$77,"",0,1),IF(AND(LEFT($B$15)="3",P29/O29&gt;=_xlfn.XLOOKUP($B$15,Distances!$D$2:$D$77,Distances!$L$2:$L$77,"",0,1)),_xlfn.XLOOKUP($B$15,Distances!$D$2:$D$77,Distances!$R$2:$R$77,"",0,1),IF(AND($B$15="Cadre N1/N2",P29/O29&gt;_xlfn.XLOOKUP("Cadre "&amp;_xlfn.XLOOKUP(U29,$B$6:$B$11,$K$6:$K$11,"",0,1),Distances!$D$2:$D$77,Distances!$N$2:$N$77,"",0,1)),_xlfn.XLOOKUP("Cadre "&amp;_xlfn.XLOOKUP(U29,$B$6:$B$11,$K$6:$K$11,"",0,1),Distances!$D$2:$D$77,Distances!$T$2:$T$77,"",0,1),IF(AND($B$15="Cadre N1/N2",P29/O29&gt;=_xlfn.XLOOKUP("Cadre "&amp;_xlfn.XLOOKUP(U29,$B$6:$B$11,$K$6:$K$11,"",0,1),Distances!$D$2:$D$77,Distances!$L$2:$L$77,"",0,1)),_xlfn.XLOOKUP("Cadre "&amp;_xlfn.XLOOKUP(U29,$B$6:$B$11,$K$6:$K$11,"",0,1),Distances!$D$2:$D$77,Distances!$R$2:$R$77,"",0,1),IF(P29/O29&gt;_xlfn.XLOOKUP($B$15,Distances!$D$2:$D$77,Distances!$N$2:$N$77,"",0,1),_xlfn.XLOOKUP($B$15,Distances!$D$2:$D$77,Distances!$T$2:$T$77,"",0,1),IF(P29/O29&gt;=_xlfn.XLOOKUP($B$15,Distances!$D$2:$D$77,Distances!$L$2:$L$77,"",0,1),_xlfn.XLOOKUP($B$15,Distances!$D$2:$D$77,Distances!$R$2:$R$77,"",0,1),0))))))),"")</f>
        <v/>
      </c>
      <c r="BB29" s="724"/>
      <c r="BC29" s="157"/>
      <c r="BD29" s="157"/>
      <c r="BE29" s="157"/>
      <c r="BF29" s="157"/>
      <c r="BG29" s="157"/>
      <c r="BH29" s="157"/>
      <c r="BI29" s="157"/>
      <c r="BJ29" s="157"/>
      <c r="BK29" s="157"/>
      <c r="BL29" s="157"/>
      <c r="BM29" s="163"/>
      <c r="BV29" s="292" t="s">
        <v>5489</v>
      </c>
      <c r="BW29" s="223" t="str" cm="1">
        <f t="array" ref="BW29">_xlfn.SINGLE(_xlfn.XLOOKUP(A10&amp;A7,G18:G32&amp;V18:V32,N18:N32,_xlfn.XLOOKUP(A7&amp;A10,G18:G32&amp;V18:V32,P18:P32,"",0,1),0,1))</f>
        <v/>
      </c>
      <c r="BX29" s="223" t="str" cm="1">
        <f t="array" ref="BX29">_xlfn.XLOOKUP(A10&amp;A7,G18:G32&amp;V18:V32,P18:P32,_xlfn.XLOOKUP(A7&amp;A10,G18:G32&amp;V18:V32,N18:N32,"",0,1),0,1)</f>
        <v/>
      </c>
      <c r="BY29" s="223" t="str" cm="1">
        <f t="array" ref="BY29">_xlfn.XLOOKUP(A10&amp;A7,$G$18:$G$32&amp;$V$18:$V$32,$M$18:$M$32,"",0,1)</f>
        <v/>
      </c>
      <c r="BZ29" s="223" t="str" cm="1">
        <f t="array" ref="BZ29">_xlfn.XLOOKUP(A10&amp;A7,$G$18:$G$32&amp;$V$18:$V$32,$Q$18:$Q$32,"",0,1)</f>
        <v/>
      </c>
      <c r="CA29" s="223" t="str" cm="1">
        <f t="array" ref="CA29">_xlfn.XLOOKUP(A10&amp;A7,G18:G32&amp;V18:V32,O18:O32,_xlfn.XLOOKUP(A7&amp;A10,G18:G32&amp;V18:V32,O18:O32,"",0,1),0,1)</f>
        <v/>
      </c>
      <c r="CB29" s="293" t="str" cm="1">
        <f t="array" ref="CB29">_xlfn.XLOOKUP(A10&amp;A7,G18:G32&amp;V18:V32,A18:A32,"",0,1)</f>
        <v/>
      </c>
      <c r="CC29" s="237" t="str">
        <f>IF(COUNTBLANK($AO$6:$AO$11)=2,SUM(BW29,BX12),IF(BW29="",BX12,BW29))</f>
        <v/>
      </c>
      <c r="CD29" s="223" t="str">
        <f>IF(CC29="Ab.","",IF(BY29="",BZ12,BY29))</f>
        <v/>
      </c>
      <c r="CE29" s="223" t="str">
        <f t="shared" si="20"/>
        <v/>
      </c>
      <c r="CF29" s="294" t="str">
        <f>IF(CB29="",CB12,CB29)</f>
        <v/>
      </c>
      <c r="CG29" s="295" t="str" cm="1">
        <f t="array" ref="CG29">_xlfn.XLOOKUP(BV29,$G$18:$G$32&amp;"-"&amp;$V$18:$V$32,$D$18:$D$32,_xlfn.XLOOKUP(BV12,$G$18:$G$32&amp;"-"&amp;$V$18:$V$32,$X$18:$X$32,"",0,1),0,1)</f>
        <v/>
      </c>
      <c r="CH29" s="175" t="str" cm="1">
        <f t="array" ref="CH29">_xlfn.XLOOKUP(BV29,$G$18:$G$32&amp;"-"&amp;$V$18:$V$32,$AS$18:$AS$32,_xlfn.XLOOKUP(BV12,$G$18:$G$32&amp;"-"&amp;$V$18:$V$32,$AT$18:$AT$32,"",0,1),0,1)</f>
        <v/>
      </c>
      <c r="CI29" s="818"/>
      <c r="CJ29" s="821"/>
      <c r="CK29" s="557">
        <f t="shared" si="21"/>
        <v>2</v>
      </c>
      <c r="CL29" s="557" t="b">
        <f t="shared" si="19"/>
        <v>0</v>
      </c>
    </row>
    <row r="30" spans="1:90" ht="15" customHeight="1" thickBot="1" x14ac:dyDescent="0.3">
      <c r="A30" s="245" t="str">
        <f>IF($AO$4&lt;=4,"",IF(OR(O30&gt;0,N30="ab.",P30="ab."),"P",""))</f>
        <v/>
      </c>
      <c r="B30" s="60" t="str">
        <f>IF(AO4&lt;5,"",1)</f>
        <v/>
      </c>
      <c r="C30" s="96" t="str">
        <f t="shared" si="24"/>
        <v/>
      </c>
      <c r="D30" s="84" t="str">
        <f>IF(A30="","",IF(N30="ab.",0,IF(P30="ab.",2,IF(AND('GESTION DES JOUEURS'!$D$8&lt;&gt;"Open",O30&gt;0,N30&gt;P30),2,IF(AND('GESTION DES JOUEURS'!$D$8&lt;&gt;"Open",O30&gt;0,N30&lt;P30),0,IF(AND('GESTION DES JOUEURS'!$D$8&lt;&gt;"Open",O30&gt;0,N30=P30),1,IF(AND('GESTION DES JOUEURS'!$D$8="Open",(N30/_xlfn.XLOOKUP(F30,$B$6:$B$11,$AE$6:$AE$11,"",0,1))&gt;(P30/_xlfn.XLOOKUP(U30,$B$6:$B$11,$AE$6:$AE$11,"",0,1))),2,IF(AND('GESTION DES JOUEURS'!$D$8="Open",(N30/_xlfn.XLOOKUP(F30,$B$6:$B$11,$AE$6:$AE$11,"",0,1))=(P30/_xlfn.XLOOKUP(U30,$B$6:$B$11,$AE$6:$AE$11,"",0,1))),1,IF(AND('GESTION DES JOUEURS'!$D$8="Open",(N30/_xlfn.XLOOKUP(F30,$B$6:$B$11,$AE$6:$AE$11,"",0,1))&lt;(P30/_xlfn.XLOOKUP(U30,$B$6:$B$11,$AE$6:$AE$11,"",0,1))),0,"")))))))))</f>
        <v/>
      </c>
      <c r="E30" s="117" t="str">
        <f>IFERROR(IF(AND(D30&gt;0,Y30=FALSE),N30/O30,IF(AND(D30&gt;0,Y30=TRUE),(N30/O30)*_xlfn.XLOOKUP('GESTION DES JOUEURS'!$X$8&amp;RIGHT('GESTION DES JOUEURS'!$Y$8,1),Tableau14[Colonne1],Tableau14[coef. 2,80/3,10],"",0,1),"")),"")</f>
        <v/>
      </c>
      <c r="F30" s="85" t="str">
        <f>IF(AO4&lt;5,"",IF($O$4="M",_xlfn.XLOOKUP('DATA TDJ'!B49,$O$6:$O$11,$B$6:$B$11,_xlfn.XLOOKUP('DATA TDJ'!B49,$M$6:$M$11,$B$6:$B$11," ",0,1),0,1),_xlfn.XLOOKUP('DATA TDJ'!B49,$M$6:$M$11,$B$6:$B$11," ",0,1)))</f>
        <v/>
      </c>
      <c r="G30" s="61" t="str">
        <f t="shared" si="25"/>
        <v/>
      </c>
      <c r="H30" s="729" t="str">
        <f t="shared" si="34"/>
        <v/>
      </c>
      <c r="I30" s="726"/>
      <c r="J30" s="730" t="str">
        <f>IFERROR(VLOOKUP(F30,$B$6:$G$11,2,FALSE),"")</f>
        <v/>
      </c>
      <c r="K30" s="726" t="str">
        <f t="shared" si="33"/>
        <v/>
      </c>
      <c r="L30" s="727"/>
      <c r="M30" s="86"/>
      <c r="N30" s="87"/>
      <c r="O30" s="118"/>
      <c r="P30" s="86"/>
      <c r="Q30" s="87"/>
      <c r="R30" s="731" t="str">
        <f t="shared" si="26"/>
        <v/>
      </c>
      <c r="S30" s="732"/>
      <c r="T30" s="83" t="str">
        <f t="shared" si="27"/>
        <v/>
      </c>
      <c r="U30" s="88" t="str">
        <f>IF(AO4&lt;5,"",IF($O$4="M",_xlfn.XLOOKUP('DATA TDJ'!C49,$O$6:$O$11,$B$6:$B$11,_xlfn.XLOOKUP('DATA TDJ'!C49,$M$6:$M$11,$B$6:$B$11," ",0,1),0,1),_xlfn.XLOOKUP('DATA TDJ'!C49,$M$6:$M$11,$B$6:$B$11," ",0,1)))</f>
        <v/>
      </c>
      <c r="V30" s="62" t="str">
        <f t="shared" si="28"/>
        <v/>
      </c>
      <c r="W30" s="119" t="str">
        <f>IFERROR(IF(AND(X30&gt;0,Y30=FALSE),P30/O30,IF(AND(X30&gt;0,Y30=TRUE),(P30/O30)*_xlfn.XLOOKUP('GESTION DES JOUEURS'!$X$8&amp;RIGHT('GESTION DES JOUEURS'!$Y$8,1),Tableau14[Colonne1],Tableau14[coef. 2,80/3,10],"",0,1),"")),"")</f>
        <v/>
      </c>
      <c r="X30" s="63" t="str">
        <f>IF(A30="","",IF(P30="ab.",0,IF(N30="ab.",2,IF(AND('GESTION DES JOUEURS'!$D$8&lt;&gt;"Open",O30&gt;0,P30&gt;N30),2,IF(AND('GESTION DES JOUEURS'!$D$8&lt;&gt;"Open",O30&gt;0,P30&lt;N30),0,IF(AND('GESTION DES JOUEURS'!$D$8&lt;&gt;"Open",O30&gt;0,P30=N30),1,IF(AND('GESTION DES JOUEURS'!$D$8="Open",(P30/_xlfn.XLOOKUP(U30,$B$6:$B$11,$AE$6:$AE$11,"",0,1))&gt;(N30/_xlfn.XLOOKUP(F30,$B$6:$B$11,$AE$6:$AE$11,"",0,1))),2,IF(AND('GESTION DES JOUEURS'!$D$8="Open",(P30/_xlfn.XLOOKUP(U30,$B$6:$B$11,$AE$6:$AE$11,"",0,1))=(N30/_xlfn.XLOOKUP(F30,$B$6:$B$11,$AE$6:$AE$11,"",0,1))),1,IF(AND('GESTION DES JOUEURS'!$D$8="Open",(P30/_xlfn.XLOOKUP(U30,$B$6:$B$11,$AE$6:$AE$11,"",0,1))&lt;(N30/_xlfn.XLOOKUP(F30,$B$6:$B$11,$AE$6:$AE$11,"",0,1))),0,"")))))))))</f>
        <v/>
      </c>
      <c r="Y30" s="678" t="b">
        <v>0</v>
      </c>
      <c r="AA30" s="913"/>
      <c r="AN30" s="244"/>
      <c r="AO30" s="248"/>
      <c r="AP30" s="325" t="str">
        <f t="shared" si="30"/>
        <v/>
      </c>
      <c r="AQ30" s="325" t="str">
        <f t="shared" si="29"/>
        <v/>
      </c>
      <c r="AR30" s="326">
        <f t="shared" si="31"/>
        <v>2</v>
      </c>
      <c r="AS30" s="317">
        <f t="shared" si="32"/>
        <v>0</v>
      </c>
      <c r="AT30" s="318">
        <f t="shared" si="32"/>
        <v>0</v>
      </c>
      <c r="AU30" s="317" t="str" cm="1">
        <f t="array" ref="AU30">IFERROR(IF(OR($B$15="Cadre N1/N2",$B$15="Bande R1/R2",$B$15="3 Bandes R1/R2"),IF(_xlfn.XLOOKUP(F30,Tableau19[Licence],'GESTION DES JOUEURS'!$Q$11:$Q$46,"",0,1)&gt;_xlfn.XLOOKUP(U30,Tableau19[Licence],'GESTION DES JOUEURS'!$Q$11:$Q$46,"",0,1),D30+1,""),""),"")</f>
        <v/>
      </c>
      <c r="AV30" s="319" t="str" cm="1">
        <f t="array" ref="AV30">IFERROR(IF(OR($B$15="Cadre N1/N2",$B$15="Bande R1/R2",$B$15="3 Bandes R1/R2"),IF(_xlfn.XLOOKUP(F30,Tableau19[Licence],'GESTION DES JOUEURS'!$Q$11:$Q$46,"",0,1)&lt;_xlfn.XLOOKUP(U30,Tableau19[Licence],'GESTION DES JOUEURS'!$Q$11:$Q$46,"",0,1),X30+1,""),""),"")</f>
        <v/>
      </c>
      <c r="AW30" s="320" t="str">
        <f>IFERROR(IF(AND(LEFT($B$15)="3",N30/O30&gt;_xlfn.XLOOKUP($B$15,Distances!$D$2:$D$77,Distances!$N$2:$N$77,"",0,1)),_xlfn.XLOOKUP($B$15,Distances!$D$2:$D$77,Distances!$T$2:$T$77,"",0,1),IF(AND(LEFT($B$15)="3",N30/O30&gt;_xlfn.XLOOKUP($B$15,Distances!$D$2:$D$77,Distances!$M$2:$M$77,"",0,1)),_xlfn.XLOOKUP($B$15,Distances!$D$2:$D$77,Distances!$S$2:$S$77,"",0,1),IF(AND(LEFT($B$15)="3",N30/O30&gt;=_xlfn.XLOOKUP($B$15,Distances!$D$2:$D$77,Distances!$L$2:$L$77,"",0,1)),_xlfn.XLOOKUP($B$15,Distances!$D$2:$D$77,Distances!$R$2:$R$77,"",0,1),IF(AND($B$15="Cadre N1/N2",N30/O30&gt;_xlfn.XLOOKUP("Cadre "&amp;_xlfn.XLOOKUP(F30,$B$6:$B$11,$K$6:$K$11,"",0,1),Distances!$D$2:$D$77,Distances!$N$2:$N$77,"",0,1)),_xlfn.XLOOKUP("Cadre "&amp;_xlfn.XLOOKUP(F30,$B$6:$B$11,$K$6:$K$11,"",0,1),Distances!$D$2:$D$77,Distances!$T$2:$T$77,"",0,1),IF(AND($B$15="Cadre N1/N2",N30/O30&gt;=_xlfn.XLOOKUP("Cadre "&amp;_xlfn.XLOOKUP(F30,$B$6:$B$11,$K$6:$K$11,"",0,1),Distances!$D$2:$D$77,Distances!$L$2:$L$77,"",0,1)),_xlfn.XLOOKUP("Cadre "&amp;_xlfn.XLOOKUP(F30,$B$6:$B$11,$K$6:$K$11,"",0,1),Distances!$D$2:$D$77,Distances!$R$2:$R$77,"",0,1),IF(N30/O30&gt;_xlfn.XLOOKUP($B$15,Distances!$D$2:$D$77,Distances!$N$2:$N$77,"",0,1),_xlfn.XLOOKUP($B$15,Distances!$D$2:$D$77,Distances!$T$2:$T$77,"",0,1),IF(N30/O30&gt;=_xlfn.XLOOKUP($B$15,Distances!$D$2:$D$77,Distances!$L$2:$L$77,"",0,1),_xlfn.XLOOKUP($B$15,Distances!$D$2:$D$77,Distances!$R$2:$R$77,"",0,1),0))))))),"")</f>
        <v/>
      </c>
      <c r="AX30" s="319" t="str">
        <f>IFERROR(IF(AND(LEFT($B$15)="3",P30/O30&gt;_xlfn.XLOOKUP($B$15,Distances!$D$2:$D$77,Distances!$N$2:$N$77,"",0,1)),_xlfn.XLOOKUP($B$15,Distances!$D$2:$D$77,Distances!$T$2:$T$77,"",0,1),IF(AND(LEFT($B$15)="3",P30/O30&gt;_xlfn.XLOOKUP($B$15,Distances!$D$2:$D$77,Distances!$M$2:$M$77,"",0,1)),_xlfn.XLOOKUP($B$15,Distances!$D$2:$D$77,Distances!$S$2:$S$77,"",0,1),IF(AND(LEFT($B$15)="3",P30/O30&gt;=_xlfn.XLOOKUP($B$15,Distances!$D$2:$D$77,Distances!$L$2:$L$77,"",0,1)),_xlfn.XLOOKUP($B$15,Distances!$D$2:$D$77,Distances!$R$2:$R$77,"",0,1),IF(AND($B$15="Cadre N1/N2",P30/O30&gt;_xlfn.XLOOKUP("Cadre "&amp;_xlfn.XLOOKUP(U30,$B$6:$B$11,$K$6:$K$11,"",0,1),Distances!$D$2:$D$77,Distances!$N$2:$N$77,"",0,1)),_xlfn.XLOOKUP("Cadre "&amp;_xlfn.XLOOKUP(U30,$B$6:$B$11,$K$6:$K$11,"",0,1),Distances!$D$2:$D$77,Distances!$T$2:$T$77,"",0,1),IF(AND($B$15="Cadre N1/N2",P30/O30&gt;=_xlfn.XLOOKUP("Cadre "&amp;_xlfn.XLOOKUP(U30,$B$6:$B$11,$K$6:$K$11,"",0,1),Distances!$D$2:$D$77,Distances!$L$2:$L$77,"",0,1)),_xlfn.XLOOKUP("Cadre "&amp;_xlfn.XLOOKUP(U30,$B$6:$B$11,$K$6:$K$11,"",0,1),Distances!$D$2:$D$77,Distances!$R$2:$R$77,"",0,1),IF(P30/O30&gt;_xlfn.XLOOKUP($B$15,Distances!$D$2:$D$77,Distances!$N$2:$N$77,"",0,1),_xlfn.XLOOKUP($B$15,Distances!$D$2:$D$77,Distances!$T$2:$T$77,"",0,1),IF(P30/O30&gt;=_xlfn.XLOOKUP($B$15,Distances!$D$2:$D$77,Distances!$L$2:$L$77,"",0,1),_xlfn.XLOOKUP($B$15,Distances!$D$2:$D$77,Distances!$R$2:$R$77,"",0,1),0))))))),"")</f>
        <v/>
      </c>
      <c r="BB30" s="724"/>
      <c r="BC30" s="234">
        <f>IF(SUM(BC17:BC22)=21,1,IF(BG26=FALSE,_xlfn.XLOOKUP(BG25,$BK$17:$BK$22,$BM$17:$BM$22,"",0,1),BG26))</f>
        <v>1</v>
      </c>
      <c r="BD30" s="167">
        <f>IF(SUM(BC17:BC22)=21,2,IF(BH26=FALSE,_xlfn.XLOOKUP(BH25,$BK$17:$BK$22,$BM$17:$BM$22,"",0,1),BH26))</f>
        <v>2</v>
      </c>
      <c r="BE30" s="167">
        <f>IF(SUM(BC17:BC22)=21,3,IF(BI26=FALSE,_xlfn.XLOOKUP(BI25,$BK$17:$BK$22,$BM$17:$BM$22,"",0,1),BI26))</f>
        <v>3</v>
      </c>
      <c r="BF30" s="167">
        <f>IF(SUM(BC17:BC22)=21,4,IF(BI27=FALSE,_xlfn.XLOOKUP(BI28,$BK$17:$BK$22,$BM$17:$BM$22,"",0,1),BI27))</f>
        <v>4</v>
      </c>
      <c r="BG30" s="167">
        <f>IF(SUM(BC17:BC22)=21,5,IF(BH27=FALSE,_xlfn.XLOOKUP(BH28,$BK$17:$BK$22,$BM$17:$BM$22,"",0,1),BH27))</f>
        <v>5</v>
      </c>
      <c r="BH30" s="167">
        <f>IF(SUM(BC17:BC22)=21,6,IF(BG27=FALSE,_xlfn.XLOOKUP(BG28,$BK$17:$BK$22,$BM$17:$BM$22,"",0,1),BG27))</f>
        <v>6</v>
      </c>
      <c r="BI30" s="157"/>
      <c r="BJ30" s="157"/>
      <c r="BK30" s="157"/>
      <c r="BL30" s="157"/>
      <c r="BM30" s="163"/>
      <c r="BV30" s="296" t="s">
        <v>5490</v>
      </c>
      <c r="BW30" s="297" t="str" cm="1">
        <f t="array" ref="BW30">_xlfn.SINGLE(_xlfn.XLOOKUP(A10&amp;A6,G18:G32&amp;V18:V32,N18:N32,_xlfn.XLOOKUP(A6&amp;A10,G18:G32&amp;V18:V32,P18:P32,"",0,1),0,1))</f>
        <v/>
      </c>
      <c r="BX30" s="297" t="str" cm="1">
        <f t="array" ref="BX30">_xlfn.XLOOKUP(A10&amp;A6,G18:G32&amp;V18:V32,P18:P32,_xlfn.XLOOKUP(A6&amp;A10,G18:G32&amp;V18:V32,N18:N32,"",0,1),0,1)</f>
        <v/>
      </c>
      <c r="BY30" s="297" t="str" cm="1">
        <f t="array" ref="BY30">_xlfn.XLOOKUP(A10&amp;A6,$G$18:$G$32&amp;$V$18:$V$32,$M$18:$M$32,"",0,1)</f>
        <v/>
      </c>
      <c r="BZ30" s="297" t="str" cm="1">
        <f t="array" ref="BZ30">_xlfn.XLOOKUP(A10&amp;A6,$G$18:$G$32&amp;$V$18:$V$32,$Q$18:$Q$32,"",0,1)</f>
        <v/>
      </c>
      <c r="CA30" s="297" t="str" cm="1">
        <f t="array" ref="CA30">_xlfn.XLOOKUP(A10&amp;A6,G18:G32&amp;V18:V32,O18:O32,_xlfn.XLOOKUP(A6&amp;A10,G18:G32&amp;V18:V32,O18:O32,"",0,1),0,1)</f>
        <v/>
      </c>
      <c r="CB30" s="298" t="str" cm="1">
        <f t="array" ref="CB30">_xlfn.XLOOKUP(A10&amp;A6,G18:G32&amp;V18:V32,A18:A32,"",0,1)</f>
        <v/>
      </c>
      <c r="CC30" s="299" t="str">
        <f>IF(COUNTBLANK($AO$6:$AO$11)=2,SUM(BW30,BX7),IF(BW30="",BX7,BW30))</f>
        <v/>
      </c>
      <c r="CD30" s="297" t="str">
        <f>IF(CC30="Ab.","",IF(BY30="",BZ7,BY30))</f>
        <v/>
      </c>
      <c r="CE30" s="297" t="str">
        <f t="shared" si="20"/>
        <v/>
      </c>
      <c r="CF30" s="300" t="str">
        <f>IF(CB30="",CB7,CB30)</f>
        <v/>
      </c>
      <c r="CG30" s="301" t="str" cm="1">
        <f t="array" ref="CG30">_xlfn.XLOOKUP(BV30,$G$18:$G$32&amp;"-"&amp;$V$18:$V$32,$D$18:$D$32,_xlfn.XLOOKUP(BV7,$G$18:$G$32&amp;"-"&amp;$V$18:$V$32,$X$18:$X$32,"",0,1),0,1)</f>
        <v/>
      </c>
      <c r="CH30" s="302" t="str" cm="1">
        <f t="array" ref="CH30">_xlfn.XLOOKUP(BV30,$G$18:$G$32&amp;"-"&amp;$V$18:$V$32,$AS$18:$AS$32,_xlfn.XLOOKUP(BV7,$G$18:$G$32&amp;"-"&amp;$V$18:$V$32,$AT$18:$AT$32,"",0,1),0,1)</f>
        <v/>
      </c>
      <c r="CI30" s="819"/>
      <c r="CJ30" s="822"/>
      <c r="CK30" s="557">
        <f t="shared" si="21"/>
        <v>1</v>
      </c>
      <c r="CL30" s="557" t="b">
        <f t="shared" si="19"/>
        <v>0</v>
      </c>
    </row>
    <row r="31" spans="1:90" ht="15" customHeight="1" thickBot="1" x14ac:dyDescent="0.3">
      <c r="A31" s="245" t="str">
        <f>IF($AO$4&lt;=4,"",IF(OR(O31&gt;0,N31="ab.",P31="ab."),"P",""))</f>
        <v/>
      </c>
      <c r="B31" s="56" t="str">
        <f>IF(AO4&lt;5,"",2)</f>
        <v/>
      </c>
      <c r="C31" s="95" t="str">
        <f t="shared" si="24"/>
        <v/>
      </c>
      <c r="D31" s="79" t="str">
        <f>IF(A31="","",IF(N31="ab.",0,IF(P31="ab.",2,IF(AND('GESTION DES JOUEURS'!$D$8&lt;&gt;"Open",O31&gt;0,N31&gt;P31),2,IF(AND('GESTION DES JOUEURS'!$D$8&lt;&gt;"Open",O31&gt;0,N31&lt;P31),0,IF(AND('GESTION DES JOUEURS'!$D$8&lt;&gt;"Open",O31&gt;0,N31=P31),1,IF(AND('GESTION DES JOUEURS'!$D$8="Open",(N31/_xlfn.XLOOKUP(F31,$B$6:$B$11,$AE$6:$AE$11,"",0,1))&gt;(P31/_xlfn.XLOOKUP(U31,$B$6:$B$11,$AE$6:$AE$11,"",0,1))),2,IF(AND('GESTION DES JOUEURS'!$D$8="Open",(N31/_xlfn.XLOOKUP(F31,$B$6:$B$11,$AE$6:$AE$11,"",0,1))=(P31/_xlfn.XLOOKUP(U31,$B$6:$B$11,$AE$6:$AE$11,"",0,1))),1,IF(AND('GESTION DES JOUEURS'!$D$8="Open",(N31/_xlfn.XLOOKUP(F31,$B$6:$B$11,$AE$6:$AE$11,"",0,1))&lt;(P31/_xlfn.XLOOKUP(U31,$B$6:$B$11,$AE$6:$AE$11,"",0,1))),0,"")))))))))</f>
        <v/>
      </c>
      <c r="E31" s="113" t="str">
        <f>IFERROR(IF(AND(D31&gt;0,Y31=FALSE),N31/O31,IF(AND(D31&gt;0,Y31=TRUE),(N31/O31)*_xlfn.XLOOKUP('GESTION DES JOUEURS'!$X$8&amp;RIGHT('GESTION DES JOUEURS'!$Y$8,1),Tableau14[Colonne1],Tableau14[coef. 2,80/3,10],"",0,1),"")),"")</f>
        <v/>
      </c>
      <c r="F31" s="80" t="str">
        <f>IF(AO4&lt;5,"",IF($O$4="M",_xlfn.XLOOKUP('DATA TDJ'!B50,$O$6:$O$11,$B$6:$B$11,_xlfn.XLOOKUP('DATA TDJ'!B50,$M$6:$M$11,$B$6:$B$11," ",0,1),0,1),_xlfn.XLOOKUP('DATA TDJ'!B50,$M$6:$M$11,$B$6:$B$11," ",0,1)))</f>
        <v/>
      </c>
      <c r="G31" s="57" t="str">
        <f t="shared" si="25"/>
        <v/>
      </c>
      <c r="H31" s="729" t="str">
        <f t="shared" si="34"/>
        <v/>
      </c>
      <c r="I31" s="726"/>
      <c r="J31" s="730" t="str">
        <f>IFERROR(VLOOKUP(F31,$B$6:$G$11,2,FALSE),"")</f>
        <v/>
      </c>
      <c r="K31" s="726" t="str">
        <f t="shared" si="33"/>
        <v/>
      </c>
      <c r="L31" s="727"/>
      <c r="M31" s="81"/>
      <c r="N31" s="82"/>
      <c r="O31" s="114"/>
      <c r="P31" s="81"/>
      <c r="Q31" s="82"/>
      <c r="R31" s="731" t="str">
        <f t="shared" si="26"/>
        <v/>
      </c>
      <c r="S31" s="732"/>
      <c r="T31" s="83" t="str">
        <f t="shared" si="27"/>
        <v/>
      </c>
      <c r="U31" s="83" t="str">
        <f>IF(AO4&lt;5,"",IF($O$4="M",_xlfn.XLOOKUP('DATA TDJ'!C50,$O$6:$O$11,$B$6:$B$11,_xlfn.XLOOKUP('DATA TDJ'!C50,$M$6:$M$11,$B$6:$B$11," ",0,1),0,1),_xlfn.XLOOKUP('DATA TDJ'!C50,$M$6:$M$11,$B$6:$B$11," ",0,1)))</f>
        <v/>
      </c>
      <c r="V31" s="58" t="str">
        <f t="shared" si="28"/>
        <v/>
      </c>
      <c r="W31" s="115" t="str">
        <f>IFERROR(IF(AND(X31&gt;0,Y31=FALSE),P31/O31,IF(AND(X31&gt;0,Y31=TRUE),(P31/O31)*_xlfn.XLOOKUP('GESTION DES JOUEURS'!$X$8&amp;RIGHT('GESTION DES JOUEURS'!$Y$8,1),Tableau14[Colonne1],Tableau14[coef. 2,80/3,10],"",0,1),"")),"")</f>
        <v/>
      </c>
      <c r="X31" s="59" t="str">
        <f>IF(A31="","",IF(P31="ab.",0,IF(N31="ab.",2,IF(AND('GESTION DES JOUEURS'!$D$8&lt;&gt;"Open",O31&gt;0,P31&gt;N31),2,IF(AND('GESTION DES JOUEURS'!$D$8&lt;&gt;"Open",O31&gt;0,P31&lt;N31),0,IF(AND('GESTION DES JOUEURS'!$D$8&lt;&gt;"Open",O31&gt;0,P31=N31),1,IF(AND('GESTION DES JOUEURS'!$D$8="Open",(P31/_xlfn.XLOOKUP(U31,$B$6:$B$11,$AE$6:$AE$11,"",0,1))&gt;(N31/_xlfn.XLOOKUP(F31,$B$6:$B$11,$AE$6:$AE$11,"",0,1))),2,IF(AND('GESTION DES JOUEURS'!$D$8="Open",(P31/_xlfn.XLOOKUP(U31,$B$6:$B$11,$AE$6:$AE$11,"",0,1))=(N31/_xlfn.XLOOKUP(F31,$B$6:$B$11,$AE$6:$AE$11,"",0,1))),1,IF(AND('GESTION DES JOUEURS'!$D$8="Open",(P31/_xlfn.XLOOKUP(U31,$B$6:$B$11,$AE$6:$AE$11,"",0,1))&lt;(N31/_xlfn.XLOOKUP(F31,$B$6:$B$11,$AE$6:$AE$11,"",0,1))),0,"")))))))))</f>
        <v/>
      </c>
      <c r="Y31" s="678" t="b">
        <v>0</v>
      </c>
      <c r="AA31" s="929" t="s">
        <v>8125</v>
      </c>
      <c r="AN31" s="244"/>
      <c r="AO31" s="248"/>
      <c r="AP31" s="325" t="str">
        <f t="shared" si="30"/>
        <v/>
      </c>
      <c r="AQ31" s="325" t="str">
        <f t="shared" si="29"/>
        <v/>
      </c>
      <c r="AR31" s="326">
        <f t="shared" si="31"/>
        <v>2</v>
      </c>
      <c r="AS31" s="317">
        <f t="shared" si="32"/>
        <v>0</v>
      </c>
      <c r="AT31" s="318">
        <f t="shared" si="32"/>
        <v>0</v>
      </c>
      <c r="AU31" s="317" t="str" cm="1">
        <f t="array" ref="AU31">IFERROR(IF(OR($B$15="Cadre N1/N2",$B$15="Bande R1/R2",$B$15="3 Bandes R1/R2"),IF(_xlfn.XLOOKUP(F31,Tableau19[Licence],'GESTION DES JOUEURS'!$Q$11:$Q$46,"",0,1)&gt;_xlfn.XLOOKUP(U31,Tableau19[Licence],'GESTION DES JOUEURS'!$Q$11:$Q$46,"",0,1),D31+1,""),""),"")</f>
        <v/>
      </c>
      <c r="AV31" s="319" t="str" cm="1">
        <f t="array" ref="AV31">IFERROR(IF(OR($B$15="Cadre N1/N2",$B$15="Bande R1/R2",$B$15="3 Bandes R1/R2"),IF(_xlfn.XLOOKUP(F31,Tableau19[Licence],'GESTION DES JOUEURS'!$Q$11:$Q$46,"",0,1)&lt;_xlfn.XLOOKUP(U31,Tableau19[Licence],'GESTION DES JOUEURS'!$Q$11:$Q$46,"",0,1),X31+1,""),""),"")</f>
        <v/>
      </c>
      <c r="AW31" s="320" t="str">
        <f>IFERROR(IF(AND(LEFT($B$15)="3",N31/O31&gt;_xlfn.XLOOKUP($B$15,Distances!$D$2:$D$77,Distances!$N$2:$N$77,"",0,1)),_xlfn.XLOOKUP($B$15,Distances!$D$2:$D$77,Distances!$T$2:$T$77,"",0,1),IF(AND(LEFT($B$15)="3",N31/O31&gt;_xlfn.XLOOKUP($B$15,Distances!$D$2:$D$77,Distances!$M$2:$M$77,"",0,1)),_xlfn.XLOOKUP($B$15,Distances!$D$2:$D$77,Distances!$S$2:$S$77,"",0,1),IF(AND(LEFT($B$15)="3",N31/O31&gt;=_xlfn.XLOOKUP($B$15,Distances!$D$2:$D$77,Distances!$L$2:$L$77,"",0,1)),_xlfn.XLOOKUP($B$15,Distances!$D$2:$D$77,Distances!$R$2:$R$77,"",0,1),IF(AND($B$15="Cadre N1/N2",N31/O31&gt;_xlfn.XLOOKUP("Cadre "&amp;_xlfn.XLOOKUP(F31,$B$6:$B$11,$K$6:$K$11,"",0,1),Distances!$D$2:$D$77,Distances!$N$2:$N$77,"",0,1)),_xlfn.XLOOKUP("Cadre "&amp;_xlfn.XLOOKUP(F31,$B$6:$B$11,$K$6:$K$11,"",0,1),Distances!$D$2:$D$77,Distances!$T$2:$T$77,"",0,1),IF(AND($B$15="Cadre N1/N2",N31/O31&gt;=_xlfn.XLOOKUP("Cadre "&amp;_xlfn.XLOOKUP(F31,$B$6:$B$11,$K$6:$K$11,"",0,1),Distances!$D$2:$D$77,Distances!$L$2:$L$77,"",0,1)),_xlfn.XLOOKUP("Cadre "&amp;_xlfn.XLOOKUP(F31,$B$6:$B$11,$K$6:$K$11,"",0,1),Distances!$D$2:$D$77,Distances!$R$2:$R$77,"",0,1),IF(N31/O31&gt;_xlfn.XLOOKUP($B$15,Distances!$D$2:$D$77,Distances!$N$2:$N$77,"",0,1),_xlfn.XLOOKUP($B$15,Distances!$D$2:$D$77,Distances!$T$2:$T$77,"",0,1),IF(N31/O31&gt;=_xlfn.XLOOKUP($B$15,Distances!$D$2:$D$77,Distances!$L$2:$L$77,"",0,1),_xlfn.XLOOKUP($B$15,Distances!$D$2:$D$77,Distances!$R$2:$R$77,"",0,1),0))))))),"")</f>
        <v/>
      </c>
      <c r="AX31" s="319" t="str">
        <f>IFERROR(IF(AND(LEFT($B$15)="3",P31/O31&gt;_xlfn.XLOOKUP($B$15,Distances!$D$2:$D$77,Distances!$N$2:$N$77,"",0,1)),_xlfn.XLOOKUP($B$15,Distances!$D$2:$D$77,Distances!$T$2:$T$77,"",0,1),IF(AND(LEFT($B$15)="3",P31/O31&gt;_xlfn.XLOOKUP($B$15,Distances!$D$2:$D$77,Distances!$M$2:$M$77,"",0,1)),_xlfn.XLOOKUP($B$15,Distances!$D$2:$D$77,Distances!$S$2:$S$77,"",0,1),IF(AND(LEFT($B$15)="3",P31/O31&gt;=_xlfn.XLOOKUP($B$15,Distances!$D$2:$D$77,Distances!$L$2:$L$77,"",0,1)),_xlfn.XLOOKUP($B$15,Distances!$D$2:$D$77,Distances!$R$2:$R$77,"",0,1),IF(AND($B$15="Cadre N1/N2",P31/O31&gt;_xlfn.XLOOKUP("Cadre "&amp;_xlfn.XLOOKUP(U31,$B$6:$B$11,$K$6:$K$11,"",0,1),Distances!$D$2:$D$77,Distances!$N$2:$N$77,"",0,1)),_xlfn.XLOOKUP("Cadre "&amp;_xlfn.XLOOKUP(U31,$B$6:$B$11,$K$6:$K$11,"",0,1),Distances!$D$2:$D$77,Distances!$T$2:$T$77,"",0,1),IF(AND($B$15="Cadre N1/N2",P31/O31&gt;=_xlfn.XLOOKUP("Cadre "&amp;_xlfn.XLOOKUP(U31,$B$6:$B$11,$K$6:$K$11,"",0,1),Distances!$D$2:$D$77,Distances!$L$2:$L$77,"",0,1)),_xlfn.XLOOKUP("Cadre "&amp;_xlfn.XLOOKUP(U31,$B$6:$B$11,$K$6:$K$11,"",0,1),Distances!$D$2:$D$77,Distances!$R$2:$R$77,"",0,1),IF(P31/O31&gt;_xlfn.XLOOKUP($B$15,Distances!$D$2:$D$77,Distances!$N$2:$N$77,"",0,1),_xlfn.XLOOKUP($B$15,Distances!$D$2:$D$77,Distances!$T$2:$T$77,"",0,1),IF(P31/O31&gt;=_xlfn.XLOOKUP($B$15,Distances!$D$2:$D$77,Distances!$L$2:$L$77,"",0,1),_xlfn.XLOOKUP($B$15,Distances!$D$2:$D$77,Distances!$R$2:$R$77,"",0,1),0))))))),"")</f>
        <v/>
      </c>
      <c r="BB31" s="725"/>
      <c r="BC31" s="235">
        <v>1</v>
      </c>
      <c r="BD31" s="166">
        <v>2</v>
      </c>
      <c r="BE31" s="166">
        <v>3</v>
      </c>
      <c r="BF31" s="166">
        <v>4</v>
      </c>
      <c r="BG31" s="166">
        <v>5</v>
      </c>
      <c r="BH31" s="166">
        <v>6</v>
      </c>
      <c r="BI31" s="164"/>
      <c r="BJ31" s="164"/>
      <c r="BK31" s="164"/>
      <c r="BL31" s="164"/>
      <c r="BM31" s="165"/>
      <c r="BV31" s="286" t="s">
        <v>5491</v>
      </c>
      <c r="BW31" s="287" cm="1">
        <f t="array" ref="BW31">_xlfn.SINGLE(_xlfn.XLOOKUP(A11&amp;A10,G18:G32&amp;V18:V32,N18:N32,_xlfn.XLOOKUP(A10&amp;A11,G18:G32&amp;V18:V32,P18:P32,"",0,1),0,1))</f>
        <v>0</v>
      </c>
      <c r="BX31" s="287" cm="1">
        <f t="array" ref="BX31">_xlfn.XLOOKUP(A11&amp;A10,G18:G32&amp;V18:V32,P18:P32,_xlfn.XLOOKUP(A10&amp;A11,G18:G32&amp;V18:V32,N18:N32,"",0,1),0,1)</f>
        <v>0</v>
      </c>
      <c r="BY31" s="287" cm="1">
        <f t="array" ref="BY31">_xlfn.XLOOKUP(A11&amp;A10,$G$18:$G$32&amp;$V$18:$V$32,$M$18:$M$32,"",0,1)</f>
        <v>0</v>
      </c>
      <c r="BZ31" s="287" cm="1">
        <f t="array" ref="BZ31">_xlfn.XLOOKUP(A11&amp;A10,$G$18:$G$32&amp;$V$18:$V$32,$Q$18:$Q$32,"",0,1)</f>
        <v>0</v>
      </c>
      <c r="CA31" s="287" cm="1">
        <f t="array" ref="CA31">_xlfn.XLOOKUP(A11&amp;A10,G18:G32&amp;V18:V32,O18:O32,_xlfn.XLOOKUP(A10&amp;A11,G18:G32&amp;V18:V32,O18:O32,"",0,1),0,1)</f>
        <v>0</v>
      </c>
      <c r="CB31" s="288" t="str" cm="1">
        <f t="array" ref="CB31">_xlfn.XLOOKUP(A11&amp;A10,G18:G32&amp;V18:V32,A18:A32,"",0,1)</f>
        <v/>
      </c>
      <c r="CC31" s="289">
        <f>IF(COUNTBLANK($AO$6:$AO$11)=2,SUM(BW31,BX26),IF(BW31="",BX26,BW31))</f>
        <v>0</v>
      </c>
      <c r="CD31" s="287">
        <f>IF(CC31="Ab.","",IF(BY31="",BZ26,BY31))</f>
        <v>0</v>
      </c>
      <c r="CE31" s="287">
        <f t="shared" si="20"/>
        <v>0</v>
      </c>
      <c r="CF31" s="290" t="str">
        <f>IF(CB31="",CB26,CB31)</f>
        <v/>
      </c>
      <c r="CG31" s="291" t="str" cm="1">
        <f t="array" ref="CG31">_xlfn.XLOOKUP(BV31,$G$18:$G$32&amp;"-"&amp;$V$18:$V$32,$D$18:$D$32,_xlfn.XLOOKUP(BV26,$G$18:$G$32&amp;"-"&amp;$V$18:$V$32,$X$18:$X$32,"",0,1),0,1)</f>
        <v/>
      </c>
      <c r="CH31" s="174" t="str" cm="1">
        <f t="array" ref="CH31">_xlfn.XLOOKUP(BV31,$G$18:$G$32&amp;"-"&amp;$V$18:$V$32,$AS$18:$AS$32,_xlfn.XLOOKUP(BV26,$G$18:$G$32&amp;"-"&amp;$V$18:$V$32,$AT$18:$AT$32,"",0,1),0,1)</f>
        <v/>
      </c>
      <c r="CI31" s="817" t="str">
        <f>IFERROR(IF('GESTION DES JOUEURS'!$D$8="Open",SUMIF(CF31:CF35,"P",BW31:BW35)/(COUNTIF(CF31:CF35,"P")*AE11),""),0)</f>
        <v/>
      </c>
      <c r="CJ31" s="820" t="str">
        <f>IFERROR(IF('GESTION DES JOUEURS'!$D$8="Open",SUMIF(CF31:CF35,"P",BX31:BX35)/SUMIF(CF31:CF35,"P",CL31:CL35),""),0)</f>
        <v/>
      </c>
      <c r="CK31" s="557">
        <f t="shared" si="21"/>
        <v>5</v>
      </c>
      <c r="CL31" s="557" t="str">
        <f t="shared" si="19"/>
        <v/>
      </c>
    </row>
    <row r="32" spans="1:90" ht="15" customHeight="1" thickBot="1" x14ac:dyDescent="0.3">
      <c r="A32" s="245" t="str">
        <f>IF($AO$4&lt;=5,"",IF(OR(O32&gt;0,N32="ab.",P32="ab."),"P",""))</f>
        <v/>
      </c>
      <c r="B32" s="64" t="str">
        <f>IF(AO4&lt;6,"",3)</f>
        <v/>
      </c>
      <c r="C32" s="97" t="str">
        <f t="shared" si="24"/>
        <v/>
      </c>
      <c r="D32" s="89" t="str">
        <f>IF(A32="","",IF(N32="ab.",0,IF(P32="ab.",2,IF(AND('GESTION DES JOUEURS'!$D$8&lt;&gt;"Open",O32&gt;0,N32&gt;P32),2,IF(AND('GESTION DES JOUEURS'!$D$8&lt;&gt;"Open",O32&gt;0,N32&lt;P32),0,IF(AND('GESTION DES JOUEURS'!$D$8&lt;&gt;"Open",O32&gt;0,N32=P32),1,IF(AND('GESTION DES JOUEURS'!$D$8="Open",(N32/_xlfn.XLOOKUP(F32,$B$6:$B$11,$AE$6:$AE$11,"",0,1))&gt;(P32/_xlfn.XLOOKUP(U32,$B$6:$B$11,$AE$6:$AE$11,"",0,1))),2,IF(AND('GESTION DES JOUEURS'!$D$8="Open",(N32/_xlfn.XLOOKUP(F32,$B$6:$B$11,$AE$6:$AE$11,"",0,1))=(P32/_xlfn.XLOOKUP(U32,$B$6:$B$11,$AE$6:$AE$11,"",0,1))),1,IF(AND('GESTION DES JOUEURS'!$D$8="Open",(N32/_xlfn.XLOOKUP(F32,$B$6:$B$11,$AE$6:$AE$11,"",0,1))&lt;(P32/_xlfn.XLOOKUP(U32,$B$6:$B$11,$AE$6:$AE$11,"",0,1))),0,"")))))))))</f>
        <v/>
      </c>
      <c r="E32" s="120" t="str">
        <f>IFERROR(IF(AND(D32&gt;0,Y32=FALSE),N32/O32,IF(AND(D32&gt;0,Y32=TRUE),(N32/O32)*_xlfn.XLOOKUP('GESTION DES JOUEURS'!$X$8&amp;RIGHT('GESTION DES JOUEURS'!$Y$8,1),Tableau14[Colonne1],Tableau14[coef. 2,80/3,10],"",0,1),"")),"")</f>
        <v/>
      </c>
      <c r="F32" s="90" t="str">
        <f>IF(AO4&lt;5,"",IF($O$4="M",_xlfn.XLOOKUP('DATA TDJ'!B51,$O$6:$O$11,$B$6:$B$11,_xlfn.XLOOKUP('DATA TDJ'!B51,$M$6:$M$11,$B$6:$B$11," ",0,1),0,1),_xlfn.XLOOKUP('DATA TDJ'!B51,$M$6:$M$11,$B$6:$B$11," ",0,1)))</f>
        <v/>
      </c>
      <c r="G32" s="65" t="str">
        <f t="shared" si="25"/>
        <v/>
      </c>
      <c r="H32" s="738" t="str">
        <f t="shared" si="34"/>
        <v/>
      </c>
      <c r="I32" s="739"/>
      <c r="J32" s="740" t="str">
        <f>IFERROR(VLOOKUP(F32,$B$6:$G$11,2,FALSE),"")</f>
        <v/>
      </c>
      <c r="K32" s="739" t="str">
        <f t="shared" si="33"/>
        <v/>
      </c>
      <c r="L32" s="779"/>
      <c r="M32" s="91"/>
      <c r="N32" s="92"/>
      <c r="O32" s="121"/>
      <c r="P32" s="91"/>
      <c r="Q32" s="92"/>
      <c r="R32" s="757" t="str">
        <f t="shared" si="26"/>
        <v/>
      </c>
      <c r="S32" s="758"/>
      <c r="T32" s="355" t="str">
        <f t="shared" si="27"/>
        <v/>
      </c>
      <c r="U32" s="93" t="str">
        <f>IF(AO4&lt;5,"",IF($O$4="M",_xlfn.XLOOKUP('DATA TDJ'!C51,$O$6:$O$11,$B$6:$B$11,_xlfn.XLOOKUP('DATA TDJ'!C51,$M$6:$M$11,$B$6:$B$11," ",0,1),0,1),_xlfn.XLOOKUP('DATA TDJ'!C51,$M$6:$M$11,$B$6:$B$11," ",0,1)))</f>
        <v/>
      </c>
      <c r="V32" s="66" t="str">
        <f t="shared" si="28"/>
        <v/>
      </c>
      <c r="W32" s="122" t="str">
        <f>IFERROR(IF(AND(X32&gt;0,Y32=FALSE),P32/O32,IF(AND(X32&gt;0,Y32=TRUE),(P32/O32)*_xlfn.XLOOKUP('GESTION DES JOUEURS'!$X$8&amp;RIGHT('GESTION DES JOUEURS'!$Y$8,1),Tableau14[Colonne1],Tableau14[coef. 2,80/3,10],"",0,1),"")),"")</f>
        <v/>
      </c>
      <c r="X32" s="67" t="str">
        <f>IF(A32="","",IF(P32="ab.",0,IF(N32="ab.",2,IF(AND('GESTION DES JOUEURS'!$D$8&lt;&gt;"Open",O32&gt;0,P32&gt;N32),2,IF(AND('GESTION DES JOUEURS'!$D$8&lt;&gt;"Open",O32&gt;0,P32&lt;N32),0,IF(AND('GESTION DES JOUEURS'!$D$8&lt;&gt;"Open",O32&gt;0,P32=N32),1,IF(AND('GESTION DES JOUEURS'!$D$8="Open",(P32/_xlfn.XLOOKUP(U32,$B$6:$B$11,$AE$6:$AE$11,"",0,1))&gt;(N32/_xlfn.XLOOKUP(F32,$B$6:$B$11,$AE$6:$AE$11,"",0,1))),2,IF(AND('GESTION DES JOUEURS'!$D$8="Open",(P32/_xlfn.XLOOKUP(U32,$B$6:$B$11,$AE$6:$AE$11,"",0,1))=(N32/_xlfn.XLOOKUP(F32,$B$6:$B$11,$AE$6:$AE$11,"",0,1))),1,IF(AND('GESTION DES JOUEURS'!$D$8="Open",(P32/_xlfn.XLOOKUP(U32,$B$6:$B$11,$AE$6:$AE$11,"",0,1))&lt;(N32/_xlfn.XLOOKUP(F32,$B$6:$B$11,$AE$6:$AE$11,"",0,1))),0,"")))))))))</f>
        <v/>
      </c>
      <c r="Y32" s="679" t="b">
        <v>0</v>
      </c>
      <c r="AA32" s="930"/>
      <c r="AN32" s="244"/>
      <c r="AO32" s="248"/>
      <c r="AP32" s="325" t="str">
        <f t="shared" si="30"/>
        <v/>
      </c>
      <c r="AQ32" s="325" t="str">
        <f t="shared" si="29"/>
        <v/>
      </c>
      <c r="AR32" s="326">
        <f t="shared" si="31"/>
        <v>2</v>
      </c>
      <c r="AS32" s="321">
        <f t="shared" si="32"/>
        <v>0</v>
      </c>
      <c r="AT32" s="322">
        <f t="shared" si="32"/>
        <v>0</v>
      </c>
      <c r="AU32" s="321" t="str" cm="1">
        <f t="array" ref="AU32">IFERROR(IF(OR($B$15="Cadre N1/N2",$B$15="Bande R1/R2",$B$15="3 Bandes R1/R2"),IF(_xlfn.XLOOKUP(F32,Tableau19[Licence],'GESTION DES JOUEURS'!$Q$11:$Q$46,"",0,1)&gt;_xlfn.XLOOKUP(U32,Tableau19[Licence],'GESTION DES JOUEURS'!$Q$11:$Q$46,"",0,1),D32+1,""),""),"")</f>
        <v/>
      </c>
      <c r="AV32" s="323" t="str" cm="1">
        <f t="array" ref="AV32">IFERROR(IF(OR($B$15="Cadre N1/N2",$B$15="Bande R1/R2",$B$15="3 Bandes R1/R2"),IF(_xlfn.XLOOKUP(F32,Tableau19[Licence],'GESTION DES JOUEURS'!$Q$11:$Q$46,"",0,1)&lt;_xlfn.XLOOKUP(U32,Tableau19[Licence],'GESTION DES JOUEURS'!$Q$11:$Q$46,"",0,1),X32+1,""),""),"")</f>
        <v/>
      </c>
      <c r="AW32" s="324" t="str">
        <f>IFERROR(IF(AND(LEFT($B$15)="3",N32/O32&gt;_xlfn.XLOOKUP($B$15,Distances!$D$2:$D$77,Distances!$N$2:$N$77,"",0,1)),_xlfn.XLOOKUP($B$15,Distances!$D$2:$D$77,Distances!$T$2:$T$77,"",0,1),IF(AND(LEFT($B$15)="3",N32/O32&gt;_xlfn.XLOOKUP($B$15,Distances!$D$2:$D$77,Distances!$M$2:$M$77,"",0,1)),_xlfn.XLOOKUP($B$15,Distances!$D$2:$D$77,Distances!$S$2:$S$77,"",0,1),IF(AND(LEFT($B$15)="3",N32/O32&gt;=_xlfn.XLOOKUP($B$15,Distances!$D$2:$D$77,Distances!$L$2:$L$77,"",0,1)),_xlfn.XLOOKUP($B$15,Distances!$D$2:$D$77,Distances!$R$2:$R$77,"",0,1),IF(AND($B$15="Cadre N1/N2",N32/O32&gt;_xlfn.XLOOKUP("Cadre "&amp;_xlfn.XLOOKUP(F32,$B$6:$B$11,$K$6:$K$11,"",0,1),Distances!$D$2:$D$77,Distances!$N$2:$N$77,"",0,1)),_xlfn.XLOOKUP("Cadre "&amp;_xlfn.XLOOKUP(F32,$B$6:$B$11,$K$6:$K$11,"",0,1),Distances!$D$2:$D$77,Distances!$T$2:$T$77,"",0,1),IF(AND($B$15="Cadre N1/N2",N32/O32&gt;=_xlfn.XLOOKUP("Cadre "&amp;_xlfn.XLOOKUP(F32,$B$6:$B$11,$K$6:$K$11,"",0,1),Distances!$D$2:$D$77,Distances!$L$2:$L$77,"",0,1)),_xlfn.XLOOKUP("Cadre "&amp;_xlfn.XLOOKUP(F32,$B$6:$B$11,$K$6:$K$11,"",0,1),Distances!$D$2:$D$77,Distances!$R$2:$R$77,"",0,1),IF(N32/O32&gt;_xlfn.XLOOKUP($B$15,Distances!$D$2:$D$77,Distances!$N$2:$N$77,"",0,1),_xlfn.XLOOKUP($B$15,Distances!$D$2:$D$77,Distances!$T$2:$T$77,"",0,1),IF(N32/O32&gt;=_xlfn.XLOOKUP($B$15,Distances!$D$2:$D$77,Distances!$L$2:$L$77,"",0,1),_xlfn.XLOOKUP($B$15,Distances!$D$2:$D$77,Distances!$R$2:$R$77,"",0,1),0))))))),"")</f>
        <v/>
      </c>
      <c r="AX32" s="323" t="str">
        <f>IFERROR(IF(AND(LEFT($B$15)="3",P32/O32&gt;_xlfn.XLOOKUP($B$15,Distances!$D$2:$D$77,Distances!$N$2:$N$77,"",0,1)),_xlfn.XLOOKUP($B$15,Distances!$D$2:$D$77,Distances!$T$2:$T$77,"",0,1),IF(AND(LEFT($B$15)="3",P32/O32&gt;_xlfn.XLOOKUP($B$15,Distances!$D$2:$D$77,Distances!$M$2:$M$77,"",0,1)),_xlfn.XLOOKUP($B$15,Distances!$D$2:$D$77,Distances!$S$2:$S$77,"",0,1),IF(AND(LEFT($B$15)="3",P32/O32&gt;=_xlfn.XLOOKUP($B$15,Distances!$D$2:$D$77,Distances!$L$2:$L$77,"",0,1)),_xlfn.XLOOKUP($B$15,Distances!$D$2:$D$77,Distances!$R$2:$R$77,"",0,1),IF(AND($B$15="Cadre N1/N2",P32/O32&gt;_xlfn.XLOOKUP("Cadre "&amp;_xlfn.XLOOKUP(U32,$B$6:$B$11,$K$6:$K$11,"",0,1),Distances!$D$2:$D$77,Distances!$N$2:$N$77,"",0,1)),_xlfn.XLOOKUP("Cadre "&amp;_xlfn.XLOOKUP(U32,$B$6:$B$11,$K$6:$K$11,"",0,1),Distances!$D$2:$D$77,Distances!$T$2:$T$77,"",0,1),IF(AND($B$15="Cadre N1/N2",P32/O32&gt;=_xlfn.XLOOKUP("Cadre "&amp;_xlfn.XLOOKUP(U32,$B$6:$B$11,$K$6:$K$11,"",0,1),Distances!$D$2:$D$77,Distances!$L$2:$L$77,"",0,1)),_xlfn.XLOOKUP("Cadre "&amp;_xlfn.XLOOKUP(U32,$B$6:$B$11,$K$6:$K$11,"",0,1),Distances!$D$2:$D$77,Distances!$R$2:$R$77,"",0,1),IF(P32/O32&gt;_xlfn.XLOOKUP($B$15,Distances!$D$2:$D$77,Distances!$N$2:$N$77,"",0,1),_xlfn.XLOOKUP($B$15,Distances!$D$2:$D$77,Distances!$T$2:$T$77,"",0,1),IF(P32/O32&gt;=_xlfn.XLOOKUP($B$15,Distances!$D$2:$D$77,Distances!$L$2:$L$77,"",0,1),_xlfn.XLOOKUP($B$15,Distances!$D$2:$D$77,Distances!$R$2:$R$77,"",0,1),0))))))),"")</f>
        <v/>
      </c>
      <c r="BV32" s="292" t="s">
        <v>5492</v>
      </c>
      <c r="BW32" s="223" cm="1">
        <f t="array" ref="BW32">_xlfn.SINGLE(_xlfn.XLOOKUP(A11&amp;A9,G18:G32&amp;V18:V32,N18:N32,_xlfn.XLOOKUP(A9&amp;A11,G18:G32&amp;V18:V32,P18:P32,"",0,1),0,1))</f>
        <v>0</v>
      </c>
      <c r="BX32" s="223" cm="1">
        <f t="array" ref="BX32">_xlfn.XLOOKUP(A11&amp;A9,G18:G32&amp;V18:V32,P18:P32,_xlfn.XLOOKUP(A9&amp;A11,G18:G32&amp;V18:V32,N18:N32,"",0,1),0,1)</f>
        <v>0</v>
      </c>
      <c r="BY32" s="223" cm="1">
        <f t="array" ref="BY32">_xlfn.XLOOKUP(A11&amp;A9,$G$18:$G$32&amp;$V$18:$V$32,$M$18:$M$32,"",0,1)</f>
        <v>0</v>
      </c>
      <c r="BZ32" s="223" cm="1">
        <f t="array" ref="BZ32">_xlfn.XLOOKUP(A11&amp;A9,$G$18:$G$32&amp;$V$18:$V$32,$Q$18:$Q$32,"",0,1)</f>
        <v>0</v>
      </c>
      <c r="CA32" s="223" cm="1">
        <f t="array" ref="CA32">_xlfn.XLOOKUP(A11&amp;A9,G18:G32&amp;V18:V32,O18:O32,_xlfn.XLOOKUP(A9&amp;A11,G18:G32&amp;V18:V32,O18:O32,"",0,1),0,1)</f>
        <v>0</v>
      </c>
      <c r="CB32" s="293" t="str" cm="1">
        <f t="array" ref="CB32">_xlfn.XLOOKUP(A11&amp;A9,G18:G32&amp;V18:V32,A18:A32,"",0,1)</f>
        <v/>
      </c>
      <c r="CC32" s="237">
        <f>IF(COUNTBLANK($AO$6:$AO$11)=2,SUM(BW32,BX21),IF(BW32="",BX21,BW32))</f>
        <v>0</v>
      </c>
      <c r="CD32" s="223">
        <f>IF(CC32="Ab.","",IF(BY32="",BZ21,BY32))</f>
        <v>0</v>
      </c>
      <c r="CE32" s="223">
        <f t="shared" si="20"/>
        <v>0</v>
      </c>
      <c r="CF32" s="294" t="str">
        <f>IF(CB32="",CB21,CB32)</f>
        <v/>
      </c>
      <c r="CG32" s="295" t="str" cm="1">
        <f t="array" ref="CG32">_xlfn.XLOOKUP(BV32,$G$18:$G$32&amp;"-"&amp;$V$18:$V$32,$D$18:$D$32,_xlfn.XLOOKUP(BV21,$G$18:$G$32&amp;"-"&amp;$V$18:$V$32,$X$18:$X$32,"",0,1),0,1)</f>
        <v/>
      </c>
      <c r="CH32" s="175" t="str" cm="1">
        <f t="array" ref="CH32">_xlfn.XLOOKUP(BV32,$G$18:$G$32&amp;"-"&amp;$V$18:$V$32,$AS$18:$AS$32,_xlfn.XLOOKUP(BV21,$G$18:$G$32&amp;"-"&amp;$V$18:$V$32,$AT$18:$AT$32,"",0,1),0,1)</f>
        <v/>
      </c>
      <c r="CI32" s="818"/>
      <c r="CJ32" s="821"/>
      <c r="CK32" s="557">
        <f t="shared" si="21"/>
        <v>4</v>
      </c>
      <c r="CL32" s="557" t="str">
        <f t="shared" si="19"/>
        <v/>
      </c>
    </row>
    <row r="33" spans="2:90" ht="14.45" customHeight="1" thickBot="1" x14ac:dyDescent="0.3">
      <c r="B33" s="770" t="s">
        <v>5520</v>
      </c>
      <c r="C33" s="770"/>
      <c r="D33" s="770"/>
      <c r="E33" s="770"/>
      <c r="F33" s="770"/>
      <c r="G33" s="770"/>
      <c r="H33" s="770"/>
      <c r="I33" s="770"/>
      <c r="J33" s="770"/>
      <c r="K33" s="770"/>
      <c r="L33" s="770"/>
      <c r="M33" s="770"/>
      <c r="N33" s="770"/>
      <c r="O33" s="770"/>
      <c r="P33" s="770"/>
      <c r="Q33" s="770"/>
      <c r="R33" s="770"/>
      <c r="S33" s="770"/>
      <c r="T33" s="770"/>
      <c r="U33" s="770"/>
      <c r="V33" s="770"/>
      <c r="W33" s="770"/>
      <c r="BB33" s="265">
        <v>5</v>
      </c>
      <c r="BC33" s="181" cm="1">
        <f t="array" ref="BC33:BC37">_xlfn._xlws.SORT(BD6:BD10)</f>
        <v>1</v>
      </c>
      <c r="BD33" s="181" cm="1">
        <f t="array" ref="BD33:BD37">_xlfn._xlws.SORT(BE6:BE10)</f>
        <v>2</v>
      </c>
      <c r="BE33" s="181" cm="1">
        <f t="array" ref="BE33:BE37">_xlfn._xlws.SORT(BF6:BF10)</f>
        <v>3</v>
      </c>
      <c r="BF33" s="181" cm="1">
        <f t="array" ref="BF33:BF37">_xlfn._xlws.SORT(BG6:BG10)</f>
        <v>4</v>
      </c>
      <c r="BG33" s="181" cm="1">
        <f t="array" ref="BG33:BG37">_xlfn._xlws.SORT(BH6:BH10)</f>
        <v>5</v>
      </c>
      <c r="BH33" s="173"/>
      <c r="BI33" s="173"/>
      <c r="BJ33" s="173"/>
      <c r="BK33" s="172">
        <v>1</v>
      </c>
      <c r="BL33" s="172" t="str">
        <f>IF(OR($BG$40=BK33,$BH$40=BK33,$BI$40=BK33,$BI$41=BK33,$BH$41=BK33),"",BK33)</f>
        <v/>
      </c>
      <c r="BM33" s="174" cm="1">
        <f t="array" ref="BM33:BM37">_xlfn._xlws.SORT(BL33:BL37)</f>
        <v>2</v>
      </c>
      <c r="BV33" s="292" t="s">
        <v>5493</v>
      </c>
      <c r="BW33" s="223" cm="1">
        <f t="array" ref="BW33">_xlfn.SINGLE(_xlfn.XLOOKUP(A11&amp;A8,G18:G32&amp;V18:V32,N18:N32,_xlfn.XLOOKUP(A8&amp;A11,G18:G32&amp;V18:V32,P18:P32,"",0,1),0,1))</f>
        <v>0</v>
      </c>
      <c r="BX33" s="223" cm="1">
        <f t="array" ref="BX33">_xlfn.XLOOKUP(A11&amp;A8,G18:G32&amp;V18:V32,P18:P32,_xlfn.XLOOKUP(A8&amp;A11,G18:G32&amp;V18:V32,N18:N32,"",0,1),0,1)</f>
        <v>0</v>
      </c>
      <c r="BY33" s="223" cm="1">
        <f t="array" ref="BY33">_xlfn.XLOOKUP(A11&amp;A8,$G$18:$G$32&amp;$V$18:$V$32,$M$18:$M$32,"",0,1)</f>
        <v>0</v>
      </c>
      <c r="BZ33" s="223" cm="1">
        <f t="array" ref="BZ33">_xlfn.XLOOKUP(A11&amp;A8,$G$18:$G$32&amp;$V$18:$V$32,$Q$18:$Q$32,"",0,1)</f>
        <v>0</v>
      </c>
      <c r="CA33" s="223" cm="1">
        <f t="array" ref="CA33">_xlfn.XLOOKUP(A11&amp;A8,G18:G32&amp;V18:V32,O18:O32,_xlfn.XLOOKUP(A8&amp;A11,G18:G32&amp;V18:V32,O18:O32,"",0,1),0,1)</f>
        <v>0</v>
      </c>
      <c r="CB33" s="293" t="str" cm="1">
        <f t="array" ref="CB33">_xlfn.XLOOKUP(A11&amp;A8,G18:G32&amp;V18:V32,A18:A32,"",0,1)</f>
        <v/>
      </c>
      <c r="CC33" s="237">
        <f>IF(COUNTBLANK($AO$6:$AO$11)=2,SUM(BW33,BX16),IF(BW33="",BX16,BW33))</f>
        <v>0</v>
      </c>
      <c r="CD33" s="223">
        <f>IF(CC33="Ab.","",IF(BY33="",BZ16,BY33))</f>
        <v>0</v>
      </c>
      <c r="CE33" s="223">
        <f t="shared" si="20"/>
        <v>0</v>
      </c>
      <c r="CF33" s="294" t="str">
        <f>IF(CB33="",CB16,CB33)</f>
        <v/>
      </c>
      <c r="CG33" s="295" t="str" cm="1">
        <f t="array" ref="CG33">_xlfn.XLOOKUP(BV33,$G$18:$G$32&amp;"-"&amp;$V$18:$V$32,$D$18:$D$32,_xlfn.XLOOKUP(BV16,$G$18:$G$32&amp;"-"&amp;$V$18:$V$32,$X$18:$X$32,"",0,1),0,1)</f>
        <v/>
      </c>
      <c r="CH33" s="175" t="str" cm="1">
        <f t="array" ref="CH33">_xlfn.XLOOKUP(BV33,$G$18:$G$32&amp;"-"&amp;$V$18:$V$32,$AS$18:$AS$32,_xlfn.XLOOKUP(BV16,$G$18:$G$32&amp;"-"&amp;$V$18:$V$32,$AT$18:$AT$32,"",0,1),0,1)</f>
        <v/>
      </c>
      <c r="CI33" s="818"/>
      <c r="CJ33" s="821"/>
      <c r="CK33" s="557">
        <f t="shared" si="21"/>
        <v>3</v>
      </c>
      <c r="CL33" s="557" t="str">
        <f t="shared" si="19"/>
        <v/>
      </c>
    </row>
    <row r="34" spans="2:90" ht="15" customHeight="1" thickBot="1" x14ac:dyDescent="0.3">
      <c r="AA34" s="718" t="s">
        <v>8130</v>
      </c>
      <c r="BB34" s="266"/>
      <c r="BC34" s="182" t="b">
        <v>0</v>
      </c>
      <c r="BD34" s="168" t="b">
        <v>0</v>
      </c>
      <c r="BE34" s="168" t="str">
        <v/>
      </c>
      <c r="BF34" s="168" t="str">
        <v/>
      </c>
      <c r="BG34" s="168">
        <v>0</v>
      </c>
      <c r="BH34" s="170"/>
      <c r="BI34" s="170"/>
      <c r="BJ34" s="170"/>
      <c r="BK34" s="168">
        <v>2</v>
      </c>
      <c r="BL34" s="168">
        <f>IF(OR($BG$40=BK34,$BH$40=BK34,$BI$40=BK34,$BI$41=BK34,$BH$41=BK34),"",BK34)</f>
        <v>2</v>
      </c>
      <c r="BM34" s="175">
        <v>3</v>
      </c>
      <c r="BV34" s="292" t="s">
        <v>5494</v>
      </c>
      <c r="BW34" s="223" t="str" cm="1">
        <f t="array" ref="BW34">_xlfn.SINGLE(_xlfn.XLOOKUP(A11&amp;A7,G18:G32&amp;V18:V32,N18:N32,_xlfn.XLOOKUP(A7&amp;A11,G18:G32&amp;V18:V32,P18:P32,"",0,1),0,1))</f>
        <v/>
      </c>
      <c r="BX34" s="223" t="str" cm="1">
        <f t="array" ref="BX34">_xlfn.XLOOKUP(A11&amp;A7,G18:G32&amp;V18:V32,P18:P32,_xlfn.XLOOKUP(A7&amp;A11,G18:G32&amp;V18:V32,N18:N32,"",0,1),0,1)</f>
        <v/>
      </c>
      <c r="BY34" s="223" t="str" cm="1">
        <f t="array" ref="BY34">_xlfn.XLOOKUP(A11&amp;A7,$G$18:$G$32&amp;$V$18:$V$32,$M$18:$M$32,"",0,1)</f>
        <v/>
      </c>
      <c r="BZ34" s="223" t="str" cm="1">
        <f t="array" ref="BZ34">_xlfn.XLOOKUP(A11&amp;A7,$G$18:$G$32&amp;$V$18:$V$32,$Q$18:$Q$32,"",0,1)</f>
        <v/>
      </c>
      <c r="CA34" s="223" t="str" cm="1">
        <f t="array" ref="CA34">_xlfn.XLOOKUP(A11&amp;A7,G18:G32&amp;V18:V32,O18:O32,_xlfn.XLOOKUP(A7&amp;A11,G18:G32&amp;V18:V32,O18:O32,"",0,1),0,1)</f>
        <v/>
      </c>
      <c r="CB34" s="293" t="str" cm="1">
        <f t="array" ref="CB34">_xlfn.XLOOKUP(A11&amp;A7,G18:G32&amp;V18:V32,A18:A32,"",0,1)</f>
        <v/>
      </c>
      <c r="CC34" s="237" t="str">
        <f>IF(COUNTBLANK($AO$6:$AO$11)=2,SUM(BW34,BX11),IF(BW34="",BX11,BW34))</f>
        <v/>
      </c>
      <c r="CD34" s="223" t="str">
        <f>IF(CC34="Ab.","",IF(BY34="",BZ11,BY34))</f>
        <v/>
      </c>
      <c r="CE34" s="223" t="str">
        <f t="shared" si="20"/>
        <v/>
      </c>
      <c r="CF34" s="294" t="str">
        <f>IF(CB34="",CB11,CB34)</f>
        <v/>
      </c>
      <c r="CG34" s="295" t="str" cm="1">
        <f t="array" ref="CG34">_xlfn.XLOOKUP(BV34,$G$18:$G$32&amp;"-"&amp;$V$18:$V$32,$D$18:$D$32,_xlfn.XLOOKUP(BV11,$G$18:$G$32&amp;"-"&amp;$V$18:$V$32,$X$18:$X$32,"",0,1),0,1)</f>
        <v/>
      </c>
      <c r="CH34" s="175" t="str" cm="1">
        <f t="array" ref="CH34">_xlfn.XLOOKUP(BV34,$G$18:$G$32&amp;"-"&amp;$V$18:$V$32,$AS$18:$AS$32,_xlfn.XLOOKUP(BV11,$G$18:$G$32&amp;"-"&amp;$V$18:$V$32,$AT$18:$AT$32,"",0,1),0,1)</f>
        <v/>
      </c>
      <c r="CI34" s="818"/>
      <c r="CJ34" s="821"/>
      <c r="CK34" s="557">
        <f t="shared" si="21"/>
        <v>2</v>
      </c>
      <c r="CL34" s="557" t="b">
        <f t="shared" si="19"/>
        <v>0</v>
      </c>
    </row>
    <row r="35" spans="2:90" ht="18.95" customHeight="1" thickBot="1" x14ac:dyDescent="0.35">
      <c r="B35" s="750" t="str">
        <f>"CLASSEMENT"&amp;" "&amp;K13&amp;" "&amp;L13</f>
        <v>CLASSEMENT Poule D</v>
      </c>
      <c r="C35" s="751"/>
      <c r="D35" s="751"/>
      <c r="E35" s="751"/>
      <c r="F35" s="751"/>
      <c r="G35" s="751"/>
      <c r="H35" s="751"/>
      <c r="I35" s="751"/>
      <c r="J35" s="751"/>
      <c r="K35" s="751"/>
      <c r="L35" s="751"/>
      <c r="M35" s="751"/>
      <c r="N35" s="751"/>
      <c r="O35" s="751"/>
      <c r="P35" s="751"/>
      <c r="Q35" s="751"/>
      <c r="R35" s="751"/>
      <c r="S35" s="796"/>
      <c r="U35" s="813" t="s">
        <v>8105</v>
      </c>
      <c r="V35" s="814"/>
      <c r="W35" s="815" t="s">
        <v>63</v>
      </c>
      <c r="X35" s="816"/>
      <c r="AA35" s="719"/>
      <c r="BB35" s="266"/>
      <c r="BC35" s="182" t="b">
        <v>0</v>
      </c>
      <c r="BD35" s="168" t="b">
        <v>0</v>
      </c>
      <c r="BE35" s="168" t="str">
        <v/>
      </c>
      <c r="BF35" s="168">
        <v>0</v>
      </c>
      <c r="BG35" s="168">
        <v>0</v>
      </c>
      <c r="BH35" s="170"/>
      <c r="BI35" s="170"/>
      <c r="BJ35" s="170"/>
      <c r="BK35" s="168">
        <v>3</v>
      </c>
      <c r="BL35" s="168">
        <f>IF(OR($BG$40=BK35,$BH$40=BK35,$BI$40=BK35,$BI$41=BK35,$BH$41=BK35),"",BK35)</f>
        <v>3</v>
      </c>
      <c r="BM35" s="175">
        <v>4</v>
      </c>
      <c r="BV35" s="296" t="s">
        <v>5495</v>
      </c>
      <c r="BW35" s="297" t="str" cm="1">
        <f t="array" ref="BW35">_xlfn.SINGLE(_xlfn.XLOOKUP(A11&amp;A6,G18:G32&amp;V18:V32,N18:N32,_xlfn.XLOOKUP(A6&amp;A11,G18:G32&amp;V18:V32,P18:P32,"",0,1),0,1))</f>
        <v/>
      </c>
      <c r="BX35" s="297" t="str" cm="1">
        <f t="array" ref="BX35">_xlfn.XLOOKUP(A11&amp;A6,G18:G32&amp;V18:V32,P18:P32,_xlfn.XLOOKUP(A6&amp;A11,G18:G32&amp;V18:V32,N18:N32,"",0,1),0,1)</f>
        <v/>
      </c>
      <c r="BY35" s="297" t="str" cm="1">
        <f t="array" ref="BY35">_xlfn.XLOOKUP(A11&amp;A6,$G$18:$G$32&amp;$V$18:$V$32,$M$18:$M$32,"",0,1)</f>
        <v/>
      </c>
      <c r="BZ35" s="297" t="str" cm="1">
        <f t="array" ref="BZ35">_xlfn.XLOOKUP(A11&amp;A6,$G$18:$G$32&amp;$V$18:$V$32,$Q$18:$Q$32,"",0,1)</f>
        <v/>
      </c>
      <c r="CA35" s="297" t="str" cm="1">
        <f t="array" ref="CA35">_xlfn.XLOOKUP(A11&amp;A6,G18:G32&amp;V18:V32,O18:O32,_xlfn.XLOOKUP(A6&amp;A11,G18:G32&amp;V18:V32,O18:O32,"",0,1),0,1)</f>
        <v/>
      </c>
      <c r="CB35" s="298" t="str" cm="1">
        <f t="array" ref="CB35">_xlfn.XLOOKUP(A11&amp;A6,G18:G32&amp;V18:V32,A18:A32,"",0,1)</f>
        <v/>
      </c>
      <c r="CC35" s="299" t="str">
        <f>IF(COUNTBLANK($AO$6:$AO$11)=2,SUM(BW35,BX6),IF(BW35="",BX6,BW35))</f>
        <v/>
      </c>
      <c r="CD35" s="297" t="str">
        <f>IF(CC35="Ab.","",IF(BY35="",BZ6,BY35))</f>
        <v/>
      </c>
      <c r="CE35" s="297" t="str">
        <f t="shared" si="20"/>
        <v/>
      </c>
      <c r="CF35" s="300" t="str">
        <f>IF(CB35="",CB6,CB35)</f>
        <v/>
      </c>
      <c r="CG35" s="301" t="str" cm="1">
        <f t="array" ref="CG35">_xlfn.XLOOKUP(BV35,$G$18:$G$32&amp;"-"&amp;$V$18:$V$32,$D$18:$D$32,_xlfn.XLOOKUP(BV6,$G$18:$G$32&amp;"-"&amp;$V$18:$V$32,$X$18:$X$32,"",0,1),0,1)</f>
        <v/>
      </c>
      <c r="CH35" s="302" t="str" cm="1">
        <f t="array" ref="CH35">_xlfn.XLOOKUP(BV35,$G$18:$G$32&amp;"-"&amp;$V$18:$V$32,$AS$18:$AS$32,_xlfn.XLOOKUP(BV6,$G$18:$G$32&amp;"-"&amp;$V$18:$V$32,$AT$18:$AT$32,"",0,1),0,1)</f>
        <v/>
      </c>
      <c r="CI35" s="819"/>
      <c r="CJ35" s="822"/>
      <c r="CK35" s="557">
        <f t="shared" si="21"/>
        <v>1</v>
      </c>
      <c r="CL35" s="557" t="b">
        <f t="shared" si="19"/>
        <v>0</v>
      </c>
    </row>
    <row r="36" spans="2:90" ht="15" customHeight="1" thickBot="1" x14ac:dyDescent="0.3">
      <c r="B36" s="34" t="s">
        <v>27</v>
      </c>
      <c r="C36" s="754" t="s">
        <v>28</v>
      </c>
      <c r="D36" s="755"/>
      <c r="E36" s="754" t="s">
        <v>29</v>
      </c>
      <c r="F36" s="755"/>
      <c r="G36" s="763" t="s">
        <v>30</v>
      </c>
      <c r="H36" s="763"/>
      <c r="I36" s="763"/>
      <c r="J36" s="763"/>
      <c r="K36" s="763"/>
      <c r="L36" s="763"/>
      <c r="M36" s="350" t="s">
        <v>14</v>
      </c>
      <c r="N36" s="350" t="s">
        <v>20</v>
      </c>
      <c r="O36" s="349" t="s">
        <v>19</v>
      </c>
      <c r="P36" s="349" t="s">
        <v>17</v>
      </c>
      <c r="Q36" s="354" t="s">
        <v>5451</v>
      </c>
      <c r="R36" s="360" t="str">
        <f>IF('GESTION DES JOUEURS'!$D$8="Open","% Joueur","Pts Rk")</f>
        <v>Pts Rk</v>
      </c>
      <c r="S36" s="363" t="str">
        <f>IF('GESTION DES JOUEURS'!$D$8="Open","% Adv","Pts Bonus")</f>
        <v>Pts Bonus</v>
      </c>
      <c r="T36" s="560"/>
      <c r="AE36" s="553" t="s">
        <v>14</v>
      </c>
      <c r="AN36" s="244"/>
      <c r="AO36" s="248"/>
      <c r="BB36" s="266"/>
      <c r="BC36" s="182" t="b">
        <v>0</v>
      </c>
      <c r="BD36" s="168" t="b">
        <v>0</v>
      </c>
      <c r="BE36" s="168">
        <v>0</v>
      </c>
      <c r="BF36" s="168">
        <v>0</v>
      </c>
      <c r="BG36" s="168">
        <v>0</v>
      </c>
      <c r="BH36" s="170"/>
      <c r="BI36" s="170"/>
      <c r="BJ36" s="170"/>
      <c r="BK36" s="168">
        <v>4</v>
      </c>
      <c r="BL36" s="168">
        <f>IF(OR($BG$40=BK36,$BH$40=BK36,$BI$40=BK36,$BI$41=BK36,$BH$41=BK36),"",BK36)</f>
        <v>4</v>
      </c>
      <c r="BM36" s="175">
        <v>5</v>
      </c>
    </row>
    <row r="37" spans="2:90" ht="14.45" customHeight="1" x14ac:dyDescent="0.25">
      <c r="B37" s="37" t="str" cm="1">
        <f t="array" ref="B37:B38">IF(COUNT(A6:A11)=2,_xlfn.SORTBY(B6:B7,AO6:AO7,-1,V6:V7,-1,AF6:AF7,-1,AG6:AG7,1,T6:T7,-1,U6:U7,-1,S6:S7,-1),IF(COUNT(A6:A11)=3,_xlfn.SORTBY(B6:B8,AO6:AO8,-1,V6:V8,-1,AF6:AF8,-1,AG6:AG8,1,T6:T8,-1,U6:U8,-1,S6:S8,-1),IF(COUNT(A6:A11)=4,_xlfn.SORTBY(B6:B9,AO6:AO9,-1,V6:V9,-1,AF6:AF9,-1,AG6:AG9,1,T6:T9,-1,U6:U9,-1,S6:S9,-1),IF(COUNT(A6:A11)=5,_xlfn.SORTBY(B6:B10,AO6:AO10,-1,V6:V10,-1,AF6:AF10,-1,AG6:AG10,1,T6:T10,-1,U6:U10,-1,S6:S10,-1),_xlfn.SORTBY(B6:B11,AO6:AO11,-1,V6:V11,-1,AF6:AF11,-1,AG6:AG11,1,T6:T11,-1,U6:U11,-1,S6:S11,-1)))))</f>
        <v>118031R</v>
      </c>
      <c r="C37" s="756" t="str">
        <f t="shared" ref="C37:C42" si="35">_xlfn.XLOOKUP(B37,$B$6:$B$11,$C$6:$C$11,"",0,1)</f>
        <v>LE HUAN CUA</v>
      </c>
      <c r="D37" s="756"/>
      <c r="E37" s="756" t="str">
        <f t="shared" ref="E37:E42" si="36">_xlfn.XLOOKUP(B37,$B$6:$B$11,$E$6:$E$11,"",0,1)</f>
        <v>TRAN</v>
      </c>
      <c r="F37" s="756"/>
      <c r="G37" s="756" t="str">
        <f t="shared" ref="G37:G42" si="37">_xlfn.XLOOKUP(B37,$B$6:$B$11,$G$6:$G$11,"",0,1)</f>
        <v>ACADEMIE DE BILLARD DE MAISONS ALFORT</v>
      </c>
      <c r="H37" s="756"/>
      <c r="I37" s="756"/>
      <c r="J37" s="756"/>
      <c r="K37" s="756"/>
      <c r="L37" s="756"/>
      <c r="M37" s="38">
        <f t="shared" ref="M37:M42" si="38">IF(B37="","",_xlfn.XLOOKUP(B37,$B$6:$B$11,$V$6:$V$11,"",0,1))</f>
        <v>4</v>
      </c>
      <c r="N37" s="102">
        <f t="shared" ref="N37:N42" si="39">IF(B37="","",_xlfn.XLOOKUP(B37,$B$6:$B$11,$T$6:$T$11,"",0,1))</f>
        <v>4.166666666666667</v>
      </c>
      <c r="O37" s="102">
        <f t="shared" ref="O37:O42" si="40">IF(B37="","",_xlfn.XLOOKUP(B37,$B$6:$B$11,$U$6:$U$11,"",0,1))</f>
        <v>4.3478260869565215</v>
      </c>
      <c r="P37" s="351">
        <f t="shared" ref="P37:P42" si="41">IF(B37="","",_xlfn.XLOOKUP(B37,$B$6:$B$11,$S$6:$S$11,"",0,1))</f>
        <v>20</v>
      </c>
      <c r="Q37" s="101">
        <f>IF(B37="","",1)</f>
        <v>1</v>
      </c>
      <c r="R37" s="37" cm="1">
        <f t="array" ref="R37:S37">IF('GESTION DES JOUEURS'!$D$8="Open",_xlfn.XLOOKUP(B37,$B$6:$B$11,$AF$6:$AG$11,"",0,1),_xlfn.XLOOKUP(B37,$B$6:$B$11,$W$6:$X$11,"",0,1))</f>
        <v>8</v>
      </c>
      <c r="S37" s="40">
        <v>4</v>
      </c>
      <c r="T37" s="241"/>
      <c r="U37" s="955" t="str">
        <f>"TABLEAU "&amp;CHAR(10)&amp;B2</f>
        <v>TABLEAU 
Poule D</v>
      </c>
      <c r="V37" s="956"/>
      <c r="W37" s="956"/>
      <c r="X37" s="957"/>
      <c r="AA37" s="924" t="s">
        <v>9888</v>
      </c>
      <c r="AE37" s="443" t="str">
        <f>IF(Q37=1,"",M37)</f>
        <v/>
      </c>
      <c r="AN37" s="244"/>
      <c r="AO37" s="248"/>
      <c r="BB37" s="266"/>
      <c r="BC37" s="182" t="b">
        <v>0</v>
      </c>
      <c r="BD37" s="168">
        <v>0</v>
      </c>
      <c r="BE37" s="168">
        <v>0</v>
      </c>
      <c r="BF37" s="168">
        <v>0</v>
      </c>
      <c r="BG37" s="168">
        <v>0</v>
      </c>
      <c r="BH37" s="170"/>
      <c r="BI37" s="170"/>
      <c r="BJ37" s="170"/>
      <c r="BK37" s="168">
        <v>5</v>
      </c>
      <c r="BL37" s="168">
        <f>IF(OR($BG$40=BK37,$BH$40=BK37,$BI$40=BK37,$BI$41=BK37,$BH$41=BK37),"",BK37)</f>
        <v>5</v>
      </c>
      <c r="BM37" s="175" t="str">
        <v/>
      </c>
    </row>
    <row r="38" spans="2:90" ht="14.45" customHeight="1" thickBot="1" x14ac:dyDescent="0.3">
      <c r="B38" s="41" t="str">
        <v>013428M</v>
      </c>
      <c r="C38" s="728" t="str">
        <f t="shared" si="35"/>
        <v>KEREBEL</v>
      </c>
      <c r="D38" s="728"/>
      <c r="E38" s="728" t="str">
        <f t="shared" si="36"/>
        <v>ERIC</v>
      </c>
      <c r="F38" s="728"/>
      <c r="G38" s="728" t="str">
        <f t="shared" si="37"/>
        <v>ASS. BILLARD AMATEUR DE SAINT MAUR</v>
      </c>
      <c r="H38" s="728"/>
      <c r="I38" s="728"/>
      <c r="J38" s="728"/>
      <c r="K38" s="728"/>
      <c r="L38" s="728"/>
      <c r="M38" s="42">
        <f t="shared" si="38"/>
        <v>0</v>
      </c>
      <c r="N38" s="104">
        <f t="shared" si="39"/>
        <v>2.75</v>
      </c>
      <c r="O38" s="104" t="str">
        <f t="shared" si="40"/>
        <v>/</v>
      </c>
      <c r="P38" s="352">
        <f t="shared" si="41"/>
        <v>20</v>
      </c>
      <c r="Q38" s="103">
        <f>IF(AO4&lt;2,"",2)</f>
        <v>2</v>
      </c>
      <c r="R38" s="357" cm="1">
        <f t="array" ref="R38:S38">IF('GESTION DES JOUEURS'!$D$8="Open",_xlfn.XLOOKUP(B38,$B$6:$B$11,$AF$6:$AG$11,"",0,1),_xlfn.XLOOKUP(B38,$B$6:$B$11,$W$6:$X$11,"",0,1))</f>
        <v>5</v>
      </c>
      <c r="S38" s="44">
        <v>2</v>
      </c>
      <c r="T38" s="241"/>
      <c r="U38" s="958"/>
      <c r="V38" s="959"/>
      <c r="W38" s="959"/>
      <c r="X38" s="960"/>
      <c r="AA38" s="925"/>
      <c r="AE38" s="443">
        <f t="shared" ref="AE38:AE42" si="42">IF(Q38=1,"",M38)</f>
        <v>0</v>
      </c>
      <c r="AN38" s="244"/>
      <c r="AO38" s="248"/>
      <c r="BB38" s="266"/>
      <c r="BC38" s="170"/>
      <c r="BD38" s="170"/>
      <c r="BE38" s="170"/>
      <c r="BF38" s="170"/>
      <c r="BG38" s="170"/>
      <c r="BH38" s="170"/>
      <c r="BI38" s="170"/>
      <c r="BJ38" s="170"/>
      <c r="BK38" s="169"/>
      <c r="BL38" s="170"/>
      <c r="BM38" s="176"/>
    </row>
    <row r="39" spans="2:90" ht="14.45" customHeight="1" thickBot="1" x14ac:dyDescent="0.3">
      <c r="B39" s="41"/>
      <c r="C39" s="728" t="str">
        <f t="shared" si="35"/>
        <v/>
      </c>
      <c r="D39" s="728"/>
      <c r="E39" s="728" t="str">
        <f t="shared" si="36"/>
        <v/>
      </c>
      <c r="F39" s="728"/>
      <c r="G39" s="728" t="str">
        <f t="shared" si="37"/>
        <v/>
      </c>
      <c r="H39" s="728"/>
      <c r="I39" s="728"/>
      <c r="J39" s="728"/>
      <c r="K39" s="728"/>
      <c r="L39" s="728"/>
      <c r="M39" s="42" t="str">
        <f t="shared" si="38"/>
        <v/>
      </c>
      <c r="N39" s="104" t="str">
        <f t="shared" si="39"/>
        <v/>
      </c>
      <c r="O39" s="104" t="str">
        <f t="shared" si="40"/>
        <v/>
      </c>
      <c r="P39" s="352" t="str">
        <f t="shared" si="41"/>
        <v/>
      </c>
      <c r="Q39" s="103" t="str">
        <f>IF(AO4&lt;3,"",3)</f>
        <v/>
      </c>
      <c r="R39" s="357" t="str" cm="1">
        <f t="array" ref="R39">IF('GESTION DES JOUEURS'!$D$8="Open",_xlfn.XLOOKUP(B39,$B$6:$B$11,$AF$6:$AG$11,"",0,1),_xlfn.XLOOKUP(B39,$B$6:$B$11,$W$6:$X$11,"",0,1))</f>
        <v/>
      </c>
      <c r="S39" s="44"/>
      <c r="T39" s="241"/>
      <c r="U39" s="958"/>
      <c r="V39" s="959"/>
      <c r="W39" s="959"/>
      <c r="X39" s="960"/>
      <c r="AE39" s="443" t="str">
        <f t="shared" si="42"/>
        <v/>
      </c>
      <c r="AN39" s="244"/>
      <c r="AO39" s="248"/>
      <c r="BB39" s="266"/>
      <c r="BC39" s="170"/>
      <c r="BD39" s="170"/>
      <c r="BE39" s="170"/>
      <c r="BF39" s="170"/>
      <c r="BG39" s="170">
        <f>IF(BG40=FALSE,BF39+1,BF39)</f>
        <v>0</v>
      </c>
      <c r="BH39" s="170">
        <f>IF(BH40=FALSE,BG39+1,BG39)</f>
        <v>1</v>
      </c>
      <c r="BI39" s="170">
        <f>IF(BI40=FALSE,BH39+1,BH39)</f>
        <v>2</v>
      </c>
      <c r="BJ39" s="170"/>
      <c r="BK39" s="170"/>
      <c r="BL39" s="170"/>
      <c r="BM39" s="177"/>
    </row>
    <row r="40" spans="2:90" ht="14.45" customHeight="1" x14ac:dyDescent="0.25">
      <c r="B40" s="41"/>
      <c r="C40" s="728" t="str">
        <f t="shared" si="35"/>
        <v/>
      </c>
      <c r="D40" s="728"/>
      <c r="E40" s="728" t="str">
        <f t="shared" si="36"/>
        <v/>
      </c>
      <c r="F40" s="728"/>
      <c r="G40" s="728" t="str">
        <f t="shared" si="37"/>
        <v/>
      </c>
      <c r="H40" s="728"/>
      <c r="I40" s="728"/>
      <c r="J40" s="728"/>
      <c r="K40" s="728"/>
      <c r="L40" s="728"/>
      <c r="M40" s="42" t="str">
        <f t="shared" si="38"/>
        <v/>
      </c>
      <c r="N40" s="104" t="str">
        <f t="shared" si="39"/>
        <v/>
      </c>
      <c r="O40" s="104" t="str">
        <f t="shared" si="40"/>
        <v/>
      </c>
      <c r="P40" s="352" t="str">
        <f t="shared" si="41"/>
        <v/>
      </c>
      <c r="Q40" s="103" t="str">
        <f>IF(AO4&lt;4,"",4)</f>
        <v/>
      </c>
      <c r="R40" s="357" t="str" cm="1">
        <f t="array" ref="R40">IF('GESTION DES JOUEURS'!$D$8="Open",_xlfn.XLOOKUP(B40,$B$6:$B$11,$AF$6:$AG$11,"",0,1),_xlfn.XLOOKUP(B40,$B$6:$B$11,$W$6:$X$11,"",0,1))</f>
        <v/>
      </c>
      <c r="S40" s="44"/>
      <c r="T40" s="241"/>
      <c r="U40" s="958"/>
      <c r="V40" s="959"/>
      <c r="W40" s="959"/>
      <c r="X40" s="960"/>
      <c r="AA40" s="926" t="s">
        <v>5447</v>
      </c>
      <c r="AE40" s="443" t="str">
        <f t="shared" si="42"/>
        <v/>
      </c>
      <c r="AN40" s="244"/>
      <c r="AO40" s="248"/>
      <c r="BB40" s="266"/>
      <c r="BC40" s="182">
        <f>IF(ISODD(BE13),BD6,IF(AND(ISODD(BF13),ISODD(BJ7)),BE7,IF(AND(ISODD(BG13),ISODD(BJ8)),BF8,IF(AND(ISODD(BH13),ISODD(BJ9)),BG9,IF(ISODD(BI13),BH10)))))</f>
        <v>1</v>
      </c>
      <c r="BD40" s="168" t="b">
        <f>IF(ISEVEN(BE13),BD6,IF(ISEVEN(BF13),BE7))</f>
        <v>0</v>
      </c>
      <c r="BE40" s="168" t="b">
        <f>IF(ISEVEN(BH13),BG9,IF(ISEVEN(BG13),BF8,IF(ISEVEN(BF13),BE7)))</f>
        <v>0</v>
      </c>
      <c r="BF40" s="170"/>
      <c r="BG40" s="168">
        <f>BC40</f>
        <v>1</v>
      </c>
      <c r="BH40" s="168" t="b">
        <f>BD40</f>
        <v>0</v>
      </c>
      <c r="BI40" s="168" t="b">
        <f>IF(AND(BD40=2,BE40=2),FALSE,BE40)</f>
        <v>0</v>
      </c>
      <c r="BJ40" s="170"/>
      <c r="BK40" s="170"/>
      <c r="BL40" s="170"/>
      <c r="BM40" s="177"/>
    </row>
    <row r="41" spans="2:90" ht="14.45" customHeight="1" x14ac:dyDescent="0.25">
      <c r="B41" s="41"/>
      <c r="C41" s="728" t="str">
        <f t="shared" si="35"/>
        <v/>
      </c>
      <c r="D41" s="728"/>
      <c r="E41" s="728" t="str">
        <f t="shared" si="36"/>
        <v/>
      </c>
      <c r="F41" s="728"/>
      <c r="G41" s="728" t="str">
        <f t="shared" si="37"/>
        <v/>
      </c>
      <c r="H41" s="728"/>
      <c r="I41" s="728"/>
      <c r="J41" s="728"/>
      <c r="K41" s="728"/>
      <c r="L41" s="728"/>
      <c r="M41" s="42" t="str">
        <f t="shared" si="38"/>
        <v/>
      </c>
      <c r="N41" s="104" t="str">
        <f t="shared" si="39"/>
        <v/>
      </c>
      <c r="O41" s="104" t="str">
        <f t="shared" si="40"/>
        <v/>
      </c>
      <c r="P41" s="352" t="str">
        <f t="shared" si="41"/>
        <v/>
      </c>
      <c r="Q41" s="103" t="str">
        <f>IF(AO4&lt;5,"",5)</f>
        <v/>
      </c>
      <c r="R41" s="357" t="str" cm="1">
        <f t="array" ref="R41">IF('GESTION DES JOUEURS'!$D$8="Open",_xlfn.XLOOKUP(B41,$B$6:$B$11,$AF$6:$AG$11,"",0,1),_xlfn.XLOOKUP(B41,$B$6:$B$11,$W$6:$X$11,"",0,1))</f>
        <v/>
      </c>
      <c r="S41" s="44"/>
      <c r="T41" s="241"/>
      <c r="U41" s="958"/>
      <c r="V41" s="959"/>
      <c r="W41" s="959"/>
      <c r="X41" s="960"/>
      <c r="AA41" s="927"/>
      <c r="AE41" s="443" t="str">
        <f t="shared" si="42"/>
        <v/>
      </c>
      <c r="AN41" s="244"/>
      <c r="AO41" s="248"/>
      <c r="BB41" s="266"/>
      <c r="BC41" s="170"/>
      <c r="BD41" s="168" t="b">
        <f>_xlfn.XLOOKUP(BD40,$BC$33:$BG$33,$BC$34:$BG$34,FALSE,0,1)</f>
        <v>0</v>
      </c>
      <c r="BE41" s="168" t="b">
        <f>_xlfn.XLOOKUP(BE40,$BC$33:$BG$33,$BC$34:$BG$34,FALSE,0,1)</f>
        <v>0</v>
      </c>
      <c r="BF41" s="170"/>
      <c r="BG41" s="170"/>
      <c r="BH41" s="168" t="b">
        <f>BD41</f>
        <v>0</v>
      </c>
      <c r="BI41" s="168" t="b">
        <f>IF(AND(BD40=2,BE40=2),FALSE,BE41)</f>
        <v>0</v>
      </c>
      <c r="BJ41" s="170"/>
      <c r="BK41" s="170"/>
      <c r="BL41" s="170"/>
      <c r="BM41" s="177"/>
    </row>
    <row r="42" spans="2:90" ht="15" customHeight="1" thickBot="1" x14ac:dyDescent="0.3">
      <c r="B42" s="45"/>
      <c r="C42" s="737" t="str">
        <f t="shared" si="35"/>
        <v/>
      </c>
      <c r="D42" s="737"/>
      <c r="E42" s="737" t="str">
        <f t="shared" si="36"/>
        <v/>
      </c>
      <c r="F42" s="737"/>
      <c r="G42" s="737" t="str">
        <f t="shared" si="37"/>
        <v/>
      </c>
      <c r="H42" s="737"/>
      <c r="I42" s="737"/>
      <c r="J42" s="737"/>
      <c r="K42" s="737"/>
      <c r="L42" s="737"/>
      <c r="M42" s="46" t="str">
        <f t="shared" si="38"/>
        <v/>
      </c>
      <c r="N42" s="106" t="str">
        <f t="shared" si="39"/>
        <v/>
      </c>
      <c r="O42" s="106" t="str">
        <f t="shared" si="40"/>
        <v/>
      </c>
      <c r="P42" s="353" t="str">
        <f t="shared" si="41"/>
        <v/>
      </c>
      <c r="Q42" s="105" t="str">
        <f>IF(AO4&lt;6,"",6)</f>
        <v/>
      </c>
      <c r="R42" s="555" t="str" cm="1">
        <f t="array" ref="R42">IF('GESTION DES JOUEURS'!$D$8="Open",_xlfn.XLOOKUP(B42,$B$6:$B$11,$AF$6:$AG$11,"",0,1),_xlfn.XLOOKUP(B42,$B$6:$B$11,$W$6:$X$11,"",0,1))</f>
        <v/>
      </c>
      <c r="S42" s="48"/>
      <c r="T42" s="241"/>
      <c r="U42" s="961"/>
      <c r="V42" s="962"/>
      <c r="W42" s="962"/>
      <c r="X42" s="963"/>
      <c r="AA42" s="928"/>
      <c r="AE42" s="443" t="str">
        <f t="shared" si="42"/>
        <v/>
      </c>
      <c r="AN42" s="244"/>
      <c r="AO42" s="248"/>
      <c r="BB42" s="266"/>
      <c r="BC42" s="170"/>
      <c r="BD42" s="170"/>
      <c r="BE42" s="170"/>
      <c r="BF42" s="170"/>
      <c r="BG42" s="170"/>
      <c r="BH42" s="170">
        <f>IF(BH41=FALSE,BI42+1,BI42)</f>
        <v>4</v>
      </c>
      <c r="BI42" s="170">
        <f>IF(BI41=FALSE,BI39+1,BI39)</f>
        <v>3</v>
      </c>
      <c r="BJ42" s="170"/>
      <c r="BK42" s="170"/>
      <c r="BL42" s="170"/>
      <c r="BM42" s="177"/>
    </row>
    <row r="43" spans="2:90" ht="50.45" customHeight="1" x14ac:dyDescent="0.25">
      <c r="BB43" s="266"/>
      <c r="BC43" s="170"/>
      <c r="BD43" s="170"/>
      <c r="BE43" s="170"/>
      <c r="BF43" s="170"/>
      <c r="BG43" s="170"/>
      <c r="BH43" s="170"/>
      <c r="BI43" s="170"/>
      <c r="BJ43" s="170"/>
      <c r="BK43" s="170"/>
      <c r="BL43" s="170"/>
      <c r="BM43" s="177"/>
    </row>
    <row r="44" spans="2:90" ht="14.45" hidden="1" customHeight="1" x14ac:dyDescent="0.25">
      <c r="BB44" s="266"/>
      <c r="BC44" s="183">
        <f>IF(SUM(BC33:BC37)=15,1,IF(BG40=FALSE,_xlfn.XLOOKUP(BG39,$BK$33:$BK$37,$BM$33:$BM$37,"",0,1),BG40))</f>
        <v>1</v>
      </c>
      <c r="BD44" s="171">
        <f>IF(SUM(BC33:BC37)=15,2,IF(BH40=FALSE,_xlfn.XLOOKUP(BH39,$BK$33:$BK$37,$BM$33:$BM$37,"",0,1),BH40))</f>
        <v>2</v>
      </c>
      <c r="BE44" s="171">
        <f>IF(SUM(BC33:BC37)=15,3,IF(BI40=FALSE,_xlfn.XLOOKUP(BI39,$BK$33:$BK$37,$BM$33:$BM$37,"",0,1),BI40))</f>
        <v>3</v>
      </c>
      <c r="BF44" s="171">
        <f>IF(SUM(BC33:BC37)=15,4,IF(BI41=FALSE,_xlfn.XLOOKUP(BI42,$BK$33:$BK$37,$BM$33:$BM$37,"",0,1),BI41))</f>
        <v>4</v>
      </c>
      <c r="BG44" s="171">
        <f>IF(SUM(BC33:BC37)=15,5,IF(BH41=FALSE,_xlfn.XLOOKUP(BH42,$BK$33:$BK$37,$BM$33:$BM$37,"",0,1),BH41))</f>
        <v>5</v>
      </c>
      <c r="BH44" s="170"/>
      <c r="BI44" s="170"/>
      <c r="BJ44" s="170"/>
      <c r="BK44" s="170"/>
      <c r="BL44" s="170"/>
      <c r="BM44" s="177"/>
    </row>
    <row r="45" spans="2:90" ht="15" hidden="1" customHeight="1" thickBot="1" x14ac:dyDescent="0.3">
      <c r="BB45" s="267"/>
      <c r="BC45" s="184">
        <v>1</v>
      </c>
      <c r="BD45" s="178">
        <v>2</v>
      </c>
      <c r="BE45" s="178">
        <v>3</v>
      </c>
      <c r="BF45" s="178">
        <v>4</v>
      </c>
      <c r="BG45" s="178">
        <v>5</v>
      </c>
      <c r="BH45" s="179"/>
      <c r="BI45" s="179"/>
      <c r="BJ45" s="179"/>
      <c r="BK45" s="179"/>
      <c r="BL45" s="179"/>
      <c r="BM45" s="180"/>
    </row>
    <row r="46" spans="2:90" ht="14.45" hidden="1" customHeight="1" x14ac:dyDescent="0.25"/>
    <row r="47" spans="2:90" ht="15" hidden="1" x14ac:dyDescent="0.25">
      <c r="BB47" s="723">
        <v>4</v>
      </c>
      <c r="BC47" s="187" cm="1">
        <f t="array" ref="BC47:BC50">_xlfn._xlws.SORT(BD6:BD9)</f>
        <v>1</v>
      </c>
      <c r="BD47" s="188" cm="1">
        <f t="array" ref="BD47:BD50">_xlfn._xlws.SORT(BE6:BE9)</f>
        <v>2</v>
      </c>
      <c r="BE47" s="188" cm="1">
        <f t="array" ref="BE47:BE50">_xlfn._xlws.SORT(BF6:BF9)</f>
        <v>3</v>
      </c>
      <c r="BF47" s="188" cm="1">
        <f t="array" ref="BF47:BF50">_xlfn._xlws.SORT(BG6:BG9)</f>
        <v>4</v>
      </c>
      <c r="BG47" s="189"/>
      <c r="BH47" s="189"/>
      <c r="BI47" s="189"/>
      <c r="BJ47" s="189"/>
      <c r="BK47" s="188">
        <v>1</v>
      </c>
      <c r="BL47" s="188">
        <f>IF(OR($BD$53=BK47,$BE$53=BK47,$BE$54=BK47,$BD$54=BK47),"",BK47)</f>
        <v>1</v>
      </c>
      <c r="BM47" s="190" cm="1">
        <f t="array" ref="BM47:BM50">_xlfn._xlws.SORT(BL47:BL50)</f>
        <v>1</v>
      </c>
    </row>
    <row r="48" spans="2:90" ht="15" hidden="1" x14ac:dyDescent="0.25">
      <c r="BB48" s="724"/>
      <c r="BC48" s="186" t="b">
        <v>0</v>
      </c>
      <c r="BD48" s="185" t="b">
        <v>0</v>
      </c>
      <c r="BE48" s="185" t="str">
        <v/>
      </c>
      <c r="BF48" s="185">
        <v>0</v>
      </c>
      <c r="BG48" s="191"/>
      <c r="BH48" s="191"/>
      <c r="BI48" s="191"/>
      <c r="BJ48" s="191"/>
      <c r="BK48" s="185">
        <v>2</v>
      </c>
      <c r="BL48" s="185">
        <f>IF(OR($BD$53=BK48,$BE$53=BK48,$BE$54=BK48,$BD$54=BK48),"",BK48)</f>
        <v>2</v>
      </c>
      <c r="BM48" s="192">
        <v>2</v>
      </c>
    </row>
    <row r="49" spans="25:65" ht="15" hidden="1" x14ac:dyDescent="0.25">
      <c r="BB49" s="724"/>
      <c r="BC49" s="186" t="b">
        <v>0</v>
      </c>
      <c r="BD49" s="185" t="b">
        <v>0</v>
      </c>
      <c r="BE49" s="185">
        <v>0</v>
      </c>
      <c r="BF49" s="185">
        <v>0</v>
      </c>
      <c r="BG49" s="191"/>
      <c r="BH49" s="191"/>
      <c r="BI49" s="191"/>
      <c r="BJ49" s="191"/>
      <c r="BK49" s="185">
        <v>3</v>
      </c>
      <c r="BL49" s="185">
        <f>IF(OR($BD$53=BK49,$BE$53=BK49,$BE$54=BK49,$BD$54=BK49),"",BK49)</f>
        <v>3</v>
      </c>
      <c r="BM49" s="192">
        <v>3</v>
      </c>
    </row>
    <row r="50" spans="25:65" ht="15" hidden="1" x14ac:dyDescent="0.25">
      <c r="BB50" s="724"/>
      <c r="BC50" s="186" t="b">
        <v>0</v>
      </c>
      <c r="BD50" s="185">
        <v>0</v>
      </c>
      <c r="BE50" s="185">
        <v>0</v>
      </c>
      <c r="BF50" s="185">
        <v>0</v>
      </c>
      <c r="BG50" s="191"/>
      <c r="BH50" s="191"/>
      <c r="BI50" s="191"/>
      <c r="BJ50" s="191"/>
      <c r="BK50" s="185">
        <v>4</v>
      </c>
      <c r="BL50" s="185">
        <f>IF(OR($BD$53=BK50,$BE$53=BK50,$BE$54=BK50,$BD$54=BK50),"",BK50)</f>
        <v>4</v>
      </c>
      <c r="BM50" s="192">
        <v>4</v>
      </c>
    </row>
    <row r="51" spans="25:65" ht="15" hidden="1" x14ac:dyDescent="0.25">
      <c r="BB51" s="724"/>
      <c r="BC51" s="191"/>
      <c r="BD51" s="191"/>
      <c r="BE51" s="191"/>
      <c r="BF51" s="191"/>
      <c r="BG51" s="191"/>
      <c r="BH51" s="191"/>
      <c r="BI51" s="191"/>
      <c r="BJ51" s="191"/>
      <c r="BK51" s="191"/>
      <c r="BL51" s="191"/>
      <c r="BM51" s="193"/>
    </row>
    <row r="52" spans="25:65" ht="15" hidden="1" x14ac:dyDescent="0.25">
      <c r="BB52" s="724"/>
      <c r="BC52" s="191"/>
      <c r="BD52" s="191">
        <f>IF(BD53=FALSE,BC52+1,BC52)</f>
        <v>1</v>
      </c>
      <c r="BE52" s="191">
        <f>IF(BE53=FALSE,BD52+1,BD52)</f>
        <v>2</v>
      </c>
      <c r="BF52" s="191"/>
      <c r="BG52" s="191"/>
      <c r="BH52" s="191"/>
      <c r="BI52" s="191"/>
      <c r="BJ52" s="191"/>
      <c r="BK52" s="191"/>
      <c r="BL52" s="191"/>
      <c r="BM52" s="193"/>
    </row>
    <row r="53" spans="25:65" ht="15" hidden="1" x14ac:dyDescent="0.25">
      <c r="BB53" s="724"/>
      <c r="BC53" s="191"/>
      <c r="BD53" s="185" t="b">
        <f>IF(ISEVEN(BE14),BD6)</f>
        <v>0</v>
      </c>
      <c r="BE53" s="185" t="b">
        <f>IF(ISEVEN(BF14),BE7,IF(ISEVEN(BG14),BF8))</f>
        <v>0</v>
      </c>
      <c r="BF53" s="191"/>
      <c r="BG53" s="191"/>
      <c r="BH53" s="191"/>
      <c r="BI53" s="191"/>
      <c r="BJ53" s="191"/>
      <c r="BK53" s="191"/>
      <c r="BL53" s="191"/>
      <c r="BM53" s="193"/>
    </row>
    <row r="54" spans="25:65" ht="15" hidden="1" x14ac:dyDescent="0.25">
      <c r="BB54" s="724"/>
      <c r="BC54" s="191"/>
      <c r="BD54" s="185" t="b">
        <f>_xlfn.XLOOKUP(BD53,$BC$47:$BF$47,$BC$48:$BF$48,FALSE,0,1)</f>
        <v>0</v>
      </c>
      <c r="BE54" s="185" t="b">
        <f>_xlfn.XLOOKUP(BE53,$BC$47:$BF$47,$BC$48:$BF$48,FALSE,0,1)</f>
        <v>0</v>
      </c>
      <c r="BF54" s="191"/>
      <c r="BG54" s="191"/>
      <c r="BH54" s="191"/>
      <c r="BI54" s="191"/>
      <c r="BJ54" s="191"/>
      <c r="BK54" s="191"/>
      <c r="BL54" s="191"/>
      <c r="BM54" s="193"/>
    </row>
    <row r="55" spans="25:65" ht="15" hidden="1" x14ac:dyDescent="0.25">
      <c r="BB55" s="724"/>
      <c r="BC55" s="191"/>
      <c r="BD55" s="191">
        <f>IF(BD54=FALSE,BE55+1,BE55)</f>
        <v>4</v>
      </c>
      <c r="BE55" s="191">
        <f>IF(BE54=FALSE,BE52+1,BE52)</f>
        <v>3</v>
      </c>
      <c r="BF55" s="191"/>
      <c r="BG55" s="191"/>
      <c r="BH55" s="191"/>
      <c r="BI55" s="191"/>
      <c r="BJ55" s="191"/>
      <c r="BK55" s="191"/>
      <c r="BL55" s="191"/>
      <c r="BM55" s="193"/>
    </row>
    <row r="56" spans="25:65" ht="15" hidden="1" x14ac:dyDescent="0.25">
      <c r="BB56" s="724"/>
      <c r="BC56" s="191"/>
      <c r="BD56" s="191"/>
      <c r="BE56" s="191"/>
      <c r="BF56" s="191"/>
      <c r="BG56" s="191"/>
      <c r="BH56" s="191"/>
      <c r="BI56" s="191"/>
      <c r="BJ56" s="191"/>
      <c r="BK56" s="191"/>
      <c r="BL56" s="191"/>
      <c r="BM56" s="193"/>
    </row>
    <row r="57" spans="25:65" ht="15" hidden="1" x14ac:dyDescent="0.25">
      <c r="BB57" s="724"/>
      <c r="BC57" s="198">
        <f>IF(SUM(BC47:BC50)=10,1,IF(BD53=FALSE,_xlfn.XLOOKUP(BD52,$BK$47:$BK$50,$BM$47:$BM$50,"",0,1),BD53))</f>
        <v>1</v>
      </c>
      <c r="BD57" s="199">
        <f>IF(SUM(BC47:BC50)=10,2,IF(BE53=FALSE,_xlfn.XLOOKUP(BE52,$BK$47:$BK$50,$BM$47:$BM$50,"",0,1),BE53))</f>
        <v>2</v>
      </c>
      <c r="BE57" s="199">
        <f>IF(SUM(BC47:BC50)=10,3,IF(BE54=FALSE,_xlfn.XLOOKUP(BE55,$BK$47:$BK$50,$BM$47:$BM$50,"",0,1),BE54))</f>
        <v>3</v>
      </c>
      <c r="BF57" s="199">
        <f>IF(SUM(BC47:BC50)=10,4,IF(BD54=FALSE,_xlfn.XLOOKUP(BD55,$BK$47:$BK$50,$BM$47:$BM$50,"",0,1),BD54))</f>
        <v>4</v>
      </c>
      <c r="BG57" s="191"/>
      <c r="BH57" s="191"/>
      <c r="BI57" s="191"/>
      <c r="BJ57" s="191"/>
      <c r="BK57" s="191"/>
      <c r="BL57" s="191"/>
      <c r="BM57" s="193"/>
    </row>
    <row r="58" spans="25:65" ht="15.75" hidden="1" thickBot="1" x14ac:dyDescent="0.3">
      <c r="BB58" s="725"/>
      <c r="BC58" s="194">
        <v>1</v>
      </c>
      <c r="BD58" s="195">
        <v>2</v>
      </c>
      <c r="BE58" s="195">
        <v>3</v>
      </c>
      <c r="BF58" s="195">
        <v>4</v>
      </c>
      <c r="BG58" s="196"/>
      <c r="BH58" s="196"/>
      <c r="BI58" s="196"/>
      <c r="BJ58" s="196"/>
      <c r="BK58" s="196"/>
      <c r="BL58" s="196"/>
      <c r="BM58" s="197"/>
    </row>
    <row r="59" spans="25:65" ht="15" hidden="1" x14ac:dyDescent="0.25">
      <c r="Y59" s="247"/>
      <c r="Z59" s="247"/>
    </row>
    <row r="60" spans="25:65" ht="15" hidden="1" x14ac:dyDescent="0.25">
      <c r="Y60" s="247"/>
      <c r="Z60" s="247"/>
      <c r="BB60" s="723">
        <v>3</v>
      </c>
      <c r="BC60" s="200" cm="1">
        <f t="array" ref="BC60:BC62">_xlfn._xlws.SORT(BD6:BD8)</f>
        <v>1</v>
      </c>
      <c r="BD60" s="201" cm="1">
        <f t="array" ref="BD60:BD62">_xlfn._xlws.SORT(BE6:BE8)</f>
        <v>2</v>
      </c>
      <c r="BE60" s="201" cm="1">
        <f t="array" ref="BE60:BE62">_xlfn._xlws.SORT(BF6:BF8)</f>
        <v>3</v>
      </c>
      <c r="BF60" s="202"/>
      <c r="BG60" s="202"/>
      <c r="BH60" s="202"/>
      <c r="BI60" s="202"/>
      <c r="BJ60" s="202"/>
      <c r="BK60" s="201">
        <v>1</v>
      </c>
      <c r="BL60" s="201" t="str">
        <f>IF(OR($BD$65=BK60,$BE$65=BK60,$BE$66=BK60),"",BK60)</f>
        <v/>
      </c>
      <c r="BM60" s="203" cm="1">
        <f t="array" ref="BM60:BM62">_xlfn._xlws.SORT(BL60:BL62)</f>
        <v>2</v>
      </c>
    </row>
    <row r="61" spans="25:65" ht="15" hidden="1" x14ac:dyDescent="0.25">
      <c r="Y61" s="247"/>
      <c r="Z61" s="247"/>
      <c r="BB61" s="724"/>
      <c r="BC61" s="204" t="b">
        <v>0</v>
      </c>
      <c r="BD61" s="205" t="b">
        <v>0</v>
      </c>
      <c r="BE61" s="205">
        <v>0</v>
      </c>
      <c r="BF61" s="206"/>
      <c r="BG61" s="206"/>
      <c r="BH61" s="206"/>
      <c r="BI61" s="206"/>
      <c r="BJ61" s="206"/>
      <c r="BK61" s="205">
        <v>2</v>
      </c>
      <c r="BL61" s="205">
        <f>IF(OR($BD$65=BK61,$BE$65=BK61,$BE$66=BK61),"",BK61)</f>
        <v>2</v>
      </c>
      <c r="BM61" s="207">
        <v>3</v>
      </c>
    </row>
    <row r="62" spans="25:65" ht="15" hidden="1" x14ac:dyDescent="0.25">
      <c r="Y62" s="247"/>
      <c r="Z62" s="247"/>
      <c r="BB62" s="724"/>
      <c r="BC62" s="204" t="b">
        <v>0</v>
      </c>
      <c r="BD62" s="205">
        <v>0</v>
      </c>
      <c r="BE62" s="205">
        <v>0</v>
      </c>
      <c r="BF62" s="206"/>
      <c r="BG62" s="206"/>
      <c r="BH62" s="206"/>
      <c r="BI62" s="206"/>
      <c r="BJ62" s="206"/>
      <c r="BK62" s="205">
        <v>3</v>
      </c>
      <c r="BL62" s="205">
        <f>IF(OR($BD$65=BK62,$BE$65=BK62,$BE$66=BK62),"",BK62)</f>
        <v>3</v>
      </c>
      <c r="BM62" s="207" t="str">
        <v/>
      </c>
    </row>
    <row r="63" spans="25:65" ht="15" hidden="1" x14ac:dyDescent="0.25">
      <c r="Y63" s="247"/>
      <c r="Z63" s="247"/>
      <c r="BB63" s="724"/>
      <c r="BC63" s="208"/>
      <c r="BD63" s="206"/>
      <c r="BE63" s="206"/>
      <c r="BF63" s="206"/>
      <c r="BG63" s="206"/>
      <c r="BH63" s="206"/>
      <c r="BI63" s="206"/>
      <c r="BJ63" s="206"/>
      <c r="BK63" s="206"/>
      <c r="BL63" s="206"/>
      <c r="BM63" s="209"/>
    </row>
    <row r="64" spans="25:65" ht="15" hidden="1" x14ac:dyDescent="0.25">
      <c r="BB64" s="724"/>
      <c r="BC64" s="208"/>
      <c r="BD64" s="206">
        <f>IF(BD65=FALSE,BC64+1,BC64)</f>
        <v>0</v>
      </c>
      <c r="BE64" s="206">
        <f>IF(BE65=FALSE,BD64+1,BD64)</f>
        <v>1</v>
      </c>
      <c r="BF64" s="206"/>
      <c r="BG64" s="206"/>
      <c r="BH64" s="206"/>
      <c r="BI64" s="206"/>
      <c r="BJ64" s="206"/>
      <c r="BK64" s="206"/>
      <c r="BL64" s="206"/>
      <c r="BM64" s="209"/>
    </row>
    <row r="65" spans="54:65" ht="15" hidden="1" x14ac:dyDescent="0.25">
      <c r="BB65" s="724"/>
      <c r="BC65" s="208"/>
      <c r="BD65" s="210">
        <f>IF(ISODD(BE15),BD6,IF(AND(ISODD(BF15),ISODD(BJ7)),BE7,IF(ISODD(BG15),BF8)))</f>
        <v>1</v>
      </c>
      <c r="BE65" s="205" t="b">
        <f>IF(ISEVEN(BE15),BD6,IF(ISEVEN(BF15),BE7))</f>
        <v>0</v>
      </c>
      <c r="BF65" s="206"/>
      <c r="BG65" s="206"/>
      <c r="BH65" s="206"/>
      <c r="BI65" s="206"/>
      <c r="BJ65" s="206"/>
      <c r="BK65" s="206"/>
      <c r="BL65" s="206"/>
      <c r="BM65" s="209"/>
    </row>
    <row r="66" spans="54:65" ht="15" hidden="1" x14ac:dyDescent="0.25">
      <c r="BB66" s="724"/>
      <c r="BC66" s="208"/>
      <c r="BD66" s="206"/>
      <c r="BE66" s="205" t="b">
        <f>_xlfn.XLOOKUP(BE65,$BC$60:$BE$60,$BC$61:$BE$61,FALSE,0,1)</f>
        <v>0</v>
      </c>
      <c r="BF66" s="206"/>
      <c r="BG66" s="206"/>
      <c r="BH66" s="206"/>
      <c r="BI66" s="206"/>
      <c r="BJ66" s="206"/>
      <c r="BK66" s="206"/>
      <c r="BL66" s="206"/>
      <c r="BM66" s="209"/>
    </row>
    <row r="67" spans="54:65" ht="15" hidden="1" x14ac:dyDescent="0.25">
      <c r="BB67" s="724"/>
      <c r="BC67" s="208"/>
      <c r="BD67" s="206"/>
      <c r="BE67" s="206">
        <f>IF(BE66=FALSE,BE64+1,BE64)</f>
        <v>2</v>
      </c>
      <c r="BF67" s="206"/>
      <c r="BG67" s="206"/>
      <c r="BH67" s="206"/>
      <c r="BI67" s="206"/>
      <c r="BJ67" s="206"/>
      <c r="BK67" s="206"/>
      <c r="BL67" s="206"/>
      <c r="BM67" s="209"/>
    </row>
    <row r="68" spans="54:65" ht="15" hidden="1" x14ac:dyDescent="0.25">
      <c r="BB68" s="724"/>
      <c r="BC68" s="208"/>
      <c r="BD68" s="206"/>
      <c r="BE68" s="206"/>
      <c r="BF68" s="206"/>
      <c r="BG68" s="206"/>
      <c r="BH68" s="206"/>
      <c r="BI68" s="206"/>
      <c r="BJ68" s="206"/>
      <c r="BK68" s="206"/>
      <c r="BL68" s="206"/>
      <c r="BM68" s="209"/>
    </row>
    <row r="69" spans="54:65" ht="15" hidden="1" x14ac:dyDescent="0.25">
      <c r="BB69" s="724"/>
      <c r="BC69" s="215" cm="1">
        <f t="array" ref="BC69">IF(SUM(BC60:BC62)=6,1,IF(BD65=FALSE,_xlfn.XLOOKUP(BD64,$BK$60:$BK$62,_xlfn.ANCHORARRAY($BM$60),"",0,1),BD65))</f>
        <v>1</v>
      </c>
      <c r="BD69" s="216" cm="1">
        <f t="array" ref="BD69">IF(SUM(BC60:BC62)=6,2,IF(BE65=FALSE,_xlfn.XLOOKUP(BE64,$BK$60:$BK$62,_xlfn.ANCHORARRAY($BM$60),"",0,1),BE65))</f>
        <v>2</v>
      </c>
      <c r="BE69" s="216" cm="1">
        <f t="array" ref="BE69">IF(SUM(BC60:BC62)=6,3,IF(BE66=FALSE,_xlfn.XLOOKUP(BE67,$BK$60:$BK$62,_xlfn.ANCHORARRAY($BM$60),"",0,1),BE66))</f>
        <v>3</v>
      </c>
      <c r="BF69" s="206"/>
      <c r="BG69" s="206"/>
      <c r="BH69" s="206"/>
      <c r="BI69" s="206"/>
      <c r="BJ69" s="206"/>
      <c r="BK69" s="206"/>
      <c r="BL69" s="206"/>
      <c r="BM69" s="209"/>
    </row>
    <row r="70" spans="54:65" ht="15.75" hidden="1" thickBot="1" x14ac:dyDescent="0.3">
      <c r="BB70" s="725"/>
      <c r="BC70" s="211">
        <v>1</v>
      </c>
      <c r="BD70" s="212">
        <v>2</v>
      </c>
      <c r="BE70" s="212">
        <v>3</v>
      </c>
      <c r="BF70" s="213"/>
      <c r="BG70" s="213"/>
      <c r="BH70" s="213"/>
      <c r="BI70" s="213"/>
      <c r="BJ70" s="213"/>
      <c r="BK70" s="213"/>
      <c r="BL70" s="213"/>
      <c r="BM70" s="214"/>
    </row>
  </sheetData>
  <sheetProtection algorithmName="SHA-512" hashValue="sHD2U8qMh37nBb4YU61yMhX+tOJhsI+gu9gxXLicjk4wZSjO3CoK/KH63/gS51oSajDqd4vsPnKYsy1t3tzZJw==" saltValue="R+qp0CcLBEc+DrIPV9q4xg==" spinCount="100000" sheet="1" objects="1" scenarios="1"/>
  <mergeCells count="151">
    <mergeCell ref="CI31:CI35"/>
    <mergeCell ref="CJ31:CJ35"/>
    <mergeCell ref="Y16:Y17"/>
    <mergeCell ref="CI6:CI10"/>
    <mergeCell ref="CJ6:CJ10"/>
    <mergeCell ref="CI11:CI15"/>
    <mergeCell ref="CJ11:CJ15"/>
    <mergeCell ref="CI16:CI20"/>
    <mergeCell ref="CJ16:CJ20"/>
    <mergeCell ref="CI21:CI25"/>
    <mergeCell ref="CJ21:CJ25"/>
    <mergeCell ref="CI26:CI30"/>
    <mergeCell ref="CJ26:CJ30"/>
    <mergeCell ref="BB17:BB31"/>
    <mergeCell ref="AU16:AV16"/>
    <mergeCell ref="AW16:AX16"/>
    <mergeCell ref="AS16:AT16"/>
    <mergeCell ref="AA34:AA35"/>
    <mergeCell ref="AA31:AA32"/>
    <mergeCell ref="BB47:BB58"/>
    <mergeCell ref="BB60:BB70"/>
    <mergeCell ref="G39:L39"/>
    <mergeCell ref="C40:D40"/>
    <mergeCell ref="E40:F40"/>
    <mergeCell ref="G40:L40"/>
    <mergeCell ref="AA40:AA42"/>
    <mergeCell ref="C41:D41"/>
    <mergeCell ref="E41:F41"/>
    <mergeCell ref="G41:L41"/>
    <mergeCell ref="C42:D42"/>
    <mergeCell ref="E42:F42"/>
    <mergeCell ref="C37:D37"/>
    <mergeCell ref="E37:F37"/>
    <mergeCell ref="G37:L37"/>
    <mergeCell ref="U37:X42"/>
    <mergeCell ref="AA37:AA38"/>
    <mergeCell ref="C38:D38"/>
    <mergeCell ref="E38:F38"/>
    <mergeCell ref="G38:L38"/>
    <mergeCell ref="C39:D39"/>
    <mergeCell ref="E39:F39"/>
    <mergeCell ref="G42:L42"/>
    <mergeCell ref="B35:S35"/>
    <mergeCell ref="U35:V35"/>
    <mergeCell ref="W35:X35"/>
    <mergeCell ref="C36:D36"/>
    <mergeCell ref="E36:F36"/>
    <mergeCell ref="G36:L36"/>
    <mergeCell ref="H31:J31"/>
    <mergeCell ref="K31:L31"/>
    <mergeCell ref="R31:S31"/>
    <mergeCell ref="H32:J32"/>
    <mergeCell ref="K32:L32"/>
    <mergeCell ref="R32:S32"/>
    <mergeCell ref="H25:J25"/>
    <mergeCell ref="K25:L25"/>
    <mergeCell ref="R25:S25"/>
    <mergeCell ref="AA25:AA26"/>
    <mergeCell ref="H26:J26"/>
    <mergeCell ref="K26:L26"/>
    <mergeCell ref="R26:S26"/>
    <mergeCell ref="H23:J23"/>
    <mergeCell ref="B33:W33"/>
    <mergeCell ref="H29:J29"/>
    <mergeCell ref="K29:L29"/>
    <mergeCell ref="R29:S29"/>
    <mergeCell ref="AA29:AA30"/>
    <mergeCell ref="H30:J30"/>
    <mergeCell ref="K30:L30"/>
    <mergeCell ref="R30:S30"/>
    <mergeCell ref="H27:J27"/>
    <mergeCell ref="K27:L27"/>
    <mergeCell ref="R27:S27"/>
    <mergeCell ref="AA27:AA28"/>
    <mergeCell ref="H28:J28"/>
    <mergeCell ref="K28:L28"/>
    <mergeCell ref="R28:S28"/>
    <mergeCell ref="K23:L23"/>
    <mergeCell ref="R23:S23"/>
    <mergeCell ref="AA23:AA24"/>
    <mergeCell ref="H24:J24"/>
    <mergeCell ref="K24:L24"/>
    <mergeCell ref="R24:S24"/>
    <mergeCell ref="H21:J21"/>
    <mergeCell ref="K21:L21"/>
    <mergeCell ref="R21:S21"/>
    <mergeCell ref="AA21:AA22"/>
    <mergeCell ref="H22:J22"/>
    <mergeCell ref="K22:L22"/>
    <mergeCell ref="R22:S22"/>
    <mergeCell ref="H19:J19"/>
    <mergeCell ref="K19:L19"/>
    <mergeCell ref="R19:S19"/>
    <mergeCell ref="AA19:AA20"/>
    <mergeCell ref="H20:J20"/>
    <mergeCell ref="B16:B17"/>
    <mergeCell ref="C16:C17"/>
    <mergeCell ref="D16:N16"/>
    <mergeCell ref="P16:X16"/>
    <mergeCell ref="H17:J17"/>
    <mergeCell ref="K17:L17"/>
    <mergeCell ref="R17:S17"/>
    <mergeCell ref="AA17:AA18"/>
    <mergeCell ref="AA15:AA16"/>
    <mergeCell ref="H18:J18"/>
    <mergeCell ref="K18:L18"/>
    <mergeCell ref="R18:S18"/>
    <mergeCell ref="K20:L20"/>
    <mergeCell ref="R20:S20"/>
    <mergeCell ref="B15:C15"/>
    <mergeCell ref="D15:X15"/>
    <mergeCell ref="B13:E13"/>
    <mergeCell ref="F13:J13"/>
    <mergeCell ref="M13:Q13"/>
    <mergeCell ref="S13:X13"/>
    <mergeCell ref="AA13:AA14"/>
    <mergeCell ref="B14:D14"/>
    <mergeCell ref="BR5:BT5"/>
    <mergeCell ref="C6:D6"/>
    <mergeCell ref="E6:F6"/>
    <mergeCell ref="G6:H6"/>
    <mergeCell ref="C7:D7"/>
    <mergeCell ref="E7:F7"/>
    <mergeCell ref="G7:H7"/>
    <mergeCell ref="AA7:AA8"/>
    <mergeCell ref="C8:D8"/>
    <mergeCell ref="E8:F8"/>
    <mergeCell ref="G14:H14"/>
    <mergeCell ref="J14:K14"/>
    <mergeCell ref="M14:Q14"/>
    <mergeCell ref="T14:X14"/>
    <mergeCell ref="B2:X2"/>
    <mergeCell ref="B4:N4"/>
    <mergeCell ref="P4:X4"/>
    <mergeCell ref="AA4:AA5"/>
    <mergeCell ref="AR4:AR11"/>
    <mergeCell ref="C5:D5"/>
    <mergeCell ref="E5:F5"/>
    <mergeCell ref="G5:H5"/>
    <mergeCell ref="G8:H8"/>
    <mergeCell ref="C9:D9"/>
    <mergeCell ref="AA11:AA12"/>
    <mergeCell ref="E9:F9"/>
    <mergeCell ref="G9:H9"/>
    <mergeCell ref="AA9:AA10"/>
    <mergeCell ref="C10:D10"/>
    <mergeCell ref="E10:F10"/>
    <mergeCell ref="G10:H10"/>
    <mergeCell ref="C11:D11"/>
    <mergeCell ref="E11:F11"/>
    <mergeCell ref="G11:H11"/>
  </mergeCells>
  <conditionalFormatting sqref="B18:Y32">
    <cfRule type="expression" dxfId="1607" priority="3">
      <formula>$B18=""</formula>
    </cfRule>
  </conditionalFormatting>
  <conditionalFormatting sqref="B19:Y32">
    <cfRule type="expression" dxfId="1606" priority="2">
      <formula>$B18=MAX($B$18:$B$32)</formula>
    </cfRule>
  </conditionalFormatting>
  <conditionalFormatting sqref="E18:E32 W18:W32">
    <cfRule type="expression" dxfId="1605" priority="4">
      <formula>LEFT($B$15)="3"</formula>
    </cfRule>
  </conditionalFormatting>
  <conditionalFormatting sqref="L13">
    <cfRule type="expression" dxfId="1604" priority="56">
      <formula>$F$13&lt;&gt;"FINALE"</formula>
    </cfRule>
  </conditionalFormatting>
  <conditionalFormatting sqref="T6:U11 N37:O42">
    <cfRule type="expression" dxfId="1602" priority="57">
      <formula>LEFT($B$15)="3"</formula>
    </cfRule>
  </conditionalFormatting>
  <dataValidations count="3">
    <dataValidation type="list" allowBlank="1" showInputMessage="1" showErrorMessage="1" sqref="O6" xr:uid="{F581D32F-D4F0-47A9-A950-BBB43AB9709D}">
      <formula1>"1,2,3,4,5,6"</formula1>
    </dataValidation>
    <dataValidation type="list" allowBlank="1" showInputMessage="1" showErrorMessage="1" sqref="W35:X35" xr:uid="{724C38E2-77DA-46EA-9958-0FBF0C02A1A7}">
      <formula1>"OUI,NON"</formula1>
    </dataValidation>
    <dataValidation type="list" allowBlank="1" showInputMessage="1" showErrorMessage="1" sqref="O7:O11" xr:uid="{EC7C8DC6-8C73-4622-8319-6B97E3825165}">
      <formula1>"F,1,2,3,4,5,6"</formula1>
    </dataValidation>
  </dataValidations>
  <hyperlinks>
    <hyperlink ref="AA4:AA5" location="'GESTION DES JOUEURS'!D4" display="GESTION DES JOUEURS" xr:uid="{29C86B7F-3A2A-41F2-84FC-5214E148A3C7}"/>
    <hyperlink ref="U37:X42" location="'T PD'!A1" display="'T PD'!A1" xr:uid="{39DB70DE-88B1-4EE2-AC35-253E75C41C85}"/>
    <hyperlink ref="AA9:AA10" location="PA!N18" display="PA!N18" xr:uid="{7B98AEAF-B540-41DA-9F3A-D4655706A0D1}"/>
    <hyperlink ref="AA11:AA12" location="PB!N18" display="Poule B" xr:uid="{C7EE9FBB-11AB-41F7-908A-40BF561C88E5}"/>
    <hyperlink ref="AA13:AA14" location="PC!N18" display="Poule C" xr:uid="{F79A3734-AE37-4FB5-9F3C-F5E9E467E29D}"/>
    <hyperlink ref="AA15:AA16" location="PD!N18" display="Poule D" xr:uid="{D5E5EB3B-743E-4958-8672-EDFDA6A25FCA}"/>
    <hyperlink ref="AA17:AA18" location="PE!N18" display="Poule E" xr:uid="{F0B8CA4E-5DA0-4862-82F7-25120F87EF00}"/>
    <hyperlink ref="AA19:AA20" location="PF!N18" display="Poule F" xr:uid="{F9A5EDD5-368C-472F-9344-CCE4F5712010}"/>
    <hyperlink ref="AA21:AA22" location="PG!N18" display="Poule G" xr:uid="{799F6D45-CAE2-4A60-AE64-5764DE1726F0}"/>
    <hyperlink ref="AA23:AA24" location="PH!N18" display="Poule H" xr:uid="{1503044B-7C1B-48C1-8826-4CF48479B9D2}"/>
    <hyperlink ref="AA25:AA26" location="PI!N18" display="Poule I" xr:uid="{56B22BC9-E47B-4C4B-8252-72BDF38DBF17}"/>
    <hyperlink ref="AA27:AA28" location="PJ!N18" display="Poule J" xr:uid="{92627121-5EC6-4808-A676-034F064BA3A1}"/>
    <hyperlink ref="AA29:AA30" location="PK!N18" display="Poule K" xr:uid="{3ED92323-680F-4C28-A834-99BEF238C856}"/>
    <hyperlink ref="AA31:AA32" location="PL!N18" display="Poule L" xr:uid="{29DA25AE-0A2A-4F1A-95A1-955E1516C8B9}"/>
    <hyperlink ref="AA37:AA38" location="Consolante!A1" display="Consolante" xr:uid="{94FED8F4-9A42-45BC-BD6D-5AEAE6867A47}"/>
    <hyperlink ref="AA40:AA42" location="RESULTATS!A1" display="RESULTATS" xr:uid="{25944A37-5B27-4450-ADB4-CA3206118190}"/>
    <hyperlink ref="AA34:AA35" location="'Phase finale'!A1" display="Phase Finale" xr:uid="{44FA951A-E11C-4C59-BE63-B5E361477CA1}"/>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 id="{0B7C5F97-4A72-44E6-BD7F-8AFD2539AE7B}">
            <xm:f>'GESTION DES JOUEURS'!$D$8="Open"</xm:f>
            <x14:dxf>
              <numFmt numFmtId="14" formatCode="0.00%"/>
            </x14:dxf>
          </x14:cfRule>
          <xm:sqref>R37:S42</xm:sqref>
        </x14:conditionalFormatting>
        <x14:conditionalFormatting xmlns:xm="http://schemas.microsoft.com/office/excel/2006/main">
          <x14:cfRule type="expression" priority="8" id="{988CBD34-9E9A-40BA-A42C-8632F4E4C36D}">
            <xm:f>'GESTION DES JOUEURS'!$D$8="Open"</xm:f>
            <x14:dxf>
              <numFmt numFmtId="14" formatCode="0.00%"/>
            </x14:dxf>
          </x14:cfRule>
          <xm:sqref>W6:X11</xm:sqref>
        </x14:conditionalFormatting>
        <x14:conditionalFormatting xmlns:xm="http://schemas.microsoft.com/office/excel/2006/main">
          <x14:cfRule type="expression" priority="1" id="{837F068A-8A8B-4662-AEAB-5EFAC94BFF16}">
            <xm:f>'GESTION DES JOUEURS'!$D$8="Open"</xm:f>
            <x14:dxf>
              <fill>
                <patternFill>
                  <bgColor theme="0"/>
                </patternFill>
              </fill>
              <border>
                <left style="thin">
                  <color auto="1"/>
                </left>
                <right style="thin">
                  <color auto="1"/>
                </right>
                <top style="thin">
                  <color auto="1"/>
                </top>
                <bottom style="thin">
                  <color auto="1"/>
                </bottom>
                <vertical/>
                <horizontal/>
              </border>
            </x14:dxf>
          </x14:cfRule>
          <xm:sqref>Y5:Y11</xm:sqref>
        </x14:conditionalFormatting>
        <x14:conditionalFormatting xmlns:xm="http://schemas.microsoft.com/office/excel/2006/main">
          <x14:cfRule type="expression" priority="41" id="{9CE5B1EC-39CF-433C-8367-C9C7318498A8}">
            <xm:f>'GESTION DES JOUEURS'!$T$8&lt;2</xm:f>
            <x14:dxf>
              <font>
                <color theme="0" tint="-0.24994659260841701"/>
              </font>
              <fill>
                <patternFill>
                  <bgColor theme="0" tint="-0.24994659260841701"/>
                </patternFill>
              </fill>
            </x14:dxf>
          </x14:cfRule>
          <x14:cfRule type="expression" priority="42" id="{C0ED7FBB-0D10-4534-BE58-45F264A0426C}">
            <xm:f>'GESTION DES JOUEURS'!$D$8="Finale"</xm:f>
            <x14:dxf>
              <font>
                <color theme="0" tint="-0.24994659260841701"/>
              </font>
              <fill>
                <patternFill>
                  <bgColor theme="0" tint="-0.24994659260841701"/>
                </patternFill>
              </fill>
            </x14:dxf>
          </x14:cfRule>
          <xm:sqref>AA11:AA32</xm:sqref>
        </x14:conditionalFormatting>
        <x14:conditionalFormatting xmlns:xm="http://schemas.microsoft.com/office/excel/2006/main">
          <x14:cfRule type="expression" priority="40" id="{7B440135-1787-40EF-ADD6-17310151DF9A}">
            <xm:f>'GESTION DES JOUEURS'!$T$8&lt;3</xm:f>
            <x14:dxf>
              <font>
                <color theme="0" tint="-0.24994659260841701"/>
              </font>
              <fill>
                <patternFill>
                  <bgColor theme="0" tint="-0.24994659260841701"/>
                </patternFill>
              </fill>
            </x14:dxf>
          </x14:cfRule>
          <xm:sqref>AA13:AA32</xm:sqref>
        </x14:conditionalFormatting>
        <x14:conditionalFormatting xmlns:xm="http://schemas.microsoft.com/office/excel/2006/main">
          <x14:cfRule type="expression" priority="39" id="{6CE9C0A0-5D88-4A00-BD2B-4F8DAC10B382}">
            <xm:f>'GESTION DES JOUEURS'!$T$8&lt;4</xm:f>
            <x14:dxf>
              <font>
                <color theme="0" tint="-0.24994659260841701"/>
              </font>
              <fill>
                <patternFill>
                  <bgColor theme="0" tint="-0.24994659260841701"/>
                </patternFill>
              </fill>
            </x14:dxf>
          </x14:cfRule>
          <xm:sqref>AA15:AA32</xm:sqref>
        </x14:conditionalFormatting>
        <x14:conditionalFormatting xmlns:xm="http://schemas.microsoft.com/office/excel/2006/main">
          <x14:cfRule type="expression" priority="38" id="{D9577C93-704E-4C87-8736-DF2969C8C7AA}">
            <xm:f>'GESTION DES JOUEURS'!$T$8&lt;5</xm:f>
            <x14:dxf>
              <font>
                <color theme="0" tint="-0.24994659260841701"/>
              </font>
              <fill>
                <patternFill>
                  <bgColor theme="0" tint="-0.24994659260841701"/>
                </patternFill>
              </fill>
            </x14:dxf>
          </x14:cfRule>
          <xm:sqref>AA17:AA32</xm:sqref>
        </x14:conditionalFormatting>
        <x14:conditionalFormatting xmlns:xm="http://schemas.microsoft.com/office/excel/2006/main">
          <x14:cfRule type="expression" priority="37" id="{ADB2D037-EC10-4D00-97CD-AE635B901932}">
            <xm:f>'GESTION DES JOUEURS'!$T$8&lt;6</xm:f>
            <x14:dxf>
              <font>
                <color theme="0" tint="-0.24994659260841701"/>
              </font>
              <fill>
                <patternFill>
                  <fgColor auto="1"/>
                  <bgColor theme="0" tint="-0.24994659260841701"/>
                </patternFill>
              </fill>
            </x14:dxf>
          </x14:cfRule>
          <xm:sqref>AA19:AA32</xm:sqref>
        </x14:conditionalFormatting>
        <x14:conditionalFormatting xmlns:xm="http://schemas.microsoft.com/office/excel/2006/main">
          <x14:cfRule type="expression" priority="36" id="{D48D17D3-4FD6-41DE-9E59-9EDE081F19E8}">
            <xm:f>'GESTION DES JOUEURS'!$T$8&lt;7</xm:f>
            <x14:dxf>
              <font>
                <color theme="0" tint="-0.24994659260841701"/>
              </font>
              <fill>
                <patternFill>
                  <bgColor theme="0" tint="-0.24994659260841701"/>
                </patternFill>
              </fill>
            </x14:dxf>
          </x14:cfRule>
          <xm:sqref>AA21:AA32</xm:sqref>
        </x14:conditionalFormatting>
        <x14:conditionalFormatting xmlns:xm="http://schemas.microsoft.com/office/excel/2006/main">
          <x14:cfRule type="expression" priority="35" id="{D59F050C-809C-4C61-AACD-4155B52DB300}">
            <xm:f>'GESTION DES JOUEURS'!$T$8&lt;8</xm:f>
            <x14:dxf>
              <font>
                <color theme="0" tint="-0.24994659260841701"/>
              </font>
              <fill>
                <patternFill>
                  <bgColor theme="0" tint="-0.24994659260841701"/>
                </patternFill>
              </fill>
            </x14:dxf>
          </x14:cfRule>
          <xm:sqref>AA23:AA32</xm:sqref>
        </x14:conditionalFormatting>
        <x14:conditionalFormatting xmlns:xm="http://schemas.microsoft.com/office/excel/2006/main">
          <x14:cfRule type="expression" priority="34" id="{F56B6410-37B8-462B-AA7E-0C1396CBEDF2}">
            <xm:f>'GESTION DES JOUEURS'!$T$8&lt;9</xm:f>
            <x14:dxf>
              <font>
                <color theme="0" tint="-0.24994659260841701"/>
              </font>
              <fill>
                <patternFill>
                  <bgColor theme="0" tint="-0.24994659260841701"/>
                </patternFill>
              </fill>
            </x14:dxf>
          </x14:cfRule>
          <xm:sqref>AA25:AA32</xm:sqref>
        </x14:conditionalFormatting>
        <x14:conditionalFormatting xmlns:xm="http://schemas.microsoft.com/office/excel/2006/main">
          <x14:cfRule type="expression" priority="33" id="{E6C0E050-CFCC-4A45-AD4A-4F2EB1697736}">
            <xm:f>'GESTION DES JOUEURS'!$T$8&lt;10</xm:f>
            <x14:dxf>
              <font>
                <color theme="0" tint="-0.24994659260841701"/>
              </font>
              <fill>
                <patternFill>
                  <bgColor theme="0" tint="-0.24994659260841701"/>
                </patternFill>
              </fill>
            </x14:dxf>
          </x14:cfRule>
          <xm:sqref>AA27:AA32</xm:sqref>
        </x14:conditionalFormatting>
        <x14:conditionalFormatting xmlns:xm="http://schemas.microsoft.com/office/excel/2006/main">
          <x14:cfRule type="expression" priority="18" id="{13A233C1-5356-4C1F-8CAF-CD34C382638C}">
            <xm:f>OR('GESTION DES JOUEURS'!$D$8="poules",'GESTION DES JOUEURS'!$D$8="Finale")</xm:f>
            <x14:dxf>
              <font>
                <color theme="0" tint="-0.24994659260841701"/>
              </font>
              <fill>
                <patternFill>
                  <fgColor auto="1"/>
                  <bgColor theme="0" tint="-0.24994659260841701"/>
                </patternFill>
              </fill>
            </x14:dxf>
          </x14:cfRule>
          <xm:sqref>AA34:AA35</xm:sqref>
        </x14:conditionalFormatting>
        <x14:conditionalFormatting xmlns:xm="http://schemas.microsoft.com/office/excel/2006/main">
          <x14:cfRule type="expression" priority="17" id="{203F7166-D7E9-49BA-ACD0-61EED978BE4C}">
            <xm:f>'GESTION DES JOUEURS'!$T$8=1</xm:f>
            <x14:dxf>
              <font>
                <color theme="0" tint="-0.24994659260841701"/>
              </font>
              <fill>
                <patternFill>
                  <bgColor theme="0" tint="-0.24994659260841701"/>
                </patternFill>
              </fill>
            </x14:dxf>
          </x14:cfRule>
          <x14:cfRule type="expression" priority="19" id="{75EE00DC-1678-4E98-969F-761B9589FDCF}">
            <xm:f>'GESTION DES JOUEURS'!$D$8="Finale"</xm:f>
            <x14:dxf>
              <font>
                <color theme="0" tint="-0.24994659260841701"/>
              </font>
              <fill>
                <patternFill>
                  <bgColor theme="0" tint="-0.24994659260841701"/>
                </patternFill>
              </fill>
            </x14:dxf>
          </x14:cfRule>
          <xm:sqref>AA34:AA38</xm:sqref>
        </x14:conditionalFormatting>
        <x14:conditionalFormatting xmlns:xm="http://schemas.microsoft.com/office/excel/2006/main">
          <x14:cfRule type="expression" priority="21" id="{84E03B2E-5E20-461E-8744-A6443BF9CF3E}">
            <xm:f>OR('GESTION DES JOUEURS'!$D$8="Poules",'GESTION DES JOUEURS'!$D$8="Finale",'GESTION DES JOUEURS'!$D$8="Tournoi")</xm:f>
            <x14:dxf>
              <font>
                <color theme="0" tint="-0.24994659260841701"/>
              </font>
              <fill>
                <patternFill>
                  <bgColor theme="0" tint="-0.24994659260841701"/>
                </patternFill>
              </fill>
            </x14:dxf>
          </x14:cfRule>
          <xm:sqref>AA37:AA38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EF36F95-CB57-4126-8D71-1253E8EF798E}">
          <x14:formula1>
            <xm:f>IF(AND(_xlfn.XLOOKUP($F18,$B$6:$B$11,$AD$6:$AD$11,"",0,1)&lt;&gt;"N1",_xlfn.XLOOKUP($U18,$B$6:$B$11,$AD$6:$AD$11,"",0,1)&lt;&gt;"N1",$B$15="Cadre N1/N2"),Distances!$B$89:$KP$89,Distances!$B$86:$KQ$86)</xm:f>
          </x14:formula1>
          <xm:sqref>O18:O32</xm:sqref>
        </x14:dataValidation>
        <x14:dataValidation type="list" allowBlank="1" showInputMessage="1" showErrorMessage="1" xr:uid="{A76F255A-DB4D-442A-A05C-5EAA5D4AD5E7}">
          <x14:formula1>
            <xm:f>IF(AND(_xlfn.XLOOKUP($F18,$B$6:$B$11,$AD$6:$AD$11,"",0,1)&lt;&gt;"N1",_xlfn.XLOOKUP($U18,$B$6:$B$11,$AD$6:$AD$11,"",0,1)&lt;&gt;"N1",$B$15="Cadre N1/N2"),Distances!$B$88:$KP$88,Distances!$B$85:$KQ$85)</xm:f>
          </x14:formula1>
          <xm:sqref>N18:N32 P18:P32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28103-CC34-418C-A18F-12D4FB0D9AA6}">
  <sheetPr>
    <tabColor rgb="FFC5DDF1"/>
    <pageSetUpPr fitToPage="1"/>
  </sheetPr>
  <dimension ref="A1:AZ40"/>
  <sheetViews>
    <sheetView zoomScale="53" zoomScaleNormal="84" workbookViewId="0">
      <selection activeCell="AG1" sqref="AG1:AQ3"/>
    </sheetView>
  </sheetViews>
  <sheetFormatPr baseColWidth="10" defaultColWidth="10.85546875" defaultRowHeight="15" x14ac:dyDescent="0.25"/>
  <cols>
    <col min="1" max="1" width="1" style="244" customWidth="1"/>
    <col min="2" max="2" width="0.140625" style="244" customWidth="1"/>
    <col min="3" max="3" width="22.7109375" style="244" customWidth="1"/>
    <col min="4" max="4" width="0.140625" style="244" customWidth="1"/>
    <col min="5" max="5" width="9.140625" style="244" customWidth="1"/>
    <col min="6" max="7" width="2.28515625" style="244" customWidth="1"/>
    <col min="8" max="8" width="9.140625" style="244" customWidth="1"/>
    <col min="9" max="9" width="0.140625" style="244" customWidth="1"/>
    <col min="10" max="10" width="9.140625" style="244" customWidth="1"/>
    <col min="11" max="12" width="2.28515625" style="244" customWidth="1"/>
    <col min="13" max="13" width="9.140625" style="244" customWidth="1"/>
    <col min="14" max="14" width="0.140625" style="244" customWidth="1"/>
    <col min="15" max="15" width="9.140625" style="244" customWidth="1"/>
    <col min="16" max="17" width="2.28515625" style="244" customWidth="1"/>
    <col min="18" max="18" width="9.140625" style="244" customWidth="1"/>
    <col min="19" max="19" width="0.140625" style="244" customWidth="1"/>
    <col min="20" max="20" width="9.140625" style="244" customWidth="1"/>
    <col min="21" max="22" width="2.28515625" style="244" customWidth="1"/>
    <col min="23" max="23" width="9.140625" style="244" customWidth="1"/>
    <col min="24" max="24" width="0.140625" style="244" customWidth="1"/>
    <col min="25" max="25" width="9.140625" style="244" customWidth="1"/>
    <col min="26" max="27" width="2.28515625" style="244" customWidth="1"/>
    <col min="28" max="28" width="9.140625" style="244" customWidth="1"/>
    <col min="29" max="29" width="0.140625" style="244" customWidth="1"/>
    <col min="30" max="30" width="9.140625" style="244" customWidth="1"/>
    <col min="31" max="32" width="2.28515625" style="244" customWidth="1"/>
    <col min="33" max="33" width="9.140625" style="244" customWidth="1"/>
    <col min="34" max="34" width="0.140625" style="244" customWidth="1"/>
    <col min="35" max="35" width="1.5703125" style="244" customWidth="1"/>
    <col min="36" max="36" width="0.140625" style="244" customWidth="1"/>
    <col min="37" max="37" width="7.28515625" style="244" customWidth="1"/>
    <col min="38" max="39" width="4.140625" style="244" customWidth="1"/>
    <col min="40" max="40" width="7.28515625" style="244" customWidth="1"/>
    <col min="41" max="41" width="0.140625" style="244" customWidth="1"/>
    <col min="42" max="42" width="6.140625" style="244" customWidth="1"/>
    <col min="43" max="43" width="0.140625" style="244" customWidth="1"/>
    <col min="44" max="44" width="1.85546875" style="244" customWidth="1"/>
    <col min="45" max="45" width="22.140625" style="244" customWidth="1"/>
    <col min="46" max="46" width="10.85546875" style="244" hidden="1" customWidth="1"/>
    <col min="47" max="47" width="2.140625" style="244" customWidth="1"/>
    <col min="48" max="48" width="32.5703125" style="244" customWidth="1"/>
    <col min="49" max="16384" width="10.85546875" style="244"/>
  </cols>
  <sheetData>
    <row r="1" spans="1:48" ht="21.95" customHeight="1" thickTop="1" thickBot="1" x14ac:dyDescent="0.3">
      <c r="A1" s="32"/>
      <c r="B1" s="855" t="s">
        <v>7073</v>
      </c>
      <c r="C1" s="856"/>
      <c r="D1" s="856"/>
      <c r="E1" s="856"/>
      <c r="F1" s="856"/>
      <c r="G1" s="856"/>
      <c r="H1" s="856"/>
      <c r="I1" s="857" t="str">
        <f ca="1">IF(PD!F13="FINALE","District 93-94"&amp;" - "&amp;IF(MONTH(AT5)&gt;8,YEAR(AT5)&amp;"/"&amp;YEAR(AT5)+1,YEAR(AT5)-1&amp;"/"&amp;YEAR(AT5))&amp;CHAR(10)&amp;PD!F13&amp;CHAR(10)&amp;PD!B15&amp;AT2,"District 93-94"&amp;" - "&amp;IF(MONTH(AT5)&gt;8,YEAR(AT5)&amp;"/"&amp;YEAR(AT5)+1,YEAR(AT5)-1&amp;"/"&amp;YEAR(AT5))&amp;CHAR(10)&amp;'GESTION DES JOUEURS'!C2&amp;CHAR(10)&amp;PD!K13&amp;" "&amp;PD!L13)</f>
        <v>District 93-94 - 2024/2025
Journée 3 -  Libre R2
Poule D</v>
      </c>
      <c r="J1" s="857"/>
      <c r="K1" s="857"/>
      <c r="L1" s="857"/>
      <c r="M1" s="857"/>
      <c r="N1" s="857"/>
      <c r="O1" s="857"/>
      <c r="P1" s="857"/>
      <c r="Q1" s="857"/>
      <c r="R1" s="857"/>
      <c r="S1" s="857"/>
      <c r="T1" s="857"/>
      <c r="U1" s="857"/>
      <c r="V1" s="857"/>
      <c r="W1" s="857"/>
      <c r="X1" s="857"/>
      <c r="Y1" s="857"/>
      <c r="Z1" s="857"/>
      <c r="AA1" s="857"/>
      <c r="AB1" s="857"/>
      <c r="AC1" s="857"/>
      <c r="AD1" s="857"/>
      <c r="AE1" s="857"/>
      <c r="AF1" s="857"/>
      <c r="AG1" s="860" t="e" vm="1">
        <v>#VALUE!</v>
      </c>
      <c r="AH1" s="860"/>
      <c r="AI1" s="860"/>
      <c r="AJ1" s="860"/>
      <c r="AK1" s="860"/>
      <c r="AL1" s="860"/>
      <c r="AM1" s="860"/>
      <c r="AN1" s="860"/>
      <c r="AO1" s="860"/>
      <c r="AP1" s="860"/>
      <c r="AQ1" s="861"/>
    </row>
    <row r="2" spans="1:48" ht="100.5" customHeight="1" thickBot="1" x14ac:dyDescent="0.3">
      <c r="A2" s="32"/>
      <c r="B2" s="866" t="str">
        <f>IF(PD!M14="","",PD!M14)</f>
        <v>9031 - ACADEMIE DE BILLARD DE MAISONS ALFORT</v>
      </c>
      <c r="C2" s="867"/>
      <c r="D2" s="867"/>
      <c r="E2" s="867"/>
      <c r="F2" s="867"/>
      <c r="G2" s="867"/>
      <c r="H2" s="867"/>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62"/>
      <c r="AH2" s="862"/>
      <c r="AI2" s="862"/>
      <c r="AJ2" s="862"/>
      <c r="AK2" s="862"/>
      <c r="AL2" s="862"/>
      <c r="AM2" s="862"/>
      <c r="AN2" s="862"/>
      <c r="AO2" s="862"/>
      <c r="AP2" s="862"/>
      <c r="AQ2" s="863"/>
      <c r="AS2" s="343" t="s">
        <v>8128</v>
      </c>
      <c r="AT2" s="32" t="str">
        <f>IF(LEFT(PD!$B$15)="C","   -   "&amp;_xlfn.XLOOKUP(PD!B15,Distances!D2:D77,Distances!K2:K77,"",0,1),"")</f>
        <v/>
      </c>
      <c r="AV2" s="450" t="s">
        <v>8130</v>
      </c>
    </row>
    <row r="3" spans="1:48" ht="21.95" customHeight="1" thickBot="1" x14ac:dyDescent="0.3">
      <c r="A3" s="32"/>
      <c r="B3" s="868" t="str">
        <f>IF('GESTION DES JOUEURS'!$F$6="","","Directeur de jeu : "&amp;PD!S13)</f>
        <v>Directeur de jeu : LEMONIER THIERY</v>
      </c>
      <c r="C3" s="869"/>
      <c r="D3" s="869"/>
      <c r="E3" s="869"/>
      <c r="F3" s="869"/>
      <c r="G3" s="869"/>
      <c r="H3" s="86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4"/>
      <c r="AH3" s="864"/>
      <c r="AI3" s="864"/>
      <c r="AJ3" s="864"/>
      <c r="AK3" s="864"/>
      <c r="AL3" s="864"/>
      <c r="AM3" s="864"/>
      <c r="AN3" s="864"/>
      <c r="AO3" s="864"/>
      <c r="AP3" s="864"/>
      <c r="AQ3" s="865"/>
      <c r="AS3" s="341"/>
      <c r="AV3" s="342"/>
    </row>
    <row r="4" spans="1:48" ht="7.5" customHeight="1" thickTop="1" thickBo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S4" s="241"/>
      <c r="AT4" s="32"/>
    </row>
    <row r="5" spans="1:48" ht="36.950000000000003" customHeight="1" thickTop="1" thickBot="1" x14ac:dyDescent="0.3">
      <c r="A5" s="32"/>
      <c r="B5" s="876" t="str">
        <f>"Mode de jeu : "&amp;_xlfn.XLOOKUP(PD!B15,Distances!D2:D77,Distances!A2:A77,"",0,1)&amp;AT2</f>
        <v>Mode de jeu : Libre</v>
      </c>
      <c r="C5" s="877"/>
      <c r="D5" s="877"/>
      <c r="E5" s="877"/>
      <c r="F5" s="877"/>
      <c r="G5" s="876" t="str">
        <f>"Catégorie : "&amp;_xlfn.XLOOKUP(PD!B15,Distances!D2:D77,Distances!B2:B77,"",0,1)</f>
        <v>Catégorie : R2</v>
      </c>
      <c r="H5" s="877"/>
      <c r="I5" s="877"/>
      <c r="J5" s="877"/>
      <c r="K5" s="877"/>
      <c r="L5" s="877"/>
      <c r="M5" s="877"/>
      <c r="N5" s="878"/>
      <c r="O5" s="870" t="str">
        <f>IF(G5="Catégorie : N1/N2","Distance réduite : 150 pts"&amp;CHAR(10)&amp;"si N2 Vs N2 120pts",PD!B14&amp;" "&amp;PD!E14&amp;" "&amp;PD!F14)</f>
        <v>Distance : 100 Pts</v>
      </c>
      <c r="P5" s="871"/>
      <c r="Q5" s="871"/>
      <c r="R5" s="871"/>
      <c r="S5" s="871"/>
      <c r="T5" s="871"/>
      <c r="U5" s="872"/>
      <c r="V5" s="870" t="str">
        <f>IFERROR(IF(G5="Catégorie : N1/N2","Reprises : 15"&amp;CHAR(10)&amp;"si N2 Vs N2 Reprises : 20 ",PD!G14&amp;" "&amp;PD!J14),"")</f>
        <v>Reprises : 40</v>
      </c>
      <c r="W5" s="871"/>
      <c r="X5" s="871"/>
      <c r="Y5" s="871"/>
      <c r="Z5" s="871"/>
      <c r="AA5" s="871"/>
      <c r="AB5" s="871"/>
      <c r="AC5" s="872"/>
      <c r="AD5" s="873" t="str">
        <f>_xlfn.XLOOKUP(PD!B15,Distances!D2:D77,Distances!J2:J77,"",0,1)&amp;" "&amp;_xlfn.XLOOKUP(PD!B15,Distances!D2:D77,Distances!I2:I77,"",0,1)&amp;"0 m"</f>
        <v>PC 2,80 m</v>
      </c>
      <c r="AE5" s="874"/>
      <c r="AF5" s="874"/>
      <c r="AG5" s="874"/>
      <c r="AH5" s="874"/>
      <c r="AI5" s="875"/>
      <c r="AJ5" s="850">
        <f>IF(PD!T14=0,"DATE",PD!T14)</f>
        <v>45633</v>
      </c>
      <c r="AK5" s="851"/>
      <c r="AL5" s="851"/>
      <c r="AM5" s="851"/>
      <c r="AN5" s="851"/>
      <c r="AO5" s="851"/>
      <c r="AP5" s="851"/>
      <c r="AQ5" s="852"/>
      <c r="AS5" s="841" t="s">
        <v>8129</v>
      </c>
      <c r="AT5" s="32">
        <f ca="1">IF(PD!T14&gt;1,AJ5,TODAY())</f>
        <v>45633</v>
      </c>
      <c r="AV5" s="835" t="s">
        <v>9888</v>
      </c>
    </row>
    <row r="6" spans="1:48" ht="8.1" customHeight="1" thickTop="1" thickBot="1" x14ac:dyDescent="0.3">
      <c r="A6" s="32"/>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2"/>
      <c r="AH6" s="32"/>
      <c r="AI6" s="32"/>
      <c r="AJ6" s="32"/>
      <c r="AK6" s="32"/>
      <c r="AL6" s="32"/>
      <c r="AM6" s="32"/>
      <c r="AN6" s="32"/>
      <c r="AO6" s="32"/>
      <c r="AP6" s="32"/>
      <c r="AQ6" s="32"/>
      <c r="AS6" s="842"/>
      <c r="AT6" s="32"/>
      <c r="AV6" s="836"/>
    </row>
    <row r="7" spans="1:48" ht="0.95" customHeight="1"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S7" s="842"/>
      <c r="AT7" s="32"/>
      <c r="AV7" s="32"/>
    </row>
    <row r="8" spans="1:48" ht="22.5" customHeight="1" thickBot="1" x14ac:dyDescent="0.3">
      <c r="A8" s="32"/>
      <c r="B8" s="32"/>
      <c r="C8" s="138" t="str">
        <f>IF(PD!$AO$4&lt;2,"","JOUEURS")</f>
        <v>JOUEURS</v>
      </c>
      <c r="D8" s="139"/>
      <c r="E8" s="853" t="str">
        <f>IF(C10="","",C10)</f>
        <v>LE HUAN CUA T.</v>
      </c>
      <c r="F8" s="853"/>
      <c r="G8" s="853"/>
      <c r="H8" s="853"/>
      <c r="I8" s="139"/>
      <c r="J8" s="853" t="str">
        <f>IF(C15="","",C15)</f>
        <v>KEREBEL E.</v>
      </c>
      <c r="K8" s="853"/>
      <c r="L8" s="853"/>
      <c r="M8" s="853"/>
      <c r="N8" s="139"/>
      <c r="O8" s="853" t="str">
        <f>IF(C20="","",C20)</f>
        <v>LE HUAN CUA T.</v>
      </c>
      <c r="P8" s="853"/>
      <c r="Q8" s="853"/>
      <c r="R8" s="853"/>
      <c r="S8" s="139"/>
      <c r="T8" s="853" t="str">
        <f>IF(C25="","",C25)</f>
        <v>KEREBEL E.</v>
      </c>
      <c r="U8" s="853"/>
      <c r="V8" s="853"/>
      <c r="W8" s="853"/>
      <c r="X8" s="139"/>
      <c r="Y8" s="853" t="str">
        <f>IF(C30="","",C30)</f>
        <v/>
      </c>
      <c r="Z8" s="853"/>
      <c r="AA8" s="853"/>
      <c r="AB8" s="853"/>
      <c r="AC8" s="139"/>
      <c r="AD8" s="853" t="str">
        <f>IF(C35="","",C35)</f>
        <v/>
      </c>
      <c r="AE8" s="853"/>
      <c r="AF8" s="853"/>
      <c r="AG8" s="853"/>
      <c r="AH8" s="139"/>
      <c r="AI8" s="139"/>
      <c r="AJ8" s="139"/>
      <c r="AK8" s="854" t="str">
        <f>IF(PD!$AO$4&lt;2,"","RESULTATS")</f>
        <v>RESULTATS</v>
      </c>
      <c r="AL8" s="854"/>
      <c r="AM8" s="854"/>
      <c r="AN8" s="854"/>
      <c r="AO8" s="32"/>
      <c r="AP8" s="141"/>
      <c r="AQ8" s="32"/>
      <c r="AS8" s="842"/>
      <c r="AT8" s="32"/>
    </row>
    <row r="9" spans="1:48" ht="0.95" customHeight="1" thickBot="1" x14ac:dyDescent="0.3">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S9" s="340"/>
      <c r="AT9" s="32"/>
      <c r="AV9" s="837" t="s">
        <v>5447</v>
      </c>
    </row>
    <row r="10" spans="1:48" ht="50.1" customHeight="1" x14ac:dyDescent="0.25">
      <c r="A10" s="32"/>
      <c r="B10" s="32"/>
      <c r="C10" s="140" t="str" cm="1">
        <f t="array" ref="C10:D10">IF(PD!AO4=2,_xlfn.XLOOKUP(1,PD!M6:M11,PD!C6:D11&amp;" "&amp;LEFT(PD!E6)&amp;".","",0,1),IF(COUNT(PD!A6:A11)&gt;2,CONCATENATE(PD!C6," ",LEFT(PD!E6),"."),""))</f>
        <v>LE HUAN CUA T.</v>
      </c>
      <c r="D10" s="32" t="str">
        <v xml:space="preserve"> T.</v>
      </c>
      <c r="E10" s="885" t="e" vm="2">
        <f>IF(PD!W35="NON",AG1,IF(PD!AO4&gt;0,_xlfn.XLOOKUP('T PD'!C13,'LOGOS CLUBS'!$B$2:$B$65,'LOGOS CLUBS'!$C$2:$C$65,C13,0,1),""))</f>
        <v>#VALUE!</v>
      </c>
      <c r="F10" s="885"/>
      <c r="G10" s="885"/>
      <c r="H10" s="885"/>
      <c r="I10" s="32"/>
      <c r="J10" s="882">
        <f>IF(AND(PD!$AO$4=2,PD!$A18="P"),PD!N18,IF(AND(COUNT(PD!$A$6:$A$11)&gt;2,PD!$CF10="P"),PD!$CC10,""))</f>
        <v>100</v>
      </c>
      <c r="K10" s="882"/>
      <c r="L10" s="882">
        <f>IF(AND(PD!$AO$4=2,PD!$A18="P"),PD!O18,IF(AND(COUNT(PD!$A$6:$A$11)&gt;2,PD!$CF10="P"),PD!$CE10,""))</f>
        <v>23</v>
      </c>
      <c r="M10" s="882"/>
      <c r="N10" s="142"/>
      <c r="O10" s="882" t="str">
        <f>IF(PD!$AO$4=2,"",IF(AND(COUNT(PD!$A$6:$A$11)&gt;2,PD!$CF9="P"),PD!$CC9,""))</f>
        <v/>
      </c>
      <c r="P10" s="882"/>
      <c r="Q10" s="882" t="str">
        <f>IF(PD!$AO$4=2,"",IF(AND(COUNT(PD!$A$6:$A$11)&gt;2,PD!$CF9="P"),PD!$CE9,""))</f>
        <v/>
      </c>
      <c r="R10" s="882"/>
      <c r="S10" s="142"/>
      <c r="T10" s="882" t="str">
        <f>IF(PD!$AO$4=2,"",IF(AND(COUNT(PD!$A$6:$A$11)&gt;2,PD!$CF8="P"),PD!$CC8,""))</f>
        <v/>
      </c>
      <c r="U10" s="882"/>
      <c r="V10" s="882" t="str">
        <f>IF(PD!$AO$4=2,"",IF(AND(COUNT(PD!$A$6:$A$11)&gt;2,PD!$CF8="P"),PD!$CE8,""))</f>
        <v/>
      </c>
      <c r="W10" s="882"/>
      <c r="X10" s="142"/>
      <c r="Y10" s="882" t="str">
        <f>IF(PD!$AO$4=2,"",IF(AND(COUNT(PD!$A$6:$A$11)&gt;2,PD!$CF7="P"),PD!$CC7,""))</f>
        <v/>
      </c>
      <c r="Z10" s="882"/>
      <c r="AA10" s="882" t="str">
        <f>IF(PD!$AO$4=2,"",IF(AND(COUNT(PD!$A$6:$A$11)&gt;2,PD!$CF7="P"),PD!$CE7,""))</f>
        <v/>
      </c>
      <c r="AB10" s="882"/>
      <c r="AC10" s="142"/>
      <c r="AD10" s="882" t="str">
        <f>IF(PD!$AO$4=2,"",IF(AND(COUNT(PD!$A$6:$A$11)&gt;2,PD!$CF6="P"),PD!$CC6,""))</f>
        <v/>
      </c>
      <c r="AE10" s="882"/>
      <c r="AF10" s="882" t="str">
        <f>IF(PD!$AO$4=2,"",IF(AND(COUNT(PD!$A$6:$A$11)&gt;2,PD!$CF6="P"),PD!$CE6,""))</f>
        <v/>
      </c>
      <c r="AG10" s="882"/>
      <c r="AH10" s="32"/>
      <c r="AI10" s="32"/>
      <c r="AJ10" s="32"/>
      <c r="AK10" s="882" cm="1">
        <f t="array" ref="AK10">IF(PD!$AO$4&lt;2,"",IF(_xlfn.XLOOKUP('T PD'!C12,"Licence n° "&amp;PD!$B$6:$B$11,PD!$AO$6:$AO$11,"",0,1)=1,"",_xlfn.XLOOKUP('T PD'!C12,"Licence n° "&amp;PD!$B$6:$B$11,PD!$V$6:$V$11,"",0,1)))</f>
        <v>4</v>
      </c>
      <c r="AL10" s="882"/>
      <c r="AM10" s="879" cm="1">
        <f t="array" ref="AM10">IF(PD!$AO$4&lt;2,"",IF(_xlfn.XLOOKUP('T PD'!C12,"Licence n° "&amp;PD!$B$6:$B$11,PD!$AO$6:$AO$11,"",0,1)=1,"",_xlfn.XLOOKUP('T PD'!C12,"Licence n° "&amp;PD!$B$6:$B$11,PD!$T$6:$T$11,"",0,1)))</f>
        <v>4.166666666666667</v>
      </c>
      <c r="AN10" s="879"/>
      <c r="AO10" s="32"/>
      <c r="AP10" s="561" cm="1">
        <f t="array" ref="AP10">_xlfn.XLOOKUP(C12,"Licence n° "&amp;PD!$B$6:$B$11,PD!$W$6:$W$11,"",0,1)</f>
        <v>8</v>
      </c>
      <c r="AQ10" s="32"/>
      <c r="AS10" s="843" t="str">
        <f>IF('GESTION DES JOUEURS'!$D$8="Finale","Poule Finale","Poule A")</f>
        <v>Poule A</v>
      </c>
      <c r="AT10" s="32"/>
      <c r="AV10" s="838"/>
    </row>
    <row r="11" spans="1:48" ht="12.6" customHeight="1" thickBot="1" x14ac:dyDescent="0.3">
      <c r="A11" s="32"/>
      <c r="B11" s="32"/>
      <c r="C11" s="143" t="str" cm="1">
        <f t="array" ref="C11">IF(PD!$AO$4=2,_xlfn.XLOOKUP(1,PD!$M$6:$M$11,PD!$K$6:$K$11&amp;" "&amp;PD!$AS$6:$AS$11,"",0,1),IF(COUNT(PD!$A$6:$A$11)&gt;2,PD!$K6&amp;" - "&amp;PD!$AS6," "))</f>
        <v>R2 0,00</v>
      </c>
      <c r="D11" s="32"/>
      <c r="E11" s="885"/>
      <c r="F11" s="885"/>
      <c r="G11" s="885"/>
      <c r="H11" s="885"/>
      <c r="I11" s="32"/>
      <c r="J11" s="144" t="str">
        <f>IF(K11="","","Pts")</f>
        <v>Pts</v>
      </c>
      <c r="K11" s="880">
        <f>IF(PD!$AO$4=2,PD!D18,IF(AND(COUNT(PD!$A$6:$A$11)&gt;2,PD!$CF10="P"),PD!$CG10,""))</f>
        <v>2</v>
      </c>
      <c r="L11" s="880"/>
      <c r="M11" s="144" t="str">
        <f>IF(K11="","","Rep.")</f>
        <v>Rep.</v>
      </c>
      <c r="N11" s="144"/>
      <c r="O11" s="144" t="str">
        <f>IF(P11="","","Pts")</f>
        <v/>
      </c>
      <c r="P11" s="880" t="str">
        <f>IF(PD!$AO$4=2,"",IF(AND(COUNT(PD!$A$6:$A$11)&gt;2,PD!$CF9="P"),PD!$CG9,""))</f>
        <v/>
      </c>
      <c r="Q11" s="880"/>
      <c r="R11" s="144" t="str">
        <f>IF(P11="","","Rep.")</f>
        <v/>
      </c>
      <c r="S11" s="144"/>
      <c r="T11" s="144" t="str">
        <f>IF(U11="","","Pts")</f>
        <v/>
      </c>
      <c r="U11" s="880" t="str">
        <f>IF(PD!$AO$4=2,"",IF(AND(COUNT(PD!$A$6:$A$11)&gt;2,PD!$CF8="P"),PD!$CG8,""))</f>
        <v/>
      </c>
      <c r="V11" s="880"/>
      <c r="W11" s="144" t="str">
        <f>IF(U11="","","Rep.")</f>
        <v/>
      </c>
      <c r="X11" s="144"/>
      <c r="Y11" s="144" t="str">
        <f>IF(Z11="","","Pts")</f>
        <v/>
      </c>
      <c r="Z11" s="880" t="str">
        <f>IF(PD!$AO$4=2,"",IF(AND(COUNT(PD!$A$6:$A$11)&gt;2,PD!$CF7="P"),PD!$CG7,""))</f>
        <v/>
      </c>
      <c r="AA11" s="880"/>
      <c r="AB11" s="144" t="str">
        <f>IF(Z11="","","Rep.")</f>
        <v/>
      </c>
      <c r="AC11" s="144"/>
      <c r="AD11" s="144" t="str">
        <f>IF(AE11="","","Pts")</f>
        <v/>
      </c>
      <c r="AE11" s="880" t="str">
        <f>IF(PD!$AO$4=2,"",IF(AND(COUNT(PD!$A$6:$A$11)&gt;2,PD!$CF6="P"),PD!$CG6,""))</f>
        <v/>
      </c>
      <c r="AF11" s="880"/>
      <c r="AG11" s="144" t="str">
        <f>IF(AE11="","","Rep.")</f>
        <v/>
      </c>
      <c r="AH11" s="32"/>
      <c r="AI11" s="32"/>
      <c r="AJ11" s="32"/>
      <c r="AK11" s="145" t="str">
        <f>IF(AL11="","","PM")</f>
        <v>PM</v>
      </c>
      <c r="AL11" s="881" cm="1">
        <f t="array" ref="AL11">IF(SUM(PD!$Q$6:$Q$11)=0,"",IF(PD!$AO$4&gt;1,IF(_xlfn.XLOOKUP('T PD'!C12,"Licence n° "&amp;PD!$B$6:$B$11,PD!$AO$6:$AO$11,"",0,1)=1,"Forfait",_xlfn.XLOOKUP('T PD'!C12,"Licence n° "&amp;PD!$B$37:$B$42,PD!$Q$37:$Q$42,"",0,1)),""))</f>
        <v>1</v>
      </c>
      <c r="AM11" s="881"/>
      <c r="AN11" s="145" t="str">
        <f>IF(AL11="","","MGP")</f>
        <v>MGP</v>
      </c>
      <c r="AO11" s="32"/>
      <c r="AP11" s="146" t="str">
        <f>IF(OR(PD!$AO$4&lt;2,LEFT(PD!$F$13)="F"),"","Pts Rk")</f>
        <v>Pts Rk</v>
      </c>
      <c r="AQ11" s="32"/>
      <c r="AS11" s="844"/>
      <c r="AT11" s="32"/>
      <c r="AV11" s="839"/>
    </row>
    <row r="12" spans="1:48" ht="12.6" customHeight="1" x14ac:dyDescent="0.25">
      <c r="A12" s="32"/>
      <c r="B12" s="32"/>
      <c r="C12" s="147" t="str">
        <f>IF(PD!AO4=2,"Licence n° "&amp;_xlfn.XLOOKUP(1,PD!M6:M11,PD!B6:B11,"",0,1),IF(COUNT(PD!A6:A11)&gt;2,"Licence n° "&amp;PD!B6," "))</f>
        <v>Licence n° 118031R</v>
      </c>
      <c r="D12" s="32"/>
      <c r="E12" s="885"/>
      <c r="F12" s="885"/>
      <c r="G12" s="885"/>
      <c r="H12" s="885"/>
      <c r="I12" s="32"/>
      <c r="J12" s="144" t="str">
        <f>IF(K11="","","Moy.")</f>
        <v>Moy.</v>
      </c>
      <c r="K12" s="880"/>
      <c r="L12" s="880"/>
      <c r="M12" s="144" t="str">
        <f>IF(K11="","","MS")</f>
        <v>MS</v>
      </c>
      <c r="N12" s="144"/>
      <c r="O12" s="144" t="str">
        <f>IF(P11="","","Moy.")</f>
        <v/>
      </c>
      <c r="P12" s="880"/>
      <c r="Q12" s="880"/>
      <c r="R12" s="144" t="str">
        <f>IF(P11="","","MS")</f>
        <v/>
      </c>
      <c r="S12" s="144"/>
      <c r="T12" s="144" t="str">
        <f>IF(U11="","","Moy.")</f>
        <v/>
      </c>
      <c r="U12" s="880"/>
      <c r="V12" s="880"/>
      <c r="W12" s="144" t="str">
        <f>IF(U11="","","MS")</f>
        <v/>
      </c>
      <c r="X12" s="144"/>
      <c r="Y12" s="144" t="str">
        <f>IF(Z11="","","Moy.")</f>
        <v/>
      </c>
      <c r="Z12" s="880"/>
      <c r="AA12" s="880"/>
      <c r="AB12" s="144" t="str">
        <f>IF(Z11="","","MS")</f>
        <v/>
      </c>
      <c r="AC12" s="144"/>
      <c r="AD12" s="144" t="str">
        <f>IF(AE11="","","Moy.")</f>
        <v/>
      </c>
      <c r="AE12" s="880"/>
      <c r="AF12" s="880"/>
      <c r="AG12" s="144" t="str">
        <f>IF(AE11="","","MS")</f>
        <v/>
      </c>
      <c r="AH12" s="32"/>
      <c r="AI12" s="32"/>
      <c r="AJ12" s="32"/>
      <c r="AK12" s="145" t="str">
        <f>IF(AL11="","","Mpart.")</f>
        <v>Mpart.</v>
      </c>
      <c r="AL12" s="881"/>
      <c r="AM12" s="881"/>
      <c r="AN12" s="145" t="str">
        <f>IF(AL11="","","MS")</f>
        <v>MS</v>
      </c>
      <c r="AO12" s="32"/>
      <c r="AP12" s="148" t="str">
        <f>IF(OR(PD!$AO$4&lt;2,LEFT(PD!$F$13)="F"),"","Bonus")</f>
        <v>Bonus</v>
      </c>
      <c r="AQ12" s="32"/>
      <c r="AS12" s="845" t="s">
        <v>8113</v>
      </c>
      <c r="AT12" s="32"/>
    </row>
    <row r="13" spans="1:48" ht="50.1" customHeight="1" x14ac:dyDescent="0.25">
      <c r="A13" s="32"/>
      <c r="B13" s="32"/>
      <c r="C13" s="149" t="str">
        <f>IF(PD!AO4=2,_xlfn.XLOOKUP(1,PD!M6:M11,PD!G6:G11,"",0,1),IF(COUNT(PD!A6:A11)&gt;2,PD!G6," "))</f>
        <v>ACADEMIE DE BILLARD DE MAISONS ALFORT</v>
      </c>
      <c r="D13" s="32"/>
      <c r="E13" s="885"/>
      <c r="F13" s="885"/>
      <c r="G13" s="885"/>
      <c r="H13" s="885"/>
      <c r="I13" s="32"/>
      <c r="J13" s="883">
        <f>IF(K11="","",IF(K11&gt;0,J10/L10,"/"))</f>
        <v>4.3478260869565215</v>
      </c>
      <c r="K13" s="883"/>
      <c r="L13" s="884">
        <f>IF(AND(PD!$AO$4=2,PD!$A18="P"),PD!M18,IF(AND(COUNT(PD!$A$6:$A$11)&gt;2,PD!$CF10="P"),PD!$CD10,""))</f>
        <v>20</v>
      </c>
      <c r="M13" s="884"/>
      <c r="N13" s="32"/>
      <c r="O13" s="883" t="str">
        <f>IF(P11="","",IF(P11&gt;0,O10/Q10,"/"))</f>
        <v/>
      </c>
      <c r="P13" s="883"/>
      <c r="Q13" s="884" t="str">
        <f>IF(PD!$AO$4=2,"",IF(AND(COUNT(PD!$A$6:$A$11)&gt;2,PD!$CF9="P"),PD!$CD9,""))</f>
        <v/>
      </c>
      <c r="R13" s="884"/>
      <c r="S13" s="32"/>
      <c r="T13" s="883" t="str">
        <f>IF(U11="","",IF(U11&gt;0,T10/V10,"/"))</f>
        <v/>
      </c>
      <c r="U13" s="883"/>
      <c r="V13" s="884" t="str">
        <f>IF(PD!$AO$4=2,"",IF(AND(COUNT(PD!$A$6:$A$11)&gt;2,PD!$CF8="P"),PD!$CD8,""))</f>
        <v/>
      </c>
      <c r="W13" s="884"/>
      <c r="X13" s="32"/>
      <c r="Y13" s="883" t="str">
        <f>IF(Z11="","",IF(Z11&gt;0,Y10/AA10,"/"))</f>
        <v/>
      </c>
      <c r="Z13" s="883"/>
      <c r="AA13" s="884" t="str">
        <f>IF(PD!$AO$4=2,"",IF(AND(COUNT(PD!$A$6:$A$11)&gt;2,PD!$CF7="P"),PD!$CD7,""))</f>
        <v/>
      </c>
      <c r="AB13" s="884"/>
      <c r="AC13" s="32"/>
      <c r="AD13" s="883" t="str">
        <f>IF(AE11="","",IF(AE11&gt;0,AD10/AF10,"/"))</f>
        <v/>
      </c>
      <c r="AE13" s="883"/>
      <c r="AF13" s="884" t="str">
        <f>IF(PD!$AO$4=2,"",IF(AND(COUNT(PD!$A$6:$A$11)&gt;2,PD!$CF6="P"),PD!$CD6,""))</f>
        <v/>
      </c>
      <c r="AG13" s="884"/>
      <c r="AH13" s="32"/>
      <c r="AI13" s="32"/>
      <c r="AJ13" s="32"/>
      <c r="AK13" s="883" cm="1">
        <f t="array" ref="AK13">IF(PD!$AO$4&lt;2,"",IF(_xlfn.XLOOKUP('T PD'!C12,"Licence n° "&amp;PD!$B$6:$B$11,PD!$AO$6:$AO$11,"",0,1)=1,"",_xlfn.XLOOKUP('T PD'!C12,"Licence n° "&amp;PD!$B$6:$B$11,PD!$U$6:$U$11,"",0,1)))</f>
        <v>4.3478260869565215</v>
      </c>
      <c r="AL13" s="883"/>
      <c r="AM13" s="884" cm="1">
        <f t="array" ref="AM13">IF(PD!$AO$4&lt;2,"",IF(_xlfn.XLOOKUP('T PD'!C12,"Licence n° "&amp;PD!$B$6:$B$11,PD!$AO$6:$AO$11,"",0,1)=1,"",_xlfn.XLOOKUP('T PD'!C12,"Licence n° "&amp;PD!$B$6:$B$11,PD!$S$6:$S$11,"",0,1)))</f>
        <v>20</v>
      </c>
      <c r="AN13" s="884"/>
      <c r="AO13" s="32"/>
      <c r="AP13" s="562" cm="1">
        <f t="array" ref="AP13">_xlfn.XLOOKUP(C12,"Licence n° "&amp;PD!$B$6:$B$11,PD!$X$6:$X$11,"",0,1)</f>
        <v>4</v>
      </c>
      <c r="AQ13" s="32"/>
      <c r="AS13" s="845"/>
      <c r="AT13" s="32"/>
    </row>
    <row r="14" spans="1:48" ht="0.95" customHeight="1" x14ac:dyDescent="0.55000000000000004">
      <c r="A14" s="32"/>
      <c r="B14" s="32"/>
      <c r="C14" s="139"/>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50"/>
      <c r="AQ14" s="32"/>
      <c r="AS14" s="366"/>
      <c r="AT14" s="32"/>
    </row>
    <row r="15" spans="1:48" ht="50.1" customHeight="1" x14ac:dyDescent="0.25">
      <c r="A15" s="32"/>
      <c r="B15" s="32"/>
      <c r="C15" s="140" t="str" cm="1">
        <f t="array" ref="C15:D15">IF(PD!AO4=2,_xlfn.XLOOKUP(2,PD!M6:M11,PD!C6:D11&amp;" "&amp;LEFT(PD!E6:E11)&amp;".","",0,1),IF(COUNT(PD!A6:A11)&gt;2,CONCATENATE(PD!C7," ",LEFT(PD!E7),"."),""))</f>
        <v>KEREBEL E.</v>
      </c>
      <c r="D15" s="32" t="str">
        <v xml:space="preserve"> E.</v>
      </c>
      <c r="E15" s="882">
        <f>IF(AND(PD!$AO$4=2,PD!$A18="P"),PD!P18,IF(AND(COUNT(PD!$A$6:$A$11)&gt;2,PD!$CF15="P"),PD!$CC15,""))</f>
        <v>53</v>
      </c>
      <c r="F15" s="882"/>
      <c r="G15" s="882">
        <f>IF(AND(PD!$AO$4=2,PD!$A18="P"),PD!O18,IF(AND(COUNT(PD!$A$6:$A$11)&gt;2,PD!$CF15="P"),PD!$CE15,""))</f>
        <v>23</v>
      </c>
      <c r="H15" s="882"/>
      <c r="I15" s="32"/>
      <c r="J15" s="885" t="str">
        <f>IF(PD!W35="NON",AG1,IF(PD!AO4=2,"MATCH 1",IF(PD!AO4&gt;2,_xlfn.XLOOKUP(C18,'LOGOS CLUBS'!$B$2:$B$65,'LOGOS CLUBS'!$C$2:$C$65,C18,0,1),"")))</f>
        <v>MATCH 1</v>
      </c>
      <c r="K15" s="885"/>
      <c r="L15" s="885"/>
      <c r="M15" s="885"/>
      <c r="N15" s="32"/>
      <c r="O15" s="882" t="str">
        <f>IF(PD!$AO$4=2,"",IF(AND(COUNT(PD!$A$6:$A$11)&gt;2,PD!$CF14="P"),PD!$CC14,""))</f>
        <v/>
      </c>
      <c r="P15" s="882"/>
      <c r="Q15" s="882" t="str">
        <f>IF(PD!$AO$4=2,"",IF(AND(COUNT(PD!$A$6:$A$11)&gt;2,PD!$CF14="P"),PD!$CE14,""))</f>
        <v/>
      </c>
      <c r="R15" s="882"/>
      <c r="S15" s="142"/>
      <c r="T15" s="882" t="str">
        <f>IF(PD!$AO$4=2,"",IF(AND(COUNT(PD!$A$6:$A$11)&gt;2,PD!$CF13="P"),PD!$CC13,""))</f>
        <v/>
      </c>
      <c r="U15" s="882"/>
      <c r="V15" s="882" t="str">
        <f>IF(PD!$AO$4=2,"",IF(AND(COUNT(PD!$A$6:$A$11)&gt;2,PD!$CF13="P"),PD!$CE13,""))</f>
        <v/>
      </c>
      <c r="W15" s="882"/>
      <c r="X15" s="142"/>
      <c r="Y15" s="882" t="str">
        <f>IF(PD!$AO$4=2,"",IF(AND(COUNT(PD!$A$6:$A$11)&gt;2,PD!$CF12="P"),PD!$CC12,""))</f>
        <v/>
      </c>
      <c r="Z15" s="882"/>
      <c r="AA15" s="882" t="str">
        <f>IF(PD!$AO$4=2,"",IF(AND(COUNT(PD!$A$6:$A$11)&gt;2,PD!$CF12="P"),PD!$CE12,""))</f>
        <v/>
      </c>
      <c r="AB15" s="882"/>
      <c r="AC15" s="142"/>
      <c r="AD15" s="882" t="str">
        <f>IF(PD!$AO$4=2,"",IF(AND(COUNT(PD!$A$6:$A$11)&gt;2,PD!$CF11="P"),PD!$CC11,""))</f>
        <v/>
      </c>
      <c r="AE15" s="882"/>
      <c r="AF15" s="882" t="str">
        <f>IF(PD!$AO$4=2,"",IF(AND(COUNT(PD!$A$6:$A$11)&gt;2,PD!$CF11="P"),PD!$CE11,""))</f>
        <v/>
      </c>
      <c r="AG15" s="882"/>
      <c r="AH15" s="32"/>
      <c r="AI15" s="32"/>
      <c r="AJ15" s="32"/>
      <c r="AK15" s="882" cm="1">
        <f t="array" ref="AK15">IF(PD!$AO$4&lt;2,"",IF(_xlfn.XLOOKUP('T PD'!C17,"Licence n° "&amp;PD!$B$6:$B$11,PD!$AO$6:$AO$11,"",0,1)=1,"",_xlfn.XLOOKUP('T PD'!C17,"Licence n° "&amp;PD!$B$6:$B$11,PD!$V$6:$V$11,"",0,1)))</f>
        <v>0</v>
      </c>
      <c r="AL15" s="882"/>
      <c r="AM15" s="879" cm="1">
        <f t="array" ref="AM15">IF(PD!$AO$4&lt;2,"",IF(_xlfn.XLOOKUP('T PD'!C17,"Licence n° "&amp;PD!$B$6:$B$11,PD!$AO$6:$AO$11,"",0,1)=1,"",_xlfn.XLOOKUP('T PD'!C17,"Licence n° "&amp;PD!$B$6:$B$11,PD!$T$6:$T$11,"",0,1)))</f>
        <v>2.75</v>
      </c>
      <c r="AN15" s="879"/>
      <c r="AO15" s="32"/>
      <c r="AP15" s="561" cm="1">
        <f t="array" ref="AP15">_xlfn.XLOOKUP(C17,"Licence n° "&amp;PD!$B$6:$B$11,PD!$W$6:$W$11,"",0,1)</f>
        <v>5</v>
      </c>
      <c r="AQ15" s="32"/>
      <c r="AS15" s="840" t="s">
        <v>8114</v>
      </c>
      <c r="AT15" s="32"/>
    </row>
    <row r="16" spans="1:48" ht="12.6" customHeight="1" x14ac:dyDescent="0.25">
      <c r="A16" s="32"/>
      <c r="B16" s="32"/>
      <c r="C16" s="143" t="str" cm="1">
        <f t="array" ref="C16">IF(PD!$AO$4=2,_xlfn.XLOOKUP(2,PD!$M$6:$M$11,PD!$K$6:$K$11&amp;" "&amp;PD!$AS$6:$AS$11,"",0,1),IF(COUNT(PD!$A$6:$A$11)&gt;2,PD!$K7&amp;" - "&amp;PD!$AS7," "))</f>
        <v>R2  0,00</v>
      </c>
      <c r="D16" s="32"/>
      <c r="E16" s="144" t="str">
        <f>IF(F16="","","Pts")</f>
        <v>Pts</v>
      </c>
      <c r="F16" s="880">
        <f>IF(PD!$AO$4=2,PD!X18,IF(AND(COUNT(PD!$A$6:$A$11)&gt;2,PD!$CF15="P"),PD!$CG15,""))</f>
        <v>0</v>
      </c>
      <c r="G16" s="880"/>
      <c r="H16" s="144" t="str">
        <f>IF(F16="","","Rep.")</f>
        <v>Rep.</v>
      </c>
      <c r="I16" s="32"/>
      <c r="J16" s="885"/>
      <c r="K16" s="885"/>
      <c r="L16" s="885"/>
      <c r="M16" s="885"/>
      <c r="N16" s="32"/>
      <c r="O16" s="144" t="str">
        <f>IF(P16="","","Pts")</f>
        <v/>
      </c>
      <c r="P16" s="880" t="str">
        <f>IF(PD!$AO$4=2,"",IF(AND(COUNT(PD!$A$6:$A$11)&gt;2,PD!$CF14="P"),PD!$CG14,""))</f>
        <v/>
      </c>
      <c r="Q16" s="880"/>
      <c r="R16" s="144" t="str">
        <f>IF(P16="","","Rep.")</f>
        <v/>
      </c>
      <c r="S16" s="50"/>
      <c r="T16" s="144" t="str">
        <f>IF(U16="","","Pts")</f>
        <v/>
      </c>
      <c r="U16" s="880" t="str">
        <f>IF(PD!$AO$4=2,"",IF(AND(COUNT(PD!$A$6:$A$11)&gt;2,PD!$CF13="P"),PD!$CG13,""))</f>
        <v/>
      </c>
      <c r="V16" s="880"/>
      <c r="W16" s="144" t="str">
        <f>IF(U16="","","Rep.")</f>
        <v/>
      </c>
      <c r="X16" s="144"/>
      <c r="Y16" s="144" t="str">
        <f>IF(Z16="","","Pts")</f>
        <v/>
      </c>
      <c r="Z16" s="880" t="str">
        <f>IF(PD!$AO$4=2,"",IF(AND(COUNT(PD!$A$6:$A$11)&gt;2,PD!$CF12="P"),PD!$CG12,""))</f>
        <v/>
      </c>
      <c r="AA16" s="880"/>
      <c r="AB16" s="144" t="str">
        <f>IF(Z16="","","Rep.")</f>
        <v/>
      </c>
      <c r="AC16" s="144"/>
      <c r="AD16" s="144" t="str">
        <f>IF(AE16="","","Pts")</f>
        <v/>
      </c>
      <c r="AE16" s="880" t="str">
        <f>IF(PD!$AO$4=2,"",IF(AND(COUNT(PD!$A$6:$A$11)&gt;2,PD!$CF11="P"),PD!$CG11,""))</f>
        <v/>
      </c>
      <c r="AF16" s="880"/>
      <c r="AG16" s="144" t="str">
        <f>IF(AE16="","","Rep.")</f>
        <v/>
      </c>
      <c r="AH16" s="32"/>
      <c r="AI16" s="32"/>
      <c r="AJ16" s="32"/>
      <c r="AK16" s="145" t="str">
        <f>IF(AL16="","","PM")</f>
        <v>PM</v>
      </c>
      <c r="AL16" s="881" cm="1">
        <f t="array" ref="AL16">IF(SUM(PD!$Q$6:$Q$11)=0,"",IF(PD!$AO$4&gt;1,IF(_xlfn.XLOOKUP('T PD'!C17,"Licence n° "&amp;PD!$B$6:$B$11,PD!$AO$6:$AO$11,"",0,1)=1,"Forfait",_xlfn.XLOOKUP('T PD'!C17,"Licence n° "&amp;PD!$B$37:$B$42,PD!$Q$37:$Q$42,"",0,1)),""))</f>
        <v>2</v>
      </c>
      <c r="AM16" s="881"/>
      <c r="AN16" s="145" t="str">
        <f>IF(AL16="","","MGP")</f>
        <v>MGP</v>
      </c>
      <c r="AO16" s="32"/>
      <c r="AP16" s="151" t="str">
        <f>IF(OR(PD!$AO$4&lt;2,LEFT(PD!$F$13)="F"),"","Pts Rk")</f>
        <v>Pts Rk</v>
      </c>
      <c r="AQ16" s="32"/>
      <c r="AS16" s="840"/>
      <c r="AT16" s="32"/>
    </row>
    <row r="17" spans="1:52" ht="12.6" customHeight="1" x14ac:dyDescent="0.25">
      <c r="A17" s="32"/>
      <c r="B17" s="32"/>
      <c r="C17" s="147" t="str">
        <f>IF(PD!AO4=2,"Licence n° "&amp;_xlfn.XLOOKUP(2,PD!M6:M11,PD!B6:B11,"",0,1),IF(COUNT(PD!A6:A11)&gt;2,"Licence n° "&amp;PD!B7," "))</f>
        <v>Licence n° 013428M</v>
      </c>
      <c r="D17" s="32"/>
      <c r="E17" s="144" t="str">
        <f>IF(F16="","","Moy.")</f>
        <v>Moy.</v>
      </c>
      <c r="F17" s="880"/>
      <c r="G17" s="880"/>
      <c r="H17" s="144" t="str">
        <f>IF(F16="","","MS")</f>
        <v>MS</v>
      </c>
      <c r="I17" s="32"/>
      <c r="J17" s="885"/>
      <c r="K17" s="885"/>
      <c r="L17" s="885"/>
      <c r="M17" s="885"/>
      <c r="N17" s="32"/>
      <c r="O17" s="144" t="str">
        <f>IF(P16="","","Moy.")</f>
        <v/>
      </c>
      <c r="P17" s="880"/>
      <c r="Q17" s="880"/>
      <c r="R17" s="144" t="str">
        <f>IF(P16="","","MS")</f>
        <v/>
      </c>
      <c r="S17" s="50"/>
      <c r="T17" s="144" t="str">
        <f>IF(U16="","","Moy.")</f>
        <v/>
      </c>
      <c r="U17" s="880"/>
      <c r="V17" s="880"/>
      <c r="W17" s="144" t="str">
        <f>IF(U16="","","MS")</f>
        <v/>
      </c>
      <c r="X17" s="144"/>
      <c r="Y17" s="144" t="str">
        <f>IF(Z16="","","Moy.")</f>
        <v/>
      </c>
      <c r="Z17" s="880"/>
      <c r="AA17" s="880"/>
      <c r="AB17" s="144" t="str">
        <f>IF(Z16="","","MS")</f>
        <v/>
      </c>
      <c r="AC17" s="144"/>
      <c r="AD17" s="144" t="str">
        <f>IF(AE16="","","Moy.")</f>
        <v/>
      </c>
      <c r="AE17" s="880"/>
      <c r="AF17" s="880"/>
      <c r="AG17" s="144" t="str">
        <f>IF(AE16="","","MS")</f>
        <v/>
      </c>
      <c r="AH17" s="32"/>
      <c r="AI17" s="32"/>
      <c r="AJ17" s="32"/>
      <c r="AK17" s="145" t="str">
        <f>IF(AL16="","","Mpart.")</f>
        <v>Mpart.</v>
      </c>
      <c r="AL17" s="881"/>
      <c r="AM17" s="881"/>
      <c r="AN17" s="145" t="str">
        <f>IF(AL16="","","MS")</f>
        <v>MS</v>
      </c>
      <c r="AO17" s="32"/>
      <c r="AP17" s="148" t="str">
        <f>IF(OR(PD!$AO$4&lt;2,LEFT(PD!$F$13)="F"),"","Bonus")</f>
        <v>Bonus</v>
      </c>
      <c r="AQ17" s="32"/>
      <c r="AS17" s="846" t="s">
        <v>8115</v>
      </c>
      <c r="AT17" s="32"/>
      <c r="AZ17" s="241"/>
    </row>
    <row r="18" spans="1:52" ht="50.1" customHeight="1" x14ac:dyDescent="0.25">
      <c r="A18" s="32"/>
      <c r="B18" s="32"/>
      <c r="C18" s="149" t="str">
        <f>IF(PD!AO4=2,_xlfn.XLOOKUP(2,PD!M6:M11,PD!G6:G11,"",0,1),IF(COUNT(PD!A6:A11)&gt;2,PD!G7," "))</f>
        <v>ASS. BILLARD AMATEUR DE SAINT MAUR</v>
      </c>
      <c r="D18" s="32"/>
      <c r="E18" s="883" t="str">
        <f>IF(F16="","",IF(F16&gt;0,E15/G15,"/"))</f>
        <v>/</v>
      </c>
      <c r="F18" s="883"/>
      <c r="G18" s="884">
        <f>IF(AND(PD!$AO$4=2,PD!$A18="P"),PD!Q18,IF(AND(COUNT(PD!$A$6:$A$11)&gt;2,PD!$CF15="P"),PD!$CD15,""))</f>
        <v>10</v>
      </c>
      <c r="H18" s="884"/>
      <c r="I18" s="32"/>
      <c r="J18" s="885"/>
      <c r="K18" s="885"/>
      <c r="L18" s="885"/>
      <c r="M18" s="885"/>
      <c r="N18" s="32"/>
      <c r="O18" s="883" t="str">
        <f>IF(P16="","",IF(P16&gt;0,O15/Q15,"/"))</f>
        <v/>
      </c>
      <c r="P18" s="883"/>
      <c r="Q18" s="884" t="str">
        <f>IF(PD!$AO$4=2,"",IF(AND(COUNT(PD!$A$6:$A$11)&gt;2,PD!$CF14="P"),PD!$CD14,""))</f>
        <v/>
      </c>
      <c r="R18" s="884"/>
      <c r="S18" s="32"/>
      <c r="T18" s="883" t="str">
        <f>IF(U16="","",IF(U16&gt;0,T15/V15,"/"))</f>
        <v/>
      </c>
      <c r="U18" s="883"/>
      <c r="V18" s="884" t="str">
        <f>IF(PD!$AO$4=2,"",IF(AND(COUNT(PD!$A$6:$A$11)&gt;2,PD!$CF13="P"),PD!$CD13,""))</f>
        <v/>
      </c>
      <c r="W18" s="884"/>
      <c r="X18" s="32"/>
      <c r="Y18" s="883" t="str">
        <f>IF(Z16="","",IF(Z16&gt;0,Y15/AA15,"/"))</f>
        <v/>
      </c>
      <c r="Z18" s="883"/>
      <c r="AA18" s="884" t="str">
        <f>IF(PD!$AO$4=2,"",IF(AND(COUNT(PD!$A$6:$A$11)&gt;2,PD!$CF12="P"),PD!$CD12,""))</f>
        <v/>
      </c>
      <c r="AB18" s="884"/>
      <c r="AC18" s="32"/>
      <c r="AD18" s="883" t="str">
        <f>IF(AE16="","",IF(AE16&gt;0,AD15/AF15,"/"))</f>
        <v/>
      </c>
      <c r="AE18" s="883"/>
      <c r="AF18" s="884" t="str">
        <f>IF(PD!$AO$4=2,"",IF(AND(COUNT(PD!$A$6:$A$11)&gt;2,PD!$CF11="P"),PD!$CD11,""))</f>
        <v/>
      </c>
      <c r="AG18" s="884"/>
      <c r="AH18" s="32"/>
      <c r="AI18" s="32"/>
      <c r="AJ18" s="32"/>
      <c r="AK18" s="883" t="str" cm="1">
        <f t="array" ref="AK18">IF(PD!$AO$4&lt;2,"",IF(_xlfn.XLOOKUP('T PD'!C17,"Licence n° "&amp;PD!$B$6:$B$11,PD!$AO$6:$AO$11,"",0,1)=1,"",_xlfn.XLOOKUP('T PD'!C17,"Licence n° "&amp;PD!$B$6:$B$11,PD!$U$6:$U$11,"",0,1)))</f>
        <v>/</v>
      </c>
      <c r="AL18" s="883"/>
      <c r="AM18" s="884" cm="1">
        <f t="array" ref="AM18">IF(PD!$AO$4&lt;2,"",IF(_xlfn.XLOOKUP('T PD'!C17,"Licence n° "&amp;PD!$B$6:$B$11,PD!$AO$6:$AO$11,"",0,1)=1,"",_xlfn.XLOOKUP('T PD'!C17,"Licence n° "&amp;PD!$B$6:$B$11,PD!$S$6:$S$11,"",0,1)))</f>
        <v>20</v>
      </c>
      <c r="AN18" s="884"/>
      <c r="AO18" s="32"/>
      <c r="AP18" s="562" cm="1">
        <f t="array" ref="AP18">_xlfn.XLOOKUP(C17,"Licence n° "&amp;PD!$B$6:$B$11,PD!$X$6:$X$11,"",0,1)</f>
        <v>2</v>
      </c>
      <c r="AQ18" s="32"/>
      <c r="AS18" s="846"/>
      <c r="AT18" s="32"/>
    </row>
    <row r="19" spans="1:52" ht="0.95" customHeight="1" x14ac:dyDescent="0.55000000000000004">
      <c r="A19" s="32"/>
      <c r="B19" s="32"/>
      <c r="C19" s="139"/>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150"/>
      <c r="AQ19" s="32"/>
      <c r="AS19" s="366"/>
      <c r="AT19" s="32"/>
    </row>
    <row r="20" spans="1:52" ht="50.1" customHeight="1" x14ac:dyDescent="0.25">
      <c r="A20" s="32"/>
      <c r="B20" s="32"/>
      <c r="C20" s="140" t="str">
        <f>IF(PD!AO4=2,C10,IF(COUNT(PD!A6:A11)&gt;2,CONCATENATE(PD!C8," ",LEFT(PD!E8),"."),""))</f>
        <v>LE HUAN CUA T.</v>
      </c>
      <c r="D20" s="32"/>
      <c r="E20" s="882" t="str">
        <f>IF(PD!$AO$4=2,"",IF(AND(COUNT(PD!$A$6:$A$11)&gt;2,PD!$CF20="P"),PD!$CC20,""))</f>
        <v/>
      </c>
      <c r="F20" s="882"/>
      <c r="G20" s="882" t="str">
        <f>IF(PD!$AO$4=2,"",IF(AND(COUNT(PD!$A$6:$A$11)&gt;2,PD!$CF20="P"),PD!$CE20,""))</f>
        <v/>
      </c>
      <c r="H20" s="882"/>
      <c r="I20" s="142"/>
      <c r="J20" s="882" t="str">
        <f>IF(PD!$AO$4=2,"",IF(AND(COUNT(PD!$A$6:$A$11)&gt;2,PD!$CF19="P"),PD!$CC19,""))</f>
        <v/>
      </c>
      <c r="K20" s="882"/>
      <c r="L20" s="882" t="str">
        <f>IF(PD!$AO$4=2,"",IF(AND(COUNT(PD!$A$6:$A$11)&gt;2,PD!$CF19="P"),PD!$CE19,""))</f>
        <v/>
      </c>
      <c r="M20" s="882"/>
      <c r="N20" s="32"/>
      <c r="O20" s="885" t="str">
        <f>IF(PD!W35="NON",AG1,IF(PD!AO4=2,"MATCH 2",IF(PD!AO4&gt;2,_xlfn.XLOOKUP(C23,'LOGOS CLUBS'!$B$2:$B$65,'LOGOS CLUBS'!$C$2:$C$65,C23,0,1),"")))</f>
        <v>MATCH 2</v>
      </c>
      <c r="P20" s="885"/>
      <c r="Q20" s="885"/>
      <c r="R20" s="885"/>
      <c r="S20" s="32"/>
      <c r="T20" s="882">
        <f>IF(AND(PD!$AO$4=2,PD!$A19="P"),PD!P19,IF(AND(COUNT(PD!$A$6:$A$11)&gt;2,PD!$CF18="P"),PD!$CC18,""))</f>
        <v>100</v>
      </c>
      <c r="U20" s="882"/>
      <c r="V20" s="882">
        <f>IF(AND(PD!$AO$4=2,PD!$A19="P"),PD!O19,IF(AND(COUNT(PD!$A$6:$A$11)&gt;2,PD!$CF18="P"),PD!$CE18,""))</f>
        <v>25</v>
      </c>
      <c r="W20" s="882"/>
      <c r="X20" s="142"/>
      <c r="Y20" s="882" t="str">
        <f>IF(PD!$AO$4=2,"",IF(AND(COUNT(PD!$A$6:$A$11)&gt;2,PD!$CF17="P"),PD!$CC17,""))</f>
        <v/>
      </c>
      <c r="Z20" s="882"/>
      <c r="AA20" s="882" t="str">
        <f>IF(PD!$AO$4=2,"",IF(AND(COUNT(PD!$A$6:$A$11)&gt;2,PD!$CF17="P"),PD!$CE17,""))</f>
        <v/>
      </c>
      <c r="AB20" s="882"/>
      <c r="AC20" s="142"/>
      <c r="AD20" s="882" t="str">
        <f>IF(PD!$AO$4=2,"",IF(AND(COUNT(PD!$A$6:$A$11)&gt;2,PD!$CF16="P"),PD!$CC16,""))</f>
        <v/>
      </c>
      <c r="AE20" s="882"/>
      <c r="AF20" s="882" t="str">
        <f>IF(PD!$AO$4=2,"",IF(AND(COUNT(PD!$A$6:$A$11)&gt;2,PD!$CF16="P"),PD!$CE16,""))</f>
        <v/>
      </c>
      <c r="AG20" s="882"/>
      <c r="AH20" s="32"/>
      <c r="AI20" s="32"/>
      <c r="AJ20" s="32"/>
      <c r="AK20" s="882" t="str" cm="1">
        <f t="array" ref="AK20">IF(PD!$AO$4&lt;3,"",IF(_xlfn.XLOOKUP('T PD'!C22,"Licence n° "&amp;PD!$B$6:$B$11,PD!$AO$6:$AO$11,"",0,1)=1,"",_xlfn.XLOOKUP('T PD'!C22,"Licence n° "&amp;PD!$B$6:$B$11,PD!$V$6:$V$11,"",0,1)))</f>
        <v/>
      </c>
      <c r="AL20" s="882"/>
      <c r="AM20" s="879" t="str" cm="1">
        <f t="array" ref="AM20">IF(PD!$AO$4&lt;3,"",IF(_xlfn.XLOOKUP('T PD'!C22,"Licence n° "&amp;PD!$B$6:$B$11,PD!$AO$6:$AO$11,"",0,1)=1,"",_xlfn.XLOOKUP('T PD'!C22,"Licence n° "&amp;PD!$B$6:$B$11,PD!$T$6:$T$11,"",0,1)))</f>
        <v/>
      </c>
      <c r="AN20" s="879"/>
      <c r="AO20" s="32"/>
      <c r="AP20" s="561" t="str" cm="1">
        <f t="array" ref="AP20">IF(PD!$AO$4&lt;3,"",_xlfn.XLOOKUP(C22,"Licence n° "&amp;PD!$B$6:$B$11,PD!$W$6:$W$11,"",0,1))</f>
        <v/>
      </c>
      <c r="AQ20" s="32"/>
      <c r="AS20" s="847" t="s">
        <v>8116</v>
      </c>
      <c r="AT20" s="32"/>
      <c r="AZ20" s="241"/>
    </row>
    <row r="21" spans="1:52" ht="12.6" customHeight="1" x14ac:dyDescent="0.25">
      <c r="A21" s="32"/>
      <c r="B21" s="32"/>
      <c r="C21" s="143" t="str" cm="1">
        <f t="array" ref="C21">IF(PD!$AO$4=2,_xlfn.XLOOKUP(1,PD!$M$6:$M$11,PD!$K$6:$K$11&amp;" "&amp;PD!$AS$6:$AS$11,"",0,1),IF(COUNT(PD!$A$6:$A$11)&gt;2,PD!$K8&amp;" - "&amp;PD!$AS8," "))</f>
        <v>R2 0,00</v>
      </c>
      <c r="D21" s="32"/>
      <c r="E21" s="144" t="str">
        <f>IF(F21="","","Pts")</f>
        <v/>
      </c>
      <c r="F21" s="880" t="str">
        <f>IF(PD!$AO$4=2,"",IF(AND(COUNT(PD!$A$6:$A$11)&gt;2,PD!$CF20="P"),PD!$CG20,""))</f>
        <v/>
      </c>
      <c r="G21" s="880"/>
      <c r="H21" s="144" t="str">
        <f>IF(F21="","","Rep.")</f>
        <v/>
      </c>
      <c r="I21" s="144"/>
      <c r="J21" s="144" t="str">
        <f>IF(K21="","","Pts")</f>
        <v/>
      </c>
      <c r="K21" s="880" t="str">
        <f>IF(PD!$AO$4=2,"",IF(AND(COUNT(PD!$A$6:$A$11)&gt;2,PD!$CF19="P"),PD!$CG19,""))</f>
        <v/>
      </c>
      <c r="L21" s="880"/>
      <c r="M21" s="144" t="str">
        <f>IF(K21="","","Rep.")</f>
        <v/>
      </c>
      <c r="N21" s="32"/>
      <c r="O21" s="885"/>
      <c r="P21" s="885"/>
      <c r="Q21" s="885"/>
      <c r="R21" s="885"/>
      <c r="S21" s="32"/>
      <c r="T21" s="144" t="str">
        <f>IF(U21="","","Pts")</f>
        <v>Pts</v>
      </c>
      <c r="U21" s="880">
        <f>IF(PD!$AO$4=2,PD!X19,IF(AND(COUNT(PD!$A$6:$A$11)&gt;2,PD!$CF18="P"),PD!$CG18,""))</f>
        <v>2</v>
      </c>
      <c r="V21" s="880"/>
      <c r="W21" s="144" t="str">
        <f>IF(U21="","","Rep.")</f>
        <v>Rep.</v>
      </c>
      <c r="X21" s="144"/>
      <c r="Y21" s="144" t="str">
        <f>IF(Z21="","","Pts")</f>
        <v/>
      </c>
      <c r="Z21" s="880" t="str">
        <f>IF(PD!$AO$4=2,"",IF(AND(COUNT(PD!$A$6:$A$11)&gt;2,PD!$CF17="P"),PD!$CG17,""))</f>
        <v/>
      </c>
      <c r="AA21" s="880"/>
      <c r="AB21" s="144" t="str">
        <f>IF(Z21="","","Rep.")</f>
        <v/>
      </c>
      <c r="AC21" s="144"/>
      <c r="AD21" s="144" t="str">
        <f>IF(AE21="","","Pts")</f>
        <v/>
      </c>
      <c r="AE21" s="880" t="str">
        <f>IF(PD!$AO$4=2,"",IF(AND(COUNT(PD!$A$6:$A$11)&gt;2,PD!$CF16="P"),PD!$CG16,""))</f>
        <v/>
      </c>
      <c r="AF21" s="880"/>
      <c r="AG21" s="144" t="str">
        <f>IF(AE21="","","Rep.")</f>
        <v/>
      </c>
      <c r="AH21" s="32"/>
      <c r="AI21" s="32"/>
      <c r="AJ21" s="32"/>
      <c r="AK21" s="145" t="str">
        <f>IF(AL21="","","PM")</f>
        <v/>
      </c>
      <c r="AL21" s="881" t="str" cm="1">
        <f t="array" ref="AL21">IF(SUM(PD!$Q$6:$Q$11)=0,"",IF(PD!$AO$4&gt;2,IF(_xlfn.XLOOKUP('T PD'!C22,"Licence n° "&amp;PD!$B$6:$B$11,PD!$AO$6:$AO$11,"",0,1)=1,"Forfait",_xlfn.XLOOKUP('T PD'!C22,"Licence n° "&amp;PD!$B$37:$B$42,PD!$Q$37:$Q$42,"",0,1)),""))</f>
        <v/>
      </c>
      <c r="AM21" s="881"/>
      <c r="AN21" s="145" t="str">
        <f>IF(AL21="","","MGP")</f>
        <v/>
      </c>
      <c r="AO21" s="32"/>
      <c r="AP21" s="151" t="str">
        <f>IF(OR(PD!$AO$4&lt;3,LEFT(PD!$F$13)="F"),"","Pts Rk")</f>
        <v/>
      </c>
      <c r="AQ21" s="32"/>
      <c r="AS21" s="847"/>
      <c r="AT21" s="32"/>
    </row>
    <row r="22" spans="1:52" ht="12.6" customHeight="1" x14ac:dyDescent="0.25">
      <c r="A22" s="32"/>
      <c r="B22" s="32"/>
      <c r="C22" s="147" t="str">
        <f>IF(PD!AO4=2,C12,IF(COUNT(PD!A6:A11)&gt;2,"Licence n° "&amp;PD!B8," "))</f>
        <v>Licence n° 118031R</v>
      </c>
      <c r="D22" s="32"/>
      <c r="E22" s="144" t="str">
        <f>IF(F21="","","Moy.")</f>
        <v/>
      </c>
      <c r="F22" s="880"/>
      <c r="G22" s="880"/>
      <c r="H22" s="144" t="str">
        <f>IF(F21="","","MS")</f>
        <v/>
      </c>
      <c r="I22" s="144"/>
      <c r="J22" s="144" t="str">
        <f>IF(K21="","","Moy.")</f>
        <v/>
      </c>
      <c r="K22" s="880"/>
      <c r="L22" s="880"/>
      <c r="M22" s="144" t="str">
        <f>IF(K21="","","MS")</f>
        <v/>
      </c>
      <c r="N22" s="32"/>
      <c r="O22" s="885"/>
      <c r="P22" s="885"/>
      <c r="Q22" s="885"/>
      <c r="R22" s="885"/>
      <c r="S22" s="32"/>
      <c r="T22" s="144" t="str">
        <f>IF(U21="","","Moy.")</f>
        <v>Moy.</v>
      </c>
      <c r="U22" s="880"/>
      <c r="V22" s="880"/>
      <c r="W22" s="144" t="str">
        <f>IF(U21="","","MS")</f>
        <v>MS</v>
      </c>
      <c r="X22" s="144"/>
      <c r="Y22" s="144" t="str">
        <f>IF(Z21="","","Moy.")</f>
        <v/>
      </c>
      <c r="Z22" s="880"/>
      <c r="AA22" s="880"/>
      <c r="AB22" s="144" t="str">
        <f>IF(Z21="","","MS")</f>
        <v/>
      </c>
      <c r="AC22" s="144"/>
      <c r="AD22" s="144" t="str">
        <f>IF(AE21="","","Moy.")</f>
        <v/>
      </c>
      <c r="AE22" s="880"/>
      <c r="AF22" s="880"/>
      <c r="AG22" s="144" t="str">
        <f>IF(AE21="","","MS")</f>
        <v/>
      </c>
      <c r="AH22" s="32"/>
      <c r="AI22" s="32"/>
      <c r="AJ22" s="32"/>
      <c r="AK22" s="145" t="str">
        <f>IF(AL21="","","Mpart.")</f>
        <v/>
      </c>
      <c r="AL22" s="881"/>
      <c r="AM22" s="881"/>
      <c r="AN22" s="145" t="str">
        <f>IF(AL21="","","MS")</f>
        <v/>
      </c>
      <c r="AO22" s="32"/>
      <c r="AP22" s="148" t="str">
        <f>IF(OR(PD!$AO$4&lt;3,LEFT(PD!$F$13)="F"),"","Bonus")</f>
        <v/>
      </c>
      <c r="AQ22" s="32"/>
      <c r="AS22" s="848" t="s">
        <v>8117</v>
      </c>
      <c r="AT22" s="32"/>
    </row>
    <row r="23" spans="1:52" ht="50.1" customHeight="1" x14ac:dyDescent="0.25">
      <c r="A23" s="32"/>
      <c r="B23" s="32"/>
      <c r="C23" s="149" t="str">
        <f>IF(PD!AO4=2,C13,IF(COUNT(PD!A6:A11)&gt;2,PD!G8," "))</f>
        <v>ACADEMIE DE BILLARD DE MAISONS ALFORT</v>
      </c>
      <c r="D23" s="32"/>
      <c r="E23" s="883" t="str">
        <f>IF(F21="","",IF(F21&gt;0,E20/G20,"/"))</f>
        <v/>
      </c>
      <c r="F23" s="883"/>
      <c r="G23" s="884" t="str">
        <f>IF(PD!$AO$4=2,"",IF(AND(COUNT(PD!$A$6:$A$11)&gt;2,PD!$CF20="P"),PD!$CD20,""))</f>
        <v/>
      </c>
      <c r="H23" s="884"/>
      <c r="I23" s="32"/>
      <c r="J23" s="883" t="str">
        <f>IF(K21="","",IF(K21&gt;0,J20/L20,"/"))</f>
        <v/>
      </c>
      <c r="K23" s="883"/>
      <c r="L23" s="884" t="str">
        <f>IF(PD!$AO$4=2,"",IF(AND(COUNT(PD!$A$6:$A$11)&gt;2,PD!$CF19="P"),PD!$CD19,""))</f>
        <v/>
      </c>
      <c r="M23" s="884"/>
      <c r="N23" s="32"/>
      <c r="O23" s="885"/>
      <c r="P23" s="885"/>
      <c r="Q23" s="885"/>
      <c r="R23" s="885"/>
      <c r="S23" s="32"/>
      <c r="T23" s="883">
        <f>IF(U21="","",IF(U21&gt;0,T20/V20,"/"))</f>
        <v>4</v>
      </c>
      <c r="U23" s="883"/>
      <c r="V23" s="884">
        <f>IF(AND(PD!$AO$4=2,PD!$A19="P"),PD!Q19,IF(AND(COUNT(PD!$A$6:$A$11)&gt;2,PD!$CF18="P"),PD!$CD18,""))</f>
        <v>18</v>
      </c>
      <c r="W23" s="884"/>
      <c r="X23" s="32"/>
      <c r="Y23" s="883" t="str">
        <f>IF(Z21="","",IF(Z21&gt;0,Y20/AA20,"/"))</f>
        <v/>
      </c>
      <c r="Z23" s="883"/>
      <c r="AA23" s="884" t="str">
        <f>IF(PD!$AO$4=2,"",IF(AND(COUNT(PD!$A$6:$A$11)&gt;2,PD!$CF17="P"),PD!$CD17,""))</f>
        <v/>
      </c>
      <c r="AB23" s="884"/>
      <c r="AC23" s="32"/>
      <c r="AD23" s="883" t="str">
        <f>IF(AE21="","",IF(AE21&gt;0,AD20/AF20,"/"))</f>
        <v/>
      </c>
      <c r="AE23" s="883"/>
      <c r="AF23" s="884" t="str">
        <f>IF(PD!$AO$4=2,"",IF(AND(COUNT(PD!$A$6:$A$11)&gt;2,PD!$CF16="P"),PD!$CD16,""))</f>
        <v/>
      </c>
      <c r="AG23" s="884"/>
      <c r="AH23" s="32"/>
      <c r="AI23" s="32"/>
      <c r="AJ23" s="32"/>
      <c r="AK23" s="883" t="str" cm="1">
        <f t="array" ref="AK23">IF(PD!$AO$4&lt;3,"",IF(_xlfn.XLOOKUP('T PD'!C22,"Licence n° "&amp;PD!$B$6:$B$11,PD!$AO$6:$AO$11,"",0,1)=1,"",_xlfn.XLOOKUP('T PD'!C22,"Licence n° "&amp;PD!$B$6:$B$11,PD!$U$6:$U$11,"",0,1)))</f>
        <v/>
      </c>
      <c r="AL23" s="883"/>
      <c r="AM23" s="884" t="str" cm="1">
        <f t="array" ref="AM23">IF(PD!$AO$4&lt;3,"",IF(_xlfn.XLOOKUP('T PD'!C22,"Licence n° "&amp;PD!$B$6:$B$11,PD!$AO$6:$AO$11,"",0,1)=1,"",_xlfn.XLOOKUP('T PD'!C22,"Licence n° "&amp;PD!$B$6:$B$11,PD!$S$6:$S$11,"",0,1)))</f>
        <v/>
      </c>
      <c r="AN23" s="884"/>
      <c r="AO23" s="32"/>
      <c r="AP23" s="562" t="str" cm="1">
        <f t="array" ref="AP23">IF(PD!$AO$4&lt;3,"",_xlfn.XLOOKUP(C22,"Licence n° "&amp;PD!$B$6:$B$11,PD!$X$6:$X$11,"",0,1))</f>
        <v/>
      </c>
      <c r="AQ23" s="32"/>
      <c r="AS23" s="848"/>
      <c r="AT23" s="32"/>
    </row>
    <row r="24" spans="1:52" ht="0.95" customHeight="1" x14ac:dyDescent="0.55000000000000004">
      <c r="A24" s="32"/>
      <c r="B24" s="32"/>
      <c r="C24" s="139"/>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S24" s="366"/>
      <c r="AT24" s="32"/>
    </row>
    <row r="25" spans="1:52" ht="50.1" customHeight="1" x14ac:dyDescent="0.25">
      <c r="A25" s="32"/>
      <c r="B25" s="32"/>
      <c r="C25" s="140" t="str">
        <f>IF(PD!AO4=2,C15,IF(COUNT(PD!A6:A11)&gt;3,CONCATENATE(PD!C9," ",LEFT(PD!E9),"."),""))</f>
        <v>KEREBEL E.</v>
      </c>
      <c r="D25" s="32"/>
      <c r="E25" s="882" t="str">
        <f>IF(PD!$AO$4=2,"",IF(AND(COUNT(PD!$A$6:$A$11)&gt;2,PD!$CF25="P"),PD!$CC25,""))</f>
        <v/>
      </c>
      <c r="F25" s="882"/>
      <c r="G25" s="882" t="str">
        <f>IF(PD!$AO$4=2,"",IF(AND(COUNT(PD!$A$6:$A$11)&gt;2,PD!$CF25="P"),PD!$CE25,""))</f>
        <v/>
      </c>
      <c r="H25" s="882"/>
      <c r="I25" s="142"/>
      <c r="J25" s="882" t="str">
        <f>IF(PD!$AO$4=2,"",IF(AND(COUNT(PD!$A$6:$A$11)&gt;2,PD!$CF24="P"),PD!$CC24,""))</f>
        <v/>
      </c>
      <c r="K25" s="882"/>
      <c r="L25" s="882" t="str">
        <f>IF(PD!$AO$4=2,"",IF(AND(COUNT(PD!$A$6:$A$11)&gt;2,PD!$CF24="P"),PD!$CE24,""))</f>
        <v/>
      </c>
      <c r="M25" s="882"/>
      <c r="N25" s="142"/>
      <c r="O25" s="882">
        <f>IF(AND(PD!$AO$4=2,PD!$A19="P"),PD!N19,IF(AND(COUNT(PD!$A$6:$A$11)&gt;2,PD!$CF23="P"),PD!$CC23,""))</f>
        <v>79</v>
      </c>
      <c r="P25" s="882"/>
      <c r="Q25" s="882">
        <f>IF(AND(PD!$AO$4=2,PD!$A19="P"),PD!O19,IF(AND(COUNT(PD!$A$6:$A$11)&gt;2,PD!$CF23="P"),PD!$CE23,""))</f>
        <v>25</v>
      </c>
      <c r="R25" s="882"/>
      <c r="S25" s="32"/>
      <c r="T25" s="886" t="e" vm="4">
        <f>IF(PD!W35="NON",AG1,IF(OR(PD!AO4=2,COUNT(PD!A6:A11)&gt;3),_xlfn.XLOOKUP('T PD'!C28,'LOGOS CLUBS'!$B$2:$B$65,'LOGOS CLUBS'!$C$2:$C$65,C28,0,1),""))</f>
        <v>#VALUE!</v>
      </c>
      <c r="U25" s="886"/>
      <c r="V25" s="886"/>
      <c r="W25" s="886"/>
      <c r="X25" s="32"/>
      <c r="Y25" s="882" t="str">
        <f>IF(PD!$AO$4=2,"",IF(AND(COUNT(PD!$A$6:$A$11)&gt;2,PD!$CF22="P"),PD!$CC22,""))</f>
        <v/>
      </c>
      <c r="Z25" s="882"/>
      <c r="AA25" s="882" t="str">
        <f>IF(PD!$AO$4=2,"",IF(AND(COUNT(PD!$A$6:$A$11)&gt;2,PD!$CF22="P"),PD!$CE22,""))</f>
        <v/>
      </c>
      <c r="AB25" s="882"/>
      <c r="AC25" s="142"/>
      <c r="AD25" s="882" t="str">
        <f>IF(PD!$AO$4=2,"",IF(AND(COUNT(PD!$A$6:$A$11)&gt;2,PD!$CF21="P"),PD!$CC21,""))</f>
        <v/>
      </c>
      <c r="AE25" s="882"/>
      <c r="AF25" s="882" t="str">
        <f>IF(PD!$AO$4=2,"",IF(AND(COUNT(PD!$A$6:$A$11)&gt;2,PD!$CF21="P"),PD!$CE21,""))</f>
        <v/>
      </c>
      <c r="AG25" s="882"/>
      <c r="AH25" s="32"/>
      <c r="AI25" s="32"/>
      <c r="AJ25" s="32"/>
      <c r="AK25" s="882" t="str" cm="1">
        <f t="array" ref="AK25">IF(PD!$AO$4&lt;3,"",IF(_xlfn.XLOOKUP('T PD'!C27,"Licence n° "&amp;PD!$B$6:$B$11,PD!$AO$6:$AO$11,"",0,1)=1,"",_xlfn.XLOOKUP('T PD'!C27,"Licence n° "&amp;PD!$B$6:$B$11,PD!$V$6:$V$11,"",0,1)))</f>
        <v/>
      </c>
      <c r="AL25" s="882"/>
      <c r="AM25" s="879" t="str" cm="1">
        <f t="array" ref="AM25">IF(PD!$AO$4&lt;3,"",IF(_xlfn.XLOOKUP('T PD'!C27,"Licence n° "&amp;PD!$B$6:$B$11,PD!$AO$6:$AO$11,"",0,1)=1,"",_xlfn.XLOOKUP('T PD'!C27,"Licence n° "&amp;PD!$B$6:$B$11,PD!$T$6:$T$11,"",0,1)))</f>
        <v/>
      </c>
      <c r="AN25" s="879"/>
      <c r="AO25" s="32"/>
      <c r="AP25" s="561" t="str" cm="1">
        <f t="array" ref="AP25">IF(OR(PD!AO4&lt;3,COUNT(PD!$A$6:$A$11&lt;3)),"",_xlfn.XLOOKUP(C27,"Licence n° "&amp;PD!$B$6:$B$11,PD!$W$6:$W$11,"",0,1))</f>
        <v/>
      </c>
      <c r="AQ25" s="32"/>
      <c r="AS25" s="849" t="s">
        <v>8118</v>
      </c>
      <c r="AT25" s="32"/>
    </row>
    <row r="26" spans="1:52" ht="12.6" customHeight="1" x14ac:dyDescent="0.25">
      <c r="A26" s="32"/>
      <c r="B26" s="32"/>
      <c r="C26" s="143" t="str" cm="1">
        <f t="array" ref="C26">IF(PD!$AO$4=2,_xlfn.XLOOKUP(2,PD!$M$6:$M$11,PD!$K$6:$K$11&amp;" "&amp;PD!$AS$6:$AS$11,"",0,1),IF(COUNT(PD!$A$6:$A$11)&gt;3,PD!$K9&amp;" - "&amp;PD!$AS9," "))</f>
        <v>R2  0,00</v>
      </c>
      <c r="D26" s="32"/>
      <c r="E26" s="144" t="str">
        <f>IF(F26="","","Pts")</f>
        <v/>
      </c>
      <c r="F26" s="880" t="str">
        <f>IF(PD!$AO$4=2,"",IF(AND(COUNT(PD!$A$6:$A$11)&gt;2,PD!$CF25="P"),PD!$CG25,""))</f>
        <v/>
      </c>
      <c r="G26" s="880"/>
      <c r="H26" s="144" t="str">
        <f>IF(F26="","","Rep.")</f>
        <v/>
      </c>
      <c r="I26" s="144"/>
      <c r="J26" s="144" t="str">
        <f>IF(K26="","","Pts")</f>
        <v/>
      </c>
      <c r="K26" s="880" t="str">
        <f>IF(PD!$AO$4=2,"",IF(AND(COUNT(PD!$A$6:$A$11)&gt;2,PD!$CF24="P"),PD!$CG24,""))</f>
        <v/>
      </c>
      <c r="L26" s="880"/>
      <c r="M26" s="144" t="str">
        <f>IF(K26="","","Rep.")</f>
        <v/>
      </c>
      <c r="N26" s="144"/>
      <c r="O26" s="144" t="str">
        <f>IF(P26="","","Pts")</f>
        <v>Pts</v>
      </c>
      <c r="P26" s="880">
        <f>IF(PD!$AO$4=2,PD!D19,IF(AND(COUNT(PD!$A$6:$A$11)&gt;2,PD!$CF23="P"),PD!$CG23,""))</f>
        <v>0</v>
      </c>
      <c r="Q26" s="880"/>
      <c r="R26" s="144" t="str">
        <f>IF(P26="","","Rep.")</f>
        <v>Rep.</v>
      </c>
      <c r="S26" s="32"/>
      <c r="T26" s="886"/>
      <c r="U26" s="886"/>
      <c r="V26" s="886"/>
      <c r="W26" s="886"/>
      <c r="X26" s="32"/>
      <c r="Y26" s="144" t="str">
        <f>IF(Z26="","","Pts")</f>
        <v/>
      </c>
      <c r="Z26" s="880" t="str">
        <f>IF(PD!$AO$4=2,"",IF(AND(COUNT(PD!$A$6:$A$11)&gt;2,PD!$CF22="P"),PD!$CG22,""))</f>
        <v/>
      </c>
      <c r="AA26" s="880"/>
      <c r="AB26" s="144" t="str">
        <f>IF(Z26="","","Rep.")</f>
        <v/>
      </c>
      <c r="AC26" s="144"/>
      <c r="AD26" s="144" t="str">
        <f>IF(AE26="","","Pts")</f>
        <v/>
      </c>
      <c r="AE26" s="880" t="str">
        <f>IF(PD!$AO$4=2,"",IF(AND(COUNT(PD!$A$6:$A$11)&gt;2,PD!$CF21="P"),PD!$CG21,""))</f>
        <v/>
      </c>
      <c r="AF26" s="880"/>
      <c r="AG26" s="144" t="str">
        <f>IF(AE26="","","Rep.")</f>
        <v/>
      </c>
      <c r="AH26" s="32"/>
      <c r="AI26" s="32"/>
      <c r="AJ26" s="32"/>
      <c r="AK26" s="145" t="str">
        <f>IF(AL26="","","PM")</f>
        <v/>
      </c>
      <c r="AL26" s="881" t="str" cm="1">
        <f t="array" ref="AL26">IF(SUM(PD!$Q$6:$Q$11)=0,"",IF(PD!$AO$4&gt;2,IF(_xlfn.XLOOKUP('T PD'!C27,"Licence n° "&amp;PD!$B$6:$B$11,PD!$AO$6:$AO$11,"",0,1)=1,"Forfait",_xlfn.XLOOKUP('T PD'!C27,"Licence n° "&amp;PD!$B$37:$B$42,PD!$Q$37:$Q$42,"",0,1)),""))</f>
        <v/>
      </c>
      <c r="AM26" s="881"/>
      <c r="AN26" s="145" t="str">
        <f>IF(AL26="","","MGP")</f>
        <v/>
      </c>
      <c r="AO26" s="32"/>
      <c r="AP26" s="151" t="str">
        <f>IF(AND(COUNT(PD!$A$6:$A$11)&gt;3,PD!$AO$4&gt;2,LEFT(PD!$F$13)="P"),"Pts Rk","")</f>
        <v/>
      </c>
      <c r="AQ26" s="32"/>
      <c r="AS26" s="849"/>
      <c r="AT26" s="32"/>
    </row>
    <row r="27" spans="1:52" ht="12.6" customHeight="1" x14ac:dyDescent="0.25">
      <c r="A27" s="32"/>
      <c r="B27" s="32"/>
      <c r="C27" s="147" t="str">
        <f>IF(PD!AO4=2,C17,IF(COUNT(PD!A6:A11)&gt;3,"Licence n° "&amp;PD!B9," "))</f>
        <v>Licence n° 013428M</v>
      </c>
      <c r="D27" s="32"/>
      <c r="E27" s="144" t="str">
        <f>IF(F26="","","Moy.")</f>
        <v/>
      </c>
      <c r="F27" s="880"/>
      <c r="G27" s="880"/>
      <c r="H27" s="144" t="str">
        <f>IF(F26="","","MS")</f>
        <v/>
      </c>
      <c r="I27" s="144"/>
      <c r="J27" s="144" t="str">
        <f>IF(K26="","","Moy.")</f>
        <v/>
      </c>
      <c r="K27" s="880"/>
      <c r="L27" s="880"/>
      <c r="M27" s="144" t="str">
        <f>IF(K26="","","MS")</f>
        <v/>
      </c>
      <c r="N27" s="144"/>
      <c r="O27" s="144" t="str">
        <f>IF(P26="","","Moy.")</f>
        <v>Moy.</v>
      </c>
      <c r="P27" s="880"/>
      <c r="Q27" s="880"/>
      <c r="R27" s="144" t="str">
        <f>IF(P26="","","MS")</f>
        <v>MS</v>
      </c>
      <c r="S27" s="32"/>
      <c r="T27" s="886"/>
      <c r="U27" s="886"/>
      <c r="V27" s="886"/>
      <c r="W27" s="886"/>
      <c r="X27" s="32"/>
      <c r="Y27" s="144" t="str">
        <f>IF(Z26="","","Moy.")</f>
        <v/>
      </c>
      <c r="Z27" s="880"/>
      <c r="AA27" s="880"/>
      <c r="AB27" s="144" t="str">
        <f>IF(Z26="","","MS")</f>
        <v/>
      </c>
      <c r="AC27" s="144"/>
      <c r="AD27" s="144" t="str">
        <f>IF(AE26="","","Moy.")</f>
        <v/>
      </c>
      <c r="AE27" s="880"/>
      <c r="AF27" s="880"/>
      <c r="AG27" s="144" t="str">
        <f>IF(AE26="","","MS")</f>
        <v/>
      </c>
      <c r="AH27" s="32"/>
      <c r="AI27" s="32"/>
      <c r="AJ27" s="32"/>
      <c r="AK27" s="145" t="str">
        <f>IF(AL26="","","Mpart.")</f>
        <v/>
      </c>
      <c r="AL27" s="881"/>
      <c r="AM27" s="881"/>
      <c r="AN27" s="145" t="str">
        <f>IF(AL26="","","MS")</f>
        <v/>
      </c>
      <c r="AO27" s="32"/>
      <c r="AP27" s="148" t="str">
        <f>IF(AND(COUNT(PD!$A$6:$A$11)&gt;3,PD!$AO$4&gt;2,LEFT(PD!$F$13)="P"),"Bonus","")</f>
        <v/>
      </c>
      <c r="AQ27" s="32"/>
      <c r="AS27" s="829" t="s">
        <v>8119</v>
      </c>
      <c r="AT27" s="32"/>
    </row>
    <row r="28" spans="1:52" ht="50.1" customHeight="1" x14ac:dyDescent="0.25">
      <c r="A28" s="32"/>
      <c r="B28" s="32"/>
      <c r="C28" s="149" t="str">
        <f>IF(PD!AO4=2,C18,IF(COUNT(PD!A6:A11)&gt;3,PD!G9," "))</f>
        <v>ASS. BILLARD AMATEUR DE SAINT MAUR</v>
      </c>
      <c r="D28" s="32"/>
      <c r="E28" s="883" t="str">
        <f>IF(F26="","",IF(F26&gt;0,E25/G25,"/"))</f>
        <v/>
      </c>
      <c r="F28" s="883"/>
      <c r="G28" s="884" t="str">
        <f>IF(PD!$AO$4=2,"",IF(AND(COUNT(PD!$A$6:$A$11)&gt;2,PD!$CF25="P"),PD!$CD25,""))</f>
        <v/>
      </c>
      <c r="H28" s="884"/>
      <c r="I28" s="32"/>
      <c r="J28" s="883" t="str">
        <f>IF(K26="","",IF(K26&gt;0,J25/L25,"/"))</f>
        <v/>
      </c>
      <c r="K28" s="883"/>
      <c r="L28" s="884" t="str">
        <f>IF(PD!$AO$4=2,"",IF(AND(COUNT(PD!$A$6:$A$11)&gt;2,PD!$CF24="P"),PD!$CD24,""))</f>
        <v/>
      </c>
      <c r="M28" s="884"/>
      <c r="N28" s="32"/>
      <c r="O28" s="883" t="str">
        <f>IF(P26="","",IF(P26&gt;0,O25/Q25,"/"))</f>
        <v>/</v>
      </c>
      <c r="P28" s="883"/>
      <c r="Q28" s="884">
        <f>IF(AND(PD!$AO$4=2,PD!$A19="P"),PD!M19,IF(AND(COUNT(PD!$A$6:$A$11)&gt;2,PD!$CF23="P"),PD!$CD23,""))</f>
        <v>20</v>
      </c>
      <c r="R28" s="884"/>
      <c r="S28" s="32"/>
      <c r="T28" s="886"/>
      <c r="U28" s="886"/>
      <c r="V28" s="886"/>
      <c r="W28" s="886"/>
      <c r="X28" s="32"/>
      <c r="Y28" s="883" t="str">
        <f>IF(Z26="","",IF(Z26&gt;0,Y25/AA25,"/"))</f>
        <v/>
      </c>
      <c r="Z28" s="883"/>
      <c r="AA28" s="884" t="str">
        <f>IF(PD!$AO$4=2,"",IF(AND(COUNT(PD!$A$6:$A$11)&gt;2,PD!$CF22="P"),PD!$CD22,""))</f>
        <v/>
      </c>
      <c r="AB28" s="884"/>
      <c r="AC28" s="32"/>
      <c r="AD28" s="883" t="str">
        <f>IF(AE26="","",IF(AE26&gt;0,AD25/AF25,"/"))</f>
        <v/>
      </c>
      <c r="AE28" s="883"/>
      <c r="AF28" s="884" t="str">
        <f>IF(PD!$AO$4=2,"",IF(AND(COUNT(PD!$A$6:$A$11)&gt;2,PD!$CF21="P"),PD!$CD21,""))</f>
        <v/>
      </c>
      <c r="AG28" s="884"/>
      <c r="AH28" s="32"/>
      <c r="AI28" s="32"/>
      <c r="AJ28" s="32"/>
      <c r="AK28" s="883" t="str" cm="1">
        <f t="array" ref="AK28">IF(PD!$AO$4&lt;3,"",IF(_xlfn.XLOOKUP('T PD'!C27,"Licence n° "&amp;PD!$B$6:$B$11,PD!$AO$6:$AO$11,"",0,1)=1,"",_xlfn.XLOOKUP('T PD'!C27,"Licence n° "&amp;PD!$B$6:$B$11,PD!$U$6:$U$11,"",0,1)))</f>
        <v/>
      </c>
      <c r="AL28" s="883"/>
      <c r="AM28" s="884" t="str" cm="1">
        <f t="array" ref="AM28">IF(PD!$AO$4&lt;3,"",IF(_xlfn.XLOOKUP('T PD'!C27,"Licence n° "&amp;PD!$B$6:$B$11,PD!$AO$6:$AO$11,"",0,1)=1,"",_xlfn.XLOOKUP('T PD'!C27,"Licence n° "&amp;PD!$B$6:$B$11,PD!$S$6:$S$11,"",0,1)))</f>
        <v/>
      </c>
      <c r="AN28" s="884"/>
      <c r="AO28" s="32"/>
      <c r="AP28" s="562" t="str" cm="1">
        <f t="array" ref="AP28">IF(OR(PD!AO4&lt;3,COUNT(PD!$A$6:$A$11)&lt;4),"",_xlfn.XLOOKUP(C27,"Licence n° "&amp;PD!$B$6:$B$11,PD!$X$6:$X$11,"",0,1))</f>
        <v/>
      </c>
      <c r="AQ28" s="32"/>
      <c r="AS28" s="829"/>
      <c r="AT28" s="32"/>
    </row>
    <row r="29" spans="1:52" ht="0.95" customHeight="1" x14ac:dyDescent="0.55000000000000004">
      <c r="A29" s="32"/>
      <c r="B29" s="32"/>
      <c r="C29" s="139"/>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S29" s="366"/>
      <c r="AT29" s="32"/>
    </row>
    <row r="30" spans="1:52" ht="50.1" customHeight="1" x14ac:dyDescent="0.25">
      <c r="A30" s="32"/>
      <c r="B30" s="32"/>
      <c r="C30" s="140" t="str">
        <f>IF(PD!AO4=2,"",IF(COUNT(PD!A6:A11)&gt;4,CONCATENATE(PD!C10," ",LEFT(PD!E10),"."),""))</f>
        <v/>
      </c>
      <c r="D30" s="32"/>
      <c r="E30" s="882" t="str">
        <f>IF(PD!$AO$4=2,"",IF(AND(COUNT(PD!$A$6:$A$11)&gt;2,PD!$CF30="P"),PD!$CC30,""))</f>
        <v/>
      </c>
      <c r="F30" s="882"/>
      <c r="G30" s="882" t="str">
        <f>IF(PD!$AO$4=2,"",IF(AND(COUNT(PD!$A$6:$A$11)&gt;2,PD!$CF30="P"),PD!$CE30,""))</f>
        <v/>
      </c>
      <c r="H30" s="882"/>
      <c r="I30" s="142"/>
      <c r="J30" s="882" t="str">
        <f>IF(PD!$AO$4=2,"",IF(AND(COUNT(PD!$A$6:$A$11)&gt;2,PD!$CF29="P"),PD!$CC29,""))</f>
        <v/>
      </c>
      <c r="K30" s="882"/>
      <c r="L30" s="882" t="str">
        <f>IF(PD!$AO$4=2,"",IF(AND(COUNT(PD!$A$6:$A$11)&gt;2,PD!$CF29="P"),PD!$CE29,""))</f>
        <v/>
      </c>
      <c r="M30" s="882"/>
      <c r="N30" s="142"/>
      <c r="O30" s="882" t="str">
        <f>IF(PD!$AO$4=2,"",IF(AND(COUNT(PD!$A$6:$A$11)&gt;2,PD!$CF28="P"),PD!$CC28,""))</f>
        <v/>
      </c>
      <c r="P30" s="882"/>
      <c r="Q30" s="882" t="str">
        <f>IF(PD!$AO$4=2,"",IF(AND(COUNT(PD!$A$6:$A$11)&gt;2,PD!$CF28="P"),PD!$CE28,""))</f>
        <v/>
      </c>
      <c r="R30" s="882"/>
      <c r="S30" s="142"/>
      <c r="T30" s="882" t="str">
        <f>IF(PD!$AO$4=2,"",IF(AND(COUNT(PD!$A$6:$A$11)&gt;2,PD!$CF27="P"),PD!$CC27,""))</f>
        <v/>
      </c>
      <c r="U30" s="882"/>
      <c r="V30" s="882" t="str">
        <f>IF(PD!$AO$4=2,"",IF(AND(COUNT(PD!$A$6:$A$11)&gt;2,PD!$CF27="P"),PD!$CE27,""))</f>
        <v/>
      </c>
      <c r="W30" s="882"/>
      <c r="X30" s="32"/>
      <c r="Y30" s="887" t="str">
        <f>IF(PD!W35="NON",AG1,IF(PD!AO4=2,"",IF(COUNT(PD!A6:A11)&gt;4,_xlfn.XLOOKUP('T PD'!C33,'LOGOS CLUBS'!$B$2:$B$65,'LOGOS CLUBS'!$C$2:$C$65,C33,0,1),"")))</f>
        <v/>
      </c>
      <c r="Z30" s="887"/>
      <c r="AA30" s="887"/>
      <c r="AB30" s="887"/>
      <c r="AC30" s="32"/>
      <c r="AD30" s="882" t="str">
        <f>IF(PD!$AO$4=2,"",IF(AND(COUNT(PD!$A$6:$A$11)&gt;2,PD!$CF26="P"),PD!$CC26,""))</f>
        <v/>
      </c>
      <c r="AE30" s="882"/>
      <c r="AF30" s="882" t="str">
        <f>IF(PD!$AO$4=2,"",IF(AND(COUNT(PD!$A$6:$A$11)&gt;2,PD!$CF26="P"),PD!$CE26,""))</f>
        <v/>
      </c>
      <c r="AG30" s="882"/>
      <c r="AH30" s="32"/>
      <c r="AI30" s="32"/>
      <c r="AJ30" s="32"/>
      <c r="AK30" s="882" t="str" cm="1">
        <f t="array" ref="AK30">IF(PD!$AO$4&lt;3,"",IF(_xlfn.XLOOKUP('T PD'!C32,"Licence n° "&amp;PD!$B$6:$B$11,PD!$AO$6:$AO$11,"",0,1)=1,"",_xlfn.XLOOKUP('T PD'!C32,"Licence n° "&amp;PD!$B$6:$B$11,PD!$V$6:$V$11,"",0,1)))</f>
        <v/>
      </c>
      <c r="AL30" s="882"/>
      <c r="AM30" s="879" t="str" cm="1">
        <f t="array" ref="AM30">IF(PD!$AO$4&lt;3,"",IF(_xlfn.XLOOKUP('T PD'!C32,"Licence n° "&amp;PD!$B$6:$B$11,PD!$AO$6:$AO$11,"",0,1)=1,"",_xlfn.XLOOKUP('T PD'!C32,"Licence n° "&amp;PD!$B$6:$B$11,PD!$T$6:$T$11,"",0,1)))</f>
        <v/>
      </c>
      <c r="AN30" s="879"/>
      <c r="AO30" s="32"/>
      <c r="AP30" s="561" t="str" cm="1">
        <f t="array" ref="AP30">_xlfn.XLOOKUP(C32,"Licence n° "&amp;PD!$B$6:$B$11,PD!$W$6:$W$11,"",0,1)</f>
        <v/>
      </c>
      <c r="AQ30" s="32"/>
      <c r="AS30" s="830" t="s">
        <v>8120</v>
      </c>
      <c r="AT30" s="32"/>
    </row>
    <row r="31" spans="1:52" ht="12.6" customHeight="1" x14ac:dyDescent="0.25">
      <c r="A31" s="32"/>
      <c r="B31" s="32"/>
      <c r="C31" s="143" t="str">
        <f>IF(PD!$AO$4=2,"",IF(COUNT(PD!$A$6:$A$11)&gt;4,PD!$K10&amp;" - "&amp;PD!$AS10," "))</f>
        <v/>
      </c>
      <c r="D31" s="32"/>
      <c r="E31" s="144" t="str">
        <f>IF(F31="","","Pts")</f>
        <v/>
      </c>
      <c r="F31" s="880" t="str">
        <f>IF(PD!$AO$4=2,"",IF(AND(COUNT(PD!$A$6:$A$11)&gt;2,PD!$CF30="P"),PD!$CG30,""))</f>
        <v/>
      </c>
      <c r="G31" s="880"/>
      <c r="H31" s="144" t="str">
        <f>IF(F31="","","Rep.")</f>
        <v/>
      </c>
      <c r="I31" s="144"/>
      <c r="J31" s="144" t="str">
        <f>IF(K31="","","Pts")</f>
        <v/>
      </c>
      <c r="K31" s="880" t="str">
        <f>IF(PD!$AO$4=2,"",IF(AND(COUNT(PD!$A$6:$A$11)&gt;2,PD!$CF29="P"),PD!$CG29,""))</f>
        <v/>
      </c>
      <c r="L31" s="880"/>
      <c r="M31" s="144" t="str">
        <f>IF(K31="","","Rep.")</f>
        <v/>
      </c>
      <c r="N31" s="144"/>
      <c r="O31" s="144" t="str">
        <f>IF(P31="","","Pts")</f>
        <v/>
      </c>
      <c r="P31" s="880" t="str">
        <f>IF(PD!$AO$4=2,"",IF(AND(COUNT(PD!$A$6:$A$11)&gt;2,PD!$CF28="P"),PD!$CG28,""))</f>
        <v/>
      </c>
      <c r="Q31" s="880"/>
      <c r="R31" s="144" t="str">
        <f>IF(P31="","","Rep.")</f>
        <v/>
      </c>
      <c r="S31" s="144"/>
      <c r="T31" s="144" t="str">
        <f>IF(U31="","","Pts")</f>
        <v/>
      </c>
      <c r="U31" s="880" t="str">
        <f>IF(PD!$AO$4=2,"",IF(AND(COUNT(PD!$A$6:$A$11)&gt;2,PD!$CF27="P"),PD!$CG27,""))</f>
        <v/>
      </c>
      <c r="V31" s="880"/>
      <c r="W31" s="144" t="str">
        <f>IF(U31="","","Rep.")</f>
        <v/>
      </c>
      <c r="X31" s="32"/>
      <c r="Y31" s="887"/>
      <c r="Z31" s="887"/>
      <c r="AA31" s="887"/>
      <c r="AB31" s="887"/>
      <c r="AC31" s="32"/>
      <c r="AD31" s="144" t="str">
        <f>IF(AE31="","","Pts")</f>
        <v/>
      </c>
      <c r="AE31" s="880" t="str">
        <f>IF(PD!$AO$4=2,"",IF(AND(COUNT(PD!$A$6:$A$11)&gt;2,PD!$CF26="P"),PD!$CG26,""))</f>
        <v/>
      </c>
      <c r="AF31" s="880"/>
      <c r="AG31" s="144" t="str">
        <f>IF(AE31="","","Rep.")</f>
        <v/>
      </c>
      <c r="AH31" s="32"/>
      <c r="AI31" s="32"/>
      <c r="AJ31" s="32"/>
      <c r="AK31" s="145" t="str">
        <f>IF(AL31="","","PM")</f>
        <v/>
      </c>
      <c r="AL31" s="881" t="str" cm="1">
        <f t="array" ref="AL31">IF(SUM(PD!$Q$6:$Q$11)=0,"",IF(PD!$AO$4&gt;2,IF(_xlfn.XLOOKUP('T PD'!C32,"Licence n° "&amp;PD!$B$6:$B$11,PD!$AO$6:$AO$11,"",0,1)=1,"Forfait",_xlfn.XLOOKUP('T PD'!C32,"Licence n° "&amp;PD!$B$37:$B$42,PD!$Q$37:$Q$42,"",0,1)),""))</f>
        <v/>
      </c>
      <c r="AM31" s="881"/>
      <c r="AN31" s="145" t="str">
        <f>IF(AL31="","","MGP")</f>
        <v/>
      </c>
      <c r="AO31" s="32"/>
      <c r="AP31" s="151" t="str">
        <f>IF(AND(COUNT(PD!$A$6:$A$11)&gt;4,PD!$AO$4&gt;2,LEFT(PD!$F$13)="P"),"Pts Rk","")</f>
        <v/>
      </c>
      <c r="AQ31" s="32"/>
      <c r="AS31" s="830"/>
      <c r="AT31" s="32"/>
    </row>
    <row r="32" spans="1:52" ht="12.6" customHeight="1" x14ac:dyDescent="0.25">
      <c r="A32" s="32"/>
      <c r="B32" s="32"/>
      <c r="C32" s="147" t="str">
        <f>IF(PD!AO4=2,"",IF(COUNT(PD!A6:A11)&gt;4,"Licence n° "&amp;PD!B10," "))</f>
        <v/>
      </c>
      <c r="D32" s="32"/>
      <c r="E32" s="144" t="str">
        <f>IF(F31="","","Moy.")</f>
        <v/>
      </c>
      <c r="F32" s="880"/>
      <c r="G32" s="880"/>
      <c r="H32" s="144" t="str">
        <f>IF(F31="","","MS")</f>
        <v/>
      </c>
      <c r="I32" s="144"/>
      <c r="J32" s="144" t="str">
        <f>IF(K31="","","Moy.")</f>
        <v/>
      </c>
      <c r="K32" s="880"/>
      <c r="L32" s="880"/>
      <c r="M32" s="144" t="str">
        <f>IF(K31="","","MS")</f>
        <v/>
      </c>
      <c r="N32" s="144"/>
      <c r="O32" s="144" t="str">
        <f>IF(P31="","","Moy.")</f>
        <v/>
      </c>
      <c r="P32" s="880"/>
      <c r="Q32" s="880"/>
      <c r="R32" s="144" t="str">
        <f>IF(P31="","","MS")</f>
        <v/>
      </c>
      <c r="S32" s="144"/>
      <c r="T32" s="144" t="str">
        <f>IF(U31="","","Moy.")</f>
        <v/>
      </c>
      <c r="U32" s="880"/>
      <c r="V32" s="880"/>
      <c r="W32" s="144" t="str">
        <f>IF(U31="","","MS")</f>
        <v/>
      </c>
      <c r="X32" s="32"/>
      <c r="Y32" s="887"/>
      <c r="Z32" s="887"/>
      <c r="AA32" s="887"/>
      <c r="AB32" s="887"/>
      <c r="AC32" s="32"/>
      <c r="AD32" s="144" t="str">
        <f>IF(AE31="","","Moy.")</f>
        <v/>
      </c>
      <c r="AE32" s="880"/>
      <c r="AF32" s="880"/>
      <c r="AG32" s="144" t="str">
        <f>IF(AE31="","","MS")</f>
        <v/>
      </c>
      <c r="AH32" s="32"/>
      <c r="AI32" s="32"/>
      <c r="AJ32" s="32"/>
      <c r="AK32" s="145" t="str">
        <f>IF(AL31="","","Mpart.")</f>
        <v/>
      </c>
      <c r="AL32" s="881"/>
      <c r="AM32" s="881"/>
      <c r="AN32" s="145" t="str">
        <f>IF(AL31="","","MS")</f>
        <v/>
      </c>
      <c r="AO32" s="32"/>
      <c r="AP32" s="148" t="str">
        <f>IF(AND(COUNT(PD!$A$6:$A$11)&gt;4,PD!$AO$4&gt;2,LEFT(PD!$F$13)="P"),"Bonus","")</f>
        <v/>
      </c>
      <c r="AQ32" s="32"/>
      <c r="AS32" s="831" t="s">
        <v>8121</v>
      </c>
      <c r="AT32" s="32"/>
    </row>
    <row r="33" spans="1:46" ht="50.1" customHeight="1" x14ac:dyDescent="0.25">
      <c r="A33" s="32"/>
      <c r="B33" s="32"/>
      <c r="C33" s="149" t="str">
        <f>IF(PD!AO4=2,"",IF(COUNT(PD!A6:A11)&gt;4,PD!G10," "))</f>
        <v/>
      </c>
      <c r="D33" s="32"/>
      <c r="E33" s="883" t="str">
        <f>IF(F31="","",IF(F31&gt;0,E30/G30,"/"))</f>
        <v/>
      </c>
      <c r="F33" s="883"/>
      <c r="G33" s="884" t="str">
        <f>IF(PD!$AO$4=2,"",IF(AND(COUNT(PD!$A$6:$A$11)&gt;2,PD!$CF30="P"),PD!$CD30,""))</f>
        <v/>
      </c>
      <c r="H33" s="884"/>
      <c r="I33" s="32"/>
      <c r="J33" s="883" t="str">
        <f>IF(K31="","",IF(K31&gt;0,J30/L30,"/"))</f>
        <v/>
      </c>
      <c r="K33" s="883"/>
      <c r="L33" s="884" t="str">
        <f>IF(PD!$AO$4=2,"",IF(AND(COUNT(PD!$A$6:$A$11)&gt;2,PD!$CF29="P"),PD!$CD29,""))</f>
        <v/>
      </c>
      <c r="M33" s="884"/>
      <c r="N33" s="32"/>
      <c r="O33" s="883" t="str">
        <f>IF(P31="","",IF(P31&gt;0,O30/Q30,"/"))</f>
        <v/>
      </c>
      <c r="P33" s="883"/>
      <c r="Q33" s="884" t="str">
        <f>IF(PD!$AO$4=2,"",IF(AND(COUNT(PD!$A$6:$A$11)&gt;2,PD!$CF28="P"),PD!$CD28,""))</f>
        <v/>
      </c>
      <c r="R33" s="884"/>
      <c r="S33" s="32"/>
      <c r="T33" s="883" t="str">
        <f>IF(U31="","",IF(U31&gt;0,T30/V30,"/"))</f>
        <v/>
      </c>
      <c r="U33" s="883"/>
      <c r="V33" s="884" t="str">
        <f>IF(PD!$AO$4=2,"",IF(AND(COUNT(PD!$A$6:$A$11)&gt;2,PD!$CF27="P"),PD!$CD27,""))</f>
        <v/>
      </c>
      <c r="W33" s="884"/>
      <c r="X33" s="32"/>
      <c r="Y33" s="887"/>
      <c r="Z33" s="887"/>
      <c r="AA33" s="887"/>
      <c r="AB33" s="887"/>
      <c r="AC33" s="32"/>
      <c r="AD33" s="883" t="str">
        <f>IF(AE31="","",IF(AE31&gt;0,AD30/AF30,"/"))</f>
        <v/>
      </c>
      <c r="AE33" s="883"/>
      <c r="AF33" s="884" t="str">
        <f>IF(PD!$AO$4=2,"",IF(AND(COUNT(PD!$A$6:$A$11)&gt;2,PD!$CF26="P"),PD!$CD26,""))</f>
        <v/>
      </c>
      <c r="AG33" s="884"/>
      <c r="AH33" s="32"/>
      <c r="AI33" s="32"/>
      <c r="AJ33" s="32"/>
      <c r="AK33" s="883" t="str" cm="1">
        <f t="array" ref="AK33">IF(PD!$AO$4&lt;3,"",IF(_xlfn.XLOOKUP('T PD'!C32,"Licence n° "&amp;PD!$B$6:$B$11,PD!$AO$6:$AO$11,"",0,1)=1,"",_xlfn.XLOOKUP('T PD'!C32,"Licence n° "&amp;PD!$B$6:$B$11,PD!$U$6:$U$11,"",0,1)))</f>
        <v/>
      </c>
      <c r="AL33" s="883"/>
      <c r="AM33" s="884" t="str" cm="1">
        <f t="array" ref="AM33">IF(PD!$AO$4&lt;3,"",IF(_xlfn.XLOOKUP('T PD'!C32,"Licence n° "&amp;PD!$B$6:$B$11,PD!$AO$6:$AO$11,"",0,1)=1,"",_xlfn.XLOOKUP('T PD'!C32,"Licence n° "&amp;PD!$B$6:$B$11,PD!$S$6:$S$11,"",0,1)))</f>
        <v/>
      </c>
      <c r="AN33" s="884"/>
      <c r="AO33" s="32"/>
      <c r="AP33" s="562" t="str" cm="1">
        <f t="array" ref="AP33">_xlfn.XLOOKUP(C32,"Licence n° "&amp;PD!$B$6:$B$11,PD!$X$6:$X$11,"",0,1)</f>
        <v/>
      </c>
      <c r="AQ33" s="32"/>
      <c r="AS33" s="831"/>
      <c r="AT33" s="32"/>
    </row>
    <row r="34" spans="1:46" ht="0.95" customHeight="1" x14ac:dyDescent="0.55000000000000004">
      <c r="A34" s="32"/>
      <c r="B34" s="32"/>
      <c r="C34" s="139"/>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S34" s="366"/>
      <c r="AT34" s="32"/>
    </row>
    <row r="35" spans="1:46" ht="50.1" customHeight="1" x14ac:dyDescent="0.25">
      <c r="A35" s="32"/>
      <c r="B35" s="32"/>
      <c r="C35" s="140" t="str">
        <f>IF(PD!AO4=2,"",IF(COUNT(PD!A6:A11)&gt;5,CONCATENATE(PD!C11," ",LEFT(PD!E11),"."),""))</f>
        <v/>
      </c>
      <c r="D35" s="32"/>
      <c r="E35" s="882" t="str">
        <f>IF(PD!$AO$4=2,"",IF(AND(COUNT(PD!$A$6:$A$11)&gt;2,PD!$CF35="P"),PD!$CC35,""))</f>
        <v/>
      </c>
      <c r="F35" s="882"/>
      <c r="G35" s="882" t="str">
        <f>IF(PD!$AO$4=2,"",IF(AND(COUNT(PD!$A$6:$A$11)&gt;2,PD!$CF35="P"),PD!$CE35,""))</f>
        <v/>
      </c>
      <c r="H35" s="882"/>
      <c r="I35" s="142"/>
      <c r="J35" s="882" t="str">
        <f>IF(PD!$AO$4=2,"",IF(AND(COUNT(PD!$A$6:$A$11)&gt;2,PD!$CF34="P"),PD!$CC34,""))</f>
        <v/>
      </c>
      <c r="K35" s="882"/>
      <c r="L35" s="882" t="str">
        <f>IF(PD!$AO$4=2,"",IF(AND(COUNT(PD!$A$6:$A$11)&gt;2,PD!$CF34="P"),PD!$CE34,""))</f>
        <v/>
      </c>
      <c r="M35" s="882"/>
      <c r="N35" s="142"/>
      <c r="O35" s="882" t="str">
        <f>IF(PD!$AO$4=2,"",IF(AND(COUNT(PD!$A$6:$A$11)&gt;2,PD!$CF33="P"),PD!$CC33,""))</f>
        <v/>
      </c>
      <c r="P35" s="882"/>
      <c r="Q35" s="882" t="str">
        <f>IF(PD!$AO$4=2,"",IF(AND(COUNT(PD!$A$6:$A$11)&gt;2,PD!$CF33="P"),PD!$CE33,""))</f>
        <v/>
      </c>
      <c r="R35" s="882"/>
      <c r="S35" s="142"/>
      <c r="T35" s="882" t="str">
        <f>IF(PD!$AO$4=2,"",IF(AND(COUNT(PD!$A$6:$A$11)&gt;2,PD!$CF32="P"),PD!$CC32,""))</f>
        <v/>
      </c>
      <c r="U35" s="882"/>
      <c r="V35" s="882" t="str">
        <f>IF(PD!$AO$4=2,"",IF(AND(COUNT(PD!$A$6:$A$11)&gt;2,PD!$CF32="P"),PD!$CE32,""))</f>
        <v/>
      </c>
      <c r="W35" s="882"/>
      <c r="X35" s="142"/>
      <c r="Y35" s="882" t="str">
        <f>IF(PD!$AO$4=2,"",IF(AND(COUNT(PD!$A$6:$A$11)&gt;2,PD!$CF31="P"),PD!$CC31,""))</f>
        <v/>
      </c>
      <c r="Z35" s="882"/>
      <c r="AA35" s="882" t="str">
        <f>IF(PD!$AO$4=2,"",IF(AND(COUNT(PD!$A$6:$A$11)&gt;2,PD!$CF31="P"),PD!$CE31,""))</f>
        <v/>
      </c>
      <c r="AB35" s="882"/>
      <c r="AC35" s="32"/>
      <c r="AD35" s="885" t="str">
        <f>IF(PD!W35="NON",AG1,IF(PD!AO4=2,"",IF(COUNT(PD!A6:A11)&gt;5,_xlfn.XLOOKUP('T PD'!C38,'LOGOS CLUBS'!$B$2:$B$65,'LOGOS CLUBS'!$C$2:$C$65,C38,0,1),"")))</f>
        <v/>
      </c>
      <c r="AE35" s="885"/>
      <c r="AF35" s="885"/>
      <c r="AG35" s="885"/>
      <c r="AH35" s="32"/>
      <c r="AI35" s="32"/>
      <c r="AJ35" s="32"/>
      <c r="AK35" s="882" t="str" cm="1">
        <f t="array" ref="AK35">IF(PD!$AO$4&lt;3,"",IF(_xlfn.XLOOKUP('T PD'!C37,"Licence n° "&amp;PD!$B$6:$B$11,PD!$AO$6:$AO$11,"",0,1)=1,"",_xlfn.XLOOKUP('T PD'!C37,"Licence n° "&amp;PD!$B$6:$B$11,PD!$V$6:$V$11,"",0,1)))</f>
        <v/>
      </c>
      <c r="AL35" s="882"/>
      <c r="AM35" s="879" t="str" cm="1">
        <f t="array" ref="AM35">IF(PD!$AO$4&lt;3,"",IF(_xlfn.XLOOKUP('T PD'!C37,"Licence n° "&amp;PD!$B$6:$B$11,PD!$AO$6:$AO$11,"",0,1)=1,"",_xlfn.XLOOKUP('T PD'!C37,"Licence n° "&amp;PD!$B$6:$B$11,PD!$T$6:$T$11,"",0,1)))</f>
        <v/>
      </c>
      <c r="AN35" s="879"/>
      <c r="AO35" s="32"/>
      <c r="AP35" s="561" t="str" cm="1">
        <f t="array" ref="AP35">_xlfn.XLOOKUP(C37,"Licence n° "&amp;PD!$B$6:$B$11,PD!$W$6:$W$11,"",0,1)</f>
        <v/>
      </c>
      <c r="AQ35" s="32"/>
      <c r="AS35" s="832" t="s">
        <v>8124</v>
      </c>
      <c r="AT35" s="32"/>
    </row>
    <row r="36" spans="1:46" ht="12.6" customHeight="1" x14ac:dyDescent="0.25">
      <c r="A36" s="32"/>
      <c r="B36" s="32"/>
      <c r="C36" s="143" t="str">
        <f>IF(PD!$AO$4=2,"",IF(COUNT(PD!$A$6:$A$11)&gt;5,PD!$K11&amp;" - "&amp;PD!$AS11," "))</f>
        <v/>
      </c>
      <c r="D36" s="32"/>
      <c r="E36" s="144" t="str">
        <f>IF(F36="","","Pts")</f>
        <v/>
      </c>
      <c r="F36" s="880" t="str">
        <f>IF(PD!$AO$4=2,"",IF(AND(COUNT(PD!$A$6:$A$11)&gt;2,PD!$CF35="P"),PD!$CG35,""))</f>
        <v/>
      </c>
      <c r="G36" s="880"/>
      <c r="H36" s="144" t="str">
        <f>IF(F36="","","Rep.")</f>
        <v/>
      </c>
      <c r="I36" s="144"/>
      <c r="J36" s="144" t="str">
        <f>IF(K36="","","Pts")</f>
        <v/>
      </c>
      <c r="K36" s="880" t="str">
        <f>IF(PD!$AO$4=2,"",IF(AND(COUNT(PD!$A$6:$A$11)&gt;2,PD!$CF34="P"),PD!$CG34,""))</f>
        <v/>
      </c>
      <c r="L36" s="880"/>
      <c r="M36" s="144" t="str">
        <f>IF(K36="","","Rep.")</f>
        <v/>
      </c>
      <c r="N36" s="144"/>
      <c r="O36" s="144" t="str">
        <f>IF(P36="","","Pts")</f>
        <v/>
      </c>
      <c r="P36" s="880" t="str">
        <f>IF(PD!$AO$4=2,"",IF(AND(COUNT(PD!$A$6:$A$11)&gt;2,PD!$CF33="P"),PD!$CG33,""))</f>
        <v/>
      </c>
      <c r="Q36" s="880"/>
      <c r="R36" s="144" t="str">
        <f>IF(P36="","","Rep.")</f>
        <v/>
      </c>
      <c r="S36" s="144"/>
      <c r="T36" s="144" t="str">
        <f>IF(U36="","","Pts")</f>
        <v/>
      </c>
      <c r="U36" s="880" t="str">
        <f>IF(PD!$AO$4=2,"",IF(AND(COUNT(PD!$A$6:$A$11)&gt;2,PD!$CF32="P"),PD!$CG32,""))</f>
        <v/>
      </c>
      <c r="V36" s="880"/>
      <c r="W36" s="144" t="str">
        <f>IF(U36="","","Rep.")</f>
        <v/>
      </c>
      <c r="X36" s="144"/>
      <c r="Y36" s="144" t="str">
        <f>IF(Z36="","","Pts")</f>
        <v/>
      </c>
      <c r="Z36" s="880" t="str">
        <f>IF(PD!$AO$4=2,"",IF(AND(COUNT(PD!$A$6:$A$11)&gt;2,PD!$CF31="P"),PD!$CG31,""))</f>
        <v/>
      </c>
      <c r="AA36" s="880"/>
      <c r="AB36" s="144" t="str">
        <f>IF(Z36="","","Rep.")</f>
        <v/>
      </c>
      <c r="AC36" s="32"/>
      <c r="AD36" s="885"/>
      <c r="AE36" s="885"/>
      <c r="AF36" s="885"/>
      <c r="AG36" s="885"/>
      <c r="AH36" s="32"/>
      <c r="AI36" s="32"/>
      <c r="AJ36" s="32"/>
      <c r="AK36" s="145" t="str">
        <f>IF(AL36="","","PM")</f>
        <v/>
      </c>
      <c r="AL36" s="881" t="str" cm="1">
        <f t="array" ref="AL36">IF(SUM(PD!$Q$6:$Q$11)=0,"",IF(PD!$AO$4&gt;2,IF(_xlfn.XLOOKUP('T PD'!C37,"Licence n° "&amp;PD!$B$6:$B$11,PD!$AO$6:$AO$11,"",0,1)=1,"Forfait",_xlfn.XLOOKUP('T PD'!C37,"Licence n° "&amp;PD!$B$37:$B$42,PD!$Q$37:$Q$42,"",0,1)),""))</f>
        <v/>
      </c>
      <c r="AM36" s="881"/>
      <c r="AN36" s="145" t="str">
        <f>IF(AL36="","","MGP")</f>
        <v/>
      </c>
      <c r="AO36" s="32"/>
      <c r="AP36" s="151" t="str">
        <f>IF(AND(COUNT(PD!$A$6:$A$11)&gt;5,PD!$AO$4&gt;2,LEFT(PD!$F$13)="P"),"Pts Rk","")</f>
        <v/>
      </c>
      <c r="AQ36" s="32"/>
      <c r="AS36" s="832"/>
      <c r="AT36" s="32"/>
    </row>
    <row r="37" spans="1:46" ht="12.6" customHeight="1" x14ac:dyDescent="0.25">
      <c r="A37" s="32"/>
      <c r="B37" s="32"/>
      <c r="C37" s="147" t="str">
        <f>IF(PD!AO4=2,"",IF(COUNT(PD!A6:A11)&gt;5,"Licence n° "&amp;PD!B11," "))</f>
        <v/>
      </c>
      <c r="D37" s="32"/>
      <c r="E37" s="144" t="str">
        <f>IF(F36="","","Moy.")</f>
        <v/>
      </c>
      <c r="F37" s="880"/>
      <c r="G37" s="880"/>
      <c r="H37" s="144" t="str">
        <f>IF(F36="","","MS")</f>
        <v/>
      </c>
      <c r="I37" s="144"/>
      <c r="J37" s="144" t="str">
        <f>IF(K36="","","Moy.")</f>
        <v/>
      </c>
      <c r="K37" s="880"/>
      <c r="L37" s="880"/>
      <c r="M37" s="144" t="str">
        <f>IF(K36="","","MS")</f>
        <v/>
      </c>
      <c r="N37" s="144"/>
      <c r="O37" s="144" t="str">
        <f>IF(P36="","","Moy.")</f>
        <v/>
      </c>
      <c r="P37" s="880"/>
      <c r="Q37" s="880"/>
      <c r="R37" s="144" t="str">
        <f>IF(P36="","","MS")</f>
        <v/>
      </c>
      <c r="S37" s="144"/>
      <c r="T37" s="144" t="str">
        <f>IF(U36="","","Moy.")</f>
        <v/>
      </c>
      <c r="U37" s="880"/>
      <c r="V37" s="880"/>
      <c r="W37" s="144" t="str">
        <f>IF(U36="","","MS")</f>
        <v/>
      </c>
      <c r="X37" s="144"/>
      <c r="Y37" s="144" t="str">
        <f>IF(Z36="","","Moy.")</f>
        <v/>
      </c>
      <c r="Z37" s="880"/>
      <c r="AA37" s="880"/>
      <c r="AB37" s="144" t="str">
        <f>IF(Z36="","","MS")</f>
        <v/>
      </c>
      <c r="AC37" s="32"/>
      <c r="AD37" s="885"/>
      <c r="AE37" s="885"/>
      <c r="AF37" s="885"/>
      <c r="AG37" s="885"/>
      <c r="AH37" s="32"/>
      <c r="AI37" s="32"/>
      <c r="AJ37" s="32"/>
      <c r="AK37" s="145" t="str">
        <f>IF(AL36="","","Mpart.")</f>
        <v/>
      </c>
      <c r="AL37" s="881"/>
      <c r="AM37" s="881"/>
      <c r="AN37" s="145" t="str">
        <f>IF(AL36="","","MS")</f>
        <v/>
      </c>
      <c r="AO37" s="32"/>
      <c r="AP37" s="148" t="str">
        <f>IF(AND(COUNT(PD!$A$6:$A$11)&gt;5,PD!$AO$4&gt;2,LEFT(PD!$F$13)="P"),"Bonus","")</f>
        <v/>
      </c>
      <c r="AQ37" s="32"/>
      <c r="AS37" s="833" t="s">
        <v>8125</v>
      </c>
      <c r="AT37" s="32"/>
    </row>
    <row r="38" spans="1:46" ht="50.1" customHeight="1" thickBot="1" x14ac:dyDescent="0.3">
      <c r="A38" s="32"/>
      <c r="B38" s="32"/>
      <c r="C38" s="149" t="str">
        <f>IF(PD!AO4=2,"",IF(COUNT(PD!A6:A11)&gt;5,PD!G11," "))</f>
        <v/>
      </c>
      <c r="D38" s="32"/>
      <c r="E38" s="883" t="str">
        <f>IF(F36="","",IF(F36&gt;0,E35/G35,"/"))</f>
        <v/>
      </c>
      <c r="F38" s="883"/>
      <c r="G38" s="884" t="str">
        <f>IF(PD!$AO$4=2,"",IF(AND(COUNT(PD!$A$6:$A$11)&gt;2,PD!$CF35="P"),PD!$CD35,""))</f>
        <v/>
      </c>
      <c r="H38" s="884"/>
      <c r="I38" s="32"/>
      <c r="J38" s="883" t="str">
        <f>IF(K36="","",IF(K36&gt;0,J35/L35,"/"))</f>
        <v/>
      </c>
      <c r="K38" s="883"/>
      <c r="L38" s="884" t="str">
        <f>IF(PD!$AO$4=2,"",IF(AND(COUNT(PD!$A$6:$A$11)&gt;2,PD!$CF34="P"),PD!$CD34,""))</f>
        <v/>
      </c>
      <c r="M38" s="884"/>
      <c r="N38" s="32"/>
      <c r="O38" s="883" t="str">
        <f>IF(P36="","",IF(P36&gt;0,O35/Q35,"/"))</f>
        <v/>
      </c>
      <c r="P38" s="883"/>
      <c r="Q38" s="884" t="str">
        <f>IF(PD!$AO$4=2,"",IF(AND(COUNT(PD!$A$6:$A$11)&gt;2,PD!$CF33="P"),PD!$CD33,""))</f>
        <v/>
      </c>
      <c r="R38" s="884"/>
      <c r="S38" s="32"/>
      <c r="T38" s="883" t="str">
        <f>IF(U36="","",IF(U36&gt;0,T35/V35,"/"))</f>
        <v/>
      </c>
      <c r="U38" s="883"/>
      <c r="V38" s="884" t="str">
        <f>IF(PD!$AO$4=2,"",IF(AND(COUNT(PD!$A$6:$A$11)&gt;2,PD!$CF32="P"),PD!$CD32,""))</f>
        <v/>
      </c>
      <c r="W38" s="884"/>
      <c r="X38" s="32"/>
      <c r="Y38" s="883" t="str">
        <f>IF(Z36="","",IF(Z36&gt;0,Y35/AA35,"/"))</f>
        <v/>
      </c>
      <c r="Z38" s="883"/>
      <c r="AA38" s="884" t="str">
        <f>IF(PD!$AO$4=2,"",IF(AND(COUNT(PD!$A$6:$A$11)&gt;2,PD!$CF31="P"),PD!$CD31,""))</f>
        <v/>
      </c>
      <c r="AB38" s="884"/>
      <c r="AC38" s="32"/>
      <c r="AD38" s="885"/>
      <c r="AE38" s="885"/>
      <c r="AF38" s="885"/>
      <c r="AG38" s="885"/>
      <c r="AH38" s="32"/>
      <c r="AI38" s="32"/>
      <c r="AJ38" s="32"/>
      <c r="AK38" s="883" t="str" cm="1">
        <f t="array" ref="AK38">IF(PD!$AO$4&lt;3,"",IF(_xlfn.XLOOKUP('T PD'!C37,"Licence n° "&amp;PD!$B$6:$B$11,PD!$AO$6:$AO$11,"",0,1)=1,"",_xlfn.XLOOKUP('T PD'!C37,"Licence n° "&amp;PD!$B$6:$B$11,PD!$U$6:$U$11,"",0,1)))</f>
        <v/>
      </c>
      <c r="AL38" s="883"/>
      <c r="AM38" s="884" t="str" cm="1">
        <f t="array" ref="AM38">IF(PD!$AO$4&lt;3,"",IF(_xlfn.XLOOKUP('T PD'!C37,"Licence n° "&amp;PD!$B$6:$B$11,PD!$AO$6:$AO$11,"",0,1)=1,"",_xlfn.XLOOKUP('T PD'!C37,"Licence n° "&amp;PD!$B$6:$B$11,PD!$S$6:$S$11,"",0,1)))</f>
        <v/>
      </c>
      <c r="AN38" s="884"/>
      <c r="AO38" s="32"/>
      <c r="AP38" s="562" t="str" cm="1">
        <f t="array" ref="AP38">_xlfn.XLOOKUP(C37,"Licence n° "&amp;PD!$B$6:$B$11,PD!$X$6:$X$11,"",0,1)</f>
        <v/>
      </c>
      <c r="AQ38" s="32"/>
      <c r="AS38" s="834"/>
      <c r="AT38" s="32"/>
    </row>
    <row r="39" spans="1:46" ht="0.9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S39" s="32"/>
      <c r="AT39" s="32"/>
    </row>
    <row r="40" spans="1:46" ht="5.0999999999999996" customHeight="1" x14ac:dyDescent="0.25"/>
  </sheetData>
  <sheetProtection algorithmName="SHA-512" hashValue="9AGWU8yHYGY0834KcFrFMnfGNMX5AkUUcBubJxwtfqr5XZu5jwgHqoCHu4fMmLpbyJ/43aij4bbyA4FrKNeRQA==" saltValue="Hzcc1HYJ4Pd78Pf4C7576Q==" spinCount="100000" sheet="1" objects="1" scenarios="1"/>
  <mergeCells count="219">
    <mergeCell ref="J38:K38"/>
    <mergeCell ref="L38:M38"/>
    <mergeCell ref="O38:P38"/>
    <mergeCell ref="AM33:AN33"/>
    <mergeCell ref="E35:F35"/>
    <mergeCell ref="G35:H35"/>
    <mergeCell ref="J35:K35"/>
    <mergeCell ref="L35:M35"/>
    <mergeCell ref="O35:P35"/>
    <mergeCell ref="Q35:R35"/>
    <mergeCell ref="AS35:AS36"/>
    <mergeCell ref="F36:G37"/>
    <mergeCell ref="K36:L37"/>
    <mergeCell ref="P36:Q37"/>
    <mergeCell ref="U36:V37"/>
    <mergeCell ref="Z36:AA37"/>
    <mergeCell ref="AL36:AM37"/>
    <mergeCell ref="AS37:AS38"/>
    <mergeCell ref="E38:F38"/>
    <mergeCell ref="T35:U35"/>
    <mergeCell ref="V35:W35"/>
    <mergeCell ref="Y35:Z35"/>
    <mergeCell ref="AA35:AB35"/>
    <mergeCell ref="AD35:AG38"/>
    <mergeCell ref="AK35:AL35"/>
    <mergeCell ref="V38:W38"/>
    <mergeCell ref="Y38:Z38"/>
    <mergeCell ref="Q38:R38"/>
    <mergeCell ref="T38:U38"/>
    <mergeCell ref="AM35:AN35"/>
    <mergeCell ref="AA38:AB38"/>
    <mergeCell ref="AK38:AL38"/>
    <mergeCell ref="AM38:AN38"/>
    <mergeCell ref="G38:H38"/>
    <mergeCell ref="AM30:AN30"/>
    <mergeCell ref="AS30:AS31"/>
    <mergeCell ref="F31:G32"/>
    <mergeCell ref="K31:L32"/>
    <mergeCell ref="P31:Q32"/>
    <mergeCell ref="U31:V32"/>
    <mergeCell ref="AE31:AF32"/>
    <mergeCell ref="AL31:AM32"/>
    <mergeCell ref="AS32:AS33"/>
    <mergeCell ref="E33:F33"/>
    <mergeCell ref="G33:H33"/>
    <mergeCell ref="J33:K33"/>
    <mergeCell ref="L33:M33"/>
    <mergeCell ref="O33:P33"/>
    <mergeCell ref="Q33:R33"/>
    <mergeCell ref="T33:U33"/>
    <mergeCell ref="V33:W33"/>
    <mergeCell ref="E30:F30"/>
    <mergeCell ref="AD33:AE33"/>
    <mergeCell ref="AF33:AG33"/>
    <mergeCell ref="AK33:AL33"/>
    <mergeCell ref="G28:H28"/>
    <mergeCell ref="J28:K28"/>
    <mergeCell ref="L28:M28"/>
    <mergeCell ref="O28:P28"/>
    <mergeCell ref="Q28:R28"/>
    <mergeCell ref="Y28:Z28"/>
    <mergeCell ref="AD30:AE30"/>
    <mergeCell ref="AF30:AG30"/>
    <mergeCell ref="AK30:AL30"/>
    <mergeCell ref="G30:H30"/>
    <mergeCell ref="J30:K30"/>
    <mergeCell ref="L30:M30"/>
    <mergeCell ref="O30:P30"/>
    <mergeCell ref="Q30:R30"/>
    <mergeCell ref="T30:U30"/>
    <mergeCell ref="V30:W30"/>
    <mergeCell ref="Y30:AB33"/>
    <mergeCell ref="AS25:AS26"/>
    <mergeCell ref="F26:G27"/>
    <mergeCell ref="K26:L27"/>
    <mergeCell ref="P26:Q27"/>
    <mergeCell ref="Z26:AA27"/>
    <mergeCell ref="AE26:AF27"/>
    <mergeCell ref="AL26:AM27"/>
    <mergeCell ref="AS27:AS28"/>
    <mergeCell ref="E28:F28"/>
    <mergeCell ref="T25:W28"/>
    <mergeCell ref="Y25:Z25"/>
    <mergeCell ref="AA25:AB25"/>
    <mergeCell ref="AD25:AE25"/>
    <mergeCell ref="AF25:AG25"/>
    <mergeCell ref="AK25:AL25"/>
    <mergeCell ref="AA28:AB28"/>
    <mergeCell ref="AD28:AE28"/>
    <mergeCell ref="AF28:AG28"/>
    <mergeCell ref="AK28:AL28"/>
    <mergeCell ref="E25:F25"/>
    <mergeCell ref="G25:H25"/>
    <mergeCell ref="J25:K25"/>
    <mergeCell ref="L25:M25"/>
    <mergeCell ref="AM28:AN28"/>
    <mergeCell ref="O25:P25"/>
    <mergeCell ref="Q25:R25"/>
    <mergeCell ref="Y23:Z23"/>
    <mergeCell ref="AA23:AB23"/>
    <mergeCell ref="AD23:AE23"/>
    <mergeCell ref="AF23:AG23"/>
    <mergeCell ref="AK23:AL23"/>
    <mergeCell ref="AM23:AN23"/>
    <mergeCell ref="E23:F23"/>
    <mergeCell ref="G23:H23"/>
    <mergeCell ref="J23:K23"/>
    <mergeCell ref="L23:M23"/>
    <mergeCell ref="T23:U23"/>
    <mergeCell ref="V23:W23"/>
    <mergeCell ref="AM25:AN25"/>
    <mergeCell ref="AS20:AS21"/>
    <mergeCell ref="F21:G22"/>
    <mergeCell ref="K21:L22"/>
    <mergeCell ref="U21:V22"/>
    <mergeCell ref="Z21:AA22"/>
    <mergeCell ref="AE21:AF22"/>
    <mergeCell ref="AL21:AM22"/>
    <mergeCell ref="AS22:AS23"/>
    <mergeCell ref="T20:U20"/>
    <mergeCell ref="V20:W20"/>
    <mergeCell ref="Y20:Z20"/>
    <mergeCell ref="AA20:AB20"/>
    <mergeCell ref="AD20:AE20"/>
    <mergeCell ref="AF20:AG20"/>
    <mergeCell ref="AD18:AE18"/>
    <mergeCell ref="AF18:AG18"/>
    <mergeCell ref="AK18:AL18"/>
    <mergeCell ref="AM18:AN18"/>
    <mergeCell ref="E20:F20"/>
    <mergeCell ref="G20:H20"/>
    <mergeCell ref="J20:K20"/>
    <mergeCell ref="L20:M20"/>
    <mergeCell ref="O20:R23"/>
    <mergeCell ref="G18:H18"/>
    <mergeCell ref="O18:P18"/>
    <mergeCell ref="Q18:R18"/>
    <mergeCell ref="T18:U18"/>
    <mergeCell ref="V18:W18"/>
    <mergeCell ref="Y18:Z18"/>
    <mergeCell ref="AK20:AL20"/>
    <mergeCell ref="AM20:AN20"/>
    <mergeCell ref="AM13:AN13"/>
    <mergeCell ref="E15:F15"/>
    <mergeCell ref="G15:H15"/>
    <mergeCell ref="J15:M18"/>
    <mergeCell ref="O15:P15"/>
    <mergeCell ref="Q15:R15"/>
    <mergeCell ref="T15:U15"/>
    <mergeCell ref="AM15:AN15"/>
    <mergeCell ref="AS15:AS16"/>
    <mergeCell ref="F16:G17"/>
    <mergeCell ref="P16:Q17"/>
    <mergeCell ref="U16:V17"/>
    <mergeCell ref="Z16:AA17"/>
    <mergeCell ref="AE16:AF17"/>
    <mergeCell ref="AL16:AM17"/>
    <mergeCell ref="AS17:AS18"/>
    <mergeCell ref="E18:F18"/>
    <mergeCell ref="V15:W15"/>
    <mergeCell ref="Y15:Z15"/>
    <mergeCell ref="AA15:AB15"/>
    <mergeCell ref="AD15:AE15"/>
    <mergeCell ref="AF15:AG15"/>
    <mergeCell ref="AK15:AL15"/>
    <mergeCell ref="AA18:AB18"/>
    <mergeCell ref="O13:P13"/>
    <mergeCell ref="Q13:R13"/>
    <mergeCell ref="T13:U13"/>
    <mergeCell ref="V13:W13"/>
    <mergeCell ref="Y13:Z13"/>
    <mergeCell ref="AA13:AB13"/>
    <mergeCell ref="AD13:AE13"/>
    <mergeCell ref="AF13:AG13"/>
    <mergeCell ref="AK13:AL13"/>
    <mergeCell ref="AV9:AV11"/>
    <mergeCell ref="E10:H13"/>
    <mergeCell ref="J10:K10"/>
    <mergeCell ref="L10:M10"/>
    <mergeCell ref="O10:P10"/>
    <mergeCell ref="Q10:R10"/>
    <mergeCell ref="T10:U10"/>
    <mergeCell ref="V10:W10"/>
    <mergeCell ref="Y10:Z10"/>
    <mergeCell ref="AA10:AB10"/>
    <mergeCell ref="AD10:AE10"/>
    <mergeCell ref="AF10:AG10"/>
    <mergeCell ref="AK10:AL10"/>
    <mergeCell ref="AM10:AN10"/>
    <mergeCell ref="AS10:AS11"/>
    <mergeCell ref="K11:L12"/>
    <mergeCell ref="P11:Q12"/>
    <mergeCell ref="U11:V12"/>
    <mergeCell ref="Z11:AA12"/>
    <mergeCell ref="AE11:AF12"/>
    <mergeCell ref="AL11:AM12"/>
    <mergeCell ref="AS12:AS13"/>
    <mergeCell ref="J13:K13"/>
    <mergeCell ref="L13:M13"/>
    <mergeCell ref="AS5:AS8"/>
    <mergeCell ref="AV5:AV6"/>
    <mergeCell ref="E8:H8"/>
    <mergeCell ref="J8:M8"/>
    <mergeCell ref="O8:R8"/>
    <mergeCell ref="T8:W8"/>
    <mergeCell ref="Y8:AB8"/>
    <mergeCell ref="AD8:AG8"/>
    <mergeCell ref="AK8:AN8"/>
    <mergeCell ref="B1:H1"/>
    <mergeCell ref="I1:AF3"/>
    <mergeCell ref="AG1:AQ3"/>
    <mergeCell ref="B2:H2"/>
    <mergeCell ref="B3:H3"/>
    <mergeCell ref="B5:F5"/>
    <mergeCell ref="G5:N5"/>
    <mergeCell ref="O5:U5"/>
    <mergeCell ref="V5:AC5"/>
    <mergeCell ref="AD5:AI5"/>
    <mergeCell ref="AJ5:AQ5"/>
  </mergeCells>
  <conditionalFormatting sqref="F16">
    <cfRule type="expression" dxfId="1578" priority="130">
      <formula>F16=0</formula>
    </cfRule>
    <cfRule type="expression" dxfId="1577" priority="129">
      <formula>F16=1</formula>
    </cfRule>
    <cfRule type="expression" dxfId="1576" priority="128">
      <formula>F16=2</formula>
    </cfRule>
  </conditionalFormatting>
  <conditionalFormatting sqref="F21">
    <cfRule type="expression" dxfId="1575" priority="113">
      <formula>F21=2</formula>
    </cfRule>
    <cfRule type="expression" dxfId="1574" priority="114">
      <formula>F21=1</formula>
    </cfRule>
    <cfRule type="expression" dxfId="1573" priority="115">
      <formula>F21=0</formula>
    </cfRule>
  </conditionalFormatting>
  <conditionalFormatting sqref="F26">
    <cfRule type="expression" dxfId="1572" priority="98">
      <formula>F26=2</formula>
    </cfRule>
    <cfRule type="expression" dxfId="1571" priority="99">
      <formula>F26=1</formula>
    </cfRule>
    <cfRule type="expression" dxfId="1570" priority="100">
      <formula>F26=0</formula>
    </cfRule>
  </conditionalFormatting>
  <conditionalFormatting sqref="F31">
    <cfRule type="expression" dxfId="1569" priority="83">
      <formula>F31=2</formula>
    </cfRule>
    <cfRule type="expression" dxfId="1568" priority="84">
      <formula>F31=1</formula>
    </cfRule>
    <cfRule type="expression" dxfId="1567" priority="85">
      <formula>F31=0</formula>
    </cfRule>
  </conditionalFormatting>
  <conditionalFormatting sqref="F36">
    <cfRule type="expression" dxfId="1566" priority="70">
      <formula>F36=0</formula>
    </cfRule>
    <cfRule type="expression" dxfId="1565" priority="69">
      <formula>F36=1</formula>
    </cfRule>
    <cfRule type="expression" dxfId="1564" priority="68">
      <formula>F36=2</formula>
    </cfRule>
  </conditionalFormatting>
  <conditionalFormatting sqref="J15:M18">
    <cfRule type="expression" dxfId="1555" priority="147">
      <formula>$J$15="MATCH 1"</formula>
    </cfRule>
  </conditionalFormatting>
  <conditionalFormatting sqref="K21">
    <cfRule type="expression" dxfId="1554" priority="110">
      <formula>K21=2</formula>
    </cfRule>
    <cfRule type="expression" dxfId="1553" priority="111">
      <formula>K21=1</formula>
    </cfRule>
    <cfRule type="expression" dxfId="1552" priority="112">
      <formula>K21=0</formula>
    </cfRule>
  </conditionalFormatting>
  <conditionalFormatting sqref="K26">
    <cfRule type="expression" dxfId="1551" priority="97">
      <formula>K26=0</formula>
    </cfRule>
    <cfRule type="expression" dxfId="1550" priority="96">
      <formula>K26=1</formula>
    </cfRule>
    <cfRule type="expression" dxfId="1549" priority="95">
      <formula>K26=2</formula>
    </cfRule>
  </conditionalFormatting>
  <conditionalFormatting sqref="K31">
    <cfRule type="expression" dxfId="1548" priority="82">
      <formula>K31=0</formula>
    </cfRule>
    <cfRule type="expression" dxfId="1547" priority="80">
      <formula>K31=2</formula>
    </cfRule>
    <cfRule type="expression" dxfId="1546" priority="81">
      <formula>K31=1</formula>
    </cfRule>
  </conditionalFormatting>
  <conditionalFormatting sqref="K36">
    <cfRule type="expression" dxfId="1545" priority="65">
      <formula>K36=2</formula>
    </cfRule>
    <cfRule type="expression" dxfId="1544" priority="66">
      <formula>K36=1</formula>
    </cfRule>
    <cfRule type="expression" dxfId="1543" priority="67">
      <formula>K36=0</formula>
    </cfRule>
  </conditionalFormatting>
  <conditionalFormatting sqref="K11:L12">
    <cfRule type="expression" dxfId="1542" priority="143">
      <formula>K11=2</formula>
    </cfRule>
    <cfRule type="expression" dxfId="1541" priority="144">
      <formula>K11=1</formula>
    </cfRule>
    <cfRule type="expression" dxfId="1540" priority="145">
      <formula>K11=0</formula>
    </cfRule>
  </conditionalFormatting>
  <conditionalFormatting sqref="O20:R23">
    <cfRule type="expression" dxfId="1533" priority="146">
      <formula>$O$20="MATCH 2"</formula>
    </cfRule>
  </conditionalFormatting>
  <conditionalFormatting sqref="P11">
    <cfRule type="expression" dxfId="1532" priority="140">
      <formula>P11=2</formula>
    </cfRule>
    <cfRule type="expression" dxfId="1531" priority="141">
      <formula>P11=1</formula>
    </cfRule>
    <cfRule type="expression" dxfId="1530" priority="142">
      <formula>P11=0</formula>
    </cfRule>
  </conditionalFormatting>
  <conditionalFormatting sqref="P16">
    <cfRule type="expression" dxfId="1529" priority="125">
      <formula>P16=2</formula>
    </cfRule>
    <cfRule type="expression" dxfId="1528" priority="127">
      <formula>P16=0</formula>
    </cfRule>
    <cfRule type="expression" dxfId="1527" priority="126">
      <formula>P16=1</formula>
    </cfRule>
  </conditionalFormatting>
  <conditionalFormatting sqref="P26">
    <cfRule type="expression" dxfId="1526" priority="93">
      <formula>P26=1</formula>
    </cfRule>
    <cfRule type="expression" dxfId="1525" priority="92">
      <formula>P26=2</formula>
    </cfRule>
    <cfRule type="expression" dxfId="1524" priority="94">
      <formula>P26=0</formula>
    </cfRule>
  </conditionalFormatting>
  <conditionalFormatting sqref="P31">
    <cfRule type="expression" dxfId="1523" priority="77">
      <formula>P31=2</formula>
    </cfRule>
    <cfRule type="expression" dxfId="1522" priority="78">
      <formula>P31=1</formula>
    </cfRule>
    <cfRule type="expression" dxfId="1521" priority="79">
      <formula>P31=0</formula>
    </cfRule>
  </conditionalFormatting>
  <conditionalFormatting sqref="P36">
    <cfRule type="expression" dxfId="1520" priority="64">
      <formula>P36=0</formula>
    </cfRule>
    <cfRule type="expression" dxfId="1519" priority="63">
      <formula>P36=1</formula>
    </cfRule>
    <cfRule type="expression" dxfId="1518" priority="62">
      <formula>P36=2</formula>
    </cfRule>
  </conditionalFormatting>
  <conditionalFormatting sqref="U11">
    <cfRule type="expression" dxfId="1517" priority="138">
      <formula>U11=1</formula>
    </cfRule>
    <cfRule type="expression" dxfId="1516" priority="139">
      <formula>U11=0</formula>
    </cfRule>
    <cfRule type="expression" dxfId="1515" priority="137">
      <formula>U11=2</formula>
    </cfRule>
  </conditionalFormatting>
  <conditionalFormatting sqref="U16">
    <cfRule type="expression" dxfId="1514" priority="123">
      <formula>U16=1</formula>
    </cfRule>
    <cfRule type="expression" dxfId="1513" priority="122">
      <formula>U16=2</formula>
    </cfRule>
    <cfRule type="expression" dxfId="1512" priority="124">
      <formula>U16=0</formula>
    </cfRule>
  </conditionalFormatting>
  <conditionalFormatting sqref="U21">
    <cfRule type="expression" dxfId="1511" priority="108">
      <formula>U21=1</formula>
    </cfRule>
    <cfRule type="expression" dxfId="1510" priority="109">
      <formula>U21=0</formula>
    </cfRule>
    <cfRule type="expression" dxfId="1509" priority="107">
      <formula>U21=2</formula>
    </cfRule>
  </conditionalFormatting>
  <conditionalFormatting sqref="U31">
    <cfRule type="expression" dxfId="1508" priority="76">
      <formula>U31=0</formula>
    </cfRule>
    <cfRule type="expression" dxfId="1507" priority="75">
      <formula>U31=1</formula>
    </cfRule>
    <cfRule type="expression" dxfId="1506" priority="74">
      <formula>U31=2</formula>
    </cfRule>
  </conditionalFormatting>
  <conditionalFormatting sqref="U36">
    <cfRule type="expression" dxfId="1505" priority="61">
      <formula>U36=0</formula>
    </cfRule>
    <cfRule type="expression" dxfId="1504" priority="60">
      <formula>U36=1</formula>
    </cfRule>
    <cfRule type="expression" dxfId="1503" priority="59">
      <formula>U36=2</formula>
    </cfRule>
  </conditionalFormatting>
  <conditionalFormatting sqref="Z11">
    <cfRule type="expression" dxfId="1502" priority="134">
      <formula>Z11=2</formula>
    </cfRule>
    <cfRule type="expression" dxfId="1501" priority="136">
      <formula>Z11=0</formula>
    </cfRule>
    <cfRule type="expression" dxfId="1500" priority="135">
      <formula>Z11=1</formula>
    </cfRule>
  </conditionalFormatting>
  <conditionalFormatting sqref="Z16">
    <cfRule type="expression" dxfId="1499" priority="119">
      <formula>Z16=2</formula>
    </cfRule>
    <cfRule type="expression" dxfId="1498" priority="120">
      <formula>Z16=1</formula>
    </cfRule>
    <cfRule type="expression" dxfId="1497" priority="121">
      <formula>Z16=0</formula>
    </cfRule>
  </conditionalFormatting>
  <conditionalFormatting sqref="Z21">
    <cfRule type="expression" dxfId="1496" priority="104">
      <formula>Z21=2</formula>
    </cfRule>
    <cfRule type="expression" dxfId="1495" priority="105">
      <formula>Z21=1</formula>
    </cfRule>
    <cfRule type="expression" dxfId="1494" priority="106">
      <formula>Z21=0</formula>
    </cfRule>
  </conditionalFormatting>
  <conditionalFormatting sqref="Z26">
    <cfRule type="expression" dxfId="1493" priority="89">
      <formula>Z26=2</formula>
    </cfRule>
    <cfRule type="expression" dxfId="1492" priority="90">
      <formula>Z26=1</formula>
    </cfRule>
    <cfRule type="expression" dxfId="1491" priority="91">
      <formula>Z26=0</formula>
    </cfRule>
  </conditionalFormatting>
  <conditionalFormatting sqref="Z36">
    <cfRule type="expression" dxfId="1490" priority="57">
      <formula>Z36=1</formula>
    </cfRule>
    <cfRule type="expression" dxfId="1489" priority="56">
      <formula>Z36=2</formula>
    </cfRule>
    <cfRule type="expression" dxfId="1488" priority="58">
      <formula>Z36=0</formula>
    </cfRule>
  </conditionalFormatting>
  <conditionalFormatting sqref="AE11">
    <cfRule type="expression" dxfId="1483" priority="133">
      <formula>AE11=0</formula>
    </cfRule>
    <cfRule type="expression" dxfId="1482" priority="132">
      <formula>AE11=1</formula>
    </cfRule>
    <cfRule type="expression" dxfId="1481" priority="131">
      <formula>AE11=2</formula>
    </cfRule>
  </conditionalFormatting>
  <conditionalFormatting sqref="AE16">
    <cfRule type="expression" dxfId="1480" priority="118">
      <formula>AE16=0</formula>
    </cfRule>
    <cfRule type="expression" dxfId="1479" priority="117">
      <formula>AE16=1</formula>
    </cfRule>
    <cfRule type="expression" dxfId="1478" priority="116">
      <formula>AE16=2</formula>
    </cfRule>
  </conditionalFormatting>
  <conditionalFormatting sqref="AE21">
    <cfRule type="expression" dxfId="1477" priority="101">
      <formula>AE21=2</formula>
    </cfRule>
    <cfRule type="expression" dxfId="1476" priority="103">
      <formula>AE21=0</formula>
    </cfRule>
    <cfRule type="expression" dxfId="1475" priority="102">
      <formula>AE21=1</formula>
    </cfRule>
  </conditionalFormatting>
  <conditionalFormatting sqref="AE26">
    <cfRule type="expression" dxfId="1474" priority="87">
      <formula>AE26=1</formula>
    </cfRule>
    <cfRule type="expression" dxfId="1473" priority="86">
      <formula>AE26=2</formula>
    </cfRule>
    <cfRule type="expression" dxfId="1472" priority="88">
      <formula>AE26=0</formula>
    </cfRule>
  </conditionalFormatting>
  <conditionalFormatting sqref="AE31">
    <cfRule type="expression" dxfId="1471" priority="72">
      <formula>AE31=1</formula>
    </cfRule>
    <cfRule type="expression" dxfId="1470" priority="73">
      <formula>AE31=0</formula>
    </cfRule>
    <cfRule type="expression" dxfId="1469" priority="71">
      <formula>AE31=2</formula>
    </cfRule>
  </conditionalFormatting>
  <hyperlinks>
    <hyperlink ref="AS2" location="'GESTION DES JOUEURS'!D4" display="GESTION DES JOUEURS" xr:uid="{52857B92-3CBA-4F50-89E1-309EED9CE95B}"/>
    <hyperlink ref="AS10:AS11" location="PA!N18" display="PA!N18" xr:uid="{9FA0E6A1-0BFB-4D97-B247-6971F64D5D16}"/>
    <hyperlink ref="AS12:AS13" location="PB!N18" display="Poule B" xr:uid="{308FACC4-EDB5-455A-830D-689D6BEDB5D8}"/>
    <hyperlink ref="AS15:AS16" location="PC!N18" display="Poule C" xr:uid="{382E1A22-8CE7-4730-8E24-D60ABD202743}"/>
    <hyperlink ref="AS17:AS18" location="PD!N18" display="Poule D" xr:uid="{BDDD1AB4-2C0A-4A7A-A945-C7280EA8344B}"/>
    <hyperlink ref="AS20:AS21" location="PE!N18" display="Poule E" xr:uid="{A1EB7511-958F-4516-94B4-206B537FCBD5}"/>
    <hyperlink ref="AS22:AS23" location="PF!N18" display="Poule F" xr:uid="{428FA250-DD9F-42BD-8134-CD7DE8AB6461}"/>
    <hyperlink ref="AS25:AS26" location="PG!N18" display="Poule G" xr:uid="{B19A3877-2AAD-4616-9B2F-592B17143CD9}"/>
    <hyperlink ref="AS27:AS28" location="PH!N18" display="Poule H" xr:uid="{47624F57-3F70-4A72-943B-6912B2E6C7A3}"/>
    <hyperlink ref="AS30:AS31" location="PI!N18" display="Poule I" xr:uid="{A29E060C-DC54-4D7C-B6F5-B8B626007316}"/>
    <hyperlink ref="AS32:AS33" location="PJ!N18" display="Poule J" xr:uid="{FD73C6CC-A5F5-4FEF-8F98-700E8B4C7E63}"/>
    <hyperlink ref="AS35:AS36" location="PK!N18" display="Poule K" xr:uid="{DD3860DE-A1E7-481B-BC95-ACCB86A85242}"/>
    <hyperlink ref="AS37:AS38" location="PL!N18" display="Poule L" xr:uid="{BBF50D89-AA3B-4B76-BAC3-BC284A1B1392}"/>
    <hyperlink ref="AV2" location="'Phase finale'!A1" display="Phase Finale" xr:uid="{F8035E7A-4987-4C85-BFB8-6812E1601589}"/>
    <hyperlink ref="AV9:AV11" location="RESULTATS!A1" display="RESULTATS" xr:uid="{0AA91AD2-4F7D-4768-A1E0-F63598AC0147}"/>
  </hyperlinks>
  <pageMargins left="0.70866141732283472" right="0.70866141732283472" top="0.74803149606299213" bottom="0.74803149606299213" header="0.31496062992125984" footer="0.31496062992125984"/>
  <pageSetup paperSize="9" scale="4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7809" id="{A36DDA88-078F-4BF4-8435-BF97D19BDDF3}">
            <xm:f>AND(COUNT(PD!$A$6:$A$11)=3,PD!$AO$4&gt;2)</xm:f>
            <x14:dxf>
              <fill>
                <patternFill>
                  <bgColor theme="1"/>
                </patternFill>
              </fill>
            </x14:dxf>
          </x14:cfRule>
          <xm:sqref>E7:H7 J7:M7 O7:R7 D7:D8 I7:I8 N7:N8 S7:S8 C9:S9 AK9:AN9 B9:B24 AJ9:AJ24 AO9:AO24 D10:D24 I10:I24 N10:N24 S10:S24 C14 E14:H14 J14:M14 O14:R14 AK14:AN14 C19 E19:H19 J19:M19 O19:R19 AK19:AN19 C24 E24:H24 J24:M24 O24:R24 AK24:AN24</xm:sqref>
        </x14:conditionalFormatting>
        <x14:conditionalFormatting xmlns:xm="http://schemas.microsoft.com/office/excel/2006/main">
          <x14:cfRule type="expression" priority="17840" id="{A0308EA2-FF9F-409E-91EA-4165C9DBB867}">
            <xm:f>AND(COUNT(PD!$A$6:$A$11)=4,PD!$AO$4&gt;2)</xm:f>
            <x14:dxf>
              <fill>
                <patternFill>
                  <bgColor theme="1"/>
                </patternFill>
              </fill>
            </x14:dxf>
          </x14:cfRule>
          <xm:sqref>E7:H7 J7:M7 O7:R7 T7:W7 D7:D8 I7:I8 N7:N8 S7:S8 X7:X8 B9:X9 AK9:AN9 AJ9:AJ29 AO9:AO29 I10:I28 B10:B29 D10:D29 N10:N29 S10:S29 X10:X29 C14 E14:H14 J14:M14 O14:R14 T14:W14 AK14:AN14 C19 E19:H19 J19:M19 O19:R19 T19:W19 AK19:AN19 C24 E24:H24 J24:M24 O24:R24 T24:W24 AK24:AN24 C29 E29:M29 O29:R29 T29:W29 AK29:AN29</xm:sqref>
        </x14:conditionalFormatting>
        <x14:conditionalFormatting xmlns:xm="http://schemas.microsoft.com/office/excel/2006/main">
          <x14:cfRule type="expression" priority="54" id="{102CD03B-C488-48B1-8FF0-F099AF39593B}">
            <xm:f>PD!$AO$4=2</xm:f>
            <x14:dxf>
              <fill>
                <patternFill>
                  <bgColor theme="1"/>
                </patternFill>
              </fill>
            </x14:dxf>
          </x14:cfRule>
          <xm:sqref>E7:H7 J7:M7 O7:R7 T7:W7 D7:D8 I7:I8 N7:N29 S7:S29 X7:X29 C9:M9 O9:R9 T9:W9 AK9:AN9 AJ9:AJ19 AO9:AO19 B9:B29 I10:I19 D10:D29 C14 E14:H14 J14:M14 AK14:AN14 C19 E19:H19 J19:M19 O19:R19 T19:W19 AK19:AN19 C24 E24:M24 O24:R24 T24:W24 C29 E29:M29 O29:R29 T29:W29</xm:sqref>
        </x14:conditionalFormatting>
        <x14:conditionalFormatting xmlns:xm="http://schemas.microsoft.com/office/excel/2006/main">
          <x14:cfRule type="expression" priority="17882" id="{366F2534-20EF-42D6-87A7-2FA0B0433EA8}">
            <xm:f>AND(COUNT(PD!$A$6:$A$11)=4,PD!$AO$4&gt;2)</xm:f>
            <x14:dxf>
              <border>
                <left style="thin">
                  <color auto="1"/>
                </left>
                <right style="thin">
                  <color auto="1"/>
                </right>
                <top style="thin">
                  <color auto="1"/>
                </top>
                <bottom style="thin">
                  <color auto="1"/>
                </bottom>
              </border>
            </x14:dxf>
          </x14:cfRule>
          <xm:sqref>E10:H13 J10:M13 O10:R13 T10:W13 AK10:AN13 E15:H18 J15:M18 O15:R18 T15:W18 AK15:AN18 E20:H23 J20:M23 O20:R23 T20:W23 AK20:AN23 E25:H28 J25:M28 O25:R28 T25:W28 AK25:AN28</xm:sqref>
        </x14:conditionalFormatting>
        <x14:conditionalFormatting xmlns:xm="http://schemas.microsoft.com/office/excel/2006/main">
          <x14:cfRule type="expression" priority="55" id="{E6D8EA37-1812-4F23-B46E-1D020B100EFF}">
            <xm:f>PD!$AO$4=2</xm:f>
            <x14:dxf>
              <border>
                <left style="thin">
                  <color auto="1"/>
                </left>
                <right style="thin">
                  <color auto="1"/>
                </right>
                <top style="thin">
                  <color auto="1"/>
                </top>
                <bottom style="thin">
                  <color auto="1"/>
                </bottom>
                <vertical/>
                <horizontal/>
              </border>
            </x14:dxf>
          </x14:cfRule>
          <xm:sqref>E10:H13 J10:M13 AK10:AN13 E15:H18 J15:M18 AK15:AN18 O20:R23 T20:W23 O25:R28 T25:W28</xm:sqref>
        </x14:conditionalFormatting>
        <x14:conditionalFormatting xmlns:xm="http://schemas.microsoft.com/office/excel/2006/main">
          <x14:cfRule type="expression" priority="17902" id="{86A1BB52-737A-463F-A0CB-38DE98CC3CD4}">
            <xm:f>AND(COUNT(PD!$A$6:$A$11)=5,PD!$AO$4&gt;2)</xm:f>
            <x14:dxf>
              <border>
                <left style="thin">
                  <color auto="1"/>
                </left>
                <right style="thin">
                  <color auto="1"/>
                </right>
                <top style="thin">
                  <color auto="1"/>
                </top>
                <bottom style="thin">
                  <color auto="1"/>
                </bottom>
                <vertical/>
                <horizontal/>
              </border>
            </x14:dxf>
          </x14:cfRule>
          <xm:sqref>E10:H13 J15:M18 O20:R23 T25:W28 Y30:AB33</xm:sqref>
        </x14:conditionalFormatting>
        <x14:conditionalFormatting xmlns:xm="http://schemas.microsoft.com/office/excel/2006/main">
          <x14:cfRule type="expression" priority="17907" id="{3CC50C9D-0C67-401C-B2BD-68256FC0ECB8}">
            <xm:f>AND(COUNT(PD!$A$6:$A$11)&gt;=5,PD!$AO$4&gt;2)</xm:f>
            <x14:dxf>
              <fill>
                <patternFill>
                  <bgColor theme="1"/>
                </patternFill>
              </fill>
            </x14:dxf>
          </x14:cfRule>
          <xm:sqref>E7:M7 O7:R7 T7:W7 Y7:AB7 D7:D8 N7:N8 S7:S8 X7:X8 AC7:AC8 I8 B9:AC9 AK9:AN9 AJ9:AJ34 AO9:AO34 D10:D33 B10:B34 I10:I34 N10:N34 S10:S34 X10:X34 AC10:AC34 C14 E14:H14 J14:M14 O14:R14 T14:W14 Y14:AB14 AK14:AN14 C19 E19:H19 J19:M19 O19:R19 T19:W19 Y19:AB19 AK19:AN19 C24 E24:H24 J24:M24 O24:R24 T24:W24 Y24:AB24 AK24:AN24 C29 E29:H29 J29:M29 O29:R29 T29:W29 Y29:AB29 AK29:AN29 C34:H34 J34:M34 O34:R34 T34:W34 Y34:AB34 AK34:AN34</xm:sqref>
        </x14:conditionalFormatting>
        <x14:conditionalFormatting xmlns:xm="http://schemas.microsoft.com/office/excel/2006/main">
          <x14:cfRule type="expression" priority="17962" id="{6B0C7F59-3A89-4930-B3DB-5CBDAE4AB3E1}">
            <xm:f>AND(COUNT(PD!$A$6:$A$11)&gt;=5,PD!$AO$4&gt;2)</xm:f>
            <x14:dxf>
              <border>
                <top/>
                <vertical/>
                <horizontal/>
              </border>
            </x14:dxf>
          </x14:cfRule>
          <xm:sqref>J11 M11 O11 R11 T11 W11 AK11 AN11 J13:M13 O13:R13 T13:W13 AK13:AN13 E16 H16 O16 R16 T16 W16 AK16 AN16 E18:H18 O18:R18 T18:W18 AK18:AN18 E21 H21 J21 M21 T21 W21 AK21 AN21 E23:H23 J23:M23 T23:W23 AK23:AN23 E26 H26 J26 M26 O26 R26 AK26 AN26 E28:H28 J28:M28 O28:R28 AK28:AN28 Y11 AB11 Y13:AB13 Y16 AB16 Y18:AB18 Y21 AB21 Y23:AB23 Y26 AB26 Y28:AB28 E31 H31 J31 M31 O31 R31 T31 W31 AK31 AN31 E33:H33 J33:M33 O33:R33 T33:W33 AK33:AN33</xm:sqref>
        </x14:conditionalFormatting>
        <x14:conditionalFormatting xmlns:xm="http://schemas.microsoft.com/office/excel/2006/main">
          <x14:cfRule type="expression" priority="18037" id="{FEDE14AC-DE7B-4D2C-8154-DBDBD604D433}">
            <xm:f>AND(COUNT(PD!$A$6:$A$11)=3,PD!$AO$4&gt;2)</xm:f>
            <x14:dxf>
              <border>
                <top/>
                <vertical/>
                <horizontal/>
              </border>
            </x14:dxf>
          </x14:cfRule>
          <xm:sqref>J11 M11 O11 R11 AK11 AN11 J13:M13 O13:R13 AK13:AN13 E16 H16 O16 R16 AK16 AN16 E18:H18 O18:R18 AK18:AN18 E21 H21 J21 M21 AK21 AN21 E23:H23 J23:M23 AK23:AN23</xm:sqref>
        </x14:conditionalFormatting>
        <x14:conditionalFormatting xmlns:xm="http://schemas.microsoft.com/office/excel/2006/main">
          <x14:cfRule type="expression" priority="18065" id="{887AF987-48BE-4A24-858D-9CCCE6F14B77}">
            <xm:f>PD!$AO$4=2</xm:f>
            <x14:dxf>
              <border>
                <top/>
                <vertical/>
                <horizontal/>
              </border>
            </x14:dxf>
          </x14:cfRule>
          <x14:cfRule type="expression" priority="18064" id="{5197CE43-FA6C-45AA-A3E0-0FB727A60668}">
            <xm:f>AND(COUNT(PD!$A$6:$A$11)=4,PD!$AO$4&gt;2)</xm:f>
            <x14:dxf>
              <border>
                <top/>
                <vertical/>
                <horizontal/>
              </border>
            </x14:dxf>
          </x14:cfRule>
          <xm:sqref>J11 M11 AK11 AN11 J13:M13 AK13:AN13 E16 H16 AK16 AN16 E18:H18 AK18:AN18 T21 W21 T23:W23 O26 R26 O28:R28</xm:sqref>
        </x14:conditionalFormatting>
        <x14:conditionalFormatting xmlns:xm="http://schemas.microsoft.com/office/excel/2006/main">
          <x14:cfRule type="expression" priority="18100" id="{7A36F84C-5CDB-4528-91A9-861231485582}">
            <xm:f>AND(COUNT(PD!$A$6:$A$11)&gt;=5,PD!$AO$4&gt;2)</xm:f>
            <x14:dxf>
              <border>
                <bottom/>
                <vertical/>
                <horizontal/>
              </border>
            </x14:dxf>
          </x14:cfRule>
          <xm:sqref>J10:M10 O10:R10 T10:W10 AK10:AN10 J12 M12 O12 R12 T12 W12 AK12 AN12 E15:H15 O15:R15 T15:W15 AK15:AN15 E17 H17 O17 R17 T17 W17 AK17 AN17 E20:H20 J20:M20 T20:W20 AK20:AN20 E22 H22 J22 M22 T22 W22 AK22 AN22 E25:H25 J25:M25 O25:R25 AK25:AN25 E27 H27 J27 M27 O27 R27 AK27 AN27 Y10:AB10 Y12 AB12 Y15:AB15 Y17 AB17 Y20:AB20 Y22 AB22 Y25:AB25 Y27 AB27 E30:H30 J30:M30 O30:R30 T30:W30 AK30:AN30 E32 H32 J32 M32 O32 R32 T32 W32 AK32 AN32</xm:sqref>
        </x14:conditionalFormatting>
        <x14:conditionalFormatting xmlns:xm="http://schemas.microsoft.com/office/excel/2006/main">
          <x14:cfRule type="expression" priority="18175" id="{06B8A034-CA6E-4AC4-B55A-22F944B6731C}">
            <xm:f>AND(COUNT(PD!$A$6:$A$11)=3,PD!$AO$4&gt;2)</xm:f>
            <x14:dxf>
              <border>
                <bottom/>
                <vertical/>
                <horizontal/>
              </border>
            </x14:dxf>
          </x14:cfRule>
          <xm:sqref>J10:M10 O10:R10 AK10:AN10 J12 M12 O12 R12 AK12 AN12 E15:H15 O15:R15 AK15:AN15 E17 H17 O17 R17 AK17 AN17 E20:H20 J20:M20 AK20:AN20 E22 H22 J22 M22 AK22 AN22</xm:sqref>
        </x14:conditionalFormatting>
        <x14:conditionalFormatting xmlns:xm="http://schemas.microsoft.com/office/excel/2006/main">
          <x14:cfRule type="expression" priority="18202" id="{FC000F6B-5D77-4B8E-B0A3-F91709E051FE}">
            <xm:f>AND(COUNT(PD!$A$6:$A$11)=4,PD!$AO$4&gt;2)</xm:f>
            <x14:dxf>
              <border>
                <bottom/>
                <vertical/>
                <horizontal/>
              </border>
            </x14:dxf>
          </x14:cfRule>
          <x14:cfRule type="expression" priority="18203" id="{19E3484D-0BD4-4199-AABE-0C247880C8C1}">
            <xm:f>PD!$AO$4=2</xm:f>
            <x14:dxf>
              <border>
                <bottom/>
                <vertical/>
                <horizontal/>
              </border>
            </x14:dxf>
          </x14:cfRule>
          <xm:sqref>J10:M10 AK10:AN10 J12 M12 AK12 AN12 E15:H15 AK15:AN15 E17 H17 AK17 AN17 T20:W20 T22 W22 O25:R25 O27 R27</xm:sqref>
        </x14:conditionalFormatting>
        <x14:conditionalFormatting xmlns:xm="http://schemas.microsoft.com/office/excel/2006/main">
          <x14:cfRule type="expression" priority="18238" id="{9FC9CADD-B270-487A-B859-7E6D134013E4}">
            <xm:f>AND(COUNT(PD!$A$6:$A$11)=4,PD!$AO$4&gt;2)</xm:f>
            <x14:dxf>
              <border>
                <top/>
                <vertical/>
                <horizontal/>
              </border>
            </x14:dxf>
          </x14:cfRule>
          <xm:sqref>O11 R11 T11 W11 O13:R13 T13:W13 O16 R16 T16 W16 O18:R18 T18:W18 E21 H21 J21 M21 AK21 AN21 E23:H23 J23:M23 AK23:AN23 E26 H26 J26 M26 AK26 AN26 E28:H28 J28:M28 AK28:AN28</xm:sqref>
        </x14:conditionalFormatting>
        <x14:conditionalFormatting xmlns:xm="http://schemas.microsoft.com/office/excel/2006/main">
          <x14:cfRule type="expression" priority="18268" id="{9F4DC286-9470-44C3-B90A-FD100ED0DEE0}">
            <xm:f>PD!$AO$4=2</xm:f>
            <x14:dxf>
              <border>
                <bottom/>
                <vertical/>
                <horizontal/>
              </border>
            </x14:dxf>
          </x14:cfRule>
          <x14:cfRule type="expression" priority="18269" id="{EB4270B3-D069-44A6-B35E-47D52D55BC4F}">
            <xm:f>AND(COUNT(PD!$A$6:$A$11)=4,PD!$AO$4&gt;2)</xm:f>
            <x14:dxf>
              <border>
                <left style="thin">
                  <color auto="1"/>
                </left>
                <right style="thin">
                  <color auto="1"/>
                </right>
                <top style="thin">
                  <color auto="1"/>
                </top>
                <bottom style="thin">
                  <color auto="1"/>
                </bottom>
                <vertical/>
                <horizontal/>
              </border>
            </x14:dxf>
          </x14:cfRule>
          <xm:sqref>O10:P10</xm:sqref>
        </x14:conditionalFormatting>
        <x14:conditionalFormatting xmlns:xm="http://schemas.microsoft.com/office/excel/2006/main">
          <x14:cfRule type="expression" priority="18270" id="{2CDC34B7-7FCA-4940-82A9-5404F2701554}">
            <xm:f>AND(COUNT(PD!$A$6:$A$11)=4,PD!$AO$4&gt;2)</xm:f>
            <x14:dxf>
              <border>
                <bottom/>
                <vertical/>
                <horizontal/>
              </border>
            </x14:dxf>
          </x14:cfRule>
          <xm:sqref>O10:R10 T10:W10 O12 R12 T12 W12 O15:R15 T15:W15 O17 R17 T17 W17 E20:H20 J20:M20 AK20:AN20 E22 H22 J22 M22 AK22 AN22 E25:H25 J25:M25 AK25:AN25 E27 H27 J27 M27 AK27 AN27</xm:sqref>
        </x14:conditionalFormatting>
        <x14:conditionalFormatting xmlns:xm="http://schemas.microsoft.com/office/excel/2006/main">
          <x14:cfRule type="expression" priority="18300" id="{DEE22195-DF08-4959-BF68-82D6C204FBD3}">
            <xm:f>AND(COUNT(PD!$A$6:$A$11)=3,PD!$AO$4&gt;2)</xm:f>
            <x14:dxf>
              <border>
                <left style="thin">
                  <color auto="1"/>
                </left>
                <right style="thin">
                  <color auto="1"/>
                </right>
                <top style="thin">
                  <color auto="1"/>
                </top>
                <bottom style="thin">
                  <color auto="1"/>
                </bottom>
                <vertical/>
                <horizontal/>
              </border>
            </x14:dxf>
          </x14:cfRule>
          <xm:sqref>O10:R13 O15:R18 E20:H23 J20:M23 AK20:AN23 J10:M13 AK10:AN13 E15:H18 AK15:AN18 E10:H13 J15:M18 O20:R23</xm:sqref>
        </x14:conditionalFormatting>
        <x14:conditionalFormatting xmlns:xm="http://schemas.microsoft.com/office/excel/2006/main">
          <x14:cfRule type="expression" priority="18312" id="{6955170A-2AEF-4E0A-9D18-B2BCE0FD47B6}">
            <xm:f>AND(COUNT(PD!$A$6:$A$11)&gt;=5,PD!$AO$4&gt;2)</xm:f>
            <x14:dxf>
              <border>
                <left style="thin">
                  <color auto="1"/>
                </left>
                <right style="thin">
                  <color auto="1"/>
                </right>
                <top style="thin">
                  <color auto="1"/>
                </top>
                <bottom style="thin">
                  <color auto="1"/>
                </bottom>
                <vertical/>
                <horizontal/>
              </border>
            </x14:dxf>
          </x14:cfRule>
          <xm:sqref>O10:R13 T10:W13 O15:R18 T15:W18 E20:H23 J20:M23 AK20:AN23 E25:H28 J25:M28 AK25:AN28 J10:M13 AK10:AN13 E15:H18 AK15:AN18 T20:W23 O25:R28 Y10:AB13 Y15:AB18 Y20:AB23 Y25:AB28 E30:H33 J30:M33 O30:R33 T30:W33 AK30:AN33</xm:sqref>
        </x14:conditionalFormatting>
        <x14:conditionalFormatting xmlns:xm="http://schemas.microsoft.com/office/excel/2006/main">
          <x14:cfRule type="expression" priority="18337" id="{0C88A5B5-52F6-4A8A-8553-B220DDD5D00B}">
            <xm:f>AND(COUNT(PD!$A$6:$A$11)=6,PD!$AO$4&gt;2)</xm:f>
            <x14:dxf>
              <border>
                <top/>
                <vertical/>
                <horizontal/>
              </border>
            </x14:dxf>
          </x14:cfRule>
          <xm:sqref>AD11 AG11 AD13:AG13 AD16 AG16 AD18:AG18 AD21 AG21 AD23:AG23 AD26 AG26 AD28:AG28 AD31 AG31 AD33:AG33 E36 H36 J36 M36 O36 R36 T36 W36 Y36 AB36 AK36 AN36 E38:H38 J38:M38 O38:R38 T38:W38 Y38:AB38 AK38:AN38</xm:sqref>
        </x14:conditionalFormatting>
        <x14:conditionalFormatting xmlns:xm="http://schemas.microsoft.com/office/excel/2006/main">
          <x14:cfRule type="expression" priority="18370" id="{8B1E5D66-184A-49C0-B8F8-D53FFCFB5F37}">
            <xm:f>AND(COUNT(PD!$A$6:$A$11)=6,PD!$AO$4&gt;2)</xm:f>
            <x14:dxf>
              <fill>
                <patternFill>
                  <bgColor theme="1"/>
                </patternFill>
              </fill>
            </x14:dxf>
          </x14:cfRule>
          <xm:sqref>AD7:AG7 AH7:AH39 AD9:AG9 AD14:AG14 AD19:AG19 AD24:AG24 AD29:AG29 AD34:AG34 B35:B39 D35:D39 I35:I39 N35:N39 S35:S39 X35:X39 AC35:AC39 AJ35:AJ39 AO35:AO39 C39 E39:H39 J39:M39 O39:R39 T39:W39 Y39:AB39 AD39:AG39 AK39:AN39</xm:sqref>
        </x14:conditionalFormatting>
        <x14:conditionalFormatting xmlns:xm="http://schemas.microsoft.com/office/excel/2006/main">
          <x14:cfRule type="expression" priority="18395" id="{BD2BB9DB-7960-46B3-B65A-501634CF0362}">
            <xm:f>AND(COUNT(PD!$A$6:$A$11)=6,PD!$AO$4&gt;2)</xm:f>
            <x14:dxf>
              <border>
                <bottom/>
                <vertical/>
                <horizontal/>
              </border>
            </x14:dxf>
          </x14:cfRule>
          <xm:sqref>AD10:AG10 AD12 AG12 AD15:AG15 AD17 AG17 AD20:AG20 AD22 AG22 AD25:AG25 AD27 AG27 AD30:AG30 AD32 AG32 E35:H35 J35:M35 O35:R35 T35:W35 Y35:AB35 AK35:AN35 E37 H37 J37 M37 O37 R37 T37 W37 Y37 AB37 AK37 AN37</xm:sqref>
        </x14:conditionalFormatting>
        <x14:conditionalFormatting xmlns:xm="http://schemas.microsoft.com/office/excel/2006/main">
          <x14:cfRule type="expression" priority="18428" id="{465199BB-301C-43E3-969D-7220661B0450}">
            <xm:f>AND(COUNT(PD!$A$6:$A$11)=6,PD!$AO$4&gt;2)</xm:f>
            <x14:dxf>
              <border>
                <left style="thin">
                  <color auto="1"/>
                </left>
                <right style="thin">
                  <color auto="1"/>
                </right>
                <top style="thin">
                  <color auto="1"/>
                </top>
                <bottom style="thin">
                  <color auto="1"/>
                </bottom>
                <vertical/>
                <horizontal/>
              </border>
            </x14:dxf>
          </x14:cfRule>
          <xm:sqref>AD10:AG13 AD15:AG18 AD20:AG23 AD25:AG28 AD30:AG33 E35:H38 J35:M38 O35:R38 T35:W38 Y35:AB38 AK35:AN38 E10:H13 J15:M18 O20:R23 T25:W28 Y30:AB33 AD35:AG38</xm:sqref>
        </x14:conditionalFormatting>
        <x14:conditionalFormatting xmlns:xm="http://schemas.microsoft.com/office/excel/2006/main">
          <x14:cfRule type="expression" priority="18447" id="{6FA37862-6CEB-459B-B67F-A3FBFC820489}">
            <xm:f>AND(LEFT(PD!$F$13)="F",$AL$11=1,PD!$BU$5="X")</xm:f>
            <x14:dxf>
              <font>
                <color rgb="FF8E0000"/>
              </font>
              <fill>
                <patternFill>
                  <bgColor rgb="FFFBE93B"/>
                </patternFill>
              </fill>
            </x14:dxf>
          </x14:cfRule>
          <x14:cfRule type="expression" priority="18446" id="{05C4936C-0CCF-46F9-8AAE-5340D62D5628}">
            <xm:f>AND(LEFT(PD!$F$13)="F",$AL$11=2,PD!$BU$5="X")</xm:f>
            <x14:dxf>
              <font>
                <color rgb="FF8E0000"/>
              </font>
              <fill>
                <patternFill>
                  <bgColor theme="2"/>
                </patternFill>
              </fill>
            </x14:dxf>
          </x14:cfRule>
          <x14:cfRule type="expression" priority="18445" id="{C6B4ECAE-0E40-496D-A06D-4A8CB145AC45}">
            <xm:f>AND(LEFT(PD!$F$13)="F",$AL$11=3,PD!$BU$5="X")</xm:f>
            <x14:dxf>
              <font>
                <color rgb="FF8E0000"/>
              </font>
              <fill>
                <patternFill>
                  <bgColor rgb="FFFECF82"/>
                </patternFill>
              </fill>
            </x14:dxf>
          </x14:cfRule>
          <xm:sqref>AL11</xm:sqref>
        </x14:conditionalFormatting>
        <x14:conditionalFormatting xmlns:xm="http://schemas.microsoft.com/office/excel/2006/main">
          <x14:cfRule type="expression" priority="18449" id="{902C343A-E167-4FE0-961F-B2F0858AF0E3}">
            <xm:f>AND(LEFT(PD!$F$13)="F",$AL$16=2,PD!$BU$5="X")</xm:f>
            <x14:dxf>
              <font>
                <color rgb="FF8E0000"/>
              </font>
              <fill>
                <patternFill>
                  <bgColor theme="2"/>
                </patternFill>
              </fill>
            </x14:dxf>
          </x14:cfRule>
          <x14:cfRule type="expression" priority="18450" id="{28374A6A-5348-4424-A5F9-75ED5CB26E5F}">
            <xm:f>AND(LEFT(PD!$F$13)="F",$AL$16=1,PD!$BU$5="X")</xm:f>
            <x14:dxf>
              <font>
                <color rgb="FF8E0000"/>
              </font>
              <fill>
                <patternFill>
                  <bgColor rgb="FFFBE93B"/>
                </patternFill>
              </fill>
            </x14:dxf>
          </x14:cfRule>
          <x14:cfRule type="expression" priority="18448" id="{165EDE54-F161-4A8C-B596-2976B97614C1}">
            <xm:f>AND(LEFT(PD!$F$13)="F",$AL$16=3,PD!$BU$5="X")</xm:f>
            <x14:dxf>
              <font>
                <color rgb="FF8E0000"/>
              </font>
              <fill>
                <patternFill>
                  <bgColor rgb="FFFECF82"/>
                </patternFill>
              </fill>
            </x14:dxf>
          </x14:cfRule>
          <xm:sqref>AL16</xm:sqref>
        </x14:conditionalFormatting>
        <x14:conditionalFormatting xmlns:xm="http://schemas.microsoft.com/office/excel/2006/main">
          <x14:cfRule type="expression" priority="18451" id="{9CED2723-00FD-443C-9A2A-F619E8E4626D}">
            <xm:f>AND(LEFT(PD!$F$13)="F",$AL$21=3,PD!$BU$5="X")</xm:f>
            <x14:dxf>
              <font>
                <color rgb="FF8E0000"/>
              </font>
              <fill>
                <patternFill>
                  <bgColor rgb="FFFECF82"/>
                </patternFill>
              </fill>
            </x14:dxf>
          </x14:cfRule>
          <x14:cfRule type="expression" priority="18452" id="{C9857411-5DF2-4A70-8BAB-2C1B916498F0}">
            <xm:f>AND(LEFT(PD!$F$13)="F",$AL$21=2,PD!$BU$5="X")</xm:f>
            <x14:dxf>
              <font>
                <color rgb="FF8E0000"/>
              </font>
              <fill>
                <patternFill>
                  <bgColor theme="2"/>
                </patternFill>
              </fill>
            </x14:dxf>
          </x14:cfRule>
          <x14:cfRule type="expression" priority="18453" id="{089B5ECE-96C0-4EF2-ACC9-888A2620D03E}">
            <xm:f>AND(LEFT(PD!$F$13)="F",$AL$21=1,PD!$BU$5="X")</xm:f>
            <x14:dxf>
              <font>
                <color rgb="FF8E0000"/>
              </font>
              <fill>
                <patternFill>
                  <bgColor rgb="FFFBE93B"/>
                </patternFill>
              </fill>
            </x14:dxf>
          </x14:cfRule>
          <xm:sqref>AL21</xm:sqref>
        </x14:conditionalFormatting>
        <x14:conditionalFormatting xmlns:xm="http://schemas.microsoft.com/office/excel/2006/main">
          <x14:cfRule type="expression" priority="18456" id="{A9C00852-987E-494C-B62D-896F3A9618A8}">
            <xm:f>AND(LEFT(PD!$F$13)="F",$AL$26=1,PD!$BU$5="X")</xm:f>
            <x14:dxf>
              <font>
                <color rgb="FF8E0000"/>
              </font>
              <fill>
                <patternFill>
                  <bgColor rgb="FFFBE93B"/>
                </patternFill>
              </fill>
            </x14:dxf>
          </x14:cfRule>
          <x14:cfRule type="expression" priority="18455" id="{45E44EAC-07E2-417B-8970-2D82F87E87E5}">
            <xm:f>AND(LEFT(PD!$F$13)="F",$AL$26=2,PD!$BU$5="X")</xm:f>
            <x14:dxf>
              <font>
                <color rgb="FF8E0000"/>
              </font>
              <fill>
                <patternFill>
                  <bgColor theme="2"/>
                </patternFill>
              </fill>
            </x14:dxf>
          </x14:cfRule>
          <x14:cfRule type="expression" priority="18454" id="{2AF606EE-15D5-4FE0-BA0B-B81FAF084AB8}">
            <xm:f>AND(LEFT(PD!$F$13)="F",$AL$26=3,PD!$BU$5="X")</xm:f>
            <x14:dxf>
              <font>
                <color rgb="FF8E0000"/>
              </font>
              <fill>
                <patternFill>
                  <bgColor rgb="FFFECF82"/>
                </patternFill>
              </fill>
            </x14:dxf>
          </x14:cfRule>
          <xm:sqref>AL26</xm:sqref>
        </x14:conditionalFormatting>
        <x14:conditionalFormatting xmlns:xm="http://schemas.microsoft.com/office/excel/2006/main">
          <x14:cfRule type="expression" priority="18458" id="{3BCDAA71-C442-4352-BFBC-A14FD1223194}">
            <xm:f>AND(LEFT(PD!$F$13)="F",$AL$31=2,PD!$BU$5="X")</xm:f>
            <x14:dxf>
              <font>
                <color rgb="FF8E0000"/>
              </font>
              <fill>
                <patternFill>
                  <bgColor theme="2"/>
                </patternFill>
              </fill>
            </x14:dxf>
          </x14:cfRule>
          <x14:cfRule type="expression" priority="18457" id="{236CF1B8-C208-49A3-8687-FCB6125D9552}">
            <xm:f>AND(LEFT(PD!$F$13)="F",$AL$31=3,PD!$BU$5="X")</xm:f>
            <x14:dxf>
              <font>
                <color rgb="FF8E0000"/>
              </font>
              <fill>
                <patternFill>
                  <bgColor rgb="FFFECF82"/>
                </patternFill>
              </fill>
            </x14:dxf>
          </x14:cfRule>
          <x14:cfRule type="expression" priority="18459" id="{7C3E107B-B9E8-49E2-9C9E-8ABBF4CF3324}">
            <xm:f>AND(LEFT(PD!$F$13)="F",$AL$31=1,PD!$BU$5="X")</xm:f>
            <x14:dxf>
              <font>
                <color rgb="FF8E0000"/>
              </font>
              <fill>
                <patternFill>
                  <bgColor rgb="FFFBE93B"/>
                </patternFill>
              </fill>
            </x14:dxf>
          </x14:cfRule>
          <xm:sqref>AL31</xm:sqref>
        </x14:conditionalFormatting>
        <x14:conditionalFormatting xmlns:xm="http://schemas.microsoft.com/office/excel/2006/main">
          <x14:cfRule type="expression" priority="18460" id="{00DB8B63-2E13-4B8A-90E2-1C57C929FA22}">
            <xm:f>AND(LEFT(PD!$F$13)="F",$AL$36=3,PD!$BU$5="X")</xm:f>
            <x14:dxf>
              <font>
                <color rgb="FF8E0000"/>
              </font>
              <fill>
                <patternFill>
                  <bgColor rgb="FFFECF82"/>
                </patternFill>
              </fill>
            </x14:dxf>
          </x14:cfRule>
          <x14:cfRule type="expression" priority="18461" id="{8E46804F-B6A6-4197-BD93-4068C710CA25}">
            <xm:f>AND(LEFT(PD!$F$13)="F",$AL$36=2,PD!$BU$5="X")</xm:f>
            <x14:dxf>
              <font>
                <color rgb="FF8E0000"/>
              </font>
              <fill>
                <patternFill>
                  <bgColor theme="2"/>
                </patternFill>
              </fill>
            </x14:dxf>
          </x14:cfRule>
          <x14:cfRule type="expression" priority="18462" id="{A92D2EB3-D1ED-4F08-A8E7-A213F7FB66E2}">
            <xm:f>AND(LEFT(PD!$F$13)="F",$AL$36=1,PD!$BU$5="X")</xm:f>
            <x14:dxf>
              <font>
                <color rgb="FF8E0000"/>
              </font>
              <fill>
                <patternFill>
                  <bgColor rgb="FFFBE93B"/>
                </patternFill>
              </fill>
            </x14:dxf>
          </x14:cfRule>
          <xm:sqref>AL36</xm:sqref>
        </x14:conditionalFormatting>
        <x14:conditionalFormatting xmlns:xm="http://schemas.microsoft.com/office/excel/2006/main">
          <x14:cfRule type="expression" priority="148" id="{4E3F940C-9DE8-4BDC-BD9F-A3954A371C14}">
            <xm:f>LEFT(PD!$B$15)="3"</xm:f>
            <x14:dxf>
              <numFmt numFmtId="164" formatCode="0.000"/>
            </x14:dxf>
          </x14:cfRule>
          <xm:sqref>AM10 J13 O13 T13 Y13 AD13 AK13 AM15 E18 O18 T18 Y18 AD18 AK18 AM20 E23 J23 T23 Y23 AD23 AK23 AM25 E28 J28 O28 Y28 AD28 AK28 AM30 E33 J33 O33 T33 AD33 AK33 AM35 E38 J38 O38 T38 Y38 AK38</xm:sqref>
        </x14:conditionalFormatting>
        <x14:conditionalFormatting xmlns:xm="http://schemas.microsoft.com/office/excel/2006/main">
          <x14:cfRule type="expression" priority="11818" id="{9C4B62B4-2F03-4B2D-B3F4-A0D0E067A998}">
            <xm:f>AND(LEFT(PA!$F$13)="P",PA!$AO$4&gt;1)</xm:f>
            <x14:dxf>
              <border>
                <bottom/>
                <vertical/>
                <horizontal/>
              </border>
            </x14:dxf>
          </x14:cfRule>
          <xm:sqref>AP10 AP12 AP15 AP17</xm:sqref>
        </x14:conditionalFormatting>
        <x14:conditionalFormatting xmlns:xm="http://schemas.microsoft.com/office/excel/2006/main">
          <x14:cfRule type="expression" priority="4" id="{A15718CC-7BA8-4D36-B697-92F821941AA2}">
            <xm:f>'GESTION DES JOUEURS'!$D$8="Open"</xm:f>
            <x14:dxf>
              <numFmt numFmtId="14" formatCode="0.00%"/>
            </x14:dxf>
          </x14:cfRule>
          <xm:sqref>AP10 AP13 AP15 AP18 AP20 AP23 AP25 AP28 AP30 AP33 AP35 AP38</xm:sqref>
        </x14:conditionalFormatting>
        <x14:conditionalFormatting xmlns:xm="http://schemas.microsoft.com/office/excel/2006/main">
          <x14:cfRule type="expression" priority="11822" id="{ECD95B96-71C7-4BA1-8A24-5B06B944F21C}">
            <xm:f>AND(LEFT(PA!$F$13)="P",PA!$AO$4&gt;1)</xm:f>
            <x14:dxf>
              <border>
                <left style="thin">
                  <color auto="1"/>
                </left>
                <right style="thin">
                  <color auto="1"/>
                </right>
                <top style="thin">
                  <color auto="1"/>
                </top>
                <bottom style="thin">
                  <color auto="1"/>
                </bottom>
                <vertical/>
                <horizontal/>
              </border>
            </x14:dxf>
          </x14:cfRule>
          <xm:sqref>AP10:AP13 AP15:AP18</xm:sqref>
        </x14:conditionalFormatting>
        <x14:conditionalFormatting xmlns:xm="http://schemas.microsoft.com/office/excel/2006/main">
          <x14:cfRule type="expression" priority="11824" id="{B4149EEA-BE83-4302-9116-F6F984261B2A}">
            <xm:f>AND(LEFT(PA!$F$13)="P",PA!$AO$4&gt;1)</xm:f>
            <x14:dxf>
              <border>
                <top/>
                <vertical/>
                <horizontal/>
              </border>
            </x14:dxf>
          </x14:cfRule>
          <xm:sqref>AP11 AP13 AP16 AP18</xm:sqref>
        </x14:conditionalFormatting>
        <x14:conditionalFormatting xmlns:xm="http://schemas.microsoft.com/office/excel/2006/main">
          <x14:cfRule type="expression" priority="11848" id="{89027FF1-4533-4B47-B7D6-CE16C80C644E}">
            <xm:f>AND(LEFT(PA!$F$13)="P",PA!$AO$4&gt;1)</xm:f>
            <x14:dxf>
              <fill>
                <patternFill>
                  <bgColor theme="1"/>
                </patternFill>
              </fill>
            </x14:dxf>
          </x14:cfRule>
          <xm:sqref>AP14 AP19</xm:sqref>
        </x14:conditionalFormatting>
        <x14:conditionalFormatting xmlns:xm="http://schemas.microsoft.com/office/excel/2006/main">
          <x14:cfRule type="expression" priority="11828" id="{072BCE83-CC1D-4CEA-A8F1-6C9122559543}">
            <xm:f>AND(LEFT(PA!$F$13)="P",PA!$AO$4&gt;2)</xm:f>
            <x14:dxf>
              <border>
                <bottom/>
                <vertical/>
                <horizontal/>
              </border>
            </x14:dxf>
          </x14:cfRule>
          <xm:sqref>AP20 AP22</xm:sqref>
        </x14:conditionalFormatting>
        <x14:conditionalFormatting xmlns:xm="http://schemas.microsoft.com/office/excel/2006/main">
          <x14:cfRule type="expression" priority="11830" id="{172B83BA-FF53-4ABA-AC05-0950ACEC2F8F}">
            <xm:f>AND(LEFT(PA!$F$13)="P",PA!$AO$4&gt;2)</xm:f>
            <x14:dxf>
              <border>
                <left style="thin">
                  <color auto="1"/>
                </left>
                <right style="thin">
                  <color auto="1"/>
                </right>
                <top style="thin">
                  <color auto="1"/>
                </top>
                <bottom style="thin">
                  <color auto="1"/>
                </bottom>
                <vertical/>
                <horizontal/>
              </border>
            </x14:dxf>
          </x14:cfRule>
          <xm:sqref>AP20:AP23</xm:sqref>
        </x14:conditionalFormatting>
        <x14:conditionalFormatting xmlns:xm="http://schemas.microsoft.com/office/excel/2006/main">
          <x14:cfRule type="expression" priority="11831" id="{6694EC0D-0E09-467C-AE8E-C088AC5E9A3B}">
            <xm:f>AND(LEFT(PA!$F$13)="P",PA!$AO$4&gt;2)</xm:f>
            <x14:dxf>
              <border>
                <top/>
                <vertical/>
                <horizontal/>
              </border>
            </x14:dxf>
          </x14:cfRule>
          <xm:sqref>AP21 AP23</xm:sqref>
        </x14:conditionalFormatting>
        <x14:conditionalFormatting xmlns:xm="http://schemas.microsoft.com/office/excel/2006/main">
          <x14:cfRule type="expression" priority="11850" id="{900FA3A7-7253-43B6-9DD2-A2A974487A5E}">
            <xm:f>AND(LEFT(PA!$F$13)="P",PA!$AO$4&gt;2)</xm:f>
            <x14:dxf>
              <fill>
                <patternFill>
                  <bgColor theme="1"/>
                </patternFill>
              </fill>
            </x14:dxf>
          </x14:cfRule>
          <xm:sqref>AP24</xm:sqref>
        </x14:conditionalFormatting>
        <x14:conditionalFormatting xmlns:xm="http://schemas.microsoft.com/office/excel/2006/main">
          <x14:cfRule type="expression" priority="11833" id="{F0763C93-683A-44F0-AE8A-2BBA73CF2F16}">
            <xm:f>AND(LEFT(PA!$F$13)="P",PA!$AO$4&gt;2,COUNT(PA!$A$6:$A$11)&gt;3)</xm:f>
            <x14:dxf>
              <border>
                <bottom/>
                <vertical/>
                <horizontal/>
              </border>
            </x14:dxf>
          </x14:cfRule>
          <xm:sqref>AP25 AP27</xm:sqref>
        </x14:conditionalFormatting>
        <x14:conditionalFormatting xmlns:xm="http://schemas.microsoft.com/office/excel/2006/main">
          <x14:cfRule type="expression" priority="11835" id="{48834F8E-D4BF-45C8-81C4-C0935BC9339D}">
            <xm:f>AND(LEFT(PA!$F$13)="P",PA!$AO$4&gt;2,COUNT(PA!$A$6:$A$11)&gt;3)</xm:f>
            <x14:dxf>
              <border>
                <left style="thin">
                  <color auto="1"/>
                </left>
                <right style="thin">
                  <color auto="1"/>
                </right>
                <top style="thin">
                  <color auto="1"/>
                </top>
                <bottom style="thin">
                  <color auto="1"/>
                </bottom>
                <vertical/>
                <horizontal/>
              </border>
            </x14:dxf>
          </x14:cfRule>
          <xm:sqref>AP25:AP28</xm:sqref>
        </x14:conditionalFormatting>
        <x14:conditionalFormatting xmlns:xm="http://schemas.microsoft.com/office/excel/2006/main">
          <x14:cfRule type="expression" priority="11836" id="{703D3F1B-F953-4BFF-BB26-C06D1F3D8418}">
            <xm:f>AND(LEFT(PA!$F$13)="P",PA!$AO$4&gt;2,COUNT(PA!$A$6:$A$11)&gt;3)</xm:f>
            <x14:dxf>
              <border>
                <top/>
                <vertical/>
                <horizontal/>
              </border>
            </x14:dxf>
          </x14:cfRule>
          <xm:sqref>AP26 AP28</xm:sqref>
        </x14:conditionalFormatting>
        <x14:conditionalFormatting xmlns:xm="http://schemas.microsoft.com/office/excel/2006/main">
          <x14:cfRule type="expression" priority="11851" id="{F8BCD163-B03A-4884-A10C-ADC47C661658}">
            <xm:f>AND(LEFT(PA!$F$13)="P",PA!$AO$4&gt;2,COUNT(PA!$A$6:$A$11)&gt;3)</xm:f>
            <x14:dxf>
              <fill>
                <patternFill>
                  <bgColor theme="1"/>
                </patternFill>
              </fill>
            </x14:dxf>
          </x14:cfRule>
          <xm:sqref>AP29</xm:sqref>
        </x14:conditionalFormatting>
        <x14:conditionalFormatting xmlns:xm="http://schemas.microsoft.com/office/excel/2006/main">
          <x14:cfRule type="expression" priority="11838" id="{F6AC47D1-BF5E-4D0B-B32F-E633BA0A1B5A}">
            <xm:f>AND(LEFT(PA!$F$13)="P",PA!$AO$4&gt;2,COUNT(PA!$A$6:$A$11)&gt;4)</xm:f>
            <x14:dxf>
              <border>
                <bottom/>
                <vertical/>
                <horizontal/>
              </border>
            </x14:dxf>
          </x14:cfRule>
          <xm:sqref>AP30 AP32</xm:sqref>
        </x14:conditionalFormatting>
        <x14:conditionalFormatting xmlns:xm="http://schemas.microsoft.com/office/excel/2006/main">
          <x14:cfRule type="expression" priority="11840" id="{BDF259F0-FC16-42C6-9B62-EDECCF417193}">
            <xm:f>AND(LEFT(PA!$F$13)="P",PA!$AO$4&gt;2,COUNT(PA!$A$6:$A$11)&gt;4)</xm:f>
            <x14:dxf>
              <border>
                <left style="thin">
                  <color auto="1"/>
                </left>
                <right style="thin">
                  <color auto="1"/>
                </right>
                <top style="thin">
                  <color auto="1"/>
                </top>
                <bottom style="thin">
                  <color auto="1"/>
                </bottom>
                <vertical/>
                <horizontal/>
              </border>
            </x14:dxf>
          </x14:cfRule>
          <xm:sqref>AP30:AP33</xm:sqref>
        </x14:conditionalFormatting>
        <x14:conditionalFormatting xmlns:xm="http://schemas.microsoft.com/office/excel/2006/main">
          <x14:cfRule type="expression" priority="11841" id="{7E8304B3-3A13-4EC7-9D7B-FFABCBF0A8C4}">
            <xm:f>AND(LEFT(PA!$F$13)="P",PA!$AO$4&gt;2,COUNT(PA!$A$6:$A$11)&gt;4)</xm:f>
            <x14:dxf>
              <border>
                <top/>
                <vertical/>
                <horizontal/>
              </border>
            </x14:dxf>
          </x14:cfRule>
          <xm:sqref>AP31 AP33</xm:sqref>
        </x14:conditionalFormatting>
        <x14:conditionalFormatting xmlns:xm="http://schemas.microsoft.com/office/excel/2006/main">
          <x14:cfRule type="expression" priority="11852" id="{A9A86888-7D7B-4021-9B17-9CB5E53BE884}">
            <xm:f>AND(LEFT(PA!$F$13)="P",PA!$AO$4&gt;2,COUNT(PA!$A$6:$A$11)&gt;4)</xm:f>
            <x14:dxf>
              <fill>
                <patternFill>
                  <bgColor theme="1"/>
                </patternFill>
              </fill>
            </x14:dxf>
          </x14:cfRule>
          <xm:sqref>AP34</xm:sqref>
        </x14:conditionalFormatting>
        <x14:conditionalFormatting xmlns:xm="http://schemas.microsoft.com/office/excel/2006/main">
          <x14:cfRule type="expression" priority="11843" id="{CA009102-1832-4433-97EA-957BA5A6DF8C}">
            <xm:f>AND(LEFT(PA!$F$13)="P",PA!$AO$4&gt;2,COUNT(PA!$A$6:$A$11)&gt;5)</xm:f>
            <x14:dxf>
              <border>
                <bottom/>
                <vertical/>
                <horizontal/>
              </border>
            </x14:dxf>
          </x14:cfRule>
          <xm:sqref>AP35 AP37</xm:sqref>
        </x14:conditionalFormatting>
        <x14:conditionalFormatting xmlns:xm="http://schemas.microsoft.com/office/excel/2006/main">
          <x14:cfRule type="expression" priority="11845" id="{D3077E37-46AD-48E0-A4C3-93832F4A64E2}">
            <xm:f>AND(LEFT(PA!$F$13)="P",PA!$AO$4&gt;2,COUNT(PA!$A$6:$A$11)&gt;5)</xm:f>
            <x14:dxf>
              <border>
                <left style="thin">
                  <color auto="1"/>
                </left>
                <right style="thin">
                  <color auto="1"/>
                </right>
                <top style="thin">
                  <color auto="1"/>
                </top>
                <bottom style="thin">
                  <color auto="1"/>
                </bottom>
                <vertical/>
                <horizontal/>
              </border>
            </x14:dxf>
          </x14:cfRule>
          <xm:sqref>AP35:AP38</xm:sqref>
        </x14:conditionalFormatting>
        <x14:conditionalFormatting xmlns:xm="http://schemas.microsoft.com/office/excel/2006/main">
          <x14:cfRule type="expression" priority="11846" id="{CD8D9C31-443E-4425-907A-B9A4EFDAEDB3}">
            <xm:f>AND(LEFT(PA!$F$13)="P",PA!$AO$4&gt;2,COUNT(PA!$A$6:$A$11)&gt;5)</xm:f>
            <x14:dxf>
              <border>
                <top/>
                <vertical/>
                <horizontal/>
              </border>
            </x14:dxf>
          </x14:cfRule>
          <xm:sqref>AP36 AP38</xm:sqref>
        </x14:conditionalFormatting>
        <x14:conditionalFormatting xmlns:xm="http://schemas.microsoft.com/office/excel/2006/main">
          <x14:cfRule type="expression" priority="18463" id="{A42E24A2-9167-451B-8385-63DA1E49D91A}">
            <xm:f>AND(LEFT(PD!$F$13)="P",PD!$AO$4&gt;1)</xm:f>
            <x14:dxf>
              <fill>
                <patternFill>
                  <bgColor theme="1"/>
                </patternFill>
              </fill>
            </x14:dxf>
          </x14:cfRule>
          <xm:sqref>AP9:AQ9 AQ10:AQ19</xm:sqref>
        </x14:conditionalFormatting>
        <x14:conditionalFormatting xmlns:xm="http://schemas.microsoft.com/office/excel/2006/main">
          <x14:cfRule type="expression" priority="18465" id="{87635620-3533-439C-A4F4-8EEBE271A51D}">
            <xm:f>AND(LEFT(PD!$F$13)="P",PD!$AO$4&gt;2)</xm:f>
            <x14:dxf>
              <fill>
                <patternFill>
                  <bgColor theme="1"/>
                </patternFill>
              </fill>
            </x14:dxf>
          </x14:cfRule>
          <xm:sqref>AQ20:AQ24</xm:sqref>
        </x14:conditionalFormatting>
        <x14:conditionalFormatting xmlns:xm="http://schemas.microsoft.com/office/excel/2006/main">
          <x14:cfRule type="expression" priority="18466" id="{7462878C-8A5E-4A4E-A794-59CC62805756}">
            <xm:f>AND(LEFT(PD!$F$13)="P",PD!$AO$4&gt;2,COUNT(PD!$A$6:$A$11)&gt;3)</xm:f>
            <x14:dxf>
              <fill>
                <patternFill>
                  <bgColor theme="1"/>
                </patternFill>
              </fill>
            </x14:dxf>
          </x14:cfRule>
          <xm:sqref>AQ25:AQ29</xm:sqref>
        </x14:conditionalFormatting>
        <x14:conditionalFormatting xmlns:xm="http://schemas.microsoft.com/office/excel/2006/main">
          <x14:cfRule type="expression" priority="18467" id="{B64B9316-0514-4242-A7DF-35497802B67E}">
            <xm:f>AND(LEFT(PD!$F$13)="P",PD!$AO$4&gt;2,COUNT(PD!$A$6:$A$11)&gt;4)</xm:f>
            <x14:dxf>
              <fill>
                <patternFill>
                  <bgColor theme="1"/>
                </patternFill>
              </fill>
            </x14:dxf>
          </x14:cfRule>
          <xm:sqref>AQ30:AQ34</xm:sqref>
        </x14:conditionalFormatting>
        <x14:conditionalFormatting xmlns:xm="http://schemas.microsoft.com/office/excel/2006/main">
          <x14:cfRule type="expression" priority="18468" id="{7FB559D8-3299-4C39-A32F-F31661E4834B}">
            <xm:f>AND(LEFT(PD!$F$13)="P",PD!$AO$4&gt;2,COUNT(PD!$A$6:$A$11)&gt;5)</xm:f>
            <x14:dxf>
              <fill>
                <patternFill>
                  <bgColor theme="1"/>
                </patternFill>
              </fill>
            </x14:dxf>
          </x14:cfRule>
          <xm:sqref>AQ35:AQ38 AP39:AQ39</xm:sqref>
        </x14:conditionalFormatting>
        <x14:conditionalFormatting xmlns:xm="http://schemas.microsoft.com/office/excel/2006/main">
          <x14:cfRule type="expression" priority="39" id="{AD4772F3-A883-4902-B9BF-E88BC1C06F8D}">
            <xm:f>'GESTION DES JOUEURS'!$T$8&lt;2</xm:f>
            <x14:dxf>
              <font>
                <color theme="0" tint="-0.24994659260841701"/>
              </font>
              <fill>
                <patternFill>
                  <bgColor theme="0" tint="-0.24994659260841701"/>
                </patternFill>
              </fill>
            </x14:dxf>
          </x14:cfRule>
          <x14:cfRule type="expression" priority="40" id="{B2C4BA02-C5C9-43D4-9A29-B4418917FC39}">
            <xm:f>'GESTION DES JOUEURS'!$D$8="Finale"</xm:f>
            <x14:dxf>
              <font>
                <color theme="0" tint="-0.24994659260841701"/>
              </font>
              <fill>
                <patternFill>
                  <bgColor theme="0" tint="-0.24994659260841701"/>
                </patternFill>
              </fill>
            </x14:dxf>
          </x14:cfRule>
          <xm:sqref>AS12:AS13 AS15 AS17:AS18 AS20:AS23 AS25:AS28 AS30:AS33 AS35:AS38</xm:sqref>
        </x14:conditionalFormatting>
        <x14:conditionalFormatting xmlns:xm="http://schemas.microsoft.com/office/excel/2006/main">
          <x14:cfRule type="expression" priority="38" id="{95312A9E-36E7-4063-B898-9915C448A7A1}">
            <xm:f>'GESTION DES JOUEURS'!$T$8&lt;3</xm:f>
            <x14:dxf>
              <font>
                <color theme="0" tint="-0.24994659260841701"/>
              </font>
              <fill>
                <patternFill>
                  <bgColor theme="0" tint="-0.24994659260841701"/>
                </patternFill>
              </fill>
            </x14:dxf>
          </x14:cfRule>
          <xm:sqref>AS15 AS17:AS18 AS20:AS23 AS25:AS28 AS30:AS33 AS35:AS38</xm:sqref>
        </x14:conditionalFormatting>
        <x14:conditionalFormatting xmlns:xm="http://schemas.microsoft.com/office/excel/2006/main">
          <x14:cfRule type="expression" priority="37" id="{170ABE65-B4A4-4B29-BD61-E383A7B55A95}">
            <xm:f>'GESTION DES JOUEURS'!$T$8&lt;4</xm:f>
            <x14:dxf>
              <font>
                <color theme="0" tint="-0.24994659260841701"/>
              </font>
              <fill>
                <patternFill>
                  <bgColor theme="0" tint="-0.24994659260841701"/>
                </patternFill>
              </fill>
            </x14:dxf>
          </x14:cfRule>
          <xm:sqref>AS17:AS18 AS20:AS23 AS25:AS28 AS30:AS33 AS35:AS38</xm:sqref>
        </x14:conditionalFormatting>
        <x14:conditionalFormatting xmlns:xm="http://schemas.microsoft.com/office/excel/2006/main">
          <x14:cfRule type="expression" priority="36" id="{8BA7DD9D-6880-4E77-9A07-23F2E48934D5}">
            <xm:f>'GESTION DES JOUEURS'!$T$8&lt;5</xm:f>
            <x14:dxf>
              <font>
                <color theme="0" tint="-0.24994659260841701"/>
              </font>
              <fill>
                <patternFill>
                  <bgColor theme="0" tint="-0.24994659260841701"/>
                </patternFill>
              </fill>
            </x14:dxf>
          </x14:cfRule>
          <xm:sqref>AS20:AS23 AS25:AS28 AS30:AS33 AS35:AS38</xm:sqref>
        </x14:conditionalFormatting>
        <x14:conditionalFormatting xmlns:xm="http://schemas.microsoft.com/office/excel/2006/main">
          <x14:cfRule type="expression" priority="35" id="{BEC3563B-84CD-4987-BDDB-B78B07C9BE0F}">
            <xm:f>'GESTION DES JOUEURS'!$T$8&lt;6</xm:f>
            <x14:dxf>
              <font>
                <color theme="0" tint="-0.24994659260841701"/>
              </font>
              <fill>
                <patternFill>
                  <fgColor auto="1"/>
                  <bgColor theme="0" tint="-0.24994659260841701"/>
                </patternFill>
              </fill>
            </x14:dxf>
          </x14:cfRule>
          <xm:sqref>AS22:AS23 AS25:AS28 AS30:AS33 AS35:AS38</xm:sqref>
        </x14:conditionalFormatting>
        <x14:conditionalFormatting xmlns:xm="http://schemas.microsoft.com/office/excel/2006/main">
          <x14:cfRule type="expression" priority="34" id="{342AA155-B4F7-4938-B3C8-0BBEB456879A}">
            <xm:f>'GESTION DES JOUEURS'!$T$8&lt;7</xm:f>
            <x14:dxf>
              <font>
                <color theme="0" tint="-0.24994659260841701"/>
              </font>
              <fill>
                <patternFill>
                  <bgColor theme="0" tint="-0.24994659260841701"/>
                </patternFill>
              </fill>
            </x14:dxf>
          </x14:cfRule>
          <xm:sqref>AS25:AS28 AS30:AS33 AS35:AS38</xm:sqref>
        </x14:conditionalFormatting>
        <x14:conditionalFormatting xmlns:xm="http://schemas.microsoft.com/office/excel/2006/main">
          <x14:cfRule type="expression" priority="33" id="{26D1F2FD-4754-42DB-8A93-C0C28710A4EF}">
            <xm:f>'GESTION DES JOUEURS'!$T$8&lt;8</xm:f>
            <x14:dxf>
              <font>
                <color theme="0" tint="-0.24994659260841701"/>
              </font>
              <fill>
                <patternFill>
                  <bgColor theme="0" tint="-0.24994659260841701"/>
                </patternFill>
              </fill>
            </x14:dxf>
          </x14:cfRule>
          <xm:sqref>AS27:AS28 AS30:AS33 AS35:AS38</xm:sqref>
        </x14:conditionalFormatting>
        <x14:conditionalFormatting xmlns:xm="http://schemas.microsoft.com/office/excel/2006/main">
          <x14:cfRule type="expression" priority="32" id="{3C1B51DA-C25E-446D-A0D0-1DF0809F6EFC}">
            <xm:f>'GESTION DES JOUEURS'!$T$8&lt;9</xm:f>
            <x14:dxf>
              <font>
                <color theme="0" tint="-0.24994659260841701"/>
              </font>
              <fill>
                <patternFill>
                  <bgColor theme="0" tint="-0.24994659260841701"/>
                </patternFill>
              </fill>
            </x14:dxf>
          </x14:cfRule>
          <xm:sqref>AS30:AS33 AS35:AS38</xm:sqref>
        </x14:conditionalFormatting>
        <x14:conditionalFormatting xmlns:xm="http://schemas.microsoft.com/office/excel/2006/main">
          <x14:cfRule type="expression" priority="31" id="{70A4D539-345F-4FD0-AA8F-CA3D929CCD68}">
            <xm:f>'GESTION DES JOUEURS'!$T$8&lt;10</xm:f>
            <x14:dxf>
              <font>
                <color theme="0" tint="-0.24994659260841701"/>
              </font>
              <fill>
                <patternFill>
                  <bgColor theme="0" tint="-0.24994659260841701"/>
                </patternFill>
              </fill>
            </x14:dxf>
          </x14:cfRule>
          <xm:sqref>AS32:AS33 AS35:AS38</xm:sqref>
        </x14:conditionalFormatting>
        <x14:conditionalFormatting xmlns:xm="http://schemas.microsoft.com/office/excel/2006/main">
          <x14:cfRule type="expression" priority="26" id="{6FC339D9-AD0F-4B24-8A39-E56F2C537416}">
            <xm:f>'GESTION DES JOUEURS'!$D$8="Finale"</xm:f>
            <x14:dxf>
              <font>
                <color theme="0" tint="-0.24994659260841701"/>
              </font>
              <fill>
                <patternFill>
                  <bgColor theme="0" tint="-0.24994659260841701"/>
                </patternFill>
              </fill>
            </x14:dxf>
          </x14:cfRule>
          <x14:cfRule type="expression" priority="25" id="{1221D6AA-B4CF-4933-8F93-57EA130446B7}">
            <xm:f>OR('GESTION DES JOUEURS'!$D$8="poules",'GESTION DES JOUEURS'!$D$8="Finale")</xm:f>
            <x14:dxf>
              <font>
                <color theme="0" tint="-0.24994659260841701"/>
              </font>
              <fill>
                <patternFill>
                  <fgColor auto="1"/>
                  <bgColor theme="0" tint="-0.24994659260841701"/>
                </patternFill>
              </fill>
            </x14:dxf>
          </x14:cfRule>
          <x14:cfRule type="expression" priority="24" id="{13FCE012-8C78-4DEE-8F24-EDFB7DEA8141}">
            <xm:f>'GESTION DES JOUEURS'!$T$8=1</xm:f>
            <x14:dxf>
              <font>
                <color theme="0" tint="-0.24994659260841701"/>
              </font>
              <fill>
                <patternFill>
                  <bgColor theme="0" tint="-0.24994659260841701"/>
                </patternFill>
              </fill>
            </x14:dxf>
          </x14:cfRule>
          <xm:sqref>AV2:AV3</xm:sqref>
        </x14:conditionalFormatting>
        <x14:conditionalFormatting xmlns:xm="http://schemas.microsoft.com/office/excel/2006/main">
          <x14:cfRule type="expression" priority="1" id="{4B9B36BE-B66D-4330-91D9-5BA5373CC266}">
            <xm:f>'GESTION DES JOUEURS'!$T$8=1</xm:f>
            <x14:dxf>
              <font>
                <color theme="0" tint="-0.24994659260841701"/>
              </font>
              <fill>
                <patternFill>
                  <bgColor theme="0" tint="-0.24994659260841701"/>
                </patternFill>
              </fill>
            </x14:dxf>
          </x14:cfRule>
          <x14:cfRule type="expression" priority="3" id="{BF892537-D08F-46AB-ADA0-E6258ED99B7E}">
            <xm:f>OR('GESTION DES JOUEURS'!$D$8="Poules",'GESTION DES JOUEURS'!$D$8="Finale",'GESTION DES JOUEURS'!$D$8="Tournoi")</xm:f>
            <x14:dxf>
              <font>
                <color theme="0" tint="-0.24994659260841701"/>
              </font>
              <fill>
                <patternFill>
                  <bgColor theme="0" tint="-0.24994659260841701"/>
                </patternFill>
              </fill>
            </x14:dxf>
          </x14:cfRule>
          <x14:cfRule type="expression" priority="2" id="{9D768156-28BB-426A-9B55-70FC6C49FACE}">
            <xm:f>'GESTION DES JOUEURS'!$D$8="Finale"</xm:f>
            <x14:dxf>
              <font>
                <color theme="0" tint="-0.24994659260841701"/>
              </font>
              <fill>
                <patternFill>
                  <bgColor theme="0" tint="-0.24994659260841701"/>
                </patternFill>
              </fill>
            </x14:dxf>
          </x14:cfRule>
          <xm:sqref>AV5:AV6</xm:sqref>
        </x14:conditionalFormatting>
        <x14:conditionalFormatting xmlns:xm="http://schemas.microsoft.com/office/excel/2006/main">
          <x14:cfRule type="expression" priority="41" id="{FCF8BA80-2AA0-4D92-97C7-7AD92A53B4CD}">
            <xm:f>'GESTION DES JOUEURS'!$T$8=1</xm:f>
            <x14:dxf>
              <font>
                <color theme="0" tint="-0.24994659260841701"/>
              </font>
              <fill>
                <patternFill>
                  <bgColor theme="0" tint="-0.24994659260841701"/>
                </patternFill>
              </fill>
            </x14:dxf>
          </x14:cfRule>
          <x14:cfRule type="expression" priority="53" id="{A2E656F8-4099-4531-847F-0C5C830DA8DB}">
            <xm:f>'GESTION DES JOUEURS'!$D$8="Finale"</xm:f>
            <x14:dxf>
              <font>
                <color theme="0" tint="-0.24994659260841701"/>
              </font>
              <fill>
                <patternFill>
                  <bgColor theme="0" tint="-0.24994659260841701"/>
                </patternFill>
              </fill>
            </x14:dxf>
          </x14:cfRule>
          <xm:sqref>AZ17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19</vt:i4>
      </vt:variant>
    </vt:vector>
  </HeadingPairs>
  <TitlesOfParts>
    <vt:vector size="59" baseType="lpstr">
      <vt:lpstr>GESTION DES JOUEURS</vt:lpstr>
      <vt:lpstr>PA</vt:lpstr>
      <vt:lpstr>T PA</vt:lpstr>
      <vt:lpstr>PB</vt:lpstr>
      <vt:lpstr>T PB</vt:lpstr>
      <vt:lpstr>PC</vt:lpstr>
      <vt:lpstr>T PC</vt:lpstr>
      <vt:lpstr>PD</vt:lpstr>
      <vt:lpstr>T PD</vt:lpstr>
      <vt:lpstr>PE</vt:lpstr>
      <vt:lpstr>T PE</vt:lpstr>
      <vt:lpstr>PF</vt:lpstr>
      <vt:lpstr>T PF</vt:lpstr>
      <vt:lpstr>PG</vt:lpstr>
      <vt:lpstr>T PG</vt:lpstr>
      <vt:lpstr>PH</vt:lpstr>
      <vt:lpstr>T PH</vt:lpstr>
      <vt:lpstr>PI</vt:lpstr>
      <vt:lpstr>T PI</vt:lpstr>
      <vt:lpstr>PJ</vt:lpstr>
      <vt:lpstr>T PJ</vt:lpstr>
      <vt:lpstr>PK</vt:lpstr>
      <vt:lpstr>T PK</vt:lpstr>
      <vt:lpstr>PL</vt:lpstr>
      <vt:lpstr>T PL</vt:lpstr>
      <vt:lpstr>Phase finale</vt:lpstr>
      <vt:lpstr>T Phase finale</vt:lpstr>
      <vt:lpstr>Consolante</vt:lpstr>
      <vt:lpstr>T Consolante</vt:lpstr>
      <vt:lpstr>RESULTATS</vt:lpstr>
      <vt:lpstr>LOGOS CLUBS</vt:lpstr>
      <vt:lpstr>DATA TDJ</vt:lpstr>
      <vt:lpstr>CLUBS IDF</vt:lpstr>
      <vt:lpstr>LICENCES 2025</vt:lpstr>
      <vt:lpstr>Distances</vt:lpstr>
      <vt:lpstr>LIBRE CAT</vt:lpstr>
      <vt:lpstr>CADRE CAT</vt:lpstr>
      <vt:lpstr>BANDE CAT</vt:lpstr>
      <vt:lpstr>3 BANDES CAT</vt:lpstr>
      <vt:lpstr>Répartition des poules</vt:lpstr>
      <vt:lpstr>Nb_joueursPA</vt:lpstr>
      <vt:lpstr>NB_poules</vt:lpstr>
      <vt:lpstr>PouleATerminée</vt:lpstr>
      <vt:lpstr>PouleBTerminée</vt:lpstr>
      <vt:lpstr>PouleCterminée</vt:lpstr>
      <vt:lpstr>PouleDterminée</vt:lpstr>
      <vt:lpstr>PouleETerminée</vt:lpstr>
      <vt:lpstr>PouleFTerminée</vt:lpstr>
      <vt:lpstr>PouleGTerminée</vt:lpstr>
      <vt:lpstr>PouleHTerminée</vt:lpstr>
      <vt:lpstr>PouleITerminée</vt:lpstr>
      <vt:lpstr>PouleJTerminée</vt:lpstr>
      <vt:lpstr>PouleKTerminée</vt:lpstr>
      <vt:lpstr>PouleLTerminée</vt:lpstr>
      <vt:lpstr>RESULTATS!Tableaulisteconsolante</vt:lpstr>
      <vt:lpstr>Tableaulisteconsolante</vt:lpstr>
      <vt:lpstr>RESULTATS!Tableaulistedesjoueurs</vt:lpstr>
      <vt:lpstr>Tableaulistedesjoueurs</vt:lpstr>
      <vt:lpstr>RESULTATS!Zone_d_impression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TRICONNET</dc:creator>
  <cp:lastModifiedBy>BUREAU ABMA</cp:lastModifiedBy>
  <cp:lastPrinted>2024-12-07T14:15:18Z</cp:lastPrinted>
  <dcterms:created xsi:type="dcterms:W3CDTF">2023-10-30T08:55:18Z</dcterms:created>
  <dcterms:modified xsi:type="dcterms:W3CDTF">2024-12-07T14:15:44Z</dcterms:modified>
</cp:coreProperties>
</file>